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90" windowHeight="6705"/>
  </bookViews>
  <sheets>
    <sheet name="Entry" sheetId="1" r:id="rId1"/>
    <sheet name="Report" sheetId="2" r:id="rId2"/>
    <sheet name="Summary" sheetId="3" r:id="rId3"/>
    <sheet name="Sync" sheetId="4" r:id="rId4"/>
    <sheet name="Calc" sheetId="5" r:id="rId5"/>
    <sheet name="Help" sheetId="6" r:id="rId6"/>
  </sheets>
  <externalReferences>
    <externalReference r:id="rId7"/>
    <externalReference r:id="rId8"/>
  </externalReferences>
  <definedNames>
    <definedName name="AcctCodes">Sync!$A$6:$A$565</definedName>
    <definedName name="AcctTbl">Sync!$A$6:$F$565</definedName>
    <definedName name="CalcAmtA">Calc!$J$6:$J$1005</definedName>
    <definedName name="CalcBankB">Calc!$V$6:$V$2005</definedName>
    <definedName name="CalcDateA">Calc!$E$6:$E$1005</definedName>
    <definedName name="CalcDateB">Calc!$O$6:$O$2005</definedName>
    <definedName name="CalcDepB">Calc!$T$6:$T$2005</definedName>
    <definedName name="CalcDocA">Calc!$K$6:$K$1005</definedName>
    <definedName name="CalcKeyA">Calc!$B$6:$B$1005</definedName>
    <definedName name="CalcKeyB">Calc!$P$6:$P$2005</definedName>
    <definedName name="CalcNoteA">Calc!$L$6:$L$1005</definedName>
    <definedName name="CalcNoteB">Calc!$W$6:$W$2005</definedName>
    <definedName name="CalcPartyA">Calc!$A$6:$A$1005</definedName>
    <definedName name="CalcPartyB">Calc!$N$6:$N$2005</definedName>
    <definedName name="CalcPriceA">Calc!$I$6:$I$1005</definedName>
    <definedName name="CalcQtyA">Calc!$H$6:$H$1005</definedName>
    <definedName name="CalcRankKeyA">Calc!$D$6:$D$1005</definedName>
    <definedName name="CalcRankKeyB">Calc!$S$6:$S$2005</definedName>
    <definedName name="CalcTypeA">Calc!$G$6:$G$1005</definedName>
    <definedName name="CalcWitB">Calc!$U$6:$U$2005</definedName>
    <definedName name="NBskParty">Calc!$AB$1005</definedName>
    <definedName name="PkBskParty">Calc!$AC$6:$AC$1005</definedName>
    <definedName name="_xlnm.Print_Area" localSheetId="0">Entry!$A$1:$L$1008</definedName>
    <definedName name="_xlnm.Print_Area" localSheetId="1">Report!$A$1:$K$2016</definedName>
    <definedName name="_xlnm.Print_Area" localSheetId="2">Summary!$A$1:$I$1045</definedName>
    <definedName name="_xlnm.Print_Titles" localSheetId="0">Entry!$7:$8</definedName>
    <definedName name="_xlnm.Print_Titles" localSheetId="1">Report!$15:$16</definedName>
    <definedName name="_xlnm.Print_Titles" localSheetId="2">Summary!$9:$10</definedName>
  </definedNames>
  <calcPr calcMode="auto" fullCalcOnLoad="1" forceFullCalc="1"/>
</workbook>
</file>

<file path=xl/calcChain.xml><?xml version="1.0" encoding="utf-8"?>
<calcChain xmlns="http://schemas.openxmlformats.org/spreadsheetml/2006/main">
  <c r="F1005" i="5" l="1"/>
  <c r="E1005" i="5"/>
  <c r="A1005" i="5"/>
  <c r="I1005" i="5" s="1"/>
  <c r="F1004" i="5"/>
  <c r="E1004" i="5"/>
  <c r="A1004" i="5"/>
  <c r="AA1004" i="5" s="1"/>
  <c r="F1003" i="5"/>
  <c r="E1003" i="5"/>
  <c r="A1003" i="5" s="1"/>
  <c r="I1003" i="5" s="1"/>
  <c r="F1002" i="5"/>
  <c r="E1002" i="5"/>
  <c r="A1002" i="5" s="1"/>
  <c r="F1001" i="5"/>
  <c r="E1001" i="5"/>
  <c r="A1001" i="5" s="1"/>
  <c r="I1001" i="5" s="1"/>
  <c r="F1000" i="5"/>
  <c r="E1000" i="5"/>
  <c r="A1000" i="5"/>
  <c r="AA1000" i="5" s="1"/>
  <c r="F999" i="5"/>
  <c r="E999" i="5"/>
  <c r="A999" i="5" s="1"/>
  <c r="I999" i="5" s="1"/>
  <c r="F998" i="5"/>
  <c r="E998" i="5"/>
  <c r="A998" i="5" s="1"/>
  <c r="F997" i="5"/>
  <c r="E997" i="5"/>
  <c r="A997" i="5" s="1"/>
  <c r="I997" i="5" s="1"/>
  <c r="F996" i="5"/>
  <c r="E996" i="5"/>
  <c r="B996" i="5"/>
  <c r="C996" i="5" s="1"/>
  <c r="D996" i="5" s="1"/>
  <c r="A996" i="5"/>
  <c r="AA996" i="5" s="1"/>
  <c r="F995" i="5"/>
  <c r="E995" i="5"/>
  <c r="A995" i="5" s="1"/>
  <c r="I995" i="5" s="1"/>
  <c r="F994" i="5"/>
  <c r="E994" i="5"/>
  <c r="A994" i="5"/>
  <c r="F993" i="5"/>
  <c r="E993" i="5"/>
  <c r="A993" i="5" s="1"/>
  <c r="I993" i="5" s="1"/>
  <c r="F992" i="5"/>
  <c r="E992" i="5"/>
  <c r="A992" i="5" s="1"/>
  <c r="AA992" i="5" s="1"/>
  <c r="F991" i="5"/>
  <c r="E991" i="5"/>
  <c r="A991" i="5" s="1"/>
  <c r="I991" i="5" s="1"/>
  <c r="F990" i="5"/>
  <c r="E990" i="5"/>
  <c r="A990" i="5" s="1"/>
  <c r="F989" i="5"/>
  <c r="E989" i="5"/>
  <c r="A989" i="5"/>
  <c r="I989" i="5" s="1"/>
  <c r="F988" i="5"/>
  <c r="E988" i="5"/>
  <c r="A988" i="5"/>
  <c r="AA988" i="5" s="1"/>
  <c r="F987" i="5"/>
  <c r="E987" i="5"/>
  <c r="A987" i="5" s="1"/>
  <c r="I987" i="5" s="1"/>
  <c r="F986" i="5"/>
  <c r="E986" i="5"/>
  <c r="A986" i="5" s="1"/>
  <c r="F985" i="5"/>
  <c r="E985" i="5"/>
  <c r="A985" i="5" s="1"/>
  <c r="I985" i="5" s="1"/>
  <c r="F984" i="5"/>
  <c r="E984" i="5"/>
  <c r="A984" i="5"/>
  <c r="AA984" i="5" s="1"/>
  <c r="F983" i="5"/>
  <c r="E983" i="5"/>
  <c r="A983" i="5" s="1"/>
  <c r="I983" i="5" s="1"/>
  <c r="F982" i="5"/>
  <c r="E982" i="5"/>
  <c r="A982" i="5" s="1"/>
  <c r="F981" i="5"/>
  <c r="E981" i="5"/>
  <c r="A981" i="5" s="1"/>
  <c r="I981" i="5" s="1"/>
  <c r="F980" i="5"/>
  <c r="E980" i="5"/>
  <c r="B980" i="5"/>
  <c r="C980" i="5" s="1"/>
  <c r="D980" i="5" s="1"/>
  <c r="A980" i="5"/>
  <c r="AA980" i="5" s="1"/>
  <c r="F979" i="5"/>
  <c r="E979" i="5"/>
  <c r="A979" i="5" s="1"/>
  <c r="I979" i="5" s="1"/>
  <c r="F978" i="5"/>
  <c r="E978" i="5"/>
  <c r="A978" i="5"/>
  <c r="F977" i="5"/>
  <c r="E977" i="5"/>
  <c r="A977" i="5" s="1"/>
  <c r="I977" i="5" s="1"/>
  <c r="F976" i="5"/>
  <c r="E976" i="5"/>
  <c r="A976" i="5" s="1"/>
  <c r="AA976" i="5" s="1"/>
  <c r="F975" i="5"/>
  <c r="E975" i="5"/>
  <c r="A975" i="5" s="1"/>
  <c r="I975" i="5" s="1"/>
  <c r="F974" i="5"/>
  <c r="E974" i="5"/>
  <c r="A974" i="5" s="1"/>
  <c r="F973" i="5"/>
  <c r="E973" i="5"/>
  <c r="A973" i="5" s="1"/>
  <c r="F972" i="5"/>
  <c r="E972" i="5"/>
  <c r="A972" i="5" s="1"/>
  <c r="F971" i="5"/>
  <c r="E971" i="5"/>
  <c r="A971" i="5" s="1"/>
  <c r="F970" i="5"/>
  <c r="E970" i="5"/>
  <c r="A970" i="5" s="1"/>
  <c r="F969" i="5"/>
  <c r="E969" i="5"/>
  <c r="A969" i="5" s="1"/>
  <c r="L969" i="5" s="1"/>
  <c r="F968" i="5"/>
  <c r="E968" i="5"/>
  <c r="A968" i="5" s="1"/>
  <c r="F967" i="5"/>
  <c r="E967" i="5"/>
  <c r="A967" i="5" s="1"/>
  <c r="L967" i="5" s="1"/>
  <c r="F966" i="5"/>
  <c r="E966" i="5"/>
  <c r="A966" i="5" s="1"/>
  <c r="F965" i="5"/>
  <c r="E965" i="5"/>
  <c r="A965" i="5" s="1"/>
  <c r="L965" i="5" s="1"/>
  <c r="F964" i="5"/>
  <c r="E964" i="5"/>
  <c r="A964" i="5" s="1"/>
  <c r="F963" i="5"/>
  <c r="E963" i="5"/>
  <c r="A963" i="5" s="1"/>
  <c r="L963" i="5" s="1"/>
  <c r="F962" i="5"/>
  <c r="E962" i="5"/>
  <c r="A962" i="5" s="1"/>
  <c r="F961" i="5"/>
  <c r="E961" i="5"/>
  <c r="A961" i="5" s="1"/>
  <c r="L961" i="5" s="1"/>
  <c r="F960" i="5"/>
  <c r="E960" i="5"/>
  <c r="A960" i="5" s="1"/>
  <c r="F959" i="5"/>
  <c r="E959" i="5"/>
  <c r="A959" i="5" s="1"/>
  <c r="L959" i="5" s="1"/>
  <c r="F958" i="5"/>
  <c r="E958" i="5"/>
  <c r="A958" i="5" s="1"/>
  <c r="F957" i="5"/>
  <c r="E957" i="5"/>
  <c r="A957" i="5" s="1"/>
  <c r="L957" i="5" s="1"/>
  <c r="F956" i="5"/>
  <c r="E956" i="5"/>
  <c r="A956" i="5" s="1"/>
  <c r="F955" i="5"/>
  <c r="E955" i="5"/>
  <c r="A955" i="5" s="1"/>
  <c r="L955" i="5" s="1"/>
  <c r="F954" i="5"/>
  <c r="E954" i="5"/>
  <c r="A954" i="5" s="1"/>
  <c r="F953" i="5"/>
  <c r="E953" i="5"/>
  <c r="A953" i="5" s="1"/>
  <c r="L953" i="5" s="1"/>
  <c r="F952" i="5"/>
  <c r="E952" i="5"/>
  <c r="A952" i="5" s="1"/>
  <c r="F951" i="5"/>
  <c r="E951" i="5"/>
  <c r="A951" i="5" s="1"/>
  <c r="L951" i="5" s="1"/>
  <c r="F950" i="5"/>
  <c r="E950" i="5"/>
  <c r="A950" i="5" s="1"/>
  <c r="F949" i="5"/>
  <c r="E949" i="5"/>
  <c r="A949" i="5" s="1"/>
  <c r="L949" i="5" s="1"/>
  <c r="F948" i="5"/>
  <c r="E948" i="5"/>
  <c r="A948" i="5" s="1"/>
  <c r="AA948" i="5" s="1"/>
  <c r="F947" i="5"/>
  <c r="E947" i="5"/>
  <c r="A947" i="5" s="1"/>
  <c r="L947" i="5" s="1"/>
  <c r="F946" i="5"/>
  <c r="E946" i="5"/>
  <c r="A946" i="5"/>
  <c r="AA946" i="5" s="1"/>
  <c r="F945" i="5"/>
  <c r="E945" i="5"/>
  <c r="A945" i="5" s="1"/>
  <c r="L945" i="5" s="1"/>
  <c r="F944" i="5"/>
  <c r="E944" i="5"/>
  <c r="A944" i="5" s="1"/>
  <c r="AA944" i="5" s="1"/>
  <c r="F943" i="5"/>
  <c r="E943" i="5"/>
  <c r="A943" i="5" s="1"/>
  <c r="L943" i="5" s="1"/>
  <c r="F942" i="5"/>
  <c r="E942" i="5"/>
  <c r="A942" i="5"/>
  <c r="AA942" i="5" s="1"/>
  <c r="F941" i="5"/>
  <c r="E941" i="5"/>
  <c r="A941" i="5" s="1"/>
  <c r="L941" i="5" s="1"/>
  <c r="F940" i="5"/>
  <c r="E940" i="5"/>
  <c r="A940" i="5" s="1"/>
  <c r="AA940" i="5" s="1"/>
  <c r="F939" i="5"/>
  <c r="E939" i="5"/>
  <c r="A939" i="5" s="1"/>
  <c r="L939" i="5" s="1"/>
  <c r="F938" i="5"/>
  <c r="E938" i="5"/>
  <c r="A938" i="5"/>
  <c r="AA938" i="5" s="1"/>
  <c r="F937" i="5"/>
  <c r="E937" i="5"/>
  <c r="A937" i="5" s="1"/>
  <c r="L937" i="5" s="1"/>
  <c r="F936" i="5"/>
  <c r="E936" i="5"/>
  <c r="A936" i="5" s="1"/>
  <c r="AA936" i="5" s="1"/>
  <c r="F935" i="5"/>
  <c r="E935" i="5"/>
  <c r="A935" i="5"/>
  <c r="L935" i="5" s="1"/>
  <c r="F934" i="5"/>
  <c r="E934" i="5"/>
  <c r="A934" i="5" s="1"/>
  <c r="AA934" i="5" s="1"/>
  <c r="F933" i="5"/>
  <c r="E933" i="5"/>
  <c r="A933" i="5" s="1"/>
  <c r="AA933" i="5" s="1"/>
  <c r="F932" i="5"/>
  <c r="E932" i="5"/>
  <c r="A932" i="5" s="1"/>
  <c r="AA932" i="5" s="1"/>
  <c r="F931" i="5"/>
  <c r="E931" i="5"/>
  <c r="A931" i="5"/>
  <c r="AA931" i="5" s="1"/>
  <c r="F930" i="5"/>
  <c r="E930" i="5"/>
  <c r="A930" i="5" s="1"/>
  <c r="AA930" i="5" s="1"/>
  <c r="F929" i="5"/>
  <c r="E929" i="5"/>
  <c r="A929" i="5" s="1"/>
  <c r="AA929" i="5" s="1"/>
  <c r="F928" i="5"/>
  <c r="E928" i="5"/>
  <c r="A928" i="5" s="1"/>
  <c r="AA928" i="5" s="1"/>
  <c r="F927" i="5"/>
  <c r="E927" i="5"/>
  <c r="A927" i="5"/>
  <c r="AA927" i="5" s="1"/>
  <c r="F926" i="5"/>
  <c r="E926" i="5"/>
  <c r="A926" i="5" s="1"/>
  <c r="AA926" i="5" s="1"/>
  <c r="F925" i="5"/>
  <c r="E925" i="5"/>
  <c r="A925" i="5" s="1"/>
  <c r="AA925" i="5" s="1"/>
  <c r="F924" i="5"/>
  <c r="E924" i="5"/>
  <c r="A924" i="5" s="1"/>
  <c r="AA924" i="5" s="1"/>
  <c r="F923" i="5"/>
  <c r="E923" i="5"/>
  <c r="A923" i="5"/>
  <c r="AA923" i="5" s="1"/>
  <c r="F922" i="5"/>
  <c r="E922" i="5"/>
  <c r="A922" i="5" s="1"/>
  <c r="AA922" i="5" s="1"/>
  <c r="F921" i="5"/>
  <c r="E921" i="5"/>
  <c r="A921" i="5" s="1"/>
  <c r="AA921" i="5" s="1"/>
  <c r="F920" i="5"/>
  <c r="E920" i="5"/>
  <c r="A920" i="5" s="1"/>
  <c r="AA920" i="5" s="1"/>
  <c r="F919" i="5"/>
  <c r="E919" i="5"/>
  <c r="A919" i="5"/>
  <c r="AA919" i="5" s="1"/>
  <c r="F918" i="5"/>
  <c r="E918" i="5"/>
  <c r="A918" i="5" s="1"/>
  <c r="AA918" i="5" s="1"/>
  <c r="F917" i="5"/>
  <c r="E917" i="5"/>
  <c r="A917" i="5" s="1"/>
  <c r="AA917" i="5" s="1"/>
  <c r="F916" i="5"/>
  <c r="E916" i="5"/>
  <c r="A916" i="5" s="1"/>
  <c r="AA916" i="5" s="1"/>
  <c r="F915" i="5"/>
  <c r="E915" i="5"/>
  <c r="A915" i="5"/>
  <c r="AA915" i="5" s="1"/>
  <c r="F914" i="5"/>
  <c r="E914" i="5"/>
  <c r="A914" i="5" s="1"/>
  <c r="AA914" i="5" s="1"/>
  <c r="F913" i="5"/>
  <c r="E913" i="5"/>
  <c r="A913" i="5" s="1"/>
  <c r="F912" i="5"/>
  <c r="E912" i="5"/>
  <c r="A912" i="5" s="1"/>
  <c r="AA912" i="5" s="1"/>
  <c r="F911" i="5"/>
  <c r="E911" i="5"/>
  <c r="A911" i="5" s="1"/>
  <c r="F910" i="5"/>
  <c r="E910" i="5"/>
  <c r="A910" i="5" s="1"/>
  <c r="AA910" i="5" s="1"/>
  <c r="F909" i="5"/>
  <c r="E909" i="5"/>
  <c r="A909" i="5" s="1"/>
  <c r="F908" i="5"/>
  <c r="E908" i="5"/>
  <c r="A908" i="5" s="1"/>
  <c r="AA908" i="5" s="1"/>
  <c r="F907" i="5"/>
  <c r="E907" i="5"/>
  <c r="A907" i="5" s="1"/>
  <c r="F906" i="5"/>
  <c r="E906" i="5"/>
  <c r="A906" i="5" s="1"/>
  <c r="AA906" i="5" s="1"/>
  <c r="F905" i="5"/>
  <c r="E905" i="5"/>
  <c r="A905" i="5" s="1"/>
  <c r="F904" i="5"/>
  <c r="E904" i="5"/>
  <c r="A904" i="5" s="1"/>
  <c r="AA904" i="5" s="1"/>
  <c r="F903" i="5"/>
  <c r="E903" i="5"/>
  <c r="A903" i="5" s="1"/>
  <c r="F902" i="5"/>
  <c r="E902" i="5"/>
  <c r="A902" i="5" s="1"/>
  <c r="AA902" i="5" s="1"/>
  <c r="F901" i="5"/>
  <c r="E901" i="5"/>
  <c r="A901" i="5" s="1"/>
  <c r="F900" i="5"/>
  <c r="E900" i="5"/>
  <c r="A900" i="5" s="1"/>
  <c r="AA900" i="5" s="1"/>
  <c r="F899" i="5"/>
  <c r="E899" i="5"/>
  <c r="A899" i="5" s="1"/>
  <c r="F898" i="5"/>
  <c r="E898" i="5"/>
  <c r="A898" i="5" s="1"/>
  <c r="AA898" i="5" s="1"/>
  <c r="F897" i="5"/>
  <c r="E897" i="5"/>
  <c r="A897" i="5" s="1"/>
  <c r="F896" i="5"/>
  <c r="E896" i="5"/>
  <c r="A896" i="5" s="1"/>
  <c r="AA896" i="5" s="1"/>
  <c r="F895" i="5"/>
  <c r="E895" i="5"/>
  <c r="A895" i="5" s="1"/>
  <c r="F894" i="5"/>
  <c r="E894" i="5"/>
  <c r="A894" i="5" s="1"/>
  <c r="AA894" i="5" s="1"/>
  <c r="F893" i="5"/>
  <c r="E893" i="5"/>
  <c r="A893" i="5"/>
  <c r="F892" i="5"/>
  <c r="E892" i="5"/>
  <c r="A892" i="5" s="1"/>
  <c r="AA892" i="5" s="1"/>
  <c r="F891" i="5"/>
  <c r="E891" i="5"/>
  <c r="A891" i="5" s="1"/>
  <c r="F890" i="5"/>
  <c r="E890" i="5"/>
  <c r="A890" i="5" s="1"/>
  <c r="AA890" i="5" s="1"/>
  <c r="F889" i="5"/>
  <c r="E889" i="5"/>
  <c r="A889" i="5"/>
  <c r="F888" i="5"/>
  <c r="E888" i="5"/>
  <c r="A888" i="5" s="1"/>
  <c r="AA888" i="5" s="1"/>
  <c r="F887" i="5"/>
  <c r="E887" i="5"/>
  <c r="A887" i="5" s="1"/>
  <c r="F886" i="5"/>
  <c r="E886" i="5"/>
  <c r="A886" i="5" s="1"/>
  <c r="AA886" i="5" s="1"/>
  <c r="F885" i="5"/>
  <c r="E885" i="5"/>
  <c r="A885" i="5"/>
  <c r="F884" i="5"/>
  <c r="E884" i="5"/>
  <c r="A884" i="5" s="1"/>
  <c r="AA884" i="5" s="1"/>
  <c r="F883" i="5"/>
  <c r="E883" i="5"/>
  <c r="A883" i="5" s="1"/>
  <c r="F882" i="5"/>
  <c r="E882" i="5"/>
  <c r="A882" i="5" s="1"/>
  <c r="AA882" i="5" s="1"/>
  <c r="F881" i="5"/>
  <c r="E881" i="5"/>
  <c r="A881" i="5"/>
  <c r="AA881" i="5" s="1"/>
  <c r="F880" i="5"/>
  <c r="E880" i="5"/>
  <c r="A880" i="5" s="1"/>
  <c r="AA880" i="5" s="1"/>
  <c r="F879" i="5"/>
  <c r="E879" i="5"/>
  <c r="A879" i="5" s="1"/>
  <c r="AA879" i="5" s="1"/>
  <c r="F878" i="5"/>
  <c r="E878" i="5"/>
  <c r="A878" i="5" s="1"/>
  <c r="AA878" i="5" s="1"/>
  <c r="F877" i="5"/>
  <c r="E877" i="5"/>
  <c r="A877" i="5"/>
  <c r="AA877" i="5" s="1"/>
  <c r="F876" i="5"/>
  <c r="E876" i="5"/>
  <c r="A876" i="5" s="1"/>
  <c r="AA876" i="5" s="1"/>
  <c r="F875" i="5"/>
  <c r="E875" i="5"/>
  <c r="A875" i="5" s="1"/>
  <c r="AA875" i="5" s="1"/>
  <c r="F874" i="5"/>
  <c r="E874" i="5"/>
  <c r="A874" i="5" s="1"/>
  <c r="AA874" i="5" s="1"/>
  <c r="F873" i="5"/>
  <c r="E873" i="5"/>
  <c r="A873" i="5"/>
  <c r="AA873" i="5" s="1"/>
  <c r="F872" i="5"/>
  <c r="E872" i="5"/>
  <c r="A872" i="5" s="1"/>
  <c r="AA872" i="5" s="1"/>
  <c r="F871" i="5"/>
  <c r="E871" i="5"/>
  <c r="A871" i="5" s="1"/>
  <c r="AA871" i="5" s="1"/>
  <c r="F870" i="5"/>
  <c r="E870" i="5"/>
  <c r="A870" i="5" s="1"/>
  <c r="AA870" i="5" s="1"/>
  <c r="F869" i="5"/>
  <c r="E869" i="5"/>
  <c r="A869" i="5"/>
  <c r="AA869" i="5" s="1"/>
  <c r="F868" i="5"/>
  <c r="E868" i="5"/>
  <c r="A868" i="5" s="1"/>
  <c r="AA868" i="5" s="1"/>
  <c r="F867" i="5"/>
  <c r="E867" i="5"/>
  <c r="A867" i="5" s="1"/>
  <c r="AA867" i="5" s="1"/>
  <c r="F866" i="5"/>
  <c r="E866" i="5"/>
  <c r="A866" i="5" s="1"/>
  <c r="AA866" i="5" s="1"/>
  <c r="F865" i="5"/>
  <c r="E865" i="5"/>
  <c r="A865" i="5"/>
  <c r="AA865" i="5" s="1"/>
  <c r="F864" i="5"/>
  <c r="E864" i="5"/>
  <c r="A864" i="5" s="1"/>
  <c r="AA864" i="5" s="1"/>
  <c r="F863" i="5"/>
  <c r="E863" i="5"/>
  <c r="A863" i="5" s="1"/>
  <c r="AA863" i="5" s="1"/>
  <c r="F862" i="5"/>
  <c r="E862" i="5"/>
  <c r="A862" i="5" s="1"/>
  <c r="AA862" i="5" s="1"/>
  <c r="F861" i="5"/>
  <c r="E861" i="5"/>
  <c r="A861" i="5"/>
  <c r="AA861" i="5" s="1"/>
  <c r="F860" i="5"/>
  <c r="E860" i="5"/>
  <c r="A860" i="5" s="1"/>
  <c r="AA860" i="5" s="1"/>
  <c r="F859" i="5"/>
  <c r="E859" i="5"/>
  <c r="A859" i="5" s="1"/>
  <c r="AA859" i="5" s="1"/>
  <c r="F858" i="5"/>
  <c r="E858" i="5"/>
  <c r="A858" i="5" s="1"/>
  <c r="AA858" i="5" s="1"/>
  <c r="F857" i="5"/>
  <c r="E857" i="5"/>
  <c r="A857" i="5"/>
  <c r="AA857" i="5" s="1"/>
  <c r="F856" i="5"/>
  <c r="E856" i="5"/>
  <c r="A856" i="5" s="1"/>
  <c r="AA856" i="5" s="1"/>
  <c r="F855" i="5"/>
  <c r="E855" i="5"/>
  <c r="A855" i="5" s="1"/>
  <c r="AA855" i="5" s="1"/>
  <c r="F854" i="5"/>
  <c r="E854" i="5"/>
  <c r="A854" i="5" s="1"/>
  <c r="AA854" i="5" s="1"/>
  <c r="F853" i="5"/>
  <c r="E853" i="5"/>
  <c r="A853" i="5"/>
  <c r="AA853" i="5" s="1"/>
  <c r="F852" i="5"/>
  <c r="E852" i="5"/>
  <c r="A852" i="5" s="1"/>
  <c r="AA852" i="5" s="1"/>
  <c r="F851" i="5"/>
  <c r="E851" i="5"/>
  <c r="A851" i="5" s="1"/>
  <c r="AA851" i="5" s="1"/>
  <c r="F850" i="5"/>
  <c r="E850" i="5"/>
  <c r="A850" i="5" s="1"/>
  <c r="AA850" i="5" s="1"/>
  <c r="F849" i="5"/>
  <c r="E849" i="5"/>
  <c r="A849" i="5"/>
  <c r="AA849" i="5" s="1"/>
  <c r="F848" i="5"/>
  <c r="E848" i="5"/>
  <c r="A848" i="5" s="1"/>
  <c r="AA848" i="5" s="1"/>
  <c r="F847" i="5"/>
  <c r="E847" i="5"/>
  <c r="A847" i="5" s="1"/>
  <c r="AA847" i="5" s="1"/>
  <c r="F846" i="5"/>
  <c r="E846" i="5"/>
  <c r="A846" i="5" s="1"/>
  <c r="AA846" i="5" s="1"/>
  <c r="F845" i="5"/>
  <c r="E845" i="5"/>
  <c r="A845" i="5"/>
  <c r="AA845" i="5" s="1"/>
  <c r="F844" i="5"/>
  <c r="E844" i="5"/>
  <c r="A844" i="5" s="1"/>
  <c r="AA844" i="5" s="1"/>
  <c r="F843" i="5"/>
  <c r="E843" i="5"/>
  <c r="A843" i="5" s="1"/>
  <c r="AA843" i="5" s="1"/>
  <c r="F842" i="5"/>
  <c r="E842" i="5"/>
  <c r="A842" i="5" s="1"/>
  <c r="AA842" i="5" s="1"/>
  <c r="F841" i="5"/>
  <c r="E841" i="5"/>
  <c r="A841" i="5"/>
  <c r="AA841" i="5" s="1"/>
  <c r="F840" i="5"/>
  <c r="E840" i="5"/>
  <c r="A840" i="5" s="1"/>
  <c r="AA840" i="5" s="1"/>
  <c r="F839" i="5"/>
  <c r="E839" i="5"/>
  <c r="A839" i="5" s="1"/>
  <c r="AA839" i="5" s="1"/>
  <c r="F838" i="5"/>
  <c r="E838" i="5"/>
  <c r="A838" i="5" s="1"/>
  <c r="AA838" i="5" s="1"/>
  <c r="F837" i="5"/>
  <c r="E837" i="5"/>
  <c r="A837" i="5"/>
  <c r="AA837" i="5" s="1"/>
  <c r="F836" i="5"/>
  <c r="E836" i="5"/>
  <c r="A836" i="5" s="1"/>
  <c r="AA836" i="5" s="1"/>
  <c r="F835" i="5"/>
  <c r="E835" i="5"/>
  <c r="A835" i="5" s="1"/>
  <c r="F834" i="5"/>
  <c r="E834" i="5"/>
  <c r="A834" i="5" s="1"/>
  <c r="AA834" i="5" s="1"/>
  <c r="F833" i="5"/>
  <c r="E833" i="5"/>
  <c r="A833" i="5" s="1"/>
  <c r="F832" i="5"/>
  <c r="E832" i="5"/>
  <c r="A832" i="5" s="1"/>
  <c r="AA832" i="5" s="1"/>
  <c r="F831" i="5"/>
  <c r="E831" i="5"/>
  <c r="A831" i="5" s="1"/>
  <c r="F830" i="5"/>
  <c r="E830" i="5"/>
  <c r="A830" i="5" s="1"/>
  <c r="AA830" i="5" s="1"/>
  <c r="F829" i="5"/>
  <c r="E829" i="5"/>
  <c r="A829" i="5" s="1"/>
  <c r="F828" i="5"/>
  <c r="E828" i="5"/>
  <c r="A828" i="5" s="1"/>
  <c r="F827" i="5"/>
  <c r="E827" i="5"/>
  <c r="A827" i="5" s="1"/>
  <c r="F826" i="5"/>
  <c r="E826" i="5"/>
  <c r="A826" i="5" s="1"/>
  <c r="I826" i="5" s="1"/>
  <c r="F825" i="5"/>
  <c r="E825" i="5"/>
  <c r="A825" i="5" s="1"/>
  <c r="F824" i="5"/>
  <c r="E824" i="5"/>
  <c r="A824" i="5" s="1"/>
  <c r="I824" i="5" s="1"/>
  <c r="F823" i="5"/>
  <c r="E823" i="5"/>
  <c r="A823" i="5" s="1"/>
  <c r="F822" i="5"/>
  <c r="E822" i="5"/>
  <c r="A822" i="5" s="1"/>
  <c r="I822" i="5" s="1"/>
  <c r="F821" i="5"/>
  <c r="E821" i="5"/>
  <c r="A821" i="5" s="1"/>
  <c r="F820" i="5"/>
  <c r="E820" i="5"/>
  <c r="A820" i="5" s="1"/>
  <c r="I820" i="5" s="1"/>
  <c r="F819" i="5"/>
  <c r="E819" i="5"/>
  <c r="A819" i="5" s="1"/>
  <c r="F818" i="5"/>
  <c r="E818" i="5"/>
  <c r="A818" i="5" s="1"/>
  <c r="I818" i="5" s="1"/>
  <c r="F817" i="5"/>
  <c r="E817" i="5"/>
  <c r="A817" i="5" s="1"/>
  <c r="F816" i="5"/>
  <c r="E816" i="5"/>
  <c r="A816" i="5" s="1"/>
  <c r="I816" i="5" s="1"/>
  <c r="F815" i="5"/>
  <c r="E815" i="5"/>
  <c r="A815" i="5" s="1"/>
  <c r="F814" i="5"/>
  <c r="E814" i="5"/>
  <c r="A814" i="5" s="1"/>
  <c r="I814" i="5" s="1"/>
  <c r="F813" i="5"/>
  <c r="E813" i="5"/>
  <c r="A813" i="5"/>
  <c r="B813" i="5" s="1"/>
  <c r="C813" i="5" s="1"/>
  <c r="D813" i="5" s="1"/>
  <c r="F812" i="5"/>
  <c r="E812" i="5"/>
  <c r="A812" i="5" s="1"/>
  <c r="I812" i="5" s="1"/>
  <c r="F811" i="5"/>
  <c r="E811" i="5"/>
  <c r="A811" i="5"/>
  <c r="B811" i="5" s="1"/>
  <c r="C811" i="5" s="1"/>
  <c r="D811" i="5" s="1"/>
  <c r="F810" i="5"/>
  <c r="E810" i="5"/>
  <c r="A810" i="5" s="1"/>
  <c r="I810" i="5" s="1"/>
  <c r="F809" i="5"/>
  <c r="E809" i="5"/>
  <c r="A809" i="5" s="1"/>
  <c r="AA809" i="5" s="1"/>
  <c r="F808" i="5"/>
  <c r="E808" i="5"/>
  <c r="A808" i="5" s="1"/>
  <c r="I808" i="5" s="1"/>
  <c r="F807" i="5"/>
  <c r="E807" i="5"/>
  <c r="A807" i="5"/>
  <c r="AA807" i="5" s="1"/>
  <c r="F806" i="5"/>
  <c r="E806" i="5"/>
  <c r="A806" i="5" s="1"/>
  <c r="I806" i="5" s="1"/>
  <c r="F805" i="5"/>
  <c r="E805" i="5"/>
  <c r="A805" i="5" s="1"/>
  <c r="AA805" i="5" s="1"/>
  <c r="F804" i="5"/>
  <c r="E804" i="5"/>
  <c r="A804" i="5" s="1"/>
  <c r="I804" i="5" s="1"/>
  <c r="F803" i="5"/>
  <c r="E803" i="5"/>
  <c r="A803" i="5"/>
  <c r="AA803" i="5" s="1"/>
  <c r="F802" i="5"/>
  <c r="E802" i="5"/>
  <c r="A802" i="5" s="1"/>
  <c r="I802" i="5" s="1"/>
  <c r="F801" i="5"/>
  <c r="E801" i="5"/>
  <c r="A801" i="5" s="1"/>
  <c r="AA801" i="5" s="1"/>
  <c r="F800" i="5"/>
  <c r="E800" i="5"/>
  <c r="A800" i="5" s="1"/>
  <c r="I800" i="5" s="1"/>
  <c r="F799" i="5"/>
  <c r="E799" i="5"/>
  <c r="A799" i="5"/>
  <c r="AA799" i="5" s="1"/>
  <c r="F798" i="5"/>
  <c r="E798" i="5"/>
  <c r="A798" i="5" s="1"/>
  <c r="I798" i="5" s="1"/>
  <c r="F797" i="5"/>
  <c r="E797" i="5"/>
  <c r="A797" i="5" s="1"/>
  <c r="AA797" i="5" s="1"/>
  <c r="F796" i="5"/>
  <c r="E796" i="5"/>
  <c r="A796" i="5" s="1"/>
  <c r="I796" i="5" s="1"/>
  <c r="F795" i="5"/>
  <c r="E795" i="5"/>
  <c r="A795" i="5"/>
  <c r="AA795" i="5" s="1"/>
  <c r="F794" i="5"/>
  <c r="E794" i="5"/>
  <c r="A794" i="5" s="1"/>
  <c r="I794" i="5" s="1"/>
  <c r="F793" i="5"/>
  <c r="E793" i="5"/>
  <c r="A793" i="5" s="1"/>
  <c r="AA793" i="5" s="1"/>
  <c r="F792" i="5"/>
  <c r="E792" i="5"/>
  <c r="A792" i="5" s="1"/>
  <c r="I792" i="5" s="1"/>
  <c r="F791" i="5"/>
  <c r="E791" i="5"/>
  <c r="A791" i="5"/>
  <c r="AA791" i="5" s="1"/>
  <c r="F790" i="5"/>
  <c r="E790" i="5"/>
  <c r="A790" i="5" s="1"/>
  <c r="I790" i="5" s="1"/>
  <c r="F789" i="5"/>
  <c r="E789" i="5"/>
  <c r="A789" i="5" s="1"/>
  <c r="AA789" i="5" s="1"/>
  <c r="F788" i="5"/>
  <c r="E788" i="5"/>
  <c r="A788" i="5" s="1"/>
  <c r="I788" i="5" s="1"/>
  <c r="F787" i="5"/>
  <c r="E787" i="5"/>
  <c r="A787" i="5"/>
  <c r="AA787" i="5" s="1"/>
  <c r="F786" i="5"/>
  <c r="E786" i="5"/>
  <c r="A786" i="5" s="1"/>
  <c r="I786" i="5" s="1"/>
  <c r="F785" i="5"/>
  <c r="E785" i="5"/>
  <c r="A785" i="5" s="1"/>
  <c r="AA785" i="5" s="1"/>
  <c r="F784" i="5"/>
  <c r="E784" i="5"/>
  <c r="A784" i="5" s="1"/>
  <c r="I784" i="5" s="1"/>
  <c r="F783" i="5"/>
  <c r="E783" i="5"/>
  <c r="A783" i="5"/>
  <c r="AA783" i="5" s="1"/>
  <c r="F782" i="5"/>
  <c r="E782" i="5"/>
  <c r="A782" i="5" s="1"/>
  <c r="I782" i="5" s="1"/>
  <c r="F781" i="5"/>
  <c r="E781" i="5"/>
  <c r="A781" i="5" s="1"/>
  <c r="AA781" i="5" s="1"/>
  <c r="F780" i="5"/>
  <c r="E780" i="5"/>
  <c r="A780" i="5" s="1"/>
  <c r="I780" i="5" s="1"/>
  <c r="F779" i="5"/>
  <c r="E779" i="5"/>
  <c r="A779" i="5"/>
  <c r="AA779" i="5" s="1"/>
  <c r="F778" i="5"/>
  <c r="E778" i="5"/>
  <c r="A778" i="5" s="1"/>
  <c r="I778" i="5" s="1"/>
  <c r="F777" i="5"/>
  <c r="E777" i="5"/>
  <c r="A777" i="5" s="1"/>
  <c r="AA777" i="5" s="1"/>
  <c r="F776" i="5"/>
  <c r="E776" i="5"/>
  <c r="A776" i="5" s="1"/>
  <c r="I776" i="5" s="1"/>
  <c r="F775" i="5"/>
  <c r="E775" i="5"/>
  <c r="A775" i="5"/>
  <c r="AA775" i="5" s="1"/>
  <c r="F774" i="5"/>
  <c r="E774" i="5"/>
  <c r="A774" i="5" s="1"/>
  <c r="I774" i="5" s="1"/>
  <c r="F773" i="5"/>
  <c r="E773" i="5"/>
  <c r="A773" i="5" s="1"/>
  <c r="AA773" i="5" s="1"/>
  <c r="F772" i="5"/>
  <c r="E772" i="5"/>
  <c r="A772" i="5" s="1"/>
  <c r="I772" i="5" s="1"/>
  <c r="F771" i="5"/>
  <c r="E771" i="5"/>
  <c r="A771" i="5"/>
  <c r="AA771" i="5" s="1"/>
  <c r="F770" i="5"/>
  <c r="E770" i="5"/>
  <c r="A770" i="5" s="1"/>
  <c r="I770" i="5" s="1"/>
  <c r="F769" i="5"/>
  <c r="E769" i="5"/>
  <c r="A769" i="5" s="1"/>
  <c r="AA769" i="5" s="1"/>
  <c r="F768" i="5"/>
  <c r="E768" i="5"/>
  <c r="A768" i="5" s="1"/>
  <c r="I768" i="5" s="1"/>
  <c r="F767" i="5"/>
  <c r="E767" i="5"/>
  <c r="A767" i="5"/>
  <c r="AA767" i="5" s="1"/>
  <c r="F766" i="5"/>
  <c r="E766" i="5"/>
  <c r="A766" i="5" s="1"/>
  <c r="I766" i="5" s="1"/>
  <c r="F765" i="5"/>
  <c r="E765" i="5"/>
  <c r="A765" i="5" s="1"/>
  <c r="AA765" i="5" s="1"/>
  <c r="F764" i="5"/>
  <c r="E764" i="5"/>
  <c r="A764" i="5" s="1"/>
  <c r="I764" i="5" s="1"/>
  <c r="F763" i="5"/>
  <c r="E763" i="5"/>
  <c r="A763" i="5"/>
  <c r="AA763" i="5" s="1"/>
  <c r="F762" i="5"/>
  <c r="E762" i="5"/>
  <c r="A762" i="5" s="1"/>
  <c r="I762" i="5" s="1"/>
  <c r="F761" i="5"/>
  <c r="E761" i="5"/>
  <c r="A761" i="5" s="1"/>
  <c r="AA761" i="5" s="1"/>
  <c r="F760" i="5"/>
  <c r="E760" i="5"/>
  <c r="A760" i="5" s="1"/>
  <c r="I760" i="5" s="1"/>
  <c r="F759" i="5"/>
  <c r="E759" i="5"/>
  <c r="A759" i="5"/>
  <c r="AA759" i="5" s="1"/>
  <c r="F758" i="5"/>
  <c r="E758" i="5"/>
  <c r="A758" i="5" s="1"/>
  <c r="I758" i="5" s="1"/>
  <c r="F757" i="5"/>
  <c r="E757" i="5"/>
  <c r="A757" i="5" s="1"/>
  <c r="AA757" i="5" s="1"/>
  <c r="F756" i="5"/>
  <c r="E756" i="5"/>
  <c r="A756" i="5" s="1"/>
  <c r="I756" i="5" s="1"/>
  <c r="F755" i="5"/>
  <c r="E755" i="5"/>
  <c r="A755" i="5"/>
  <c r="AA755" i="5" s="1"/>
  <c r="F754" i="5"/>
  <c r="E754" i="5"/>
  <c r="A754" i="5" s="1"/>
  <c r="I754" i="5" s="1"/>
  <c r="F753" i="5"/>
  <c r="E753" i="5"/>
  <c r="A753" i="5" s="1"/>
  <c r="AA753" i="5" s="1"/>
  <c r="F752" i="5"/>
  <c r="E752" i="5"/>
  <c r="A752" i="5" s="1"/>
  <c r="I752" i="5" s="1"/>
  <c r="F751" i="5"/>
  <c r="E751" i="5"/>
  <c r="A751" i="5"/>
  <c r="AA751" i="5" s="1"/>
  <c r="F750" i="5"/>
  <c r="E750" i="5"/>
  <c r="A750" i="5" s="1"/>
  <c r="I750" i="5" s="1"/>
  <c r="F749" i="5"/>
  <c r="E749" i="5"/>
  <c r="A749" i="5" s="1"/>
  <c r="AA749" i="5" s="1"/>
  <c r="F748" i="5"/>
  <c r="E748" i="5"/>
  <c r="A748" i="5" s="1"/>
  <c r="I748" i="5" s="1"/>
  <c r="F747" i="5"/>
  <c r="E747" i="5"/>
  <c r="A747" i="5"/>
  <c r="AA747" i="5" s="1"/>
  <c r="F746" i="5"/>
  <c r="E746" i="5"/>
  <c r="A746" i="5" s="1"/>
  <c r="I746" i="5" s="1"/>
  <c r="F745" i="5"/>
  <c r="E745" i="5"/>
  <c r="A745" i="5" s="1"/>
  <c r="AA745" i="5" s="1"/>
  <c r="F744" i="5"/>
  <c r="E744" i="5"/>
  <c r="A744" i="5" s="1"/>
  <c r="I744" i="5" s="1"/>
  <c r="F743" i="5"/>
  <c r="E743" i="5"/>
  <c r="A743" i="5"/>
  <c r="AA743" i="5" s="1"/>
  <c r="F742" i="5"/>
  <c r="E742" i="5"/>
  <c r="A742" i="5" s="1"/>
  <c r="I742" i="5" s="1"/>
  <c r="F741" i="5"/>
  <c r="E741" i="5"/>
  <c r="A741" i="5" s="1"/>
  <c r="AA741" i="5" s="1"/>
  <c r="F740" i="5"/>
  <c r="E740" i="5"/>
  <c r="A740" i="5" s="1"/>
  <c r="I740" i="5" s="1"/>
  <c r="F739" i="5"/>
  <c r="E739" i="5"/>
  <c r="A739" i="5"/>
  <c r="AA739" i="5" s="1"/>
  <c r="F738" i="5"/>
  <c r="E738" i="5"/>
  <c r="A738" i="5" s="1"/>
  <c r="I738" i="5" s="1"/>
  <c r="F737" i="5"/>
  <c r="E737" i="5"/>
  <c r="A737" i="5" s="1"/>
  <c r="AA737" i="5" s="1"/>
  <c r="F736" i="5"/>
  <c r="E736" i="5"/>
  <c r="A736" i="5" s="1"/>
  <c r="I736" i="5" s="1"/>
  <c r="F735" i="5"/>
  <c r="E735" i="5"/>
  <c r="A735" i="5"/>
  <c r="AA735" i="5" s="1"/>
  <c r="F734" i="5"/>
  <c r="E734" i="5"/>
  <c r="A734" i="5" s="1"/>
  <c r="I734" i="5" s="1"/>
  <c r="F733" i="5"/>
  <c r="E733" i="5"/>
  <c r="A733" i="5" s="1"/>
  <c r="AA733" i="5" s="1"/>
  <c r="F732" i="5"/>
  <c r="E732" i="5"/>
  <c r="A732" i="5" s="1"/>
  <c r="I732" i="5" s="1"/>
  <c r="F731" i="5"/>
  <c r="E731" i="5"/>
  <c r="A731" i="5"/>
  <c r="AA731" i="5" s="1"/>
  <c r="F730" i="5"/>
  <c r="E730" i="5"/>
  <c r="A730" i="5" s="1"/>
  <c r="I730" i="5" s="1"/>
  <c r="F729" i="5"/>
  <c r="E729" i="5"/>
  <c r="A729" i="5" s="1"/>
  <c r="AA729" i="5" s="1"/>
  <c r="F728" i="5"/>
  <c r="E728" i="5"/>
  <c r="A728" i="5" s="1"/>
  <c r="I728" i="5" s="1"/>
  <c r="F727" i="5"/>
  <c r="E727" i="5"/>
  <c r="A727" i="5"/>
  <c r="AA727" i="5" s="1"/>
  <c r="F726" i="5"/>
  <c r="E726" i="5"/>
  <c r="A726" i="5" s="1"/>
  <c r="I726" i="5" s="1"/>
  <c r="F725" i="5"/>
  <c r="E725" i="5"/>
  <c r="A725" i="5" s="1"/>
  <c r="AA725" i="5" s="1"/>
  <c r="F724" i="5"/>
  <c r="E724" i="5"/>
  <c r="A724" i="5" s="1"/>
  <c r="I724" i="5" s="1"/>
  <c r="F723" i="5"/>
  <c r="E723" i="5"/>
  <c r="A723" i="5"/>
  <c r="AA723" i="5" s="1"/>
  <c r="F722" i="5"/>
  <c r="E722" i="5"/>
  <c r="A722" i="5" s="1"/>
  <c r="I722" i="5" s="1"/>
  <c r="F721" i="5"/>
  <c r="E721" i="5"/>
  <c r="A721" i="5" s="1"/>
  <c r="AA721" i="5" s="1"/>
  <c r="F720" i="5"/>
  <c r="E720" i="5"/>
  <c r="A720" i="5" s="1"/>
  <c r="I720" i="5" s="1"/>
  <c r="F719" i="5"/>
  <c r="E719" i="5"/>
  <c r="A719" i="5" s="1"/>
  <c r="AA719" i="5" s="1"/>
  <c r="F718" i="5"/>
  <c r="E718" i="5"/>
  <c r="A718" i="5"/>
  <c r="AA718" i="5" s="1"/>
  <c r="F717" i="5"/>
  <c r="E717" i="5"/>
  <c r="A717" i="5" s="1"/>
  <c r="AA717" i="5" s="1"/>
  <c r="F716" i="5"/>
  <c r="E716" i="5"/>
  <c r="A716" i="5" s="1"/>
  <c r="AA716" i="5" s="1"/>
  <c r="F715" i="5"/>
  <c r="E715" i="5"/>
  <c r="A715" i="5" s="1"/>
  <c r="AA715" i="5" s="1"/>
  <c r="F714" i="5"/>
  <c r="E714" i="5"/>
  <c r="A714" i="5" s="1"/>
  <c r="AA714" i="5" s="1"/>
  <c r="F713" i="5"/>
  <c r="E713" i="5"/>
  <c r="A713" i="5" s="1"/>
  <c r="AA713" i="5" s="1"/>
  <c r="F712" i="5"/>
  <c r="E712" i="5"/>
  <c r="A712" i="5" s="1"/>
  <c r="AA712" i="5" s="1"/>
  <c r="F711" i="5"/>
  <c r="E711" i="5"/>
  <c r="A711" i="5" s="1"/>
  <c r="AA711" i="5" s="1"/>
  <c r="F710" i="5"/>
  <c r="E710" i="5"/>
  <c r="A710" i="5"/>
  <c r="AA710" i="5" s="1"/>
  <c r="F709" i="5"/>
  <c r="E709" i="5"/>
  <c r="A709" i="5" s="1"/>
  <c r="AA709" i="5" s="1"/>
  <c r="F708" i="5"/>
  <c r="E708" i="5"/>
  <c r="A708" i="5" s="1"/>
  <c r="AA708" i="5" s="1"/>
  <c r="F707" i="5"/>
  <c r="E707" i="5"/>
  <c r="A707" i="5" s="1"/>
  <c r="AA707" i="5" s="1"/>
  <c r="F706" i="5"/>
  <c r="E706" i="5"/>
  <c r="A706" i="5" s="1"/>
  <c r="AA706" i="5" s="1"/>
  <c r="F705" i="5"/>
  <c r="E705" i="5"/>
  <c r="A705" i="5" s="1"/>
  <c r="AA705" i="5" s="1"/>
  <c r="F704" i="5"/>
  <c r="E704" i="5"/>
  <c r="A704" i="5" s="1"/>
  <c r="AA704" i="5" s="1"/>
  <c r="F703" i="5"/>
  <c r="E703" i="5"/>
  <c r="A703" i="5" s="1"/>
  <c r="AA703" i="5" s="1"/>
  <c r="F702" i="5"/>
  <c r="E702" i="5"/>
  <c r="A702" i="5"/>
  <c r="AA702" i="5" s="1"/>
  <c r="F701" i="5"/>
  <c r="E701" i="5"/>
  <c r="A701" i="5" s="1"/>
  <c r="AA701" i="5" s="1"/>
  <c r="F700" i="5"/>
  <c r="E700" i="5"/>
  <c r="A700" i="5" s="1"/>
  <c r="AA700" i="5" s="1"/>
  <c r="F699" i="5"/>
  <c r="E699" i="5"/>
  <c r="A699" i="5" s="1"/>
  <c r="AA699" i="5" s="1"/>
  <c r="F698" i="5"/>
  <c r="E698" i="5"/>
  <c r="A698" i="5" s="1"/>
  <c r="AA698" i="5" s="1"/>
  <c r="F697" i="5"/>
  <c r="E697" i="5"/>
  <c r="A697" i="5" s="1"/>
  <c r="AA697" i="5" s="1"/>
  <c r="F696" i="5"/>
  <c r="E696" i="5"/>
  <c r="A696" i="5" s="1"/>
  <c r="AA696" i="5" s="1"/>
  <c r="F695" i="5"/>
  <c r="E695" i="5"/>
  <c r="A695" i="5" s="1"/>
  <c r="AA695" i="5" s="1"/>
  <c r="F694" i="5"/>
  <c r="E694" i="5"/>
  <c r="A694" i="5"/>
  <c r="AA694" i="5" s="1"/>
  <c r="F693" i="5"/>
  <c r="E693" i="5"/>
  <c r="A693" i="5" s="1"/>
  <c r="AA693" i="5" s="1"/>
  <c r="F692" i="5"/>
  <c r="E692" i="5"/>
  <c r="A692" i="5" s="1"/>
  <c r="AA692" i="5" s="1"/>
  <c r="F691" i="5"/>
  <c r="E691" i="5"/>
  <c r="A691" i="5" s="1"/>
  <c r="AA691" i="5" s="1"/>
  <c r="F690" i="5"/>
  <c r="E690" i="5"/>
  <c r="A690" i="5" s="1"/>
  <c r="AA690" i="5" s="1"/>
  <c r="F689" i="5"/>
  <c r="E689" i="5"/>
  <c r="A689" i="5" s="1"/>
  <c r="AA689" i="5" s="1"/>
  <c r="F688" i="5"/>
  <c r="E688" i="5"/>
  <c r="A688" i="5" s="1"/>
  <c r="AA688" i="5" s="1"/>
  <c r="F687" i="5"/>
  <c r="E687" i="5"/>
  <c r="A687" i="5" s="1"/>
  <c r="AA687" i="5" s="1"/>
  <c r="F686" i="5"/>
  <c r="E686" i="5"/>
  <c r="A686" i="5"/>
  <c r="AA686" i="5" s="1"/>
  <c r="F685" i="5"/>
  <c r="E685" i="5"/>
  <c r="A685" i="5" s="1"/>
  <c r="AA685" i="5" s="1"/>
  <c r="F684" i="5"/>
  <c r="E684" i="5"/>
  <c r="A684" i="5" s="1"/>
  <c r="AA684" i="5" s="1"/>
  <c r="F683" i="5"/>
  <c r="E683" i="5"/>
  <c r="A683" i="5" s="1"/>
  <c r="AA683" i="5" s="1"/>
  <c r="F682" i="5"/>
  <c r="E682" i="5"/>
  <c r="A682" i="5" s="1"/>
  <c r="AA682" i="5" s="1"/>
  <c r="F681" i="5"/>
  <c r="E681" i="5"/>
  <c r="A681" i="5" s="1"/>
  <c r="AA681" i="5" s="1"/>
  <c r="F680" i="5"/>
  <c r="E680" i="5"/>
  <c r="A680" i="5" s="1"/>
  <c r="AA680" i="5" s="1"/>
  <c r="F679" i="5"/>
  <c r="E679" i="5"/>
  <c r="A679" i="5" s="1"/>
  <c r="AA679" i="5" s="1"/>
  <c r="F678" i="5"/>
  <c r="E678" i="5"/>
  <c r="A678" i="5"/>
  <c r="AA678" i="5" s="1"/>
  <c r="F677" i="5"/>
  <c r="E677" i="5"/>
  <c r="A677" i="5" s="1"/>
  <c r="AA677" i="5" s="1"/>
  <c r="F676" i="5"/>
  <c r="E676" i="5"/>
  <c r="A676" i="5" s="1"/>
  <c r="AA676" i="5" s="1"/>
  <c r="F675" i="5"/>
  <c r="E675" i="5"/>
  <c r="A675" i="5" s="1"/>
  <c r="AA675" i="5" s="1"/>
  <c r="F674" i="5"/>
  <c r="E674" i="5"/>
  <c r="A674" i="5" s="1"/>
  <c r="AA674" i="5" s="1"/>
  <c r="F673" i="5"/>
  <c r="E673" i="5"/>
  <c r="A673" i="5" s="1"/>
  <c r="AA673" i="5" s="1"/>
  <c r="F672" i="5"/>
  <c r="E672" i="5"/>
  <c r="A672" i="5" s="1"/>
  <c r="AA672" i="5" s="1"/>
  <c r="F671" i="5"/>
  <c r="E671" i="5"/>
  <c r="A671" i="5" s="1"/>
  <c r="AA671" i="5" s="1"/>
  <c r="F670" i="5"/>
  <c r="E670" i="5"/>
  <c r="A670" i="5" s="1"/>
  <c r="F669" i="5"/>
  <c r="E669" i="5"/>
  <c r="A669" i="5" s="1"/>
  <c r="AA669" i="5" s="1"/>
  <c r="F668" i="5"/>
  <c r="E668" i="5"/>
  <c r="A668" i="5"/>
  <c r="H668" i="5" s="1"/>
  <c r="F667" i="5"/>
  <c r="E667" i="5"/>
  <c r="A667" i="5" s="1"/>
  <c r="AA667" i="5" s="1"/>
  <c r="F666" i="5"/>
  <c r="E666" i="5"/>
  <c r="A666" i="5" s="1"/>
  <c r="F665" i="5"/>
  <c r="E665" i="5"/>
  <c r="A665" i="5" s="1"/>
  <c r="AA665" i="5" s="1"/>
  <c r="F664" i="5"/>
  <c r="E664" i="5"/>
  <c r="A664" i="5" s="1"/>
  <c r="H664" i="5" s="1"/>
  <c r="F663" i="5"/>
  <c r="E663" i="5"/>
  <c r="A663" i="5" s="1"/>
  <c r="AA663" i="5" s="1"/>
  <c r="F662" i="5"/>
  <c r="E662" i="5"/>
  <c r="A662" i="5" s="1"/>
  <c r="F661" i="5"/>
  <c r="E661" i="5"/>
  <c r="A661" i="5" s="1"/>
  <c r="AA661" i="5" s="1"/>
  <c r="F660" i="5"/>
  <c r="E660" i="5"/>
  <c r="A660" i="5" s="1"/>
  <c r="H660" i="5" s="1"/>
  <c r="F659" i="5"/>
  <c r="E659" i="5"/>
  <c r="A659" i="5" s="1"/>
  <c r="AA659" i="5" s="1"/>
  <c r="F658" i="5"/>
  <c r="E658" i="5"/>
  <c r="A658" i="5" s="1"/>
  <c r="F657" i="5"/>
  <c r="E657" i="5"/>
  <c r="A657" i="5" s="1"/>
  <c r="AA657" i="5" s="1"/>
  <c r="F656" i="5"/>
  <c r="E656" i="5"/>
  <c r="A656" i="5" s="1"/>
  <c r="H656" i="5" s="1"/>
  <c r="F655" i="5"/>
  <c r="E655" i="5"/>
  <c r="A655" i="5" s="1"/>
  <c r="AA655" i="5" s="1"/>
  <c r="F654" i="5"/>
  <c r="E654" i="5"/>
  <c r="A654" i="5" s="1"/>
  <c r="F653" i="5"/>
  <c r="E653" i="5"/>
  <c r="A653" i="5" s="1"/>
  <c r="AA653" i="5" s="1"/>
  <c r="F652" i="5"/>
  <c r="E652" i="5"/>
  <c r="A652" i="5"/>
  <c r="H652" i="5" s="1"/>
  <c r="F651" i="5"/>
  <c r="E651" i="5"/>
  <c r="A651" i="5" s="1"/>
  <c r="AA651" i="5" s="1"/>
  <c r="F650" i="5"/>
  <c r="E650" i="5"/>
  <c r="A650" i="5" s="1"/>
  <c r="F649" i="5"/>
  <c r="E649" i="5"/>
  <c r="A649" i="5" s="1"/>
  <c r="AA649" i="5" s="1"/>
  <c r="F648" i="5"/>
  <c r="E648" i="5"/>
  <c r="A648" i="5" s="1"/>
  <c r="H648" i="5" s="1"/>
  <c r="F647" i="5"/>
  <c r="E647" i="5"/>
  <c r="A647" i="5" s="1"/>
  <c r="AA647" i="5" s="1"/>
  <c r="F646" i="5"/>
  <c r="E646" i="5"/>
  <c r="A646" i="5" s="1"/>
  <c r="F645" i="5"/>
  <c r="E645" i="5"/>
  <c r="A645" i="5" s="1"/>
  <c r="AA645" i="5" s="1"/>
  <c r="F644" i="5"/>
  <c r="E644" i="5"/>
  <c r="A644" i="5" s="1"/>
  <c r="H644" i="5" s="1"/>
  <c r="F643" i="5"/>
  <c r="E643" i="5"/>
  <c r="A643" i="5" s="1"/>
  <c r="AA643" i="5" s="1"/>
  <c r="F642" i="5"/>
  <c r="E642" i="5"/>
  <c r="A642" i="5" s="1"/>
  <c r="F641" i="5"/>
  <c r="E641" i="5"/>
  <c r="A641" i="5" s="1"/>
  <c r="AA641" i="5" s="1"/>
  <c r="F640" i="5"/>
  <c r="E640" i="5"/>
  <c r="A640" i="5" s="1"/>
  <c r="H640" i="5" s="1"/>
  <c r="F639" i="5"/>
  <c r="E639" i="5"/>
  <c r="A639" i="5" s="1"/>
  <c r="AA639" i="5" s="1"/>
  <c r="F638" i="5"/>
  <c r="E638" i="5"/>
  <c r="A638" i="5" s="1"/>
  <c r="F637" i="5"/>
  <c r="E637" i="5"/>
  <c r="A637" i="5" s="1"/>
  <c r="AA637" i="5" s="1"/>
  <c r="F636" i="5"/>
  <c r="E636" i="5"/>
  <c r="A636" i="5"/>
  <c r="H636" i="5" s="1"/>
  <c r="F635" i="5"/>
  <c r="E635" i="5"/>
  <c r="A635" i="5" s="1"/>
  <c r="AA635" i="5" s="1"/>
  <c r="F634" i="5"/>
  <c r="E634" i="5"/>
  <c r="A634" i="5" s="1"/>
  <c r="F633" i="5"/>
  <c r="E633" i="5"/>
  <c r="A633" i="5" s="1"/>
  <c r="AA633" i="5" s="1"/>
  <c r="F632" i="5"/>
  <c r="E632" i="5"/>
  <c r="A632" i="5" s="1"/>
  <c r="H632" i="5" s="1"/>
  <c r="F631" i="5"/>
  <c r="E631" i="5"/>
  <c r="A631" i="5" s="1"/>
  <c r="AA631" i="5" s="1"/>
  <c r="F630" i="5"/>
  <c r="E630" i="5"/>
  <c r="A630" i="5" s="1"/>
  <c r="F629" i="5"/>
  <c r="E629" i="5"/>
  <c r="A629" i="5" s="1"/>
  <c r="AA629" i="5" s="1"/>
  <c r="F628" i="5"/>
  <c r="E628" i="5"/>
  <c r="A628" i="5" s="1"/>
  <c r="H628" i="5" s="1"/>
  <c r="F627" i="5"/>
  <c r="E627" i="5"/>
  <c r="A627" i="5" s="1"/>
  <c r="AA627" i="5" s="1"/>
  <c r="F626" i="5"/>
  <c r="E626" i="5"/>
  <c r="A626" i="5" s="1"/>
  <c r="F625" i="5"/>
  <c r="E625" i="5"/>
  <c r="A625" i="5" s="1"/>
  <c r="AA625" i="5" s="1"/>
  <c r="F624" i="5"/>
  <c r="E624" i="5"/>
  <c r="A624" i="5" s="1"/>
  <c r="H624" i="5" s="1"/>
  <c r="F623" i="5"/>
  <c r="E623" i="5"/>
  <c r="A623" i="5" s="1"/>
  <c r="AA623" i="5" s="1"/>
  <c r="F622" i="5"/>
  <c r="E622" i="5"/>
  <c r="A622" i="5" s="1"/>
  <c r="F621" i="5"/>
  <c r="E621" i="5"/>
  <c r="A621" i="5" s="1"/>
  <c r="AA621" i="5" s="1"/>
  <c r="F620" i="5"/>
  <c r="E620" i="5"/>
  <c r="A620" i="5"/>
  <c r="H620" i="5" s="1"/>
  <c r="F619" i="5"/>
  <c r="E619" i="5"/>
  <c r="A619" i="5" s="1"/>
  <c r="AA619" i="5" s="1"/>
  <c r="F618" i="5"/>
  <c r="E618" i="5"/>
  <c r="A618" i="5" s="1"/>
  <c r="F617" i="5"/>
  <c r="E617" i="5"/>
  <c r="A617" i="5" s="1"/>
  <c r="AA617" i="5" s="1"/>
  <c r="F616" i="5"/>
  <c r="E616" i="5"/>
  <c r="A616" i="5" s="1"/>
  <c r="H616" i="5" s="1"/>
  <c r="F615" i="5"/>
  <c r="E615" i="5"/>
  <c r="A615" i="5" s="1"/>
  <c r="AA615" i="5" s="1"/>
  <c r="F614" i="5"/>
  <c r="E614" i="5"/>
  <c r="A614" i="5" s="1"/>
  <c r="F613" i="5"/>
  <c r="E613" i="5"/>
  <c r="A613" i="5" s="1"/>
  <c r="AA613" i="5" s="1"/>
  <c r="F612" i="5"/>
  <c r="E612" i="5"/>
  <c r="A612" i="5" s="1"/>
  <c r="H612" i="5" s="1"/>
  <c r="F611" i="5"/>
  <c r="E611" i="5"/>
  <c r="A611" i="5" s="1"/>
  <c r="AA611" i="5" s="1"/>
  <c r="F610" i="5"/>
  <c r="E610" i="5"/>
  <c r="A610" i="5" s="1"/>
  <c r="F609" i="5"/>
  <c r="E609" i="5"/>
  <c r="A609" i="5" s="1"/>
  <c r="AA609" i="5" s="1"/>
  <c r="F608" i="5"/>
  <c r="E608" i="5"/>
  <c r="A608" i="5" s="1"/>
  <c r="H608" i="5" s="1"/>
  <c r="F607" i="5"/>
  <c r="E607" i="5"/>
  <c r="A607" i="5" s="1"/>
  <c r="AA607" i="5" s="1"/>
  <c r="F606" i="5"/>
  <c r="E606" i="5"/>
  <c r="A606" i="5" s="1"/>
  <c r="F605" i="5"/>
  <c r="E605" i="5"/>
  <c r="A605" i="5" s="1"/>
  <c r="AA605" i="5" s="1"/>
  <c r="F604" i="5"/>
  <c r="E604" i="5"/>
  <c r="A604" i="5"/>
  <c r="H604" i="5" s="1"/>
  <c r="F603" i="5"/>
  <c r="E603" i="5"/>
  <c r="A603" i="5" s="1"/>
  <c r="AA603" i="5" s="1"/>
  <c r="F602" i="5"/>
  <c r="E602" i="5"/>
  <c r="A602" i="5" s="1"/>
  <c r="F601" i="5"/>
  <c r="E601" i="5"/>
  <c r="A601" i="5" s="1"/>
  <c r="AA601" i="5" s="1"/>
  <c r="F600" i="5"/>
  <c r="E600" i="5"/>
  <c r="A600" i="5" s="1"/>
  <c r="H600" i="5" s="1"/>
  <c r="F599" i="5"/>
  <c r="E599" i="5"/>
  <c r="A599" i="5" s="1"/>
  <c r="AA599" i="5" s="1"/>
  <c r="F598" i="5"/>
  <c r="E598" i="5"/>
  <c r="A598" i="5" s="1"/>
  <c r="F597" i="5"/>
  <c r="E597" i="5"/>
  <c r="A597" i="5" s="1"/>
  <c r="AA597" i="5" s="1"/>
  <c r="F596" i="5"/>
  <c r="E596" i="5"/>
  <c r="A596" i="5" s="1"/>
  <c r="H596" i="5" s="1"/>
  <c r="F595" i="5"/>
  <c r="E595" i="5"/>
  <c r="A595" i="5" s="1"/>
  <c r="AA595" i="5" s="1"/>
  <c r="F594" i="5"/>
  <c r="E594" i="5"/>
  <c r="A594" i="5" s="1"/>
  <c r="F593" i="5"/>
  <c r="E593" i="5"/>
  <c r="A593" i="5" s="1"/>
  <c r="AA593" i="5" s="1"/>
  <c r="F592" i="5"/>
  <c r="E592" i="5"/>
  <c r="A592" i="5" s="1"/>
  <c r="H592" i="5" s="1"/>
  <c r="F591" i="5"/>
  <c r="E591" i="5"/>
  <c r="A591" i="5" s="1"/>
  <c r="AA591" i="5" s="1"/>
  <c r="F590" i="5"/>
  <c r="E590" i="5"/>
  <c r="A590" i="5" s="1"/>
  <c r="F589" i="5"/>
  <c r="E589" i="5"/>
  <c r="A589" i="5" s="1"/>
  <c r="AA589" i="5" s="1"/>
  <c r="F588" i="5"/>
  <c r="E588" i="5"/>
  <c r="A588" i="5"/>
  <c r="H588" i="5" s="1"/>
  <c r="F587" i="5"/>
  <c r="E587" i="5"/>
  <c r="A587" i="5" s="1"/>
  <c r="AA587" i="5" s="1"/>
  <c r="F586" i="5"/>
  <c r="E586" i="5"/>
  <c r="A586" i="5" s="1"/>
  <c r="F585" i="5"/>
  <c r="E585" i="5"/>
  <c r="A585" i="5" s="1"/>
  <c r="AA585" i="5" s="1"/>
  <c r="F584" i="5"/>
  <c r="E584" i="5"/>
  <c r="A584" i="5" s="1"/>
  <c r="F583" i="5"/>
  <c r="E583" i="5"/>
  <c r="A583" i="5" s="1"/>
  <c r="AA583" i="5" s="1"/>
  <c r="F582" i="5"/>
  <c r="E582" i="5"/>
  <c r="A582" i="5" s="1"/>
  <c r="F581" i="5"/>
  <c r="E581" i="5"/>
  <c r="A581" i="5" s="1"/>
  <c r="AA581" i="5" s="1"/>
  <c r="F580" i="5"/>
  <c r="E580" i="5"/>
  <c r="A580" i="5" s="1"/>
  <c r="L580" i="5" s="1"/>
  <c r="F579" i="5"/>
  <c r="E579" i="5"/>
  <c r="A579" i="5" s="1"/>
  <c r="AA579" i="5" s="1"/>
  <c r="F578" i="5"/>
  <c r="E578" i="5"/>
  <c r="A578" i="5" s="1"/>
  <c r="F577" i="5"/>
  <c r="E577" i="5"/>
  <c r="A577" i="5" s="1"/>
  <c r="AA577" i="5" s="1"/>
  <c r="F576" i="5"/>
  <c r="E576" i="5"/>
  <c r="A576" i="5" s="1"/>
  <c r="L576" i="5" s="1"/>
  <c r="F575" i="5"/>
  <c r="E575" i="5"/>
  <c r="A575" i="5" s="1"/>
  <c r="AA575" i="5" s="1"/>
  <c r="F574" i="5"/>
  <c r="E574" i="5"/>
  <c r="A574" i="5" s="1"/>
  <c r="F573" i="5"/>
  <c r="E573" i="5"/>
  <c r="A573" i="5" s="1"/>
  <c r="AA573" i="5" s="1"/>
  <c r="F572" i="5"/>
  <c r="E572" i="5"/>
  <c r="A572" i="5"/>
  <c r="L572" i="5" s="1"/>
  <c r="F571" i="5"/>
  <c r="E571" i="5"/>
  <c r="A571" i="5" s="1"/>
  <c r="AA571" i="5" s="1"/>
  <c r="F570" i="5"/>
  <c r="E570" i="5"/>
  <c r="A570" i="5" s="1"/>
  <c r="F569" i="5"/>
  <c r="E569" i="5"/>
  <c r="A569" i="5" s="1"/>
  <c r="AA569" i="5" s="1"/>
  <c r="F568" i="5"/>
  <c r="E568" i="5"/>
  <c r="A568" i="5" s="1"/>
  <c r="L568" i="5" s="1"/>
  <c r="F567" i="5"/>
  <c r="E567" i="5"/>
  <c r="A567" i="5" s="1"/>
  <c r="AA567" i="5" s="1"/>
  <c r="F566" i="5"/>
  <c r="E566" i="5"/>
  <c r="A566" i="5" s="1"/>
  <c r="F565" i="5"/>
  <c r="E565" i="5"/>
  <c r="A565" i="5" s="1"/>
  <c r="AA565" i="5" s="1"/>
  <c r="F564" i="5"/>
  <c r="E564" i="5"/>
  <c r="A564" i="5" s="1"/>
  <c r="L564" i="5" s="1"/>
  <c r="F563" i="5"/>
  <c r="E563" i="5"/>
  <c r="A563" i="5" s="1"/>
  <c r="AA563" i="5" s="1"/>
  <c r="F562" i="5"/>
  <c r="E562" i="5"/>
  <c r="A562" i="5" s="1"/>
  <c r="F561" i="5"/>
  <c r="E561" i="5"/>
  <c r="A561" i="5" s="1"/>
  <c r="AA561" i="5" s="1"/>
  <c r="F560" i="5"/>
  <c r="E560" i="5"/>
  <c r="A560" i="5" s="1"/>
  <c r="L560" i="5" s="1"/>
  <c r="F559" i="5"/>
  <c r="E559" i="5"/>
  <c r="A559" i="5" s="1"/>
  <c r="AA559" i="5" s="1"/>
  <c r="F558" i="5"/>
  <c r="E558" i="5"/>
  <c r="A558" i="5" s="1"/>
  <c r="H558" i="5" s="1"/>
  <c r="F557" i="5"/>
  <c r="E557" i="5"/>
  <c r="A557" i="5" s="1"/>
  <c r="AA557" i="5" s="1"/>
  <c r="F556" i="5"/>
  <c r="E556" i="5"/>
  <c r="A556" i="5" s="1"/>
  <c r="F555" i="5"/>
  <c r="E555" i="5"/>
  <c r="A555" i="5" s="1"/>
  <c r="AA555" i="5" s="1"/>
  <c r="F554" i="5"/>
  <c r="E554" i="5"/>
  <c r="A554" i="5"/>
  <c r="AA554" i="5" s="1"/>
  <c r="F553" i="5"/>
  <c r="E553" i="5"/>
  <c r="A553" i="5" s="1"/>
  <c r="AA553" i="5" s="1"/>
  <c r="F552" i="5"/>
  <c r="E552" i="5"/>
  <c r="A552" i="5" s="1"/>
  <c r="AA552" i="5" s="1"/>
  <c r="F551" i="5"/>
  <c r="E551" i="5"/>
  <c r="A551" i="5" s="1"/>
  <c r="AA551" i="5" s="1"/>
  <c r="F550" i="5"/>
  <c r="E550" i="5"/>
  <c r="A550" i="5" s="1"/>
  <c r="AA550" i="5" s="1"/>
  <c r="F549" i="5"/>
  <c r="E549" i="5"/>
  <c r="A549" i="5" s="1"/>
  <c r="AA549" i="5" s="1"/>
  <c r="F548" i="5"/>
  <c r="E548" i="5"/>
  <c r="A548" i="5" s="1"/>
  <c r="AA548" i="5" s="1"/>
  <c r="F547" i="5"/>
  <c r="E547" i="5"/>
  <c r="A547" i="5" s="1"/>
  <c r="AA547" i="5" s="1"/>
  <c r="F546" i="5"/>
  <c r="E546" i="5"/>
  <c r="A546" i="5"/>
  <c r="AA546" i="5" s="1"/>
  <c r="F545" i="5"/>
  <c r="E545" i="5"/>
  <c r="A545" i="5" s="1"/>
  <c r="AA545" i="5" s="1"/>
  <c r="F544" i="5"/>
  <c r="E544" i="5"/>
  <c r="A544" i="5" s="1"/>
  <c r="AA544" i="5" s="1"/>
  <c r="F543" i="5"/>
  <c r="E543" i="5"/>
  <c r="A543" i="5" s="1"/>
  <c r="AA543" i="5" s="1"/>
  <c r="F542" i="5"/>
  <c r="E542" i="5"/>
  <c r="A542" i="5" s="1"/>
  <c r="AA542" i="5" s="1"/>
  <c r="F541" i="5"/>
  <c r="E541" i="5"/>
  <c r="A541" i="5" s="1"/>
  <c r="AA541" i="5" s="1"/>
  <c r="F540" i="5"/>
  <c r="E540" i="5"/>
  <c r="A540" i="5" s="1"/>
  <c r="AA540" i="5" s="1"/>
  <c r="F539" i="5"/>
  <c r="E539" i="5"/>
  <c r="A539" i="5" s="1"/>
  <c r="AA539" i="5" s="1"/>
  <c r="F538" i="5"/>
  <c r="E538" i="5"/>
  <c r="A538" i="5"/>
  <c r="AA538" i="5" s="1"/>
  <c r="F537" i="5"/>
  <c r="E537" i="5"/>
  <c r="A537" i="5" s="1"/>
  <c r="AA537" i="5" s="1"/>
  <c r="F536" i="5"/>
  <c r="E536" i="5"/>
  <c r="A536" i="5" s="1"/>
  <c r="AA536" i="5" s="1"/>
  <c r="F535" i="5"/>
  <c r="E535" i="5"/>
  <c r="A535" i="5" s="1"/>
  <c r="AA535" i="5" s="1"/>
  <c r="F534" i="5"/>
  <c r="E534" i="5"/>
  <c r="A534" i="5" s="1"/>
  <c r="AA534" i="5" s="1"/>
  <c r="F533" i="5"/>
  <c r="E533" i="5"/>
  <c r="A533" i="5" s="1"/>
  <c r="AA533" i="5" s="1"/>
  <c r="F532" i="5"/>
  <c r="E532" i="5"/>
  <c r="A532" i="5" s="1"/>
  <c r="AA532" i="5" s="1"/>
  <c r="F531" i="5"/>
  <c r="E531" i="5"/>
  <c r="A531" i="5" s="1"/>
  <c r="AA531" i="5" s="1"/>
  <c r="F530" i="5"/>
  <c r="E530" i="5"/>
  <c r="A530" i="5"/>
  <c r="AA530" i="5" s="1"/>
  <c r="F529" i="5"/>
  <c r="E529" i="5"/>
  <c r="A529" i="5" s="1"/>
  <c r="AA529" i="5" s="1"/>
  <c r="F528" i="5"/>
  <c r="E528" i="5"/>
  <c r="A528" i="5" s="1"/>
  <c r="AA528" i="5" s="1"/>
  <c r="F527" i="5"/>
  <c r="E527" i="5"/>
  <c r="A527" i="5" s="1"/>
  <c r="AA527" i="5" s="1"/>
  <c r="F526" i="5"/>
  <c r="E526" i="5"/>
  <c r="A526" i="5" s="1"/>
  <c r="AA526" i="5" s="1"/>
  <c r="F525" i="5"/>
  <c r="E525" i="5"/>
  <c r="A525" i="5" s="1"/>
  <c r="AA525" i="5" s="1"/>
  <c r="F524" i="5"/>
  <c r="E524" i="5"/>
  <c r="A524" i="5" s="1"/>
  <c r="AA524" i="5" s="1"/>
  <c r="F523" i="5"/>
  <c r="E523" i="5"/>
  <c r="A523" i="5" s="1"/>
  <c r="AA523" i="5" s="1"/>
  <c r="F522" i="5"/>
  <c r="E522" i="5"/>
  <c r="A522" i="5"/>
  <c r="AA522" i="5" s="1"/>
  <c r="F521" i="5"/>
  <c r="E521" i="5"/>
  <c r="A521" i="5" s="1"/>
  <c r="AA521" i="5" s="1"/>
  <c r="F520" i="5"/>
  <c r="E520" i="5"/>
  <c r="A520" i="5" s="1"/>
  <c r="AA520" i="5" s="1"/>
  <c r="F519" i="5"/>
  <c r="E519" i="5"/>
  <c r="A519" i="5" s="1"/>
  <c r="AA519" i="5" s="1"/>
  <c r="F518" i="5"/>
  <c r="E518" i="5"/>
  <c r="A518" i="5" s="1"/>
  <c r="AA518" i="5" s="1"/>
  <c r="F517" i="5"/>
  <c r="E517" i="5"/>
  <c r="A517" i="5" s="1"/>
  <c r="AA517" i="5" s="1"/>
  <c r="F516" i="5"/>
  <c r="E516" i="5"/>
  <c r="A516" i="5" s="1"/>
  <c r="AA516" i="5" s="1"/>
  <c r="F515" i="5"/>
  <c r="E515" i="5"/>
  <c r="A515" i="5" s="1"/>
  <c r="AA515" i="5" s="1"/>
  <c r="F514" i="5"/>
  <c r="E514" i="5"/>
  <c r="A514" i="5"/>
  <c r="AA514" i="5" s="1"/>
  <c r="F513" i="5"/>
  <c r="E513" i="5"/>
  <c r="A513" i="5" s="1"/>
  <c r="AA513" i="5" s="1"/>
  <c r="F512" i="5"/>
  <c r="E512" i="5"/>
  <c r="A512" i="5" s="1"/>
  <c r="AA512" i="5" s="1"/>
  <c r="F511" i="5"/>
  <c r="E511" i="5"/>
  <c r="A511" i="5" s="1"/>
  <c r="AA511" i="5" s="1"/>
  <c r="F510" i="5"/>
  <c r="E510" i="5"/>
  <c r="A510" i="5" s="1"/>
  <c r="AA510" i="5" s="1"/>
  <c r="F509" i="5"/>
  <c r="E509" i="5"/>
  <c r="A509" i="5" s="1"/>
  <c r="AA509" i="5" s="1"/>
  <c r="F508" i="5"/>
  <c r="E508" i="5"/>
  <c r="A508" i="5" s="1"/>
  <c r="AA508" i="5" s="1"/>
  <c r="F507" i="5"/>
  <c r="E507" i="5"/>
  <c r="A507" i="5" s="1"/>
  <c r="AA507" i="5" s="1"/>
  <c r="F506" i="5"/>
  <c r="E506" i="5"/>
  <c r="A506" i="5"/>
  <c r="AA506" i="5" s="1"/>
  <c r="F505" i="5"/>
  <c r="E505" i="5"/>
  <c r="A505" i="5" s="1"/>
  <c r="AA505" i="5" s="1"/>
  <c r="F504" i="5"/>
  <c r="E504" i="5"/>
  <c r="A504" i="5" s="1"/>
  <c r="AA504" i="5" s="1"/>
  <c r="F503" i="5"/>
  <c r="E503" i="5"/>
  <c r="A503" i="5" s="1"/>
  <c r="AA503" i="5" s="1"/>
  <c r="F502" i="5"/>
  <c r="E502" i="5"/>
  <c r="A502" i="5" s="1"/>
  <c r="AA502" i="5" s="1"/>
  <c r="F501" i="5"/>
  <c r="E501" i="5"/>
  <c r="A501" i="5" s="1"/>
  <c r="AA501" i="5" s="1"/>
  <c r="F500" i="5"/>
  <c r="E500" i="5"/>
  <c r="A500" i="5" s="1"/>
  <c r="AA500" i="5" s="1"/>
  <c r="F499" i="5"/>
  <c r="E499" i="5"/>
  <c r="A499" i="5" s="1"/>
  <c r="AA499" i="5" s="1"/>
  <c r="F498" i="5"/>
  <c r="E498" i="5"/>
  <c r="A498" i="5"/>
  <c r="AA498" i="5" s="1"/>
  <c r="F497" i="5"/>
  <c r="E497" i="5"/>
  <c r="A497" i="5" s="1"/>
  <c r="AA497" i="5" s="1"/>
  <c r="F496" i="5"/>
  <c r="E496" i="5"/>
  <c r="A496" i="5" s="1"/>
  <c r="AA496" i="5" s="1"/>
  <c r="F495" i="5"/>
  <c r="E495" i="5"/>
  <c r="A495" i="5" s="1"/>
  <c r="AA495" i="5" s="1"/>
  <c r="F494" i="5"/>
  <c r="E494" i="5"/>
  <c r="A494" i="5" s="1"/>
  <c r="AA494" i="5" s="1"/>
  <c r="F493" i="5"/>
  <c r="E493" i="5"/>
  <c r="A493" i="5" s="1"/>
  <c r="AA493" i="5" s="1"/>
  <c r="F492" i="5"/>
  <c r="E492" i="5"/>
  <c r="A492" i="5" s="1"/>
  <c r="AA492" i="5" s="1"/>
  <c r="F491" i="5"/>
  <c r="E491" i="5"/>
  <c r="A491" i="5" s="1"/>
  <c r="AA491" i="5" s="1"/>
  <c r="F490" i="5"/>
  <c r="E490" i="5"/>
  <c r="A490" i="5"/>
  <c r="AA490" i="5" s="1"/>
  <c r="F489" i="5"/>
  <c r="E489" i="5"/>
  <c r="A489" i="5" s="1"/>
  <c r="AA489" i="5" s="1"/>
  <c r="F488" i="5"/>
  <c r="E488" i="5"/>
  <c r="A488" i="5" s="1"/>
  <c r="AA488" i="5" s="1"/>
  <c r="F487" i="5"/>
  <c r="E487" i="5"/>
  <c r="A487" i="5" s="1"/>
  <c r="AA487" i="5" s="1"/>
  <c r="F486" i="5"/>
  <c r="E486" i="5"/>
  <c r="A486" i="5" s="1"/>
  <c r="AA486" i="5" s="1"/>
  <c r="F485" i="5"/>
  <c r="E485" i="5"/>
  <c r="A485" i="5" s="1"/>
  <c r="AA485" i="5" s="1"/>
  <c r="F484" i="5"/>
  <c r="E484" i="5"/>
  <c r="A484" i="5" s="1"/>
  <c r="AA484" i="5" s="1"/>
  <c r="F483" i="5"/>
  <c r="E483" i="5"/>
  <c r="A483" i="5" s="1"/>
  <c r="AA483" i="5" s="1"/>
  <c r="F482" i="5"/>
  <c r="E482" i="5"/>
  <c r="A482" i="5" s="1"/>
  <c r="F481" i="5"/>
  <c r="E481" i="5"/>
  <c r="A481" i="5" s="1"/>
  <c r="AA481" i="5" s="1"/>
  <c r="F480" i="5"/>
  <c r="E480" i="5"/>
  <c r="A480" i="5"/>
  <c r="H480" i="5" s="1"/>
  <c r="F479" i="5"/>
  <c r="E479" i="5"/>
  <c r="A479" i="5" s="1"/>
  <c r="AA479" i="5" s="1"/>
  <c r="F478" i="5"/>
  <c r="E478" i="5"/>
  <c r="A478" i="5" s="1"/>
  <c r="F477" i="5"/>
  <c r="E477" i="5"/>
  <c r="A477" i="5" s="1"/>
  <c r="AA477" i="5" s="1"/>
  <c r="F476" i="5"/>
  <c r="E476" i="5"/>
  <c r="A476" i="5" s="1"/>
  <c r="H476" i="5" s="1"/>
  <c r="F475" i="5"/>
  <c r="E475" i="5"/>
  <c r="A475" i="5" s="1"/>
  <c r="AA475" i="5" s="1"/>
  <c r="F474" i="5"/>
  <c r="E474" i="5"/>
  <c r="A474" i="5" s="1"/>
  <c r="F473" i="5"/>
  <c r="E473" i="5"/>
  <c r="A473" i="5" s="1"/>
  <c r="AA473" i="5" s="1"/>
  <c r="F472" i="5"/>
  <c r="E472" i="5"/>
  <c r="A472" i="5" s="1"/>
  <c r="H472" i="5" s="1"/>
  <c r="F471" i="5"/>
  <c r="E471" i="5"/>
  <c r="A471" i="5" s="1"/>
  <c r="AA471" i="5" s="1"/>
  <c r="F470" i="5"/>
  <c r="E470" i="5"/>
  <c r="A470" i="5" s="1"/>
  <c r="F469" i="5"/>
  <c r="E469" i="5"/>
  <c r="A469" i="5" s="1"/>
  <c r="AA469" i="5" s="1"/>
  <c r="F468" i="5"/>
  <c r="E468" i="5"/>
  <c r="A468" i="5" s="1"/>
  <c r="H468" i="5" s="1"/>
  <c r="F467" i="5"/>
  <c r="E467" i="5"/>
  <c r="A467" i="5" s="1"/>
  <c r="AA467" i="5" s="1"/>
  <c r="F466" i="5"/>
  <c r="E466" i="5"/>
  <c r="A466" i="5" s="1"/>
  <c r="F465" i="5"/>
  <c r="E465" i="5"/>
  <c r="A465" i="5" s="1"/>
  <c r="F464" i="5"/>
  <c r="E464" i="5"/>
  <c r="A464" i="5"/>
  <c r="H464" i="5" s="1"/>
  <c r="F463" i="5"/>
  <c r="E463" i="5"/>
  <c r="A463" i="5" s="1"/>
  <c r="F462" i="5"/>
  <c r="E462" i="5"/>
  <c r="A462" i="5" s="1"/>
  <c r="F461" i="5"/>
  <c r="E461" i="5"/>
  <c r="A461" i="5" s="1"/>
  <c r="F460" i="5"/>
  <c r="E460" i="5"/>
  <c r="A460" i="5" s="1"/>
  <c r="H460" i="5" s="1"/>
  <c r="F459" i="5"/>
  <c r="E459" i="5"/>
  <c r="A459" i="5" s="1"/>
  <c r="F458" i="5"/>
  <c r="E458" i="5"/>
  <c r="A458" i="5" s="1"/>
  <c r="F457" i="5"/>
  <c r="E457" i="5"/>
  <c r="A457" i="5" s="1"/>
  <c r="F456" i="5"/>
  <c r="E456" i="5"/>
  <c r="A456" i="5" s="1"/>
  <c r="H456" i="5" s="1"/>
  <c r="F455" i="5"/>
  <c r="E455" i="5"/>
  <c r="A455" i="5" s="1"/>
  <c r="F454" i="5"/>
  <c r="E454" i="5"/>
  <c r="A454" i="5" s="1"/>
  <c r="F453" i="5"/>
  <c r="E453" i="5"/>
  <c r="A453" i="5" s="1"/>
  <c r="F452" i="5"/>
  <c r="E452" i="5"/>
  <c r="A452" i="5" s="1"/>
  <c r="H452" i="5" s="1"/>
  <c r="F451" i="5"/>
  <c r="E451" i="5"/>
  <c r="A451" i="5" s="1"/>
  <c r="F450" i="5"/>
  <c r="E450" i="5"/>
  <c r="A450" i="5"/>
  <c r="J450" i="5" s="1"/>
  <c r="F449" i="5"/>
  <c r="E449" i="5"/>
  <c r="A449" i="5" s="1"/>
  <c r="F448" i="5"/>
  <c r="E448" i="5"/>
  <c r="A448" i="5" s="1"/>
  <c r="J448" i="5" s="1"/>
  <c r="F447" i="5"/>
  <c r="E447" i="5"/>
  <c r="A447" i="5" s="1"/>
  <c r="F446" i="5"/>
  <c r="E446" i="5"/>
  <c r="A446" i="5"/>
  <c r="J446" i="5" s="1"/>
  <c r="F445" i="5"/>
  <c r="E445" i="5"/>
  <c r="A445" i="5" s="1"/>
  <c r="F444" i="5"/>
  <c r="E444" i="5"/>
  <c r="A444" i="5" s="1"/>
  <c r="J444" i="5" s="1"/>
  <c r="F443" i="5"/>
  <c r="E443" i="5"/>
  <c r="A443" i="5" s="1"/>
  <c r="F442" i="5"/>
  <c r="E442" i="5"/>
  <c r="A442" i="5"/>
  <c r="J442" i="5" s="1"/>
  <c r="F441" i="5"/>
  <c r="E441" i="5"/>
  <c r="A441" i="5" s="1"/>
  <c r="F440" i="5"/>
  <c r="E440" i="5"/>
  <c r="A440" i="5" s="1"/>
  <c r="J440" i="5" s="1"/>
  <c r="F439" i="5"/>
  <c r="E439" i="5"/>
  <c r="A439" i="5" s="1"/>
  <c r="F438" i="5"/>
  <c r="E438" i="5"/>
  <c r="A438" i="5"/>
  <c r="J438" i="5" s="1"/>
  <c r="F437" i="5"/>
  <c r="E437" i="5"/>
  <c r="A437" i="5" s="1"/>
  <c r="F436" i="5"/>
  <c r="E436" i="5"/>
  <c r="A436" i="5" s="1"/>
  <c r="J436" i="5" s="1"/>
  <c r="F435" i="5"/>
  <c r="E435" i="5"/>
  <c r="A435" i="5" s="1"/>
  <c r="F434" i="5"/>
  <c r="E434" i="5"/>
  <c r="A434" i="5"/>
  <c r="AA434" i="5" s="1"/>
  <c r="F433" i="5"/>
  <c r="E433" i="5"/>
  <c r="A433" i="5" s="1"/>
  <c r="F432" i="5"/>
  <c r="E432" i="5"/>
  <c r="A432" i="5" s="1"/>
  <c r="AA432" i="5" s="1"/>
  <c r="F431" i="5"/>
  <c r="E431" i="5"/>
  <c r="A431" i="5" s="1"/>
  <c r="F430" i="5"/>
  <c r="E430" i="5"/>
  <c r="A430" i="5" s="1"/>
  <c r="AA430" i="5" s="1"/>
  <c r="F429" i="5"/>
  <c r="E429" i="5"/>
  <c r="A429" i="5" s="1"/>
  <c r="F428" i="5"/>
  <c r="E428" i="5"/>
  <c r="A428" i="5" s="1"/>
  <c r="AA428" i="5" s="1"/>
  <c r="F427" i="5"/>
  <c r="E427" i="5"/>
  <c r="A427" i="5" s="1"/>
  <c r="F426" i="5"/>
  <c r="E426" i="5"/>
  <c r="A426" i="5" s="1"/>
  <c r="AA426" i="5" s="1"/>
  <c r="F425" i="5"/>
  <c r="E425" i="5"/>
  <c r="A425" i="5" s="1"/>
  <c r="F424" i="5"/>
  <c r="E424" i="5"/>
  <c r="A424" i="5"/>
  <c r="AA424" i="5" s="1"/>
  <c r="F423" i="5"/>
  <c r="E423" i="5"/>
  <c r="A423" i="5" s="1"/>
  <c r="F422" i="5"/>
  <c r="E422" i="5"/>
  <c r="A422" i="5" s="1"/>
  <c r="AA422" i="5" s="1"/>
  <c r="F421" i="5"/>
  <c r="E421" i="5"/>
  <c r="A421" i="5" s="1"/>
  <c r="F420" i="5"/>
  <c r="E420" i="5"/>
  <c r="A420" i="5" s="1"/>
  <c r="AA420" i="5" s="1"/>
  <c r="F419" i="5"/>
  <c r="E419" i="5"/>
  <c r="A419" i="5" s="1"/>
  <c r="F418" i="5"/>
  <c r="E418" i="5"/>
  <c r="A418" i="5" s="1"/>
  <c r="AA418" i="5" s="1"/>
  <c r="F417" i="5"/>
  <c r="E417" i="5"/>
  <c r="A417" i="5" s="1"/>
  <c r="F416" i="5"/>
  <c r="E416" i="5"/>
  <c r="A416" i="5"/>
  <c r="AA416" i="5" s="1"/>
  <c r="F415" i="5"/>
  <c r="E415" i="5"/>
  <c r="A415" i="5" s="1"/>
  <c r="F414" i="5"/>
  <c r="E414" i="5"/>
  <c r="A414" i="5" s="1"/>
  <c r="AA414" i="5" s="1"/>
  <c r="F413" i="5"/>
  <c r="E413" i="5"/>
  <c r="A413" i="5" s="1"/>
  <c r="F412" i="5"/>
  <c r="E412" i="5"/>
  <c r="A412" i="5" s="1"/>
  <c r="AA412" i="5" s="1"/>
  <c r="F411" i="5"/>
  <c r="E411" i="5"/>
  <c r="A411" i="5" s="1"/>
  <c r="F410" i="5"/>
  <c r="E410" i="5"/>
  <c r="A410" i="5" s="1"/>
  <c r="AA410" i="5" s="1"/>
  <c r="F409" i="5"/>
  <c r="E409" i="5"/>
  <c r="A409" i="5" s="1"/>
  <c r="F408" i="5"/>
  <c r="E408" i="5"/>
  <c r="A408" i="5"/>
  <c r="AA408" i="5" s="1"/>
  <c r="F407" i="5"/>
  <c r="E407" i="5"/>
  <c r="A407" i="5" s="1"/>
  <c r="F406" i="5"/>
  <c r="E406" i="5"/>
  <c r="A406" i="5" s="1"/>
  <c r="AA406" i="5" s="1"/>
  <c r="F405" i="5"/>
  <c r="E405" i="5"/>
  <c r="A405" i="5" s="1"/>
  <c r="F404" i="5"/>
  <c r="E404" i="5"/>
  <c r="A404" i="5" s="1"/>
  <c r="AA404" i="5" s="1"/>
  <c r="F403" i="5"/>
  <c r="E403" i="5"/>
  <c r="A403" i="5" s="1"/>
  <c r="F402" i="5"/>
  <c r="E402" i="5"/>
  <c r="A402" i="5" s="1"/>
  <c r="AA402" i="5" s="1"/>
  <c r="F401" i="5"/>
  <c r="E401" i="5"/>
  <c r="A401" i="5" s="1"/>
  <c r="F400" i="5"/>
  <c r="E400" i="5"/>
  <c r="A400" i="5"/>
  <c r="AA400" i="5" s="1"/>
  <c r="F399" i="5"/>
  <c r="E399" i="5"/>
  <c r="A399" i="5" s="1"/>
  <c r="F398" i="5"/>
  <c r="E398" i="5"/>
  <c r="A398" i="5" s="1"/>
  <c r="AA398" i="5" s="1"/>
  <c r="F397" i="5"/>
  <c r="E397" i="5"/>
  <c r="A397" i="5" s="1"/>
  <c r="F396" i="5"/>
  <c r="E396" i="5"/>
  <c r="A396" i="5" s="1"/>
  <c r="AA396" i="5" s="1"/>
  <c r="F395" i="5"/>
  <c r="E395" i="5"/>
  <c r="A395" i="5" s="1"/>
  <c r="F394" i="5"/>
  <c r="E394" i="5"/>
  <c r="A394" i="5" s="1"/>
  <c r="AA394" i="5" s="1"/>
  <c r="F393" i="5"/>
  <c r="E393" i="5"/>
  <c r="A393" i="5" s="1"/>
  <c r="F392" i="5"/>
  <c r="E392" i="5"/>
  <c r="A392" i="5"/>
  <c r="AA392" i="5" s="1"/>
  <c r="F391" i="5"/>
  <c r="E391" i="5"/>
  <c r="A391" i="5" s="1"/>
  <c r="F390" i="5"/>
  <c r="E390" i="5"/>
  <c r="A390" i="5" s="1"/>
  <c r="AA390" i="5" s="1"/>
  <c r="F389" i="5"/>
  <c r="E389" i="5"/>
  <c r="A389" i="5" s="1"/>
  <c r="F388" i="5"/>
  <c r="E388" i="5"/>
  <c r="A388" i="5" s="1"/>
  <c r="AA388" i="5" s="1"/>
  <c r="F387" i="5"/>
  <c r="E387" i="5"/>
  <c r="A387" i="5" s="1"/>
  <c r="L387" i="5" s="1"/>
  <c r="F386" i="5"/>
  <c r="E386" i="5"/>
  <c r="A386" i="5" s="1"/>
  <c r="AA386" i="5" s="1"/>
  <c r="F385" i="5"/>
  <c r="E385" i="5"/>
  <c r="A385" i="5" s="1"/>
  <c r="L385" i="5" s="1"/>
  <c r="F384" i="5"/>
  <c r="E384" i="5"/>
  <c r="A384" i="5"/>
  <c r="AA384" i="5" s="1"/>
  <c r="F383" i="5"/>
  <c r="E383" i="5"/>
  <c r="A383" i="5" s="1"/>
  <c r="L383" i="5" s="1"/>
  <c r="F382" i="5"/>
  <c r="E382" i="5"/>
  <c r="A382" i="5" s="1"/>
  <c r="AA382" i="5" s="1"/>
  <c r="F381" i="5"/>
  <c r="E381" i="5"/>
  <c r="A381" i="5" s="1"/>
  <c r="L381" i="5" s="1"/>
  <c r="F380" i="5"/>
  <c r="E380" i="5"/>
  <c r="A380" i="5" s="1"/>
  <c r="AA380" i="5" s="1"/>
  <c r="F379" i="5"/>
  <c r="E379" i="5"/>
  <c r="A379" i="5" s="1"/>
  <c r="L379" i="5" s="1"/>
  <c r="F378" i="5"/>
  <c r="E378" i="5"/>
  <c r="A378" i="5" s="1"/>
  <c r="AA378" i="5" s="1"/>
  <c r="F377" i="5"/>
  <c r="E377" i="5"/>
  <c r="A377" i="5" s="1"/>
  <c r="L377" i="5" s="1"/>
  <c r="F376" i="5"/>
  <c r="E376" i="5"/>
  <c r="A376" i="5" s="1"/>
  <c r="F375" i="5"/>
  <c r="E375" i="5"/>
  <c r="A375" i="5" s="1"/>
  <c r="L375" i="5" s="1"/>
  <c r="F374" i="5"/>
  <c r="E374" i="5"/>
  <c r="A374" i="5" s="1"/>
  <c r="H374" i="5" s="1"/>
  <c r="F373" i="5"/>
  <c r="E373" i="5"/>
  <c r="A373" i="5" s="1"/>
  <c r="L373" i="5" s="1"/>
  <c r="F372" i="5"/>
  <c r="E372" i="5"/>
  <c r="A372" i="5" s="1"/>
  <c r="F371" i="5"/>
  <c r="E371" i="5"/>
  <c r="A371" i="5" s="1"/>
  <c r="L371" i="5" s="1"/>
  <c r="F370" i="5"/>
  <c r="E370" i="5"/>
  <c r="A370" i="5" s="1"/>
  <c r="H370" i="5" s="1"/>
  <c r="F369" i="5"/>
  <c r="E369" i="5"/>
  <c r="A369" i="5" s="1"/>
  <c r="L369" i="5" s="1"/>
  <c r="F368" i="5"/>
  <c r="E368" i="5"/>
  <c r="A368" i="5" s="1"/>
  <c r="F367" i="5"/>
  <c r="E367" i="5"/>
  <c r="A367" i="5" s="1"/>
  <c r="L367" i="5" s="1"/>
  <c r="F366" i="5"/>
  <c r="E366" i="5"/>
  <c r="A366" i="5" s="1"/>
  <c r="H366" i="5" s="1"/>
  <c r="F365" i="5"/>
  <c r="E365" i="5"/>
  <c r="A365" i="5" s="1"/>
  <c r="L365" i="5" s="1"/>
  <c r="F364" i="5"/>
  <c r="E364" i="5"/>
  <c r="A364" i="5" s="1"/>
  <c r="F363" i="5"/>
  <c r="E363" i="5"/>
  <c r="A363" i="5" s="1"/>
  <c r="L363" i="5" s="1"/>
  <c r="F362" i="5"/>
  <c r="E362" i="5"/>
  <c r="A362" i="5" s="1"/>
  <c r="H362" i="5" s="1"/>
  <c r="F361" i="5"/>
  <c r="E361" i="5"/>
  <c r="A361" i="5" s="1"/>
  <c r="L361" i="5" s="1"/>
  <c r="F360" i="5"/>
  <c r="E360" i="5"/>
  <c r="A360" i="5" s="1"/>
  <c r="F359" i="5"/>
  <c r="E359" i="5"/>
  <c r="A359" i="5" s="1"/>
  <c r="L359" i="5" s="1"/>
  <c r="F358" i="5"/>
  <c r="E358" i="5"/>
  <c r="A358" i="5" s="1"/>
  <c r="H358" i="5" s="1"/>
  <c r="F357" i="5"/>
  <c r="E357" i="5"/>
  <c r="A357" i="5" s="1"/>
  <c r="L357" i="5" s="1"/>
  <c r="F356" i="5"/>
  <c r="E356" i="5"/>
  <c r="A356" i="5" s="1"/>
  <c r="F355" i="5"/>
  <c r="E355" i="5"/>
  <c r="A355" i="5" s="1"/>
  <c r="L355" i="5" s="1"/>
  <c r="F354" i="5"/>
  <c r="E354" i="5"/>
  <c r="A354" i="5" s="1"/>
  <c r="H354" i="5" s="1"/>
  <c r="F353" i="5"/>
  <c r="E353" i="5"/>
  <c r="A353" i="5" s="1"/>
  <c r="L353" i="5" s="1"/>
  <c r="F352" i="5"/>
  <c r="E352" i="5"/>
  <c r="A352" i="5" s="1"/>
  <c r="F351" i="5"/>
  <c r="E351" i="5"/>
  <c r="A351" i="5" s="1"/>
  <c r="L351" i="5" s="1"/>
  <c r="F350" i="5"/>
  <c r="E350" i="5"/>
  <c r="A350" i="5" s="1"/>
  <c r="H350" i="5" s="1"/>
  <c r="F349" i="5"/>
  <c r="E349" i="5"/>
  <c r="A349" i="5" s="1"/>
  <c r="L349" i="5" s="1"/>
  <c r="F348" i="5"/>
  <c r="E348" i="5"/>
  <c r="A348" i="5" s="1"/>
  <c r="F347" i="5"/>
  <c r="E347" i="5"/>
  <c r="A347" i="5" s="1"/>
  <c r="L347" i="5" s="1"/>
  <c r="F346" i="5"/>
  <c r="E346" i="5"/>
  <c r="A346" i="5" s="1"/>
  <c r="H346" i="5" s="1"/>
  <c r="F345" i="5"/>
  <c r="E345" i="5"/>
  <c r="A345" i="5" s="1"/>
  <c r="L345" i="5" s="1"/>
  <c r="F344" i="5"/>
  <c r="E344" i="5"/>
  <c r="A344" i="5" s="1"/>
  <c r="F343" i="5"/>
  <c r="E343" i="5"/>
  <c r="A343" i="5" s="1"/>
  <c r="L343" i="5" s="1"/>
  <c r="F342" i="5"/>
  <c r="E342" i="5"/>
  <c r="A342" i="5" s="1"/>
  <c r="H342" i="5" s="1"/>
  <c r="F341" i="5"/>
  <c r="E341" i="5"/>
  <c r="A341" i="5" s="1"/>
  <c r="L341" i="5" s="1"/>
  <c r="F340" i="5"/>
  <c r="E340" i="5"/>
  <c r="A340" i="5" s="1"/>
  <c r="F339" i="5"/>
  <c r="E339" i="5"/>
  <c r="A339" i="5" s="1"/>
  <c r="L339" i="5" s="1"/>
  <c r="F338" i="5"/>
  <c r="E338" i="5"/>
  <c r="A338" i="5" s="1"/>
  <c r="H338" i="5" s="1"/>
  <c r="F337" i="5"/>
  <c r="E337" i="5"/>
  <c r="A337" i="5" s="1"/>
  <c r="L337" i="5" s="1"/>
  <c r="F336" i="5"/>
  <c r="E336" i="5"/>
  <c r="A336" i="5" s="1"/>
  <c r="F335" i="5"/>
  <c r="E335" i="5"/>
  <c r="A335" i="5" s="1"/>
  <c r="L335" i="5" s="1"/>
  <c r="F334" i="5"/>
  <c r="E334" i="5"/>
  <c r="A334" i="5" s="1"/>
  <c r="H334" i="5" s="1"/>
  <c r="F333" i="5"/>
  <c r="E333" i="5"/>
  <c r="A333" i="5" s="1"/>
  <c r="L333" i="5" s="1"/>
  <c r="F332" i="5"/>
  <c r="E332" i="5"/>
  <c r="A332" i="5" s="1"/>
  <c r="F331" i="5"/>
  <c r="E331" i="5"/>
  <c r="A331" i="5" s="1"/>
  <c r="L331" i="5" s="1"/>
  <c r="F330" i="5"/>
  <c r="E330" i="5"/>
  <c r="A330" i="5" s="1"/>
  <c r="H330" i="5" s="1"/>
  <c r="F329" i="5"/>
  <c r="E329" i="5"/>
  <c r="A329" i="5" s="1"/>
  <c r="L329" i="5" s="1"/>
  <c r="F328" i="5"/>
  <c r="E328" i="5"/>
  <c r="A328" i="5" s="1"/>
  <c r="F327" i="5"/>
  <c r="E327" i="5"/>
  <c r="A327" i="5" s="1"/>
  <c r="L327" i="5" s="1"/>
  <c r="F326" i="5"/>
  <c r="E326" i="5"/>
  <c r="A326" i="5" s="1"/>
  <c r="H326" i="5" s="1"/>
  <c r="F325" i="5"/>
  <c r="E325" i="5"/>
  <c r="A325" i="5" s="1"/>
  <c r="L325" i="5" s="1"/>
  <c r="F324" i="5"/>
  <c r="E324" i="5"/>
  <c r="A324" i="5" s="1"/>
  <c r="F323" i="5"/>
  <c r="E323" i="5"/>
  <c r="A323" i="5" s="1"/>
  <c r="L323" i="5" s="1"/>
  <c r="F322" i="5"/>
  <c r="E322" i="5"/>
  <c r="A322" i="5" s="1"/>
  <c r="H322" i="5" s="1"/>
  <c r="F321" i="5"/>
  <c r="E321" i="5"/>
  <c r="A321" i="5" s="1"/>
  <c r="L321" i="5" s="1"/>
  <c r="F320" i="5"/>
  <c r="E320" i="5"/>
  <c r="A320" i="5" s="1"/>
  <c r="F319" i="5"/>
  <c r="E319" i="5"/>
  <c r="A319" i="5" s="1"/>
  <c r="L319" i="5" s="1"/>
  <c r="F318" i="5"/>
  <c r="E318" i="5"/>
  <c r="A318" i="5" s="1"/>
  <c r="H318" i="5" s="1"/>
  <c r="F317" i="5"/>
  <c r="E317" i="5"/>
  <c r="A317" i="5" s="1"/>
  <c r="L317" i="5" s="1"/>
  <c r="F316" i="5"/>
  <c r="E316" i="5"/>
  <c r="A316" i="5" s="1"/>
  <c r="F315" i="5"/>
  <c r="E315" i="5"/>
  <c r="A315" i="5" s="1"/>
  <c r="L315" i="5" s="1"/>
  <c r="F314" i="5"/>
  <c r="E314" i="5"/>
  <c r="A314" i="5" s="1"/>
  <c r="H314" i="5" s="1"/>
  <c r="F313" i="5"/>
  <c r="E313" i="5"/>
  <c r="A313" i="5" s="1"/>
  <c r="L313" i="5" s="1"/>
  <c r="F312" i="5"/>
  <c r="E312" i="5"/>
  <c r="A312" i="5" s="1"/>
  <c r="F311" i="5"/>
  <c r="E311" i="5"/>
  <c r="A311" i="5" s="1"/>
  <c r="L311" i="5" s="1"/>
  <c r="F310" i="5"/>
  <c r="E310" i="5"/>
  <c r="A310" i="5" s="1"/>
  <c r="H310" i="5" s="1"/>
  <c r="F309" i="5"/>
  <c r="E309" i="5"/>
  <c r="A309" i="5" s="1"/>
  <c r="L309" i="5" s="1"/>
  <c r="F308" i="5"/>
  <c r="E308" i="5"/>
  <c r="A308" i="5" s="1"/>
  <c r="F307" i="5"/>
  <c r="E307" i="5"/>
  <c r="A307" i="5" s="1"/>
  <c r="L307" i="5" s="1"/>
  <c r="F306" i="5"/>
  <c r="E306" i="5"/>
  <c r="A306" i="5" s="1"/>
  <c r="H306" i="5" s="1"/>
  <c r="F305" i="5"/>
  <c r="E305" i="5"/>
  <c r="A305" i="5" s="1"/>
  <c r="L305" i="5" s="1"/>
  <c r="F304" i="5"/>
  <c r="E304" i="5"/>
  <c r="A304" i="5" s="1"/>
  <c r="F303" i="5"/>
  <c r="E303" i="5"/>
  <c r="A303" i="5" s="1"/>
  <c r="L303" i="5" s="1"/>
  <c r="F302" i="5"/>
  <c r="E302" i="5"/>
  <c r="A302" i="5" s="1"/>
  <c r="H302" i="5" s="1"/>
  <c r="F301" i="5"/>
  <c r="E301" i="5"/>
  <c r="A301" i="5" s="1"/>
  <c r="L301" i="5" s="1"/>
  <c r="F300" i="5"/>
  <c r="E300" i="5"/>
  <c r="A300" i="5" s="1"/>
  <c r="F299" i="5"/>
  <c r="E299" i="5"/>
  <c r="A299" i="5" s="1"/>
  <c r="L299" i="5" s="1"/>
  <c r="F298" i="5"/>
  <c r="E298" i="5"/>
  <c r="A298" i="5" s="1"/>
  <c r="H298" i="5" s="1"/>
  <c r="F297" i="5"/>
  <c r="E297" i="5"/>
  <c r="A297" i="5" s="1"/>
  <c r="L297" i="5" s="1"/>
  <c r="F296" i="5"/>
  <c r="E296" i="5"/>
  <c r="A296" i="5" s="1"/>
  <c r="F295" i="5"/>
  <c r="E295" i="5"/>
  <c r="A295" i="5" s="1"/>
  <c r="L295" i="5" s="1"/>
  <c r="F294" i="5"/>
  <c r="E294" i="5"/>
  <c r="A294" i="5" s="1"/>
  <c r="H294" i="5" s="1"/>
  <c r="F293" i="5"/>
  <c r="E293" i="5"/>
  <c r="A293" i="5" s="1"/>
  <c r="L293" i="5" s="1"/>
  <c r="F292" i="5"/>
  <c r="E292" i="5"/>
  <c r="A292" i="5" s="1"/>
  <c r="F291" i="5"/>
  <c r="E291" i="5"/>
  <c r="A291" i="5" s="1"/>
  <c r="L291" i="5" s="1"/>
  <c r="F290" i="5"/>
  <c r="E290" i="5"/>
  <c r="A290" i="5" s="1"/>
  <c r="H290" i="5" s="1"/>
  <c r="F289" i="5"/>
  <c r="E289" i="5"/>
  <c r="A289" i="5" s="1"/>
  <c r="L289" i="5" s="1"/>
  <c r="F288" i="5"/>
  <c r="E288" i="5"/>
  <c r="A288" i="5" s="1"/>
  <c r="F287" i="5"/>
  <c r="E287" i="5"/>
  <c r="A287" i="5" s="1"/>
  <c r="L287" i="5" s="1"/>
  <c r="F286" i="5"/>
  <c r="E286" i="5"/>
  <c r="A286" i="5" s="1"/>
  <c r="H286" i="5" s="1"/>
  <c r="F285" i="5"/>
  <c r="E285" i="5"/>
  <c r="A285" i="5" s="1"/>
  <c r="L285" i="5" s="1"/>
  <c r="F284" i="5"/>
  <c r="E284" i="5"/>
  <c r="A284" i="5" s="1"/>
  <c r="F283" i="5"/>
  <c r="E283" i="5"/>
  <c r="A283" i="5" s="1"/>
  <c r="L283" i="5" s="1"/>
  <c r="F282" i="5"/>
  <c r="E282" i="5"/>
  <c r="A282" i="5" s="1"/>
  <c r="H282" i="5" s="1"/>
  <c r="F281" i="5"/>
  <c r="E281" i="5"/>
  <c r="A281" i="5" s="1"/>
  <c r="L281" i="5" s="1"/>
  <c r="F280" i="5"/>
  <c r="E280" i="5"/>
  <c r="A280" i="5" s="1"/>
  <c r="F279" i="5"/>
  <c r="E279" i="5"/>
  <c r="A279" i="5" s="1"/>
  <c r="L279" i="5" s="1"/>
  <c r="F278" i="5"/>
  <c r="E278" i="5"/>
  <c r="A278" i="5" s="1"/>
  <c r="H278" i="5" s="1"/>
  <c r="F277" i="5"/>
  <c r="E277" i="5"/>
  <c r="A277" i="5" s="1"/>
  <c r="L277" i="5" s="1"/>
  <c r="F276" i="5"/>
  <c r="E276" i="5"/>
  <c r="A276" i="5" s="1"/>
  <c r="F275" i="5"/>
  <c r="E275" i="5"/>
  <c r="A275" i="5" s="1"/>
  <c r="L275" i="5" s="1"/>
  <c r="F274" i="5"/>
  <c r="E274" i="5"/>
  <c r="A274" i="5" s="1"/>
  <c r="H274" i="5" s="1"/>
  <c r="F273" i="5"/>
  <c r="E273" i="5"/>
  <c r="A273" i="5" s="1"/>
  <c r="L273" i="5" s="1"/>
  <c r="F272" i="5"/>
  <c r="E272" i="5"/>
  <c r="A272" i="5" s="1"/>
  <c r="F271" i="5"/>
  <c r="E271" i="5"/>
  <c r="A271" i="5" s="1"/>
  <c r="L271" i="5" s="1"/>
  <c r="F270" i="5"/>
  <c r="E270" i="5"/>
  <c r="A270" i="5" s="1"/>
  <c r="H270" i="5" s="1"/>
  <c r="F269" i="5"/>
  <c r="E269" i="5"/>
  <c r="A269" i="5" s="1"/>
  <c r="L269" i="5" s="1"/>
  <c r="F268" i="5"/>
  <c r="E268" i="5"/>
  <c r="A268" i="5" s="1"/>
  <c r="F267" i="5"/>
  <c r="E267" i="5"/>
  <c r="A267" i="5" s="1"/>
  <c r="L267" i="5" s="1"/>
  <c r="F266" i="5"/>
  <c r="E266" i="5"/>
  <c r="A266" i="5" s="1"/>
  <c r="H266" i="5" s="1"/>
  <c r="F265" i="5"/>
  <c r="E265" i="5"/>
  <c r="A265" i="5" s="1"/>
  <c r="L265" i="5" s="1"/>
  <c r="F264" i="5"/>
  <c r="E264" i="5"/>
  <c r="A264" i="5" s="1"/>
  <c r="F263" i="5"/>
  <c r="E263" i="5"/>
  <c r="A263" i="5" s="1"/>
  <c r="L263" i="5" s="1"/>
  <c r="F262" i="5"/>
  <c r="E262" i="5"/>
  <c r="A262" i="5" s="1"/>
  <c r="H262" i="5" s="1"/>
  <c r="F261" i="5"/>
  <c r="E261" i="5"/>
  <c r="A261" i="5" s="1"/>
  <c r="L261" i="5" s="1"/>
  <c r="F260" i="5"/>
  <c r="E260" i="5"/>
  <c r="A260" i="5" s="1"/>
  <c r="F259" i="5"/>
  <c r="E259" i="5"/>
  <c r="A259" i="5" s="1"/>
  <c r="L259" i="5" s="1"/>
  <c r="F258" i="5"/>
  <c r="E258" i="5"/>
  <c r="A258" i="5" s="1"/>
  <c r="H258" i="5" s="1"/>
  <c r="F257" i="5"/>
  <c r="E257" i="5"/>
  <c r="A257" i="5" s="1"/>
  <c r="L257" i="5" s="1"/>
  <c r="F256" i="5"/>
  <c r="E256" i="5"/>
  <c r="A256" i="5" s="1"/>
  <c r="F255" i="5"/>
  <c r="E255" i="5"/>
  <c r="A255" i="5" s="1"/>
  <c r="L255" i="5" s="1"/>
  <c r="F254" i="5"/>
  <c r="E254" i="5"/>
  <c r="A254" i="5" s="1"/>
  <c r="H254" i="5" s="1"/>
  <c r="F253" i="5"/>
  <c r="E253" i="5"/>
  <c r="A253" i="5" s="1"/>
  <c r="L253" i="5" s="1"/>
  <c r="F252" i="5"/>
  <c r="E252" i="5"/>
  <c r="A252" i="5" s="1"/>
  <c r="F251" i="5"/>
  <c r="E251" i="5"/>
  <c r="A251" i="5" s="1"/>
  <c r="L251" i="5" s="1"/>
  <c r="F250" i="5"/>
  <c r="E250" i="5"/>
  <c r="A250" i="5" s="1"/>
  <c r="H250" i="5" s="1"/>
  <c r="F249" i="5"/>
  <c r="E249" i="5"/>
  <c r="A249" i="5" s="1"/>
  <c r="L249" i="5" s="1"/>
  <c r="F248" i="5"/>
  <c r="E248" i="5"/>
  <c r="A248" i="5" s="1"/>
  <c r="F247" i="5"/>
  <c r="E247" i="5"/>
  <c r="A247" i="5" s="1"/>
  <c r="L247" i="5" s="1"/>
  <c r="F246" i="5"/>
  <c r="E246" i="5"/>
  <c r="A246" i="5" s="1"/>
  <c r="H246" i="5" s="1"/>
  <c r="F245" i="5"/>
  <c r="E245" i="5"/>
  <c r="A245" i="5" s="1"/>
  <c r="L245" i="5" s="1"/>
  <c r="F244" i="5"/>
  <c r="E244" i="5"/>
  <c r="A244" i="5" s="1"/>
  <c r="F243" i="5"/>
  <c r="E243" i="5"/>
  <c r="A243" i="5" s="1"/>
  <c r="L243" i="5" s="1"/>
  <c r="F242" i="5"/>
  <c r="E242" i="5"/>
  <c r="A242" i="5" s="1"/>
  <c r="H242" i="5" s="1"/>
  <c r="F241" i="5"/>
  <c r="E241" i="5"/>
  <c r="A241" i="5" s="1"/>
  <c r="L241" i="5" s="1"/>
  <c r="F240" i="5"/>
  <c r="E240" i="5"/>
  <c r="A240" i="5" s="1"/>
  <c r="F239" i="5"/>
  <c r="E239" i="5"/>
  <c r="A239" i="5" s="1"/>
  <c r="L239" i="5" s="1"/>
  <c r="F238" i="5"/>
  <c r="E238" i="5"/>
  <c r="A238" i="5" s="1"/>
  <c r="H238" i="5" s="1"/>
  <c r="F237" i="5"/>
  <c r="E237" i="5"/>
  <c r="A237" i="5" s="1"/>
  <c r="L237" i="5" s="1"/>
  <c r="F236" i="5"/>
  <c r="E236" i="5"/>
  <c r="A236" i="5" s="1"/>
  <c r="F235" i="5"/>
  <c r="E235" i="5"/>
  <c r="A235" i="5" s="1"/>
  <c r="L235" i="5" s="1"/>
  <c r="F234" i="5"/>
  <c r="E234" i="5"/>
  <c r="A234" i="5" s="1"/>
  <c r="AA234" i="5" s="1"/>
  <c r="F233" i="5"/>
  <c r="E233" i="5"/>
  <c r="A233" i="5" s="1"/>
  <c r="L233" i="5" s="1"/>
  <c r="F232" i="5"/>
  <c r="E232" i="5"/>
  <c r="A232" i="5" s="1"/>
  <c r="AA232" i="5" s="1"/>
  <c r="F231" i="5"/>
  <c r="E231" i="5"/>
  <c r="A231" i="5" s="1"/>
  <c r="L231" i="5" s="1"/>
  <c r="F230" i="5"/>
  <c r="E230" i="5"/>
  <c r="A230" i="5" s="1"/>
  <c r="AA230" i="5" s="1"/>
  <c r="F229" i="5"/>
  <c r="E229" i="5"/>
  <c r="A229" i="5" s="1"/>
  <c r="L229" i="5" s="1"/>
  <c r="F228" i="5"/>
  <c r="E228" i="5"/>
  <c r="A228" i="5" s="1"/>
  <c r="AA228" i="5" s="1"/>
  <c r="F227" i="5"/>
  <c r="E227" i="5"/>
  <c r="A227" i="5" s="1"/>
  <c r="L227" i="5" s="1"/>
  <c r="F226" i="5"/>
  <c r="E226" i="5"/>
  <c r="A226" i="5" s="1"/>
  <c r="AA226" i="5" s="1"/>
  <c r="F225" i="5"/>
  <c r="E225" i="5"/>
  <c r="A225" i="5" s="1"/>
  <c r="L225" i="5" s="1"/>
  <c r="F224" i="5"/>
  <c r="E224" i="5"/>
  <c r="A224" i="5" s="1"/>
  <c r="AA224" i="5" s="1"/>
  <c r="F223" i="5"/>
  <c r="E223" i="5"/>
  <c r="A223" i="5" s="1"/>
  <c r="L223" i="5" s="1"/>
  <c r="F222" i="5"/>
  <c r="E222" i="5"/>
  <c r="A222" i="5" s="1"/>
  <c r="AA222" i="5" s="1"/>
  <c r="F221" i="5"/>
  <c r="E221" i="5"/>
  <c r="A221" i="5" s="1"/>
  <c r="L221" i="5" s="1"/>
  <c r="F220" i="5"/>
  <c r="E220" i="5"/>
  <c r="A220" i="5" s="1"/>
  <c r="AA220" i="5" s="1"/>
  <c r="F219" i="5"/>
  <c r="E219" i="5"/>
  <c r="A219" i="5" s="1"/>
  <c r="L219" i="5" s="1"/>
  <c r="F218" i="5"/>
  <c r="E218" i="5"/>
  <c r="A218" i="5" s="1"/>
  <c r="AA218" i="5" s="1"/>
  <c r="F217" i="5"/>
  <c r="E217" i="5"/>
  <c r="A217" i="5" s="1"/>
  <c r="L217" i="5" s="1"/>
  <c r="F216" i="5"/>
  <c r="E216" i="5"/>
  <c r="A216" i="5" s="1"/>
  <c r="AA216" i="5" s="1"/>
  <c r="F215" i="5"/>
  <c r="E215" i="5"/>
  <c r="A215" i="5" s="1"/>
  <c r="L215" i="5" s="1"/>
  <c r="F214" i="5"/>
  <c r="E214" i="5"/>
  <c r="A214" i="5" s="1"/>
  <c r="AA214" i="5" s="1"/>
  <c r="F213" i="5"/>
  <c r="E213" i="5"/>
  <c r="A213" i="5" s="1"/>
  <c r="L213" i="5" s="1"/>
  <c r="F212" i="5"/>
  <c r="E212" i="5"/>
  <c r="A212" i="5" s="1"/>
  <c r="AA212" i="5" s="1"/>
  <c r="F211" i="5"/>
  <c r="E211" i="5"/>
  <c r="A211" i="5" s="1"/>
  <c r="L211" i="5" s="1"/>
  <c r="F210" i="5"/>
  <c r="E210" i="5"/>
  <c r="A210" i="5" s="1"/>
  <c r="AA210" i="5" s="1"/>
  <c r="F209" i="5"/>
  <c r="E209" i="5"/>
  <c r="A209" i="5" s="1"/>
  <c r="L209" i="5" s="1"/>
  <c r="F208" i="5"/>
  <c r="E208" i="5"/>
  <c r="A208" i="5" s="1"/>
  <c r="AA208" i="5" s="1"/>
  <c r="F207" i="5"/>
  <c r="E207" i="5"/>
  <c r="A207" i="5" s="1"/>
  <c r="L207" i="5" s="1"/>
  <c r="F206" i="5"/>
  <c r="E206" i="5"/>
  <c r="A206" i="5" s="1"/>
  <c r="AA206" i="5" s="1"/>
  <c r="F205" i="5"/>
  <c r="E205" i="5"/>
  <c r="A205" i="5" s="1"/>
  <c r="L205" i="5" s="1"/>
  <c r="F204" i="5"/>
  <c r="E204" i="5"/>
  <c r="A204" i="5" s="1"/>
  <c r="AA204" i="5" s="1"/>
  <c r="F203" i="5"/>
  <c r="E203" i="5"/>
  <c r="A203" i="5" s="1"/>
  <c r="L203" i="5" s="1"/>
  <c r="F202" i="5"/>
  <c r="E202" i="5"/>
  <c r="A202" i="5" s="1"/>
  <c r="AA202" i="5" s="1"/>
  <c r="F201" i="5"/>
  <c r="E201" i="5"/>
  <c r="A201" i="5" s="1"/>
  <c r="L201" i="5" s="1"/>
  <c r="F200" i="5"/>
  <c r="E200" i="5"/>
  <c r="A200" i="5" s="1"/>
  <c r="AA200" i="5" s="1"/>
  <c r="F199" i="5"/>
  <c r="E199" i="5"/>
  <c r="A199" i="5" s="1"/>
  <c r="L199" i="5" s="1"/>
  <c r="F198" i="5"/>
  <c r="E198" i="5"/>
  <c r="A198" i="5" s="1"/>
  <c r="AA198" i="5" s="1"/>
  <c r="F197" i="5"/>
  <c r="E197" i="5"/>
  <c r="A197" i="5" s="1"/>
  <c r="L197" i="5" s="1"/>
  <c r="F196" i="5"/>
  <c r="E196" i="5"/>
  <c r="A196" i="5" s="1"/>
  <c r="AA196" i="5" s="1"/>
  <c r="F195" i="5"/>
  <c r="E195" i="5"/>
  <c r="A195" i="5" s="1"/>
  <c r="L195" i="5" s="1"/>
  <c r="F194" i="5"/>
  <c r="E194" i="5"/>
  <c r="A194" i="5" s="1"/>
  <c r="AA194" i="5" s="1"/>
  <c r="F193" i="5"/>
  <c r="E193" i="5"/>
  <c r="A193" i="5" s="1"/>
  <c r="L193" i="5" s="1"/>
  <c r="F192" i="5"/>
  <c r="E192" i="5"/>
  <c r="A192" i="5" s="1"/>
  <c r="AA192" i="5" s="1"/>
  <c r="F191" i="5"/>
  <c r="E191" i="5"/>
  <c r="A191" i="5" s="1"/>
  <c r="L191" i="5" s="1"/>
  <c r="F190" i="5"/>
  <c r="E190" i="5"/>
  <c r="A190" i="5" s="1"/>
  <c r="AA190" i="5" s="1"/>
  <c r="F189" i="5"/>
  <c r="E189" i="5"/>
  <c r="A189" i="5" s="1"/>
  <c r="L189" i="5" s="1"/>
  <c r="F188" i="5"/>
  <c r="E188" i="5"/>
  <c r="A188" i="5" s="1"/>
  <c r="AA188" i="5" s="1"/>
  <c r="F187" i="5"/>
  <c r="E187" i="5"/>
  <c r="A187" i="5" s="1"/>
  <c r="L187" i="5" s="1"/>
  <c r="F186" i="5"/>
  <c r="E186" i="5"/>
  <c r="A186" i="5" s="1"/>
  <c r="AA186" i="5" s="1"/>
  <c r="F185" i="5"/>
  <c r="E185" i="5"/>
  <c r="A185" i="5" s="1"/>
  <c r="L185" i="5" s="1"/>
  <c r="F184" i="5"/>
  <c r="E184" i="5"/>
  <c r="A184" i="5" s="1"/>
  <c r="AA184" i="5" s="1"/>
  <c r="F183" i="5"/>
  <c r="E183" i="5"/>
  <c r="A183" i="5" s="1"/>
  <c r="L183" i="5" s="1"/>
  <c r="F182" i="5"/>
  <c r="E182" i="5"/>
  <c r="A182" i="5" s="1"/>
  <c r="AA182" i="5" s="1"/>
  <c r="F181" i="5"/>
  <c r="E181" i="5"/>
  <c r="A181" i="5" s="1"/>
  <c r="L181" i="5" s="1"/>
  <c r="F180" i="5"/>
  <c r="E180" i="5"/>
  <c r="A180" i="5" s="1"/>
  <c r="AA180" i="5" s="1"/>
  <c r="F179" i="5"/>
  <c r="E179" i="5"/>
  <c r="A179" i="5" s="1"/>
  <c r="L179" i="5" s="1"/>
  <c r="F178" i="5"/>
  <c r="E178" i="5"/>
  <c r="A178" i="5" s="1"/>
  <c r="AA178" i="5" s="1"/>
  <c r="F177" i="5"/>
  <c r="E177" i="5"/>
  <c r="A177" i="5" s="1"/>
  <c r="L177" i="5" s="1"/>
  <c r="F176" i="5"/>
  <c r="E176" i="5"/>
  <c r="A176" i="5" s="1"/>
  <c r="AA176" i="5" s="1"/>
  <c r="F175" i="5"/>
  <c r="E175" i="5"/>
  <c r="A175" i="5" s="1"/>
  <c r="L175" i="5" s="1"/>
  <c r="F174" i="5"/>
  <c r="E174" i="5"/>
  <c r="A174" i="5" s="1"/>
  <c r="AA174" i="5" s="1"/>
  <c r="F173" i="5"/>
  <c r="E173" i="5"/>
  <c r="A173" i="5" s="1"/>
  <c r="L173" i="5" s="1"/>
  <c r="F172" i="5"/>
  <c r="E172" i="5"/>
  <c r="A172" i="5" s="1"/>
  <c r="AA172" i="5" s="1"/>
  <c r="F171" i="5"/>
  <c r="E171" i="5"/>
  <c r="A171" i="5" s="1"/>
  <c r="L171" i="5" s="1"/>
  <c r="F170" i="5"/>
  <c r="E170" i="5"/>
  <c r="A170" i="5" s="1"/>
  <c r="AA170" i="5" s="1"/>
  <c r="F169" i="5"/>
  <c r="E169" i="5"/>
  <c r="A169" i="5" s="1"/>
  <c r="L169" i="5" s="1"/>
  <c r="F168" i="5"/>
  <c r="E168" i="5"/>
  <c r="A168" i="5" s="1"/>
  <c r="AA168" i="5" s="1"/>
  <c r="F167" i="5"/>
  <c r="E167" i="5"/>
  <c r="A167" i="5" s="1"/>
  <c r="L167" i="5" s="1"/>
  <c r="F166" i="5"/>
  <c r="E166" i="5"/>
  <c r="A166" i="5" s="1"/>
  <c r="AA166" i="5" s="1"/>
  <c r="F165" i="5"/>
  <c r="E165" i="5"/>
  <c r="A165" i="5" s="1"/>
  <c r="L165" i="5" s="1"/>
  <c r="F164" i="5"/>
  <c r="E164" i="5"/>
  <c r="A164" i="5" s="1"/>
  <c r="AA164" i="5" s="1"/>
  <c r="F163" i="5"/>
  <c r="E163" i="5"/>
  <c r="A163" i="5" s="1"/>
  <c r="L163" i="5" s="1"/>
  <c r="F162" i="5"/>
  <c r="E162" i="5"/>
  <c r="A162" i="5" s="1"/>
  <c r="AA162" i="5" s="1"/>
  <c r="F161" i="5"/>
  <c r="E161" i="5"/>
  <c r="A161" i="5" s="1"/>
  <c r="L161" i="5" s="1"/>
  <c r="F160" i="5"/>
  <c r="E160" i="5"/>
  <c r="A160" i="5" s="1"/>
  <c r="AA160" i="5" s="1"/>
  <c r="F159" i="5"/>
  <c r="E159" i="5"/>
  <c r="A159" i="5" s="1"/>
  <c r="L159" i="5" s="1"/>
  <c r="F158" i="5"/>
  <c r="E158" i="5"/>
  <c r="A158" i="5" s="1"/>
  <c r="AA158" i="5" s="1"/>
  <c r="F157" i="5"/>
  <c r="E157" i="5"/>
  <c r="A157" i="5" s="1"/>
  <c r="L157" i="5" s="1"/>
  <c r="F156" i="5"/>
  <c r="E156" i="5"/>
  <c r="A156" i="5" s="1"/>
  <c r="AA156" i="5" s="1"/>
  <c r="F155" i="5"/>
  <c r="E155" i="5"/>
  <c r="A155" i="5" s="1"/>
  <c r="L155" i="5" s="1"/>
  <c r="F154" i="5"/>
  <c r="E154" i="5"/>
  <c r="A154" i="5" s="1"/>
  <c r="AA154" i="5" s="1"/>
  <c r="F153" i="5"/>
  <c r="E153" i="5"/>
  <c r="A153" i="5" s="1"/>
  <c r="L153" i="5" s="1"/>
  <c r="F152" i="5"/>
  <c r="E152" i="5"/>
  <c r="A152" i="5" s="1"/>
  <c r="AA152" i="5" s="1"/>
  <c r="F151" i="5"/>
  <c r="E151" i="5"/>
  <c r="A151" i="5" s="1"/>
  <c r="L151" i="5" s="1"/>
  <c r="F150" i="5"/>
  <c r="E150" i="5"/>
  <c r="A150" i="5" s="1"/>
  <c r="AA150" i="5" s="1"/>
  <c r="F149" i="5"/>
  <c r="E149" i="5"/>
  <c r="A149" i="5" s="1"/>
  <c r="L149" i="5" s="1"/>
  <c r="F148" i="5"/>
  <c r="E148" i="5"/>
  <c r="A148" i="5" s="1"/>
  <c r="AA148" i="5" s="1"/>
  <c r="F147" i="5"/>
  <c r="E147" i="5"/>
  <c r="A147" i="5" s="1"/>
  <c r="L147" i="5" s="1"/>
  <c r="F146" i="5"/>
  <c r="E146" i="5"/>
  <c r="A146" i="5" s="1"/>
  <c r="AA146" i="5" s="1"/>
  <c r="F145" i="5"/>
  <c r="E145" i="5"/>
  <c r="A145" i="5" s="1"/>
  <c r="L145" i="5" s="1"/>
  <c r="F144" i="5"/>
  <c r="E144" i="5"/>
  <c r="A144" i="5" s="1"/>
  <c r="AA144" i="5" s="1"/>
  <c r="F143" i="5"/>
  <c r="E143" i="5"/>
  <c r="A143" i="5" s="1"/>
  <c r="L143" i="5" s="1"/>
  <c r="F142" i="5"/>
  <c r="E142" i="5"/>
  <c r="A142" i="5" s="1"/>
  <c r="AA142" i="5" s="1"/>
  <c r="F141" i="5"/>
  <c r="E141" i="5"/>
  <c r="A141" i="5" s="1"/>
  <c r="L141" i="5" s="1"/>
  <c r="F140" i="5"/>
  <c r="E140" i="5"/>
  <c r="A140" i="5" s="1"/>
  <c r="AA140" i="5" s="1"/>
  <c r="F139" i="5"/>
  <c r="E139" i="5"/>
  <c r="A139" i="5" s="1"/>
  <c r="L139" i="5" s="1"/>
  <c r="F138" i="5"/>
  <c r="E138" i="5"/>
  <c r="A138" i="5" s="1"/>
  <c r="AA138" i="5" s="1"/>
  <c r="F137" i="5"/>
  <c r="E137" i="5"/>
  <c r="A137" i="5" s="1"/>
  <c r="L137" i="5" s="1"/>
  <c r="F136" i="5"/>
  <c r="E136" i="5"/>
  <c r="A136" i="5" s="1"/>
  <c r="AA136" i="5" s="1"/>
  <c r="F135" i="5"/>
  <c r="E135" i="5"/>
  <c r="A135" i="5" s="1"/>
  <c r="L135" i="5" s="1"/>
  <c r="F134" i="5"/>
  <c r="E134" i="5"/>
  <c r="A134" i="5" s="1"/>
  <c r="AA134" i="5" s="1"/>
  <c r="F133" i="5"/>
  <c r="E133" i="5"/>
  <c r="A133" i="5" s="1"/>
  <c r="L133" i="5" s="1"/>
  <c r="F132" i="5"/>
  <c r="E132" i="5"/>
  <c r="A132" i="5" s="1"/>
  <c r="AA132" i="5" s="1"/>
  <c r="F131" i="5"/>
  <c r="E131" i="5"/>
  <c r="A131" i="5" s="1"/>
  <c r="L131" i="5" s="1"/>
  <c r="F130" i="5"/>
  <c r="E130" i="5"/>
  <c r="A130" i="5" s="1"/>
  <c r="AA130" i="5" s="1"/>
  <c r="F129" i="5"/>
  <c r="E129" i="5"/>
  <c r="A129" i="5" s="1"/>
  <c r="L129" i="5" s="1"/>
  <c r="F128" i="5"/>
  <c r="E128" i="5"/>
  <c r="A128" i="5" s="1"/>
  <c r="AA128" i="5" s="1"/>
  <c r="F127" i="5"/>
  <c r="E127" i="5"/>
  <c r="A127" i="5" s="1"/>
  <c r="L127" i="5" s="1"/>
  <c r="F126" i="5"/>
  <c r="E126" i="5"/>
  <c r="A126" i="5" s="1"/>
  <c r="AA126" i="5" s="1"/>
  <c r="F125" i="5"/>
  <c r="E125" i="5"/>
  <c r="A125" i="5" s="1"/>
  <c r="L125" i="5" s="1"/>
  <c r="F124" i="5"/>
  <c r="E124" i="5"/>
  <c r="A124" i="5" s="1"/>
  <c r="AA124" i="5" s="1"/>
  <c r="F123" i="5"/>
  <c r="E123" i="5"/>
  <c r="A123" i="5" s="1"/>
  <c r="L123" i="5" s="1"/>
  <c r="F122" i="5"/>
  <c r="E122" i="5"/>
  <c r="A122" i="5" s="1"/>
  <c r="AA122" i="5" s="1"/>
  <c r="F121" i="5"/>
  <c r="E121" i="5"/>
  <c r="A121" i="5" s="1"/>
  <c r="L121" i="5" s="1"/>
  <c r="F120" i="5"/>
  <c r="E120" i="5"/>
  <c r="A120" i="5" s="1"/>
  <c r="AA120" i="5" s="1"/>
  <c r="F119" i="5"/>
  <c r="E119" i="5"/>
  <c r="A119" i="5" s="1"/>
  <c r="L119" i="5" s="1"/>
  <c r="F118" i="5"/>
  <c r="E118" i="5"/>
  <c r="A118" i="5" s="1"/>
  <c r="AA118" i="5" s="1"/>
  <c r="F117" i="5"/>
  <c r="E117" i="5"/>
  <c r="A117" i="5" s="1"/>
  <c r="L117" i="5" s="1"/>
  <c r="F116" i="5"/>
  <c r="E116" i="5"/>
  <c r="A116" i="5"/>
  <c r="AA116" i="5" s="1"/>
  <c r="F115" i="5"/>
  <c r="E115" i="5"/>
  <c r="A115" i="5" s="1"/>
  <c r="L115" i="5" s="1"/>
  <c r="F114" i="5"/>
  <c r="E114" i="5"/>
  <c r="A114" i="5" s="1"/>
  <c r="AA114" i="5" s="1"/>
  <c r="F113" i="5"/>
  <c r="E113" i="5"/>
  <c r="A113" i="5" s="1"/>
  <c r="L113" i="5" s="1"/>
  <c r="F112" i="5"/>
  <c r="E112" i="5"/>
  <c r="A112" i="5" s="1"/>
  <c r="AA112" i="5" s="1"/>
  <c r="F111" i="5"/>
  <c r="E111" i="5"/>
  <c r="A111" i="5" s="1"/>
  <c r="L111" i="5" s="1"/>
  <c r="F110" i="5"/>
  <c r="E110" i="5"/>
  <c r="A110" i="5" s="1"/>
  <c r="AA110" i="5" s="1"/>
  <c r="F109" i="5"/>
  <c r="E109" i="5"/>
  <c r="A109" i="5" s="1"/>
  <c r="L109" i="5" s="1"/>
  <c r="F108" i="5"/>
  <c r="E108" i="5"/>
  <c r="A108" i="5"/>
  <c r="AA108" i="5" s="1"/>
  <c r="F107" i="5"/>
  <c r="E107" i="5"/>
  <c r="A107" i="5" s="1"/>
  <c r="L107" i="5" s="1"/>
  <c r="F106" i="5"/>
  <c r="E106" i="5"/>
  <c r="A106" i="5" s="1"/>
  <c r="AA106" i="5" s="1"/>
  <c r="F105" i="5"/>
  <c r="E105" i="5"/>
  <c r="A105" i="5" s="1"/>
  <c r="L105" i="5" s="1"/>
  <c r="F104" i="5"/>
  <c r="E104" i="5"/>
  <c r="A104" i="5" s="1"/>
  <c r="AA104" i="5" s="1"/>
  <c r="F103" i="5"/>
  <c r="E103" i="5"/>
  <c r="A103" i="5" s="1"/>
  <c r="L103" i="5" s="1"/>
  <c r="F102" i="5"/>
  <c r="E102" i="5"/>
  <c r="A102" i="5" s="1"/>
  <c r="AA102" i="5" s="1"/>
  <c r="F101" i="5"/>
  <c r="E101" i="5"/>
  <c r="A101" i="5" s="1"/>
  <c r="L101" i="5" s="1"/>
  <c r="F100" i="5"/>
  <c r="E100" i="5"/>
  <c r="A100" i="5"/>
  <c r="AA100" i="5" s="1"/>
  <c r="F99" i="5"/>
  <c r="E99" i="5"/>
  <c r="A99" i="5" s="1"/>
  <c r="L99" i="5" s="1"/>
  <c r="F98" i="5"/>
  <c r="E98" i="5"/>
  <c r="A98" i="5" s="1"/>
  <c r="AA98" i="5" s="1"/>
  <c r="F97" i="5"/>
  <c r="E97" i="5"/>
  <c r="A97" i="5" s="1"/>
  <c r="L97" i="5" s="1"/>
  <c r="F96" i="5"/>
  <c r="E96" i="5"/>
  <c r="A96" i="5" s="1"/>
  <c r="AA96" i="5" s="1"/>
  <c r="F95" i="5"/>
  <c r="E95" i="5"/>
  <c r="A95" i="5" s="1"/>
  <c r="L95" i="5" s="1"/>
  <c r="F94" i="5"/>
  <c r="E94" i="5"/>
  <c r="A94" i="5" s="1"/>
  <c r="AA94" i="5" s="1"/>
  <c r="F93" i="5"/>
  <c r="E93" i="5"/>
  <c r="A93" i="5" s="1"/>
  <c r="L93" i="5" s="1"/>
  <c r="F92" i="5"/>
  <c r="E92" i="5"/>
  <c r="A92" i="5"/>
  <c r="AA92" i="5" s="1"/>
  <c r="F91" i="5"/>
  <c r="E91" i="5"/>
  <c r="A91" i="5" s="1"/>
  <c r="L91" i="5" s="1"/>
  <c r="F90" i="5"/>
  <c r="E90" i="5"/>
  <c r="A90" i="5" s="1"/>
  <c r="AA90" i="5" s="1"/>
  <c r="F89" i="5"/>
  <c r="E89" i="5"/>
  <c r="A89" i="5" s="1"/>
  <c r="L89" i="5" s="1"/>
  <c r="F88" i="5"/>
  <c r="E88" i="5"/>
  <c r="A88" i="5" s="1"/>
  <c r="AA88" i="5" s="1"/>
  <c r="F87" i="5"/>
  <c r="E87" i="5"/>
  <c r="A87" i="5" s="1"/>
  <c r="L87" i="5" s="1"/>
  <c r="F86" i="5"/>
  <c r="E86" i="5"/>
  <c r="A86" i="5" s="1"/>
  <c r="AA86" i="5" s="1"/>
  <c r="F85" i="5"/>
  <c r="E85" i="5"/>
  <c r="A85" i="5" s="1"/>
  <c r="L85" i="5" s="1"/>
  <c r="F84" i="5"/>
  <c r="E84" i="5"/>
  <c r="A84" i="5"/>
  <c r="AA84" i="5" s="1"/>
  <c r="F83" i="5"/>
  <c r="E83" i="5"/>
  <c r="A83" i="5" s="1"/>
  <c r="L83" i="5" s="1"/>
  <c r="F82" i="5"/>
  <c r="E82" i="5"/>
  <c r="A82" i="5" s="1"/>
  <c r="AA82" i="5" s="1"/>
  <c r="F81" i="5"/>
  <c r="E81" i="5"/>
  <c r="A81" i="5" s="1"/>
  <c r="L81" i="5" s="1"/>
  <c r="F80" i="5"/>
  <c r="E80" i="5"/>
  <c r="A80" i="5" s="1"/>
  <c r="AA80" i="5" s="1"/>
  <c r="F79" i="5"/>
  <c r="E79" i="5"/>
  <c r="A79" i="5" s="1"/>
  <c r="L79" i="5" s="1"/>
  <c r="F78" i="5"/>
  <c r="E78" i="5"/>
  <c r="A78" i="5" s="1"/>
  <c r="AA78" i="5" s="1"/>
  <c r="F77" i="5"/>
  <c r="E77" i="5"/>
  <c r="A77" i="5" s="1"/>
  <c r="L77" i="5" s="1"/>
  <c r="F76" i="5"/>
  <c r="E76" i="5"/>
  <c r="A76" i="5"/>
  <c r="AA76" i="5" s="1"/>
  <c r="F75" i="5"/>
  <c r="E75" i="5"/>
  <c r="A75" i="5" s="1"/>
  <c r="L75" i="5" s="1"/>
  <c r="F74" i="5"/>
  <c r="E74" i="5"/>
  <c r="A74" i="5" s="1"/>
  <c r="AA74" i="5" s="1"/>
  <c r="F73" i="5"/>
  <c r="E73" i="5"/>
  <c r="A73" i="5" s="1"/>
  <c r="L73" i="5" s="1"/>
  <c r="F72" i="5"/>
  <c r="E72" i="5"/>
  <c r="A72" i="5" s="1"/>
  <c r="AA72" i="5" s="1"/>
  <c r="F71" i="5"/>
  <c r="E71" i="5"/>
  <c r="A71" i="5" s="1"/>
  <c r="L71" i="5" s="1"/>
  <c r="F70" i="5"/>
  <c r="E70" i="5"/>
  <c r="A70" i="5" s="1"/>
  <c r="AA70" i="5" s="1"/>
  <c r="F69" i="5"/>
  <c r="E69" i="5"/>
  <c r="A69" i="5" s="1"/>
  <c r="L69" i="5" s="1"/>
  <c r="F68" i="5"/>
  <c r="E68" i="5"/>
  <c r="A68" i="5"/>
  <c r="AA68" i="5" s="1"/>
  <c r="F67" i="5"/>
  <c r="E67" i="5"/>
  <c r="A67" i="5" s="1"/>
  <c r="L67" i="5" s="1"/>
  <c r="F66" i="5"/>
  <c r="E66" i="5"/>
  <c r="A66" i="5" s="1"/>
  <c r="AA66" i="5" s="1"/>
  <c r="F65" i="5"/>
  <c r="E65" i="5"/>
  <c r="A65" i="5" s="1"/>
  <c r="L65" i="5" s="1"/>
  <c r="F64" i="5"/>
  <c r="E64" i="5"/>
  <c r="A64" i="5" s="1"/>
  <c r="AA64" i="5" s="1"/>
  <c r="F63" i="5"/>
  <c r="E63" i="5"/>
  <c r="A63" i="5" s="1"/>
  <c r="L63" i="5" s="1"/>
  <c r="F62" i="5"/>
  <c r="E62" i="5"/>
  <c r="A62" i="5" s="1"/>
  <c r="AA62" i="5" s="1"/>
  <c r="F61" i="5"/>
  <c r="E61" i="5"/>
  <c r="A61" i="5" s="1"/>
  <c r="L61" i="5" s="1"/>
  <c r="F60" i="5"/>
  <c r="E60" i="5"/>
  <c r="A60" i="5"/>
  <c r="AA60" i="5" s="1"/>
  <c r="F59" i="5"/>
  <c r="E59" i="5"/>
  <c r="A59" i="5" s="1"/>
  <c r="L59" i="5" s="1"/>
  <c r="F58" i="5"/>
  <c r="E58" i="5"/>
  <c r="A58" i="5" s="1"/>
  <c r="AA58" i="5" s="1"/>
  <c r="F57" i="5"/>
  <c r="E57" i="5"/>
  <c r="A57" i="5" s="1"/>
  <c r="L57" i="5" s="1"/>
  <c r="F56" i="5"/>
  <c r="E56" i="5"/>
  <c r="A56" i="5" s="1"/>
  <c r="AA56" i="5" s="1"/>
  <c r="F55" i="5"/>
  <c r="E55" i="5"/>
  <c r="A55" i="5" s="1"/>
  <c r="L55" i="5" s="1"/>
  <c r="F54" i="5"/>
  <c r="E54" i="5"/>
  <c r="A54" i="5" s="1"/>
  <c r="AA54" i="5" s="1"/>
  <c r="F53" i="5"/>
  <c r="E53" i="5"/>
  <c r="A53" i="5" s="1"/>
  <c r="L53" i="5" s="1"/>
  <c r="F52" i="5"/>
  <c r="E52" i="5"/>
  <c r="A52" i="5"/>
  <c r="AA52" i="5" s="1"/>
  <c r="F51" i="5"/>
  <c r="E51" i="5"/>
  <c r="A51" i="5" s="1"/>
  <c r="L51" i="5" s="1"/>
  <c r="F50" i="5"/>
  <c r="E50" i="5"/>
  <c r="A50" i="5" s="1"/>
  <c r="AA50" i="5" s="1"/>
  <c r="F49" i="5"/>
  <c r="E49" i="5"/>
  <c r="A49" i="5" s="1"/>
  <c r="L49" i="5" s="1"/>
  <c r="F48" i="5"/>
  <c r="E48" i="5"/>
  <c r="A48" i="5" s="1"/>
  <c r="AA48" i="5" s="1"/>
  <c r="F47" i="5"/>
  <c r="E47" i="5"/>
  <c r="A47" i="5" s="1"/>
  <c r="L47" i="5" s="1"/>
  <c r="F46" i="5"/>
  <c r="E46" i="5"/>
  <c r="A46" i="5" s="1"/>
  <c r="F45" i="5"/>
  <c r="E45" i="5"/>
  <c r="A45" i="5" s="1"/>
  <c r="L45" i="5" s="1"/>
  <c r="F44" i="5"/>
  <c r="E44" i="5"/>
  <c r="A44" i="5"/>
  <c r="F43" i="5"/>
  <c r="E43" i="5"/>
  <c r="A43" i="5" s="1"/>
  <c r="L43" i="5" s="1"/>
  <c r="F42" i="5"/>
  <c r="E42" i="5"/>
  <c r="A42" i="5" s="1"/>
  <c r="F41" i="5"/>
  <c r="E41" i="5"/>
  <c r="A41" i="5" s="1"/>
  <c r="L41" i="5" s="1"/>
  <c r="F40" i="5"/>
  <c r="E40" i="5"/>
  <c r="A40" i="5" s="1"/>
  <c r="F39" i="5"/>
  <c r="E39" i="5"/>
  <c r="A39" i="5" s="1"/>
  <c r="L39" i="5" s="1"/>
  <c r="F38" i="5"/>
  <c r="E38" i="5"/>
  <c r="A38" i="5" s="1"/>
  <c r="F37" i="5"/>
  <c r="E37" i="5"/>
  <c r="A37" i="5" s="1"/>
  <c r="L37" i="5" s="1"/>
  <c r="F36" i="5"/>
  <c r="E36" i="5"/>
  <c r="A36" i="5" s="1"/>
  <c r="AA36" i="5" s="1"/>
  <c r="F35" i="5"/>
  <c r="E35" i="5"/>
  <c r="A35" i="5" s="1"/>
  <c r="L35" i="5" s="1"/>
  <c r="F34" i="5"/>
  <c r="E34" i="5"/>
  <c r="A34" i="5" s="1"/>
  <c r="AA34" i="5" s="1"/>
  <c r="F33" i="5"/>
  <c r="E33" i="5"/>
  <c r="A33" i="5" s="1"/>
  <c r="L33" i="5" s="1"/>
  <c r="F32" i="5"/>
  <c r="E32" i="5"/>
  <c r="A32" i="5" s="1"/>
  <c r="AA32" i="5" s="1"/>
  <c r="F31" i="5"/>
  <c r="E31" i="5"/>
  <c r="A31" i="5" s="1"/>
  <c r="L31" i="5" s="1"/>
  <c r="F30" i="5"/>
  <c r="E30" i="5"/>
  <c r="A30" i="5" s="1"/>
  <c r="AA30" i="5" s="1"/>
  <c r="F29" i="5"/>
  <c r="E29" i="5"/>
  <c r="A29" i="5" s="1"/>
  <c r="L29" i="5" s="1"/>
  <c r="F28" i="5"/>
  <c r="E28" i="5"/>
  <c r="A28" i="5"/>
  <c r="F27" i="5"/>
  <c r="E27" i="5"/>
  <c r="A27" i="5" s="1"/>
  <c r="L27" i="5" s="1"/>
  <c r="F26" i="5"/>
  <c r="E26" i="5"/>
  <c r="A26" i="5" s="1"/>
  <c r="F25" i="5"/>
  <c r="E25" i="5"/>
  <c r="A25" i="5" s="1"/>
  <c r="L25" i="5" s="1"/>
  <c r="F24" i="5"/>
  <c r="E24" i="5"/>
  <c r="A24" i="5" s="1"/>
  <c r="AA24" i="5" s="1"/>
  <c r="F23" i="5"/>
  <c r="E23" i="5"/>
  <c r="A23" i="5" s="1"/>
  <c r="F22" i="5"/>
  <c r="E22" i="5"/>
  <c r="A22" i="5" s="1"/>
  <c r="F21" i="5"/>
  <c r="E21" i="5"/>
  <c r="A21" i="5" s="1"/>
  <c r="L21" i="5" s="1"/>
  <c r="F20" i="5"/>
  <c r="E20" i="5"/>
  <c r="A20" i="5" s="1"/>
  <c r="F19" i="5"/>
  <c r="E19" i="5"/>
  <c r="A19" i="5" s="1"/>
  <c r="L19" i="5" s="1"/>
  <c r="F18" i="5"/>
  <c r="E18" i="5"/>
  <c r="A18" i="5" s="1"/>
  <c r="AA18" i="5" s="1"/>
  <c r="F17" i="5"/>
  <c r="E17" i="5"/>
  <c r="A17" i="5" s="1"/>
  <c r="L17" i="5" s="1"/>
  <c r="F16" i="5"/>
  <c r="E16" i="5"/>
  <c r="A16" i="5" s="1"/>
  <c r="F15" i="5"/>
  <c r="E15" i="5"/>
  <c r="A15" i="5" s="1"/>
  <c r="L15" i="5" s="1"/>
  <c r="F14" i="5"/>
  <c r="E14" i="5"/>
  <c r="A14" i="5" s="1"/>
  <c r="F13" i="5"/>
  <c r="E13" i="5"/>
  <c r="A13" i="5" s="1"/>
  <c r="L13" i="5" s="1"/>
  <c r="F12" i="5"/>
  <c r="E12" i="5"/>
  <c r="A12" i="5" s="1"/>
  <c r="AA12" i="5" s="1"/>
  <c r="F11" i="5"/>
  <c r="E11" i="5"/>
  <c r="A11" i="5" s="1"/>
  <c r="L11" i="5" s="1"/>
  <c r="F10" i="5"/>
  <c r="E10" i="5"/>
  <c r="A10" i="5" s="1"/>
  <c r="AA10" i="5" s="1"/>
  <c r="F9" i="5"/>
  <c r="E9" i="5"/>
  <c r="A9" i="5" s="1"/>
  <c r="L9" i="5" s="1"/>
  <c r="F8" i="5"/>
  <c r="E8" i="5"/>
  <c r="A8" i="5" s="1"/>
  <c r="H8" i="5" s="1"/>
  <c r="F7" i="5"/>
  <c r="E7" i="5"/>
  <c r="A7" i="5" s="1"/>
  <c r="L7" i="5" s="1"/>
  <c r="F6" i="5"/>
  <c r="E6" i="5"/>
  <c r="A6" i="5"/>
  <c r="AA6" i="5" s="1"/>
  <c r="P2005" i="4"/>
  <c r="O2005" i="4"/>
  <c r="N2005" i="4"/>
  <c r="M2005" i="4"/>
  <c r="L2005" i="4"/>
  <c r="K2005" i="4"/>
  <c r="J2005" i="4"/>
  <c r="Q2005" i="5" s="1"/>
  <c r="P2004" i="4"/>
  <c r="O2004" i="4"/>
  <c r="N2004" i="4"/>
  <c r="M2004" i="4"/>
  <c r="L2004" i="4"/>
  <c r="K2004" i="4"/>
  <c r="J2004" i="4"/>
  <c r="Q2004" i="5" s="1"/>
  <c r="P2003" i="4"/>
  <c r="O2003" i="4"/>
  <c r="N2003" i="4"/>
  <c r="M2003" i="4"/>
  <c r="L2003" i="4"/>
  <c r="K2003" i="4"/>
  <c r="J2003" i="4"/>
  <c r="Q2003" i="5" s="1"/>
  <c r="P2002" i="4"/>
  <c r="O2002" i="4"/>
  <c r="N2002" i="4"/>
  <c r="M2002" i="4"/>
  <c r="L2002" i="4"/>
  <c r="K2002" i="4"/>
  <c r="J2002" i="4"/>
  <c r="Q2002" i="5" s="1"/>
  <c r="P2001" i="4"/>
  <c r="O2001" i="4"/>
  <c r="N2001" i="4"/>
  <c r="M2001" i="4"/>
  <c r="L2001" i="4"/>
  <c r="K2001" i="4"/>
  <c r="J2001" i="4"/>
  <c r="Q2001" i="5" s="1"/>
  <c r="P2000" i="4"/>
  <c r="O2000" i="4"/>
  <c r="N2000" i="4"/>
  <c r="M2000" i="4"/>
  <c r="L2000" i="4"/>
  <c r="K2000" i="4"/>
  <c r="J2000" i="4"/>
  <c r="Q2000" i="5" s="1"/>
  <c r="P1999" i="4"/>
  <c r="O1999" i="4"/>
  <c r="N1999" i="4"/>
  <c r="M1999" i="4"/>
  <c r="L1999" i="4"/>
  <c r="K1999" i="4"/>
  <c r="J1999" i="4"/>
  <c r="Q1999" i="5" s="1"/>
  <c r="P1998" i="4"/>
  <c r="O1998" i="4"/>
  <c r="N1998" i="4"/>
  <c r="M1998" i="4"/>
  <c r="L1998" i="4"/>
  <c r="K1998" i="4"/>
  <c r="J1998" i="4"/>
  <c r="Q1998" i="5" s="1"/>
  <c r="P1997" i="4"/>
  <c r="O1997" i="4"/>
  <c r="N1997" i="4"/>
  <c r="M1997" i="4"/>
  <c r="L1997" i="4"/>
  <c r="K1997" i="4"/>
  <c r="J1997" i="4"/>
  <c r="Q1997" i="5" s="1"/>
  <c r="P1996" i="4"/>
  <c r="O1996" i="4"/>
  <c r="N1996" i="4"/>
  <c r="M1996" i="4"/>
  <c r="L1996" i="4"/>
  <c r="K1996" i="4"/>
  <c r="J1996" i="4"/>
  <c r="Q1996" i="5" s="1"/>
  <c r="P1995" i="4"/>
  <c r="O1995" i="4"/>
  <c r="N1995" i="4"/>
  <c r="M1995" i="4"/>
  <c r="L1995" i="4"/>
  <c r="K1995" i="4"/>
  <c r="J1995" i="4"/>
  <c r="Q1995" i="5" s="1"/>
  <c r="P1994" i="4"/>
  <c r="O1994" i="4"/>
  <c r="N1994" i="4"/>
  <c r="M1994" i="4"/>
  <c r="L1994" i="4"/>
  <c r="K1994" i="4"/>
  <c r="J1994" i="4"/>
  <c r="Q1994" i="5" s="1"/>
  <c r="P1993" i="4"/>
  <c r="O1993" i="4"/>
  <c r="N1993" i="4"/>
  <c r="M1993" i="4"/>
  <c r="L1993" i="4"/>
  <c r="K1993" i="4"/>
  <c r="J1993" i="4"/>
  <c r="Q1993" i="5" s="1"/>
  <c r="P1992" i="4"/>
  <c r="O1992" i="4"/>
  <c r="N1992" i="4"/>
  <c r="M1992" i="4"/>
  <c r="L1992" i="4"/>
  <c r="K1992" i="4"/>
  <c r="J1992" i="4"/>
  <c r="Q1992" i="5" s="1"/>
  <c r="P1991" i="4"/>
  <c r="O1991" i="4"/>
  <c r="N1991" i="4"/>
  <c r="M1991" i="4"/>
  <c r="L1991" i="4"/>
  <c r="K1991" i="4"/>
  <c r="J1991" i="4"/>
  <c r="Q1991" i="5" s="1"/>
  <c r="P1990" i="4"/>
  <c r="O1990" i="4"/>
  <c r="N1990" i="4"/>
  <c r="M1990" i="4"/>
  <c r="L1990" i="4"/>
  <c r="K1990" i="4"/>
  <c r="J1990" i="4"/>
  <c r="Q1990" i="5" s="1"/>
  <c r="P1989" i="4"/>
  <c r="O1989" i="4"/>
  <c r="N1989" i="4"/>
  <c r="M1989" i="4"/>
  <c r="L1989" i="4"/>
  <c r="K1989" i="4"/>
  <c r="J1989" i="4"/>
  <c r="Q1989" i="5" s="1"/>
  <c r="P1988" i="4"/>
  <c r="O1988" i="4"/>
  <c r="N1988" i="4"/>
  <c r="M1988" i="4"/>
  <c r="L1988" i="4"/>
  <c r="K1988" i="4"/>
  <c r="J1988" i="4"/>
  <c r="Q1988" i="5" s="1"/>
  <c r="P1987" i="4"/>
  <c r="O1987" i="4"/>
  <c r="N1987" i="4"/>
  <c r="M1987" i="4"/>
  <c r="L1987" i="4"/>
  <c r="K1987" i="4"/>
  <c r="J1987" i="4"/>
  <c r="Q1987" i="5" s="1"/>
  <c r="P1986" i="4"/>
  <c r="O1986" i="4"/>
  <c r="N1986" i="4"/>
  <c r="M1986" i="4"/>
  <c r="L1986" i="4"/>
  <c r="K1986" i="4"/>
  <c r="J1986" i="4"/>
  <c r="Q1986" i="5" s="1"/>
  <c r="P1985" i="4"/>
  <c r="O1985" i="4"/>
  <c r="N1985" i="4"/>
  <c r="M1985" i="4"/>
  <c r="L1985" i="4"/>
  <c r="K1985" i="4"/>
  <c r="J1985" i="4"/>
  <c r="Q1985" i="5" s="1"/>
  <c r="P1984" i="4"/>
  <c r="O1984" i="4"/>
  <c r="N1984" i="4"/>
  <c r="M1984" i="4"/>
  <c r="L1984" i="4"/>
  <c r="K1984" i="4"/>
  <c r="J1984" i="4"/>
  <c r="Q1984" i="5" s="1"/>
  <c r="P1983" i="4"/>
  <c r="O1983" i="4"/>
  <c r="N1983" i="4"/>
  <c r="M1983" i="4"/>
  <c r="L1983" i="4"/>
  <c r="K1983" i="4"/>
  <c r="J1983" i="4"/>
  <c r="Q1983" i="5" s="1"/>
  <c r="P1982" i="4"/>
  <c r="O1982" i="4"/>
  <c r="N1982" i="4"/>
  <c r="M1982" i="4"/>
  <c r="L1982" i="4"/>
  <c r="K1982" i="4"/>
  <c r="J1982" i="4"/>
  <c r="Q1982" i="5" s="1"/>
  <c r="P1981" i="4"/>
  <c r="O1981" i="4"/>
  <c r="N1981" i="4"/>
  <c r="M1981" i="4"/>
  <c r="L1981" i="4"/>
  <c r="K1981" i="4"/>
  <c r="J1981" i="4"/>
  <c r="Q1981" i="5" s="1"/>
  <c r="P1980" i="4"/>
  <c r="O1980" i="4"/>
  <c r="N1980" i="4"/>
  <c r="M1980" i="4"/>
  <c r="L1980" i="4"/>
  <c r="K1980" i="4"/>
  <c r="J1980" i="4"/>
  <c r="Q1980" i="5" s="1"/>
  <c r="P1979" i="4"/>
  <c r="O1979" i="4"/>
  <c r="N1979" i="4"/>
  <c r="M1979" i="4"/>
  <c r="L1979" i="4"/>
  <c r="K1979" i="4"/>
  <c r="J1979" i="4"/>
  <c r="Q1979" i="5" s="1"/>
  <c r="P1978" i="4"/>
  <c r="O1978" i="4"/>
  <c r="N1978" i="4"/>
  <c r="M1978" i="4"/>
  <c r="L1978" i="4"/>
  <c r="K1978" i="4"/>
  <c r="J1978" i="4"/>
  <c r="Q1978" i="5" s="1"/>
  <c r="P1977" i="4"/>
  <c r="O1977" i="4"/>
  <c r="N1977" i="4"/>
  <c r="M1977" i="4"/>
  <c r="L1977" i="4"/>
  <c r="K1977" i="4"/>
  <c r="J1977" i="4"/>
  <c r="Q1977" i="5" s="1"/>
  <c r="P1976" i="4"/>
  <c r="O1976" i="4"/>
  <c r="N1976" i="4"/>
  <c r="M1976" i="4"/>
  <c r="L1976" i="4"/>
  <c r="K1976" i="4"/>
  <c r="J1976" i="4"/>
  <c r="Q1976" i="5" s="1"/>
  <c r="P1975" i="4"/>
  <c r="O1975" i="4"/>
  <c r="N1975" i="4"/>
  <c r="M1975" i="4"/>
  <c r="L1975" i="4"/>
  <c r="K1975" i="4"/>
  <c r="J1975" i="4"/>
  <c r="Q1975" i="5" s="1"/>
  <c r="P1974" i="4"/>
  <c r="O1974" i="4"/>
  <c r="N1974" i="4"/>
  <c r="M1974" i="4"/>
  <c r="L1974" i="4"/>
  <c r="K1974" i="4"/>
  <c r="J1974" i="4"/>
  <c r="Q1974" i="5" s="1"/>
  <c r="P1973" i="4"/>
  <c r="O1973" i="4"/>
  <c r="N1973" i="4"/>
  <c r="M1973" i="4"/>
  <c r="L1973" i="4"/>
  <c r="K1973" i="4"/>
  <c r="J1973" i="4"/>
  <c r="Q1973" i="5" s="1"/>
  <c r="P1972" i="4"/>
  <c r="O1972" i="4"/>
  <c r="N1972" i="4"/>
  <c r="M1972" i="4"/>
  <c r="L1972" i="4"/>
  <c r="K1972" i="4"/>
  <c r="J1972" i="4"/>
  <c r="Q1972" i="5" s="1"/>
  <c r="P1971" i="4"/>
  <c r="O1971" i="4"/>
  <c r="N1971" i="4"/>
  <c r="M1971" i="4"/>
  <c r="L1971" i="4"/>
  <c r="K1971" i="4"/>
  <c r="J1971" i="4"/>
  <c r="Q1971" i="5" s="1"/>
  <c r="P1970" i="4"/>
  <c r="O1970" i="4"/>
  <c r="N1970" i="4"/>
  <c r="M1970" i="4"/>
  <c r="L1970" i="4"/>
  <c r="K1970" i="4"/>
  <c r="J1970" i="4"/>
  <c r="Q1970" i="5" s="1"/>
  <c r="P1969" i="4"/>
  <c r="O1969" i="4"/>
  <c r="N1969" i="4"/>
  <c r="M1969" i="4"/>
  <c r="L1969" i="4"/>
  <c r="K1969" i="4"/>
  <c r="J1969" i="4"/>
  <c r="Q1969" i="5" s="1"/>
  <c r="P1968" i="4"/>
  <c r="O1968" i="4"/>
  <c r="N1968" i="4"/>
  <c r="M1968" i="4"/>
  <c r="L1968" i="4"/>
  <c r="K1968" i="4"/>
  <c r="J1968" i="4"/>
  <c r="Q1968" i="5" s="1"/>
  <c r="P1967" i="4"/>
  <c r="O1967" i="4"/>
  <c r="N1967" i="4"/>
  <c r="M1967" i="4"/>
  <c r="L1967" i="4"/>
  <c r="K1967" i="4"/>
  <c r="J1967" i="4"/>
  <c r="Q1967" i="5" s="1"/>
  <c r="P1966" i="4"/>
  <c r="O1966" i="4"/>
  <c r="N1966" i="4"/>
  <c r="M1966" i="4"/>
  <c r="L1966" i="4"/>
  <c r="K1966" i="4"/>
  <c r="J1966" i="4"/>
  <c r="Q1966" i="5" s="1"/>
  <c r="P1965" i="4"/>
  <c r="O1965" i="4"/>
  <c r="N1965" i="4"/>
  <c r="M1965" i="4"/>
  <c r="L1965" i="4"/>
  <c r="K1965" i="4"/>
  <c r="J1965" i="4"/>
  <c r="Q1965" i="5" s="1"/>
  <c r="P1964" i="4"/>
  <c r="O1964" i="4"/>
  <c r="N1964" i="4"/>
  <c r="M1964" i="4"/>
  <c r="L1964" i="4"/>
  <c r="K1964" i="4"/>
  <c r="J1964" i="4"/>
  <c r="Q1964" i="5" s="1"/>
  <c r="P1963" i="4"/>
  <c r="O1963" i="4"/>
  <c r="N1963" i="4"/>
  <c r="M1963" i="4"/>
  <c r="L1963" i="4"/>
  <c r="K1963" i="4"/>
  <c r="J1963" i="4"/>
  <c r="Q1963" i="5" s="1"/>
  <c r="P1962" i="4"/>
  <c r="O1962" i="4"/>
  <c r="N1962" i="4"/>
  <c r="M1962" i="4"/>
  <c r="L1962" i="4"/>
  <c r="K1962" i="4"/>
  <c r="J1962" i="4"/>
  <c r="Q1962" i="5" s="1"/>
  <c r="P1961" i="4"/>
  <c r="O1961" i="4"/>
  <c r="N1961" i="4"/>
  <c r="M1961" i="4"/>
  <c r="L1961" i="4"/>
  <c r="K1961" i="4"/>
  <c r="J1961" i="4"/>
  <c r="Q1961" i="5" s="1"/>
  <c r="P1960" i="4"/>
  <c r="O1960" i="4"/>
  <c r="N1960" i="4"/>
  <c r="M1960" i="4"/>
  <c r="L1960" i="4"/>
  <c r="K1960" i="4"/>
  <c r="J1960" i="4"/>
  <c r="Q1960" i="5" s="1"/>
  <c r="P1959" i="4"/>
  <c r="O1959" i="4"/>
  <c r="N1959" i="4"/>
  <c r="M1959" i="4"/>
  <c r="L1959" i="4"/>
  <c r="K1959" i="4"/>
  <c r="J1959" i="4"/>
  <c r="Q1959" i="5" s="1"/>
  <c r="P1958" i="4"/>
  <c r="O1958" i="4"/>
  <c r="N1958" i="4"/>
  <c r="M1958" i="4"/>
  <c r="L1958" i="4"/>
  <c r="K1958" i="4"/>
  <c r="J1958" i="4"/>
  <c r="Q1958" i="5" s="1"/>
  <c r="P1957" i="4"/>
  <c r="O1957" i="4"/>
  <c r="N1957" i="4"/>
  <c r="M1957" i="4"/>
  <c r="L1957" i="4"/>
  <c r="K1957" i="4"/>
  <c r="J1957" i="4"/>
  <c r="Q1957" i="5" s="1"/>
  <c r="P1956" i="4"/>
  <c r="O1956" i="4"/>
  <c r="N1956" i="4"/>
  <c r="M1956" i="4"/>
  <c r="L1956" i="4"/>
  <c r="K1956" i="4"/>
  <c r="J1956" i="4"/>
  <c r="Q1956" i="5" s="1"/>
  <c r="P1955" i="4"/>
  <c r="O1955" i="4"/>
  <c r="N1955" i="4"/>
  <c r="M1955" i="4"/>
  <c r="L1955" i="4"/>
  <c r="K1955" i="4"/>
  <c r="J1955" i="4"/>
  <c r="Q1955" i="5" s="1"/>
  <c r="P1954" i="4"/>
  <c r="O1954" i="4"/>
  <c r="N1954" i="4"/>
  <c r="M1954" i="4"/>
  <c r="L1954" i="4"/>
  <c r="K1954" i="4"/>
  <c r="J1954" i="4"/>
  <c r="Q1954" i="5" s="1"/>
  <c r="P1953" i="4"/>
  <c r="O1953" i="4"/>
  <c r="N1953" i="4"/>
  <c r="M1953" i="4"/>
  <c r="L1953" i="4"/>
  <c r="K1953" i="4"/>
  <c r="J1953" i="4"/>
  <c r="Q1953" i="5" s="1"/>
  <c r="P1952" i="4"/>
  <c r="O1952" i="4"/>
  <c r="N1952" i="4"/>
  <c r="M1952" i="4"/>
  <c r="L1952" i="4"/>
  <c r="K1952" i="4"/>
  <c r="J1952" i="4"/>
  <c r="Q1952" i="5" s="1"/>
  <c r="P1951" i="4"/>
  <c r="O1951" i="4"/>
  <c r="N1951" i="4"/>
  <c r="M1951" i="4"/>
  <c r="L1951" i="4"/>
  <c r="K1951" i="4"/>
  <c r="J1951" i="4"/>
  <c r="Q1951" i="5" s="1"/>
  <c r="P1950" i="4"/>
  <c r="O1950" i="4"/>
  <c r="N1950" i="4"/>
  <c r="M1950" i="4"/>
  <c r="L1950" i="4"/>
  <c r="K1950" i="4"/>
  <c r="J1950" i="4"/>
  <c r="Q1950" i="5" s="1"/>
  <c r="P1949" i="4"/>
  <c r="O1949" i="4"/>
  <c r="N1949" i="4"/>
  <c r="M1949" i="4"/>
  <c r="L1949" i="4"/>
  <c r="K1949" i="4"/>
  <c r="J1949" i="4"/>
  <c r="Q1949" i="5" s="1"/>
  <c r="P1948" i="4"/>
  <c r="O1948" i="4"/>
  <c r="N1948" i="4"/>
  <c r="M1948" i="4"/>
  <c r="L1948" i="4"/>
  <c r="K1948" i="4"/>
  <c r="J1948" i="4"/>
  <c r="Q1948" i="5" s="1"/>
  <c r="P1947" i="4"/>
  <c r="O1947" i="4"/>
  <c r="N1947" i="4"/>
  <c r="M1947" i="4"/>
  <c r="L1947" i="4"/>
  <c r="K1947" i="4"/>
  <c r="J1947" i="4"/>
  <c r="Q1947" i="5" s="1"/>
  <c r="P1946" i="4"/>
  <c r="O1946" i="4"/>
  <c r="N1946" i="4"/>
  <c r="M1946" i="4"/>
  <c r="L1946" i="4"/>
  <c r="K1946" i="4"/>
  <c r="J1946" i="4"/>
  <c r="Q1946" i="5" s="1"/>
  <c r="P1945" i="4"/>
  <c r="O1945" i="4"/>
  <c r="N1945" i="4"/>
  <c r="M1945" i="4"/>
  <c r="L1945" i="4"/>
  <c r="K1945" i="4"/>
  <c r="J1945" i="4"/>
  <c r="Q1945" i="5" s="1"/>
  <c r="P1944" i="4"/>
  <c r="O1944" i="4"/>
  <c r="N1944" i="4"/>
  <c r="M1944" i="4"/>
  <c r="L1944" i="4"/>
  <c r="K1944" i="4"/>
  <c r="J1944" i="4"/>
  <c r="Q1944" i="5" s="1"/>
  <c r="P1943" i="4"/>
  <c r="O1943" i="4"/>
  <c r="N1943" i="4"/>
  <c r="M1943" i="4"/>
  <c r="L1943" i="4"/>
  <c r="K1943" i="4"/>
  <c r="J1943" i="4"/>
  <c r="Q1943" i="5" s="1"/>
  <c r="P1942" i="4"/>
  <c r="O1942" i="4"/>
  <c r="N1942" i="4"/>
  <c r="M1942" i="4"/>
  <c r="L1942" i="4"/>
  <c r="K1942" i="4"/>
  <c r="J1942" i="4"/>
  <c r="Q1942" i="5" s="1"/>
  <c r="P1941" i="4"/>
  <c r="O1941" i="4"/>
  <c r="N1941" i="4"/>
  <c r="M1941" i="4"/>
  <c r="L1941" i="4"/>
  <c r="K1941" i="4"/>
  <c r="J1941" i="4"/>
  <c r="Q1941" i="5" s="1"/>
  <c r="P1940" i="4"/>
  <c r="O1940" i="4"/>
  <c r="N1940" i="4"/>
  <c r="M1940" i="4"/>
  <c r="L1940" i="4"/>
  <c r="K1940" i="4"/>
  <c r="J1940" i="4"/>
  <c r="Q1940" i="5" s="1"/>
  <c r="P1939" i="4"/>
  <c r="O1939" i="4"/>
  <c r="N1939" i="4"/>
  <c r="M1939" i="4"/>
  <c r="L1939" i="4"/>
  <c r="K1939" i="4"/>
  <c r="J1939" i="4"/>
  <c r="Q1939" i="5" s="1"/>
  <c r="P1938" i="4"/>
  <c r="O1938" i="4"/>
  <c r="N1938" i="4"/>
  <c r="M1938" i="4"/>
  <c r="L1938" i="4"/>
  <c r="K1938" i="4"/>
  <c r="J1938" i="4"/>
  <c r="Q1938" i="5" s="1"/>
  <c r="P1937" i="4"/>
  <c r="O1937" i="4"/>
  <c r="N1937" i="4"/>
  <c r="M1937" i="4"/>
  <c r="L1937" i="4"/>
  <c r="K1937" i="4"/>
  <c r="J1937" i="4"/>
  <c r="Q1937" i="5" s="1"/>
  <c r="P1936" i="4"/>
  <c r="O1936" i="4"/>
  <c r="N1936" i="4"/>
  <c r="M1936" i="4"/>
  <c r="L1936" i="4"/>
  <c r="K1936" i="4"/>
  <c r="J1936" i="4"/>
  <c r="Q1936" i="5" s="1"/>
  <c r="P1935" i="4"/>
  <c r="O1935" i="4"/>
  <c r="N1935" i="4"/>
  <c r="M1935" i="4"/>
  <c r="L1935" i="4"/>
  <c r="K1935" i="4"/>
  <c r="J1935" i="4"/>
  <c r="Q1935" i="5" s="1"/>
  <c r="P1934" i="4"/>
  <c r="O1934" i="4"/>
  <c r="N1934" i="4"/>
  <c r="M1934" i="4"/>
  <c r="L1934" i="4"/>
  <c r="K1934" i="4"/>
  <c r="J1934" i="4"/>
  <c r="Q1934" i="5" s="1"/>
  <c r="P1933" i="4"/>
  <c r="O1933" i="4"/>
  <c r="N1933" i="4"/>
  <c r="M1933" i="4"/>
  <c r="L1933" i="4"/>
  <c r="K1933" i="4"/>
  <c r="J1933" i="4"/>
  <c r="Q1933" i="5" s="1"/>
  <c r="P1932" i="4"/>
  <c r="O1932" i="4"/>
  <c r="N1932" i="4"/>
  <c r="M1932" i="4"/>
  <c r="L1932" i="4"/>
  <c r="K1932" i="4"/>
  <c r="J1932" i="4"/>
  <c r="Q1932" i="5" s="1"/>
  <c r="P1931" i="4"/>
  <c r="O1931" i="4"/>
  <c r="N1931" i="4"/>
  <c r="M1931" i="4"/>
  <c r="L1931" i="4"/>
  <c r="K1931" i="4"/>
  <c r="J1931" i="4"/>
  <c r="Q1931" i="5" s="1"/>
  <c r="P1930" i="4"/>
  <c r="O1930" i="4"/>
  <c r="N1930" i="4"/>
  <c r="M1930" i="4"/>
  <c r="L1930" i="4"/>
  <c r="K1930" i="4"/>
  <c r="J1930" i="4"/>
  <c r="Q1930" i="5" s="1"/>
  <c r="P1929" i="4"/>
  <c r="O1929" i="4"/>
  <c r="N1929" i="4"/>
  <c r="M1929" i="4"/>
  <c r="L1929" i="4"/>
  <c r="K1929" i="4"/>
  <c r="J1929" i="4"/>
  <c r="Q1929" i="5" s="1"/>
  <c r="P1928" i="4"/>
  <c r="O1928" i="4"/>
  <c r="N1928" i="4"/>
  <c r="M1928" i="4"/>
  <c r="L1928" i="4"/>
  <c r="K1928" i="4"/>
  <c r="J1928" i="4"/>
  <c r="Q1928" i="5" s="1"/>
  <c r="P1927" i="4"/>
  <c r="O1927" i="4"/>
  <c r="N1927" i="4"/>
  <c r="M1927" i="4"/>
  <c r="L1927" i="4"/>
  <c r="K1927" i="4"/>
  <c r="J1927" i="4"/>
  <c r="Q1927" i="5" s="1"/>
  <c r="P1926" i="4"/>
  <c r="O1926" i="4"/>
  <c r="N1926" i="4"/>
  <c r="M1926" i="4"/>
  <c r="L1926" i="4"/>
  <c r="K1926" i="4"/>
  <c r="J1926" i="4"/>
  <c r="Q1926" i="5" s="1"/>
  <c r="P1925" i="4"/>
  <c r="O1925" i="4"/>
  <c r="N1925" i="4"/>
  <c r="M1925" i="4"/>
  <c r="L1925" i="4"/>
  <c r="K1925" i="4"/>
  <c r="J1925" i="4"/>
  <c r="Q1925" i="5" s="1"/>
  <c r="P1924" i="4"/>
  <c r="O1924" i="4"/>
  <c r="N1924" i="4"/>
  <c r="M1924" i="4"/>
  <c r="L1924" i="4"/>
  <c r="K1924" i="4"/>
  <c r="J1924" i="4"/>
  <c r="Q1924" i="5" s="1"/>
  <c r="P1923" i="4"/>
  <c r="O1923" i="4"/>
  <c r="N1923" i="4"/>
  <c r="M1923" i="4"/>
  <c r="L1923" i="4"/>
  <c r="K1923" i="4"/>
  <c r="J1923" i="4"/>
  <c r="Q1923" i="5" s="1"/>
  <c r="P1922" i="4"/>
  <c r="O1922" i="4"/>
  <c r="N1922" i="4"/>
  <c r="M1922" i="4"/>
  <c r="L1922" i="4"/>
  <c r="K1922" i="4"/>
  <c r="J1922" i="4"/>
  <c r="Q1922" i="5" s="1"/>
  <c r="P1921" i="4"/>
  <c r="O1921" i="4"/>
  <c r="N1921" i="4"/>
  <c r="M1921" i="4"/>
  <c r="L1921" i="4"/>
  <c r="K1921" i="4"/>
  <c r="J1921" i="4"/>
  <c r="Q1921" i="5" s="1"/>
  <c r="P1920" i="4"/>
  <c r="O1920" i="4"/>
  <c r="N1920" i="4"/>
  <c r="M1920" i="4"/>
  <c r="L1920" i="4"/>
  <c r="K1920" i="4"/>
  <c r="J1920" i="4"/>
  <c r="Q1920" i="5" s="1"/>
  <c r="P1919" i="4"/>
  <c r="O1919" i="4"/>
  <c r="N1919" i="4"/>
  <c r="M1919" i="4"/>
  <c r="L1919" i="4"/>
  <c r="K1919" i="4"/>
  <c r="J1919" i="4"/>
  <c r="Q1919" i="5" s="1"/>
  <c r="P1918" i="4"/>
  <c r="O1918" i="4"/>
  <c r="N1918" i="4"/>
  <c r="M1918" i="4"/>
  <c r="L1918" i="4"/>
  <c r="K1918" i="4"/>
  <c r="J1918" i="4"/>
  <c r="Q1918" i="5" s="1"/>
  <c r="P1917" i="4"/>
  <c r="O1917" i="4"/>
  <c r="N1917" i="4"/>
  <c r="M1917" i="4"/>
  <c r="L1917" i="4"/>
  <c r="K1917" i="4"/>
  <c r="J1917" i="4"/>
  <c r="Q1917" i="5" s="1"/>
  <c r="P1916" i="4"/>
  <c r="O1916" i="4"/>
  <c r="N1916" i="4"/>
  <c r="M1916" i="4"/>
  <c r="L1916" i="4"/>
  <c r="K1916" i="4"/>
  <c r="J1916" i="4"/>
  <c r="Q1916" i="5" s="1"/>
  <c r="P1915" i="4"/>
  <c r="O1915" i="4"/>
  <c r="N1915" i="4"/>
  <c r="M1915" i="4"/>
  <c r="L1915" i="4"/>
  <c r="K1915" i="4"/>
  <c r="J1915" i="4"/>
  <c r="Q1915" i="5" s="1"/>
  <c r="P1914" i="4"/>
  <c r="O1914" i="4"/>
  <c r="N1914" i="4"/>
  <c r="M1914" i="4"/>
  <c r="L1914" i="4"/>
  <c r="K1914" i="4"/>
  <c r="J1914" i="4"/>
  <c r="Q1914" i="5" s="1"/>
  <c r="P1913" i="4"/>
  <c r="O1913" i="4"/>
  <c r="N1913" i="4"/>
  <c r="M1913" i="4"/>
  <c r="L1913" i="4"/>
  <c r="K1913" i="4"/>
  <c r="J1913" i="4"/>
  <c r="Q1913" i="5" s="1"/>
  <c r="P1912" i="4"/>
  <c r="O1912" i="4"/>
  <c r="N1912" i="4"/>
  <c r="M1912" i="4"/>
  <c r="L1912" i="4"/>
  <c r="K1912" i="4"/>
  <c r="J1912" i="4"/>
  <c r="Q1912" i="5" s="1"/>
  <c r="P1911" i="4"/>
  <c r="O1911" i="4"/>
  <c r="N1911" i="4"/>
  <c r="M1911" i="4"/>
  <c r="L1911" i="4"/>
  <c r="K1911" i="4"/>
  <c r="J1911" i="4"/>
  <c r="Q1911" i="5" s="1"/>
  <c r="P1910" i="4"/>
  <c r="O1910" i="4"/>
  <c r="N1910" i="4"/>
  <c r="M1910" i="4"/>
  <c r="L1910" i="4"/>
  <c r="K1910" i="4"/>
  <c r="J1910" i="4"/>
  <c r="Q1910" i="5" s="1"/>
  <c r="P1909" i="4"/>
  <c r="O1909" i="4"/>
  <c r="N1909" i="4"/>
  <c r="M1909" i="4"/>
  <c r="L1909" i="4"/>
  <c r="K1909" i="4"/>
  <c r="J1909" i="4"/>
  <c r="Q1909" i="5" s="1"/>
  <c r="P1908" i="4"/>
  <c r="O1908" i="4"/>
  <c r="N1908" i="4"/>
  <c r="M1908" i="4"/>
  <c r="L1908" i="4"/>
  <c r="K1908" i="4"/>
  <c r="J1908" i="4"/>
  <c r="Q1908" i="5" s="1"/>
  <c r="P1907" i="4"/>
  <c r="O1907" i="4"/>
  <c r="N1907" i="4"/>
  <c r="M1907" i="4"/>
  <c r="L1907" i="4"/>
  <c r="K1907" i="4"/>
  <c r="J1907" i="4"/>
  <c r="Q1907" i="5" s="1"/>
  <c r="P1906" i="4"/>
  <c r="O1906" i="4"/>
  <c r="N1906" i="4"/>
  <c r="M1906" i="4"/>
  <c r="L1906" i="4"/>
  <c r="K1906" i="4"/>
  <c r="J1906" i="4"/>
  <c r="Q1906" i="5" s="1"/>
  <c r="P1905" i="4"/>
  <c r="O1905" i="4"/>
  <c r="N1905" i="4"/>
  <c r="M1905" i="4"/>
  <c r="L1905" i="4"/>
  <c r="K1905" i="4"/>
  <c r="J1905" i="4"/>
  <c r="Q1905" i="5" s="1"/>
  <c r="P1904" i="4"/>
  <c r="O1904" i="4"/>
  <c r="N1904" i="4"/>
  <c r="M1904" i="4"/>
  <c r="L1904" i="4"/>
  <c r="K1904" i="4"/>
  <c r="J1904" i="4"/>
  <c r="Q1904" i="5" s="1"/>
  <c r="P1903" i="4"/>
  <c r="O1903" i="4"/>
  <c r="N1903" i="4"/>
  <c r="M1903" i="4"/>
  <c r="L1903" i="4"/>
  <c r="K1903" i="4"/>
  <c r="J1903" i="4"/>
  <c r="Q1903" i="5" s="1"/>
  <c r="P1902" i="4"/>
  <c r="O1902" i="4"/>
  <c r="N1902" i="4"/>
  <c r="M1902" i="4"/>
  <c r="L1902" i="4"/>
  <c r="K1902" i="4"/>
  <c r="J1902" i="4"/>
  <c r="Q1902" i="5" s="1"/>
  <c r="P1901" i="4"/>
  <c r="O1901" i="4"/>
  <c r="N1901" i="4"/>
  <c r="M1901" i="4"/>
  <c r="L1901" i="4"/>
  <c r="K1901" i="4"/>
  <c r="J1901" i="4"/>
  <c r="Q1901" i="5" s="1"/>
  <c r="P1900" i="4"/>
  <c r="O1900" i="4"/>
  <c r="N1900" i="4"/>
  <c r="M1900" i="4"/>
  <c r="L1900" i="4"/>
  <c r="K1900" i="4"/>
  <c r="J1900" i="4"/>
  <c r="Q1900" i="5" s="1"/>
  <c r="P1899" i="4"/>
  <c r="O1899" i="4"/>
  <c r="N1899" i="4"/>
  <c r="M1899" i="4"/>
  <c r="L1899" i="4"/>
  <c r="K1899" i="4"/>
  <c r="J1899" i="4"/>
  <c r="Q1899" i="5" s="1"/>
  <c r="P1898" i="4"/>
  <c r="O1898" i="4"/>
  <c r="N1898" i="4"/>
  <c r="M1898" i="4"/>
  <c r="L1898" i="4"/>
  <c r="K1898" i="4"/>
  <c r="J1898" i="4"/>
  <c r="Q1898" i="5" s="1"/>
  <c r="P1897" i="4"/>
  <c r="O1897" i="4"/>
  <c r="N1897" i="4"/>
  <c r="M1897" i="4"/>
  <c r="L1897" i="4"/>
  <c r="K1897" i="4"/>
  <c r="J1897" i="4"/>
  <c r="Q1897" i="5" s="1"/>
  <c r="P1896" i="4"/>
  <c r="O1896" i="4"/>
  <c r="N1896" i="4"/>
  <c r="M1896" i="4"/>
  <c r="L1896" i="4"/>
  <c r="K1896" i="4"/>
  <c r="J1896" i="4"/>
  <c r="Q1896" i="5" s="1"/>
  <c r="P1895" i="4"/>
  <c r="O1895" i="4"/>
  <c r="N1895" i="4"/>
  <c r="M1895" i="4"/>
  <c r="L1895" i="4"/>
  <c r="K1895" i="4"/>
  <c r="J1895" i="4"/>
  <c r="Q1895" i="5" s="1"/>
  <c r="P1894" i="4"/>
  <c r="O1894" i="4"/>
  <c r="N1894" i="4"/>
  <c r="M1894" i="4"/>
  <c r="L1894" i="4"/>
  <c r="K1894" i="4"/>
  <c r="J1894" i="4"/>
  <c r="Q1894" i="5" s="1"/>
  <c r="P1893" i="4"/>
  <c r="O1893" i="4"/>
  <c r="N1893" i="4"/>
  <c r="M1893" i="4"/>
  <c r="L1893" i="4"/>
  <c r="K1893" i="4"/>
  <c r="J1893" i="4"/>
  <c r="Q1893" i="5" s="1"/>
  <c r="P1892" i="4"/>
  <c r="O1892" i="4"/>
  <c r="N1892" i="4"/>
  <c r="M1892" i="4"/>
  <c r="L1892" i="4"/>
  <c r="K1892" i="4"/>
  <c r="J1892" i="4"/>
  <c r="Q1892" i="5" s="1"/>
  <c r="P1891" i="4"/>
  <c r="O1891" i="4"/>
  <c r="N1891" i="4"/>
  <c r="M1891" i="4"/>
  <c r="L1891" i="4"/>
  <c r="K1891" i="4"/>
  <c r="J1891" i="4"/>
  <c r="Q1891" i="5" s="1"/>
  <c r="P1890" i="4"/>
  <c r="O1890" i="4"/>
  <c r="N1890" i="4"/>
  <c r="M1890" i="4"/>
  <c r="L1890" i="4"/>
  <c r="K1890" i="4"/>
  <c r="J1890" i="4"/>
  <c r="Q1890" i="5" s="1"/>
  <c r="P1889" i="4"/>
  <c r="O1889" i="4"/>
  <c r="N1889" i="4"/>
  <c r="M1889" i="4"/>
  <c r="L1889" i="4"/>
  <c r="K1889" i="4"/>
  <c r="J1889" i="4"/>
  <c r="Q1889" i="5" s="1"/>
  <c r="P1888" i="4"/>
  <c r="O1888" i="4"/>
  <c r="N1888" i="4"/>
  <c r="M1888" i="4"/>
  <c r="L1888" i="4"/>
  <c r="K1888" i="4"/>
  <c r="J1888" i="4"/>
  <c r="Q1888" i="5" s="1"/>
  <c r="P1887" i="4"/>
  <c r="O1887" i="4"/>
  <c r="N1887" i="4"/>
  <c r="M1887" i="4"/>
  <c r="L1887" i="4"/>
  <c r="K1887" i="4"/>
  <c r="J1887" i="4"/>
  <c r="Q1887" i="5" s="1"/>
  <c r="P1886" i="4"/>
  <c r="O1886" i="4"/>
  <c r="N1886" i="4"/>
  <c r="M1886" i="4"/>
  <c r="L1886" i="4"/>
  <c r="K1886" i="4"/>
  <c r="J1886" i="4"/>
  <c r="Q1886" i="5" s="1"/>
  <c r="P1885" i="4"/>
  <c r="O1885" i="4"/>
  <c r="N1885" i="4"/>
  <c r="M1885" i="4"/>
  <c r="L1885" i="4"/>
  <c r="K1885" i="4"/>
  <c r="J1885" i="4"/>
  <c r="Q1885" i="5" s="1"/>
  <c r="P1884" i="4"/>
  <c r="O1884" i="4"/>
  <c r="N1884" i="4"/>
  <c r="M1884" i="4"/>
  <c r="L1884" i="4"/>
  <c r="K1884" i="4"/>
  <c r="J1884" i="4"/>
  <c r="Q1884" i="5" s="1"/>
  <c r="P1883" i="4"/>
  <c r="O1883" i="4"/>
  <c r="N1883" i="4"/>
  <c r="M1883" i="4"/>
  <c r="L1883" i="4"/>
  <c r="K1883" i="4"/>
  <c r="J1883" i="4"/>
  <c r="Q1883" i="5" s="1"/>
  <c r="P1882" i="4"/>
  <c r="O1882" i="4"/>
  <c r="N1882" i="4"/>
  <c r="M1882" i="4"/>
  <c r="L1882" i="4"/>
  <c r="K1882" i="4"/>
  <c r="J1882" i="4"/>
  <c r="Q1882" i="5" s="1"/>
  <c r="P1881" i="4"/>
  <c r="O1881" i="4"/>
  <c r="N1881" i="4"/>
  <c r="M1881" i="4"/>
  <c r="L1881" i="4"/>
  <c r="K1881" i="4"/>
  <c r="J1881" i="4"/>
  <c r="Q1881" i="5" s="1"/>
  <c r="P1880" i="4"/>
  <c r="O1880" i="4"/>
  <c r="N1880" i="4"/>
  <c r="M1880" i="4"/>
  <c r="L1880" i="4"/>
  <c r="K1880" i="4"/>
  <c r="J1880" i="4"/>
  <c r="Q1880" i="5" s="1"/>
  <c r="P1879" i="4"/>
  <c r="O1879" i="4"/>
  <c r="N1879" i="4"/>
  <c r="M1879" i="4"/>
  <c r="L1879" i="4"/>
  <c r="K1879" i="4"/>
  <c r="J1879" i="4"/>
  <c r="Q1879" i="5" s="1"/>
  <c r="P1878" i="4"/>
  <c r="O1878" i="4"/>
  <c r="N1878" i="4"/>
  <c r="M1878" i="4"/>
  <c r="L1878" i="4"/>
  <c r="K1878" i="4"/>
  <c r="J1878" i="4"/>
  <c r="Q1878" i="5" s="1"/>
  <c r="P1877" i="4"/>
  <c r="O1877" i="4"/>
  <c r="N1877" i="4"/>
  <c r="M1877" i="4"/>
  <c r="L1877" i="4"/>
  <c r="K1877" i="4"/>
  <c r="J1877" i="4"/>
  <c r="Q1877" i="5" s="1"/>
  <c r="P1876" i="4"/>
  <c r="O1876" i="4"/>
  <c r="N1876" i="4"/>
  <c r="M1876" i="4"/>
  <c r="L1876" i="4"/>
  <c r="K1876" i="4"/>
  <c r="J1876" i="4"/>
  <c r="Q1876" i="5" s="1"/>
  <c r="P1875" i="4"/>
  <c r="O1875" i="4"/>
  <c r="N1875" i="4"/>
  <c r="M1875" i="4"/>
  <c r="L1875" i="4"/>
  <c r="K1875" i="4"/>
  <c r="J1875" i="4"/>
  <c r="Q1875" i="5" s="1"/>
  <c r="P1874" i="4"/>
  <c r="O1874" i="4"/>
  <c r="N1874" i="4"/>
  <c r="M1874" i="4"/>
  <c r="L1874" i="4"/>
  <c r="K1874" i="4"/>
  <c r="J1874" i="4"/>
  <c r="Q1874" i="5" s="1"/>
  <c r="P1873" i="4"/>
  <c r="O1873" i="4"/>
  <c r="N1873" i="4"/>
  <c r="M1873" i="4"/>
  <c r="L1873" i="4"/>
  <c r="K1873" i="4"/>
  <c r="J1873" i="4"/>
  <c r="Q1873" i="5" s="1"/>
  <c r="P1872" i="4"/>
  <c r="O1872" i="4"/>
  <c r="N1872" i="4"/>
  <c r="M1872" i="4"/>
  <c r="L1872" i="4"/>
  <c r="K1872" i="4"/>
  <c r="J1872" i="4"/>
  <c r="Q1872" i="5" s="1"/>
  <c r="P1871" i="4"/>
  <c r="O1871" i="4"/>
  <c r="N1871" i="4"/>
  <c r="M1871" i="4"/>
  <c r="L1871" i="4"/>
  <c r="K1871" i="4"/>
  <c r="J1871" i="4"/>
  <c r="Q1871" i="5" s="1"/>
  <c r="P1870" i="4"/>
  <c r="O1870" i="4"/>
  <c r="N1870" i="4"/>
  <c r="M1870" i="4"/>
  <c r="L1870" i="4"/>
  <c r="K1870" i="4"/>
  <c r="J1870" i="4"/>
  <c r="Q1870" i="5" s="1"/>
  <c r="P1869" i="4"/>
  <c r="O1869" i="4"/>
  <c r="N1869" i="4"/>
  <c r="M1869" i="4"/>
  <c r="L1869" i="4"/>
  <c r="K1869" i="4"/>
  <c r="J1869" i="4"/>
  <c r="Q1869" i="5" s="1"/>
  <c r="P1868" i="4"/>
  <c r="O1868" i="4"/>
  <c r="N1868" i="4"/>
  <c r="M1868" i="4"/>
  <c r="L1868" i="4"/>
  <c r="K1868" i="4"/>
  <c r="J1868" i="4"/>
  <c r="Q1868" i="5" s="1"/>
  <c r="P1867" i="4"/>
  <c r="O1867" i="4"/>
  <c r="N1867" i="4"/>
  <c r="M1867" i="4"/>
  <c r="L1867" i="4"/>
  <c r="K1867" i="4"/>
  <c r="J1867" i="4"/>
  <c r="Q1867" i="5" s="1"/>
  <c r="P1866" i="4"/>
  <c r="O1866" i="4"/>
  <c r="N1866" i="4"/>
  <c r="M1866" i="4"/>
  <c r="L1866" i="4"/>
  <c r="K1866" i="4"/>
  <c r="J1866" i="4"/>
  <c r="Q1866" i="5" s="1"/>
  <c r="P1865" i="4"/>
  <c r="O1865" i="4"/>
  <c r="N1865" i="4"/>
  <c r="M1865" i="4"/>
  <c r="L1865" i="4"/>
  <c r="K1865" i="4"/>
  <c r="J1865" i="4"/>
  <c r="Q1865" i="5" s="1"/>
  <c r="P1864" i="4"/>
  <c r="O1864" i="4"/>
  <c r="N1864" i="4"/>
  <c r="M1864" i="4"/>
  <c r="L1864" i="4"/>
  <c r="K1864" i="4"/>
  <c r="J1864" i="4"/>
  <c r="Q1864" i="5" s="1"/>
  <c r="P1863" i="4"/>
  <c r="O1863" i="4"/>
  <c r="N1863" i="4"/>
  <c r="M1863" i="4"/>
  <c r="L1863" i="4"/>
  <c r="K1863" i="4"/>
  <c r="J1863" i="4"/>
  <c r="Q1863" i="5" s="1"/>
  <c r="P1862" i="4"/>
  <c r="O1862" i="4"/>
  <c r="N1862" i="4"/>
  <c r="M1862" i="4"/>
  <c r="L1862" i="4"/>
  <c r="K1862" i="4"/>
  <c r="J1862" i="4"/>
  <c r="Q1862" i="5" s="1"/>
  <c r="P1861" i="4"/>
  <c r="O1861" i="4"/>
  <c r="N1861" i="4"/>
  <c r="M1861" i="4"/>
  <c r="L1861" i="4"/>
  <c r="K1861" i="4"/>
  <c r="J1861" i="4"/>
  <c r="Q1861" i="5" s="1"/>
  <c r="P1860" i="4"/>
  <c r="O1860" i="4"/>
  <c r="N1860" i="4"/>
  <c r="M1860" i="4"/>
  <c r="L1860" i="4"/>
  <c r="K1860" i="4"/>
  <c r="J1860" i="4"/>
  <c r="Q1860" i="5" s="1"/>
  <c r="P1859" i="4"/>
  <c r="O1859" i="4"/>
  <c r="N1859" i="4"/>
  <c r="M1859" i="4"/>
  <c r="L1859" i="4"/>
  <c r="K1859" i="4"/>
  <c r="J1859" i="4"/>
  <c r="Q1859" i="5" s="1"/>
  <c r="P1858" i="4"/>
  <c r="O1858" i="4"/>
  <c r="N1858" i="4"/>
  <c r="M1858" i="4"/>
  <c r="L1858" i="4"/>
  <c r="K1858" i="4"/>
  <c r="J1858" i="4"/>
  <c r="Q1858" i="5" s="1"/>
  <c r="P1857" i="4"/>
  <c r="O1857" i="4"/>
  <c r="N1857" i="4"/>
  <c r="M1857" i="4"/>
  <c r="L1857" i="4"/>
  <c r="K1857" i="4"/>
  <c r="J1857" i="4"/>
  <c r="Q1857" i="5" s="1"/>
  <c r="P1856" i="4"/>
  <c r="O1856" i="4"/>
  <c r="N1856" i="4"/>
  <c r="M1856" i="4"/>
  <c r="L1856" i="4"/>
  <c r="K1856" i="4"/>
  <c r="J1856" i="4"/>
  <c r="Q1856" i="5" s="1"/>
  <c r="P1855" i="4"/>
  <c r="O1855" i="4"/>
  <c r="N1855" i="4"/>
  <c r="M1855" i="4"/>
  <c r="L1855" i="4"/>
  <c r="K1855" i="4"/>
  <c r="J1855" i="4"/>
  <c r="Q1855" i="5" s="1"/>
  <c r="P1854" i="4"/>
  <c r="O1854" i="4"/>
  <c r="N1854" i="4"/>
  <c r="M1854" i="4"/>
  <c r="L1854" i="4"/>
  <c r="K1854" i="4"/>
  <c r="J1854" i="4"/>
  <c r="Q1854" i="5" s="1"/>
  <c r="P1853" i="4"/>
  <c r="O1853" i="4"/>
  <c r="N1853" i="4"/>
  <c r="M1853" i="4"/>
  <c r="L1853" i="4"/>
  <c r="K1853" i="4"/>
  <c r="J1853" i="4"/>
  <c r="Q1853" i="5" s="1"/>
  <c r="P1852" i="4"/>
  <c r="O1852" i="4"/>
  <c r="N1852" i="4"/>
  <c r="M1852" i="4"/>
  <c r="L1852" i="4"/>
  <c r="K1852" i="4"/>
  <c r="J1852" i="4"/>
  <c r="Q1852" i="5" s="1"/>
  <c r="P1851" i="4"/>
  <c r="O1851" i="4"/>
  <c r="N1851" i="4"/>
  <c r="M1851" i="4"/>
  <c r="L1851" i="4"/>
  <c r="K1851" i="4"/>
  <c r="J1851" i="4"/>
  <c r="Q1851" i="5" s="1"/>
  <c r="P1850" i="4"/>
  <c r="O1850" i="4"/>
  <c r="N1850" i="4"/>
  <c r="M1850" i="4"/>
  <c r="L1850" i="4"/>
  <c r="K1850" i="4"/>
  <c r="J1850" i="4"/>
  <c r="Q1850" i="5" s="1"/>
  <c r="P1849" i="4"/>
  <c r="O1849" i="4"/>
  <c r="N1849" i="4"/>
  <c r="M1849" i="4"/>
  <c r="L1849" i="4"/>
  <c r="K1849" i="4"/>
  <c r="J1849" i="4"/>
  <c r="Q1849" i="5" s="1"/>
  <c r="P1848" i="4"/>
  <c r="O1848" i="4"/>
  <c r="N1848" i="4"/>
  <c r="M1848" i="4"/>
  <c r="L1848" i="4"/>
  <c r="K1848" i="4"/>
  <c r="J1848" i="4"/>
  <c r="Q1848" i="5" s="1"/>
  <c r="P1847" i="4"/>
  <c r="O1847" i="4"/>
  <c r="N1847" i="4"/>
  <c r="M1847" i="4"/>
  <c r="L1847" i="4"/>
  <c r="K1847" i="4"/>
  <c r="J1847" i="4"/>
  <c r="Q1847" i="5" s="1"/>
  <c r="P1846" i="4"/>
  <c r="O1846" i="4"/>
  <c r="N1846" i="4"/>
  <c r="M1846" i="4"/>
  <c r="L1846" i="4"/>
  <c r="K1846" i="4"/>
  <c r="J1846" i="4"/>
  <c r="Q1846" i="5" s="1"/>
  <c r="P1845" i="4"/>
  <c r="O1845" i="4"/>
  <c r="N1845" i="4"/>
  <c r="M1845" i="4"/>
  <c r="L1845" i="4"/>
  <c r="K1845" i="4"/>
  <c r="J1845" i="4"/>
  <c r="Q1845" i="5" s="1"/>
  <c r="P1844" i="4"/>
  <c r="O1844" i="4"/>
  <c r="N1844" i="4"/>
  <c r="M1844" i="4"/>
  <c r="L1844" i="4"/>
  <c r="K1844" i="4"/>
  <c r="J1844" i="4"/>
  <c r="Q1844" i="5" s="1"/>
  <c r="P1843" i="4"/>
  <c r="O1843" i="4"/>
  <c r="N1843" i="4"/>
  <c r="M1843" i="4"/>
  <c r="L1843" i="4"/>
  <c r="K1843" i="4"/>
  <c r="J1843" i="4"/>
  <c r="Q1843" i="5" s="1"/>
  <c r="P1842" i="4"/>
  <c r="O1842" i="4"/>
  <c r="N1842" i="4"/>
  <c r="M1842" i="4"/>
  <c r="L1842" i="4"/>
  <c r="K1842" i="4"/>
  <c r="J1842" i="4"/>
  <c r="Q1842" i="5" s="1"/>
  <c r="P1841" i="4"/>
  <c r="O1841" i="4"/>
  <c r="N1841" i="4"/>
  <c r="M1841" i="4"/>
  <c r="L1841" i="4"/>
  <c r="K1841" i="4"/>
  <c r="J1841" i="4"/>
  <c r="Q1841" i="5" s="1"/>
  <c r="P1840" i="4"/>
  <c r="O1840" i="4"/>
  <c r="N1840" i="4"/>
  <c r="M1840" i="4"/>
  <c r="L1840" i="4"/>
  <c r="K1840" i="4"/>
  <c r="J1840" i="4"/>
  <c r="Q1840" i="5" s="1"/>
  <c r="P1839" i="4"/>
  <c r="O1839" i="4"/>
  <c r="N1839" i="4"/>
  <c r="M1839" i="4"/>
  <c r="L1839" i="4"/>
  <c r="K1839" i="4"/>
  <c r="J1839" i="4"/>
  <c r="Q1839" i="5" s="1"/>
  <c r="P1838" i="4"/>
  <c r="O1838" i="4"/>
  <c r="N1838" i="4"/>
  <c r="M1838" i="4"/>
  <c r="L1838" i="4"/>
  <c r="K1838" i="4"/>
  <c r="J1838" i="4"/>
  <c r="Q1838" i="5" s="1"/>
  <c r="P1837" i="4"/>
  <c r="O1837" i="4"/>
  <c r="N1837" i="4"/>
  <c r="M1837" i="4"/>
  <c r="L1837" i="4"/>
  <c r="K1837" i="4"/>
  <c r="J1837" i="4"/>
  <c r="Q1837" i="5" s="1"/>
  <c r="P1836" i="4"/>
  <c r="O1836" i="4"/>
  <c r="N1836" i="4"/>
  <c r="M1836" i="4"/>
  <c r="L1836" i="4"/>
  <c r="K1836" i="4"/>
  <c r="J1836" i="4"/>
  <c r="Q1836" i="5" s="1"/>
  <c r="P1835" i="4"/>
  <c r="O1835" i="4"/>
  <c r="N1835" i="4"/>
  <c r="M1835" i="4"/>
  <c r="L1835" i="4"/>
  <c r="K1835" i="4"/>
  <c r="J1835" i="4"/>
  <c r="Q1835" i="5" s="1"/>
  <c r="P1834" i="4"/>
  <c r="O1834" i="4"/>
  <c r="N1834" i="4"/>
  <c r="M1834" i="4"/>
  <c r="L1834" i="4"/>
  <c r="K1834" i="4"/>
  <c r="J1834" i="4"/>
  <c r="Q1834" i="5" s="1"/>
  <c r="P1833" i="4"/>
  <c r="O1833" i="4"/>
  <c r="N1833" i="4"/>
  <c r="M1833" i="4"/>
  <c r="L1833" i="4"/>
  <c r="K1833" i="4"/>
  <c r="J1833" i="4"/>
  <c r="Q1833" i="5" s="1"/>
  <c r="P1832" i="4"/>
  <c r="O1832" i="4"/>
  <c r="N1832" i="4"/>
  <c r="M1832" i="4"/>
  <c r="L1832" i="4"/>
  <c r="K1832" i="4"/>
  <c r="J1832" i="4"/>
  <c r="Q1832" i="5" s="1"/>
  <c r="P1831" i="4"/>
  <c r="O1831" i="4"/>
  <c r="N1831" i="4"/>
  <c r="M1831" i="4"/>
  <c r="L1831" i="4"/>
  <c r="K1831" i="4"/>
  <c r="J1831" i="4"/>
  <c r="Q1831" i="5" s="1"/>
  <c r="P1830" i="4"/>
  <c r="O1830" i="4"/>
  <c r="N1830" i="4"/>
  <c r="M1830" i="4"/>
  <c r="L1830" i="4"/>
  <c r="K1830" i="4"/>
  <c r="J1830" i="4"/>
  <c r="Q1830" i="5" s="1"/>
  <c r="P1829" i="4"/>
  <c r="O1829" i="4"/>
  <c r="N1829" i="4"/>
  <c r="M1829" i="4"/>
  <c r="L1829" i="4"/>
  <c r="K1829" i="4"/>
  <c r="J1829" i="4"/>
  <c r="Q1829" i="5" s="1"/>
  <c r="P1828" i="4"/>
  <c r="O1828" i="4"/>
  <c r="N1828" i="4"/>
  <c r="M1828" i="4"/>
  <c r="L1828" i="4"/>
  <c r="K1828" i="4"/>
  <c r="J1828" i="4"/>
  <c r="Q1828" i="5" s="1"/>
  <c r="P1827" i="4"/>
  <c r="O1827" i="4"/>
  <c r="N1827" i="4"/>
  <c r="M1827" i="4"/>
  <c r="L1827" i="4"/>
  <c r="K1827" i="4"/>
  <c r="J1827" i="4"/>
  <c r="Q1827" i="5" s="1"/>
  <c r="P1826" i="4"/>
  <c r="O1826" i="4"/>
  <c r="N1826" i="4"/>
  <c r="M1826" i="4"/>
  <c r="L1826" i="4"/>
  <c r="K1826" i="4"/>
  <c r="J1826" i="4"/>
  <c r="Q1826" i="5" s="1"/>
  <c r="P1825" i="4"/>
  <c r="O1825" i="4"/>
  <c r="N1825" i="4"/>
  <c r="M1825" i="4"/>
  <c r="L1825" i="4"/>
  <c r="K1825" i="4"/>
  <c r="J1825" i="4"/>
  <c r="Q1825" i="5" s="1"/>
  <c r="P1824" i="4"/>
  <c r="O1824" i="4"/>
  <c r="N1824" i="4"/>
  <c r="M1824" i="4"/>
  <c r="L1824" i="4"/>
  <c r="K1824" i="4"/>
  <c r="J1824" i="4"/>
  <c r="Q1824" i="5" s="1"/>
  <c r="P1823" i="4"/>
  <c r="O1823" i="4"/>
  <c r="N1823" i="4"/>
  <c r="M1823" i="4"/>
  <c r="L1823" i="4"/>
  <c r="K1823" i="4"/>
  <c r="J1823" i="4"/>
  <c r="Q1823" i="5" s="1"/>
  <c r="P1822" i="4"/>
  <c r="O1822" i="4"/>
  <c r="N1822" i="4"/>
  <c r="M1822" i="4"/>
  <c r="L1822" i="4"/>
  <c r="K1822" i="4"/>
  <c r="J1822" i="4"/>
  <c r="Q1822" i="5" s="1"/>
  <c r="P1821" i="4"/>
  <c r="O1821" i="4"/>
  <c r="N1821" i="4"/>
  <c r="M1821" i="4"/>
  <c r="L1821" i="4"/>
  <c r="K1821" i="4"/>
  <c r="J1821" i="4"/>
  <c r="Q1821" i="5" s="1"/>
  <c r="P1820" i="4"/>
  <c r="O1820" i="4"/>
  <c r="N1820" i="4"/>
  <c r="M1820" i="4"/>
  <c r="L1820" i="4"/>
  <c r="K1820" i="4"/>
  <c r="J1820" i="4"/>
  <c r="Q1820" i="5" s="1"/>
  <c r="P1819" i="4"/>
  <c r="O1819" i="4"/>
  <c r="N1819" i="4"/>
  <c r="M1819" i="4"/>
  <c r="L1819" i="4"/>
  <c r="K1819" i="4"/>
  <c r="J1819" i="4"/>
  <c r="Q1819" i="5" s="1"/>
  <c r="P1818" i="4"/>
  <c r="O1818" i="4"/>
  <c r="N1818" i="4"/>
  <c r="M1818" i="4"/>
  <c r="L1818" i="4"/>
  <c r="K1818" i="4"/>
  <c r="J1818" i="4"/>
  <c r="Q1818" i="5" s="1"/>
  <c r="P1817" i="4"/>
  <c r="O1817" i="4"/>
  <c r="N1817" i="4"/>
  <c r="M1817" i="4"/>
  <c r="L1817" i="4"/>
  <c r="K1817" i="4"/>
  <c r="J1817" i="4"/>
  <c r="Q1817" i="5" s="1"/>
  <c r="P1816" i="4"/>
  <c r="O1816" i="4"/>
  <c r="N1816" i="4"/>
  <c r="M1816" i="4"/>
  <c r="L1816" i="4"/>
  <c r="K1816" i="4"/>
  <c r="J1816" i="4"/>
  <c r="Q1816" i="5" s="1"/>
  <c r="P1815" i="4"/>
  <c r="O1815" i="4"/>
  <c r="N1815" i="4"/>
  <c r="M1815" i="4"/>
  <c r="L1815" i="4"/>
  <c r="K1815" i="4"/>
  <c r="J1815" i="4"/>
  <c r="Q1815" i="5" s="1"/>
  <c r="P1814" i="4"/>
  <c r="O1814" i="4"/>
  <c r="N1814" i="4"/>
  <c r="M1814" i="4"/>
  <c r="L1814" i="4"/>
  <c r="K1814" i="4"/>
  <c r="J1814" i="4"/>
  <c r="Q1814" i="5" s="1"/>
  <c r="P1813" i="4"/>
  <c r="O1813" i="4"/>
  <c r="N1813" i="4"/>
  <c r="M1813" i="4"/>
  <c r="L1813" i="4"/>
  <c r="K1813" i="4"/>
  <c r="J1813" i="4"/>
  <c r="Q1813" i="5" s="1"/>
  <c r="P1812" i="4"/>
  <c r="O1812" i="4"/>
  <c r="N1812" i="4"/>
  <c r="M1812" i="4"/>
  <c r="L1812" i="4"/>
  <c r="K1812" i="4"/>
  <c r="J1812" i="4"/>
  <c r="Q1812" i="5" s="1"/>
  <c r="P1811" i="4"/>
  <c r="O1811" i="4"/>
  <c r="N1811" i="4"/>
  <c r="M1811" i="4"/>
  <c r="L1811" i="4"/>
  <c r="K1811" i="4"/>
  <c r="J1811" i="4"/>
  <c r="Q1811" i="5" s="1"/>
  <c r="P1810" i="4"/>
  <c r="O1810" i="4"/>
  <c r="N1810" i="4"/>
  <c r="M1810" i="4"/>
  <c r="L1810" i="4"/>
  <c r="K1810" i="4"/>
  <c r="J1810" i="4"/>
  <c r="Q1810" i="5" s="1"/>
  <c r="P1809" i="4"/>
  <c r="O1809" i="4"/>
  <c r="N1809" i="4"/>
  <c r="M1809" i="4"/>
  <c r="L1809" i="4"/>
  <c r="K1809" i="4"/>
  <c r="J1809" i="4"/>
  <c r="Q1809" i="5" s="1"/>
  <c r="P1808" i="4"/>
  <c r="O1808" i="4"/>
  <c r="N1808" i="4"/>
  <c r="M1808" i="4"/>
  <c r="L1808" i="4"/>
  <c r="K1808" i="4"/>
  <c r="J1808" i="4"/>
  <c r="Q1808" i="5" s="1"/>
  <c r="P1807" i="4"/>
  <c r="O1807" i="4"/>
  <c r="N1807" i="4"/>
  <c r="M1807" i="4"/>
  <c r="L1807" i="4"/>
  <c r="K1807" i="4"/>
  <c r="J1807" i="4"/>
  <c r="Q1807" i="5" s="1"/>
  <c r="P1806" i="4"/>
  <c r="O1806" i="4"/>
  <c r="N1806" i="4"/>
  <c r="M1806" i="4"/>
  <c r="L1806" i="4"/>
  <c r="K1806" i="4"/>
  <c r="J1806" i="4"/>
  <c r="Q1806" i="5" s="1"/>
  <c r="P1805" i="4"/>
  <c r="O1805" i="4"/>
  <c r="N1805" i="4"/>
  <c r="M1805" i="4"/>
  <c r="L1805" i="4"/>
  <c r="K1805" i="4"/>
  <c r="J1805" i="4"/>
  <c r="Q1805" i="5" s="1"/>
  <c r="P1804" i="4"/>
  <c r="O1804" i="4"/>
  <c r="N1804" i="4"/>
  <c r="M1804" i="4"/>
  <c r="L1804" i="4"/>
  <c r="K1804" i="4"/>
  <c r="J1804" i="4"/>
  <c r="Q1804" i="5" s="1"/>
  <c r="P1803" i="4"/>
  <c r="O1803" i="4"/>
  <c r="N1803" i="4"/>
  <c r="M1803" i="4"/>
  <c r="L1803" i="4"/>
  <c r="K1803" i="4"/>
  <c r="J1803" i="4"/>
  <c r="Q1803" i="5" s="1"/>
  <c r="P1802" i="4"/>
  <c r="O1802" i="4"/>
  <c r="N1802" i="4"/>
  <c r="M1802" i="4"/>
  <c r="L1802" i="4"/>
  <c r="K1802" i="4"/>
  <c r="J1802" i="4"/>
  <c r="Q1802" i="5" s="1"/>
  <c r="P1801" i="4"/>
  <c r="O1801" i="4"/>
  <c r="N1801" i="4"/>
  <c r="M1801" i="4"/>
  <c r="L1801" i="4"/>
  <c r="K1801" i="4"/>
  <c r="J1801" i="4"/>
  <c r="Q1801" i="5" s="1"/>
  <c r="P1800" i="4"/>
  <c r="O1800" i="4"/>
  <c r="N1800" i="4"/>
  <c r="M1800" i="4"/>
  <c r="L1800" i="4"/>
  <c r="K1800" i="4"/>
  <c r="J1800" i="4"/>
  <c r="Q1800" i="5" s="1"/>
  <c r="P1799" i="4"/>
  <c r="O1799" i="4"/>
  <c r="N1799" i="4"/>
  <c r="M1799" i="4"/>
  <c r="L1799" i="4"/>
  <c r="K1799" i="4"/>
  <c r="J1799" i="4"/>
  <c r="Q1799" i="5" s="1"/>
  <c r="P1798" i="4"/>
  <c r="O1798" i="4"/>
  <c r="N1798" i="4"/>
  <c r="M1798" i="4"/>
  <c r="L1798" i="4"/>
  <c r="K1798" i="4"/>
  <c r="J1798" i="4"/>
  <c r="Q1798" i="5" s="1"/>
  <c r="P1797" i="4"/>
  <c r="O1797" i="4"/>
  <c r="N1797" i="4"/>
  <c r="M1797" i="4"/>
  <c r="L1797" i="4"/>
  <c r="K1797" i="4"/>
  <c r="J1797" i="4"/>
  <c r="Q1797" i="5" s="1"/>
  <c r="P1796" i="4"/>
  <c r="O1796" i="4"/>
  <c r="N1796" i="4"/>
  <c r="M1796" i="4"/>
  <c r="L1796" i="4"/>
  <c r="K1796" i="4"/>
  <c r="J1796" i="4"/>
  <c r="Q1796" i="5" s="1"/>
  <c r="P1795" i="4"/>
  <c r="O1795" i="4"/>
  <c r="N1795" i="4"/>
  <c r="M1795" i="4"/>
  <c r="L1795" i="4"/>
  <c r="K1795" i="4"/>
  <c r="J1795" i="4"/>
  <c r="Q1795" i="5" s="1"/>
  <c r="P1794" i="4"/>
  <c r="O1794" i="4"/>
  <c r="N1794" i="4"/>
  <c r="M1794" i="4"/>
  <c r="L1794" i="4"/>
  <c r="K1794" i="4"/>
  <c r="J1794" i="4"/>
  <c r="Q1794" i="5" s="1"/>
  <c r="P1793" i="4"/>
  <c r="O1793" i="4"/>
  <c r="N1793" i="4"/>
  <c r="M1793" i="4"/>
  <c r="L1793" i="4"/>
  <c r="K1793" i="4"/>
  <c r="J1793" i="4"/>
  <c r="Q1793" i="5" s="1"/>
  <c r="P1792" i="4"/>
  <c r="O1792" i="4"/>
  <c r="N1792" i="4"/>
  <c r="M1792" i="4"/>
  <c r="L1792" i="4"/>
  <c r="K1792" i="4"/>
  <c r="J1792" i="4"/>
  <c r="Q1792" i="5" s="1"/>
  <c r="P1791" i="4"/>
  <c r="O1791" i="4"/>
  <c r="N1791" i="4"/>
  <c r="M1791" i="4"/>
  <c r="L1791" i="4"/>
  <c r="K1791" i="4"/>
  <c r="J1791" i="4"/>
  <c r="Q1791" i="5" s="1"/>
  <c r="P1790" i="4"/>
  <c r="O1790" i="4"/>
  <c r="N1790" i="4"/>
  <c r="M1790" i="4"/>
  <c r="L1790" i="4"/>
  <c r="K1790" i="4"/>
  <c r="J1790" i="4"/>
  <c r="Q1790" i="5" s="1"/>
  <c r="P1789" i="4"/>
  <c r="O1789" i="4"/>
  <c r="N1789" i="4"/>
  <c r="M1789" i="4"/>
  <c r="L1789" i="4"/>
  <c r="K1789" i="4"/>
  <c r="J1789" i="4"/>
  <c r="Q1789" i="5" s="1"/>
  <c r="P1788" i="4"/>
  <c r="O1788" i="4"/>
  <c r="N1788" i="4"/>
  <c r="M1788" i="4"/>
  <c r="L1788" i="4"/>
  <c r="K1788" i="4"/>
  <c r="J1788" i="4"/>
  <c r="Q1788" i="5" s="1"/>
  <c r="P1787" i="4"/>
  <c r="O1787" i="4"/>
  <c r="N1787" i="4"/>
  <c r="M1787" i="4"/>
  <c r="L1787" i="4"/>
  <c r="K1787" i="4"/>
  <c r="J1787" i="4"/>
  <c r="Q1787" i="5" s="1"/>
  <c r="P1786" i="4"/>
  <c r="O1786" i="4"/>
  <c r="N1786" i="4"/>
  <c r="M1786" i="4"/>
  <c r="L1786" i="4"/>
  <c r="K1786" i="4"/>
  <c r="J1786" i="4"/>
  <c r="Q1786" i="5" s="1"/>
  <c r="P1785" i="4"/>
  <c r="O1785" i="4"/>
  <c r="N1785" i="4"/>
  <c r="M1785" i="4"/>
  <c r="L1785" i="4"/>
  <c r="K1785" i="4"/>
  <c r="J1785" i="4"/>
  <c r="Q1785" i="5" s="1"/>
  <c r="P1784" i="4"/>
  <c r="O1784" i="4"/>
  <c r="N1784" i="4"/>
  <c r="M1784" i="4"/>
  <c r="L1784" i="4"/>
  <c r="K1784" i="4"/>
  <c r="J1784" i="4"/>
  <c r="Q1784" i="5" s="1"/>
  <c r="P1783" i="4"/>
  <c r="O1783" i="4"/>
  <c r="N1783" i="4"/>
  <c r="M1783" i="4"/>
  <c r="L1783" i="4"/>
  <c r="K1783" i="4"/>
  <c r="J1783" i="4"/>
  <c r="Q1783" i="5" s="1"/>
  <c r="P1782" i="4"/>
  <c r="O1782" i="4"/>
  <c r="N1782" i="4"/>
  <c r="M1782" i="4"/>
  <c r="L1782" i="4"/>
  <c r="K1782" i="4"/>
  <c r="J1782" i="4"/>
  <c r="Q1782" i="5" s="1"/>
  <c r="P1781" i="4"/>
  <c r="O1781" i="4"/>
  <c r="N1781" i="4"/>
  <c r="M1781" i="4"/>
  <c r="L1781" i="4"/>
  <c r="K1781" i="4"/>
  <c r="J1781" i="4"/>
  <c r="Q1781" i="5" s="1"/>
  <c r="P1780" i="4"/>
  <c r="O1780" i="4"/>
  <c r="N1780" i="4"/>
  <c r="M1780" i="4"/>
  <c r="L1780" i="4"/>
  <c r="K1780" i="4"/>
  <c r="J1780" i="4"/>
  <c r="Q1780" i="5" s="1"/>
  <c r="P1779" i="4"/>
  <c r="O1779" i="4"/>
  <c r="N1779" i="4"/>
  <c r="M1779" i="4"/>
  <c r="L1779" i="4"/>
  <c r="K1779" i="4"/>
  <c r="J1779" i="4"/>
  <c r="Q1779" i="5" s="1"/>
  <c r="P1778" i="4"/>
  <c r="O1778" i="4"/>
  <c r="N1778" i="4"/>
  <c r="M1778" i="4"/>
  <c r="L1778" i="4"/>
  <c r="K1778" i="4"/>
  <c r="J1778" i="4"/>
  <c r="Q1778" i="5" s="1"/>
  <c r="P1777" i="4"/>
  <c r="O1777" i="4"/>
  <c r="N1777" i="4"/>
  <c r="M1777" i="4"/>
  <c r="L1777" i="4"/>
  <c r="K1777" i="4"/>
  <c r="J1777" i="4"/>
  <c r="Q1777" i="5" s="1"/>
  <c r="P1776" i="4"/>
  <c r="O1776" i="4"/>
  <c r="N1776" i="4"/>
  <c r="M1776" i="4"/>
  <c r="L1776" i="4"/>
  <c r="K1776" i="4"/>
  <c r="J1776" i="4"/>
  <c r="Q1776" i="5" s="1"/>
  <c r="P1775" i="4"/>
  <c r="O1775" i="4"/>
  <c r="N1775" i="4"/>
  <c r="M1775" i="4"/>
  <c r="L1775" i="4"/>
  <c r="K1775" i="4"/>
  <c r="J1775" i="4"/>
  <c r="Q1775" i="5" s="1"/>
  <c r="P1774" i="4"/>
  <c r="O1774" i="4"/>
  <c r="N1774" i="4"/>
  <c r="M1774" i="4"/>
  <c r="L1774" i="4"/>
  <c r="K1774" i="4"/>
  <c r="J1774" i="4"/>
  <c r="Q1774" i="5" s="1"/>
  <c r="P1773" i="4"/>
  <c r="O1773" i="4"/>
  <c r="N1773" i="4"/>
  <c r="M1773" i="4"/>
  <c r="L1773" i="4"/>
  <c r="K1773" i="4"/>
  <c r="J1773" i="4"/>
  <c r="Q1773" i="5" s="1"/>
  <c r="P1772" i="4"/>
  <c r="O1772" i="4"/>
  <c r="N1772" i="4"/>
  <c r="M1772" i="4"/>
  <c r="L1772" i="4"/>
  <c r="K1772" i="4"/>
  <c r="J1772" i="4"/>
  <c r="Q1772" i="5" s="1"/>
  <c r="P1771" i="4"/>
  <c r="O1771" i="4"/>
  <c r="N1771" i="4"/>
  <c r="M1771" i="4"/>
  <c r="L1771" i="4"/>
  <c r="K1771" i="4"/>
  <c r="J1771" i="4"/>
  <c r="Q1771" i="5" s="1"/>
  <c r="P1770" i="4"/>
  <c r="O1770" i="4"/>
  <c r="N1770" i="4"/>
  <c r="M1770" i="4"/>
  <c r="L1770" i="4"/>
  <c r="K1770" i="4"/>
  <c r="J1770" i="4"/>
  <c r="Q1770" i="5" s="1"/>
  <c r="P1769" i="4"/>
  <c r="O1769" i="4"/>
  <c r="N1769" i="4"/>
  <c r="M1769" i="4"/>
  <c r="L1769" i="4"/>
  <c r="K1769" i="4"/>
  <c r="J1769" i="4"/>
  <c r="Q1769" i="5" s="1"/>
  <c r="P1768" i="4"/>
  <c r="O1768" i="4"/>
  <c r="N1768" i="4"/>
  <c r="M1768" i="4"/>
  <c r="L1768" i="4"/>
  <c r="K1768" i="4"/>
  <c r="J1768" i="4"/>
  <c r="Q1768" i="5" s="1"/>
  <c r="P1767" i="4"/>
  <c r="O1767" i="4"/>
  <c r="N1767" i="4"/>
  <c r="M1767" i="4"/>
  <c r="L1767" i="4"/>
  <c r="K1767" i="4"/>
  <c r="J1767" i="4"/>
  <c r="Q1767" i="5" s="1"/>
  <c r="P1766" i="4"/>
  <c r="O1766" i="4"/>
  <c r="N1766" i="4"/>
  <c r="M1766" i="4"/>
  <c r="L1766" i="4"/>
  <c r="K1766" i="4"/>
  <c r="J1766" i="4"/>
  <c r="Q1766" i="5" s="1"/>
  <c r="P1765" i="4"/>
  <c r="O1765" i="4"/>
  <c r="N1765" i="4"/>
  <c r="M1765" i="4"/>
  <c r="L1765" i="4"/>
  <c r="K1765" i="4"/>
  <c r="J1765" i="4"/>
  <c r="Q1765" i="5" s="1"/>
  <c r="P1764" i="4"/>
  <c r="O1764" i="4"/>
  <c r="N1764" i="4"/>
  <c r="M1764" i="4"/>
  <c r="L1764" i="4"/>
  <c r="K1764" i="4"/>
  <c r="J1764" i="4"/>
  <c r="Q1764" i="5" s="1"/>
  <c r="P1763" i="4"/>
  <c r="O1763" i="4"/>
  <c r="N1763" i="4"/>
  <c r="M1763" i="4"/>
  <c r="L1763" i="4"/>
  <c r="K1763" i="4"/>
  <c r="J1763" i="4"/>
  <c r="Q1763" i="5" s="1"/>
  <c r="P1762" i="4"/>
  <c r="O1762" i="4"/>
  <c r="N1762" i="4"/>
  <c r="M1762" i="4"/>
  <c r="L1762" i="4"/>
  <c r="K1762" i="4"/>
  <c r="J1762" i="4"/>
  <c r="Q1762" i="5" s="1"/>
  <c r="P1761" i="4"/>
  <c r="O1761" i="4"/>
  <c r="N1761" i="4"/>
  <c r="M1761" i="4"/>
  <c r="L1761" i="4"/>
  <c r="K1761" i="4"/>
  <c r="J1761" i="4"/>
  <c r="Q1761" i="5" s="1"/>
  <c r="P1760" i="4"/>
  <c r="O1760" i="4"/>
  <c r="N1760" i="4"/>
  <c r="M1760" i="4"/>
  <c r="L1760" i="4"/>
  <c r="K1760" i="4"/>
  <c r="J1760" i="4"/>
  <c r="Q1760" i="5" s="1"/>
  <c r="P1759" i="4"/>
  <c r="O1759" i="4"/>
  <c r="N1759" i="4"/>
  <c r="M1759" i="4"/>
  <c r="L1759" i="4"/>
  <c r="K1759" i="4"/>
  <c r="J1759" i="4"/>
  <c r="Q1759" i="5" s="1"/>
  <c r="P1758" i="4"/>
  <c r="O1758" i="4"/>
  <c r="N1758" i="4"/>
  <c r="M1758" i="4"/>
  <c r="L1758" i="4"/>
  <c r="K1758" i="4"/>
  <c r="J1758" i="4"/>
  <c r="Q1758" i="5" s="1"/>
  <c r="P1757" i="4"/>
  <c r="O1757" i="4"/>
  <c r="N1757" i="4"/>
  <c r="M1757" i="4"/>
  <c r="L1757" i="4"/>
  <c r="K1757" i="4"/>
  <c r="J1757" i="4"/>
  <c r="Q1757" i="5" s="1"/>
  <c r="P1756" i="4"/>
  <c r="O1756" i="4"/>
  <c r="N1756" i="4"/>
  <c r="M1756" i="4"/>
  <c r="L1756" i="4"/>
  <c r="K1756" i="4"/>
  <c r="J1756" i="4"/>
  <c r="Q1756" i="5" s="1"/>
  <c r="P1755" i="4"/>
  <c r="O1755" i="4"/>
  <c r="N1755" i="4"/>
  <c r="M1755" i="4"/>
  <c r="L1755" i="4"/>
  <c r="K1755" i="4"/>
  <c r="J1755" i="4"/>
  <c r="Q1755" i="5" s="1"/>
  <c r="P1754" i="4"/>
  <c r="O1754" i="4"/>
  <c r="N1754" i="4"/>
  <c r="M1754" i="4"/>
  <c r="L1754" i="4"/>
  <c r="K1754" i="4"/>
  <c r="J1754" i="4"/>
  <c r="Q1754" i="5" s="1"/>
  <c r="P1753" i="4"/>
  <c r="O1753" i="4"/>
  <c r="N1753" i="4"/>
  <c r="M1753" i="4"/>
  <c r="L1753" i="4"/>
  <c r="K1753" i="4"/>
  <c r="J1753" i="4"/>
  <c r="Q1753" i="5" s="1"/>
  <c r="P1752" i="4"/>
  <c r="O1752" i="4"/>
  <c r="N1752" i="4"/>
  <c r="M1752" i="4"/>
  <c r="L1752" i="4"/>
  <c r="K1752" i="4"/>
  <c r="J1752" i="4"/>
  <c r="Q1752" i="5" s="1"/>
  <c r="P1751" i="4"/>
  <c r="O1751" i="4"/>
  <c r="N1751" i="4"/>
  <c r="M1751" i="4"/>
  <c r="L1751" i="4"/>
  <c r="K1751" i="4"/>
  <c r="J1751" i="4"/>
  <c r="Q1751" i="5" s="1"/>
  <c r="P1750" i="4"/>
  <c r="O1750" i="4"/>
  <c r="N1750" i="4"/>
  <c r="M1750" i="4"/>
  <c r="L1750" i="4"/>
  <c r="K1750" i="4"/>
  <c r="J1750" i="4"/>
  <c r="Q1750" i="5" s="1"/>
  <c r="P1749" i="4"/>
  <c r="O1749" i="4"/>
  <c r="N1749" i="4"/>
  <c r="M1749" i="4"/>
  <c r="L1749" i="4"/>
  <c r="K1749" i="4"/>
  <c r="J1749" i="4"/>
  <c r="Q1749" i="5" s="1"/>
  <c r="P1748" i="4"/>
  <c r="O1748" i="4"/>
  <c r="N1748" i="4"/>
  <c r="M1748" i="4"/>
  <c r="L1748" i="4"/>
  <c r="K1748" i="4"/>
  <c r="J1748" i="4"/>
  <c r="Q1748" i="5" s="1"/>
  <c r="P1747" i="4"/>
  <c r="O1747" i="4"/>
  <c r="N1747" i="4"/>
  <c r="M1747" i="4"/>
  <c r="L1747" i="4"/>
  <c r="K1747" i="4"/>
  <c r="J1747" i="4"/>
  <c r="Q1747" i="5" s="1"/>
  <c r="P1746" i="4"/>
  <c r="O1746" i="4"/>
  <c r="N1746" i="4"/>
  <c r="M1746" i="4"/>
  <c r="L1746" i="4"/>
  <c r="K1746" i="4"/>
  <c r="J1746" i="4"/>
  <c r="Q1746" i="5" s="1"/>
  <c r="P1745" i="4"/>
  <c r="O1745" i="4"/>
  <c r="N1745" i="4"/>
  <c r="M1745" i="4"/>
  <c r="L1745" i="4"/>
  <c r="K1745" i="4"/>
  <c r="J1745" i="4"/>
  <c r="Q1745" i="5" s="1"/>
  <c r="P1744" i="4"/>
  <c r="O1744" i="4"/>
  <c r="N1744" i="4"/>
  <c r="M1744" i="4"/>
  <c r="L1744" i="4"/>
  <c r="K1744" i="4"/>
  <c r="J1744" i="4"/>
  <c r="Q1744" i="5" s="1"/>
  <c r="P1743" i="4"/>
  <c r="O1743" i="4"/>
  <c r="N1743" i="4"/>
  <c r="M1743" i="4"/>
  <c r="L1743" i="4"/>
  <c r="K1743" i="4"/>
  <c r="J1743" i="4"/>
  <c r="Q1743" i="5" s="1"/>
  <c r="P1742" i="4"/>
  <c r="O1742" i="4"/>
  <c r="N1742" i="4"/>
  <c r="M1742" i="4"/>
  <c r="L1742" i="4"/>
  <c r="K1742" i="4"/>
  <c r="J1742" i="4"/>
  <c r="Q1742" i="5" s="1"/>
  <c r="P1741" i="4"/>
  <c r="O1741" i="4"/>
  <c r="N1741" i="4"/>
  <c r="M1741" i="4"/>
  <c r="L1741" i="4"/>
  <c r="K1741" i="4"/>
  <c r="J1741" i="4"/>
  <c r="Q1741" i="5" s="1"/>
  <c r="P1740" i="4"/>
  <c r="O1740" i="4"/>
  <c r="N1740" i="4"/>
  <c r="M1740" i="4"/>
  <c r="L1740" i="4"/>
  <c r="K1740" i="4"/>
  <c r="J1740" i="4"/>
  <c r="Q1740" i="5" s="1"/>
  <c r="P1739" i="4"/>
  <c r="O1739" i="4"/>
  <c r="N1739" i="4"/>
  <c r="M1739" i="4"/>
  <c r="L1739" i="4"/>
  <c r="K1739" i="4"/>
  <c r="J1739" i="4"/>
  <c r="Q1739" i="5" s="1"/>
  <c r="P1738" i="4"/>
  <c r="O1738" i="4"/>
  <c r="N1738" i="4"/>
  <c r="M1738" i="4"/>
  <c r="L1738" i="4"/>
  <c r="K1738" i="4"/>
  <c r="J1738" i="4"/>
  <c r="Q1738" i="5" s="1"/>
  <c r="P1737" i="4"/>
  <c r="O1737" i="4"/>
  <c r="N1737" i="4"/>
  <c r="M1737" i="4"/>
  <c r="L1737" i="4"/>
  <c r="K1737" i="4"/>
  <c r="J1737" i="4"/>
  <c r="Q1737" i="5" s="1"/>
  <c r="P1736" i="4"/>
  <c r="O1736" i="4"/>
  <c r="N1736" i="4"/>
  <c r="M1736" i="4"/>
  <c r="L1736" i="4"/>
  <c r="K1736" i="4"/>
  <c r="J1736" i="4"/>
  <c r="Q1736" i="5" s="1"/>
  <c r="P1735" i="4"/>
  <c r="O1735" i="4"/>
  <c r="N1735" i="4"/>
  <c r="M1735" i="4"/>
  <c r="L1735" i="4"/>
  <c r="K1735" i="4"/>
  <c r="J1735" i="4"/>
  <c r="Q1735" i="5" s="1"/>
  <c r="P1734" i="4"/>
  <c r="O1734" i="4"/>
  <c r="N1734" i="4"/>
  <c r="M1734" i="4"/>
  <c r="L1734" i="4"/>
  <c r="K1734" i="4"/>
  <c r="J1734" i="4"/>
  <c r="Q1734" i="5" s="1"/>
  <c r="P1733" i="4"/>
  <c r="O1733" i="4"/>
  <c r="N1733" i="4"/>
  <c r="M1733" i="4"/>
  <c r="L1733" i="4"/>
  <c r="K1733" i="4"/>
  <c r="J1733" i="4"/>
  <c r="Q1733" i="5" s="1"/>
  <c r="P1732" i="4"/>
  <c r="O1732" i="4"/>
  <c r="N1732" i="4"/>
  <c r="M1732" i="4"/>
  <c r="L1732" i="4"/>
  <c r="K1732" i="4"/>
  <c r="J1732" i="4"/>
  <c r="Q1732" i="5" s="1"/>
  <c r="P1731" i="4"/>
  <c r="O1731" i="4"/>
  <c r="N1731" i="4"/>
  <c r="M1731" i="4"/>
  <c r="L1731" i="4"/>
  <c r="K1731" i="4"/>
  <c r="J1731" i="4"/>
  <c r="Q1731" i="5" s="1"/>
  <c r="P1730" i="4"/>
  <c r="O1730" i="4"/>
  <c r="N1730" i="4"/>
  <c r="M1730" i="4"/>
  <c r="L1730" i="4"/>
  <c r="K1730" i="4"/>
  <c r="J1730" i="4"/>
  <c r="Q1730" i="5" s="1"/>
  <c r="P1729" i="4"/>
  <c r="O1729" i="4"/>
  <c r="N1729" i="4"/>
  <c r="M1729" i="4"/>
  <c r="L1729" i="4"/>
  <c r="K1729" i="4"/>
  <c r="J1729" i="4"/>
  <c r="Q1729" i="5" s="1"/>
  <c r="P1728" i="4"/>
  <c r="O1728" i="4"/>
  <c r="N1728" i="4"/>
  <c r="M1728" i="4"/>
  <c r="L1728" i="4"/>
  <c r="K1728" i="4"/>
  <c r="J1728" i="4"/>
  <c r="Q1728" i="5" s="1"/>
  <c r="P1727" i="4"/>
  <c r="O1727" i="4"/>
  <c r="N1727" i="4"/>
  <c r="M1727" i="4"/>
  <c r="L1727" i="4"/>
  <c r="K1727" i="4"/>
  <c r="J1727" i="4"/>
  <c r="Q1727" i="5" s="1"/>
  <c r="P1726" i="4"/>
  <c r="O1726" i="4"/>
  <c r="N1726" i="4"/>
  <c r="M1726" i="4"/>
  <c r="L1726" i="4"/>
  <c r="K1726" i="4"/>
  <c r="J1726" i="4"/>
  <c r="Q1726" i="5" s="1"/>
  <c r="P1725" i="4"/>
  <c r="O1725" i="4"/>
  <c r="N1725" i="4"/>
  <c r="M1725" i="4"/>
  <c r="L1725" i="4"/>
  <c r="K1725" i="4"/>
  <c r="J1725" i="4"/>
  <c r="Q1725" i="5" s="1"/>
  <c r="P1724" i="4"/>
  <c r="O1724" i="4"/>
  <c r="N1724" i="4"/>
  <c r="M1724" i="4"/>
  <c r="L1724" i="4"/>
  <c r="K1724" i="4"/>
  <c r="J1724" i="4"/>
  <c r="Q1724" i="5" s="1"/>
  <c r="P1723" i="4"/>
  <c r="O1723" i="4"/>
  <c r="N1723" i="4"/>
  <c r="M1723" i="4"/>
  <c r="L1723" i="4"/>
  <c r="K1723" i="4"/>
  <c r="J1723" i="4"/>
  <c r="Q1723" i="5" s="1"/>
  <c r="P1722" i="4"/>
  <c r="O1722" i="4"/>
  <c r="N1722" i="4"/>
  <c r="M1722" i="4"/>
  <c r="L1722" i="4"/>
  <c r="K1722" i="4"/>
  <c r="J1722" i="4"/>
  <c r="Q1722" i="5" s="1"/>
  <c r="P1721" i="4"/>
  <c r="O1721" i="4"/>
  <c r="N1721" i="4"/>
  <c r="M1721" i="4"/>
  <c r="L1721" i="4"/>
  <c r="K1721" i="4"/>
  <c r="J1721" i="4"/>
  <c r="Q1721" i="5" s="1"/>
  <c r="P1720" i="4"/>
  <c r="O1720" i="4"/>
  <c r="N1720" i="4"/>
  <c r="M1720" i="4"/>
  <c r="L1720" i="4"/>
  <c r="K1720" i="4"/>
  <c r="J1720" i="4"/>
  <c r="Q1720" i="5" s="1"/>
  <c r="P1719" i="4"/>
  <c r="O1719" i="4"/>
  <c r="N1719" i="4"/>
  <c r="M1719" i="4"/>
  <c r="L1719" i="4"/>
  <c r="K1719" i="4"/>
  <c r="J1719" i="4"/>
  <c r="Q1719" i="5" s="1"/>
  <c r="P1718" i="4"/>
  <c r="O1718" i="4"/>
  <c r="N1718" i="4"/>
  <c r="M1718" i="4"/>
  <c r="L1718" i="4"/>
  <c r="K1718" i="4"/>
  <c r="J1718" i="4"/>
  <c r="Q1718" i="5" s="1"/>
  <c r="P1717" i="4"/>
  <c r="O1717" i="4"/>
  <c r="N1717" i="4"/>
  <c r="M1717" i="4"/>
  <c r="L1717" i="4"/>
  <c r="K1717" i="4"/>
  <c r="J1717" i="4"/>
  <c r="Q1717" i="5" s="1"/>
  <c r="P1716" i="4"/>
  <c r="O1716" i="4"/>
  <c r="N1716" i="4"/>
  <c r="M1716" i="4"/>
  <c r="L1716" i="4"/>
  <c r="K1716" i="4"/>
  <c r="J1716" i="4"/>
  <c r="Q1716" i="5" s="1"/>
  <c r="P1715" i="4"/>
  <c r="O1715" i="4"/>
  <c r="N1715" i="4"/>
  <c r="M1715" i="4"/>
  <c r="L1715" i="4"/>
  <c r="K1715" i="4"/>
  <c r="J1715" i="4"/>
  <c r="Q1715" i="5" s="1"/>
  <c r="P1714" i="4"/>
  <c r="O1714" i="4"/>
  <c r="N1714" i="4"/>
  <c r="M1714" i="4"/>
  <c r="L1714" i="4"/>
  <c r="K1714" i="4"/>
  <c r="J1714" i="4"/>
  <c r="Q1714" i="5" s="1"/>
  <c r="P1713" i="4"/>
  <c r="O1713" i="4"/>
  <c r="N1713" i="4"/>
  <c r="M1713" i="4"/>
  <c r="L1713" i="4"/>
  <c r="K1713" i="4"/>
  <c r="J1713" i="4"/>
  <c r="Q1713" i="5" s="1"/>
  <c r="P1712" i="4"/>
  <c r="O1712" i="4"/>
  <c r="N1712" i="4"/>
  <c r="M1712" i="4"/>
  <c r="L1712" i="4"/>
  <c r="K1712" i="4"/>
  <c r="J1712" i="4"/>
  <c r="Q1712" i="5" s="1"/>
  <c r="P1711" i="4"/>
  <c r="O1711" i="4"/>
  <c r="N1711" i="4"/>
  <c r="M1711" i="4"/>
  <c r="L1711" i="4"/>
  <c r="K1711" i="4"/>
  <c r="J1711" i="4"/>
  <c r="Q1711" i="5" s="1"/>
  <c r="P1710" i="4"/>
  <c r="O1710" i="4"/>
  <c r="N1710" i="4"/>
  <c r="M1710" i="4"/>
  <c r="L1710" i="4"/>
  <c r="K1710" i="4"/>
  <c r="J1710" i="4"/>
  <c r="Q1710" i="5" s="1"/>
  <c r="P1709" i="4"/>
  <c r="O1709" i="4"/>
  <c r="N1709" i="4"/>
  <c r="M1709" i="4"/>
  <c r="L1709" i="4"/>
  <c r="K1709" i="4"/>
  <c r="J1709" i="4"/>
  <c r="Q1709" i="5" s="1"/>
  <c r="P1708" i="4"/>
  <c r="O1708" i="4"/>
  <c r="N1708" i="4"/>
  <c r="M1708" i="4"/>
  <c r="L1708" i="4"/>
  <c r="K1708" i="4"/>
  <c r="J1708" i="4"/>
  <c r="Q1708" i="5" s="1"/>
  <c r="P1707" i="4"/>
  <c r="O1707" i="4"/>
  <c r="N1707" i="4"/>
  <c r="M1707" i="4"/>
  <c r="L1707" i="4"/>
  <c r="K1707" i="4"/>
  <c r="J1707" i="4"/>
  <c r="Q1707" i="5" s="1"/>
  <c r="P1706" i="4"/>
  <c r="O1706" i="4"/>
  <c r="N1706" i="4"/>
  <c r="M1706" i="4"/>
  <c r="L1706" i="4"/>
  <c r="K1706" i="4"/>
  <c r="J1706" i="4"/>
  <c r="Q1706" i="5" s="1"/>
  <c r="P1705" i="4"/>
  <c r="O1705" i="4"/>
  <c r="N1705" i="4"/>
  <c r="M1705" i="4"/>
  <c r="L1705" i="4"/>
  <c r="K1705" i="4"/>
  <c r="J1705" i="4"/>
  <c r="Q1705" i="5" s="1"/>
  <c r="P1704" i="4"/>
  <c r="O1704" i="4"/>
  <c r="N1704" i="4"/>
  <c r="M1704" i="4"/>
  <c r="L1704" i="4"/>
  <c r="K1704" i="4"/>
  <c r="J1704" i="4"/>
  <c r="Q1704" i="5" s="1"/>
  <c r="P1703" i="4"/>
  <c r="O1703" i="4"/>
  <c r="N1703" i="4"/>
  <c r="M1703" i="4"/>
  <c r="L1703" i="4"/>
  <c r="K1703" i="4"/>
  <c r="J1703" i="4"/>
  <c r="Q1703" i="5" s="1"/>
  <c r="P1702" i="4"/>
  <c r="O1702" i="4"/>
  <c r="N1702" i="4"/>
  <c r="M1702" i="4"/>
  <c r="L1702" i="4"/>
  <c r="K1702" i="4"/>
  <c r="J1702" i="4"/>
  <c r="Q1702" i="5" s="1"/>
  <c r="P1701" i="4"/>
  <c r="O1701" i="4"/>
  <c r="N1701" i="4"/>
  <c r="M1701" i="4"/>
  <c r="L1701" i="4"/>
  <c r="K1701" i="4"/>
  <c r="J1701" i="4"/>
  <c r="Q1701" i="5" s="1"/>
  <c r="P1700" i="4"/>
  <c r="O1700" i="4"/>
  <c r="N1700" i="4"/>
  <c r="M1700" i="4"/>
  <c r="L1700" i="4"/>
  <c r="K1700" i="4"/>
  <c r="J1700" i="4"/>
  <c r="Q1700" i="5" s="1"/>
  <c r="P1699" i="4"/>
  <c r="O1699" i="4"/>
  <c r="N1699" i="4"/>
  <c r="M1699" i="4"/>
  <c r="L1699" i="4"/>
  <c r="K1699" i="4"/>
  <c r="J1699" i="4"/>
  <c r="Q1699" i="5" s="1"/>
  <c r="P1698" i="4"/>
  <c r="O1698" i="4"/>
  <c r="N1698" i="4"/>
  <c r="M1698" i="4"/>
  <c r="L1698" i="4"/>
  <c r="K1698" i="4"/>
  <c r="J1698" i="4"/>
  <c r="Q1698" i="5" s="1"/>
  <c r="P1697" i="4"/>
  <c r="O1697" i="4"/>
  <c r="N1697" i="4"/>
  <c r="M1697" i="4"/>
  <c r="L1697" i="4"/>
  <c r="K1697" i="4"/>
  <c r="J1697" i="4"/>
  <c r="Q1697" i="5" s="1"/>
  <c r="P1696" i="4"/>
  <c r="O1696" i="4"/>
  <c r="N1696" i="4"/>
  <c r="M1696" i="4"/>
  <c r="L1696" i="4"/>
  <c r="K1696" i="4"/>
  <c r="J1696" i="4"/>
  <c r="Q1696" i="5" s="1"/>
  <c r="P1695" i="4"/>
  <c r="O1695" i="4"/>
  <c r="N1695" i="4"/>
  <c r="M1695" i="4"/>
  <c r="L1695" i="4"/>
  <c r="K1695" i="4"/>
  <c r="J1695" i="4"/>
  <c r="Q1695" i="5" s="1"/>
  <c r="P1694" i="4"/>
  <c r="O1694" i="4"/>
  <c r="N1694" i="4"/>
  <c r="M1694" i="4"/>
  <c r="L1694" i="4"/>
  <c r="K1694" i="4"/>
  <c r="J1694" i="4"/>
  <c r="Q1694" i="5" s="1"/>
  <c r="P1693" i="4"/>
  <c r="O1693" i="4"/>
  <c r="N1693" i="4"/>
  <c r="M1693" i="4"/>
  <c r="L1693" i="4"/>
  <c r="K1693" i="4"/>
  <c r="J1693" i="4"/>
  <c r="Q1693" i="5" s="1"/>
  <c r="P1692" i="4"/>
  <c r="O1692" i="4"/>
  <c r="N1692" i="4"/>
  <c r="M1692" i="4"/>
  <c r="L1692" i="4"/>
  <c r="K1692" i="4"/>
  <c r="J1692" i="4"/>
  <c r="Q1692" i="5" s="1"/>
  <c r="P1691" i="4"/>
  <c r="O1691" i="4"/>
  <c r="N1691" i="4"/>
  <c r="M1691" i="4"/>
  <c r="L1691" i="4"/>
  <c r="K1691" i="4"/>
  <c r="J1691" i="4"/>
  <c r="Q1691" i="5" s="1"/>
  <c r="P1690" i="4"/>
  <c r="O1690" i="4"/>
  <c r="N1690" i="4"/>
  <c r="M1690" i="4"/>
  <c r="L1690" i="4"/>
  <c r="K1690" i="4"/>
  <c r="J1690" i="4"/>
  <c r="Q1690" i="5" s="1"/>
  <c r="P1689" i="4"/>
  <c r="O1689" i="4"/>
  <c r="N1689" i="4"/>
  <c r="M1689" i="4"/>
  <c r="L1689" i="4"/>
  <c r="K1689" i="4"/>
  <c r="J1689" i="4"/>
  <c r="Q1689" i="5" s="1"/>
  <c r="P1688" i="4"/>
  <c r="O1688" i="4"/>
  <c r="N1688" i="4"/>
  <c r="M1688" i="4"/>
  <c r="L1688" i="4"/>
  <c r="K1688" i="4"/>
  <c r="J1688" i="4"/>
  <c r="Q1688" i="5" s="1"/>
  <c r="P1687" i="4"/>
  <c r="O1687" i="4"/>
  <c r="N1687" i="4"/>
  <c r="M1687" i="4"/>
  <c r="L1687" i="4"/>
  <c r="K1687" i="4"/>
  <c r="J1687" i="4"/>
  <c r="Q1687" i="5" s="1"/>
  <c r="P1686" i="4"/>
  <c r="O1686" i="4"/>
  <c r="N1686" i="4"/>
  <c r="M1686" i="4"/>
  <c r="L1686" i="4"/>
  <c r="K1686" i="4"/>
  <c r="J1686" i="4"/>
  <c r="Q1686" i="5" s="1"/>
  <c r="P1685" i="4"/>
  <c r="O1685" i="4"/>
  <c r="N1685" i="4"/>
  <c r="M1685" i="4"/>
  <c r="L1685" i="4"/>
  <c r="K1685" i="4"/>
  <c r="J1685" i="4"/>
  <c r="Q1685" i="5" s="1"/>
  <c r="P1684" i="4"/>
  <c r="O1684" i="4"/>
  <c r="N1684" i="4"/>
  <c r="M1684" i="4"/>
  <c r="L1684" i="4"/>
  <c r="K1684" i="4"/>
  <c r="J1684" i="4"/>
  <c r="Q1684" i="5" s="1"/>
  <c r="P1683" i="4"/>
  <c r="O1683" i="4"/>
  <c r="N1683" i="4"/>
  <c r="M1683" i="4"/>
  <c r="L1683" i="4"/>
  <c r="K1683" i="4"/>
  <c r="J1683" i="4"/>
  <c r="Q1683" i="5" s="1"/>
  <c r="P1682" i="4"/>
  <c r="O1682" i="4"/>
  <c r="N1682" i="4"/>
  <c r="M1682" i="4"/>
  <c r="L1682" i="4"/>
  <c r="K1682" i="4"/>
  <c r="J1682" i="4"/>
  <c r="Q1682" i="5" s="1"/>
  <c r="P1681" i="4"/>
  <c r="O1681" i="4"/>
  <c r="N1681" i="4"/>
  <c r="M1681" i="4"/>
  <c r="L1681" i="4"/>
  <c r="K1681" i="4"/>
  <c r="J1681" i="4"/>
  <c r="Q1681" i="5" s="1"/>
  <c r="P1680" i="4"/>
  <c r="O1680" i="4"/>
  <c r="N1680" i="4"/>
  <c r="M1680" i="4"/>
  <c r="L1680" i="4"/>
  <c r="K1680" i="4"/>
  <c r="J1680" i="4"/>
  <c r="Q1680" i="5" s="1"/>
  <c r="P1679" i="4"/>
  <c r="O1679" i="4"/>
  <c r="N1679" i="4"/>
  <c r="M1679" i="4"/>
  <c r="L1679" i="4"/>
  <c r="K1679" i="4"/>
  <c r="J1679" i="4"/>
  <c r="Q1679" i="5" s="1"/>
  <c r="P1678" i="4"/>
  <c r="O1678" i="4"/>
  <c r="N1678" i="4"/>
  <c r="M1678" i="4"/>
  <c r="L1678" i="4"/>
  <c r="K1678" i="4"/>
  <c r="J1678" i="4"/>
  <c r="Q1678" i="5" s="1"/>
  <c r="P1677" i="4"/>
  <c r="O1677" i="4"/>
  <c r="N1677" i="4"/>
  <c r="M1677" i="4"/>
  <c r="L1677" i="4"/>
  <c r="K1677" i="4"/>
  <c r="J1677" i="4"/>
  <c r="Q1677" i="5" s="1"/>
  <c r="P1676" i="4"/>
  <c r="O1676" i="4"/>
  <c r="N1676" i="4"/>
  <c r="M1676" i="4"/>
  <c r="L1676" i="4"/>
  <c r="K1676" i="4"/>
  <c r="J1676" i="4"/>
  <c r="Q1676" i="5" s="1"/>
  <c r="P1675" i="4"/>
  <c r="O1675" i="4"/>
  <c r="N1675" i="4"/>
  <c r="M1675" i="4"/>
  <c r="L1675" i="4"/>
  <c r="K1675" i="4"/>
  <c r="J1675" i="4"/>
  <c r="Q1675" i="5" s="1"/>
  <c r="P1674" i="4"/>
  <c r="O1674" i="4"/>
  <c r="N1674" i="4"/>
  <c r="M1674" i="4"/>
  <c r="L1674" i="4"/>
  <c r="K1674" i="4"/>
  <c r="J1674" i="4"/>
  <c r="Q1674" i="5" s="1"/>
  <c r="P1673" i="4"/>
  <c r="O1673" i="4"/>
  <c r="N1673" i="4"/>
  <c r="M1673" i="4"/>
  <c r="L1673" i="4"/>
  <c r="K1673" i="4"/>
  <c r="J1673" i="4"/>
  <c r="Q1673" i="5" s="1"/>
  <c r="P1672" i="4"/>
  <c r="O1672" i="4"/>
  <c r="N1672" i="4"/>
  <c r="M1672" i="4"/>
  <c r="L1672" i="4"/>
  <c r="K1672" i="4"/>
  <c r="J1672" i="4"/>
  <c r="Q1672" i="5" s="1"/>
  <c r="P1671" i="4"/>
  <c r="O1671" i="4"/>
  <c r="N1671" i="4"/>
  <c r="M1671" i="4"/>
  <c r="L1671" i="4"/>
  <c r="K1671" i="4"/>
  <c r="J1671" i="4"/>
  <c r="Q1671" i="5" s="1"/>
  <c r="P1670" i="4"/>
  <c r="O1670" i="4"/>
  <c r="N1670" i="4"/>
  <c r="M1670" i="4"/>
  <c r="L1670" i="4"/>
  <c r="K1670" i="4"/>
  <c r="J1670" i="4"/>
  <c r="Q1670" i="5" s="1"/>
  <c r="P1669" i="4"/>
  <c r="O1669" i="4"/>
  <c r="N1669" i="4"/>
  <c r="M1669" i="4"/>
  <c r="L1669" i="4"/>
  <c r="K1669" i="4"/>
  <c r="J1669" i="4"/>
  <c r="Q1669" i="5" s="1"/>
  <c r="P1668" i="4"/>
  <c r="O1668" i="4"/>
  <c r="N1668" i="4"/>
  <c r="M1668" i="4"/>
  <c r="L1668" i="4"/>
  <c r="K1668" i="4"/>
  <c r="J1668" i="4"/>
  <c r="Q1668" i="5" s="1"/>
  <c r="P1667" i="4"/>
  <c r="O1667" i="4"/>
  <c r="N1667" i="4"/>
  <c r="M1667" i="4"/>
  <c r="L1667" i="4"/>
  <c r="K1667" i="4"/>
  <c r="J1667" i="4"/>
  <c r="Q1667" i="5" s="1"/>
  <c r="P1666" i="4"/>
  <c r="O1666" i="4"/>
  <c r="N1666" i="4"/>
  <c r="M1666" i="4"/>
  <c r="L1666" i="4"/>
  <c r="K1666" i="4"/>
  <c r="J1666" i="4"/>
  <c r="Q1666" i="5" s="1"/>
  <c r="P1665" i="4"/>
  <c r="O1665" i="4"/>
  <c r="N1665" i="4"/>
  <c r="M1665" i="4"/>
  <c r="L1665" i="4"/>
  <c r="K1665" i="4"/>
  <c r="J1665" i="4"/>
  <c r="Q1665" i="5" s="1"/>
  <c r="P1664" i="4"/>
  <c r="O1664" i="4"/>
  <c r="N1664" i="4"/>
  <c r="M1664" i="4"/>
  <c r="L1664" i="4"/>
  <c r="K1664" i="4"/>
  <c r="J1664" i="4"/>
  <c r="Q1664" i="5" s="1"/>
  <c r="P1663" i="4"/>
  <c r="O1663" i="4"/>
  <c r="N1663" i="4"/>
  <c r="M1663" i="4"/>
  <c r="L1663" i="4"/>
  <c r="K1663" i="4"/>
  <c r="J1663" i="4"/>
  <c r="Q1663" i="5" s="1"/>
  <c r="P1662" i="4"/>
  <c r="O1662" i="4"/>
  <c r="N1662" i="4"/>
  <c r="M1662" i="4"/>
  <c r="L1662" i="4"/>
  <c r="K1662" i="4"/>
  <c r="J1662" i="4"/>
  <c r="Q1662" i="5" s="1"/>
  <c r="P1661" i="4"/>
  <c r="O1661" i="4"/>
  <c r="N1661" i="4"/>
  <c r="M1661" i="4"/>
  <c r="L1661" i="4"/>
  <c r="K1661" i="4"/>
  <c r="J1661" i="4"/>
  <c r="Q1661" i="5" s="1"/>
  <c r="P1660" i="4"/>
  <c r="O1660" i="4"/>
  <c r="N1660" i="4"/>
  <c r="M1660" i="4"/>
  <c r="L1660" i="4"/>
  <c r="K1660" i="4"/>
  <c r="J1660" i="4"/>
  <c r="Q1660" i="5" s="1"/>
  <c r="P1659" i="4"/>
  <c r="O1659" i="4"/>
  <c r="N1659" i="4"/>
  <c r="M1659" i="4"/>
  <c r="L1659" i="4"/>
  <c r="K1659" i="4"/>
  <c r="J1659" i="4"/>
  <c r="Q1659" i="5" s="1"/>
  <c r="P1658" i="4"/>
  <c r="O1658" i="4"/>
  <c r="N1658" i="4"/>
  <c r="M1658" i="4"/>
  <c r="L1658" i="4"/>
  <c r="K1658" i="4"/>
  <c r="J1658" i="4"/>
  <c r="Q1658" i="5" s="1"/>
  <c r="P1657" i="4"/>
  <c r="O1657" i="4"/>
  <c r="N1657" i="4"/>
  <c r="M1657" i="4"/>
  <c r="L1657" i="4"/>
  <c r="K1657" i="4"/>
  <c r="J1657" i="4"/>
  <c r="Q1657" i="5" s="1"/>
  <c r="P1656" i="4"/>
  <c r="O1656" i="4"/>
  <c r="N1656" i="4"/>
  <c r="M1656" i="4"/>
  <c r="L1656" i="4"/>
  <c r="K1656" i="4"/>
  <c r="J1656" i="4"/>
  <c r="Q1656" i="5" s="1"/>
  <c r="P1655" i="4"/>
  <c r="O1655" i="4"/>
  <c r="N1655" i="4"/>
  <c r="M1655" i="4"/>
  <c r="L1655" i="4"/>
  <c r="K1655" i="4"/>
  <c r="J1655" i="4"/>
  <c r="Q1655" i="5" s="1"/>
  <c r="P1654" i="4"/>
  <c r="O1654" i="4"/>
  <c r="N1654" i="4"/>
  <c r="M1654" i="4"/>
  <c r="L1654" i="4"/>
  <c r="K1654" i="4"/>
  <c r="J1654" i="4"/>
  <c r="Q1654" i="5" s="1"/>
  <c r="P1653" i="4"/>
  <c r="O1653" i="4"/>
  <c r="N1653" i="4"/>
  <c r="M1653" i="4"/>
  <c r="L1653" i="4"/>
  <c r="K1653" i="4"/>
  <c r="J1653" i="4"/>
  <c r="Q1653" i="5" s="1"/>
  <c r="P1652" i="4"/>
  <c r="O1652" i="4"/>
  <c r="N1652" i="4"/>
  <c r="M1652" i="4"/>
  <c r="L1652" i="4"/>
  <c r="K1652" i="4"/>
  <c r="J1652" i="4"/>
  <c r="Q1652" i="5" s="1"/>
  <c r="P1651" i="4"/>
  <c r="O1651" i="4"/>
  <c r="N1651" i="4"/>
  <c r="M1651" i="4"/>
  <c r="L1651" i="4"/>
  <c r="K1651" i="4"/>
  <c r="J1651" i="4"/>
  <c r="Q1651" i="5" s="1"/>
  <c r="P1650" i="4"/>
  <c r="O1650" i="4"/>
  <c r="N1650" i="4"/>
  <c r="M1650" i="4"/>
  <c r="L1650" i="4"/>
  <c r="K1650" i="4"/>
  <c r="J1650" i="4"/>
  <c r="Q1650" i="5" s="1"/>
  <c r="P1649" i="4"/>
  <c r="O1649" i="4"/>
  <c r="N1649" i="4"/>
  <c r="M1649" i="4"/>
  <c r="L1649" i="4"/>
  <c r="K1649" i="4"/>
  <c r="J1649" i="4"/>
  <c r="Q1649" i="5" s="1"/>
  <c r="P1648" i="4"/>
  <c r="O1648" i="4"/>
  <c r="N1648" i="4"/>
  <c r="M1648" i="4"/>
  <c r="L1648" i="4"/>
  <c r="K1648" i="4"/>
  <c r="J1648" i="4"/>
  <c r="Q1648" i="5" s="1"/>
  <c r="P1647" i="4"/>
  <c r="O1647" i="4"/>
  <c r="N1647" i="4"/>
  <c r="M1647" i="4"/>
  <c r="L1647" i="4"/>
  <c r="K1647" i="4"/>
  <c r="J1647" i="4"/>
  <c r="Q1647" i="5" s="1"/>
  <c r="P1646" i="4"/>
  <c r="O1646" i="4"/>
  <c r="N1646" i="4"/>
  <c r="M1646" i="4"/>
  <c r="L1646" i="4"/>
  <c r="K1646" i="4"/>
  <c r="J1646" i="4"/>
  <c r="Q1646" i="5" s="1"/>
  <c r="P1645" i="4"/>
  <c r="O1645" i="4"/>
  <c r="N1645" i="4"/>
  <c r="M1645" i="4"/>
  <c r="L1645" i="4"/>
  <c r="K1645" i="4"/>
  <c r="J1645" i="4"/>
  <c r="Q1645" i="5" s="1"/>
  <c r="P1644" i="4"/>
  <c r="O1644" i="4"/>
  <c r="N1644" i="4"/>
  <c r="M1644" i="4"/>
  <c r="L1644" i="4"/>
  <c r="K1644" i="4"/>
  <c r="J1644" i="4"/>
  <c r="Q1644" i="5" s="1"/>
  <c r="P1643" i="4"/>
  <c r="O1643" i="4"/>
  <c r="N1643" i="4"/>
  <c r="M1643" i="4"/>
  <c r="L1643" i="4"/>
  <c r="K1643" i="4"/>
  <c r="J1643" i="4"/>
  <c r="Q1643" i="5" s="1"/>
  <c r="P1642" i="4"/>
  <c r="O1642" i="4"/>
  <c r="N1642" i="4"/>
  <c r="M1642" i="4"/>
  <c r="L1642" i="4"/>
  <c r="K1642" i="4"/>
  <c r="J1642" i="4"/>
  <c r="Q1642" i="5" s="1"/>
  <c r="P1641" i="4"/>
  <c r="O1641" i="4"/>
  <c r="N1641" i="4"/>
  <c r="M1641" i="4"/>
  <c r="L1641" i="4"/>
  <c r="K1641" i="4"/>
  <c r="J1641" i="4"/>
  <c r="Q1641" i="5" s="1"/>
  <c r="P1640" i="4"/>
  <c r="O1640" i="4"/>
  <c r="N1640" i="4"/>
  <c r="M1640" i="4"/>
  <c r="L1640" i="4"/>
  <c r="K1640" i="4"/>
  <c r="J1640" i="4"/>
  <c r="Q1640" i="5" s="1"/>
  <c r="P1639" i="4"/>
  <c r="O1639" i="4"/>
  <c r="N1639" i="4"/>
  <c r="M1639" i="4"/>
  <c r="L1639" i="4"/>
  <c r="K1639" i="4"/>
  <c r="J1639" i="4"/>
  <c r="Q1639" i="5" s="1"/>
  <c r="P1638" i="4"/>
  <c r="O1638" i="4"/>
  <c r="N1638" i="4"/>
  <c r="M1638" i="4"/>
  <c r="L1638" i="4"/>
  <c r="K1638" i="4"/>
  <c r="J1638" i="4"/>
  <c r="Q1638" i="5" s="1"/>
  <c r="P1637" i="4"/>
  <c r="O1637" i="4"/>
  <c r="N1637" i="4"/>
  <c r="M1637" i="4"/>
  <c r="L1637" i="4"/>
  <c r="K1637" i="4"/>
  <c r="J1637" i="4"/>
  <c r="Q1637" i="5" s="1"/>
  <c r="P1636" i="4"/>
  <c r="O1636" i="4"/>
  <c r="N1636" i="4"/>
  <c r="M1636" i="4"/>
  <c r="L1636" i="4"/>
  <c r="K1636" i="4"/>
  <c r="J1636" i="4"/>
  <c r="Q1636" i="5" s="1"/>
  <c r="P1635" i="4"/>
  <c r="O1635" i="4"/>
  <c r="N1635" i="4"/>
  <c r="M1635" i="4"/>
  <c r="L1635" i="4"/>
  <c r="K1635" i="4"/>
  <c r="J1635" i="4"/>
  <c r="Q1635" i="5" s="1"/>
  <c r="P1634" i="4"/>
  <c r="O1634" i="4"/>
  <c r="N1634" i="4"/>
  <c r="M1634" i="4"/>
  <c r="L1634" i="4"/>
  <c r="K1634" i="4"/>
  <c r="J1634" i="4"/>
  <c r="Q1634" i="5" s="1"/>
  <c r="P1633" i="4"/>
  <c r="O1633" i="4"/>
  <c r="N1633" i="4"/>
  <c r="M1633" i="4"/>
  <c r="L1633" i="4"/>
  <c r="K1633" i="4"/>
  <c r="J1633" i="4"/>
  <c r="Q1633" i="5" s="1"/>
  <c r="P1632" i="4"/>
  <c r="O1632" i="4"/>
  <c r="N1632" i="4"/>
  <c r="M1632" i="4"/>
  <c r="L1632" i="4"/>
  <c r="K1632" i="4"/>
  <c r="J1632" i="4"/>
  <c r="Q1632" i="5" s="1"/>
  <c r="P1631" i="4"/>
  <c r="O1631" i="4"/>
  <c r="N1631" i="4"/>
  <c r="M1631" i="4"/>
  <c r="L1631" i="4"/>
  <c r="K1631" i="4"/>
  <c r="J1631" i="4"/>
  <c r="Q1631" i="5" s="1"/>
  <c r="P1630" i="4"/>
  <c r="O1630" i="4"/>
  <c r="N1630" i="4"/>
  <c r="M1630" i="4"/>
  <c r="L1630" i="4"/>
  <c r="K1630" i="4"/>
  <c r="J1630" i="4"/>
  <c r="Q1630" i="5" s="1"/>
  <c r="P1629" i="4"/>
  <c r="O1629" i="4"/>
  <c r="N1629" i="4"/>
  <c r="M1629" i="4"/>
  <c r="L1629" i="4"/>
  <c r="K1629" i="4"/>
  <c r="J1629" i="4"/>
  <c r="Q1629" i="5" s="1"/>
  <c r="P1628" i="4"/>
  <c r="O1628" i="4"/>
  <c r="N1628" i="4"/>
  <c r="M1628" i="4"/>
  <c r="L1628" i="4"/>
  <c r="K1628" i="4"/>
  <c r="J1628" i="4"/>
  <c r="Q1628" i="5" s="1"/>
  <c r="P1627" i="4"/>
  <c r="O1627" i="4"/>
  <c r="N1627" i="4"/>
  <c r="M1627" i="4"/>
  <c r="L1627" i="4"/>
  <c r="K1627" i="4"/>
  <c r="J1627" i="4"/>
  <c r="Q1627" i="5" s="1"/>
  <c r="P1626" i="4"/>
  <c r="O1626" i="4"/>
  <c r="N1626" i="4"/>
  <c r="M1626" i="4"/>
  <c r="L1626" i="4"/>
  <c r="K1626" i="4"/>
  <c r="J1626" i="4"/>
  <c r="Q1626" i="5" s="1"/>
  <c r="P1625" i="4"/>
  <c r="O1625" i="4"/>
  <c r="N1625" i="4"/>
  <c r="M1625" i="4"/>
  <c r="L1625" i="4"/>
  <c r="K1625" i="4"/>
  <c r="J1625" i="4"/>
  <c r="Q1625" i="5" s="1"/>
  <c r="P1624" i="4"/>
  <c r="O1624" i="4"/>
  <c r="N1624" i="4"/>
  <c r="M1624" i="4"/>
  <c r="L1624" i="4"/>
  <c r="K1624" i="4"/>
  <c r="J1624" i="4"/>
  <c r="Q1624" i="5" s="1"/>
  <c r="P1623" i="4"/>
  <c r="O1623" i="4"/>
  <c r="N1623" i="4"/>
  <c r="M1623" i="4"/>
  <c r="L1623" i="4"/>
  <c r="K1623" i="4"/>
  <c r="J1623" i="4"/>
  <c r="Q1623" i="5" s="1"/>
  <c r="P1622" i="4"/>
  <c r="O1622" i="4"/>
  <c r="N1622" i="4"/>
  <c r="M1622" i="4"/>
  <c r="L1622" i="4"/>
  <c r="K1622" i="4"/>
  <c r="J1622" i="4"/>
  <c r="Q1622" i="5" s="1"/>
  <c r="P1621" i="4"/>
  <c r="O1621" i="4"/>
  <c r="N1621" i="4"/>
  <c r="M1621" i="4"/>
  <c r="L1621" i="4"/>
  <c r="K1621" i="4"/>
  <c r="J1621" i="4"/>
  <c r="Q1621" i="5" s="1"/>
  <c r="P1620" i="4"/>
  <c r="O1620" i="4"/>
  <c r="N1620" i="4"/>
  <c r="M1620" i="4"/>
  <c r="L1620" i="4"/>
  <c r="K1620" i="4"/>
  <c r="J1620" i="4"/>
  <c r="Q1620" i="5" s="1"/>
  <c r="P1619" i="4"/>
  <c r="O1619" i="4"/>
  <c r="N1619" i="4"/>
  <c r="M1619" i="4"/>
  <c r="L1619" i="4"/>
  <c r="K1619" i="4"/>
  <c r="J1619" i="4"/>
  <c r="Q1619" i="5" s="1"/>
  <c r="P1618" i="4"/>
  <c r="O1618" i="4"/>
  <c r="N1618" i="4"/>
  <c r="M1618" i="4"/>
  <c r="L1618" i="4"/>
  <c r="K1618" i="4"/>
  <c r="J1618" i="4"/>
  <c r="Q1618" i="5" s="1"/>
  <c r="P1617" i="4"/>
  <c r="O1617" i="4"/>
  <c r="N1617" i="4"/>
  <c r="M1617" i="4"/>
  <c r="L1617" i="4"/>
  <c r="K1617" i="4"/>
  <c r="J1617" i="4"/>
  <c r="Q1617" i="5" s="1"/>
  <c r="P1616" i="4"/>
  <c r="O1616" i="4"/>
  <c r="N1616" i="4"/>
  <c r="M1616" i="4"/>
  <c r="L1616" i="4"/>
  <c r="K1616" i="4"/>
  <c r="J1616" i="4"/>
  <c r="Q1616" i="5" s="1"/>
  <c r="P1615" i="4"/>
  <c r="O1615" i="4"/>
  <c r="N1615" i="4"/>
  <c r="M1615" i="4"/>
  <c r="L1615" i="4"/>
  <c r="K1615" i="4"/>
  <c r="J1615" i="4"/>
  <c r="Q1615" i="5" s="1"/>
  <c r="P1614" i="4"/>
  <c r="O1614" i="4"/>
  <c r="N1614" i="4"/>
  <c r="M1614" i="4"/>
  <c r="L1614" i="4"/>
  <c r="K1614" i="4"/>
  <c r="J1614" i="4"/>
  <c r="Q1614" i="5" s="1"/>
  <c r="P1613" i="4"/>
  <c r="O1613" i="4"/>
  <c r="N1613" i="4"/>
  <c r="M1613" i="4"/>
  <c r="L1613" i="4"/>
  <c r="K1613" i="4"/>
  <c r="J1613" i="4"/>
  <c r="Q1613" i="5" s="1"/>
  <c r="P1612" i="4"/>
  <c r="O1612" i="4"/>
  <c r="N1612" i="4"/>
  <c r="M1612" i="4"/>
  <c r="L1612" i="4"/>
  <c r="K1612" i="4"/>
  <c r="J1612" i="4"/>
  <c r="Q1612" i="5" s="1"/>
  <c r="P1611" i="4"/>
  <c r="O1611" i="4"/>
  <c r="N1611" i="4"/>
  <c r="M1611" i="4"/>
  <c r="L1611" i="4"/>
  <c r="K1611" i="4"/>
  <c r="J1611" i="4"/>
  <c r="Q1611" i="5" s="1"/>
  <c r="P1610" i="4"/>
  <c r="O1610" i="4"/>
  <c r="N1610" i="4"/>
  <c r="M1610" i="4"/>
  <c r="L1610" i="4"/>
  <c r="K1610" i="4"/>
  <c r="J1610" i="4"/>
  <c r="Q1610" i="5" s="1"/>
  <c r="P1609" i="4"/>
  <c r="O1609" i="4"/>
  <c r="N1609" i="4"/>
  <c r="M1609" i="4"/>
  <c r="L1609" i="4"/>
  <c r="K1609" i="4"/>
  <c r="J1609" i="4"/>
  <c r="Q1609" i="5" s="1"/>
  <c r="P1608" i="4"/>
  <c r="O1608" i="4"/>
  <c r="N1608" i="4"/>
  <c r="M1608" i="4"/>
  <c r="L1608" i="4"/>
  <c r="K1608" i="4"/>
  <c r="J1608" i="4"/>
  <c r="Q1608" i="5" s="1"/>
  <c r="P1607" i="4"/>
  <c r="O1607" i="4"/>
  <c r="N1607" i="4"/>
  <c r="M1607" i="4"/>
  <c r="L1607" i="4"/>
  <c r="K1607" i="4"/>
  <c r="J1607" i="4"/>
  <c r="Q1607" i="5" s="1"/>
  <c r="P1606" i="4"/>
  <c r="O1606" i="4"/>
  <c r="N1606" i="4"/>
  <c r="M1606" i="4"/>
  <c r="L1606" i="4"/>
  <c r="K1606" i="4"/>
  <c r="J1606" i="4"/>
  <c r="Q1606" i="5" s="1"/>
  <c r="P1605" i="4"/>
  <c r="O1605" i="4"/>
  <c r="N1605" i="4"/>
  <c r="M1605" i="4"/>
  <c r="L1605" i="4"/>
  <c r="K1605" i="4"/>
  <c r="J1605" i="4"/>
  <c r="Q1605" i="5" s="1"/>
  <c r="P1604" i="4"/>
  <c r="O1604" i="4"/>
  <c r="N1604" i="4"/>
  <c r="M1604" i="4"/>
  <c r="L1604" i="4"/>
  <c r="K1604" i="4"/>
  <c r="J1604" i="4"/>
  <c r="Q1604" i="5" s="1"/>
  <c r="P1603" i="4"/>
  <c r="O1603" i="4"/>
  <c r="N1603" i="4"/>
  <c r="M1603" i="4"/>
  <c r="L1603" i="4"/>
  <c r="K1603" i="4"/>
  <c r="J1603" i="4"/>
  <c r="Q1603" i="5" s="1"/>
  <c r="P1602" i="4"/>
  <c r="O1602" i="4"/>
  <c r="N1602" i="4"/>
  <c r="M1602" i="4"/>
  <c r="L1602" i="4"/>
  <c r="K1602" i="4"/>
  <c r="J1602" i="4"/>
  <c r="Q1602" i="5" s="1"/>
  <c r="P1601" i="4"/>
  <c r="O1601" i="4"/>
  <c r="N1601" i="4"/>
  <c r="M1601" i="4"/>
  <c r="L1601" i="4"/>
  <c r="K1601" i="4"/>
  <c r="J1601" i="4"/>
  <c r="Q1601" i="5" s="1"/>
  <c r="P1600" i="4"/>
  <c r="O1600" i="4"/>
  <c r="N1600" i="4"/>
  <c r="M1600" i="4"/>
  <c r="L1600" i="4"/>
  <c r="K1600" i="4"/>
  <c r="J1600" i="4"/>
  <c r="Q1600" i="5" s="1"/>
  <c r="P1599" i="4"/>
  <c r="O1599" i="4"/>
  <c r="N1599" i="4"/>
  <c r="M1599" i="4"/>
  <c r="L1599" i="4"/>
  <c r="K1599" i="4"/>
  <c r="J1599" i="4"/>
  <c r="Q1599" i="5" s="1"/>
  <c r="P1598" i="4"/>
  <c r="O1598" i="4"/>
  <c r="N1598" i="4"/>
  <c r="M1598" i="4"/>
  <c r="L1598" i="4"/>
  <c r="K1598" i="4"/>
  <c r="J1598" i="4"/>
  <c r="Q1598" i="5" s="1"/>
  <c r="P1597" i="4"/>
  <c r="O1597" i="4"/>
  <c r="N1597" i="4"/>
  <c r="M1597" i="4"/>
  <c r="L1597" i="4"/>
  <c r="K1597" i="4"/>
  <c r="J1597" i="4"/>
  <c r="Q1597" i="5" s="1"/>
  <c r="P1596" i="4"/>
  <c r="O1596" i="4"/>
  <c r="N1596" i="4"/>
  <c r="M1596" i="4"/>
  <c r="L1596" i="4"/>
  <c r="K1596" i="4"/>
  <c r="J1596" i="4"/>
  <c r="Q1596" i="5" s="1"/>
  <c r="P1595" i="4"/>
  <c r="O1595" i="4"/>
  <c r="N1595" i="4"/>
  <c r="M1595" i="4"/>
  <c r="L1595" i="4"/>
  <c r="K1595" i="4"/>
  <c r="J1595" i="4"/>
  <c r="Q1595" i="5" s="1"/>
  <c r="P1594" i="4"/>
  <c r="O1594" i="4"/>
  <c r="N1594" i="4"/>
  <c r="M1594" i="4"/>
  <c r="L1594" i="4"/>
  <c r="K1594" i="4"/>
  <c r="J1594" i="4"/>
  <c r="Q1594" i="5" s="1"/>
  <c r="P1593" i="4"/>
  <c r="O1593" i="4"/>
  <c r="N1593" i="4"/>
  <c r="M1593" i="4"/>
  <c r="L1593" i="4"/>
  <c r="K1593" i="4"/>
  <c r="J1593" i="4"/>
  <c r="Q1593" i="5" s="1"/>
  <c r="P1592" i="4"/>
  <c r="O1592" i="4"/>
  <c r="N1592" i="4"/>
  <c r="M1592" i="4"/>
  <c r="L1592" i="4"/>
  <c r="K1592" i="4"/>
  <c r="J1592" i="4"/>
  <c r="Q1592" i="5" s="1"/>
  <c r="P1591" i="4"/>
  <c r="O1591" i="4"/>
  <c r="N1591" i="4"/>
  <c r="M1591" i="4"/>
  <c r="L1591" i="4"/>
  <c r="K1591" i="4"/>
  <c r="J1591" i="4"/>
  <c r="Q1591" i="5" s="1"/>
  <c r="P1590" i="4"/>
  <c r="O1590" i="4"/>
  <c r="N1590" i="4"/>
  <c r="M1590" i="4"/>
  <c r="L1590" i="4"/>
  <c r="K1590" i="4"/>
  <c r="J1590" i="4"/>
  <c r="Q1590" i="5" s="1"/>
  <c r="P1589" i="4"/>
  <c r="O1589" i="4"/>
  <c r="N1589" i="4"/>
  <c r="M1589" i="4"/>
  <c r="L1589" i="4"/>
  <c r="K1589" i="4"/>
  <c r="J1589" i="4"/>
  <c r="Q1589" i="5" s="1"/>
  <c r="P1588" i="4"/>
  <c r="O1588" i="4"/>
  <c r="N1588" i="4"/>
  <c r="M1588" i="4"/>
  <c r="L1588" i="4"/>
  <c r="K1588" i="4"/>
  <c r="J1588" i="4"/>
  <c r="Q1588" i="5" s="1"/>
  <c r="P1587" i="4"/>
  <c r="O1587" i="4"/>
  <c r="N1587" i="4"/>
  <c r="M1587" i="4"/>
  <c r="L1587" i="4"/>
  <c r="K1587" i="4"/>
  <c r="J1587" i="4"/>
  <c r="Q1587" i="5" s="1"/>
  <c r="P1586" i="4"/>
  <c r="O1586" i="4"/>
  <c r="N1586" i="4"/>
  <c r="M1586" i="4"/>
  <c r="L1586" i="4"/>
  <c r="K1586" i="4"/>
  <c r="J1586" i="4"/>
  <c r="Q1586" i="5" s="1"/>
  <c r="P1585" i="4"/>
  <c r="O1585" i="4"/>
  <c r="N1585" i="4"/>
  <c r="M1585" i="4"/>
  <c r="L1585" i="4"/>
  <c r="K1585" i="4"/>
  <c r="J1585" i="4"/>
  <c r="Q1585" i="5" s="1"/>
  <c r="P1584" i="4"/>
  <c r="O1584" i="4"/>
  <c r="N1584" i="4"/>
  <c r="M1584" i="4"/>
  <c r="L1584" i="4"/>
  <c r="K1584" i="4"/>
  <c r="J1584" i="4"/>
  <c r="Q1584" i="5" s="1"/>
  <c r="P1583" i="4"/>
  <c r="O1583" i="4"/>
  <c r="N1583" i="4"/>
  <c r="M1583" i="4"/>
  <c r="L1583" i="4"/>
  <c r="K1583" i="4"/>
  <c r="J1583" i="4"/>
  <c r="Q1583" i="5" s="1"/>
  <c r="P1582" i="4"/>
  <c r="O1582" i="4"/>
  <c r="N1582" i="4"/>
  <c r="M1582" i="4"/>
  <c r="L1582" i="4"/>
  <c r="K1582" i="4"/>
  <c r="J1582" i="4"/>
  <c r="Q1582" i="5" s="1"/>
  <c r="P1581" i="4"/>
  <c r="O1581" i="4"/>
  <c r="N1581" i="4"/>
  <c r="M1581" i="4"/>
  <c r="L1581" i="4"/>
  <c r="K1581" i="4"/>
  <c r="J1581" i="4"/>
  <c r="Q1581" i="5" s="1"/>
  <c r="P1580" i="4"/>
  <c r="O1580" i="4"/>
  <c r="N1580" i="4"/>
  <c r="M1580" i="4"/>
  <c r="L1580" i="4"/>
  <c r="K1580" i="4"/>
  <c r="J1580" i="4"/>
  <c r="Q1580" i="5" s="1"/>
  <c r="P1579" i="4"/>
  <c r="O1579" i="4"/>
  <c r="N1579" i="4"/>
  <c r="M1579" i="4"/>
  <c r="L1579" i="4"/>
  <c r="K1579" i="4"/>
  <c r="J1579" i="4"/>
  <c r="Q1579" i="5" s="1"/>
  <c r="P1578" i="4"/>
  <c r="O1578" i="4"/>
  <c r="N1578" i="4"/>
  <c r="M1578" i="4"/>
  <c r="L1578" i="4"/>
  <c r="K1578" i="4"/>
  <c r="J1578" i="4"/>
  <c r="Q1578" i="5" s="1"/>
  <c r="P1577" i="4"/>
  <c r="O1577" i="4"/>
  <c r="N1577" i="4"/>
  <c r="M1577" i="4"/>
  <c r="L1577" i="4"/>
  <c r="K1577" i="4"/>
  <c r="J1577" i="4"/>
  <c r="Q1577" i="5" s="1"/>
  <c r="P1576" i="4"/>
  <c r="O1576" i="4"/>
  <c r="N1576" i="4"/>
  <c r="M1576" i="4"/>
  <c r="L1576" i="4"/>
  <c r="K1576" i="4"/>
  <c r="J1576" i="4"/>
  <c r="Q1576" i="5" s="1"/>
  <c r="P1575" i="4"/>
  <c r="O1575" i="4"/>
  <c r="N1575" i="4"/>
  <c r="M1575" i="4"/>
  <c r="L1575" i="4"/>
  <c r="K1575" i="4"/>
  <c r="J1575" i="4"/>
  <c r="Q1575" i="5" s="1"/>
  <c r="P1574" i="4"/>
  <c r="O1574" i="4"/>
  <c r="N1574" i="4"/>
  <c r="M1574" i="4"/>
  <c r="L1574" i="4"/>
  <c r="K1574" i="4"/>
  <c r="J1574" i="4"/>
  <c r="Q1574" i="5" s="1"/>
  <c r="P1573" i="4"/>
  <c r="O1573" i="4"/>
  <c r="N1573" i="4"/>
  <c r="M1573" i="4"/>
  <c r="L1573" i="4"/>
  <c r="K1573" i="4"/>
  <c r="J1573" i="4"/>
  <c r="Q1573" i="5" s="1"/>
  <c r="P1572" i="4"/>
  <c r="O1572" i="4"/>
  <c r="N1572" i="4"/>
  <c r="M1572" i="4"/>
  <c r="L1572" i="4"/>
  <c r="K1572" i="4"/>
  <c r="J1572" i="4"/>
  <c r="Q1572" i="5" s="1"/>
  <c r="P1571" i="4"/>
  <c r="O1571" i="4"/>
  <c r="N1571" i="4"/>
  <c r="M1571" i="4"/>
  <c r="L1571" i="4"/>
  <c r="K1571" i="4"/>
  <c r="J1571" i="4"/>
  <c r="Q1571" i="5" s="1"/>
  <c r="P1570" i="4"/>
  <c r="O1570" i="4"/>
  <c r="N1570" i="4"/>
  <c r="M1570" i="4"/>
  <c r="L1570" i="4"/>
  <c r="K1570" i="4"/>
  <c r="J1570" i="4"/>
  <c r="Q1570" i="5" s="1"/>
  <c r="P1569" i="4"/>
  <c r="O1569" i="4"/>
  <c r="N1569" i="4"/>
  <c r="M1569" i="4"/>
  <c r="L1569" i="4"/>
  <c r="K1569" i="4"/>
  <c r="J1569" i="4"/>
  <c r="Q1569" i="5" s="1"/>
  <c r="P1568" i="4"/>
  <c r="O1568" i="4"/>
  <c r="N1568" i="4"/>
  <c r="M1568" i="4"/>
  <c r="L1568" i="4"/>
  <c r="K1568" i="4"/>
  <c r="J1568" i="4"/>
  <c r="Q1568" i="5" s="1"/>
  <c r="P1567" i="4"/>
  <c r="O1567" i="4"/>
  <c r="N1567" i="4"/>
  <c r="M1567" i="4"/>
  <c r="L1567" i="4"/>
  <c r="K1567" i="4"/>
  <c r="J1567" i="4"/>
  <c r="Q1567" i="5" s="1"/>
  <c r="P1566" i="4"/>
  <c r="O1566" i="4"/>
  <c r="N1566" i="4"/>
  <c r="M1566" i="4"/>
  <c r="L1566" i="4"/>
  <c r="K1566" i="4"/>
  <c r="J1566" i="4"/>
  <c r="Q1566" i="5" s="1"/>
  <c r="P1565" i="4"/>
  <c r="O1565" i="4"/>
  <c r="N1565" i="4"/>
  <c r="M1565" i="4"/>
  <c r="L1565" i="4"/>
  <c r="K1565" i="4"/>
  <c r="J1565" i="4"/>
  <c r="Q1565" i="5" s="1"/>
  <c r="P1564" i="4"/>
  <c r="O1564" i="4"/>
  <c r="N1564" i="4"/>
  <c r="M1564" i="4"/>
  <c r="L1564" i="4"/>
  <c r="K1564" i="4"/>
  <c r="J1564" i="4"/>
  <c r="Q1564" i="5" s="1"/>
  <c r="P1563" i="4"/>
  <c r="O1563" i="4"/>
  <c r="N1563" i="4"/>
  <c r="M1563" i="4"/>
  <c r="L1563" i="4"/>
  <c r="K1563" i="4"/>
  <c r="J1563" i="4"/>
  <c r="Q1563" i="5" s="1"/>
  <c r="P1562" i="4"/>
  <c r="O1562" i="4"/>
  <c r="N1562" i="4"/>
  <c r="M1562" i="4"/>
  <c r="L1562" i="4"/>
  <c r="K1562" i="4"/>
  <c r="J1562" i="4"/>
  <c r="Q1562" i="5" s="1"/>
  <c r="P1561" i="4"/>
  <c r="O1561" i="4"/>
  <c r="N1561" i="4"/>
  <c r="M1561" i="4"/>
  <c r="L1561" i="4"/>
  <c r="K1561" i="4"/>
  <c r="J1561" i="4"/>
  <c r="Q1561" i="5" s="1"/>
  <c r="P1560" i="4"/>
  <c r="O1560" i="4"/>
  <c r="N1560" i="4"/>
  <c r="M1560" i="4"/>
  <c r="L1560" i="4"/>
  <c r="K1560" i="4"/>
  <c r="J1560" i="4"/>
  <c r="Q1560" i="5" s="1"/>
  <c r="P1559" i="4"/>
  <c r="O1559" i="4"/>
  <c r="N1559" i="4"/>
  <c r="M1559" i="4"/>
  <c r="L1559" i="4"/>
  <c r="K1559" i="4"/>
  <c r="J1559" i="4"/>
  <c r="Q1559" i="5" s="1"/>
  <c r="P1558" i="4"/>
  <c r="O1558" i="4"/>
  <c r="N1558" i="4"/>
  <c r="M1558" i="4"/>
  <c r="L1558" i="4"/>
  <c r="K1558" i="4"/>
  <c r="J1558" i="4"/>
  <c r="Q1558" i="5" s="1"/>
  <c r="P1557" i="4"/>
  <c r="O1557" i="4"/>
  <c r="N1557" i="4"/>
  <c r="M1557" i="4"/>
  <c r="L1557" i="4"/>
  <c r="K1557" i="4"/>
  <c r="J1557" i="4"/>
  <c r="Q1557" i="5" s="1"/>
  <c r="P1556" i="4"/>
  <c r="O1556" i="4"/>
  <c r="N1556" i="4"/>
  <c r="M1556" i="4"/>
  <c r="L1556" i="4"/>
  <c r="K1556" i="4"/>
  <c r="J1556" i="4"/>
  <c r="Q1556" i="5" s="1"/>
  <c r="P1555" i="4"/>
  <c r="O1555" i="4"/>
  <c r="N1555" i="4"/>
  <c r="M1555" i="4"/>
  <c r="L1555" i="4"/>
  <c r="K1555" i="4"/>
  <c r="J1555" i="4"/>
  <c r="Q1555" i="5" s="1"/>
  <c r="P1554" i="4"/>
  <c r="O1554" i="4"/>
  <c r="N1554" i="4"/>
  <c r="M1554" i="4"/>
  <c r="L1554" i="4"/>
  <c r="K1554" i="4"/>
  <c r="J1554" i="4"/>
  <c r="Q1554" i="5" s="1"/>
  <c r="P1553" i="4"/>
  <c r="O1553" i="4"/>
  <c r="N1553" i="4"/>
  <c r="M1553" i="4"/>
  <c r="L1553" i="4"/>
  <c r="K1553" i="4"/>
  <c r="J1553" i="4"/>
  <c r="Q1553" i="5" s="1"/>
  <c r="P1552" i="4"/>
  <c r="O1552" i="4"/>
  <c r="N1552" i="4"/>
  <c r="M1552" i="4"/>
  <c r="L1552" i="4"/>
  <c r="K1552" i="4"/>
  <c r="J1552" i="4"/>
  <c r="Q1552" i="5" s="1"/>
  <c r="P1551" i="4"/>
  <c r="O1551" i="4"/>
  <c r="N1551" i="4"/>
  <c r="M1551" i="4"/>
  <c r="L1551" i="4"/>
  <c r="K1551" i="4"/>
  <c r="J1551" i="4"/>
  <c r="Q1551" i="5" s="1"/>
  <c r="P1550" i="4"/>
  <c r="O1550" i="4"/>
  <c r="N1550" i="4"/>
  <c r="M1550" i="4"/>
  <c r="L1550" i="4"/>
  <c r="K1550" i="4"/>
  <c r="J1550" i="4"/>
  <c r="Q1550" i="5" s="1"/>
  <c r="P1549" i="4"/>
  <c r="O1549" i="4"/>
  <c r="N1549" i="4"/>
  <c r="M1549" i="4"/>
  <c r="L1549" i="4"/>
  <c r="K1549" i="4"/>
  <c r="J1549" i="4"/>
  <c r="Q1549" i="5" s="1"/>
  <c r="P1548" i="4"/>
  <c r="O1548" i="4"/>
  <c r="N1548" i="4"/>
  <c r="M1548" i="4"/>
  <c r="L1548" i="4"/>
  <c r="K1548" i="4"/>
  <c r="J1548" i="4"/>
  <c r="Q1548" i="5" s="1"/>
  <c r="P1547" i="4"/>
  <c r="O1547" i="4"/>
  <c r="N1547" i="4"/>
  <c r="M1547" i="4"/>
  <c r="L1547" i="4"/>
  <c r="K1547" i="4"/>
  <c r="J1547" i="4"/>
  <c r="Q1547" i="5" s="1"/>
  <c r="P1546" i="4"/>
  <c r="O1546" i="4"/>
  <c r="N1546" i="4"/>
  <c r="M1546" i="4"/>
  <c r="L1546" i="4"/>
  <c r="K1546" i="4"/>
  <c r="J1546" i="4"/>
  <c r="Q1546" i="5" s="1"/>
  <c r="P1545" i="4"/>
  <c r="O1545" i="4"/>
  <c r="N1545" i="4"/>
  <c r="M1545" i="4"/>
  <c r="L1545" i="4"/>
  <c r="K1545" i="4"/>
  <c r="J1545" i="4"/>
  <c r="Q1545" i="5" s="1"/>
  <c r="P1544" i="4"/>
  <c r="O1544" i="4"/>
  <c r="N1544" i="4"/>
  <c r="M1544" i="4"/>
  <c r="L1544" i="4"/>
  <c r="K1544" i="4"/>
  <c r="J1544" i="4"/>
  <c r="Q1544" i="5" s="1"/>
  <c r="P1543" i="4"/>
  <c r="O1543" i="4"/>
  <c r="N1543" i="4"/>
  <c r="M1543" i="4"/>
  <c r="L1543" i="4"/>
  <c r="K1543" i="4"/>
  <c r="J1543" i="4"/>
  <c r="Q1543" i="5" s="1"/>
  <c r="P1542" i="4"/>
  <c r="O1542" i="4"/>
  <c r="N1542" i="4"/>
  <c r="M1542" i="4"/>
  <c r="L1542" i="4"/>
  <c r="K1542" i="4"/>
  <c r="J1542" i="4"/>
  <c r="Q1542" i="5" s="1"/>
  <c r="P1541" i="4"/>
  <c r="O1541" i="4"/>
  <c r="N1541" i="4"/>
  <c r="M1541" i="4"/>
  <c r="L1541" i="4"/>
  <c r="K1541" i="4"/>
  <c r="J1541" i="4"/>
  <c r="Q1541" i="5" s="1"/>
  <c r="P1540" i="4"/>
  <c r="O1540" i="4"/>
  <c r="N1540" i="4"/>
  <c r="M1540" i="4"/>
  <c r="L1540" i="4"/>
  <c r="K1540" i="4"/>
  <c r="J1540" i="4"/>
  <c r="Q1540" i="5" s="1"/>
  <c r="P1539" i="4"/>
  <c r="O1539" i="4"/>
  <c r="N1539" i="4"/>
  <c r="M1539" i="4"/>
  <c r="L1539" i="4"/>
  <c r="K1539" i="4"/>
  <c r="J1539" i="4"/>
  <c r="Q1539" i="5" s="1"/>
  <c r="P1538" i="4"/>
  <c r="O1538" i="4"/>
  <c r="N1538" i="4"/>
  <c r="M1538" i="4"/>
  <c r="L1538" i="4"/>
  <c r="K1538" i="4"/>
  <c r="J1538" i="4"/>
  <c r="Q1538" i="5" s="1"/>
  <c r="P1537" i="4"/>
  <c r="O1537" i="4"/>
  <c r="N1537" i="4"/>
  <c r="M1537" i="4"/>
  <c r="L1537" i="4"/>
  <c r="K1537" i="4"/>
  <c r="J1537" i="4"/>
  <c r="Q1537" i="5" s="1"/>
  <c r="P1536" i="4"/>
  <c r="O1536" i="4"/>
  <c r="N1536" i="4"/>
  <c r="M1536" i="4"/>
  <c r="L1536" i="4"/>
  <c r="K1536" i="4"/>
  <c r="J1536" i="4"/>
  <c r="Q1536" i="5" s="1"/>
  <c r="P1535" i="4"/>
  <c r="O1535" i="4"/>
  <c r="N1535" i="4"/>
  <c r="M1535" i="4"/>
  <c r="L1535" i="4"/>
  <c r="K1535" i="4"/>
  <c r="J1535" i="4"/>
  <c r="Q1535" i="5" s="1"/>
  <c r="P1534" i="4"/>
  <c r="O1534" i="4"/>
  <c r="N1534" i="4"/>
  <c r="M1534" i="4"/>
  <c r="L1534" i="4"/>
  <c r="K1534" i="4"/>
  <c r="J1534" i="4"/>
  <c r="Q1534" i="5" s="1"/>
  <c r="P1533" i="4"/>
  <c r="O1533" i="4"/>
  <c r="N1533" i="4"/>
  <c r="M1533" i="4"/>
  <c r="L1533" i="4"/>
  <c r="K1533" i="4"/>
  <c r="J1533" i="4"/>
  <c r="Q1533" i="5" s="1"/>
  <c r="P1532" i="4"/>
  <c r="O1532" i="4"/>
  <c r="N1532" i="4"/>
  <c r="M1532" i="4"/>
  <c r="L1532" i="4"/>
  <c r="K1532" i="4"/>
  <c r="J1532" i="4"/>
  <c r="Q1532" i="5" s="1"/>
  <c r="P1531" i="4"/>
  <c r="O1531" i="4"/>
  <c r="N1531" i="4"/>
  <c r="M1531" i="4"/>
  <c r="L1531" i="4"/>
  <c r="K1531" i="4"/>
  <c r="J1531" i="4"/>
  <c r="Q1531" i="5" s="1"/>
  <c r="P1530" i="4"/>
  <c r="O1530" i="4"/>
  <c r="N1530" i="4"/>
  <c r="M1530" i="4"/>
  <c r="L1530" i="4"/>
  <c r="K1530" i="4"/>
  <c r="J1530" i="4"/>
  <c r="Q1530" i="5" s="1"/>
  <c r="P1529" i="4"/>
  <c r="O1529" i="4"/>
  <c r="N1529" i="4"/>
  <c r="M1529" i="4"/>
  <c r="L1529" i="4"/>
  <c r="K1529" i="4"/>
  <c r="J1529" i="4"/>
  <c r="Q1529" i="5" s="1"/>
  <c r="P1528" i="4"/>
  <c r="O1528" i="4"/>
  <c r="N1528" i="4"/>
  <c r="M1528" i="4"/>
  <c r="L1528" i="4"/>
  <c r="K1528" i="4"/>
  <c r="J1528" i="4"/>
  <c r="Q1528" i="5" s="1"/>
  <c r="P1527" i="4"/>
  <c r="O1527" i="4"/>
  <c r="N1527" i="4"/>
  <c r="M1527" i="4"/>
  <c r="L1527" i="4"/>
  <c r="K1527" i="4"/>
  <c r="J1527" i="4"/>
  <c r="Q1527" i="5" s="1"/>
  <c r="P1526" i="4"/>
  <c r="O1526" i="4"/>
  <c r="N1526" i="4"/>
  <c r="M1526" i="4"/>
  <c r="L1526" i="4"/>
  <c r="K1526" i="4"/>
  <c r="J1526" i="4"/>
  <c r="Q1526" i="5" s="1"/>
  <c r="P1525" i="4"/>
  <c r="O1525" i="4"/>
  <c r="N1525" i="4"/>
  <c r="M1525" i="4"/>
  <c r="L1525" i="4"/>
  <c r="K1525" i="4"/>
  <c r="J1525" i="4"/>
  <c r="Q1525" i="5" s="1"/>
  <c r="P1524" i="4"/>
  <c r="O1524" i="4"/>
  <c r="N1524" i="4"/>
  <c r="M1524" i="4"/>
  <c r="L1524" i="4"/>
  <c r="K1524" i="4"/>
  <c r="J1524" i="4"/>
  <c r="Q1524" i="5" s="1"/>
  <c r="P1523" i="4"/>
  <c r="O1523" i="4"/>
  <c r="N1523" i="4"/>
  <c r="M1523" i="4"/>
  <c r="L1523" i="4"/>
  <c r="K1523" i="4"/>
  <c r="J1523" i="4"/>
  <c r="Q1523" i="5" s="1"/>
  <c r="P1522" i="4"/>
  <c r="O1522" i="4"/>
  <c r="N1522" i="4"/>
  <c r="M1522" i="4"/>
  <c r="L1522" i="4"/>
  <c r="K1522" i="4"/>
  <c r="J1522" i="4"/>
  <c r="Q1522" i="5" s="1"/>
  <c r="P1521" i="4"/>
  <c r="O1521" i="4"/>
  <c r="N1521" i="4"/>
  <c r="M1521" i="4"/>
  <c r="L1521" i="4"/>
  <c r="K1521" i="4"/>
  <c r="J1521" i="4"/>
  <c r="Q1521" i="5" s="1"/>
  <c r="P1520" i="4"/>
  <c r="O1520" i="4"/>
  <c r="N1520" i="4"/>
  <c r="M1520" i="4"/>
  <c r="L1520" i="4"/>
  <c r="K1520" i="4"/>
  <c r="J1520" i="4"/>
  <c r="Q1520" i="5" s="1"/>
  <c r="P1519" i="4"/>
  <c r="O1519" i="4"/>
  <c r="N1519" i="4"/>
  <c r="M1519" i="4"/>
  <c r="L1519" i="4"/>
  <c r="K1519" i="4"/>
  <c r="J1519" i="4"/>
  <c r="Q1519" i="5" s="1"/>
  <c r="P1518" i="4"/>
  <c r="O1518" i="4"/>
  <c r="N1518" i="4"/>
  <c r="M1518" i="4"/>
  <c r="L1518" i="4"/>
  <c r="K1518" i="4"/>
  <c r="J1518" i="4"/>
  <c r="Q1518" i="5" s="1"/>
  <c r="P1517" i="4"/>
  <c r="O1517" i="4"/>
  <c r="N1517" i="4"/>
  <c r="M1517" i="4"/>
  <c r="L1517" i="4"/>
  <c r="K1517" i="4"/>
  <c r="J1517" i="4"/>
  <c r="Q1517" i="5" s="1"/>
  <c r="P1516" i="4"/>
  <c r="O1516" i="4"/>
  <c r="N1516" i="4"/>
  <c r="M1516" i="4"/>
  <c r="L1516" i="4"/>
  <c r="K1516" i="4"/>
  <c r="J1516" i="4"/>
  <c r="Q1516" i="5" s="1"/>
  <c r="P1515" i="4"/>
  <c r="O1515" i="4"/>
  <c r="N1515" i="4"/>
  <c r="M1515" i="4"/>
  <c r="L1515" i="4"/>
  <c r="K1515" i="4"/>
  <c r="J1515" i="4"/>
  <c r="Q1515" i="5" s="1"/>
  <c r="P1514" i="4"/>
  <c r="O1514" i="4"/>
  <c r="N1514" i="4"/>
  <c r="M1514" i="4"/>
  <c r="L1514" i="4"/>
  <c r="K1514" i="4"/>
  <c r="J1514" i="4"/>
  <c r="Q1514" i="5" s="1"/>
  <c r="P1513" i="4"/>
  <c r="O1513" i="4"/>
  <c r="N1513" i="4"/>
  <c r="M1513" i="4"/>
  <c r="L1513" i="4"/>
  <c r="K1513" i="4"/>
  <c r="J1513" i="4"/>
  <c r="Q1513" i="5" s="1"/>
  <c r="P1512" i="4"/>
  <c r="O1512" i="4"/>
  <c r="N1512" i="4"/>
  <c r="M1512" i="4"/>
  <c r="L1512" i="4"/>
  <c r="K1512" i="4"/>
  <c r="J1512" i="4"/>
  <c r="Q1512" i="5" s="1"/>
  <c r="P1511" i="4"/>
  <c r="O1511" i="4"/>
  <c r="N1511" i="4"/>
  <c r="M1511" i="4"/>
  <c r="L1511" i="4"/>
  <c r="K1511" i="4"/>
  <c r="J1511" i="4"/>
  <c r="Q1511" i="5" s="1"/>
  <c r="P1510" i="4"/>
  <c r="O1510" i="4"/>
  <c r="N1510" i="4"/>
  <c r="M1510" i="4"/>
  <c r="L1510" i="4"/>
  <c r="K1510" i="4"/>
  <c r="J1510" i="4"/>
  <c r="Q1510" i="5" s="1"/>
  <c r="P1509" i="4"/>
  <c r="O1509" i="4"/>
  <c r="N1509" i="4"/>
  <c r="M1509" i="4"/>
  <c r="L1509" i="4"/>
  <c r="K1509" i="4"/>
  <c r="J1509" i="4"/>
  <c r="Q1509" i="5" s="1"/>
  <c r="P1508" i="4"/>
  <c r="O1508" i="4"/>
  <c r="N1508" i="4"/>
  <c r="M1508" i="4"/>
  <c r="L1508" i="4"/>
  <c r="K1508" i="4"/>
  <c r="J1508" i="4"/>
  <c r="Q1508" i="5" s="1"/>
  <c r="P1507" i="4"/>
  <c r="O1507" i="4"/>
  <c r="N1507" i="4"/>
  <c r="M1507" i="4"/>
  <c r="L1507" i="4"/>
  <c r="K1507" i="4"/>
  <c r="J1507" i="4"/>
  <c r="Q1507" i="5" s="1"/>
  <c r="P1506" i="4"/>
  <c r="O1506" i="4"/>
  <c r="N1506" i="4"/>
  <c r="M1506" i="4"/>
  <c r="L1506" i="4"/>
  <c r="K1506" i="4"/>
  <c r="J1506" i="4"/>
  <c r="Q1506" i="5" s="1"/>
  <c r="P1505" i="4"/>
  <c r="O1505" i="4"/>
  <c r="N1505" i="4"/>
  <c r="M1505" i="4"/>
  <c r="L1505" i="4"/>
  <c r="K1505" i="4"/>
  <c r="J1505" i="4"/>
  <c r="Q1505" i="5" s="1"/>
  <c r="P1504" i="4"/>
  <c r="O1504" i="4"/>
  <c r="N1504" i="4"/>
  <c r="M1504" i="4"/>
  <c r="L1504" i="4"/>
  <c r="K1504" i="4"/>
  <c r="J1504" i="4"/>
  <c r="Q1504" i="5" s="1"/>
  <c r="P1503" i="4"/>
  <c r="O1503" i="4"/>
  <c r="N1503" i="4"/>
  <c r="M1503" i="4"/>
  <c r="L1503" i="4"/>
  <c r="K1503" i="4"/>
  <c r="J1503" i="4"/>
  <c r="Q1503" i="5" s="1"/>
  <c r="P1502" i="4"/>
  <c r="O1502" i="4"/>
  <c r="N1502" i="4"/>
  <c r="M1502" i="4"/>
  <c r="L1502" i="4"/>
  <c r="K1502" i="4"/>
  <c r="J1502" i="4"/>
  <c r="Q1502" i="5" s="1"/>
  <c r="P1501" i="4"/>
  <c r="O1501" i="4"/>
  <c r="N1501" i="4"/>
  <c r="M1501" i="4"/>
  <c r="L1501" i="4"/>
  <c r="K1501" i="4"/>
  <c r="J1501" i="4"/>
  <c r="Q1501" i="5" s="1"/>
  <c r="P1500" i="4"/>
  <c r="O1500" i="4"/>
  <c r="N1500" i="4"/>
  <c r="M1500" i="4"/>
  <c r="L1500" i="4"/>
  <c r="K1500" i="4"/>
  <c r="J1500" i="4"/>
  <c r="Q1500" i="5" s="1"/>
  <c r="P1499" i="4"/>
  <c r="O1499" i="4"/>
  <c r="N1499" i="4"/>
  <c r="M1499" i="4"/>
  <c r="L1499" i="4"/>
  <c r="K1499" i="4"/>
  <c r="J1499" i="4"/>
  <c r="Q1499" i="5" s="1"/>
  <c r="P1498" i="4"/>
  <c r="O1498" i="4"/>
  <c r="N1498" i="4"/>
  <c r="M1498" i="4"/>
  <c r="L1498" i="4"/>
  <c r="K1498" i="4"/>
  <c r="J1498" i="4"/>
  <c r="Q1498" i="5" s="1"/>
  <c r="P1497" i="4"/>
  <c r="O1497" i="4"/>
  <c r="N1497" i="4"/>
  <c r="M1497" i="4"/>
  <c r="L1497" i="4"/>
  <c r="K1497" i="4"/>
  <c r="J1497" i="4"/>
  <c r="Q1497" i="5" s="1"/>
  <c r="P1496" i="4"/>
  <c r="O1496" i="4"/>
  <c r="N1496" i="4"/>
  <c r="M1496" i="4"/>
  <c r="L1496" i="4"/>
  <c r="K1496" i="4"/>
  <c r="J1496" i="4"/>
  <c r="Q1496" i="5" s="1"/>
  <c r="P1495" i="4"/>
  <c r="O1495" i="4"/>
  <c r="N1495" i="4"/>
  <c r="M1495" i="4"/>
  <c r="L1495" i="4"/>
  <c r="K1495" i="4"/>
  <c r="J1495" i="4"/>
  <c r="Q1495" i="5" s="1"/>
  <c r="P1494" i="4"/>
  <c r="O1494" i="4"/>
  <c r="N1494" i="4"/>
  <c r="M1494" i="4"/>
  <c r="L1494" i="4"/>
  <c r="K1494" i="4"/>
  <c r="J1494" i="4"/>
  <c r="Q1494" i="5" s="1"/>
  <c r="P1493" i="4"/>
  <c r="O1493" i="4"/>
  <c r="N1493" i="4"/>
  <c r="M1493" i="4"/>
  <c r="L1493" i="4"/>
  <c r="K1493" i="4"/>
  <c r="J1493" i="4"/>
  <c r="Q1493" i="5" s="1"/>
  <c r="P1492" i="4"/>
  <c r="O1492" i="4"/>
  <c r="N1492" i="4"/>
  <c r="M1492" i="4"/>
  <c r="L1492" i="4"/>
  <c r="K1492" i="4"/>
  <c r="J1492" i="4"/>
  <c r="Q1492" i="5" s="1"/>
  <c r="P1491" i="4"/>
  <c r="O1491" i="4"/>
  <c r="N1491" i="4"/>
  <c r="M1491" i="4"/>
  <c r="L1491" i="4"/>
  <c r="K1491" i="4"/>
  <c r="J1491" i="4"/>
  <c r="Q1491" i="5" s="1"/>
  <c r="P1490" i="4"/>
  <c r="O1490" i="4"/>
  <c r="N1490" i="4"/>
  <c r="M1490" i="4"/>
  <c r="L1490" i="4"/>
  <c r="K1490" i="4"/>
  <c r="J1490" i="4"/>
  <c r="Q1490" i="5" s="1"/>
  <c r="P1489" i="4"/>
  <c r="O1489" i="4"/>
  <c r="N1489" i="4"/>
  <c r="M1489" i="4"/>
  <c r="L1489" i="4"/>
  <c r="K1489" i="4"/>
  <c r="J1489" i="4"/>
  <c r="Q1489" i="5" s="1"/>
  <c r="P1488" i="4"/>
  <c r="O1488" i="4"/>
  <c r="N1488" i="4"/>
  <c r="M1488" i="4"/>
  <c r="L1488" i="4"/>
  <c r="K1488" i="4"/>
  <c r="J1488" i="4"/>
  <c r="Q1488" i="5" s="1"/>
  <c r="P1487" i="4"/>
  <c r="O1487" i="4"/>
  <c r="N1487" i="4"/>
  <c r="M1487" i="4"/>
  <c r="L1487" i="4"/>
  <c r="K1487" i="4"/>
  <c r="J1487" i="4"/>
  <c r="Q1487" i="5" s="1"/>
  <c r="P1486" i="4"/>
  <c r="O1486" i="4"/>
  <c r="N1486" i="4"/>
  <c r="M1486" i="4"/>
  <c r="L1486" i="4"/>
  <c r="K1486" i="4"/>
  <c r="J1486" i="4"/>
  <c r="Q1486" i="5" s="1"/>
  <c r="P1485" i="4"/>
  <c r="O1485" i="4"/>
  <c r="N1485" i="4"/>
  <c r="M1485" i="4"/>
  <c r="L1485" i="4"/>
  <c r="K1485" i="4"/>
  <c r="J1485" i="4"/>
  <c r="Q1485" i="5" s="1"/>
  <c r="P1484" i="4"/>
  <c r="O1484" i="4"/>
  <c r="N1484" i="4"/>
  <c r="M1484" i="4"/>
  <c r="L1484" i="4"/>
  <c r="K1484" i="4"/>
  <c r="J1484" i="4"/>
  <c r="Q1484" i="5" s="1"/>
  <c r="P1483" i="4"/>
  <c r="O1483" i="4"/>
  <c r="N1483" i="4"/>
  <c r="M1483" i="4"/>
  <c r="L1483" i="4"/>
  <c r="K1483" i="4"/>
  <c r="J1483" i="4"/>
  <c r="Q1483" i="5" s="1"/>
  <c r="P1482" i="4"/>
  <c r="O1482" i="4"/>
  <c r="N1482" i="4"/>
  <c r="M1482" i="4"/>
  <c r="L1482" i="4"/>
  <c r="K1482" i="4"/>
  <c r="J1482" i="4"/>
  <c r="Q1482" i="5" s="1"/>
  <c r="P1481" i="4"/>
  <c r="O1481" i="4"/>
  <c r="N1481" i="4"/>
  <c r="M1481" i="4"/>
  <c r="L1481" i="4"/>
  <c r="K1481" i="4"/>
  <c r="J1481" i="4"/>
  <c r="Q1481" i="5" s="1"/>
  <c r="P1480" i="4"/>
  <c r="O1480" i="4"/>
  <c r="N1480" i="4"/>
  <c r="M1480" i="4"/>
  <c r="L1480" i="4"/>
  <c r="K1480" i="4"/>
  <c r="J1480" i="4"/>
  <c r="Q1480" i="5" s="1"/>
  <c r="P1479" i="4"/>
  <c r="O1479" i="4"/>
  <c r="N1479" i="4"/>
  <c r="M1479" i="4"/>
  <c r="L1479" i="4"/>
  <c r="K1479" i="4"/>
  <c r="J1479" i="4"/>
  <c r="Q1479" i="5" s="1"/>
  <c r="P1478" i="4"/>
  <c r="O1478" i="4"/>
  <c r="N1478" i="4"/>
  <c r="M1478" i="4"/>
  <c r="L1478" i="4"/>
  <c r="K1478" i="4"/>
  <c r="J1478" i="4"/>
  <c r="Q1478" i="5" s="1"/>
  <c r="P1477" i="4"/>
  <c r="O1477" i="4"/>
  <c r="N1477" i="4"/>
  <c r="M1477" i="4"/>
  <c r="L1477" i="4"/>
  <c r="K1477" i="4"/>
  <c r="J1477" i="4"/>
  <c r="Q1477" i="5" s="1"/>
  <c r="P1476" i="4"/>
  <c r="O1476" i="4"/>
  <c r="N1476" i="4"/>
  <c r="M1476" i="4"/>
  <c r="L1476" i="4"/>
  <c r="K1476" i="4"/>
  <c r="J1476" i="4"/>
  <c r="Q1476" i="5" s="1"/>
  <c r="P1475" i="4"/>
  <c r="O1475" i="4"/>
  <c r="N1475" i="4"/>
  <c r="M1475" i="4"/>
  <c r="L1475" i="4"/>
  <c r="K1475" i="4"/>
  <c r="J1475" i="4"/>
  <c r="Q1475" i="5" s="1"/>
  <c r="P1474" i="4"/>
  <c r="O1474" i="4"/>
  <c r="N1474" i="4"/>
  <c r="M1474" i="4"/>
  <c r="L1474" i="4"/>
  <c r="K1474" i="4"/>
  <c r="J1474" i="4"/>
  <c r="Q1474" i="5" s="1"/>
  <c r="P1473" i="4"/>
  <c r="O1473" i="4"/>
  <c r="N1473" i="4"/>
  <c r="M1473" i="4"/>
  <c r="L1473" i="4"/>
  <c r="K1473" i="4"/>
  <c r="J1473" i="4"/>
  <c r="Q1473" i="5" s="1"/>
  <c r="P1472" i="4"/>
  <c r="O1472" i="4"/>
  <c r="N1472" i="4"/>
  <c r="M1472" i="4"/>
  <c r="L1472" i="4"/>
  <c r="K1472" i="4"/>
  <c r="J1472" i="4"/>
  <c r="Q1472" i="5" s="1"/>
  <c r="P1471" i="4"/>
  <c r="O1471" i="4"/>
  <c r="N1471" i="4"/>
  <c r="M1471" i="4"/>
  <c r="L1471" i="4"/>
  <c r="K1471" i="4"/>
  <c r="J1471" i="4"/>
  <c r="Q1471" i="5" s="1"/>
  <c r="P1470" i="4"/>
  <c r="O1470" i="4"/>
  <c r="N1470" i="4"/>
  <c r="M1470" i="4"/>
  <c r="L1470" i="4"/>
  <c r="K1470" i="4"/>
  <c r="J1470" i="4"/>
  <c r="Q1470" i="5" s="1"/>
  <c r="P1469" i="4"/>
  <c r="O1469" i="4"/>
  <c r="N1469" i="4"/>
  <c r="M1469" i="4"/>
  <c r="L1469" i="4"/>
  <c r="K1469" i="4"/>
  <c r="J1469" i="4"/>
  <c r="Q1469" i="5" s="1"/>
  <c r="P1468" i="4"/>
  <c r="O1468" i="4"/>
  <c r="N1468" i="4"/>
  <c r="M1468" i="4"/>
  <c r="L1468" i="4"/>
  <c r="K1468" i="4"/>
  <c r="J1468" i="4"/>
  <c r="Q1468" i="5" s="1"/>
  <c r="P1467" i="4"/>
  <c r="O1467" i="4"/>
  <c r="N1467" i="4"/>
  <c r="M1467" i="4"/>
  <c r="L1467" i="4"/>
  <c r="K1467" i="4"/>
  <c r="J1467" i="4"/>
  <c r="Q1467" i="5" s="1"/>
  <c r="P1466" i="4"/>
  <c r="O1466" i="4"/>
  <c r="N1466" i="4"/>
  <c r="M1466" i="4"/>
  <c r="L1466" i="4"/>
  <c r="K1466" i="4"/>
  <c r="J1466" i="4"/>
  <c r="Q1466" i="5" s="1"/>
  <c r="P1465" i="4"/>
  <c r="O1465" i="4"/>
  <c r="N1465" i="4"/>
  <c r="M1465" i="4"/>
  <c r="L1465" i="4"/>
  <c r="K1465" i="4"/>
  <c r="J1465" i="4"/>
  <c r="Q1465" i="5" s="1"/>
  <c r="P1464" i="4"/>
  <c r="O1464" i="4"/>
  <c r="N1464" i="4"/>
  <c r="M1464" i="4"/>
  <c r="L1464" i="4"/>
  <c r="K1464" i="4"/>
  <c r="J1464" i="4"/>
  <c r="Q1464" i="5" s="1"/>
  <c r="P1463" i="4"/>
  <c r="O1463" i="4"/>
  <c r="N1463" i="4"/>
  <c r="M1463" i="4"/>
  <c r="L1463" i="4"/>
  <c r="K1463" i="4"/>
  <c r="J1463" i="4"/>
  <c r="Q1463" i="5" s="1"/>
  <c r="P1462" i="4"/>
  <c r="O1462" i="4"/>
  <c r="N1462" i="4"/>
  <c r="M1462" i="4"/>
  <c r="L1462" i="4"/>
  <c r="K1462" i="4"/>
  <c r="J1462" i="4"/>
  <c r="Q1462" i="5" s="1"/>
  <c r="P1461" i="4"/>
  <c r="O1461" i="4"/>
  <c r="N1461" i="4"/>
  <c r="M1461" i="4"/>
  <c r="L1461" i="4"/>
  <c r="K1461" i="4"/>
  <c r="J1461" i="4"/>
  <c r="Q1461" i="5" s="1"/>
  <c r="P1460" i="4"/>
  <c r="O1460" i="4"/>
  <c r="N1460" i="4"/>
  <c r="M1460" i="4"/>
  <c r="L1460" i="4"/>
  <c r="K1460" i="4"/>
  <c r="J1460" i="4"/>
  <c r="Q1460" i="5" s="1"/>
  <c r="P1459" i="4"/>
  <c r="O1459" i="4"/>
  <c r="N1459" i="4"/>
  <c r="M1459" i="4"/>
  <c r="L1459" i="4"/>
  <c r="K1459" i="4"/>
  <c r="J1459" i="4"/>
  <c r="Q1459" i="5" s="1"/>
  <c r="P1458" i="4"/>
  <c r="O1458" i="4"/>
  <c r="N1458" i="4"/>
  <c r="M1458" i="4"/>
  <c r="L1458" i="4"/>
  <c r="K1458" i="4"/>
  <c r="J1458" i="4"/>
  <c r="Q1458" i="5" s="1"/>
  <c r="P1457" i="4"/>
  <c r="O1457" i="4"/>
  <c r="N1457" i="4"/>
  <c r="M1457" i="4"/>
  <c r="L1457" i="4"/>
  <c r="K1457" i="4"/>
  <c r="J1457" i="4"/>
  <c r="Q1457" i="5" s="1"/>
  <c r="P1456" i="4"/>
  <c r="O1456" i="4"/>
  <c r="N1456" i="4"/>
  <c r="M1456" i="4"/>
  <c r="L1456" i="4"/>
  <c r="K1456" i="4"/>
  <c r="J1456" i="4"/>
  <c r="Q1456" i="5" s="1"/>
  <c r="P1455" i="4"/>
  <c r="O1455" i="4"/>
  <c r="N1455" i="4"/>
  <c r="M1455" i="4"/>
  <c r="L1455" i="4"/>
  <c r="K1455" i="4"/>
  <c r="J1455" i="4"/>
  <c r="Q1455" i="5" s="1"/>
  <c r="P1454" i="4"/>
  <c r="O1454" i="4"/>
  <c r="N1454" i="4"/>
  <c r="M1454" i="4"/>
  <c r="L1454" i="4"/>
  <c r="K1454" i="4"/>
  <c r="J1454" i="4"/>
  <c r="Q1454" i="5" s="1"/>
  <c r="P1453" i="4"/>
  <c r="O1453" i="4"/>
  <c r="N1453" i="4"/>
  <c r="M1453" i="4"/>
  <c r="L1453" i="4"/>
  <c r="K1453" i="4"/>
  <c r="J1453" i="4"/>
  <c r="Q1453" i="5" s="1"/>
  <c r="P1452" i="4"/>
  <c r="O1452" i="4"/>
  <c r="N1452" i="4"/>
  <c r="M1452" i="4"/>
  <c r="L1452" i="4"/>
  <c r="K1452" i="4"/>
  <c r="J1452" i="4"/>
  <c r="Q1452" i="5" s="1"/>
  <c r="P1451" i="4"/>
  <c r="O1451" i="4"/>
  <c r="N1451" i="4"/>
  <c r="M1451" i="4"/>
  <c r="L1451" i="4"/>
  <c r="K1451" i="4"/>
  <c r="J1451" i="4"/>
  <c r="Q1451" i="5" s="1"/>
  <c r="P1450" i="4"/>
  <c r="O1450" i="4"/>
  <c r="N1450" i="4"/>
  <c r="M1450" i="4"/>
  <c r="L1450" i="4"/>
  <c r="K1450" i="4"/>
  <c r="J1450" i="4"/>
  <c r="Q1450" i="5" s="1"/>
  <c r="P1449" i="4"/>
  <c r="O1449" i="4"/>
  <c r="N1449" i="4"/>
  <c r="M1449" i="4"/>
  <c r="L1449" i="4"/>
  <c r="K1449" i="4"/>
  <c r="J1449" i="4"/>
  <c r="Q1449" i="5" s="1"/>
  <c r="P1448" i="4"/>
  <c r="O1448" i="4"/>
  <c r="N1448" i="4"/>
  <c r="M1448" i="4"/>
  <c r="L1448" i="4"/>
  <c r="K1448" i="4"/>
  <c r="J1448" i="4"/>
  <c r="Q1448" i="5" s="1"/>
  <c r="P1447" i="4"/>
  <c r="O1447" i="4"/>
  <c r="N1447" i="4"/>
  <c r="M1447" i="4"/>
  <c r="L1447" i="4"/>
  <c r="K1447" i="4"/>
  <c r="J1447" i="4"/>
  <c r="Q1447" i="5" s="1"/>
  <c r="P1446" i="4"/>
  <c r="O1446" i="4"/>
  <c r="N1446" i="4"/>
  <c r="M1446" i="4"/>
  <c r="L1446" i="4"/>
  <c r="K1446" i="4"/>
  <c r="J1446" i="4"/>
  <c r="Q1446" i="5" s="1"/>
  <c r="P1445" i="4"/>
  <c r="O1445" i="4"/>
  <c r="N1445" i="4"/>
  <c r="M1445" i="4"/>
  <c r="L1445" i="4"/>
  <c r="K1445" i="4"/>
  <c r="J1445" i="4"/>
  <c r="Q1445" i="5" s="1"/>
  <c r="P1444" i="4"/>
  <c r="O1444" i="4"/>
  <c r="N1444" i="4"/>
  <c r="M1444" i="4"/>
  <c r="L1444" i="4"/>
  <c r="K1444" i="4"/>
  <c r="J1444" i="4"/>
  <c r="Q1444" i="5" s="1"/>
  <c r="P1443" i="4"/>
  <c r="O1443" i="4"/>
  <c r="N1443" i="4"/>
  <c r="M1443" i="4"/>
  <c r="L1443" i="4"/>
  <c r="K1443" i="4"/>
  <c r="J1443" i="4"/>
  <c r="Q1443" i="5" s="1"/>
  <c r="P1442" i="4"/>
  <c r="O1442" i="4"/>
  <c r="N1442" i="4"/>
  <c r="M1442" i="4"/>
  <c r="L1442" i="4"/>
  <c r="K1442" i="4"/>
  <c r="J1442" i="4"/>
  <c r="Q1442" i="5" s="1"/>
  <c r="P1441" i="4"/>
  <c r="O1441" i="4"/>
  <c r="N1441" i="4"/>
  <c r="M1441" i="4"/>
  <c r="L1441" i="4"/>
  <c r="K1441" i="4"/>
  <c r="J1441" i="4"/>
  <c r="Q1441" i="5" s="1"/>
  <c r="P1440" i="4"/>
  <c r="O1440" i="4"/>
  <c r="N1440" i="4"/>
  <c r="M1440" i="4"/>
  <c r="L1440" i="4"/>
  <c r="K1440" i="4"/>
  <c r="J1440" i="4"/>
  <c r="Q1440" i="5" s="1"/>
  <c r="P1439" i="4"/>
  <c r="O1439" i="4"/>
  <c r="N1439" i="4"/>
  <c r="M1439" i="4"/>
  <c r="L1439" i="4"/>
  <c r="K1439" i="4"/>
  <c r="J1439" i="4"/>
  <c r="Q1439" i="5" s="1"/>
  <c r="P1438" i="4"/>
  <c r="O1438" i="4"/>
  <c r="N1438" i="4"/>
  <c r="M1438" i="4"/>
  <c r="L1438" i="4"/>
  <c r="K1438" i="4"/>
  <c r="J1438" i="4"/>
  <c r="Q1438" i="5" s="1"/>
  <c r="P1437" i="4"/>
  <c r="O1437" i="4"/>
  <c r="N1437" i="4"/>
  <c r="M1437" i="4"/>
  <c r="L1437" i="4"/>
  <c r="K1437" i="4"/>
  <c r="J1437" i="4"/>
  <c r="Q1437" i="5" s="1"/>
  <c r="P1436" i="4"/>
  <c r="O1436" i="4"/>
  <c r="N1436" i="4"/>
  <c r="M1436" i="4"/>
  <c r="L1436" i="4"/>
  <c r="K1436" i="4"/>
  <c r="J1436" i="4"/>
  <c r="Q1436" i="5" s="1"/>
  <c r="P1435" i="4"/>
  <c r="O1435" i="4"/>
  <c r="N1435" i="4"/>
  <c r="M1435" i="4"/>
  <c r="L1435" i="4"/>
  <c r="K1435" i="4"/>
  <c r="J1435" i="4"/>
  <c r="Q1435" i="5" s="1"/>
  <c r="P1434" i="4"/>
  <c r="O1434" i="4"/>
  <c r="N1434" i="4"/>
  <c r="M1434" i="4"/>
  <c r="L1434" i="4"/>
  <c r="K1434" i="4"/>
  <c r="J1434" i="4"/>
  <c r="Q1434" i="5" s="1"/>
  <c r="P1433" i="4"/>
  <c r="O1433" i="4"/>
  <c r="N1433" i="4"/>
  <c r="M1433" i="4"/>
  <c r="L1433" i="4"/>
  <c r="K1433" i="4"/>
  <c r="J1433" i="4"/>
  <c r="Q1433" i="5" s="1"/>
  <c r="P1432" i="4"/>
  <c r="O1432" i="4"/>
  <c r="N1432" i="4"/>
  <c r="M1432" i="4"/>
  <c r="N1432" i="5" s="1"/>
  <c r="L1432" i="4"/>
  <c r="K1432" i="4"/>
  <c r="J1432" i="4"/>
  <c r="Q1432" i="5" s="1"/>
  <c r="P1431" i="4"/>
  <c r="O1431" i="4"/>
  <c r="N1431" i="4"/>
  <c r="M1431" i="4"/>
  <c r="L1431" i="4"/>
  <c r="K1431" i="4"/>
  <c r="J1431" i="4"/>
  <c r="Q1431" i="5" s="1"/>
  <c r="P1430" i="4"/>
  <c r="O1430" i="4"/>
  <c r="N1430" i="4"/>
  <c r="M1430" i="4"/>
  <c r="N1430" i="5" s="1"/>
  <c r="L1430" i="4"/>
  <c r="K1430" i="4"/>
  <c r="J1430" i="4"/>
  <c r="Q1430" i="5" s="1"/>
  <c r="P1429" i="4"/>
  <c r="O1429" i="4"/>
  <c r="N1429" i="4"/>
  <c r="M1429" i="4"/>
  <c r="L1429" i="4"/>
  <c r="K1429" i="4"/>
  <c r="J1429" i="4"/>
  <c r="Q1429" i="5" s="1"/>
  <c r="P1428" i="4"/>
  <c r="O1428" i="4"/>
  <c r="N1428" i="4"/>
  <c r="M1428" i="4"/>
  <c r="N1428" i="5" s="1"/>
  <c r="L1428" i="4"/>
  <c r="K1428" i="4"/>
  <c r="J1428" i="4"/>
  <c r="Q1428" i="5" s="1"/>
  <c r="P1427" i="4"/>
  <c r="O1427" i="4"/>
  <c r="N1427" i="4"/>
  <c r="M1427" i="4"/>
  <c r="L1427" i="4"/>
  <c r="K1427" i="4"/>
  <c r="J1427" i="4"/>
  <c r="Q1427" i="5" s="1"/>
  <c r="P1426" i="4"/>
  <c r="O1426" i="4"/>
  <c r="N1426" i="4"/>
  <c r="M1426" i="4"/>
  <c r="N1426" i="5" s="1"/>
  <c r="L1426" i="4"/>
  <c r="K1426" i="4"/>
  <c r="J1426" i="4"/>
  <c r="Q1426" i="5" s="1"/>
  <c r="P1425" i="4"/>
  <c r="O1425" i="4"/>
  <c r="N1425" i="4"/>
  <c r="M1425" i="4"/>
  <c r="L1425" i="4"/>
  <c r="K1425" i="4"/>
  <c r="J1425" i="4"/>
  <c r="Q1425" i="5" s="1"/>
  <c r="P1424" i="4"/>
  <c r="O1424" i="4"/>
  <c r="N1424" i="4"/>
  <c r="M1424" i="4"/>
  <c r="N1424" i="5" s="1"/>
  <c r="L1424" i="4"/>
  <c r="K1424" i="4"/>
  <c r="J1424" i="4"/>
  <c r="Q1424" i="5" s="1"/>
  <c r="P1423" i="4"/>
  <c r="O1423" i="4"/>
  <c r="N1423" i="4"/>
  <c r="M1423" i="4"/>
  <c r="L1423" i="4"/>
  <c r="K1423" i="4"/>
  <c r="J1423" i="4"/>
  <c r="Q1423" i="5" s="1"/>
  <c r="P1422" i="4"/>
  <c r="O1422" i="4"/>
  <c r="N1422" i="4"/>
  <c r="M1422" i="4"/>
  <c r="N1422" i="5" s="1"/>
  <c r="L1422" i="4"/>
  <c r="K1422" i="4"/>
  <c r="J1422" i="4"/>
  <c r="Q1422" i="5" s="1"/>
  <c r="P1421" i="4"/>
  <c r="O1421" i="4"/>
  <c r="N1421" i="4"/>
  <c r="M1421" i="4"/>
  <c r="L1421" i="4"/>
  <c r="K1421" i="4"/>
  <c r="J1421" i="4"/>
  <c r="Q1421" i="5" s="1"/>
  <c r="P1420" i="4"/>
  <c r="O1420" i="4"/>
  <c r="N1420" i="4"/>
  <c r="M1420" i="4"/>
  <c r="N1420" i="5" s="1"/>
  <c r="L1420" i="4"/>
  <c r="K1420" i="4"/>
  <c r="J1420" i="4"/>
  <c r="Q1420" i="5" s="1"/>
  <c r="P1419" i="4"/>
  <c r="O1419" i="4"/>
  <c r="N1419" i="4"/>
  <c r="M1419" i="4"/>
  <c r="L1419" i="4"/>
  <c r="K1419" i="4"/>
  <c r="J1419" i="4"/>
  <c r="Q1419" i="5" s="1"/>
  <c r="P1418" i="4"/>
  <c r="O1418" i="4"/>
  <c r="N1418" i="4"/>
  <c r="M1418" i="4"/>
  <c r="N1418" i="5" s="1"/>
  <c r="L1418" i="4"/>
  <c r="K1418" i="4"/>
  <c r="J1418" i="4"/>
  <c r="Q1418" i="5" s="1"/>
  <c r="P1417" i="4"/>
  <c r="O1417" i="4"/>
  <c r="N1417" i="4"/>
  <c r="M1417" i="4"/>
  <c r="L1417" i="4"/>
  <c r="K1417" i="4"/>
  <c r="J1417" i="4"/>
  <c r="Q1417" i="5" s="1"/>
  <c r="P1416" i="4"/>
  <c r="O1416" i="4"/>
  <c r="N1416" i="4"/>
  <c r="M1416" i="4"/>
  <c r="N1416" i="5" s="1"/>
  <c r="L1416" i="4"/>
  <c r="K1416" i="4"/>
  <c r="J1416" i="4"/>
  <c r="Q1416" i="5" s="1"/>
  <c r="P1415" i="4"/>
  <c r="O1415" i="4"/>
  <c r="N1415" i="4"/>
  <c r="M1415" i="4"/>
  <c r="L1415" i="4"/>
  <c r="K1415" i="4"/>
  <c r="J1415" i="4"/>
  <c r="Q1415" i="5" s="1"/>
  <c r="P1414" i="4"/>
  <c r="O1414" i="4"/>
  <c r="N1414" i="4"/>
  <c r="M1414" i="4"/>
  <c r="N1414" i="5" s="1"/>
  <c r="L1414" i="4"/>
  <c r="K1414" i="4"/>
  <c r="J1414" i="4"/>
  <c r="Q1414" i="5" s="1"/>
  <c r="P1413" i="4"/>
  <c r="O1413" i="4"/>
  <c r="N1413" i="4"/>
  <c r="M1413" i="4"/>
  <c r="L1413" i="4"/>
  <c r="K1413" i="4"/>
  <c r="J1413" i="4"/>
  <c r="Q1413" i="5" s="1"/>
  <c r="P1412" i="4"/>
  <c r="O1412" i="4"/>
  <c r="N1412" i="4"/>
  <c r="M1412" i="4"/>
  <c r="N1412" i="5" s="1"/>
  <c r="L1412" i="4"/>
  <c r="K1412" i="4"/>
  <c r="J1412" i="4"/>
  <c r="Q1412" i="5" s="1"/>
  <c r="P1411" i="4"/>
  <c r="O1411" i="4"/>
  <c r="N1411" i="4"/>
  <c r="M1411" i="4"/>
  <c r="L1411" i="4"/>
  <c r="K1411" i="4"/>
  <c r="J1411" i="4"/>
  <c r="Q1411" i="5" s="1"/>
  <c r="P1410" i="4"/>
  <c r="O1410" i="4"/>
  <c r="N1410" i="4"/>
  <c r="M1410" i="4"/>
  <c r="N1410" i="5" s="1"/>
  <c r="L1410" i="4"/>
  <c r="K1410" i="4"/>
  <c r="J1410" i="4"/>
  <c r="Q1410" i="5" s="1"/>
  <c r="P1409" i="4"/>
  <c r="O1409" i="4"/>
  <c r="N1409" i="4"/>
  <c r="M1409" i="4"/>
  <c r="L1409" i="4"/>
  <c r="K1409" i="4"/>
  <c r="J1409" i="4"/>
  <c r="Q1409" i="5" s="1"/>
  <c r="P1408" i="4"/>
  <c r="O1408" i="4"/>
  <c r="N1408" i="4"/>
  <c r="M1408" i="4"/>
  <c r="N1408" i="5" s="1"/>
  <c r="L1408" i="4"/>
  <c r="K1408" i="4"/>
  <c r="J1408" i="4"/>
  <c r="Q1408" i="5" s="1"/>
  <c r="P1407" i="4"/>
  <c r="O1407" i="4"/>
  <c r="N1407" i="4"/>
  <c r="M1407" i="4"/>
  <c r="L1407" i="4"/>
  <c r="K1407" i="4"/>
  <c r="J1407" i="4"/>
  <c r="Q1407" i="5" s="1"/>
  <c r="P1406" i="4"/>
  <c r="O1406" i="4"/>
  <c r="N1406" i="4"/>
  <c r="M1406" i="4"/>
  <c r="N1406" i="5" s="1"/>
  <c r="L1406" i="4"/>
  <c r="K1406" i="4"/>
  <c r="J1406" i="4"/>
  <c r="Q1406" i="5" s="1"/>
  <c r="P1405" i="4"/>
  <c r="O1405" i="4"/>
  <c r="N1405" i="4"/>
  <c r="M1405" i="4"/>
  <c r="L1405" i="4"/>
  <c r="K1405" i="4"/>
  <c r="J1405" i="4"/>
  <c r="Q1405" i="5" s="1"/>
  <c r="P1404" i="4"/>
  <c r="O1404" i="4"/>
  <c r="N1404" i="4"/>
  <c r="M1404" i="4"/>
  <c r="N1404" i="5" s="1"/>
  <c r="L1404" i="4"/>
  <c r="K1404" i="4"/>
  <c r="J1404" i="4"/>
  <c r="Q1404" i="5" s="1"/>
  <c r="P1403" i="4"/>
  <c r="O1403" i="4"/>
  <c r="N1403" i="4"/>
  <c r="M1403" i="4"/>
  <c r="L1403" i="4"/>
  <c r="K1403" i="4"/>
  <c r="J1403" i="4"/>
  <c r="Q1403" i="5" s="1"/>
  <c r="P1402" i="4"/>
  <c r="O1402" i="4"/>
  <c r="N1402" i="4"/>
  <c r="M1402" i="4"/>
  <c r="N1402" i="5" s="1"/>
  <c r="L1402" i="4"/>
  <c r="K1402" i="4"/>
  <c r="J1402" i="4"/>
  <c r="Q1402" i="5" s="1"/>
  <c r="P1401" i="4"/>
  <c r="O1401" i="4"/>
  <c r="N1401" i="4"/>
  <c r="M1401" i="4"/>
  <c r="L1401" i="4"/>
  <c r="K1401" i="4"/>
  <c r="J1401" i="4"/>
  <c r="Q1401" i="5" s="1"/>
  <c r="P1400" i="4"/>
  <c r="O1400" i="4"/>
  <c r="N1400" i="4"/>
  <c r="M1400" i="4"/>
  <c r="N1400" i="5" s="1"/>
  <c r="L1400" i="4"/>
  <c r="K1400" i="4"/>
  <c r="J1400" i="4"/>
  <c r="Q1400" i="5" s="1"/>
  <c r="P1399" i="4"/>
  <c r="O1399" i="4"/>
  <c r="N1399" i="4"/>
  <c r="M1399" i="4"/>
  <c r="L1399" i="4"/>
  <c r="K1399" i="4"/>
  <c r="J1399" i="4"/>
  <c r="Q1399" i="5" s="1"/>
  <c r="P1398" i="4"/>
  <c r="O1398" i="4"/>
  <c r="N1398" i="4"/>
  <c r="M1398" i="4"/>
  <c r="N1398" i="5" s="1"/>
  <c r="L1398" i="4"/>
  <c r="K1398" i="4"/>
  <c r="J1398" i="4"/>
  <c r="Q1398" i="5" s="1"/>
  <c r="P1397" i="4"/>
  <c r="O1397" i="4"/>
  <c r="N1397" i="4"/>
  <c r="M1397" i="4"/>
  <c r="L1397" i="4"/>
  <c r="K1397" i="4"/>
  <c r="J1397" i="4"/>
  <c r="Q1397" i="5" s="1"/>
  <c r="P1396" i="4"/>
  <c r="O1396" i="4"/>
  <c r="N1396" i="4"/>
  <c r="M1396" i="4"/>
  <c r="N1396" i="5" s="1"/>
  <c r="L1396" i="4"/>
  <c r="K1396" i="4"/>
  <c r="J1396" i="4"/>
  <c r="Q1396" i="5" s="1"/>
  <c r="P1395" i="4"/>
  <c r="O1395" i="4"/>
  <c r="N1395" i="4"/>
  <c r="M1395" i="4"/>
  <c r="L1395" i="4"/>
  <c r="K1395" i="4"/>
  <c r="J1395" i="4"/>
  <c r="Q1395" i="5" s="1"/>
  <c r="P1394" i="4"/>
  <c r="O1394" i="4"/>
  <c r="N1394" i="4"/>
  <c r="M1394" i="4"/>
  <c r="N1394" i="5" s="1"/>
  <c r="L1394" i="4"/>
  <c r="K1394" i="4"/>
  <c r="J1394" i="4"/>
  <c r="Q1394" i="5" s="1"/>
  <c r="P1393" i="4"/>
  <c r="O1393" i="4"/>
  <c r="N1393" i="4"/>
  <c r="M1393" i="4"/>
  <c r="L1393" i="4"/>
  <c r="K1393" i="4"/>
  <c r="J1393" i="4"/>
  <c r="Q1393" i="5" s="1"/>
  <c r="P1392" i="4"/>
  <c r="O1392" i="4"/>
  <c r="N1392" i="4"/>
  <c r="M1392" i="4"/>
  <c r="N1392" i="5" s="1"/>
  <c r="L1392" i="4"/>
  <c r="K1392" i="4"/>
  <c r="J1392" i="4"/>
  <c r="Q1392" i="5" s="1"/>
  <c r="P1391" i="4"/>
  <c r="O1391" i="4"/>
  <c r="N1391" i="4"/>
  <c r="M1391" i="4"/>
  <c r="L1391" i="4"/>
  <c r="K1391" i="4"/>
  <c r="J1391" i="4"/>
  <c r="Q1391" i="5" s="1"/>
  <c r="P1390" i="4"/>
  <c r="O1390" i="4"/>
  <c r="N1390" i="4"/>
  <c r="M1390" i="4"/>
  <c r="N1390" i="5" s="1"/>
  <c r="L1390" i="4"/>
  <c r="K1390" i="4"/>
  <c r="J1390" i="4"/>
  <c r="Q1390" i="5" s="1"/>
  <c r="P1389" i="4"/>
  <c r="O1389" i="4"/>
  <c r="N1389" i="4"/>
  <c r="M1389" i="4"/>
  <c r="L1389" i="4"/>
  <c r="K1389" i="4"/>
  <c r="J1389" i="4"/>
  <c r="Q1389" i="5" s="1"/>
  <c r="P1388" i="4"/>
  <c r="O1388" i="4"/>
  <c r="N1388" i="4"/>
  <c r="M1388" i="4"/>
  <c r="N1388" i="5" s="1"/>
  <c r="L1388" i="4"/>
  <c r="K1388" i="4"/>
  <c r="J1388" i="4"/>
  <c r="Q1388" i="5" s="1"/>
  <c r="P1387" i="4"/>
  <c r="O1387" i="4"/>
  <c r="N1387" i="4"/>
  <c r="M1387" i="4"/>
  <c r="L1387" i="4"/>
  <c r="K1387" i="4"/>
  <c r="J1387" i="4"/>
  <c r="Q1387" i="5" s="1"/>
  <c r="P1386" i="4"/>
  <c r="O1386" i="4"/>
  <c r="N1386" i="4"/>
  <c r="M1386" i="4"/>
  <c r="N1386" i="5" s="1"/>
  <c r="L1386" i="4"/>
  <c r="K1386" i="4"/>
  <c r="J1386" i="4"/>
  <c r="Q1386" i="5" s="1"/>
  <c r="P1385" i="4"/>
  <c r="O1385" i="4"/>
  <c r="N1385" i="4"/>
  <c r="M1385" i="4"/>
  <c r="L1385" i="4"/>
  <c r="K1385" i="4"/>
  <c r="J1385" i="4"/>
  <c r="Q1385" i="5" s="1"/>
  <c r="P1384" i="4"/>
  <c r="O1384" i="4"/>
  <c r="N1384" i="4"/>
  <c r="M1384" i="4"/>
  <c r="N1384" i="5" s="1"/>
  <c r="L1384" i="4"/>
  <c r="K1384" i="4"/>
  <c r="J1384" i="4"/>
  <c r="Q1384" i="5" s="1"/>
  <c r="P1383" i="4"/>
  <c r="O1383" i="4"/>
  <c r="N1383" i="4"/>
  <c r="M1383" i="4"/>
  <c r="L1383" i="4"/>
  <c r="K1383" i="4"/>
  <c r="J1383" i="4"/>
  <c r="Q1383" i="5" s="1"/>
  <c r="P1382" i="4"/>
  <c r="O1382" i="4"/>
  <c r="N1382" i="4"/>
  <c r="M1382" i="4"/>
  <c r="N1382" i="5" s="1"/>
  <c r="L1382" i="4"/>
  <c r="K1382" i="4"/>
  <c r="J1382" i="4"/>
  <c r="Q1382" i="5" s="1"/>
  <c r="P1381" i="4"/>
  <c r="O1381" i="4"/>
  <c r="N1381" i="4"/>
  <c r="M1381" i="4"/>
  <c r="L1381" i="4"/>
  <c r="K1381" i="4"/>
  <c r="J1381" i="4"/>
  <c r="Q1381" i="5" s="1"/>
  <c r="P1380" i="4"/>
  <c r="O1380" i="4"/>
  <c r="N1380" i="4"/>
  <c r="M1380" i="4"/>
  <c r="N1380" i="5" s="1"/>
  <c r="L1380" i="4"/>
  <c r="K1380" i="4"/>
  <c r="J1380" i="4"/>
  <c r="Q1380" i="5" s="1"/>
  <c r="P1379" i="4"/>
  <c r="O1379" i="4"/>
  <c r="N1379" i="4"/>
  <c r="M1379" i="4"/>
  <c r="L1379" i="4"/>
  <c r="K1379" i="4"/>
  <c r="J1379" i="4"/>
  <c r="Q1379" i="5" s="1"/>
  <c r="P1378" i="4"/>
  <c r="O1378" i="4"/>
  <c r="N1378" i="4"/>
  <c r="M1378" i="4"/>
  <c r="N1378" i="5" s="1"/>
  <c r="L1378" i="4"/>
  <c r="K1378" i="4"/>
  <c r="J1378" i="4"/>
  <c r="Q1378" i="5" s="1"/>
  <c r="P1377" i="4"/>
  <c r="O1377" i="4"/>
  <c r="N1377" i="4"/>
  <c r="M1377" i="4"/>
  <c r="L1377" i="4"/>
  <c r="K1377" i="4"/>
  <c r="J1377" i="4"/>
  <c r="Q1377" i="5" s="1"/>
  <c r="P1376" i="4"/>
  <c r="O1376" i="4"/>
  <c r="N1376" i="4"/>
  <c r="M1376" i="4"/>
  <c r="N1376" i="5" s="1"/>
  <c r="L1376" i="4"/>
  <c r="K1376" i="4"/>
  <c r="J1376" i="4"/>
  <c r="Q1376" i="5" s="1"/>
  <c r="P1375" i="4"/>
  <c r="O1375" i="4"/>
  <c r="N1375" i="4"/>
  <c r="M1375" i="4"/>
  <c r="L1375" i="4"/>
  <c r="K1375" i="4"/>
  <c r="J1375" i="4"/>
  <c r="Q1375" i="5" s="1"/>
  <c r="P1374" i="4"/>
  <c r="O1374" i="4"/>
  <c r="N1374" i="4"/>
  <c r="M1374" i="4"/>
  <c r="N1374" i="5" s="1"/>
  <c r="L1374" i="4"/>
  <c r="K1374" i="4"/>
  <c r="J1374" i="4"/>
  <c r="Q1374" i="5" s="1"/>
  <c r="P1373" i="4"/>
  <c r="O1373" i="4"/>
  <c r="N1373" i="4"/>
  <c r="M1373" i="4"/>
  <c r="L1373" i="4"/>
  <c r="K1373" i="4"/>
  <c r="J1373" i="4"/>
  <c r="Q1373" i="5" s="1"/>
  <c r="P1372" i="4"/>
  <c r="O1372" i="4"/>
  <c r="N1372" i="4"/>
  <c r="M1372" i="4"/>
  <c r="N1372" i="5" s="1"/>
  <c r="L1372" i="4"/>
  <c r="K1372" i="4"/>
  <c r="J1372" i="4"/>
  <c r="Q1372" i="5" s="1"/>
  <c r="P1371" i="4"/>
  <c r="O1371" i="4"/>
  <c r="N1371" i="4"/>
  <c r="M1371" i="4"/>
  <c r="L1371" i="4"/>
  <c r="K1371" i="4"/>
  <c r="J1371" i="4"/>
  <c r="Q1371" i="5" s="1"/>
  <c r="P1370" i="4"/>
  <c r="O1370" i="4"/>
  <c r="N1370" i="4"/>
  <c r="M1370" i="4"/>
  <c r="N1370" i="5" s="1"/>
  <c r="L1370" i="4"/>
  <c r="K1370" i="4"/>
  <c r="J1370" i="4"/>
  <c r="Q1370" i="5" s="1"/>
  <c r="P1369" i="4"/>
  <c r="O1369" i="4"/>
  <c r="N1369" i="4"/>
  <c r="M1369" i="4"/>
  <c r="L1369" i="4"/>
  <c r="K1369" i="4"/>
  <c r="J1369" i="4"/>
  <c r="Q1369" i="5" s="1"/>
  <c r="P1368" i="4"/>
  <c r="O1368" i="4"/>
  <c r="N1368" i="4"/>
  <c r="M1368" i="4"/>
  <c r="N1368" i="5" s="1"/>
  <c r="L1368" i="4"/>
  <c r="K1368" i="4"/>
  <c r="J1368" i="4"/>
  <c r="Q1368" i="5" s="1"/>
  <c r="P1367" i="4"/>
  <c r="O1367" i="4"/>
  <c r="N1367" i="4"/>
  <c r="M1367" i="4"/>
  <c r="L1367" i="4"/>
  <c r="K1367" i="4"/>
  <c r="J1367" i="4"/>
  <c r="Q1367" i="5" s="1"/>
  <c r="P1366" i="4"/>
  <c r="O1366" i="4"/>
  <c r="N1366" i="4"/>
  <c r="M1366" i="4"/>
  <c r="N1366" i="5" s="1"/>
  <c r="L1366" i="4"/>
  <c r="K1366" i="4"/>
  <c r="J1366" i="4"/>
  <c r="Q1366" i="5" s="1"/>
  <c r="P1365" i="4"/>
  <c r="O1365" i="4"/>
  <c r="N1365" i="4"/>
  <c r="M1365" i="4"/>
  <c r="L1365" i="4"/>
  <c r="K1365" i="4"/>
  <c r="J1365" i="4"/>
  <c r="Q1365" i="5" s="1"/>
  <c r="P1364" i="4"/>
  <c r="O1364" i="4"/>
  <c r="N1364" i="4"/>
  <c r="M1364" i="4"/>
  <c r="N1364" i="5" s="1"/>
  <c r="L1364" i="4"/>
  <c r="K1364" i="4"/>
  <c r="J1364" i="4"/>
  <c r="Q1364" i="5" s="1"/>
  <c r="P1363" i="4"/>
  <c r="O1363" i="4"/>
  <c r="N1363" i="4"/>
  <c r="M1363" i="4"/>
  <c r="L1363" i="4"/>
  <c r="K1363" i="4"/>
  <c r="J1363" i="4"/>
  <c r="Q1363" i="5" s="1"/>
  <c r="P1362" i="4"/>
  <c r="O1362" i="4"/>
  <c r="N1362" i="4"/>
  <c r="M1362" i="4"/>
  <c r="N1362" i="5" s="1"/>
  <c r="L1362" i="4"/>
  <c r="K1362" i="4"/>
  <c r="J1362" i="4"/>
  <c r="Q1362" i="5" s="1"/>
  <c r="P1361" i="4"/>
  <c r="O1361" i="4"/>
  <c r="N1361" i="4"/>
  <c r="M1361" i="4"/>
  <c r="L1361" i="4"/>
  <c r="K1361" i="4"/>
  <c r="J1361" i="4"/>
  <c r="Q1361" i="5" s="1"/>
  <c r="P1360" i="4"/>
  <c r="O1360" i="4"/>
  <c r="N1360" i="4"/>
  <c r="M1360" i="4"/>
  <c r="N1360" i="5" s="1"/>
  <c r="L1360" i="4"/>
  <c r="K1360" i="4"/>
  <c r="J1360" i="4"/>
  <c r="Q1360" i="5" s="1"/>
  <c r="P1359" i="4"/>
  <c r="O1359" i="4"/>
  <c r="N1359" i="4"/>
  <c r="M1359" i="4"/>
  <c r="L1359" i="4"/>
  <c r="K1359" i="4"/>
  <c r="J1359" i="4"/>
  <c r="Q1359" i="5" s="1"/>
  <c r="P1358" i="4"/>
  <c r="O1358" i="4"/>
  <c r="N1358" i="4"/>
  <c r="M1358" i="4"/>
  <c r="N1358" i="5" s="1"/>
  <c r="L1358" i="4"/>
  <c r="K1358" i="4"/>
  <c r="J1358" i="4"/>
  <c r="Q1358" i="5" s="1"/>
  <c r="P1357" i="4"/>
  <c r="O1357" i="4"/>
  <c r="N1357" i="4"/>
  <c r="M1357" i="4"/>
  <c r="L1357" i="4"/>
  <c r="K1357" i="4"/>
  <c r="J1357" i="4"/>
  <c r="Q1357" i="5" s="1"/>
  <c r="P1356" i="4"/>
  <c r="O1356" i="4"/>
  <c r="N1356" i="4"/>
  <c r="M1356" i="4"/>
  <c r="N1356" i="5" s="1"/>
  <c r="L1356" i="4"/>
  <c r="K1356" i="4"/>
  <c r="J1356" i="4"/>
  <c r="Q1356" i="5" s="1"/>
  <c r="P1355" i="4"/>
  <c r="O1355" i="4"/>
  <c r="N1355" i="4"/>
  <c r="M1355" i="4"/>
  <c r="L1355" i="4"/>
  <c r="K1355" i="4"/>
  <c r="J1355" i="4"/>
  <c r="Q1355" i="5" s="1"/>
  <c r="P1354" i="4"/>
  <c r="O1354" i="4"/>
  <c r="N1354" i="4"/>
  <c r="M1354" i="4"/>
  <c r="N1354" i="5" s="1"/>
  <c r="L1354" i="4"/>
  <c r="K1354" i="4"/>
  <c r="J1354" i="4"/>
  <c r="Q1354" i="5" s="1"/>
  <c r="P1353" i="4"/>
  <c r="O1353" i="4"/>
  <c r="N1353" i="4"/>
  <c r="M1353" i="4"/>
  <c r="L1353" i="4"/>
  <c r="K1353" i="4"/>
  <c r="J1353" i="4"/>
  <c r="Q1353" i="5" s="1"/>
  <c r="P1352" i="4"/>
  <c r="O1352" i="4"/>
  <c r="N1352" i="4"/>
  <c r="M1352" i="4"/>
  <c r="N1352" i="5" s="1"/>
  <c r="L1352" i="4"/>
  <c r="K1352" i="4"/>
  <c r="J1352" i="4"/>
  <c r="Q1352" i="5" s="1"/>
  <c r="P1351" i="4"/>
  <c r="O1351" i="4"/>
  <c r="N1351" i="4"/>
  <c r="M1351" i="4"/>
  <c r="L1351" i="4"/>
  <c r="K1351" i="4"/>
  <c r="J1351" i="4"/>
  <c r="Q1351" i="5" s="1"/>
  <c r="P1350" i="4"/>
  <c r="O1350" i="4"/>
  <c r="N1350" i="4"/>
  <c r="M1350" i="4"/>
  <c r="N1350" i="5" s="1"/>
  <c r="L1350" i="4"/>
  <c r="K1350" i="4"/>
  <c r="J1350" i="4"/>
  <c r="Q1350" i="5" s="1"/>
  <c r="P1349" i="4"/>
  <c r="O1349" i="4"/>
  <c r="N1349" i="4"/>
  <c r="M1349" i="4"/>
  <c r="L1349" i="4"/>
  <c r="K1349" i="4"/>
  <c r="J1349" i="4"/>
  <c r="Q1349" i="5" s="1"/>
  <c r="P1348" i="4"/>
  <c r="O1348" i="4"/>
  <c r="N1348" i="4"/>
  <c r="M1348" i="4"/>
  <c r="N1348" i="5" s="1"/>
  <c r="L1348" i="4"/>
  <c r="K1348" i="4"/>
  <c r="J1348" i="4"/>
  <c r="Q1348" i="5" s="1"/>
  <c r="P1347" i="4"/>
  <c r="O1347" i="4"/>
  <c r="N1347" i="4"/>
  <c r="M1347" i="4"/>
  <c r="L1347" i="4"/>
  <c r="K1347" i="4"/>
  <c r="J1347" i="4"/>
  <c r="Q1347" i="5" s="1"/>
  <c r="P1346" i="4"/>
  <c r="O1346" i="4"/>
  <c r="N1346" i="4"/>
  <c r="M1346" i="4"/>
  <c r="N1346" i="5" s="1"/>
  <c r="L1346" i="4"/>
  <c r="K1346" i="4"/>
  <c r="J1346" i="4"/>
  <c r="Q1346" i="5" s="1"/>
  <c r="P1345" i="4"/>
  <c r="O1345" i="4"/>
  <c r="N1345" i="4"/>
  <c r="M1345" i="4"/>
  <c r="L1345" i="4"/>
  <c r="K1345" i="4"/>
  <c r="J1345" i="4"/>
  <c r="Q1345" i="5" s="1"/>
  <c r="P1344" i="4"/>
  <c r="O1344" i="4"/>
  <c r="N1344" i="4"/>
  <c r="M1344" i="4"/>
  <c r="N1344" i="5" s="1"/>
  <c r="L1344" i="4"/>
  <c r="K1344" i="4"/>
  <c r="J1344" i="4"/>
  <c r="Q1344" i="5" s="1"/>
  <c r="P1343" i="4"/>
  <c r="O1343" i="4"/>
  <c r="N1343" i="4"/>
  <c r="M1343" i="4"/>
  <c r="L1343" i="4"/>
  <c r="K1343" i="4"/>
  <c r="J1343" i="4"/>
  <c r="Q1343" i="5" s="1"/>
  <c r="P1342" i="4"/>
  <c r="O1342" i="4"/>
  <c r="N1342" i="4"/>
  <c r="M1342" i="4"/>
  <c r="N1342" i="5" s="1"/>
  <c r="L1342" i="4"/>
  <c r="K1342" i="4"/>
  <c r="J1342" i="4"/>
  <c r="Q1342" i="5" s="1"/>
  <c r="P1341" i="4"/>
  <c r="O1341" i="4"/>
  <c r="N1341" i="4"/>
  <c r="M1341" i="4"/>
  <c r="L1341" i="4"/>
  <c r="K1341" i="4"/>
  <c r="J1341" i="4"/>
  <c r="Q1341" i="5" s="1"/>
  <c r="P1340" i="4"/>
  <c r="O1340" i="4"/>
  <c r="N1340" i="4"/>
  <c r="M1340" i="4"/>
  <c r="N1340" i="5" s="1"/>
  <c r="L1340" i="4"/>
  <c r="K1340" i="4"/>
  <c r="J1340" i="4"/>
  <c r="Q1340" i="5" s="1"/>
  <c r="P1339" i="4"/>
  <c r="O1339" i="4"/>
  <c r="N1339" i="4"/>
  <c r="M1339" i="4"/>
  <c r="L1339" i="4"/>
  <c r="K1339" i="4"/>
  <c r="J1339" i="4"/>
  <c r="Q1339" i="5" s="1"/>
  <c r="P1338" i="4"/>
  <c r="O1338" i="4"/>
  <c r="N1338" i="4"/>
  <c r="M1338" i="4"/>
  <c r="N1338" i="5" s="1"/>
  <c r="L1338" i="4"/>
  <c r="K1338" i="4"/>
  <c r="J1338" i="4"/>
  <c r="Q1338" i="5" s="1"/>
  <c r="P1337" i="4"/>
  <c r="O1337" i="4"/>
  <c r="N1337" i="4"/>
  <c r="M1337" i="4"/>
  <c r="L1337" i="4"/>
  <c r="K1337" i="4"/>
  <c r="J1337" i="4"/>
  <c r="Q1337" i="5" s="1"/>
  <c r="P1336" i="4"/>
  <c r="O1336" i="4"/>
  <c r="N1336" i="4"/>
  <c r="M1336" i="4"/>
  <c r="N1336" i="5" s="1"/>
  <c r="L1336" i="4"/>
  <c r="K1336" i="4"/>
  <c r="J1336" i="4"/>
  <c r="Q1336" i="5" s="1"/>
  <c r="P1335" i="4"/>
  <c r="O1335" i="4"/>
  <c r="N1335" i="4"/>
  <c r="M1335" i="4"/>
  <c r="L1335" i="4"/>
  <c r="K1335" i="4"/>
  <c r="J1335" i="4"/>
  <c r="Q1335" i="5" s="1"/>
  <c r="P1334" i="4"/>
  <c r="O1334" i="4"/>
  <c r="N1334" i="4"/>
  <c r="M1334" i="4"/>
  <c r="N1334" i="5" s="1"/>
  <c r="L1334" i="4"/>
  <c r="K1334" i="4"/>
  <c r="J1334" i="4"/>
  <c r="Q1334" i="5" s="1"/>
  <c r="P1333" i="4"/>
  <c r="O1333" i="4"/>
  <c r="N1333" i="4"/>
  <c r="M1333" i="4"/>
  <c r="L1333" i="4"/>
  <c r="K1333" i="4"/>
  <c r="J1333" i="4"/>
  <c r="Q1333" i="5" s="1"/>
  <c r="P1332" i="4"/>
  <c r="O1332" i="4"/>
  <c r="N1332" i="4"/>
  <c r="M1332" i="4"/>
  <c r="N1332" i="5" s="1"/>
  <c r="L1332" i="4"/>
  <c r="K1332" i="4"/>
  <c r="J1332" i="4"/>
  <c r="Q1332" i="5" s="1"/>
  <c r="P1331" i="4"/>
  <c r="O1331" i="4"/>
  <c r="N1331" i="4"/>
  <c r="M1331" i="4"/>
  <c r="L1331" i="4"/>
  <c r="K1331" i="4"/>
  <c r="J1331" i="4"/>
  <c r="Q1331" i="5" s="1"/>
  <c r="P1330" i="4"/>
  <c r="O1330" i="4"/>
  <c r="N1330" i="4"/>
  <c r="M1330" i="4"/>
  <c r="N1330" i="5" s="1"/>
  <c r="L1330" i="4"/>
  <c r="K1330" i="4"/>
  <c r="J1330" i="4"/>
  <c r="Q1330" i="5" s="1"/>
  <c r="P1329" i="4"/>
  <c r="O1329" i="4"/>
  <c r="N1329" i="4"/>
  <c r="M1329" i="4"/>
  <c r="L1329" i="4"/>
  <c r="K1329" i="4"/>
  <c r="J1329" i="4"/>
  <c r="Q1329" i="5" s="1"/>
  <c r="P1328" i="4"/>
  <c r="O1328" i="4"/>
  <c r="N1328" i="4"/>
  <c r="M1328" i="4"/>
  <c r="N1328" i="5" s="1"/>
  <c r="L1328" i="4"/>
  <c r="K1328" i="4"/>
  <c r="J1328" i="4"/>
  <c r="Q1328" i="5" s="1"/>
  <c r="P1327" i="4"/>
  <c r="O1327" i="4"/>
  <c r="N1327" i="4"/>
  <c r="M1327" i="4"/>
  <c r="L1327" i="4"/>
  <c r="K1327" i="4"/>
  <c r="J1327" i="4"/>
  <c r="Q1327" i="5" s="1"/>
  <c r="P1326" i="4"/>
  <c r="O1326" i="4"/>
  <c r="N1326" i="4"/>
  <c r="M1326" i="4"/>
  <c r="N1326" i="5" s="1"/>
  <c r="L1326" i="4"/>
  <c r="K1326" i="4"/>
  <c r="J1326" i="4"/>
  <c r="Q1326" i="5" s="1"/>
  <c r="P1325" i="4"/>
  <c r="O1325" i="4"/>
  <c r="N1325" i="4"/>
  <c r="M1325" i="4"/>
  <c r="L1325" i="4"/>
  <c r="K1325" i="4"/>
  <c r="J1325" i="4"/>
  <c r="Q1325" i="5" s="1"/>
  <c r="P1324" i="4"/>
  <c r="O1324" i="4"/>
  <c r="N1324" i="4"/>
  <c r="M1324" i="4"/>
  <c r="N1324" i="5" s="1"/>
  <c r="L1324" i="4"/>
  <c r="K1324" i="4"/>
  <c r="J1324" i="4"/>
  <c r="Q1324" i="5" s="1"/>
  <c r="P1323" i="4"/>
  <c r="O1323" i="4"/>
  <c r="N1323" i="4"/>
  <c r="M1323" i="4"/>
  <c r="L1323" i="4"/>
  <c r="K1323" i="4"/>
  <c r="J1323" i="4"/>
  <c r="Q1323" i="5" s="1"/>
  <c r="P1322" i="4"/>
  <c r="O1322" i="4"/>
  <c r="N1322" i="4"/>
  <c r="M1322" i="4"/>
  <c r="N1322" i="5" s="1"/>
  <c r="L1322" i="4"/>
  <c r="K1322" i="4"/>
  <c r="J1322" i="4"/>
  <c r="Q1322" i="5" s="1"/>
  <c r="P1321" i="4"/>
  <c r="O1321" i="4"/>
  <c r="N1321" i="4"/>
  <c r="M1321" i="4"/>
  <c r="L1321" i="4"/>
  <c r="K1321" i="4"/>
  <c r="J1321" i="4"/>
  <c r="Q1321" i="5" s="1"/>
  <c r="P1320" i="4"/>
  <c r="O1320" i="4"/>
  <c r="N1320" i="4"/>
  <c r="M1320" i="4"/>
  <c r="N1320" i="5" s="1"/>
  <c r="L1320" i="4"/>
  <c r="K1320" i="4"/>
  <c r="J1320" i="4"/>
  <c r="Q1320" i="5" s="1"/>
  <c r="P1319" i="4"/>
  <c r="O1319" i="4"/>
  <c r="N1319" i="4"/>
  <c r="M1319" i="4"/>
  <c r="L1319" i="4"/>
  <c r="K1319" i="4"/>
  <c r="J1319" i="4"/>
  <c r="Q1319" i="5" s="1"/>
  <c r="P1318" i="4"/>
  <c r="O1318" i="4"/>
  <c r="N1318" i="4"/>
  <c r="M1318" i="4"/>
  <c r="N1318" i="5" s="1"/>
  <c r="L1318" i="4"/>
  <c r="K1318" i="4"/>
  <c r="J1318" i="4"/>
  <c r="Q1318" i="5" s="1"/>
  <c r="P1317" i="4"/>
  <c r="O1317" i="4"/>
  <c r="N1317" i="4"/>
  <c r="M1317" i="4"/>
  <c r="L1317" i="4"/>
  <c r="K1317" i="4"/>
  <c r="J1317" i="4"/>
  <c r="Q1317" i="5" s="1"/>
  <c r="P1316" i="4"/>
  <c r="O1316" i="4"/>
  <c r="N1316" i="4"/>
  <c r="M1316" i="4"/>
  <c r="N1316" i="5" s="1"/>
  <c r="L1316" i="4"/>
  <c r="K1316" i="4"/>
  <c r="J1316" i="4"/>
  <c r="Q1316" i="5" s="1"/>
  <c r="P1315" i="4"/>
  <c r="O1315" i="4"/>
  <c r="N1315" i="4"/>
  <c r="M1315" i="4"/>
  <c r="L1315" i="4"/>
  <c r="K1315" i="4"/>
  <c r="J1315" i="4"/>
  <c r="Q1315" i="5" s="1"/>
  <c r="P1314" i="4"/>
  <c r="O1314" i="4"/>
  <c r="N1314" i="4"/>
  <c r="M1314" i="4"/>
  <c r="N1314" i="5" s="1"/>
  <c r="L1314" i="4"/>
  <c r="K1314" i="4"/>
  <c r="J1314" i="4"/>
  <c r="Q1314" i="5" s="1"/>
  <c r="P1313" i="4"/>
  <c r="O1313" i="4"/>
  <c r="N1313" i="4"/>
  <c r="M1313" i="4"/>
  <c r="L1313" i="4"/>
  <c r="K1313" i="4"/>
  <c r="J1313" i="4"/>
  <c r="Q1313" i="5" s="1"/>
  <c r="P1312" i="4"/>
  <c r="O1312" i="4"/>
  <c r="N1312" i="4"/>
  <c r="M1312" i="4"/>
  <c r="N1312" i="5" s="1"/>
  <c r="L1312" i="4"/>
  <c r="K1312" i="4"/>
  <c r="J1312" i="4"/>
  <c r="Q1312" i="5" s="1"/>
  <c r="P1311" i="4"/>
  <c r="O1311" i="4"/>
  <c r="N1311" i="4"/>
  <c r="M1311" i="4"/>
  <c r="L1311" i="4"/>
  <c r="K1311" i="4"/>
  <c r="J1311" i="4"/>
  <c r="Q1311" i="5" s="1"/>
  <c r="P1310" i="4"/>
  <c r="O1310" i="4"/>
  <c r="N1310" i="4"/>
  <c r="M1310" i="4"/>
  <c r="N1310" i="5" s="1"/>
  <c r="L1310" i="4"/>
  <c r="K1310" i="4"/>
  <c r="J1310" i="4"/>
  <c r="Q1310" i="5" s="1"/>
  <c r="P1309" i="4"/>
  <c r="O1309" i="4"/>
  <c r="N1309" i="4"/>
  <c r="M1309" i="4"/>
  <c r="L1309" i="4"/>
  <c r="K1309" i="4"/>
  <c r="J1309" i="4"/>
  <c r="Q1309" i="5" s="1"/>
  <c r="P1308" i="4"/>
  <c r="O1308" i="4"/>
  <c r="N1308" i="4"/>
  <c r="M1308" i="4"/>
  <c r="N1308" i="5" s="1"/>
  <c r="L1308" i="4"/>
  <c r="K1308" i="4"/>
  <c r="J1308" i="4"/>
  <c r="Q1308" i="5" s="1"/>
  <c r="P1307" i="4"/>
  <c r="O1307" i="4"/>
  <c r="N1307" i="4"/>
  <c r="M1307" i="4"/>
  <c r="L1307" i="4"/>
  <c r="K1307" i="4"/>
  <c r="J1307" i="4"/>
  <c r="Q1307" i="5" s="1"/>
  <c r="P1306" i="4"/>
  <c r="O1306" i="4"/>
  <c r="N1306" i="4"/>
  <c r="M1306" i="4"/>
  <c r="N1306" i="5" s="1"/>
  <c r="L1306" i="4"/>
  <c r="K1306" i="4"/>
  <c r="J1306" i="4"/>
  <c r="Q1306" i="5" s="1"/>
  <c r="P1305" i="4"/>
  <c r="O1305" i="4"/>
  <c r="N1305" i="4"/>
  <c r="M1305" i="4"/>
  <c r="L1305" i="4"/>
  <c r="K1305" i="4"/>
  <c r="J1305" i="4"/>
  <c r="Q1305" i="5" s="1"/>
  <c r="P1304" i="4"/>
  <c r="O1304" i="4"/>
  <c r="N1304" i="4"/>
  <c r="M1304" i="4"/>
  <c r="N1304" i="5" s="1"/>
  <c r="L1304" i="4"/>
  <c r="K1304" i="4"/>
  <c r="J1304" i="4"/>
  <c r="Q1304" i="5" s="1"/>
  <c r="P1303" i="4"/>
  <c r="O1303" i="4"/>
  <c r="N1303" i="4"/>
  <c r="M1303" i="4"/>
  <c r="L1303" i="4"/>
  <c r="K1303" i="4"/>
  <c r="J1303" i="4"/>
  <c r="Q1303" i="5" s="1"/>
  <c r="P1302" i="4"/>
  <c r="O1302" i="4"/>
  <c r="N1302" i="4"/>
  <c r="M1302" i="4"/>
  <c r="N1302" i="5" s="1"/>
  <c r="L1302" i="4"/>
  <c r="K1302" i="4"/>
  <c r="J1302" i="4"/>
  <c r="Q1302" i="5" s="1"/>
  <c r="P1301" i="4"/>
  <c r="O1301" i="4"/>
  <c r="N1301" i="4"/>
  <c r="M1301" i="4"/>
  <c r="L1301" i="4"/>
  <c r="K1301" i="4"/>
  <c r="J1301" i="4"/>
  <c r="Q1301" i="5" s="1"/>
  <c r="P1300" i="4"/>
  <c r="O1300" i="4"/>
  <c r="N1300" i="4"/>
  <c r="M1300" i="4"/>
  <c r="N1300" i="5" s="1"/>
  <c r="L1300" i="4"/>
  <c r="K1300" i="4"/>
  <c r="J1300" i="4"/>
  <c r="Q1300" i="5" s="1"/>
  <c r="P1299" i="4"/>
  <c r="O1299" i="4"/>
  <c r="N1299" i="4"/>
  <c r="M1299" i="4"/>
  <c r="L1299" i="4"/>
  <c r="K1299" i="4"/>
  <c r="J1299" i="4"/>
  <c r="Q1299" i="5" s="1"/>
  <c r="P1298" i="4"/>
  <c r="O1298" i="4"/>
  <c r="N1298" i="4"/>
  <c r="M1298" i="4"/>
  <c r="N1298" i="5" s="1"/>
  <c r="L1298" i="4"/>
  <c r="K1298" i="4"/>
  <c r="J1298" i="4"/>
  <c r="Q1298" i="5" s="1"/>
  <c r="P1297" i="4"/>
  <c r="O1297" i="4"/>
  <c r="N1297" i="4"/>
  <c r="M1297" i="4"/>
  <c r="L1297" i="4"/>
  <c r="K1297" i="4"/>
  <c r="J1297" i="4"/>
  <c r="Q1297" i="5" s="1"/>
  <c r="P1296" i="4"/>
  <c r="O1296" i="4"/>
  <c r="N1296" i="4"/>
  <c r="M1296" i="4"/>
  <c r="N1296" i="5" s="1"/>
  <c r="L1296" i="4"/>
  <c r="K1296" i="4"/>
  <c r="J1296" i="4"/>
  <c r="Q1296" i="5" s="1"/>
  <c r="P1295" i="4"/>
  <c r="O1295" i="4"/>
  <c r="N1295" i="4"/>
  <c r="M1295" i="4"/>
  <c r="L1295" i="4"/>
  <c r="K1295" i="4"/>
  <c r="J1295" i="4"/>
  <c r="Q1295" i="5" s="1"/>
  <c r="P1294" i="4"/>
  <c r="O1294" i="4"/>
  <c r="N1294" i="4"/>
  <c r="M1294" i="4"/>
  <c r="N1294" i="5" s="1"/>
  <c r="L1294" i="4"/>
  <c r="K1294" i="4"/>
  <c r="J1294" i="4"/>
  <c r="Q1294" i="5" s="1"/>
  <c r="P1293" i="4"/>
  <c r="O1293" i="4"/>
  <c r="N1293" i="4"/>
  <c r="M1293" i="4"/>
  <c r="L1293" i="4"/>
  <c r="K1293" i="4"/>
  <c r="J1293" i="4"/>
  <c r="Q1293" i="5" s="1"/>
  <c r="P1292" i="4"/>
  <c r="O1292" i="4"/>
  <c r="N1292" i="4"/>
  <c r="M1292" i="4"/>
  <c r="N1292" i="5" s="1"/>
  <c r="L1292" i="4"/>
  <c r="K1292" i="4"/>
  <c r="J1292" i="4"/>
  <c r="Q1292" i="5" s="1"/>
  <c r="P1291" i="4"/>
  <c r="O1291" i="4"/>
  <c r="N1291" i="4"/>
  <c r="M1291" i="4"/>
  <c r="L1291" i="4"/>
  <c r="K1291" i="4"/>
  <c r="J1291" i="4"/>
  <c r="Q1291" i="5" s="1"/>
  <c r="P1290" i="4"/>
  <c r="O1290" i="4"/>
  <c r="N1290" i="4"/>
  <c r="M1290" i="4"/>
  <c r="N1290" i="5" s="1"/>
  <c r="L1290" i="4"/>
  <c r="K1290" i="4"/>
  <c r="J1290" i="4"/>
  <c r="Q1290" i="5" s="1"/>
  <c r="P1289" i="4"/>
  <c r="O1289" i="4"/>
  <c r="N1289" i="4"/>
  <c r="M1289" i="4"/>
  <c r="L1289" i="4"/>
  <c r="K1289" i="4"/>
  <c r="J1289" i="4"/>
  <c r="Q1289" i="5" s="1"/>
  <c r="P1288" i="4"/>
  <c r="O1288" i="4"/>
  <c r="N1288" i="4"/>
  <c r="M1288" i="4"/>
  <c r="N1288" i="5" s="1"/>
  <c r="L1288" i="4"/>
  <c r="K1288" i="4"/>
  <c r="J1288" i="4"/>
  <c r="Q1288" i="5" s="1"/>
  <c r="P1287" i="4"/>
  <c r="O1287" i="4"/>
  <c r="N1287" i="4"/>
  <c r="M1287" i="4"/>
  <c r="L1287" i="4"/>
  <c r="K1287" i="4"/>
  <c r="J1287" i="4"/>
  <c r="Q1287" i="5" s="1"/>
  <c r="P1286" i="4"/>
  <c r="O1286" i="4"/>
  <c r="N1286" i="4"/>
  <c r="M1286" i="4"/>
  <c r="N1286" i="5" s="1"/>
  <c r="L1286" i="4"/>
  <c r="K1286" i="4"/>
  <c r="J1286" i="4"/>
  <c r="Q1286" i="5" s="1"/>
  <c r="P1285" i="4"/>
  <c r="O1285" i="4"/>
  <c r="N1285" i="4"/>
  <c r="M1285" i="4"/>
  <c r="L1285" i="4"/>
  <c r="K1285" i="4"/>
  <c r="J1285" i="4"/>
  <c r="Q1285" i="5" s="1"/>
  <c r="P1284" i="4"/>
  <c r="O1284" i="4"/>
  <c r="N1284" i="4"/>
  <c r="M1284" i="4"/>
  <c r="N1284" i="5" s="1"/>
  <c r="L1284" i="4"/>
  <c r="K1284" i="4"/>
  <c r="J1284" i="4"/>
  <c r="Q1284" i="5" s="1"/>
  <c r="P1283" i="4"/>
  <c r="O1283" i="4"/>
  <c r="N1283" i="4"/>
  <c r="M1283" i="4"/>
  <c r="L1283" i="4"/>
  <c r="K1283" i="4"/>
  <c r="J1283" i="4"/>
  <c r="Q1283" i="5" s="1"/>
  <c r="P1282" i="4"/>
  <c r="O1282" i="4"/>
  <c r="N1282" i="4"/>
  <c r="M1282" i="4"/>
  <c r="N1282" i="5" s="1"/>
  <c r="L1282" i="4"/>
  <c r="K1282" i="4"/>
  <c r="J1282" i="4"/>
  <c r="Q1282" i="5" s="1"/>
  <c r="P1281" i="4"/>
  <c r="O1281" i="4"/>
  <c r="N1281" i="4"/>
  <c r="M1281" i="4"/>
  <c r="L1281" i="4"/>
  <c r="K1281" i="4"/>
  <c r="J1281" i="4"/>
  <c r="Q1281" i="5" s="1"/>
  <c r="P1280" i="4"/>
  <c r="O1280" i="4"/>
  <c r="N1280" i="4"/>
  <c r="M1280" i="4"/>
  <c r="N1280" i="5" s="1"/>
  <c r="L1280" i="4"/>
  <c r="K1280" i="4"/>
  <c r="J1280" i="4"/>
  <c r="Q1280" i="5" s="1"/>
  <c r="P1279" i="4"/>
  <c r="O1279" i="4"/>
  <c r="N1279" i="4"/>
  <c r="M1279" i="4"/>
  <c r="L1279" i="4"/>
  <c r="K1279" i="4"/>
  <c r="J1279" i="4"/>
  <c r="Q1279" i="5" s="1"/>
  <c r="P1278" i="4"/>
  <c r="O1278" i="4"/>
  <c r="N1278" i="4"/>
  <c r="M1278" i="4"/>
  <c r="N1278" i="5" s="1"/>
  <c r="L1278" i="4"/>
  <c r="K1278" i="4"/>
  <c r="J1278" i="4"/>
  <c r="Q1278" i="5" s="1"/>
  <c r="P1277" i="4"/>
  <c r="O1277" i="4"/>
  <c r="N1277" i="4"/>
  <c r="M1277" i="4"/>
  <c r="L1277" i="4"/>
  <c r="K1277" i="4"/>
  <c r="J1277" i="4"/>
  <c r="Q1277" i="5" s="1"/>
  <c r="P1276" i="4"/>
  <c r="O1276" i="4"/>
  <c r="N1276" i="4"/>
  <c r="M1276" i="4"/>
  <c r="N1276" i="5" s="1"/>
  <c r="L1276" i="4"/>
  <c r="K1276" i="4"/>
  <c r="J1276" i="4"/>
  <c r="Q1276" i="5" s="1"/>
  <c r="P1275" i="4"/>
  <c r="O1275" i="4"/>
  <c r="N1275" i="4"/>
  <c r="M1275" i="4"/>
  <c r="L1275" i="4"/>
  <c r="K1275" i="4"/>
  <c r="J1275" i="4"/>
  <c r="Q1275" i="5" s="1"/>
  <c r="P1274" i="4"/>
  <c r="O1274" i="4"/>
  <c r="N1274" i="4"/>
  <c r="M1274" i="4"/>
  <c r="N1274" i="5" s="1"/>
  <c r="L1274" i="4"/>
  <c r="K1274" i="4"/>
  <c r="J1274" i="4"/>
  <c r="Q1274" i="5" s="1"/>
  <c r="P1273" i="4"/>
  <c r="O1273" i="4"/>
  <c r="N1273" i="4"/>
  <c r="M1273" i="4"/>
  <c r="L1273" i="4"/>
  <c r="K1273" i="4"/>
  <c r="J1273" i="4"/>
  <c r="Q1273" i="5" s="1"/>
  <c r="P1272" i="4"/>
  <c r="O1272" i="4"/>
  <c r="N1272" i="4"/>
  <c r="M1272" i="4"/>
  <c r="N1272" i="5" s="1"/>
  <c r="L1272" i="4"/>
  <c r="K1272" i="4"/>
  <c r="J1272" i="4"/>
  <c r="Q1272" i="5" s="1"/>
  <c r="P1271" i="4"/>
  <c r="O1271" i="4"/>
  <c r="N1271" i="4"/>
  <c r="M1271" i="4"/>
  <c r="L1271" i="4"/>
  <c r="K1271" i="4"/>
  <c r="J1271" i="4"/>
  <c r="Q1271" i="5" s="1"/>
  <c r="P1270" i="4"/>
  <c r="O1270" i="4"/>
  <c r="N1270" i="4"/>
  <c r="M1270" i="4"/>
  <c r="N1270" i="5" s="1"/>
  <c r="L1270" i="4"/>
  <c r="K1270" i="4"/>
  <c r="J1270" i="4"/>
  <c r="Q1270" i="5" s="1"/>
  <c r="P1269" i="4"/>
  <c r="O1269" i="4"/>
  <c r="N1269" i="4"/>
  <c r="M1269" i="4"/>
  <c r="L1269" i="4"/>
  <c r="K1269" i="4"/>
  <c r="J1269" i="4"/>
  <c r="Q1269" i="5" s="1"/>
  <c r="P1268" i="4"/>
  <c r="O1268" i="4"/>
  <c r="N1268" i="4"/>
  <c r="M1268" i="4"/>
  <c r="N1268" i="5" s="1"/>
  <c r="L1268" i="4"/>
  <c r="K1268" i="4"/>
  <c r="J1268" i="4"/>
  <c r="Q1268" i="5" s="1"/>
  <c r="P1267" i="4"/>
  <c r="O1267" i="4"/>
  <c r="N1267" i="4"/>
  <c r="M1267" i="4"/>
  <c r="L1267" i="4"/>
  <c r="K1267" i="4"/>
  <c r="J1267" i="4"/>
  <c r="Q1267" i="5" s="1"/>
  <c r="P1266" i="4"/>
  <c r="O1266" i="4"/>
  <c r="N1266" i="4"/>
  <c r="M1266" i="4"/>
  <c r="N1266" i="5" s="1"/>
  <c r="L1266" i="4"/>
  <c r="K1266" i="4"/>
  <c r="J1266" i="4"/>
  <c r="Q1266" i="5" s="1"/>
  <c r="P1265" i="4"/>
  <c r="O1265" i="4"/>
  <c r="N1265" i="4"/>
  <c r="M1265" i="4"/>
  <c r="L1265" i="4"/>
  <c r="K1265" i="4"/>
  <c r="J1265" i="4"/>
  <c r="Q1265" i="5" s="1"/>
  <c r="P1264" i="4"/>
  <c r="O1264" i="4"/>
  <c r="N1264" i="4"/>
  <c r="M1264" i="4"/>
  <c r="N1264" i="5" s="1"/>
  <c r="L1264" i="4"/>
  <c r="K1264" i="4"/>
  <c r="J1264" i="4"/>
  <c r="Q1264" i="5" s="1"/>
  <c r="P1263" i="4"/>
  <c r="O1263" i="4"/>
  <c r="N1263" i="4"/>
  <c r="M1263" i="4"/>
  <c r="L1263" i="4"/>
  <c r="K1263" i="4"/>
  <c r="J1263" i="4"/>
  <c r="Q1263" i="5" s="1"/>
  <c r="P1262" i="4"/>
  <c r="O1262" i="4"/>
  <c r="N1262" i="4"/>
  <c r="M1262" i="4"/>
  <c r="N1262" i="5" s="1"/>
  <c r="L1262" i="4"/>
  <c r="K1262" i="4"/>
  <c r="J1262" i="4"/>
  <c r="Q1262" i="5" s="1"/>
  <c r="P1261" i="4"/>
  <c r="O1261" i="4"/>
  <c r="N1261" i="4"/>
  <c r="M1261" i="4"/>
  <c r="L1261" i="4"/>
  <c r="K1261" i="4"/>
  <c r="J1261" i="4"/>
  <c r="Q1261" i="5" s="1"/>
  <c r="P1260" i="4"/>
  <c r="O1260" i="4"/>
  <c r="N1260" i="4"/>
  <c r="M1260" i="4"/>
  <c r="N1260" i="5" s="1"/>
  <c r="L1260" i="4"/>
  <c r="K1260" i="4"/>
  <c r="J1260" i="4"/>
  <c r="Q1260" i="5" s="1"/>
  <c r="P1259" i="4"/>
  <c r="O1259" i="4"/>
  <c r="N1259" i="4"/>
  <c r="M1259" i="4"/>
  <c r="L1259" i="4"/>
  <c r="K1259" i="4"/>
  <c r="J1259" i="4"/>
  <c r="Q1259" i="5" s="1"/>
  <c r="P1258" i="4"/>
  <c r="O1258" i="4"/>
  <c r="N1258" i="4"/>
  <c r="M1258" i="4"/>
  <c r="N1258" i="5" s="1"/>
  <c r="L1258" i="4"/>
  <c r="K1258" i="4"/>
  <c r="J1258" i="4"/>
  <c r="Q1258" i="5" s="1"/>
  <c r="P1257" i="4"/>
  <c r="O1257" i="4"/>
  <c r="N1257" i="4"/>
  <c r="M1257" i="4"/>
  <c r="L1257" i="4"/>
  <c r="K1257" i="4"/>
  <c r="J1257" i="4"/>
  <c r="Q1257" i="5" s="1"/>
  <c r="P1256" i="4"/>
  <c r="O1256" i="4"/>
  <c r="N1256" i="4"/>
  <c r="M1256" i="4"/>
  <c r="N1256" i="5" s="1"/>
  <c r="L1256" i="4"/>
  <c r="K1256" i="4"/>
  <c r="J1256" i="4"/>
  <c r="Q1256" i="5" s="1"/>
  <c r="P1255" i="4"/>
  <c r="O1255" i="4"/>
  <c r="N1255" i="4"/>
  <c r="M1255" i="4"/>
  <c r="L1255" i="4"/>
  <c r="K1255" i="4"/>
  <c r="J1255" i="4"/>
  <c r="Q1255" i="5" s="1"/>
  <c r="P1254" i="4"/>
  <c r="O1254" i="4"/>
  <c r="N1254" i="4"/>
  <c r="M1254" i="4"/>
  <c r="N1254" i="5" s="1"/>
  <c r="L1254" i="4"/>
  <c r="K1254" i="4"/>
  <c r="J1254" i="4"/>
  <c r="Q1254" i="5" s="1"/>
  <c r="P1253" i="4"/>
  <c r="O1253" i="4"/>
  <c r="N1253" i="4"/>
  <c r="M1253" i="4"/>
  <c r="L1253" i="4"/>
  <c r="K1253" i="4"/>
  <c r="J1253" i="4"/>
  <c r="Q1253" i="5" s="1"/>
  <c r="P1252" i="4"/>
  <c r="O1252" i="4"/>
  <c r="N1252" i="4"/>
  <c r="M1252" i="4"/>
  <c r="N1252" i="5" s="1"/>
  <c r="L1252" i="4"/>
  <c r="K1252" i="4"/>
  <c r="J1252" i="4"/>
  <c r="Q1252" i="5" s="1"/>
  <c r="P1251" i="4"/>
  <c r="O1251" i="4"/>
  <c r="N1251" i="4"/>
  <c r="M1251" i="4"/>
  <c r="L1251" i="4"/>
  <c r="K1251" i="4"/>
  <c r="J1251" i="4"/>
  <c r="Q1251" i="5" s="1"/>
  <c r="P1250" i="4"/>
  <c r="O1250" i="4"/>
  <c r="N1250" i="4"/>
  <c r="M1250" i="4"/>
  <c r="N1250" i="5" s="1"/>
  <c r="L1250" i="4"/>
  <c r="K1250" i="4"/>
  <c r="J1250" i="4"/>
  <c r="Q1250" i="5" s="1"/>
  <c r="P1249" i="4"/>
  <c r="O1249" i="4"/>
  <c r="N1249" i="4"/>
  <c r="M1249" i="4"/>
  <c r="L1249" i="4"/>
  <c r="K1249" i="4"/>
  <c r="J1249" i="4"/>
  <c r="Q1249" i="5" s="1"/>
  <c r="P1248" i="4"/>
  <c r="O1248" i="4"/>
  <c r="N1248" i="4"/>
  <c r="M1248" i="4"/>
  <c r="N1248" i="5" s="1"/>
  <c r="L1248" i="4"/>
  <c r="K1248" i="4"/>
  <c r="J1248" i="4"/>
  <c r="Q1248" i="5" s="1"/>
  <c r="P1247" i="4"/>
  <c r="O1247" i="4"/>
  <c r="N1247" i="4"/>
  <c r="M1247" i="4"/>
  <c r="L1247" i="4"/>
  <c r="K1247" i="4"/>
  <c r="J1247" i="4"/>
  <c r="Q1247" i="5" s="1"/>
  <c r="P1246" i="4"/>
  <c r="O1246" i="4"/>
  <c r="N1246" i="4"/>
  <c r="M1246" i="4"/>
  <c r="N1246" i="5" s="1"/>
  <c r="L1246" i="4"/>
  <c r="K1246" i="4"/>
  <c r="J1246" i="4"/>
  <c r="Q1246" i="5" s="1"/>
  <c r="P1245" i="4"/>
  <c r="O1245" i="4"/>
  <c r="N1245" i="4"/>
  <c r="M1245" i="4"/>
  <c r="L1245" i="4"/>
  <c r="K1245" i="4"/>
  <c r="J1245" i="4"/>
  <c r="Q1245" i="5" s="1"/>
  <c r="P1244" i="4"/>
  <c r="O1244" i="4"/>
  <c r="N1244" i="4"/>
  <c r="M1244" i="4"/>
  <c r="N1244" i="5" s="1"/>
  <c r="L1244" i="4"/>
  <c r="K1244" i="4"/>
  <c r="J1244" i="4"/>
  <c r="Q1244" i="5" s="1"/>
  <c r="P1243" i="4"/>
  <c r="O1243" i="4"/>
  <c r="N1243" i="4"/>
  <c r="M1243" i="4"/>
  <c r="L1243" i="4"/>
  <c r="K1243" i="4"/>
  <c r="J1243" i="4"/>
  <c r="Q1243" i="5" s="1"/>
  <c r="P1242" i="4"/>
  <c r="O1242" i="4"/>
  <c r="N1242" i="4"/>
  <c r="M1242" i="4"/>
  <c r="N1242" i="5" s="1"/>
  <c r="L1242" i="4"/>
  <c r="K1242" i="4"/>
  <c r="J1242" i="4"/>
  <c r="Q1242" i="5" s="1"/>
  <c r="P1241" i="4"/>
  <c r="O1241" i="4"/>
  <c r="N1241" i="4"/>
  <c r="M1241" i="4"/>
  <c r="L1241" i="4"/>
  <c r="K1241" i="4"/>
  <c r="J1241" i="4"/>
  <c r="Q1241" i="5" s="1"/>
  <c r="P1240" i="4"/>
  <c r="O1240" i="4"/>
  <c r="N1240" i="4"/>
  <c r="M1240" i="4"/>
  <c r="N1240" i="5" s="1"/>
  <c r="L1240" i="4"/>
  <c r="K1240" i="4"/>
  <c r="J1240" i="4"/>
  <c r="Q1240" i="5" s="1"/>
  <c r="P1239" i="4"/>
  <c r="O1239" i="4"/>
  <c r="N1239" i="4"/>
  <c r="M1239" i="4"/>
  <c r="L1239" i="4"/>
  <c r="K1239" i="4"/>
  <c r="J1239" i="4"/>
  <c r="Q1239" i="5" s="1"/>
  <c r="P1238" i="4"/>
  <c r="O1238" i="4"/>
  <c r="N1238" i="4"/>
  <c r="M1238" i="4"/>
  <c r="N1238" i="5" s="1"/>
  <c r="L1238" i="4"/>
  <c r="K1238" i="4"/>
  <c r="J1238" i="4"/>
  <c r="Q1238" i="5" s="1"/>
  <c r="P1237" i="4"/>
  <c r="O1237" i="4"/>
  <c r="N1237" i="4"/>
  <c r="M1237" i="4"/>
  <c r="L1237" i="4"/>
  <c r="K1237" i="4"/>
  <c r="J1237" i="4"/>
  <c r="Q1237" i="5" s="1"/>
  <c r="P1236" i="4"/>
  <c r="O1236" i="4"/>
  <c r="N1236" i="4"/>
  <c r="M1236" i="4"/>
  <c r="N1236" i="5" s="1"/>
  <c r="L1236" i="4"/>
  <c r="K1236" i="4"/>
  <c r="J1236" i="4"/>
  <c r="Q1236" i="5" s="1"/>
  <c r="P1235" i="4"/>
  <c r="O1235" i="4"/>
  <c r="N1235" i="4"/>
  <c r="M1235" i="4"/>
  <c r="L1235" i="4"/>
  <c r="K1235" i="4"/>
  <c r="J1235" i="4"/>
  <c r="Q1235" i="5" s="1"/>
  <c r="P1234" i="4"/>
  <c r="O1234" i="4"/>
  <c r="N1234" i="4"/>
  <c r="M1234" i="4"/>
  <c r="N1234" i="5" s="1"/>
  <c r="L1234" i="4"/>
  <c r="K1234" i="4"/>
  <c r="J1234" i="4"/>
  <c r="Q1234" i="5" s="1"/>
  <c r="P1233" i="4"/>
  <c r="O1233" i="4"/>
  <c r="N1233" i="4"/>
  <c r="M1233" i="4"/>
  <c r="L1233" i="4"/>
  <c r="K1233" i="4"/>
  <c r="J1233" i="4"/>
  <c r="Q1233" i="5" s="1"/>
  <c r="P1232" i="4"/>
  <c r="O1232" i="4"/>
  <c r="N1232" i="4"/>
  <c r="M1232" i="4"/>
  <c r="N1232" i="5" s="1"/>
  <c r="L1232" i="4"/>
  <c r="K1232" i="4"/>
  <c r="J1232" i="4"/>
  <c r="Q1232" i="5" s="1"/>
  <c r="P1231" i="4"/>
  <c r="O1231" i="4"/>
  <c r="N1231" i="4"/>
  <c r="M1231" i="4"/>
  <c r="L1231" i="4"/>
  <c r="K1231" i="4"/>
  <c r="J1231" i="4"/>
  <c r="Q1231" i="5" s="1"/>
  <c r="P1230" i="4"/>
  <c r="O1230" i="4"/>
  <c r="N1230" i="4"/>
  <c r="M1230" i="4"/>
  <c r="N1230" i="5" s="1"/>
  <c r="L1230" i="4"/>
  <c r="K1230" i="4"/>
  <c r="J1230" i="4"/>
  <c r="Q1230" i="5" s="1"/>
  <c r="P1229" i="4"/>
  <c r="O1229" i="4"/>
  <c r="N1229" i="4"/>
  <c r="M1229" i="4"/>
  <c r="L1229" i="4"/>
  <c r="K1229" i="4"/>
  <c r="J1229" i="4"/>
  <c r="Q1229" i="5" s="1"/>
  <c r="P1228" i="4"/>
  <c r="O1228" i="4"/>
  <c r="N1228" i="4"/>
  <c r="M1228" i="4"/>
  <c r="N1228" i="5" s="1"/>
  <c r="L1228" i="4"/>
  <c r="K1228" i="4"/>
  <c r="J1228" i="4"/>
  <c r="Q1228" i="5" s="1"/>
  <c r="P1227" i="4"/>
  <c r="O1227" i="4"/>
  <c r="N1227" i="4"/>
  <c r="M1227" i="4"/>
  <c r="L1227" i="4"/>
  <c r="K1227" i="4"/>
  <c r="J1227" i="4"/>
  <c r="Q1227" i="5" s="1"/>
  <c r="P1226" i="4"/>
  <c r="O1226" i="4"/>
  <c r="N1226" i="4"/>
  <c r="M1226" i="4"/>
  <c r="N1226" i="5" s="1"/>
  <c r="L1226" i="4"/>
  <c r="K1226" i="4"/>
  <c r="J1226" i="4"/>
  <c r="Q1226" i="5" s="1"/>
  <c r="P1225" i="4"/>
  <c r="O1225" i="4"/>
  <c r="N1225" i="4"/>
  <c r="M1225" i="4"/>
  <c r="L1225" i="4"/>
  <c r="K1225" i="4"/>
  <c r="J1225" i="4"/>
  <c r="Q1225" i="5" s="1"/>
  <c r="P1224" i="4"/>
  <c r="O1224" i="4"/>
  <c r="N1224" i="4"/>
  <c r="M1224" i="4"/>
  <c r="N1224" i="5" s="1"/>
  <c r="L1224" i="4"/>
  <c r="K1224" i="4"/>
  <c r="J1224" i="4"/>
  <c r="Q1224" i="5" s="1"/>
  <c r="P1223" i="4"/>
  <c r="O1223" i="4"/>
  <c r="N1223" i="4"/>
  <c r="M1223" i="4"/>
  <c r="L1223" i="4"/>
  <c r="K1223" i="4"/>
  <c r="J1223" i="4"/>
  <c r="Q1223" i="5" s="1"/>
  <c r="P1222" i="4"/>
  <c r="O1222" i="4"/>
  <c r="N1222" i="4"/>
  <c r="M1222" i="4"/>
  <c r="N1222" i="5" s="1"/>
  <c r="L1222" i="4"/>
  <c r="K1222" i="4"/>
  <c r="J1222" i="4"/>
  <c r="Q1222" i="5" s="1"/>
  <c r="P1221" i="4"/>
  <c r="O1221" i="4"/>
  <c r="N1221" i="4"/>
  <c r="M1221" i="4"/>
  <c r="L1221" i="4"/>
  <c r="K1221" i="4"/>
  <c r="J1221" i="4"/>
  <c r="Q1221" i="5" s="1"/>
  <c r="P1220" i="4"/>
  <c r="O1220" i="4"/>
  <c r="N1220" i="4"/>
  <c r="M1220" i="4"/>
  <c r="N1220" i="5" s="1"/>
  <c r="L1220" i="4"/>
  <c r="K1220" i="4"/>
  <c r="J1220" i="4"/>
  <c r="Q1220" i="5" s="1"/>
  <c r="P1219" i="4"/>
  <c r="O1219" i="4"/>
  <c r="N1219" i="4"/>
  <c r="M1219" i="4"/>
  <c r="L1219" i="4"/>
  <c r="K1219" i="4"/>
  <c r="J1219" i="4"/>
  <c r="Q1219" i="5" s="1"/>
  <c r="P1218" i="4"/>
  <c r="O1218" i="4"/>
  <c r="N1218" i="4"/>
  <c r="M1218" i="4"/>
  <c r="N1218" i="5" s="1"/>
  <c r="L1218" i="4"/>
  <c r="K1218" i="4"/>
  <c r="J1218" i="4"/>
  <c r="Q1218" i="5" s="1"/>
  <c r="P1217" i="4"/>
  <c r="O1217" i="4"/>
  <c r="N1217" i="4"/>
  <c r="M1217" i="4"/>
  <c r="L1217" i="4"/>
  <c r="K1217" i="4"/>
  <c r="J1217" i="4"/>
  <c r="Q1217" i="5" s="1"/>
  <c r="P1216" i="4"/>
  <c r="O1216" i="4"/>
  <c r="N1216" i="4"/>
  <c r="M1216" i="4"/>
  <c r="N1216" i="5" s="1"/>
  <c r="L1216" i="4"/>
  <c r="K1216" i="4"/>
  <c r="J1216" i="4"/>
  <c r="Q1216" i="5" s="1"/>
  <c r="P1215" i="4"/>
  <c r="O1215" i="4"/>
  <c r="N1215" i="4"/>
  <c r="M1215" i="4"/>
  <c r="L1215" i="4"/>
  <c r="K1215" i="4"/>
  <c r="J1215" i="4"/>
  <c r="Q1215" i="5" s="1"/>
  <c r="P1214" i="4"/>
  <c r="O1214" i="4"/>
  <c r="N1214" i="4"/>
  <c r="M1214" i="4"/>
  <c r="N1214" i="5" s="1"/>
  <c r="L1214" i="4"/>
  <c r="K1214" i="4"/>
  <c r="J1214" i="4"/>
  <c r="Q1214" i="5" s="1"/>
  <c r="P1213" i="4"/>
  <c r="O1213" i="4"/>
  <c r="N1213" i="4"/>
  <c r="M1213" i="4"/>
  <c r="L1213" i="4"/>
  <c r="K1213" i="4"/>
  <c r="J1213" i="4"/>
  <c r="Q1213" i="5" s="1"/>
  <c r="P1212" i="4"/>
  <c r="O1212" i="4"/>
  <c r="N1212" i="4"/>
  <c r="M1212" i="4"/>
  <c r="N1212" i="5" s="1"/>
  <c r="L1212" i="4"/>
  <c r="K1212" i="4"/>
  <c r="J1212" i="4"/>
  <c r="Q1212" i="5" s="1"/>
  <c r="P1211" i="4"/>
  <c r="O1211" i="4"/>
  <c r="N1211" i="4"/>
  <c r="M1211" i="4"/>
  <c r="L1211" i="4"/>
  <c r="K1211" i="4"/>
  <c r="J1211" i="4"/>
  <c r="Q1211" i="5" s="1"/>
  <c r="P1210" i="4"/>
  <c r="O1210" i="4"/>
  <c r="N1210" i="4"/>
  <c r="M1210" i="4"/>
  <c r="N1210" i="5" s="1"/>
  <c r="L1210" i="4"/>
  <c r="K1210" i="4"/>
  <c r="J1210" i="4"/>
  <c r="Q1210" i="5" s="1"/>
  <c r="P1209" i="4"/>
  <c r="O1209" i="4"/>
  <c r="N1209" i="4"/>
  <c r="M1209" i="4"/>
  <c r="L1209" i="4"/>
  <c r="K1209" i="4"/>
  <c r="J1209" i="4"/>
  <c r="Q1209" i="5" s="1"/>
  <c r="P1208" i="4"/>
  <c r="O1208" i="4"/>
  <c r="N1208" i="4"/>
  <c r="M1208" i="4"/>
  <c r="N1208" i="5" s="1"/>
  <c r="L1208" i="4"/>
  <c r="K1208" i="4"/>
  <c r="J1208" i="4"/>
  <c r="Q1208" i="5" s="1"/>
  <c r="P1207" i="4"/>
  <c r="O1207" i="4"/>
  <c r="N1207" i="4"/>
  <c r="M1207" i="4"/>
  <c r="L1207" i="4"/>
  <c r="K1207" i="4"/>
  <c r="J1207" i="4"/>
  <c r="Q1207" i="5" s="1"/>
  <c r="P1206" i="4"/>
  <c r="O1206" i="4"/>
  <c r="N1206" i="4"/>
  <c r="M1206" i="4"/>
  <c r="N1206" i="5" s="1"/>
  <c r="L1206" i="4"/>
  <c r="K1206" i="4"/>
  <c r="J1206" i="4"/>
  <c r="Q1206" i="5" s="1"/>
  <c r="P1205" i="4"/>
  <c r="O1205" i="4"/>
  <c r="N1205" i="4"/>
  <c r="M1205" i="4"/>
  <c r="L1205" i="4"/>
  <c r="K1205" i="4"/>
  <c r="J1205" i="4"/>
  <c r="Q1205" i="5" s="1"/>
  <c r="P1204" i="4"/>
  <c r="O1204" i="4"/>
  <c r="N1204" i="4"/>
  <c r="M1204" i="4"/>
  <c r="N1204" i="5" s="1"/>
  <c r="L1204" i="4"/>
  <c r="K1204" i="4"/>
  <c r="J1204" i="4"/>
  <c r="Q1204" i="5" s="1"/>
  <c r="P1203" i="4"/>
  <c r="O1203" i="4"/>
  <c r="N1203" i="4"/>
  <c r="M1203" i="4"/>
  <c r="L1203" i="4"/>
  <c r="K1203" i="4"/>
  <c r="J1203" i="4"/>
  <c r="Q1203" i="5" s="1"/>
  <c r="P1202" i="4"/>
  <c r="O1202" i="4"/>
  <c r="N1202" i="4"/>
  <c r="M1202" i="4"/>
  <c r="N1202" i="5" s="1"/>
  <c r="L1202" i="4"/>
  <c r="K1202" i="4"/>
  <c r="J1202" i="4"/>
  <c r="Q1202" i="5" s="1"/>
  <c r="P1201" i="4"/>
  <c r="O1201" i="4"/>
  <c r="N1201" i="4"/>
  <c r="M1201" i="4"/>
  <c r="L1201" i="4"/>
  <c r="K1201" i="4"/>
  <c r="J1201" i="4"/>
  <c r="Q1201" i="5" s="1"/>
  <c r="P1200" i="4"/>
  <c r="O1200" i="4"/>
  <c r="N1200" i="4"/>
  <c r="M1200" i="4"/>
  <c r="N1200" i="5" s="1"/>
  <c r="L1200" i="4"/>
  <c r="K1200" i="4"/>
  <c r="J1200" i="4"/>
  <c r="Q1200" i="5" s="1"/>
  <c r="P1199" i="4"/>
  <c r="O1199" i="4"/>
  <c r="N1199" i="4"/>
  <c r="M1199" i="4"/>
  <c r="L1199" i="4"/>
  <c r="K1199" i="4"/>
  <c r="J1199" i="4"/>
  <c r="Q1199" i="5" s="1"/>
  <c r="P1198" i="4"/>
  <c r="O1198" i="4"/>
  <c r="N1198" i="4"/>
  <c r="M1198" i="4"/>
  <c r="N1198" i="5" s="1"/>
  <c r="L1198" i="4"/>
  <c r="K1198" i="4"/>
  <c r="J1198" i="4"/>
  <c r="Q1198" i="5" s="1"/>
  <c r="P1197" i="4"/>
  <c r="O1197" i="4"/>
  <c r="N1197" i="4"/>
  <c r="M1197" i="4"/>
  <c r="L1197" i="4"/>
  <c r="K1197" i="4"/>
  <c r="J1197" i="4"/>
  <c r="Q1197" i="5" s="1"/>
  <c r="P1196" i="4"/>
  <c r="O1196" i="4"/>
  <c r="N1196" i="4"/>
  <c r="M1196" i="4"/>
  <c r="N1196" i="5" s="1"/>
  <c r="L1196" i="4"/>
  <c r="K1196" i="4"/>
  <c r="J1196" i="4"/>
  <c r="Q1196" i="5" s="1"/>
  <c r="P1195" i="4"/>
  <c r="O1195" i="4"/>
  <c r="N1195" i="4"/>
  <c r="M1195" i="4"/>
  <c r="L1195" i="4"/>
  <c r="K1195" i="4"/>
  <c r="J1195" i="4"/>
  <c r="Q1195" i="5" s="1"/>
  <c r="P1194" i="4"/>
  <c r="O1194" i="4"/>
  <c r="N1194" i="4"/>
  <c r="M1194" i="4"/>
  <c r="N1194" i="5" s="1"/>
  <c r="L1194" i="4"/>
  <c r="K1194" i="4"/>
  <c r="J1194" i="4"/>
  <c r="Q1194" i="5" s="1"/>
  <c r="P1193" i="4"/>
  <c r="O1193" i="4"/>
  <c r="N1193" i="4"/>
  <c r="M1193" i="4"/>
  <c r="L1193" i="4"/>
  <c r="K1193" i="4"/>
  <c r="J1193" i="4"/>
  <c r="Q1193" i="5" s="1"/>
  <c r="P1192" i="4"/>
  <c r="O1192" i="4"/>
  <c r="N1192" i="4"/>
  <c r="M1192" i="4"/>
  <c r="N1192" i="5" s="1"/>
  <c r="L1192" i="4"/>
  <c r="K1192" i="4"/>
  <c r="J1192" i="4"/>
  <c r="Q1192" i="5" s="1"/>
  <c r="P1191" i="4"/>
  <c r="O1191" i="4"/>
  <c r="N1191" i="4"/>
  <c r="M1191" i="4"/>
  <c r="L1191" i="4"/>
  <c r="K1191" i="4"/>
  <c r="J1191" i="4"/>
  <c r="Q1191" i="5" s="1"/>
  <c r="P1190" i="4"/>
  <c r="O1190" i="4"/>
  <c r="N1190" i="4"/>
  <c r="M1190" i="4"/>
  <c r="N1190" i="5" s="1"/>
  <c r="L1190" i="4"/>
  <c r="K1190" i="4"/>
  <c r="J1190" i="4"/>
  <c r="Q1190" i="5" s="1"/>
  <c r="P1189" i="4"/>
  <c r="O1189" i="4"/>
  <c r="N1189" i="4"/>
  <c r="M1189" i="4"/>
  <c r="L1189" i="4"/>
  <c r="K1189" i="4"/>
  <c r="J1189" i="4"/>
  <c r="Q1189" i="5" s="1"/>
  <c r="P1188" i="4"/>
  <c r="O1188" i="4"/>
  <c r="N1188" i="4"/>
  <c r="M1188" i="4"/>
  <c r="N1188" i="5" s="1"/>
  <c r="L1188" i="4"/>
  <c r="K1188" i="4"/>
  <c r="J1188" i="4"/>
  <c r="Q1188" i="5" s="1"/>
  <c r="P1187" i="4"/>
  <c r="O1187" i="4"/>
  <c r="N1187" i="4"/>
  <c r="M1187" i="4"/>
  <c r="L1187" i="4"/>
  <c r="K1187" i="4"/>
  <c r="J1187" i="4"/>
  <c r="Q1187" i="5" s="1"/>
  <c r="P1186" i="4"/>
  <c r="O1186" i="4"/>
  <c r="N1186" i="4"/>
  <c r="M1186" i="4"/>
  <c r="N1186" i="5" s="1"/>
  <c r="L1186" i="4"/>
  <c r="K1186" i="4"/>
  <c r="J1186" i="4"/>
  <c r="Q1186" i="5" s="1"/>
  <c r="P1185" i="4"/>
  <c r="O1185" i="4"/>
  <c r="N1185" i="4"/>
  <c r="M1185" i="4"/>
  <c r="L1185" i="4"/>
  <c r="K1185" i="4"/>
  <c r="J1185" i="4"/>
  <c r="Q1185" i="5" s="1"/>
  <c r="P1184" i="4"/>
  <c r="O1184" i="4"/>
  <c r="N1184" i="4"/>
  <c r="M1184" i="4"/>
  <c r="N1184" i="5" s="1"/>
  <c r="L1184" i="4"/>
  <c r="K1184" i="4"/>
  <c r="J1184" i="4"/>
  <c r="Q1184" i="5" s="1"/>
  <c r="P1183" i="4"/>
  <c r="O1183" i="4"/>
  <c r="N1183" i="4"/>
  <c r="M1183" i="4"/>
  <c r="L1183" i="4"/>
  <c r="K1183" i="4"/>
  <c r="J1183" i="4"/>
  <c r="Q1183" i="5" s="1"/>
  <c r="P1182" i="4"/>
  <c r="O1182" i="4"/>
  <c r="N1182" i="4"/>
  <c r="M1182" i="4"/>
  <c r="N1182" i="5" s="1"/>
  <c r="L1182" i="4"/>
  <c r="K1182" i="4"/>
  <c r="J1182" i="4"/>
  <c r="Q1182" i="5" s="1"/>
  <c r="P1181" i="4"/>
  <c r="O1181" i="4"/>
  <c r="N1181" i="4"/>
  <c r="M1181" i="4"/>
  <c r="L1181" i="4"/>
  <c r="K1181" i="4"/>
  <c r="J1181" i="4"/>
  <c r="Q1181" i="5" s="1"/>
  <c r="P1180" i="4"/>
  <c r="O1180" i="4"/>
  <c r="N1180" i="4"/>
  <c r="M1180" i="4"/>
  <c r="N1180" i="5" s="1"/>
  <c r="L1180" i="4"/>
  <c r="K1180" i="4"/>
  <c r="J1180" i="4"/>
  <c r="Q1180" i="5" s="1"/>
  <c r="P1179" i="4"/>
  <c r="O1179" i="4"/>
  <c r="N1179" i="4"/>
  <c r="M1179" i="4"/>
  <c r="L1179" i="4"/>
  <c r="K1179" i="4"/>
  <c r="J1179" i="4"/>
  <c r="Q1179" i="5" s="1"/>
  <c r="P1178" i="4"/>
  <c r="O1178" i="4"/>
  <c r="N1178" i="4"/>
  <c r="M1178" i="4"/>
  <c r="N1178" i="5" s="1"/>
  <c r="L1178" i="4"/>
  <c r="K1178" i="4"/>
  <c r="J1178" i="4"/>
  <c r="Q1178" i="5" s="1"/>
  <c r="P1177" i="4"/>
  <c r="O1177" i="4"/>
  <c r="N1177" i="4"/>
  <c r="M1177" i="4"/>
  <c r="L1177" i="4"/>
  <c r="K1177" i="4"/>
  <c r="J1177" i="4"/>
  <c r="Q1177" i="5" s="1"/>
  <c r="P1176" i="4"/>
  <c r="O1176" i="4"/>
  <c r="N1176" i="4"/>
  <c r="M1176" i="4"/>
  <c r="N1176" i="5" s="1"/>
  <c r="L1176" i="4"/>
  <c r="K1176" i="4"/>
  <c r="J1176" i="4"/>
  <c r="Q1176" i="5" s="1"/>
  <c r="P1175" i="4"/>
  <c r="O1175" i="4"/>
  <c r="N1175" i="4"/>
  <c r="M1175" i="4"/>
  <c r="L1175" i="4"/>
  <c r="K1175" i="4"/>
  <c r="J1175" i="4"/>
  <c r="Q1175" i="5" s="1"/>
  <c r="P1174" i="4"/>
  <c r="O1174" i="4"/>
  <c r="N1174" i="4"/>
  <c r="M1174" i="4"/>
  <c r="N1174" i="5" s="1"/>
  <c r="L1174" i="4"/>
  <c r="K1174" i="4"/>
  <c r="J1174" i="4"/>
  <c r="Q1174" i="5" s="1"/>
  <c r="P1173" i="4"/>
  <c r="O1173" i="4"/>
  <c r="N1173" i="4"/>
  <c r="M1173" i="4"/>
  <c r="L1173" i="4"/>
  <c r="K1173" i="4"/>
  <c r="J1173" i="4"/>
  <c r="Q1173" i="5" s="1"/>
  <c r="P1172" i="4"/>
  <c r="O1172" i="4"/>
  <c r="N1172" i="4"/>
  <c r="M1172" i="4"/>
  <c r="N1172" i="5" s="1"/>
  <c r="L1172" i="4"/>
  <c r="K1172" i="4"/>
  <c r="J1172" i="4"/>
  <c r="Q1172" i="5" s="1"/>
  <c r="P1171" i="4"/>
  <c r="O1171" i="4"/>
  <c r="N1171" i="4"/>
  <c r="M1171" i="4"/>
  <c r="L1171" i="4"/>
  <c r="K1171" i="4"/>
  <c r="J1171" i="4"/>
  <c r="Q1171" i="5" s="1"/>
  <c r="P1170" i="4"/>
  <c r="O1170" i="4"/>
  <c r="N1170" i="4"/>
  <c r="M1170" i="4"/>
  <c r="N1170" i="5" s="1"/>
  <c r="L1170" i="4"/>
  <c r="K1170" i="4"/>
  <c r="J1170" i="4"/>
  <c r="Q1170" i="5" s="1"/>
  <c r="P1169" i="4"/>
  <c r="O1169" i="4"/>
  <c r="N1169" i="4"/>
  <c r="M1169" i="4"/>
  <c r="L1169" i="4"/>
  <c r="K1169" i="4"/>
  <c r="J1169" i="4"/>
  <c r="Q1169" i="5" s="1"/>
  <c r="P1168" i="4"/>
  <c r="O1168" i="4"/>
  <c r="N1168" i="4"/>
  <c r="M1168" i="4"/>
  <c r="N1168" i="5" s="1"/>
  <c r="L1168" i="4"/>
  <c r="K1168" i="4"/>
  <c r="J1168" i="4"/>
  <c r="Q1168" i="5" s="1"/>
  <c r="P1167" i="4"/>
  <c r="O1167" i="4"/>
  <c r="N1167" i="4"/>
  <c r="M1167" i="4"/>
  <c r="L1167" i="4"/>
  <c r="K1167" i="4"/>
  <c r="J1167" i="4"/>
  <c r="Q1167" i="5" s="1"/>
  <c r="P1166" i="4"/>
  <c r="O1166" i="4"/>
  <c r="N1166" i="4"/>
  <c r="M1166" i="4"/>
  <c r="N1166" i="5" s="1"/>
  <c r="L1166" i="4"/>
  <c r="K1166" i="4"/>
  <c r="J1166" i="4"/>
  <c r="Q1166" i="5" s="1"/>
  <c r="P1165" i="4"/>
  <c r="O1165" i="4"/>
  <c r="N1165" i="4"/>
  <c r="M1165" i="4"/>
  <c r="L1165" i="4"/>
  <c r="K1165" i="4"/>
  <c r="J1165" i="4"/>
  <c r="Q1165" i="5" s="1"/>
  <c r="P1164" i="4"/>
  <c r="O1164" i="4"/>
  <c r="N1164" i="4"/>
  <c r="M1164" i="4"/>
  <c r="N1164" i="5" s="1"/>
  <c r="L1164" i="4"/>
  <c r="K1164" i="4"/>
  <c r="J1164" i="4"/>
  <c r="Q1164" i="5" s="1"/>
  <c r="P1163" i="4"/>
  <c r="O1163" i="4"/>
  <c r="N1163" i="4"/>
  <c r="M1163" i="4"/>
  <c r="L1163" i="4"/>
  <c r="K1163" i="4"/>
  <c r="J1163" i="4"/>
  <c r="Q1163" i="5" s="1"/>
  <c r="P1162" i="4"/>
  <c r="O1162" i="4"/>
  <c r="N1162" i="4"/>
  <c r="M1162" i="4"/>
  <c r="N1162" i="5" s="1"/>
  <c r="L1162" i="4"/>
  <c r="K1162" i="4"/>
  <c r="J1162" i="4"/>
  <c r="Q1162" i="5" s="1"/>
  <c r="P1161" i="4"/>
  <c r="O1161" i="4"/>
  <c r="N1161" i="4"/>
  <c r="M1161" i="4"/>
  <c r="L1161" i="4"/>
  <c r="K1161" i="4"/>
  <c r="J1161" i="4"/>
  <c r="Q1161" i="5" s="1"/>
  <c r="P1160" i="4"/>
  <c r="O1160" i="4"/>
  <c r="N1160" i="4"/>
  <c r="M1160" i="4"/>
  <c r="N1160" i="5" s="1"/>
  <c r="L1160" i="4"/>
  <c r="K1160" i="4"/>
  <c r="J1160" i="4"/>
  <c r="Q1160" i="5" s="1"/>
  <c r="P1159" i="4"/>
  <c r="O1159" i="4"/>
  <c r="N1159" i="4"/>
  <c r="M1159" i="4"/>
  <c r="L1159" i="4"/>
  <c r="K1159" i="4"/>
  <c r="J1159" i="4"/>
  <c r="Q1159" i="5" s="1"/>
  <c r="P1158" i="4"/>
  <c r="O1158" i="4"/>
  <c r="N1158" i="4"/>
  <c r="M1158" i="4"/>
  <c r="N1158" i="5" s="1"/>
  <c r="L1158" i="4"/>
  <c r="K1158" i="4"/>
  <c r="J1158" i="4"/>
  <c r="Q1158" i="5" s="1"/>
  <c r="P1157" i="4"/>
  <c r="O1157" i="4"/>
  <c r="N1157" i="4"/>
  <c r="M1157" i="4"/>
  <c r="L1157" i="4"/>
  <c r="K1157" i="4"/>
  <c r="J1157" i="4"/>
  <c r="Q1157" i="5" s="1"/>
  <c r="P1156" i="4"/>
  <c r="O1156" i="4"/>
  <c r="N1156" i="4"/>
  <c r="M1156" i="4"/>
  <c r="N1156" i="5" s="1"/>
  <c r="L1156" i="4"/>
  <c r="K1156" i="4"/>
  <c r="J1156" i="4"/>
  <c r="Q1156" i="5" s="1"/>
  <c r="P1155" i="4"/>
  <c r="O1155" i="4"/>
  <c r="N1155" i="4"/>
  <c r="M1155" i="4"/>
  <c r="L1155" i="4"/>
  <c r="K1155" i="4"/>
  <c r="J1155" i="4"/>
  <c r="Q1155" i="5" s="1"/>
  <c r="P1154" i="4"/>
  <c r="O1154" i="4"/>
  <c r="N1154" i="4"/>
  <c r="M1154" i="4"/>
  <c r="N1154" i="5" s="1"/>
  <c r="L1154" i="4"/>
  <c r="K1154" i="4"/>
  <c r="J1154" i="4"/>
  <c r="Q1154" i="5" s="1"/>
  <c r="P1153" i="4"/>
  <c r="O1153" i="4"/>
  <c r="N1153" i="4"/>
  <c r="M1153" i="4"/>
  <c r="L1153" i="4"/>
  <c r="K1153" i="4"/>
  <c r="J1153" i="4"/>
  <c r="Q1153" i="5" s="1"/>
  <c r="P1152" i="4"/>
  <c r="O1152" i="4"/>
  <c r="N1152" i="4"/>
  <c r="M1152" i="4"/>
  <c r="N1152" i="5" s="1"/>
  <c r="L1152" i="4"/>
  <c r="K1152" i="4"/>
  <c r="J1152" i="4"/>
  <c r="Q1152" i="5" s="1"/>
  <c r="P1151" i="4"/>
  <c r="O1151" i="4"/>
  <c r="N1151" i="4"/>
  <c r="M1151" i="4"/>
  <c r="L1151" i="4"/>
  <c r="K1151" i="4"/>
  <c r="J1151" i="4"/>
  <c r="Q1151" i="5" s="1"/>
  <c r="P1150" i="4"/>
  <c r="O1150" i="4"/>
  <c r="N1150" i="4"/>
  <c r="M1150" i="4"/>
  <c r="N1150" i="5" s="1"/>
  <c r="L1150" i="4"/>
  <c r="K1150" i="4"/>
  <c r="J1150" i="4"/>
  <c r="Q1150" i="5" s="1"/>
  <c r="P1149" i="4"/>
  <c r="O1149" i="4"/>
  <c r="N1149" i="4"/>
  <c r="M1149" i="4"/>
  <c r="L1149" i="4"/>
  <c r="K1149" i="4"/>
  <c r="J1149" i="4"/>
  <c r="Q1149" i="5" s="1"/>
  <c r="P1148" i="4"/>
  <c r="O1148" i="4"/>
  <c r="N1148" i="4"/>
  <c r="M1148" i="4"/>
  <c r="N1148" i="5" s="1"/>
  <c r="L1148" i="4"/>
  <c r="K1148" i="4"/>
  <c r="J1148" i="4"/>
  <c r="Q1148" i="5" s="1"/>
  <c r="P1147" i="4"/>
  <c r="O1147" i="4"/>
  <c r="N1147" i="4"/>
  <c r="M1147" i="4"/>
  <c r="L1147" i="4"/>
  <c r="K1147" i="4"/>
  <c r="J1147" i="4"/>
  <c r="Q1147" i="5" s="1"/>
  <c r="P1146" i="4"/>
  <c r="O1146" i="4"/>
  <c r="N1146" i="4"/>
  <c r="M1146" i="4"/>
  <c r="N1146" i="5" s="1"/>
  <c r="L1146" i="4"/>
  <c r="K1146" i="4"/>
  <c r="J1146" i="4"/>
  <c r="Q1146" i="5" s="1"/>
  <c r="P1145" i="4"/>
  <c r="O1145" i="4"/>
  <c r="N1145" i="4"/>
  <c r="M1145" i="4"/>
  <c r="L1145" i="4"/>
  <c r="K1145" i="4"/>
  <c r="J1145" i="4"/>
  <c r="Q1145" i="5" s="1"/>
  <c r="P1144" i="4"/>
  <c r="O1144" i="4"/>
  <c r="N1144" i="4"/>
  <c r="M1144" i="4"/>
  <c r="N1144" i="5" s="1"/>
  <c r="L1144" i="4"/>
  <c r="K1144" i="4"/>
  <c r="J1144" i="4"/>
  <c r="Q1144" i="5" s="1"/>
  <c r="P1143" i="4"/>
  <c r="O1143" i="4"/>
  <c r="N1143" i="4"/>
  <c r="M1143" i="4"/>
  <c r="L1143" i="4"/>
  <c r="K1143" i="4"/>
  <c r="J1143" i="4"/>
  <c r="Q1143" i="5" s="1"/>
  <c r="P1142" i="4"/>
  <c r="O1142" i="4"/>
  <c r="N1142" i="4"/>
  <c r="M1142" i="4"/>
  <c r="N1142" i="5" s="1"/>
  <c r="L1142" i="4"/>
  <c r="K1142" i="4"/>
  <c r="J1142" i="4"/>
  <c r="Q1142" i="5" s="1"/>
  <c r="P1141" i="4"/>
  <c r="O1141" i="4"/>
  <c r="N1141" i="4"/>
  <c r="M1141" i="4"/>
  <c r="L1141" i="4"/>
  <c r="K1141" i="4"/>
  <c r="J1141" i="4"/>
  <c r="Q1141" i="5" s="1"/>
  <c r="P1140" i="4"/>
  <c r="O1140" i="4"/>
  <c r="N1140" i="4"/>
  <c r="M1140" i="4"/>
  <c r="N1140" i="5" s="1"/>
  <c r="L1140" i="4"/>
  <c r="K1140" i="4"/>
  <c r="J1140" i="4"/>
  <c r="Q1140" i="5" s="1"/>
  <c r="P1139" i="4"/>
  <c r="O1139" i="4"/>
  <c r="N1139" i="4"/>
  <c r="M1139" i="4"/>
  <c r="L1139" i="4"/>
  <c r="K1139" i="4"/>
  <c r="J1139" i="4"/>
  <c r="Q1139" i="5" s="1"/>
  <c r="P1138" i="4"/>
  <c r="O1138" i="4"/>
  <c r="N1138" i="4"/>
  <c r="M1138" i="4"/>
  <c r="N1138" i="5" s="1"/>
  <c r="L1138" i="4"/>
  <c r="K1138" i="4"/>
  <c r="J1138" i="4"/>
  <c r="Q1138" i="5" s="1"/>
  <c r="P1137" i="4"/>
  <c r="O1137" i="4"/>
  <c r="N1137" i="4"/>
  <c r="M1137" i="4"/>
  <c r="L1137" i="4"/>
  <c r="K1137" i="4"/>
  <c r="J1137" i="4"/>
  <c r="Q1137" i="5" s="1"/>
  <c r="P1136" i="4"/>
  <c r="O1136" i="4"/>
  <c r="N1136" i="4"/>
  <c r="M1136" i="4"/>
  <c r="N1136" i="5" s="1"/>
  <c r="L1136" i="4"/>
  <c r="K1136" i="4"/>
  <c r="J1136" i="4"/>
  <c r="Q1136" i="5" s="1"/>
  <c r="P1135" i="4"/>
  <c r="O1135" i="4"/>
  <c r="N1135" i="4"/>
  <c r="M1135" i="4"/>
  <c r="L1135" i="4"/>
  <c r="K1135" i="4"/>
  <c r="J1135" i="4"/>
  <c r="Q1135" i="5" s="1"/>
  <c r="P1134" i="4"/>
  <c r="O1134" i="4"/>
  <c r="N1134" i="4"/>
  <c r="M1134" i="4"/>
  <c r="N1134" i="5" s="1"/>
  <c r="L1134" i="4"/>
  <c r="K1134" i="4"/>
  <c r="J1134" i="4"/>
  <c r="Q1134" i="5" s="1"/>
  <c r="P1133" i="4"/>
  <c r="O1133" i="4"/>
  <c r="N1133" i="4"/>
  <c r="M1133" i="4"/>
  <c r="L1133" i="4"/>
  <c r="K1133" i="4"/>
  <c r="J1133" i="4"/>
  <c r="Q1133" i="5" s="1"/>
  <c r="P1132" i="4"/>
  <c r="O1132" i="4"/>
  <c r="N1132" i="4"/>
  <c r="M1132" i="4"/>
  <c r="N1132" i="5" s="1"/>
  <c r="L1132" i="4"/>
  <c r="K1132" i="4"/>
  <c r="J1132" i="4"/>
  <c r="Q1132" i="5" s="1"/>
  <c r="P1131" i="4"/>
  <c r="O1131" i="4"/>
  <c r="N1131" i="4"/>
  <c r="M1131" i="4"/>
  <c r="L1131" i="4"/>
  <c r="K1131" i="4"/>
  <c r="J1131" i="4"/>
  <c r="Q1131" i="5" s="1"/>
  <c r="P1130" i="4"/>
  <c r="O1130" i="4"/>
  <c r="N1130" i="4"/>
  <c r="M1130" i="4"/>
  <c r="N1130" i="5" s="1"/>
  <c r="L1130" i="4"/>
  <c r="K1130" i="4"/>
  <c r="J1130" i="4"/>
  <c r="Q1130" i="5" s="1"/>
  <c r="P1129" i="4"/>
  <c r="O1129" i="4"/>
  <c r="N1129" i="4"/>
  <c r="M1129" i="4"/>
  <c r="L1129" i="4"/>
  <c r="K1129" i="4"/>
  <c r="J1129" i="4"/>
  <c r="Q1129" i="5" s="1"/>
  <c r="P1128" i="4"/>
  <c r="O1128" i="4"/>
  <c r="N1128" i="4"/>
  <c r="M1128" i="4"/>
  <c r="N1128" i="5" s="1"/>
  <c r="L1128" i="4"/>
  <c r="K1128" i="4"/>
  <c r="J1128" i="4"/>
  <c r="Q1128" i="5" s="1"/>
  <c r="P1127" i="4"/>
  <c r="O1127" i="4"/>
  <c r="N1127" i="4"/>
  <c r="M1127" i="4"/>
  <c r="L1127" i="4"/>
  <c r="K1127" i="4"/>
  <c r="J1127" i="4"/>
  <c r="Q1127" i="5" s="1"/>
  <c r="P1126" i="4"/>
  <c r="O1126" i="4"/>
  <c r="N1126" i="4"/>
  <c r="M1126" i="4"/>
  <c r="N1126" i="5" s="1"/>
  <c r="L1126" i="4"/>
  <c r="K1126" i="4"/>
  <c r="J1126" i="4"/>
  <c r="Q1126" i="5" s="1"/>
  <c r="P1125" i="4"/>
  <c r="O1125" i="4"/>
  <c r="N1125" i="4"/>
  <c r="M1125" i="4"/>
  <c r="L1125" i="4"/>
  <c r="K1125" i="4"/>
  <c r="J1125" i="4"/>
  <c r="Q1125" i="5" s="1"/>
  <c r="P1124" i="4"/>
  <c r="O1124" i="4"/>
  <c r="N1124" i="4"/>
  <c r="M1124" i="4"/>
  <c r="N1124" i="5" s="1"/>
  <c r="L1124" i="4"/>
  <c r="K1124" i="4"/>
  <c r="J1124" i="4"/>
  <c r="Q1124" i="5" s="1"/>
  <c r="P1123" i="4"/>
  <c r="O1123" i="4"/>
  <c r="N1123" i="4"/>
  <c r="M1123" i="4"/>
  <c r="L1123" i="4"/>
  <c r="K1123" i="4"/>
  <c r="J1123" i="4"/>
  <c r="Q1123" i="5" s="1"/>
  <c r="P1122" i="4"/>
  <c r="O1122" i="4"/>
  <c r="N1122" i="4"/>
  <c r="M1122" i="4"/>
  <c r="N1122" i="5" s="1"/>
  <c r="L1122" i="4"/>
  <c r="K1122" i="4"/>
  <c r="J1122" i="4"/>
  <c r="Q1122" i="5" s="1"/>
  <c r="P1121" i="4"/>
  <c r="O1121" i="4"/>
  <c r="N1121" i="4"/>
  <c r="M1121" i="4"/>
  <c r="L1121" i="4"/>
  <c r="K1121" i="4"/>
  <c r="J1121" i="4"/>
  <c r="Q1121" i="5" s="1"/>
  <c r="P1120" i="4"/>
  <c r="O1120" i="4"/>
  <c r="N1120" i="4"/>
  <c r="M1120" i="4"/>
  <c r="N1120" i="5" s="1"/>
  <c r="L1120" i="4"/>
  <c r="K1120" i="4"/>
  <c r="J1120" i="4"/>
  <c r="Q1120" i="5" s="1"/>
  <c r="P1119" i="4"/>
  <c r="O1119" i="4"/>
  <c r="N1119" i="4"/>
  <c r="M1119" i="4"/>
  <c r="L1119" i="4"/>
  <c r="K1119" i="4"/>
  <c r="J1119" i="4"/>
  <c r="Q1119" i="5" s="1"/>
  <c r="P1118" i="4"/>
  <c r="O1118" i="4"/>
  <c r="N1118" i="4"/>
  <c r="M1118" i="4"/>
  <c r="N1118" i="5" s="1"/>
  <c r="L1118" i="4"/>
  <c r="K1118" i="4"/>
  <c r="J1118" i="4"/>
  <c r="Q1118" i="5" s="1"/>
  <c r="P1117" i="4"/>
  <c r="O1117" i="4"/>
  <c r="N1117" i="4"/>
  <c r="M1117" i="4"/>
  <c r="L1117" i="4"/>
  <c r="K1117" i="4"/>
  <c r="J1117" i="4"/>
  <c r="Q1117" i="5" s="1"/>
  <c r="P1116" i="4"/>
  <c r="O1116" i="4"/>
  <c r="N1116" i="4"/>
  <c r="M1116" i="4"/>
  <c r="N1116" i="5" s="1"/>
  <c r="L1116" i="4"/>
  <c r="K1116" i="4"/>
  <c r="J1116" i="4"/>
  <c r="Q1116" i="5" s="1"/>
  <c r="P1115" i="4"/>
  <c r="O1115" i="4"/>
  <c r="N1115" i="4"/>
  <c r="M1115" i="4"/>
  <c r="L1115" i="4"/>
  <c r="K1115" i="4"/>
  <c r="J1115" i="4"/>
  <c r="Q1115" i="5" s="1"/>
  <c r="P1114" i="4"/>
  <c r="O1114" i="4"/>
  <c r="N1114" i="4"/>
  <c r="M1114" i="4"/>
  <c r="N1114" i="5" s="1"/>
  <c r="L1114" i="4"/>
  <c r="K1114" i="4"/>
  <c r="J1114" i="4"/>
  <c r="Q1114" i="5" s="1"/>
  <c r="P1113" i="4"/>
  <c r="O1113" i="4"/>
  <c r="N1113" i="4"/>
  <c r="M1113" i="4"/>
  <c r="L1113" i="4"/>
  <c r="K1113" i="4"/>
  <c r="J1113" i="4"/>
  <c r="Q1113" i="5" s="1"/>
  <c r="P1112" i="4"/>
  <c r="O1112" i="4"/>
  <c r="N1112" i="4"/>
  <c r="M1112" i="4"/>
  <c r="N1112" i="5" s="1"/>
  <c r="L1112" i="4"/>
  <c r="K1112" i="4"/>
  <c r="J1112" i="4"/>
  <c r="Q1112" i="5" s="1"/>
  <c r="P1111" i="4"/>
  <c r="O1111" i="4"/>
  <c r="N1111" i="4"/>
  <c r="M1111" i="4"/>
  <c r="L1111" i="4"/>
  <c r="K1111" i="4"/>
  <c r="J1111" i="4"/>
  <c r="Q1111" i="5" s="1"/>
  <c r="P1110" i="4"/>
  <c r="O1110" i="4"/>
  <c r="N1110" i="4"/>
  <c r="M1110" i="4"/>
  <c r="N1110" i="5" s="1"/>
  <c r="L1110" i="4"/>
  <c r="K1110" i="4"/>
  <c r="J1110" i="4"/>
  <c r="Q1110" i="5" s="1"/>
  <c r="P1109" i="4"/>
  <c r="O1109" i="4"/>
  <c r="N1109" i="4"/>
  <c r="M1109" i="4"/>
  <c r="L1109" i="4"/>
  <c r="K1109" i="4"/>
  <c r="J1109" i="4"/>
  <c r="Q1109" i="5" s="1"/>
  <c r="P1108" i="4"/>
  <c r="O1108" i="4"/>
  <c r="N1108" i="4"/>
  <c r="M1108" i="4"/>
  <c r="N1108" i="5" s="1"/>
  <c r="L1108" i="4"/>
  <c r="K1108" i="4"/>
  <c r="J1108" i="4"/>
  <c r="Q1108" i="5" s="1"/>
  <c r="P1107" i="4"/>
  <c r="O1107" i="4"/>
  <c r="N1107" i="4"/>
  <c r="M1107" i="4"/>
  <c r="L1107" i="4"/>
  <c r="K1107" i="4"/>
  <c r="J1107" i="4"/>
  <c r="Q1107" i="5" s="1"/>
  <c r="P1106" i="4"/>
  <c r="O1106" i="4"/>
  <c r="N1106" i="4"/>
  <c r="M1106" i="4"/>
  <c r="N1106" i="5" s="1"/>
  <c r="L1106" i="4"/>
  <c r="K1106" i="4"/>
  <c r="J1106" i="4"/>
  <c r="Q1106" i="5" s="1"/>
  <c r="P1105" i="4"/>
  <c r="O1105" i="4"/>
  <c r="N1105" i="4"/>
  <c r="M1105" i="4"/>
  <c r="L1105" i="4"/>
  <c r="K1105" i="4"/>
  <c r="J1105" i="4"/>
  <c r="Q1105" i="5" s="1"/>
  <c r="P1104" i="4"/>
  <c r="O1104" i="4"/>
  <c r="N1104" i="4"/>
  <c r="M1104" i="4"/>
  <c r="N1104" i="5" s="1"/>
  <c r="L1104" i="4"/>
  <c r="K1104" i="4"/>
  <c r="J1104" i="4"/>
  <c r="Q1104" i="5" s="1"/>
  <c r="P1103" i="4"/>
  <c r="O1103" i="4"/>
  <c r="N1103" i="4"/>
  <c r="M1103" i="4"/>
  <c r="L1103" i="4"/>
  <c r="K1103" i="4"/>
  <c r="J1103" i="4"/>
  <c r="Q1103" i="5" s="1"/>
  <c r="P1102" i="4"/>
  <c r="O1102" i="4"/>
  <c r="N1102" i="4"/>
  <c r="M1102" i="4"/>
  <c r="N1102" i="5" s="1"/>
  <c r="L1102" i="4"/>
  <c r="K1102" i="4"/>
  <c r="J1102" i="4"/>
  <c r="Q1102" i="5" s="1"/>
  <c r="P1101" i="4"/>
  <c r="O1101" i="4"/>
  <c r="N1101" i="4"/>
  <c r="M1101" i="4"/>
  <c r="L1101" i="4"/>
  <c r="K1101" i="4"/>
  <c r="J1101" i="4"/>
  <c r="Q1101" i="5" s="1"/>
  <c r="P1100" i="4"/>
  <c r="O1100" i="4"/>
  <c r="N1100" i="4"/>
  <c r="M1100" i="4"/>
  <c r="N1100" i="5" s="1"/>
  <c r="L1100" i="4"/>
  <c r="K1100" i="4"/>
  <c r="J1100" i="4"/>
  <c r="Q1100" i="5" s="1"/>
  <c r="P1099" i="4"/>
  <c r="O1099" i="4"/>
  <c r="N1099" i="4"/>
  <c r="M1099" i="4"/>
  <c r="L1099" i="4"/>
  <c r="K1099" i="4"/>
  <c r="J1099" i="4"/>
  <c r="Q1099" i="5" s="1"/>
  <c r="P1098" i="4"/>
  <c r="O1098" i="4"/>
  <c r="N1098" i="4"/>
  <c r="M1098" i="4"/>
  <c r="N1098" i="5" s="1"/>
  <c r="L1098" i="4"/>
  <c r="K1098" i="4"/>
  <c r="J1098" i="4"/>
  <c r="Q1098" i="5" s="1"/>
  <c r="P1097" i="4"/>
  <c r="O1097" i="4"/>
  <c r="N1097" i="4"/>
  <c r="M1097" i="4"/>
  <c r="L1097" i="4"/>
  <c r="K1097" i="4"/>
  <c r="J1097" i="4"/>
  <c r="Q1097" i="5" s="1"/>
  <c r="P1096" i="4"/>
  <c r="O1096" i="4"/>
  <c r="N1096" i="4"/>
  <c r="M1096" i="4"/>
  <c r="N1096" i="5" s="1"/>
  <c r="L1096" i="4"/>
  <c r="K1096" i="4"/>
  <c r="J1096" i="4"/>
  <c r="Q1096" i="5" s="1"/>
  <c r="P1095" i="4"/>
  <c r="O1095" i="4"/>
  <c r="N1095" i="4"/>
  <c r="M1095" i="4"/>
  <c r="L1095" i="4"/>
  <c r="K1095" i="4"/>
  <c r="J1095" i="4"/>
  <c r="Q1095" i="5" s="1"/>
  <c r="P1094" i="4"/>
  <c r="O1094" i="4"/>
  <c r="N1094" i="4"/>
  <c r="M1094" i="4"/>
  <c r="N1094" i="5" s="1"/>
  <c r="L1094" i="4"/>
  <c r="K1094" i="4"/>
  <c r="J1094" i="4"/>
  <c r="Q1094" i="5" s="1"/>
  <c r="P1093" i="4"/>
  <c r="O1093" i="4"/>
  <c r="N1093" i="4"/>
  <c r="M1093" i="4"/>
  <c r="L1093" i="4"/>
  <c r="K1093" i="4"/>
  <c r="J1093" i="4"/>
  <c r="Q1093" i="5" s="1"/>
  <c r="P1092" i="4"/>
  <c r="O1092" i="4"/>
  <c r="N1092" i="4"/>
  <c r="M1092" i="4"/>
  <c r="N1092" i="5" s="1"/>
  <c r="L1092" i="4"/>
  <c r="K1092" i="4"/>
  <c r="J1092" i="4"/>
  <c r="Q1092" i="5" s="1"/>
  <c r="P1091" i="4"/>
  <c r="O1091" i="4"/>
  <c r="N1091" i="4"/>
  <c r="M1091" i="4"/>
  <c r="L1091" i="4"/>
  <c r="K1091" i="4"/>
  <c r="J1091" i="4"/>
  <c r="Q1091" i="5" s="1"/>
  <c r="P1090" i="4"/>
  <c r="O1090" i="4"/>
  <c r="N1090" i="4"/>
  <c r="M1090" i="4"/>
  <c r="N1090" i="5" s="1"/>
  <c r="L1090" i="4"/>
  <c r="K1090" i="4"/>
  <c r="J1090" i="4"/>
  <c r="Q1090" i="5" s="1"/>
  <c r="P1089" i="4"/>
  <c r="O1089" i="4"/>
  <c r="N1089" i="4"/>
  <c r="M1089" i="4"/>
  <c r="L1089" i="4"/>
  <c r="K1089" i="4"/>
  <c r="J1089" i="4"/>
  <c r="Q1089" i="5" s="1"/>
  <c r="P1088" i="4"/>
  <c r="O1088" i="4"/>
  <c r="N1088" i="4"/>
  <c r="M1088" i="4"/>
  <c r="N1088" i="5" s="1"/>
  <c r="L1088" i="4"/>
  <c r="K1088" i="4"/>
  <c r="J1088" i="4"/>
  <c r="Q1088" i="5" s="1"/>
  <c r="P1087" i="4"/>
  <c r="O1087" i="4"/>
  <c r="N1087" i="4"/>
  <c r="M1087" i="4"/>
  <c r="L1087" i="4"/>
  <c r="K1087" i="4"/>
  <c r="J1087" i="4"/>
  <c r="Q1087" i="5" s="1"/>
  <c r="P1086" i="4"/>
  <c r="O1086" i="4"/>
  <c r="N1086" i="4"/>
  <c r="M1086" i="4"/>
  <c r="N1086" i="5" s="1"/>
  <c r="L1086" i="4"/>
  <c r="K1086" i="4"/>
  <c r="J1086" i="4"/>
  <c r="Q1086" i="5" s="1"/>
  <c r="P1085" i="4"/>
  <c r="O1085" i="4"/>
  <c r="N1085" i="4"/>
  <c r="M1085" i="4"/>
  <c r="L1085" i="4"/>
  <c r="K1085" i="4"/>
  <c r="J1085" i="4"/>
  <c r="Q1085" i="5" s="1"/>
  <c r="P1084" i="4"/>
  <c r="O1084" i="4"/>
  <c r="N1084" i="4"/>
  <c r="M1084" i="4"/>
  <c r="N1084" i="5" s="1"/>
  <c r="L1084" i="4"/>
  <c r="K1084" i="4"/>
  <c r="J1084" i="4"/>
  <c r="Q1084" i="5" s="1"/>
  <c r="P1083" i="4"/>
  <c r="O1083" i="4"/>
  <c r="N1083" i="4"/>
  <c r="M1083" i="4"/>
  <c r="L1083" i="4"/>
  <c r="K1083" i="4"/>
  <c r="J1083" i="4"/>
  <c r="Q1083" i="5" s="1"/>
  <c r="P1082" i="4"/>
  <c r="O1082" i="4"/>
  <c r="N1082" i="4"/>
  <c r="M1082" i="4"/>
  <c r="N1082" i="5" s="1"/>
  <c r="L1082" i="4"/>
  <c r="K1082" i="4"/>
  <c r="J1082" i="4"/>
  <c r="Q1082" i="5" s="1"/>
  <c r="P1081" i="4"/>
  <c r="O1081" i="4"/>
  <c r="N1081" i="4"/>
  <c r="M1081" i="4"/>
  <c r="L1081" i="4"/>
  <c r="K1081" i="4"/>
  <c r="J1081" i="4"/>
  <c r="Q1081" i="5" s="1"/>
  <c r="P1080" i="4"/>
  <c r="O1080" i="4"/>
  <c r="N1080" i="4"/>
  <c r="M1080" i="4"/>
  <c r="N1080" i="5" s="1"/>
  <c r="L1080" i="4"/>
  <c r="K1080" i="4"/>
  <c r="J1080" i="4"/>
  <c r="Q1080" i="5" s="1"/>
  <c r="P1079" i="4"/>
  <c r="O1079" i="4"/>
  <c r="N1079" i="4"/>
  <c r="M1079" i="4"/>
  <c r="L1079" i="4"/>
  <c r="K1079" i="4"/>
  <c r="J1079" i="4"/>
  <c r="Q1079" i="5" s="1"/>
  <c r="P1078" i="4"/>
  <c r="O1078" i="4"/>
  <c r="N1078" i="4"/>
  <c r="M1078" i="4"/>
  <c r="N1078" i="5" s="1"/>
  <c r="L1078" i="4"/>
  <c r="K1078" i="4"/>
  <c r="J1078" i="4"/>
  <c r="Q1078" i="5" s="1"/>
  <c r="P1077" i="4"/>
  <c r="O1077" i="4"/>
  <c r="N1077" i="4"/>
  <c r="M1077" i="4"/>
  <c r="L1077" i="4"/>
  <c r="K1077" i="4"/>
  <c r="J1077" i="4"/>
  <c r="Q1077" i="5" s="1"/>
  <c r="P1076" i="4"/>
  <c r="O1076" i="4"/>
  <c r="N1076" i="4"/>
  <c r="M1076" i="4"/>
  <c r="N1076" i="5" s="1"/>
  <c r="L1076" i="4"/>
  <c r="K1076" i="4"/>
  <c r="J1076" i="4"/>
  <c r="Q1076" i="5" s="1"/>
  <c r="P1075" i="4"/>
  <c r="O1075" i="4"/>
  <c r="N1075" i="4"/>
  <c r="M1075" i="4"/>
  <c r="L1075" i="4"/>
  <c r="K1075" i="4"/>
  <c r="J1075" i="4"/>
  <c r="Q1075" i="5" s="1"/>
  <c r="P1074" i="4"/>
  <c r="O1074" i="4"/>
  <c r="N1074" i="4"/>
  <c r="M1074" i="4"/>
  <c r="N1074" i="5" s="1"/>
  <c r="L1074" i="4"/>
  <c r="K1074" i="4"/>
  <c r="J1074" i="4"/>
  <c r="Q1074" i="5" s="1"/>
  <c r="P1073" i="4"/>
  <c r="O1073" i="4"/>
  <c r="N1073" i="4"/>
  <c r="M1073" i="4"/>
  <c r="L1073" i="4"/>
  <c r="K1073" i="4"/>
  <c r="J1073" i="4"/>
  <c r="Q1073" i="5" s="1"/>
  <c r="P1072" i="4"/>
  <c r="O1072" i="4"/>
  <c r="N1072" i="4"/>
  <c r="M1072" i="4"/>
  <c r="N1072" i="5" s="1"/>
  <c r="L1072" i="4"/>
  <c r="K1072" i="4"/>
  <c r="J1072" i="4"/>
  <c r="Q1072" i="5" s="1"/>
  <c r="P1071" i="4"/>
  <c r="O1071" i="4"/>
  <c r="N1071" i="4"/>
  <c r="M1071" i="4"/>
  <c r="L1071" i="4"/>
  <c r="K1071" i="4"/>
  <c r="J1071" i="4"/>
  <c r="Q1071" i="5" s="1"/>
  <c r="P1070" i="4"/>
  <c r="O1070" i="4"/>
  <c r="N1070" i="4"/>
  <c r="M1070" i="4"/>
  <c r="N1070" i="5" s="1"/>
  <c r="L1070" i="4"/>
  <c r="K1070" i="4"/>
  <c r="J1070" i="4"/>
  <c r="Q1070" i="5" s="1"/>
  <c r="P1069" i="4"/>
  <c r="O1069" i="4"/>
  <c r="N1069" i="4"/>
  <c r="M1069" i="4"/>
  <c r="L1069" i="4"/>
  <c r="K1069" i="4"/>
  <c r="J1069" i="4"/>
  <c r="Q1069" i="5" s="1"/>
  <c r="P1068" i="4"/>
  <c r="O1068" i="4"/>
  <c r="N1068" i="4"/>
  <c r="M1068" i="4"/>
  <c r="N1068" i="5" s="1"/>
  <c r="L1068" i="4"/>
  <c r="K1068" i="4"/>
  <c r="J1068" i="4"/>
  <c r="Q1068" i="5" s="1"/>
  <c r="P1067" i="4"/>
  <c r="O1067" i="4"/>
  <c r="N1067" i="4"/>
  <c r="M1067" i="4"/>
  <c r="L1067" i="4"/>
  <c r="K1067" i="4"/>
  <c r="J1067" i="4"/>
  <c r="Q1067" i="5" s="1"/>
  <c r="P1066" i="4"/>
  <c r="O1066" i="4"/>
  <c r="N1066" i="4"/>
  <c r="M1066" i="4"/>
  <c r="N1066" i="5" s="1"/>
  <c r="L1066" i="4"/>
  <c r="K1066" i="4"/>
  <c r="J1066" i="4"/>
  <c r="Q1066" i="5" s="1"/>
  <c r="P1065" i="4"/>
  <c r="O1065" i="4"/>
  <c r="N1065" i="4"/>
  <c r="M1065" i="4"/>
  <c r="L1065" i="4"/>
  <c r="K1065" i="4"/>
  <c r="J1065" i="4"/>
  <c r="Q1065" i="5" s="1"/>
  <c r="P1064" i="4"/>
  <c r="O1064" i="4"/>
  <c r="N1064" i="4"/>
  <c r="M1064" i="4"/>
  <c r="N1064" i="5" s="1"/>
  <c r="L1064" i="4"/>
  <c r="K1064" i="4"/>
  <c r="J1064" i="4"/>
  <c r="Q1064" i="5" s="1"/>
  <c r="P1063" i="4"/>
  <c r="O1063" i="4"/>
  <c r="N1063" i="4"/>
  <c r="M1063" i="4"/>
  <c r="L1063" i="4"/>
  <c r="K1063" i="4"/>
  <c r="J1063" i="4"/>
  <c r="Q1063" i="5" s="1"/>
  <c r="P1062" i="4"/>
  <c r="O1062" i="4"/>
  <c r="N1062" i="4"/>
  <c r="M1062" i="4"/>
  <c r="N1062" i="5" s="1"/>
  <c r="L1062" i="4"/>
  <c r="K1062" i="4"/>
  <c r="J1062" i="4"/>
  <c r="Q1062" i="5" s="1"/>
  <c r="P1061" i="4"/>
  <c r="O1061" i="4"/>
  <c r="N1061" i="4"/>
  <c r="M1061" i="4"/>
  <c r="L1061" i="4"/>
  <c r="K1061" i="4"/>
  <c r="J1061" i="4"/>
  <c r="Q1061" i="5" s="1"/>
  <c r="P1060" i="4"/>
  <c r="O1060" i="4"/>
  <c r="N1060" i="4"/>
  <c r="M1060" i="4"/>
  <c r="N1060" i="5" s="1"/>
  <c r="L1060" i="4"/>
  <c r="K1060" i="4"/>
  <c r="J1060" i="4"/>
  <c r="Q1060" i="5" s="1"/>
  <c r="P1059" i="4"/>
  <c r="O1059" i="4"/>
  <c r="N1059" i="4"/>
  <c r="M1059" i="4"/>
  <c r="L1059" i="4"/>
  <c r="K1059" i="4"/>
  <c r="J1059" i="4"/>
  <c r="Q1059" i="5" s="1"/>
  <c r="P1058" i="4"/>
  <c r="O1058" i="4"/>
  <c r="N1058" i="4"/>
  <c r="M1058" i="4"/>
  <c r="N1058" i="5" s="1"/>
  <c r="L1058" i="4"/>
  <c r="K1058" i="4"/>
  <c r="J1058" i="4"/>
  <c r="Q1058" i="5" s="1"/>
  <c r="P1057" i="4"/>
  <c r="O1057" i="4"/>
  <c r="N1057" i="4"/>
  <c r="M1057" i="4"/>
  <c r="L1057" i="4"/>
  <c r="K1057" i="4"/>
  <c r="J1057" i="4"/>
  <c r="Q1057" i="5" s="1"/>
  <c r="P1056" i="4"/>
  <c r="O1056" i="4"/>
  <c r="N1056" i="4"/>
  <c r="M1056" i="4"/>
  <c r="N1056" i="5" s="1"/>
  <c r="L1056" i="4"/>
  <c r="K1056" i="4"/>
  <c r="J1056" i="4"/>
  <c r="Q1056" i="5" s="1"/>
  <c r="P1055" i="4"/>
  <c r="O1055" i="4"/>
  <c r="N1055" i="4"/>
  <c r="M1055" i="4"/>
  <c r="L1055" i="4"/>
  <c r="K1055" i="4"/>
  <c r="J1055" i="4"/>
  <c r="Q1055" i="5" s="1"/>
  <c r="P1054" i="4"/>
  <c r="O1054" i="4"/>
  <c r="N1054" i="4"/>
  <c r="M1054" i="4"/>
  <c r="N1054" i="5" s="1"/>
  <c r="L1054" i="4"/>
  <c r="K1054" i="4"/>
  <c r="J1054" i="4"/>
  <c r="Q1054" i="5" s="1"/>
  <c r="P1053" i="4"/>
  <c r="O1053" i="4"/>
  <c r="N1053" i="4"/>
  <c r="M1053" i="4"/>
  <c r="L1053" i="4"/>
  <c r="K1053" i="4"/>
  <c r="J1053" i="4"/>
  <c r="Q1053" i="5" s="1"/>
  <c r="P1052" i="4"/>
  <c r="O1052" i="4"/>
  <c r="N1052" i="4"/>
  <c r="M1052" i="4"/>
  <c r="N1052" i="5" s="1"/>
  <c r="L1052" i="4"/>
  <c r="K1052" i="4"/>
  <c r="J1052" i="4"/>
  <c r="Q1052" i="5" s="1"/>
  <c r="P1051" i="4"/>
  <c r="O1051" i="4"/>
  <c r="N1051" i="4"/>
  <c r="M1051" i="4"/>
  <c r="L1051" i="4"/>
  <c r="K1051" i="4"/>
  <c r="J1051" i="4"/>
  <c r="Q1051" i="5" s="1"/>
  <c r="P1050" i="4"/>
  <c r="O1050" i="4"/>
  <c r="N1050" i="4"/>
  <c r="M1050" i="4"/>
  <c r="N1050" i="5" s="1"/>
  <c r="L1050" i="4"/>
  <c r="K1050" i="4"/>
  <c r="J1050" i="4"/>
  <c r="Q1050" i="5" s="1"/>
  <c r="P1049" i="4"/>
  <c r="O1049" i="4"/>
  <c r="N1049" i="4"/>
  <c r="M1049" i="4"/>
  <c r="L1049" i="4"/>
  <c r="K1049" i="4"/>
  <c r="J1049" i="4"/>
  <c r="Q1049" i="5" s="1"/>
  <c r="P1048" i="4"/>
  <c r="O1048" i="4"/>
  <c r="N1048" i="4"/>
  <c r="M1048" i="4"/>
  <c r="N1048" i="5" s="1"/>
  <c r="L1048" i="4"/>
  <c r="K1048" i="4"/>
  <c r="J1048" i="4"/>
  <c r="Q1048" i="5" s="1"/>
  <c r="P1047" i="4"/>
  <c r="O1047" i="4"/>
  <c r="N1047" i="4"/>
  <c r="M1047" i="4"/>
  <c r="L1047" i="4"/>
  <c r="K1047" i="4"/>
  <c r="J1047" i="4"/>
  <c r="Q1047" i="5" s="1"/>
  <c r="P1046" i="4"/>
  <c r="O1046" i="4"/>
  <c r="N1046" i="4"/>
  <c r="M1046" i="4"/>
  <c r="N1046" i="5" s="1"/>
  <c r="L1046" i="4"/>
  <c r="K1046" i="4"/>
  <c r="J1046" i="4"/>
  <c r="Q1046" i="5" s="1"/>
  <c r="P1045" i="4"/>
  <c r="O1045" i="4"/>
  <c r="N1045" i="4"/>
  <c r="M1045" i="4"/>
  <c r="L1045" i="4"/>
  <c r="K1045" i="4"/>
  <c r="J1045" i="4"/>
  <c r="Q1045" i="5" s="1"/>
  <c r="P1044" i="4"/>
  <c r="O1044" i="4"/>
  <c r="N1044" i="4"/>
  <c r="M1044" i="4"/>
  <c r="N1044" i="5" s="1"/>
  <c r="L1044" i="4"/>
  <c r="K1044" i="4"/>
  <c r="J1044" i="4"/>
  <c r="Q1044" i="5" s="1"/>
  <c r="P1043" i="4"/>
  <c r="O1043" i="4"/>
  <c r="N1043" i="4"/>
  <c r="M1043" i="4"/>
  <c r="L1043" i="4"/>
  <c r="K1043" i="4"/>
  <c r="J1043" i="4"/>
  <c r="Q1043" i="5" s="1"/>
  <c r="P1042" i="4"/>
  <c r="O1042" i="4"/>
  <c r="N1042" i="4"/>
  <c r="M1042" i="4"/>
  <c r="N1042" i="5" s="1"/>
  <c r="L1042" i="4"/>
  <c r="K1042" i="4"/>
  <c r="J1042" i="4"/>
  <c r="Q1042" i="5" s="1"/>
  <c r="P1041" i="4"/>
  <c r="O1041" i="4"/>
  <c r="N1041" i="4"/>
  <c r="M1041" i="4"/>
  <c r="L1041" i="4"/>
  <c r="K1041" i="4"/>
  <c r="J1041" i="4"/>
  <c r="Q1041" i="5" s="1"/>
  <c r="P1040" i="4"/>
  <c r="O1040" i="4"/>
  <c r="N1040" i="4"/>
  <c r="M1040" i="4"/>
  <c r="N1040" i="5" s="1"/>
  <c r="L1040" i="4"/>
  <c r="K1040" i="4"/>
  <c r="J1040" i="4"/>
  <c r="Q1040" i="5" s="1"/>
  <c r="P1039" i="4"/>
  <c r="O1039" i="4"/>
  <c r="N1039" i="4"/>
  <c r="M1039" i="4"/>
  <c r="L1039" i="4"/>
  <c r="K1039" i="4"/>
  <c r="J1039" i="4"/>
  <c r="Q1039" i="5" s="1"/>
  <c r="P1038" i="4"/>
  <c r="O1038" i="4"/>
  <c r="N1038" i="4"/>
  <c r="M1038" i="4"/>
  <c r="N1038" i="5" s="1"/>
  <c r="L1038" i="4"/>
  <c r="K1038" i="4"/>
  <c r="J1038" i="4"/>
  <c r="Q1038" i="5" s="1"/>
  <c r="P1037" i="4"/>
  <c r="O1037" i="4"/>
  <c r="N1037" i="4"/>
  <c r="M1037" i="4"/>
  <c r="L1037" i="4"/>
  <c r="K1037" i="4"/>
  <c r="J1037" i="4"/>
  <c r="Q1037" i="5" s="1"/>
  <c r="P1036" i="4"/>
  <c r="O1036" i="4"/>
  <c r="N1036" i="4"/>
  <c r="M1036" i="4"/>
  <c r="N1036" i="5" s="1"/>
  <c r="L1036" i="4"/>
  <c r="K1036" i="4"/>
  <c r="J1036" i="4"/>
  <c r="Q1036" i="5" s="1"/>
  <c r="P1035" i="4"/>
  <c r="O1035" i="4"/>
  <c r="N1035" i="4"/>
  <c r="M1035" i="4"/>
  <c r="L1035" i="4"/>
  <c r="K1035" i="4"/>
  <c r="J1035" i="4"/>
  <c r="Q1035" i="5" s="1"/>
  <c r="P1034" i="4"/>
  <c r="O1034" i="4"/>
  <c r="N1034" i="4"/>
  <c r="M1034" i="4"/>
  <c r="N1034" i="5" s="1"/>
  <c r="L1034" i="4"/>
  <c r="K1034" i="4"/>
  <c r="J1034" i="4"/>
  <c r="Q1034" i="5" s="1"/>
  <c r="P1033" i="4"/>
  <c r="O1033" i="4"/>
  <c r="N1033" i="4"/>
  <c r="M1033" i="4"/>
  <c r="L1033" i="4"/>
  <c r="K1033" i="4"/>
  <c r="J1033" i="4"/>
  <c r="Q1033" i="5" s="1"/>
  <c r="P1032" i="4"/>
  <c r="O1032" i="4"/>
  <c r="N1032" i="4"/>
  <c r="M1032" i="4"/>
  <c r="N1032" i="5" s="1"/>
  <c r="L1032" i="4"/>
  <c r="K1032" i="4"/>
  <c r="J1032" i="4"/>
  <c r="Q1032" i="5" s="1"/>
  <c r="P1031" i="4"/>
  <c r="O1031" i="4"/>
  <c r="N1031" i="4"/>
  <c r="M1031" i="4"/>
  <c r="L1031" i="4"/>
  <c r="K1031" i="4"/>
  <c r="J1031" i="4"/>
  <c r="Q1031" i="5" s="1"/>
  <c r="P1030" i="4"/>
  <c r="O1030" i="4"/>
  <c r="N1030" i="4"/>
  <c r="M1030" i="4"/>
  <c r="N1030" i="5" s="1"/>
  <c r="L1030" i="4"/>
  <c r="K1030" i="4"/>
  <c r="J1030" i="4"/>
  <c r="Q1030" i="5" s="1"/>
  <c r="P1029" i="4"/>
  <c r="O1029" i="4"/>
  <c r="N1029" i="4"/>
  <c r="M1029" i="4"/>
  <c r="L1029" i="4"/>
  <c r="K1029" i="4"/>
  <c r="J1029" i="4"/>
  <c r="Q1029" i="5" s="1"/>
  <c r="P1028" i="4"/>
  <c r="O1028" i="4"/>
  <c r="N1028" i="4"/>
  <c r="M1028" i="4"/>
  <c r="N1028" i="5" s="1"/>
  <c r="L1028" i="4"/>
  <c r="K1028" i="4"/>
  <c r="J1028" i="4"/>
  <c r="Q1028" i="5" s="1"/>
  <c r="P1027" i="4"/>
  <c r="O1027" i="4"/>
  <c r="N1027" i="4"/>
  <c r="M1027" i="4"/>
  <c r="L1027" i="4"/>
  <c r="K1027" i="4"/>
  <c r="J1027" i="4"/>
  <c r="Q1027" i="5" s="1"/>
  <c r="P1026" i="4"/>
  <c r="O1026" i="4"/>
  <c r="N1026" i="4"/>
  <c r="M1026" i="4"/>
  <c r="N1026" i="5" s="1"/>
  <c r="L1026" i="4"/>
  <c r="K1026" i="4"/>
  <c r="J1026" i="4"/>
  <c r="Q1026" i="5" s="1"/>
  <c r="P1025" i="4"/>
  <c r="O1025" i="4"/>
  <c r="N1025" i="4"/>
  <c r="M1025" i="4"/>
  <c r="L1025" i="4"/>
  <c r="K1025" i="4"/>
  <c r="J1025" i="4"/>
  <c r="Q1025" i="5" s="1"/>
  <c r="P1024" i="4"/>
  <c r="O1024" i="4"/>
  <c r="N1024" i="4"/>
  <c r="M1024" i="4"/>
  <c r="N1024" i="5" s="1"/>
  <c r="L1024" i="4"/>
  <c r="K1024" i="4"/>
  <c r="J1024" i="4"/>
  <c r="Q1024" i="5" s="1"/>
  <c r="P1023" i="4"/>
  <c r="O1023" i="4"/>
  <c r="N1023" i="4"/>
  <c r="M1023" i="4"/>
  <c r="L1023" i="4"/>
  <c r="K1023" i="4"/>
  <c r="J1023" i="4"/>
  <c r="Q1023" i="5" s="1"/>
  <c r="P1022" i="4"/>
  <c r="O1022" i="4"/>
  <c r="N1022" i="4"/>
  <c r="M1022" i="4"/>
  <c r="N1022" i="5" s="1"/>
  <c r="L1022" i="4"/>
  <c r="K1022" i="4"/>
  <c r="J1022" i="4"/>
  <c r="Q1022" i="5" s="1"/>
  <c r="P1021" i="4"/>
  <c r="O1021" i="4"/>
  <c r="N1021" i="4"/>
  <c r="M1021" i="4"/>
  <c r="L1021" i="4"/>
  <c r="K1021" i="4"/>
  <c r="J1021" i="4"/>
  <c r="Q1021" i="5" s="1"/>
  <c r="P1020" i="4"/>
  <c r="O1020" i="4"/>
  <c r="N1020" i="4"/>
  <c r="M1020" i="4"/>
  <c r="N1020" i="5" s="1"/>
  <c r="L1020" i="4"/>
  <c r="K1020" i="4"/>
  <c r="J1020" i="4"/>
  <c r="Q1020" i="5" s="1"/>
  <c r="P1019" i="4"/>
  <c r="O1019" i="4"/>
  <c r="N1019" i="4"/>
  <c r="M1019" i="4"/>
  <c r="L1019" i="4"/>
  <c r="K1019" i="4"/>
  <c r="J1019" i="4"/>
  <c r="Q1019" i="5" s="1"/>
  <c r="P1018" i="4"/>
  <c r="O1018" i="4"/>
  <c r="N1018" i="4"/>
  <c r="M1018" i="4"/>
  <c r="N1018" i="5" s="1"/>
  <c r="L1018" i="4"/>
  <c r="K1018" i="4"/>
  <c r="J1018" i="4"/>
  <c r="Q1018" i="5" s="1"/>
  <c r="P1017" i="4"/>
  <c r="O1017" i="4"/>
  <c r="N1017" i="4"/>
  <c r="M1017" i="4"/>
  <c r="L1017" i="4"/>
  <c r="K1017" i="4"/>
  <c r="J1017" i="4"/>
  <c r="Q1017" i="5" s="1"/>
  <c r="P1016" i="4"/>
  <c r="O1016" i="4"/>
  <c r="N1016" i="4"/>
  <c r="M1016" i="4"/>
  <c r="N1016" i="5" s="1"/>
  <c r="L1016" i="4"/>
  <c r="K1016" i="4"/>
  <c r="J1016" i="4"/>
  <c r="Q1016" i="5" s="1"/>
  <c r="P1015" i="4"/>
  <c r="O1015" i="4"/>
  <c r="N1015" i="4"/>
  <c r="M1015" i="4"/>
  <c r="L1015" i="4"/>
  <c r="K1015" i="4"/>
  <c r="J1015" i="4"/>
  <c r="Q1015" i="5" s="1"/>
  <c r="P1014" i="4"/>
  <c r="O1014" i="4"/>
  <c r="N1014" i="4"/>
  <c r="M1014" i="4"/>
  <c r="N1014" i="5" s="1"/>
  <c r="L1014" i="4"/>
  <c r="K1014" i="4"/>
  <c r="J1014" i="4"/>
  <c r="Q1014" i="5" s="1"/>
  <c r="P1013" i="4"/>
  <c r="O1013" i="4"/>
  <c r="N1013" i="4"/>
  <c r="M1013" i="4"/>
  <c r="L1013" i="4"/>
  <c r="K1013" i="4"/>
  <c r="J1013" i="4"/>
  <c r="Q1013" i="5" s="1"/>
  <c r="P1012" i="4"/>
  <c r="O1012" i="4"/>
  <c r="N1012" i="4"/>
  <c r="M1012" i="4"/>
  <c r="N1012" i="5" s="1"/>
  <c r="L1012" i="4"/>
  <c r="K1012" i="4"/>
  <c r="J1012" i="4"/>
  <c r="Q1012" i="5" s="1"/>
  <c r="P1011" i="4"/>
  <c r="O1011" i="4"/>
  <c r="N1011" i="4"/>
  <c r="M1011" i="4"/>
  <c r="L1011" i="4"/>
  <c r="K1011" i="4"/>
  <c r="J1011" i="4"/>
  <c r="Q1011" i="5" s="1"/>
  <c r="P1010" i="4"/>
  <c r="O1010" i="4"/>
  <c r="N1010" i="4"/>
  <c r="M1010" i="4"/>
  <c r="N1010" i="5" s="1"/>
  <c r="L1010" i="4"/>
  <c r="K1010" i="4"/>
  <c r="J1010" i="4"/>
  <c r="Q1010" i="5" s="1"/>
  <c r="P1009" i="4"/>
  <c r="O1009" i="4"/>
  <c r="N1009" i="4"/>
  <c r="M1009" i="4"/>
  <c r="L1009" i="4"/>
  <c r="K1009" i="4"/>
  <c r="J1009" i="4"/>
  <c r="Q1009" i="5" s="1"/>
  <c r="P1008" i="4"/>
  <c r="O1008" i="4"/>
  <c r="N1008" i="4"/>
  <c r="M1008" i="4"/>
  <c r="N1008" i="5" s="1"/>
  <c r="L1008" i="4"/>
  <c r="K1008" i="4"/>
  <c r="J1008" i="4"/>
  <c r="Q1008" i="5" s="1"/>
  <c r="P1007" i="4"/>
  <c r="O1007" i="4"/>
  <c r="N1007" i="4"/>
  <c r="M1007" i="4"/>
  <c r="L1007" i="4"/>
  <c r="K1007" i="4"/>
  <c r="J1007" i="4"/>
  <c r="Q1007" i="5" s="1"/>
  <c r="P1006" i="4"/>
  <c r="O1006" i="4"/>
  <c r="N1006" i="4"/>
  <c r="M1006" i="4"/>
  <c r="N1006" i="5" s="1"/>
  <c r="L1006" i="4"/>
  <c r="K1006" i="4"/>
  <c r="J1006" i="4"/>
  <c r="Q1006" i="5" s="1"/>
  <c r="P1005" i="4"/>
  <c r="O1005" i="4"/>
  <c r="N1005" i="4"/>
  <c r="M1005" i="4"/>
  <c r="L1005" i="4"/>
  <c r="K1005" i="4"/>
  <c r="J1005" i="4"/>
  <c r="Q1005" i="5" s="1"/>
  <c r="P1004" i="4"/>
  <c r="O1004" i="4"/>
  <c r="N1004" i="4"/>
  <c r="M1004" i="4"/>
  <c r="N1004" i="5" s="1"/>
  <c r="L1004" i="4"/>
  <c r="K1004" i="4"/>
  <c r="J1004" i="4"/>
  <c r="Q1004" i="5" s="1"/>
  <c r="P1003" i="4"/>
  <c r="O1003" i="4"/>
  <c r="N1003" i="4"/>
  <c r="M1003" i="4"/>
  <c r="L1003" i="4"/>
  <c r="K1003" i="4"/>
  <c r="J1003" i="4"/>
  <c r="Q1003" i="5" s="1"/>
  <c r="P1002" i="4"/>
  <c r="O1002" i="4"/>
  <c r="N1002" i="4"/>
  <c r="M1002" i="4"/>
  <c r="N1002" i="5" s="1"/>
  <c r="L1002" i="4"/>
  <c r="K1002" i="4"/>
  <c r="J1002" i="4"/>
  <c r="Q1002" i="5" s="1"/>
  <c r="P1001" i="4"/>
  <c r="O1001" i="4"/>
  <c r="N1001" i="4"/>
  <c r="M1001" i="4"/>
  <c r="L1001" i="4"/>
  <c r="K1001" i="4"/>
  <c r="J1001" i="4"/>
  <c r="Q1001" i="5" s="1"/>
  <c r="P1000" i="4"/>
  <c r="O1000" i="4"/>
  <c r="N1000" i="4"/>
  <c r="M1000" i="4"/>
  <c r="N1000" i="5" s="1"/>
  <c r="L1000" i="4"/>
  <c r="K1000" i="4"/>
  <c r="J1000" i="4"/>
  <c r="Q1000" i="5" s="1"/>
  <c r="P999" i="4"/>
  <c r="O999" i="4"/>
  <c r="N999" i="4"/>
  <c r="M999" i="4"/>
  <c r="L999" i="4"/>
  <c r="K999" i="4"/>
  <c r="J999" i="4"/>
  <c r="Q999" i="5" s="1"/>
  <c r="P998" i="4"/>
  <c r="O998" i="4"/>
  <c r="N998" i="4"/>
  <c r="M998" i="4"/>
  <c r="N998" i="5" s="1"/>
  <c r="L998" i="4"/>
  <c r="K998" i="4"/>
  <c r="J998" i="4"/>
  <c r="Q998" i="5" s="1"/>
  <c r="P997" i="4"/>
  <c r="O997" i="4"/>
  <c r="N997" i="4"/>
  <c r="M997" i="4"/>
  <c r="L997" i="4"/>
  <c r="K997" i="4"/>
  <c r="J997" i="4"/>
  <c r="Q997" i="5" s="1"/>
  <c r="P996" i="4"/>
  <c r="O996" i="4"/>
  <c r="N996" i="4"/>
  <c r="M996" i="4"/>
  <c r="N996" i="5" s="1"/>
  <c r="L996" i="4"/>
  <c r="K996" i="4"/>
  <c r="J996" i="4"/>
  <c r="Q996" i="5" s="1"/>
  <c r="P995" i="4"/>
  <c r="O995" i="4"/>
  <c r="N995" i="4"/>
  <c r="M995" i="4"/>
  <c r="L995" i="4"/>
  <c r="K995" i="4"/>
  <c r="J995" i="4"/>
  <c r="Q995" i="5" s="1"/>
  <c r="P994" i="4"/>
  <c r="O994" i="4"/>
  <c r="N994" i="4"/>
  <c r="M994" i="4"/>
  <c r="N994" i="5" s="1"/>
  <c r="L994" i="4"/>
  <c r="K994" i="4"/>
  <c r="J994" i="4"/>
  <c r="Q994" i="5" s="1"/>
  <c r="P993" i="4"/>
  <c r="O993" i="4"/>
  <c r="N993" i="4"/>
  <c r="M993" i="4"/>
  <c r="L993" i="4"/>
  <c r="K993" i="4"/>
  <c r="J993" i="4"/>
  <c r="Q993" i="5" s="1"/>
  <c r="P992" i="4"/>
  <c r="O992" i="4"/>
  <c r="N992" i="4"/>
  <c r="M992" i="4"/>
  <c r="N992" i="5" s="1"/>
  <c r="L992" i="4"/>
  <c r="K992" i="4"/>
  <c r="J992" i="4"/>
  <c r="Q992" i="5" s="1"/>
  <c r="P991" i="4"/>
  <c r="O991" i="4"/>
  <c r="N991" i="4"/>
  <c r="M991" i="4"/>
  <c r="L991" i="4"/>
  <c r="K991" i="4"/>
  <c r="J991" i="4"/>
  <c r="Q991" i="5" s="1"/>
  <c r="P990" i="4"/>
  <c r="O990" i="4"/>
  <c r="N990" i="4"/>
  <c r="M990" i="4"/>
  <c r="N990" i="5" s="1"/>
  <c r="L990" i="4"/>
  <c r="K990" i="4"/>
  <c r="J990" i="4"/>
  <c r="Q990" i="5" s="1"/>
  <c r="P989" i="4"/>
  <c r="O989" i="4"/>
  <c r="N989" i="4"/>
  <c r="M989" i="4"/>
  <c r="L989" i="4"/>
  <c r="K989" i="4"/>
  <c r="J989" i="4"/>
  <c r="Q989" i="5" s="1"/>
  <c r="P988" i="4"/>
  <c r="O988" i="4"/>
  <c r="N988" i="4"/>
  <c r="M988" i="4"/>
  <c r="N988" i="5" s="1"/>
  <c r="L988" i="4"/>
  <c r="K988" i="4"/>
  <c r="J988" i="4"/>
  <c r="Q988" i="5" s="1"/>
  <c r="P987" i="4"/>
  <c r="O987" i="4"/>
  <c r="N987" i="4"/>
  <c r="M987" i="4"/>
  <c r="L987" i="4"/>
  <c r="K987" i="4"/>
  <c r="J987" i="4"/>
  <c r="Q987" i="5" s="1"/>
  <c r="P986" i="4"/>
  <c r="O986" i="4"/>
  <c r="N986" i="4"/>
  <c r="M986" i="4"/>
  <c r="N986" i="5" s="1"/>
  <c r="L986" i="4"/>
  <c r="K986" i="4"/>
  <c r="J986" i="4"/>
  <c r="Q986" i="5" s="1"/>
  <c r="P985" i="4"/>
  <c r="O985" i="4"/>
  <c r="N985" i="4"/>
  <c r="M985" i="4"/>
  <c r="L985" i="4"/>
  <c r="K985" i="4"/>
  <c r="J985" i="4"/>
  <c r="Q985" i="5" s="1"/>
  <c r="P984" i="4"/>
  <c r="O984" i="4"/>
  <c r="N984" i="4"/>
  <c r="M984" i="4"/>
  <c r="N984" i="5" s="1"/>
  <c r="L984" i="4"/>
  <c r="K984" i="4"/>
  <c r="J984" i="4"/>
  <c r="Q984" i="5" s="1"/>
  <c r="P983" i="4"/>
  <c r="O983" i="4"/>
  <c r="N983" i="4"/>
  <c r="M983" i="4"/>
  <c r="L983" i="4"/>
  <c r="K983" i="4"/>
  <c r="J983" i="4"/>
  <c r="Q983" i="5" s="1"/>
  <c r="P982" i="4"/>
  <c r="O982" i="4"/>
  <c r="N982" i="4"/>
  <c r="M982" i="4"/>
  <c r="N982" i="5" s="1"/>
  <c r="L982" i="4"/>
  <c r="K982" i="4"/>
  <c r="J982" i="4"/>
  <c r="Q982" i="5" s="1"/>
  <c r="P981" i="4"/>
  <c r="O981" i="4"/>
  <c r="N981" i="4"/>
  <c r="M981" i="4"/>
  <c r="L981" i="4"/>
  <c r="K981" i="4"/>
  <c r="J981" i="4"/>
  <c r="Q981" i="5" s="1"/>
  <c r="P980" i="4"/>
  <c r="O980" i="4"/>
  <c r="N980" i="4"/>
  <c r="M980" i="4"/>
  <c r="N980" i="5" s="1"/>
  <c r="L980" i="4"/>
  <c r="K980" i="4"/>
  <c r="J980" i="4"/>
  <c r="Q980" i="5" s="1"/>
  <c r="P979" i="4"/>
  <c r="O979" i="4"/>
  <c r="N979" i="4"/>
  <c r="M979" i="4"/>
  <c r="L979" i="4"/>
  <c r="K979" i="4"/>
  <c r="J979" i="4"/>
  <c r="Q979" i="5" s="1"/>
  <c r="P978" i="4"/>
  <c r="O978" i="4"/>
  <c r="N978" i="4"/>
  <c r="M978" i="4"/>
  <c r="N978" i="5" s="1"/>
  <c r="L978" i="4"/>
  <c r="K978" i="4"/>
  <c r="J978" i="4"/>
  <c r="Q978" i="5" s="1"/>
  <c r="P977" i="4"/>
  <c r="O977" i="4"/>
  <c r="N977" i="4"/>
  <c r="M977" i="4"/>
  <c r="L977" i="4"/>
  <c r="K977" i="4"/>
  <c r="J977" i="4"/>
  <c r="Q977" i="5" s="1"/>
  <c r="P976" i="4"/>
  <c r="O976" i="4"/>
  <c r="N976" i="4"/>
  <c r="M976" i="4"/>
  <c r="N976" i="5" s="1"/>
  <c r="L976" i="4"/>
  <c r="K976" i="4"/>
  <c r="J976" i="4"/>
  <c r="Q976" i="5" s="1"/>
  <c r="P975" i="4"/>
  <c r="O975" i="4"/>
  <c r="N975" i="4"/>
  <c r="M975" i="4"/>
  <c r="L975" i="4"/>
  <c r="K975" i="4"/>
  <c r="J975" i="4"/>
  <c r="Q975" i="5" s="1"/>
  <c r="P974" i="4"/>
  <c r="O974" i="4"/>
  <c r="N974" i="4"/>
  <c r="M974" i="4"/>
  <c r="N974" i="5" s="1"/>
  <c r="L974" i="4"/>
  <c r="K974" i="4"/>
  <c r="J974" i="4"/>
  <c r="Q974" i="5" s="1"/>
  <c r="P973" i="4"/>
  <c r="O973" i="4"/>
  <c r="N973" i="4"/>
  <c r="M973" i="4"/>
  <c r="L973" i="4"/>
  <c r="K973" i="4"/>
  <c r="J973" i="4"/>
  <c r="Q973" i="5" s="1"/>
  <c r="P972" i="4"/>
  <c r="O972" i="4"/>
  <c r="N972" i="4"/>
  <c r="M972" i="4"/>
  <c r="N972" i="5" s="1"/>
  <c r="L972" i="4"/>
  <c r="K972" i="4"/>
  <c r="J972" i="4"/>
  <c r="Q972" i="5" s="1"/>
  <c r="P971" i="4"/>
  <c r="O971" i="4"/>
  <c r="N971" i="4"/>
  <c r="M971" i="4"/>
  <c r="L971" i="4"/>
  <c r="K971" i="4"/>
  <c r="J971" i="4"/>
  <c r="Q971" i="5" s="1"/>
  <c r="P970" i="4"/>
  <c r="O970" i="4"/>
  <c r="N970" i="4"/>
  <c r="M970" i="4"/>
  <c r="N970" i="5" s="1"/>
  <c r="L970" i="4"/>
  <c r="K970" i="4"/>
  <c r="J970" i="4"/>
  <c r="Q970" i="5" s="1"/>
  <c r="P969" i="4"/>
  <c r="O969" i="4"/>
  <c r="N969" i="4"/>
  <c r="M969" i="4"/>
  <c r="L969" i="4"/>
  <c r="K969" i="4"/>
  <c r="J969" i="4"/>
  <c r="Q969" i="5" s="1"/>
  <c r="P968" i="4"/>
  <c r="O968" i="4"/>
  <c r="N968" i="4"/>
  <c r="M968" i="4"/>
  <c r="N968" i="5" s="1"/>
  <c r="L968" i="4"/>
  <c r="K968" i="4"/>
  <c r="J968" i="4"/>
  <c r="Q968" i="5" s="1"/>
  <c r="P967" i="4"/>
  <c r="O967" i="4"/>
  <c r="N967" i="4"/>
  <c r="M967" i="4"/>
  <c r="L967" i="4"/>
  <c r="K967" i="4"/>
  <c r="J967" i="4"/>
  <c r="Q967" i="5" s="1"/>
  <c r="P966" i="4"/>
  <c r="O966" i="4"/>
  <c r="N966" i="4"/>
  <c r="M966" i="4"/>
  <c r="N966" i="5" s="1"/>
  <c r="L966" i="4"/>
  <c r="K966" i="4"/>
  <c r="J966" i="4"/>
  <c r="Q966" i="5" s="1"/>
  <c r="P965" i="4"/>
  <c r="O965" i="4"/>
  <c r="N965" i="4"/>
  <c r="M965" i="4"/>
  <c r="L965" i="4"/>
  <c r="K965" i="4"/>
  <c r="J965" i="4"/>
  <c r="Q965" i="5" s="1"/>
  <c r="P964" i="4"/>
  <c r="O964" i="4"/>
  <c r="N964" i="4"/>
  <c r="M964" i="4"/>
  <c r="N964" i="5" s="1"/>
  <c r="L964" i="4"/>
  <c r="K964" i="4"/>
  <c r="J964" i="4"/>
  <c r="Q964" i="5" s="1"/>
  <c r="P963" i="4"/>
  <c r="O963" i="4"/>
  <c r="N963" i="4"/>
  <c r="M963" i="4"/>
  <c r="L963" i="4"/>
  <c r="K963" i="4"/>
  <c r="J963" i="4"/>
  <c r="Q963" i="5" s="1"/>
  <c r="P962" i="4"/>
  <c r="O962" i="4"/>
  <c r="N962" i="4"/>
  <c r="M962" i="4"/>
  <c r="N962" i="5" s="1"/>
  <c r="L962" i="4"/>
  <c r="K962" i="4"/>
  <c r="J962" i="4"/>
  <c r="Q962" i="5" s="1"/>
  <c r="P961" i="4"/>
  <c r="O961" i="4"/>
  <c r="N961" i="4"/>
  <c r="M961" i="4"/>
  <c r="L961" i="4"/>
  <c r="K961" i="4"/>
  <c r="J961" i="4"/>
  <c r="Q961" i="5" s="1"/>
  <c r="P960" i="4"/>
  <c r="O960" i="4"/>
  <c r="N960" i="4"/>
  <c r="M960" i="4"/>
  <c r="N960" i="5" s="1"/>
  <c r="L960" i="4"/>
  <c r="K960" i="4"/>
  <c r="J960" i="4"/>
  <c r="Q960" i="5" s="1"/>
  <c r="P959" i="4"/>
  <c r="O959" i="4"/>
  <c r="N959" i="4"/>
  <c r="M959" i="4"/>
  <c r="L959" i="4"/>
  <c r="K959" i="4"/>
  <c r="J959" i="4"/>
  <c r="Q959" i="5" s="1"/>
  <c r="P958" i="4"/>
  <c r="O958" i="4"/>
  <c r="N958" i="4"/>
  <c r="M958" i="4"/>
  <c r="N958" i="5" s="1"/>
  <c r="L958" i="4"/>
  <c r="K958" i="4"/>
  <c r="J958" i="4"/>
  <c r="Q958" i="5" s="1"/>
  <c r="P957" i="4"/>
  <c r="O957" i="4"/>
  <c r="N957" i="4"/>
  <c r="M957" i="4"/>
  <c r="L957" i="4"/>
  <c r="K957" i="4"/>
  <c r="J957" i="4"/>
  <c r="Q957" i="5" s="1"/>
  <c r="P956" i="4"/>
  <c r="O956" i="4"/>
  <c r="N956" i="4"/>
  <c r="M956" i="4"/>
  <c r="N956" i="5" s="1"/>
  <c r="L956" i="4"/>
  <c r="K956" i="4"/>
  <c r="J956" i="4"/>
  <c r="Q956" i="5" s="1"/>
  <c r="P955" i="4"/>
  <c r="O955" i="4"/>
  <c r="N955" i="4"/>
  <c r="M955" i="4"/>
  <c r="L955" i="4"/>
  <c r="K955" i="4"/>
  <c r="J955" i="4"/>
  <c r="Q955" i="5" s="1"/>
  <c r="P954" i="4"/>
  <c r="O954" i="4"/>
  <c r="N954" i="4"/>
  <c r="M954" i="4"/>
  <c r="N954" i="5" s="1"/>
  <c r="L954" i="4"/>
  <c r="K954" i="4"/>
  <c r="J954" i="4"/>
  <c r="Q954" i="5" s="1"/>
  <c r="P953" i="4"/>
  <c r="O953" i="4"/>
  <c r="N953" i="4"/>
  <c r="M953" i="4"/>
  <c r="L953" i="4"/>
  <c r="K953" i="4"/>
  <c r="J953" i="4"/>
  <c r="Q953" i="5" s="1"/>
  <c r="P952" i="4"/>
  <c r="O952" i="4"/>
  <c r="N952" i="4"/>
  <c r="M952" i="4"/>
  <c r="N952" i="5" s="1"/>
  <c r="L952" i="4"/>
  <c r="K952" i="4"/>
  <c r="J952" i="4"/>
  <c r="Q952" i="5" s="1"/>
  <c r="P951" i="4"/>
  <c r="O951" i="4"/>
  <c r="N951" i="4"/>
  <c r="M951" i="4"/>
  <c r="L951" i="4"/>
  <c r="K951" i="4"/>
  <c r="J951" i="4"/>
  <c r="Q951" i="5" s="1"/>
  <c r="P950" i="4"/>
  <c r="O950" i="4"/>
  <c r="N950" i="4"/>
  <c r="M950" i="4"/>
  <c r="N950" i="5" s="1"/>
  <c r="L950" i="4"/>
  <c r="K950" i="4"/>
  <c r="J950" i="4"/>
  <c r="Q950" i="5" s="1"/>
  <c r="P949" i="4"/>
  <c r="O949" i="4"/>
  <c r="N949" i="4"/>
  <c r="M949" i="4"/>
  <c r="L949" i="4"/>
  <c r="K949" i="4"/>
  <c r="J949" i="4"/>
  <c r="Q949" i="5" s="1"/>
  <c r="P948" i="4"/>
  <c r="O948" i="4"/>
  <c r="N948" i="4"/>
  <c r="M948" i="4"/>
  <c r="N948" i="5" s="1"/>
  <c r="L948" i="4"/>
  <c r="K948" i="4"/>
  <c r="J948" i="4"/>
  <c r="Q948" i="5" s="1"/>
  <c r="P947" i="4"/>
  <c r="O947" i="4"/>
  <c r="N947" i="4"/>
  <c r="M947" i="4"/>
  <c r="L947" i="4"/>
  <c r="K947" i="4"/>
  <c r="J947" i="4"/>
  <c r="Q947" i="5" s="1"/>
  <c r="P946" i="4"/>
  <c r="O946" i="4"/>
  <c r="N946" i="4"/>
  <c r="M946" i="4"/>
  <c r="N946" i="5" s="1"/>
  <c r="L946" i="4"/>
  <c r="K946" i="4"/>
  <c r="J946" i="4"/>
  <c r="Q946" i="5" s="1"/>
  <c r="P945" i="4"/>
  <c r="O945" i="4"/>
  <c r="N945" i="4"/>
  <c r="M945" i="4"/>
  <c r="L945" i="4"/>
  <c r="K945" i="4"/>
  <c r="J945" i="4"/>
  <c r="Q945" i="5" s="1"/>
  <c r="P944" i="4"/>
  <c r="O944" i="4"/>
  <c r="N944" i="4"/>
  <c r="M944" i="4"/>
  <c r="N944" i="5" s="1"/>
  <c r="L944" i="4"/>
  <c r="K944" i="4"/>
  <c r="J944" i="4"/>
  <c r="Q944" i="5" s="1"/>
  <c r="P943" i="4"/>
  <c r="O943" i="4"/>
  <c r="N943" i="4"/>
  <c r="M943" i="4"/>
  <c r="L943" i="4"/>
  <c r="K943" i="4"/>
  <c r="J943" i="4"/>
  <c r="Q943" i="5" s="1"/>
  <c r="P942" i="4"/>
  <c r="O942" i="4"/>
  <c r="N942" i="4"/>
  <c r="M942" i="4"/>
  <c r="N942" i="5" s="1"/>
  <c r="L942" i="4"/>
  <c r="K942" i="4"/>
  <c r="J942" i="4"/>
  <c r="Q942" i="5" s="1"/>
  <c r="P941" i="4"/>
  <c r="O941" i="4"/>
  <c r="N941" i="4"/>
  <c r="M941" i="4"/>
  <c r="L941" i="4"/>
  <c r="K941" i="4"/>
  <c r="J941" i="4"/>
  <c r="Q941" i="5" s="1"/>
  <c r="P940" i="4"/>
  <c r="O940" i="4"/>
  <c r="N940" i="4"/>
  <c r="M940" i="4"/>
  <c r="N940" i="5" s="1"/>
  <c r="L940" i="4"/>
  <c r="K940" i="4"/>
  <c r="J940" i="4"/>
  <c r="Q940" i="5" s="1"/>
  <c r="P939" i="4"/>
  <c r="O939" i="4"/>
  <c r="N939" i="4"/>
  <c r="M939" i="4"/>
  <c r="L939" i="4"/>
  <c r="K939" i="4"/>
  <c r="J939" i="4"/>
  <c r="Q939" i="5" s="1"/>
  <c r="P938" i="4"/>
  <c r="O938" i="4"/>
  <c r="N938" i="4"/>
  <c r="M938" i="4"/>
  <c r="N938" i="5" s="1"/>
  <c r="L938" i="4"/>
  <c r="K938" i="4"/>
  <c r="J938" i="4"/>
  <c r="Q938" i="5" s="1"/>
  <c r="P937" i="4"/>
  <c r="O937" i="4"/>
  <c r="N937" i="4"/>
  <c r="M937" i="4"/>
  <c r="L937" i="4"/>
  <c r="K937" i="4"/>
  <c r="J937" i="4"/>
  <c r="Q937" i="5" s="1"/>
  <c r="P936" i="4"/>
  <c r="O936" i="4"/>
  <c r="N936" i="4"/>
  <c r="M936" i="4"/>
  <c r="N936" i="5" s="1"/>
  <c r="L936" i="4"/>
  <c r="K936" i="4"/>
  <c r="J936" i="4"/>
  <c r="Q936" i="5" s="1"/>
  <c r="P935" i="4"/>
  <c r="O935" i="4"/>
  <c r="N935" i="4"/>
  <c r="M935" i="4"/>
  <c r="L935" i="4"/>
  <c r="K935" i="4"/>
  <c r="J935" i="4"/>
  <c r="Q935" i="5" s="1"/>
  <c r="P934" i="4"/>
  <c r="O934" i="4"/>
  <c r="N934" i="4"/>
  <c r="M934" i="4"/>
  <c r="N934" i="5" s="1"/>
  <c r="L934" i="4"/>
  <c r="K934" i="4"/>
  <c r="J934" i="4"/>
  <c r="Q934" i="5" s="1"/>
  <c r="P933" i="4"/>
  <c r="O933" i="4"/>
  <c r="N933" i="4"/>
  <c r="M933" i="4"/>
  <c r="L933" i="4"/>
  <c r="K933" i="4"/>
  <c r="J933" i="4"/>
  <c r="Q933" i="5" s="1"/>
  <c r="P932" i="4"/>
  <c r="O932" i="4"/>
  <c r="N932" i="4"/>
  <c r="M932" i="4"/>
  <c r="N932" i="5" s="1"/>
  <c r="L932" i="4"/>
  <c r="K932" i="4"/>
  <c r="J932" i="4"/>
  <c r="Q932" i="5" s="1"/>
  <c r="P931" i="4"/>
  <c r="O931" i="4"/>
  <c r="N931" i="4"/>
  <c r="M931" i="4"/>
  <c r="L931" i="4"/>
  <c r="K931" i="4"/>
  <c r="J931" i="4"/>
  <c r="Q931" i="5" s="1"/>
  <c r="P930" i="4"/>
  <c r="O930" i="4"/>
  <c r="N930" i="4"/>
  <c r="M930" i="4"/>
  <c r="N930" i="5" s="1"/>
  <c r="L930" i="4"/>
  <c r="K930" i="4"/>
  <c r="J930" i="4"/>
  <c r="Q930" i="5" s="1"/>
  <c r="P929" i="4"/>
  <c r="O929" i="4"/>
  <c r="N929" i="4"/>
  <c r="M929" i="4"/>
  <c r="L929" i="4"/>
  <c r="K929" i="4"/>
  <c r="J929" i="4"/>
  <c r="Q929" i="5" s="1"/>
  <c r="P928" i="4"/>
  <c r="O928" i="4"/>
  <c r="N928" i="4"/>
  <c r="M928" i="4"/>
  <c r="N928" i="5" s="1"/>
  <c r="L928" i="4"/>
  <c r="K928" i="4"/>
  <c r="J928" i="4"/>
  <c r="Q928" i="5" s="1"/>
  <c r="P927" i="4"/>
  <c r="O927" i="4"/>
  <c r="N927" i="4"/>
  <c r="M927" i="4"/>
  <c r="L927" i="4"/>
  <c r="K927" i="4"/>
  <c r="J927" i="4"/>
  <c r="Q927" i="5" s="1"/>
  <c r="P926" i="4"/>
  <c r="O926" i="4"/>
  <c r="N926" i="4"/>
  <c r="M926" i="4"/>
  <c r="N926" i="5" s="1"/>
  <c r="L926" i="4"/>
  <c r="K926" i="4"/>
  <c r="J926" i="4"/>
  <c r="Q926" i="5" s="1"/>
  <c r="P925" i="4"/>
  <c r="O925" i="4"/>
  <c r="N925" i="4"/>
  <c r="M925" i="4"/>
  <c r="L925" i="4"/>
  <c r="K925" i="4"/>
  <c r="J925" i="4"/>
  <c r="Q925" i="5" s="1"/>
  <c r="P924" i="4"/>
  <c r="O924" i="4"/>
  <c r="N924" i="4"/>
  <c r="M924" i="4"/>
  <c r="N924" i="5" s="1"/>
  <c r="L924" i="4"/>
  <c r="K924" i="4"/>
  <c r="J924" i="4"/>
  <c r="Q924" i="5" s="1"/>
  <c r="P923" i="4"/>
  <c r="O923" i="4"/>
  <c r="N923" i="4"/>
  <c r="M923" i="4"/>
  <c r="L923" i="4"/>
  <c r="K923" i="4"/>
  <c r="J923" i="4"/>
  <c r="Q923" i="5" s="1"/>
  <c r="P922" i="4"/>
  <c r="O922" i="4"/>
  <c r="N922" i="4"/>
  <c r="M922" i="4"/>
  <c r="N922" i="5" s="1"/>
  <c r="L922" i="4"/>
  <c r="K922" i="4"/>
  <c r="J922" i="4"/>
  <c r="Q922" i="5" s="1"/>
  <c r="P921" i="4"/>
  <c r="O921" i="4"/>
  <c r="N921" i="4"/>
  <c r="M921" i="4"/>
  <c r="L921" i="4"/>
  <c r="K921" i="4"/>
  <c r="J921" i="4"/>
  <c r="Q921" i="5" s="1"/>
  <c r="P920" i="4"/>
  <c r="O920" i="4"/>
  <c r="N920" i="4"/>
  <c r="M920" i="4"/>
  <c r="N920" i="5" s="1"/>
  <c r="L920" i="4"/>
  <c r="K920" i="4"/>
  <c r="J920" i="4"/>
  <c r="Q920" i="5" s="1"/>
  <c r="P919" i="4"/>
  <c r="O919" i="4"/>
  <c r="N919" i="4"/>
  <c r="M919" i="4"/>
  <c r="L919" i="4"/>
  <c r="K919" i="4"/>
  <c r="J919" i="4"/>
  <c r="Q919" i="5" s="1"/>
  <c r="P918" i="4"/>
  <c r="O918" i="4"/>
  <c r="N918" i="4"/>
  <c r="M918" i="4"/>
  <c r="N918" i="5" s="1"/>
  <c r="L918" i="4"/>
  <c r="K918" i="4"/>
  <c r="J918" i="4"/>
  <c r="Q918" i="5" s="1"/>
  <c r="P917" i="4"/>
  <c r="O917" i="4"/>
  <c r="N917" i="4"/>
  <c r="M917" i="4"/>
  <c r="L917" i="4"/>
  <c r="K917" i="4"/>
  <c r="J917" i="4"/>
  <c r="Q917" i="5" s="1"/>
  <c r="P916" i="4"/>
  <c r="O916" i="4"/>
  <c r="N916" i="4"/>
  <c r="M916" i="4"/>
  <c r="N916" i="5" s="1"/>
  <c r="L916" i="4"/>
  <c r="K916" i="4"/>
  <c r="J916" i="4"/>
  <c r="Q916" i="5" s="1"/>
  <c r="P915" i="4"/>
  <c r="O915" i="4"/>
  <c r="N915" i="4"/>
  <c r="M915" i="4"/>
  <c r="L915" i="4"/>
  <c r="K915" i="4"/>
  <c r="J915" i="4"/>
  <c r="Q915" i="5" s="1"/>
  <c r="P914" i="4"/>
  <c r="O914" i="4"/>
  <c r="N914" i="4"/>
  <c r="M914" i="4"/>
  <c r="N914" i="5" s="1"/>
  <c r="L914" i="4"/>
  <c r="K914" i="4"/>
  <c r="J914" i="4"/>
  <c r="Q914" i="5" s="1"/>
  <c r="P913" i="4"/>
  <c r="O913" i="4"/>
  <c r="N913" i="4"/>
  <c r="M913" i="4"/>
  <c r="L913" i="4"/>
  <c r="K913" i="4"/>
  <c r="J913" i="4"/>
  <c r="Q913" i="5" s="1"/>
  <c r="P912" i="4"/>
  <c r="O912" i="4"/>
  <c r="N912" i="4"/>
  <c r="M912" i="4"/>
  <c r="N912" i="5" s="1"/>
  <c r="L912" i="4"/>
  <c r="K912" i="4"/>
  <c r="J912" i="4"/>
  <c r="Q912" i="5" s="1"/>
  <c r="P911" i="4"/>
  <c r="O911" i="4"/>
  <c r="N911" i="4"/>
  <c r="M911" i="4"/>
  <c r="L911" i="4"/>
  <c r="K911" i="4"/>
  <c r="J911" i="4"/>
  <c r="Q911" i="5" s="1"/>
  <c r="P910" i="4"/>
  <c r="O910" i="4"/>
  <c r="N910" i="4"/>
  <c r="M910" i="4"/>
  <c r="N910" i="5" s="1"/>
  <c r="L910" i="4"/>
  <c r="K910" i="4"/>
  <c r="J910" i="4"/>
  <c r="Q910" i="5" s="1"/>
  <c r="P909" i="4"/>
  <c r="O909" i="4"/>
  <c r="N909" i="4"/>
  <c r="M909" i="4"/>
  <c r="L909" i="4"/>
  <c r="K909" i="4"/>
  <c r="J909" i="4"/>
  <c r="Q909" i="5" s="1"/>
  <c r="P908" i="4"/>
  <c r="O908" i="4"/>
  <c r="N908" i="4"/>
  <c r="M908" i="4"/>
  <c r="N908" i="5" s="1"/>
  <c r="L908" i="4"/>
  <c r="K908" i="4"/>
  <c r="J908" i="4"/>
  <c r="Q908" i="5" s="1"/>
  <c r="P907" i="4"/>
  <c r="O907" i="4"/>
  <c r="N907" i="4"/>
  <c r="M907" i="4"/>
  <c r="L907" i="4"/>
  <c r="K907" i="4"/>
  <c r="J907" i="4"/>
  <c r="Q907" i="5" s="1"/>
  <c r="P906" i="4"/>
  <c r="O906" i="4"/>
  <c r="N906" i="4"/>
  <c r="M906" i="4"/>
  <c r="N906" i="5" s="1"/>
  <c r="L906" i="4"/>
  <c r="K906" i="4"/>
  <c r="J906" i="4"/>
  <c r="Q906" i="5" s="1"/>
  <c r="P905" i="4"/>
  <c r="O905" i="4"/>
  <c r="N905" i="4"/>
  <c r="M905" i="4"/>
  <c r="L905" i="4"/>
  <c r="K905" i="4"/>
  <c r="J905" i="4"/>
  <c r="Q905" i="5" s="1"/>
  <c r="P904" i="4"/>
  <c r="O904" i="4"/>
  <c r="N904" i="4"/>
  <c r="M904" i="4"/>
  <c r="N904" i="5" s="1"/>
  <c r="L904" i="4"/>
  <c r="K904" i="4"/>
  <c r="J904" i="4"/>
  <c r="Q904" i="5" s="1"/>
  <c r="P903" i="4"/>
  <c r="O903" i="4"/>
  <c r="N903" i="4"/>
  <c r="M903" i="4"/>
  <c r="L903" i="4"/>
  <c r="K903" i="4"/>
  <c r="J903" i="4"/>
  <c r="Q903" i="5" s="1"/>
  <c r="P902" i="4"/>
  <c r="O902" i="4"/>
  <c r="N902" i="4"/>
  <c r="M902" i="4"/>
  <c r="N902" i="5" s="1"/>
  <c r="L902" i="4"/>
  <c r="K902" i="4"/>
  <c r="J902" i="4"/>
  <c r="Q902" i="5" s="1"/>
  <c r="P901" i="4"/>
  <c r="O901" i="4"/>
  <c r="N901" i="4"/>
  <c r="M901" i="4"/>
  <c r="L901" i="4"/>
  <c r="K901" i="4"/>
  <c r="J901" i="4"/>
  <c r="Q901" i="5" s="1"/>
  <c r="P900" i="4"/>
  <c r="O900" i="4"/>
  <c r="N900" i="4"/>
  <c r="M900" i="4"/>
  <c r="N900" i="5" s="1"/>
  <c r="L900" i="4"/>
  <c r="K900" i="4"/>
  <c r="J900" i="4"/>
  <c r="Q900" i="5" s="1"/>
  <c r="P899" i="4"/>
  <c r="O899" i="4"/>
  <c r="N899" i="4"/>
  <c r="M899" i="4"/>
  <c r="L899" i="4"/>
  <c r="K899" i="4"/>
  <c r="J899" i="4"/>
  <c r="Q899" i="5" s="1"/>
  <c r="P898" i="4"/>
  <c r="O898" i="4"/>
  <c r="N898" i="4"/>
  <c r="M898" i="4"/>
  <c r="N898" i="5" s="1"/>
  <c r="L898" i="4"/>
  <c r="K898" i="4"/>
  <c r="J898" i="4"/>
  <c r="Q898" i="5" s="1"/>
  <c r="P897" i="4"/>
  <c r="O897" i="4"/>
  <c r="N897" i="4"/>
  <c r="M897" i="4"/>
  <c r="L897" i="4"/>
  <c r="K897" i="4"/>
  <c r="J897" i="4"/>
  <c r="Q897" i="5" s="1"/>
  <c r="P896" i="4"/>
  <c r="O896" i="4"/>
  <c r="N896" i="4"/>
  <c r="M896" i="4"/>
  <c r="N896" i="5" s="1"/>
  <c r="L896" i="4"/>
  <c r="K896" i="4"/>
  <c r="J896" i="4"/>
  <c r="Q896" i="5" s="1"/>
  <c r="P895" i="4"/>
  <c r="O895" i="4"/>
  <c r="N895" i="4"/>
  <c r="M895" i="4"/>
  <c r="L895" i="4"/>
  <c r="K895" i="4"/>
  <c r="J895" i="4"/>
  <c r="Q895" i="5" s="1"/>
  <c r="P894" i="4"/>
  <c r="O894" i="4"/>
  <c r="N894" i="4"/>
  <c r="M894" i="4"/>
  <c r="N894" i="5" s="1"/>
  <c r="L894" i="4"/>
  <c r="K894" i="4"/>
  <c r="J894" i="4"/>
  <c r="Q894" i="5" s="1"/>
  <c r="P893" i="4"/>
  <c r="O893" i="4"/>
  <c r="N893" i="4"/>
  <c r="M893" i="4"/>
  <c r="L893" i="4"/>
  <c r="K893" i="4"/>
  <c r="J893" i="4"/>
  <c r="Q893" i="5" s="1"/>
  <c r="P892" i="4"/>
  <c r="O892" i="4"/>
  <c r="N892" i="4"/>
  <c r="M892" i="4"/>
  <c r="N892" i="5" s="1"/>
  <c r="L892" i="4"/>
  <c r="K892" i="4"/>
  <c r="J892" i="4"/>
  <c r="Q892" i="5" s="1"/>
  <c r="P891" i="4"/>
  <c r="O891" i="4"/>
  <c r="N891" i="4"/>
  <c r="M891" i="4"/>
  <c r="L891" i="4"/>
  <c r="K891" i="4"/>
  <c r="J891" i="4"/>
  <c r="Q891" i="5" s="1"/>
  <c r="P890" i="4"/>
  <c r="O890" i="4"/>
  <c r="N890" i="4"/>
  <c r="M890" i="4"/>
  <c r="N890" i="5" s="1"/>
  <c r="L890" i="4"/>
  <c r="K890" i="4"/>
  <c r="J890" i="4"/>
  <c r="Q890" i="5" s="1"/>
  <c r="P889" i="4"/>
  <c r="O889" i="4"/>
  <c r="N889" i="4"/>
  <c r="M889" i="4"/>
  <c r="L889" i="4"/>
  <c r="K889" i="4"/>
  <c r="J889" i="4"/>
  <c r="Q889" i="5" s="1"/>
  <c r="P888" i="4"/>
  <c r="O888" i="4"/>
  <c r="N888" i="4"/>
  <c r="M888" i="4"/>
  <c r="N888" i="5" s="1"/>
  <c r="L888" i="4"/>
  <c r="K888" i="4"/>
  <c r="J888" i="4"/>
  <c r="Q888" i="5" s="1"/>
  <c r="P887" i="4"/>
  <c r="O887" i="4"/>
  <c r="N887" i="4"/>
  <c r="M887" i="4"/>
  <c r="L887" i="4"/>
  <c r="K887" i="4"/>
  <c r="J887" i="4"/>
  <c r="Q887" i="5" s="1"/>
  <c r="P886" i="4"/>
  <c r="O886" i="4"/>
  <c r="N886" i="4"/>
  <c r="M886" i="4"/>
  <c r="N886" i="5" s="1"/>
  <c r="L886" i="4"/>
  <c r="K886" i="4"/>
  <c r="J886" i="4"/>
  <c r="Q886" i="5" s="1"/>
  <c r="P885" i="4"/>
  <c r="O885" i="4"/>
  <c r="N885" i="4"/>
  <c r="M885" i="4"/>
  <c r="L885" i="4"/>
  <c r="K885" i="4"/>
  <c r="J885" i="4"/>
  <c r="Q885" i="5" s="1"/>
  <c r="P884" i="4"/>
  <c r="O884" i="4"/>
  <c r="N884" i="4"/>
  <c r="M884" i="4"/>
  <c r="N884" i="5" s="1"/>
  <c r="L884" i="4"/>
  <c r="K884" i="4"/>
  <c r="J884" i="4"/>
  <c r="Q884" i="5" s="1"/>
  <c r="P883" i="4"/>
  <c r="O883" i="4"/>
  <c r="N883" i="4"/>
  <c r="M883" i="4"/>
  <c r="L883" i="4"/>
  <c r="K883" i="4"/>
  <c r="J883" i="4"/>
  <c r="Q883" i="5" s="1"/>
  <c r="P882" i="4"/>
  <c r="O882" i="4"/>
  <c r="N882" i="4"/>
  <c r="M882" i="4"/>
  <c r="N882" i="5" s="1"/>
  <c r="L882" i="4"/>
  <c r="K882" i="4"/>
  <c r="J882" i="4"/>
  <c r="Q882" i="5" s="1"/>
  <c r="P881" i="4"/>
  <c r="O881" i="4"/>
  <c r="N881" i="4"/>
  <c r="M881" i="4"/>
  <c r="L881" i="4"/>
  <c r="K881" i="4"/>
  <c r="J881" i="4"/>
  <c r="Q881" i="5" s="1"/>
  <c r="P880" i="4"/>
  <c r="O880" i="4"/>
  <c r="N880" i="4"/>
  <c r="M880" i="4"/>
  <c r="N880" i="5" s="1"/>
  <c r="L880" i="4"/>
  <c r="K880" i="4"/>
  <c r="J880" i="4"/>
  <c r="Q880" i="5" s="1"/>
  <c r="P879" i="4"/>
  <c r="O879" i="4"/>
  <c r="N879" i="4"/>
  <c r="M879" i="4"/>
  <c r="L879" i="4"/>
  <c r="K879" i="4"/>
  <c r="J879" i="4"/>
  <c r="Q879" i="5" s="1"/>
  <c r="P878" i="4"/>
  <c r="O878" i="4"/>
  <c r="N878" i="4"/>
  <c r="M878" i="4"/>
  <c r="N878" i="5" s="1"/>
  <c r="L878" i="4"/>
  <c r="K878" i="4"/>
  <c r="J878" i="4"/>
  <c r="Q878" i="5" s="1"/>
  <c r="P877" i="4"/>
  <c r="O877" i="4"/>
  <c r="N877" i="4"/>
  <c r="M877" i="4"/>
  <c r="L877" i="4"/>
  <c r="K877" i="4"/>
  <c r="J877" i="4"/>
  <c r="Q877" i="5" s="1"/>
  <c r="P876" i="4"/>
  <c r="O876" i="4"/>
  <c r="N876" i="4"/>
  <c r="M876" i="4"/>
  <c r="N876" i="5" s="1"/>
  <c r="L876" i="4"/>
  <c r="K876" i="4"/>
  <c r="J876" i="4"/>
  <c r="Q876" i="5" s="1"/>
  <c r="P875" i="4"/>
  <c r="O875" i="4"/>
  <c r="N875" i="4"/>
  <c r="M875" i="4"/>
  <c r="L875" i="4"/>
  <c r="K875" i="4"/>
  <c r="J875" i="4"/>
  <c r="Q875" i="5" s="1"/>
  <c r="P874" i="4"/>
  <c r="O874" i="4"/>
  <c r="N874" i="4"/>
  <c r="M874" i="4"/>
  <c r="N874" i="5" s="1"/>
  <c r="L874" i="4"/>
  <c r="K874" i="4"/>
  <c r="J874" i="4"/>
  <c r="Q874" i="5" s="1"/>
  <c r="P873" i="4"/>
  <c r="O873" i="4"/>
  <c r="N873" i="4"/>
  <c r="M873" i="4"/>
  <c r="L873" i="4"/>
  <c r="K873" i="4"/>
  <c r="J873" i="4"/>
  <c r="Q873" i="5" s="1"/>
  <c r="P872" i="4"/>
  <c r="O872" i="4"/>
  <c r="N872" i="4"/>
  <c r="M872" i="4"/>
  <c r="N872" i="5" s="1"/>
  <c r="L872" i="4"/>
  <c r="K872" i="4"/>
  <c r="J872" i="4"/>
  <c r="Q872" i="5" s="1"/>
  <c r="P871" i="4"/>
  <c r="O871" i="4"/>
  <c r="N871" i="4"/>
  <c r="M871" i="4"/>
  <c r="L871" i="4"/>
  <c r="K871" i="4"/>
  <c r="J871" i="4"/>
  <c r="Q871" i="5" s="1"/>
  <c r="P870" i="4"/>
  <c r="O870" i="4"/>
  <c r="N870" i="4"/>
  <c r="M870" i="4"/>
  <c r="N870" i="5" s="1"/>
  <c r="L870" i="4"/>
  <c r="K870" i="4"/>
  <c r="J870" i="4"/>
  <c r="Q870" i="5" s="1"/>
  <c r="P869" i="4"/>
  <c r="O869" i="4"/>
  <c r="N869" i="4"/>
  <c r="M869" i="4"/>
  <c r="L869" i="4"/>
  <c r="K869" i="4"/>
  <c r="J869" i="4"/>
  <c r="Q869" i="5" s="1"/>
  <c r="P868" i="4"/>
  <c r="O868" i="4"/>
  <c r="N868" i="4"/>
  <c r="M868" i="4"/>
  <c r="N868" i="5" s="1"/>
  <c r="L868" i="4"/>
  <c r="K868" i="4"/>
  <c r="J868" i="4"/>
  <c r="Q868" i="5" s="1"/>
  <c r="P867" i="4"/>
  <c r="O867" i="4"/>
  <c r="N867" i="4"/>
  <c r="M867" i="4"/>
  <c r="L867" i="4"/>
  <c r="K867" i="4"/>
  <c r="J867" i="4"/>
  <c r="Q867" i="5" s="1"/>
  <c r="P866" i="4"/>
  <c r="O866" i="4"/>
  <c r="N866" i="4"/>
  <c r="M866" i="4"/>
  <c r="N866" i="5" s="1"/>
  <c r="L866" i="4"/>
  <c r="K866" i="4"/>
  <c r="J866" i="4"/>
  <c r="Q866" i="5" s="1"/>
  <c r="P865" i="4"/>
  <c r="O865" i="4"/>
  <c r="N865" i="4"/>
  <c r="M865" i="4"/>
  <c r="L865" i="4"/>
  <c r="K865" i="4"/>
  <c r="J865" i="4"/>
  <c r="Q865" i="5" s="1"/>
  <c r="P864" i="4"/>
  <c r="O864" i="4"/>
  <c r="N864" i="4"/>
  <c r="M864" i="4"/>
  <c r="N864" i="5" s="1"/>
  <c r="L864" i="4"/>
  <c r="K864" i="4"/>
  <c r="J864" i="4"/>
  <c r="Q864" i="5" s="1"/>
  <c r="P863" i="4"/>
  <c r="O863" i="4"/>
  <c r="N863" i="4"/>
  <c r="M863" i="4"/>
  <c r="L863" i="4"/>
  <c r="K863" i="4"/>
  <c r="J863" i="4"/>
  <c r="Q863" i="5" s="1"/>
  <c r="P862" i="4"/>
  <c r="O862" i="4"/>
  <c r="N862" i="4"/>
  <c r="M862" i="4"/>
  <c r="N862" i="5" s="1"/>
  <c r="L862" i="4"/>
  <c r="K862" i="4"/>
  <c r="J862" i="4"/>
  <c r="Q862" i="5" s="1"/>
  <c r="P861" i="4"/>
  <c r="O861" i="4"/>
  <c r="N861" i="4"/>
  <c r="M861" i="4"/>
  <c r="L861" i="4"/>
  <c r="K861" i="4"/>
  <c r="J861" i="4"/>
  <c r="Q861" i="5" s="1"/>
  <c r="P860" i="4"/>
  <c r="O860" i="4"/>
  <c r="N860" i="4"/>
  <c r="M860" i="4"/>
  <c r="N860" i="5" s="1"/>
  <c r="L860" i="4"/>
  <c r="K860" i="4"/>
  <c r="J860" i="4"/>
  <c r="Q860" i="5" s="1"/>
  <c r="P859" i="4"/>
  <c r="O859" i="4"/>
  <c r="N859" i="4"/>
  <c r="M859" i="4"/>
  <c r="L859" i="4"/>
  <c r="K859" i="4"/>
  <c r="J859" i="4"/>
  <c r="Q859" i="5" s="1"/>
  <c r="P858" i="4"/>
  <c r="O858" i="4"/>
  <c r="N858" i="4"/>
  <c r="M858" i="4"/>
  <c r="N858" i="5" s="1"/>
  <c r="L858" i="4"/>
  <c r="K858" i="4"/>
  <c r="J858" i="4"/>
  <c r="Q858" i="5" s="1"/>
  <c r="P857" i="4"/>
  <c r="O857" i="4"/>
  <c r="N857" i="4"/>
  <c r="M857" i="4"/>
  <c r="L857" i="4"/>
  <c r="K857" i="4"/>
  <c r="J857" i="4"/>
  <c r="Q857" i="5" s="1"/>
  <c r="P856" i="4"/>
  <c r="O856" i="4"/>
  <c r="N856" i="4"/>
  <c r="M856" i="4"/>
  <c r="N856" i="5" s="1"/>
  <c r="L856" i="4"/>
  <c r="K856" i="4"/>
  <c r="J856" i="4"/>
  <c r="Q856" i="5" s="1"/>
  <c r="P855" i="4"/>
  <c r="O855" i="4"/>
  <c r="N855" i="4"/>
  <c r="M855" i="4"/>
  <c r="L855" i="4"/>
  <c r="K855" i="4"/>
  <c r="J855" i="4"/>
  <c r="Q855" i="5" s="1"/>
  <c r="P854" i="4"/>
  <c r="O854" i="4"/>
  <c r="N854" i="4"/>
  <c r="M854" i="4"/>
  <c r="N854" i="5" s="1"/>
  <c r="L854" i="4"/>
  <c r="K854" i="4"/>
  <c r="J854" i="4"/>
  <c r="Q854" i="5" s="1"/>
  <c r="P853" i="4"/>
  <c r="O853" i="4"/>
  <c r="N853" i="4"/>
  <c r="M853" i="4"/>
  <c r="L853" i="4"/>
  <c r="K853" i="4"/>
  <c r="J853" i="4"/>
  <c r="Q853" i="5" s="1"/>
  <c r="P852" i="4"/>
  <c r="O852" i="4"/>
  <c r="N852" i="4"/>
  <c r="M852" i="4"/>
  <c r="N852" i="5" s="1"/>
  <c r="L852" i="4"/>
  <c r="K852" i="4"/>
  <c r="J852" i="4"/>
  <c r="Q852" i="5" s="1"/>
  <c r="P851" i="4"/>
  <c r="O851" i="4"/>
  <c r="N851" i="4"/>
  <c r="M851" i="4"/>
  <c r="L851" i="4"/>
  <c r="K851" i="4"/>
  <c r="J851" i="4"/>
  <c r="Q851" i="5" s="1"/>
  <c r="P850" i="4"/>
  <c r="O850" i="4"/>
  <c r="N850" i="4"/>
  <c r="M850" i="4"/>
  <c r="N850" i="5" s="1"/>
  <c r="L850" i="4"/>
  <c r="K850" i="4"/>
  <c r="J850" i="4"/>
  <c r="Q850" i="5" s="1"/>
  <c r="P849" i="4"/>
  <c r="O849" i="4"/>
  <c r="N849" i="4"/>
  <c r="M849" i="4"/>
  <c r="L849" i="4"/>
  <c r="K849" i="4"/>
  <c r="J849" i="4"/>
  <c r="Q849" i="5" s="1"/>
  <c r="P848" i="4"/>
  <c r="O848" i="4"/>
  <c r="N848" i="4"/>
  <c r="M848" i="4"/>
  <c r="N848" i="5" s="1"/>
  <c r="L848" i="4"/>
  <c r="K848" i="4"/>
  <c r="J848" i="4"/>
  <c r="Q848" i="5" s="1"/>
  <c r="P847" i="4"/>
  <c r="O847" i="4"/>
  <c r="N847" i="4"/>
  <c r="M847" i="4"/>
  <c r="L847" i="4"/>
  <c r="K847" i="4"/>
  <c r="J847" i="4"/>
  <c r="Q847" i="5" s="1"/>
  <c r="P846" i="4"/>
  <c r="O846" i="4"/>
  <c r="N846" i="4"/>
  <c r="M846" i="4"/>
  <c r="N846" i="5" s="1"/>
  <c r="L846" i="4"/>
  <c r="K846" i="4"/>
  <c r="J846" i="4"/>
  <c r="Q846" i="5" s="1"/>
  <c r="P845" i="4"/>
  <c r="O845" i="4"/>
  <c r="N845" i="4"/>
  <c r="M845" i="4"/>
  <c r="L845" i="4"/>
  <c r="K845" i="4"/>
  <c r="J845" i="4"/>
  <c r="Q845" i="5" s="1"/>
  <c r="P844" i="4"/>
  <c r="O844" i="4"/>
  <c r="N844" i="4"/>
  <c r="M844" i="4"/>
  <c r="N844" i="5" s="1"/>
  <c r="L844" i="4"/>
  <c r="K844" i="4"/>
  <c r="J844" i="4"/>
  <c r="Q844" i="5" s="1"/>
  <c r="P843" i="4"/>
  <c r="O843" i="4"/>
  <c r="N843" i="4"/>
  <c r="M843" i="4"/>
  <c r="L843" i="4"/>
  <c r="K843" i="4"/>
  <c r="J843" i="4"/>
  <c r="Q843" i="5" s="1"/>
  <c r="P842" i="4"/>
  <c r="O842" i="4"/>
  <c r="N842" i="4"/>
  <c r="M842" i="4"/>
  <c r="N842" i="5" s="1"/>
  <c r="L842" i="4"/>
  <c r="K842" i="4"/>
  <c r="J842" i="4"/>
  <c r="Q842" i="5" s="1"/>
  <c r="P841" i="4"/>
  <c r="O841" i="4"/>
  <c r="N841" i="4"/>
  <c r="M841" i="4"/>
  <c r="L841" i="4"/>
  <c r="K841" i="4"/>
  <c r="J841" i="4"/>
  <c r="Q841" i="5" s="1"/>
  <c r="P840" i="4"/>
  <c r="O840" i="4"/>
  <c r="N840" i="4"/>
  <c r="M840" i="4"/>
  <c r="N840" i="5" s="1"/>
  <c r="L840" i="4"/>
  <c r="K840" i="4"/>
  <c r="J840" i="4"/>
  <c r="Q840" i="5" s="1"/>
  <c r="P839" i="4"/>
  <c r="O839" i="4"/>
  <c r="N839" i="4"/>
  <c r="M839" i="4"/>
  <c r="L839" i="4"/>
  <c r="K839" i="4"/>
  <c r="J839" i="4"/>
  <c r="Q839" i="5" s="1"/>
  <c r="P838" i="4"/>
  <c r="O838" i="4"/>
  <c r="N838" i="4"/>
  <c r="M838" i="4"/>
  <c r="N838" i="5" s="1"/>
  <c r="L838" i="4"/>
  <c r="K838" i="4"/>
  <c r="J838" i="4"/>
  <c r="Q838" i="5" s="1"/>
  <c r="P837" i="4"/>
  <c r="O837" i="4"/>
  <c r="N837" i="4"/>
  <c r="M837" i="4"/>
  <c r="L837" i="4"/>
  <c r="K837" i="4"/>
  <c r="J837" i="4"/>
  <c r="Q837" i="5" s="1"/>
  <c r="P836" i="4"/>
  <c r="O836" i="4"/>
  <c r="N836" i="4"/>
  <c r="M836" i="4"/>
  <c r="N836" i="5" s="1"/>
  <c r="L836" i="4"/>
  <c r="K836" i="4"/>
  <c r="J836" i="4"/>
  <c r="Q836" i="5" s="1"/>
  <c r="P835" i="4"/>
  <c r="O835" i="4"/>
  <c r="N835" i="4"/>
  <c r="M835" i="4"/>
  <c r="L835" i="4"/>
  <c r="K835" i="4"/>
  <c r="J835" i="4"/>
  <c r="Q835" i="5" s="1"/>
  <c r="P834" i="4"/>
  <c r="O834" i="4"/>
  <c r="N834" i="4"/>
  <c r="M834" i="4"/>
  <c r="N834" i="5" s="1"/>
  <c r="L834" i="4"/>
  <c r="K834" i="4"/>
  <c r="J834" i="4"/>
  <c r="Q834" i="5" s="1"/>
  <c r="P833" i="4"/>
  <c r="O833" i="4"/>
  <c r="N833" i="4"/>
  <c r="M833" i="4"/>
  <c r="L833" i="4"/>
  <c r="K833" i="4"/>
  <c r="J833" i="4"/>
  <c r="Q833" i="5" s="1"/>
  <c r="P832" i="4"/>
  <c r="O832" i="4"/>
  <c r="N832" i="4"/>
  <c r="M832" i="4"/>
  <c r="N832" i="5" s="1"/>
  <c r="L832" i="4"/>
  <c r="K832" i="4"/>
  <c r="J832" i="4"/>
  <c r="Q832" i="5" s="1"/>
  <c r="P831" i="4"/>
  <c r="O831" i="4"/>
  <c r="N831" i="4"/>
  <c r="M831" i="4"/>
  <c r="L831" i="4"/>
  <c r="K831" i="4"/>
  <c r="J831" i="4"/>
  <c r="Q831" i="5" s="1"/>
  <c r="P830" i="4"/>
  <c r="O830" i="4"/>
  <c r="N830" i="4"/>
  <c r="M830" i="4"/>
  <c r="N830" i="5" s="1"/>
  <c r="L830" i="4"/>
  <c r="K830" i="4"/>
  <c r="J830" i="4"/>
  <c r="Q830" i="5" s="1"/>
  <c r="P829" i="4"/>
  <c r="O829" i="4"/>
  <c r="N829" i="4"/>
  <c r="M829" i="4"/>
  <c r="L829" i="4"/>
  <c r="K829" i="4"/>
  <c r="J829" i="4"/>
  <c r="Q829" i="5" s="1"/>
  <c r="P828" i="4"/>
  <c r="O828" i="4"/>
  <c r="N828" i="4"/>
  <c r="M828" i="4"/>
  <c r="N828" i="5" s="1"/>
  <c r="L828" i="4"/>
  <c r="K828" i="4"/>
  <c r="J828" i="4"/>
  <c r="Q828" i="5" s="1"/>
  <c r="P827" i="4"/>
  <c r="O827" i="4"/>
  <c r="N827" i="4"/>
  <c r="M827" i="4"/>
  <c r="L827" i="4"/>
  <c r="K827" i="4"/>
  <c r="J827" i="4"/>
  <c r="Q827" i="5" s="1"/>
  <c r="P826" i="4"/>
  <c r="O826" i="4"/>
  <c r="N826" i="4"/>
  <c r="M826" i="4"/>
  <c r="N826" i="5" s="1"/>
  <c r="L826" i="4"/>
  <c r="K826" i="4"/>
  <c r="J826" i="4"/>
  <c r="Q826" i="5" s="1"/>
  <c r="P825" i="4"/>
  <c r="O825" i="4"/>
  <c r="N825" i="4"/>
  <c r="M825" i="4"/>
  <c r="L825" i="4"/>
  <c r="K825" i="4"/>
  <c r="J825" i="4"/>
  <c r="Q825" i="5" s="1"/>
  <c r="P824" i="4"/>
  <c r="O824" i="4"/>
  <c r="N824" i="4"/>
  <c r="M824" i="4"/>
  <c r="N824" i="5" s="1"/>
  <c r="L824" i="4"/>
  <c r="K824" i="4"/>
  <c r="J824" i="4"/>
  <c r="Q824" i="5" s="1"/>
  <c r="P823" i="4"/>
  <c r="O823" i="4"/>
  <c r="N823" i="4"/>
  <c r="M823" i="4"/>
  <c r="L823" i="4"/>
  <c r="K823" i="4"/>
  <c r="J823" i="4"/>
  <c r="Q823" i="5" s="1"/>
  <c r="P822" i="4"/>
  <c r="O822" i="4"/>
  <c r="N822" i="4"/>
  <c r="M822" i="4"/>
  <c r="N822" i="5" s="1"/>
  <c r="L822" i="4"/>
  <c r="K822" i="4"/>
  <c r="J822" i="4"/>
  <c r="Q822" i="5" s="1"/>
  <c r="P821" i="4"/>
  <c r="O821" i="4"/>
  <c r="N821" i="4"/>
  <c r="M821" i="4"/>
  <c r="L821" i="4"/>
  <c r="K821" i="4"/>
  <c r="J821" i="4"/>
  <c r="Q821" i="5" s="1"/>
  <c r="P820" i="4"/>
  <c r="O820" i="4"/>
  <c r="N820" i="4"/>
  <c r="M820" i="4"/>
  <c r="N820" i="5" s="1"/>
  <c r="L820" i="4"/>
  <c r="K820" i="4"/>
  <c r="J820" i="4"/>
  <c r="Q820" i="5" s="1"/>
  <c r="P819" i="4"/>
  <c r="O819" i="4"/>
  <c r="N819" i="4"/>
  <c r="M819" i="4"/>
  <c r="L819" i="4"/>
  <c r="K819" i="4"/>
  <c r="J819" i="4"/>
  <c r="Q819" i="5" s="1"/>
  <c r="P818" i="4"/>
  <c r="O818" i="4"/>
  <c r="N818" i="4"/>
  <c r="M818" i="4"/>
  <c r="N818" i="5" s="1"/>
  <c r="L818" i="4"/>
  <c r="K818" i="4"/>
  <c r="J818" i="4"/>
  <c r="Q818" i="5" s="1"/>
  <c r="P817" i="4"/>
  <c r="O817" i="4"/>
  <c r="N817" i="4"/>
  <c r="M817" i="4"/>
  <c r="L817" i="4"/>
  <c r="K817" i="4"/>
  <c r="J817" i="4"/>
  <c r="Q817" i="5" s="1"/>
  <c r="P816" i="4"/>
  <c r="O816" i="4"/>
  <c r="N816" i="4"/>
  <c r="M816" i="4"/>
  <c r="N816" i="5" s="1"/>
  <c r="L816" i="4"/>
  <c r="K816" i="4"/>
  <c r="J816" i="4"/>
  <c r="Q816" i="5" s="1"/>
  <c r="P815" i="4"/>
  <c r="O815" i="4"/>
  <c r="N815" i="4"/>
  <c r="M815" i="4"/>
  <c r="L815" i="4"/>
  <c r="K815" i="4"/>
  <c r="J815" i="4"/>
  <c r="Q815" i="5" s="1"/>
  <c r="P814" i="4"/>
  <c r="O814" i="4"/>
  <c r="N814" i="4"/>
  <c r="M814" i="4"/>
  <c r="N814" i="5" s="1"/>
  <c r="L814" i="4"/>
  <c r="K814" i="4"/>
  <c r="J814" i="4"/>
  <c r="Q814" i="5" s="1"/>
  <c r="P813" i="4"/>
  <c r="O813" i="4"/>
  <c r="N813" i="4"/>
  <c r="M813" i="4"/>
  <c r="L813" i="4"/>
  <c r="K813" i="4"/>
  <c r="J813" i="4"/>
  <c r="Q813" i="5" s="1"/>
  <c r="P812" i="4"/>
  <c r="O812" i="4"/>
  <c r="N812" i="4"/>
  <c r="M812" i="4"/>
  <c r="N812" i="5" s="1"/>
  <c r="L812" i="4"/>
  <c r="K812" i="4"/>
  <c r="J812" i="4"/>
  <c r="Q812" i="5" s="1"/>
  <c r="P811" i="4"/>
  <c r="O811" i="4"/>
  <c r="N811" i="4"/>
  <c r="M811" i="4"/>
  <c r="L811" i="4"/>
  <c r="K811" i="4"/>
  <c r="J811" i="4"/>
  <c r="Q811" i="5" s="1"/>
  <c r="P810" i="4"/>
  <c r="O810" i="4"/>
  <c r="N810" i="4"/>
  <c r="M810" i="4"/>
  <c r="N810" i="5" s="1"/>
  <c r="L810" i="4"/>
  <c r="K810" i="4"/>
  <c r="J810" i="4"/>
  <c r="Q810" i="5" s="1"/>
  <c r="P809" i="4"/>
  <c r="O809" i="4"/>
  <c r="N809" i="4"/>
  <c r="M809" i="4"/>
  <c r="L809" i="4"/>
  <c r="K809" i="4"/>
  <c r="J809" i="4"/>
  <c r="Q809" i="5" s="1"/>
  <c r="P808" i="4"/>
  <c r="O808" i="4"/>
  <c r="N808" i="4"/>
  <c r="M808" i="4"/>
  <c r="N808" i="5" s="1"/>
  <c r="L808" i="4"/>
  <c r="K808" i="4"/>
  <c r="J808" i="4"/>
  <c r="Q808" i="5" s="1"/>
  <c r="P807" i="4"/>
  <c r="O807" i="4"/>
  <c r="N807" i="4"/>
  <c r="M807" i="4"/>
  <c r="L807" i="4"/>
  <c r="K807" i="4"/>
  <c r="J807" i="4"/>
  <c r="Q807" i="5" s="1"/>
  <c r="P806" i="4"/>
  <c r="O806" i="4"/>
  <c r="N806" i="4"/>
  <c r="M806" i="4"/>
  <c r="N806" i="5" s="1"/>
  <c r="L806" i="4"/>
  <c r="K806" i="4"/>
  <c r="J806" i="4"/>
  <c r="Q806" i="5" s="1"/>
  <c r="P805" i="4"/>
  <c r="O805" i="4"/>
  <c r="N805" i="4"/>
  <c r="M805" i="4"/>
  <c r="L805" i="4"/>
  <c r="K805" i="4"/>
  <c r="J805" i="4"/>
  <c r="Q805" i="5" s="1"/>
  <c r="P804" i="4"/>
  <c r="O804" i="4"/>
  <c r="N804" i="4"/>
  <c r="M804" i="4"/>
  <c r="N804" i="5" s="1"/>
  <c r="L804" i="4"/>
  <c r="K804" i="4"/>
  <c r="J804" i="4"/>
  <c r="Q804" i="5" s="1"/>
  <c r="P803" i="4"/>
  <c r="O803" i="4"/>
  <c r="N803" i="4"/>
  <c r="M803" i="4"/>
  <c r="L803" i="4"/>
  <c r="K803" i="4"/>
  <c r="J803" i="4"/>
  <c r="Q803" i="5" s="1"/>
  <c r="P802" i="4"/>
  <c r="O802" i="4"/>
  <c r="N802" i="4"/>
  <c r="M802" i="4"/>
  <c r="N802" i="5" s="1"/>
  <c r="L802" i="4"/>
  <c r="K802" i="4"/>
  <c r="J802" i="4"/>
  <c r="Q802" i="5" s="1"/>
  <c r="P801" i="4"/>
  <c r="O801" i="4"/>
  <c r="N801" i="4"/>
  <c r="M801" i="4"/>
  <c r="L801" i="4"/>
  <c r="K801" i="4"/>
  <c r="J801" i="4"/>
  <c r="Q801" i="5" s="1"/>
  <c r="P800" i="4"/>
  <c r="O800" i="4"/>
  <c r="N800" i="4"/>
  <c r="M800" i="4"/>
  <c r="N800" i="5" s="1"/>
  <c r="L800" i="4"/>
  <c r="K800" i="4"/>
  <c r="J800" i="4"/>
  <c r="Q800" i="5" s="1"/>
  <c r="P799" i="4"/>
  <c r="O799" i="4"/>
  <c r="N799" i="4"/>
  <c r="M799" i="4"/>
  <c r="L799" i="4"/>
  <c r="K799" i="4"/>
  <c r="J799" i="4"/>
  <c r="Q799" i="5" s="1"/>
  <c r="P798" i="4"/>
  <c r="O798" i="4"/>
  <c r="N798" i="4"/>
  <c r="M798" i="4"/>
  <c r="N798" i="5" s="1"/>
  <c r="L798" i="4"/>
  <c r="K798" i="4"/>
  <c r="J798" i="4"/>
  <c r="Q798" i="5" s="1"/>
  <c r="P797" i="4"/>
  <c r="O797" i="4"/>
  <c r="N797" i="4"/>
  <c r="M797" i="4"/>
  <c r="L797" i="4"/>
  <c r="K797" i="4"/>
  <c r="J797" i="4"/>
  <c r="Q797" i="5" s="1"/>
  <c r="P796" i="4"/>
  <c r="O796" i="4"/>
  <c r="N796" i="4"/>
  <c r="M796" i="4"/>
  <c r="N796" i="5" s="1"/>
  <c r="L796" i="4"/>
  <c r="K796" i="4"/>
  <c r="J796" i="4"/>
  <c r="Q796" i="5" s="1"/>
  <c r="P795" i="4"/>
  <c r="O795" i="4"/>
  <c r="N795" i="4"/>
  <c r="M795" i="4"/>
  <c r="L795" i="4"/>
  <c r="K795" i="4"/>
  <c r="J795" i="4"/>
  <c r="Q795" i="5" s="1"/>
  <c r="P794" i="4"/>
  <c r="O794" i="4"/>
  <c r="N794" i="4"/>
  <c r="M794" i="4"/>
  <c r="N794" i="5" s="1"/>
  <c r="L794" i="4"/>
  <c r="K794" i="4"/>
  <c r="J794" i="4"/>
  <c r="Q794" i="5" s="1"/>
  <c r="P793" i="4"/>
  <c r="O793" i="4"/>
  <c r="N793" i="4"/>
  <c r="M793" i="4"/>
  <c r="L793" i="4"/>
  <c r="K793" i="4"/>
  <c r="J793" i="4"/>
  <c r="Q793" i="5" s="1"/>
  <c r="P792" i="4"/>
  <c r="O792" i="4"/>
  <c r="N792" i="4"/>
  <c r="M792" i="4"/>
  <c r="N792" i="5" s="1"/>
  <c r="L792" i="4"/>
  <c r="K792" i="4"/>
  <c r="J792" i="4"/>
  <c r="Q792" i="5" s="1"/>
  <c r="P791" i="4"/>
  <c r="O791" i="4"/>
  <c r="N791" i="4"/>
  <c r="M791" i="4"/>
  <c r="L791" i="4"/>
  <c r="K791" i="4"/>
  <c r="J791" i="4"/>
  <c r="Q791" i="5" s="1"/>
  <c r="P790" i="4"/>
  <c r="O790" i="4"/>
  <c r="N790" i="4"/>
  <c r="M790" i="4"/>
  <c r="N790" i="5" s="1"/>
  <c r="L790" i="4"/>
  <c r="K790" i="4"/>
  <c r="J790" i="4"/>
  <c r="Q790" i="5" s="1"/>
  <c r="P789" i="4"/>
  <c r="O789" i="4"/>
  <c r="N789" i="4"/>
  <c r="M789" i="4"/>
  <c r="L789" i="4"/>
  <c r="K789" i="4"/>
  <c r="J789" i="4"/>
  <c r="Q789" i="5" s="1"/>
  <c r="P788" i="4"/>
  <c r="O788" i="4"/>
  <c r="N788" i="4"/>
  <c r="M788" i="4"/>
  <c r="N788" i="5" s="1"/>
  <c r="L788" i="4"/>
  <c r="K788" i="4"/>
  <c r="J788" i="4"/>
  <c r="Q788" i="5" s="1"/>
  <c r="P787" i="4"/>
  <c r="O787" i="4"/>
  <c r="N787" i="4"/>
  <c r="M787" i="4"/>
  <c r="L787" i="4"/>
  <c r="K787" i="4"/>
  <c r="J787" i="4"/>
  <c r="Q787" i="5" s="1"/>
  <c r="P786" i="4"/>
  <c r="O786" i="4"/>
  <c r="N786" i="4"/>
  <c r="M786" i="4"/>
  <c r="N786" i="5" s="1"/>
  <c r="L786" i="4"/>
  <c r="K786" i="4"/>
  <c r="J786" i="4"/>
  <c r="Q786" i="5" s="1"/>
  <c r="P785" i="4"/>
  <c r="O785" i="4"/>
  <c r="N785" i="4"/>
  <c r="M785" i="4"/>
  <c r="L785" i="4"/>
  <c r="K785" i="4"/>
  <c r="J785" i="4"/>
  <c r="Q785" i="5" s="1"/>
  <c r="P784" i="4"/>
  <c r="O784" i="4"/>
  <c r="N784" i="4"/>
  <c r="M784" i="4"/>
  <c r="N784" i="5" s="1"/>
  <c r="L784" i="4"/>
  <c r="K784" i="4"/>
  <c r="J784" i="4"/>
  <c r="Q784" i="5" s="1"/>
  <c r="P783" i="4"/>
  <c r="O783" i="4"/>
  <c r="N783" i="4"/>
  <c r="M783" i="4"/>
  <c r="L783" i="4"/>
  <c r="K783" i="4"/>
  <c r="J783" i="4"/>
  <c r="Q783" i="5" s="1"/>
  <c r="P782" i="4"/>
  <c r="O782" i="4"/>
  <c r="N782" i="4"/>
  <c r="M782" i="4"/>
  <c r="N782" i="5" s="1"/>
  <c r="L782" i="4"/>
  <c r="K782" i="4"/>
  <c r="J782" i="4"/>
  <c r="Q782" i="5" s="1"/>
  <c r="P781" i="4"/>
  <c r="O781" i="4"/>
  <c r="N781" i="4"/>
  <c r="M781" i="4"/>
  <c r="L781" i="4"/>
  <c r="K781" i="4"/>
  <c r="J781" i="4"/>
  <c r="Q781" i="5" s="1"/>
  <c r="P780" i="4"/>
  <c r="O780" i="4"/>
  <c r="N780" i="4"/>
  <c r="M780" i="4"/>
  <c r="N780" i="5" s="1"/>
  <c r="L780" i="4"/>
  <c r="K780" i="4"/>
  <c r="J780" i="4"/>
  <c r="Q780" i="5" s="1"/>
  <c r="P779" i="4"/>
  <c r="O779" i="4"/>
  <c r="N779" i="4"/>
  <c r="M779" i="4"/>
  <c r="L779" i="4"/>
  <c r="K779" i="4"/>
  <c r="J779" i="4"/>
  <c r="Q779" i="5" s="1"/>
  <c r="P778" i="4"/>
  <c r="O778" i="4"/>
  <c r="N778" i="4"/>
  <c r="M778" i="4"/>
  <c r="N778" i="5" s="1"/>
  <c r="L778" i="4"/>
  <c r="K778" i="4"/>
  <c r="J778" i="4"/>
  <c r="Q778" i="5" s="1"/>
  <c r="P777" i="4"/>
  <c r="O777" i="4"/>
  <c r="N777" i="4"/>
  <c r="M777" i="4"/>
  <c r="L777" i="4"/>
  <c r="K777" i="4"/>
  <c r="J777" i="4"/>
  <c r="Q777" i="5" s="1"/>
  <c r="P776" i="4"/>
  <c r="O776" i="4"/>
  <c r="N776" i="4"/>
  <c r="M776" i="4"/>
  <c r="N776" i="5" s="1"/>
  <c r="L776" i="4"/>
  <c r="K776" i="4"/>
  <c r="J776" i="4"/>
  <c r="Q776" i="5" s="1"/>
  <c r="P775" i="4"/>
  <c r="O775" i="4"/>
  <c r="N775" i="4"/>
  <c r="M775" i="4"/>
  <c r="L775" i="4"/>
  <c r="K775" i="4"/>
  <c r="J775" i="4"/>
  <c r="Q775" i="5" s="1"/>
  <c r="P774" i="4"/>
  <c r="O774" i="4"/>
  <c r="N774" i="4"/>
  <c r="M774" i="4"/>
  <c r="N774" i="5" s="1"/>
  <c r="L774" i="4"/>
  <c r="K774" i="4"/>
  <c r="J774" i="4"/>
  <c r="Q774" i="5" s="1"/>
  <c r="P773" i="4"/>
  <c r="O773" i="4"/>
  <c r="N773" i="4"/>
  <c r="M773" i="4"/>
  <c r="L773" i="4"/>
  <c r="K773" i="4"/>
  <c r="J773" i="4"/>
  <c r="Q773" i="5" s="1"/>
  <c r="P772" i="4"/>
  <c r="O772" i="4"/>
  <c r="N772" i="4"/>
  <c r="M772" i="4"/>
  <c r="N772" i="5" s="1"/>
  <c r="L772" i="4"/>
  <c r="K772" i="4"/>
  <c r="J772" i="4"/>
  <c r="Q772" i="5" s="1"/>
  <c r="P771" i="4"/>
  <c r="O771" i="4"/>
  <c r="N771" i="4"/>
  <c r="M771" i="4"/>
  <c r="L771" i="4"/>
  <c r="K771" i="4"/>
  <c r="J771" i="4"/>
  <c r="Q771" i="5" s="1"/>
  <c r="P770" i="4"/>
  <c r="O770" i="4"/>
  <c r="N770" i="4"/>
  <c r="M770" i="4"/>
  <c r="N770" i="5" s="1"/>
  <c r="L770" i="4"/>
  <c r="K770" i="4"/>
  <c r="J770" i="4"/>
  <c r="Q770" i="5" s="1"/>
  <c r="P769" i="4"/>
  <c r="O769" i="4"/>
  <c r="N769" i="4"/>
  <c r="M769" i="4"/>
  <c r="L769" i="4"/>
  <c r="K769" i="4"/>
  <c r="J769" i="4"/>
  <c r="Q769" i="5" s="1"/>
  <c r="P768" i="4"/>
  <c r="O768" i="4"/>
  <c r="N768" i="4"/>
  <c r="M768" i="4"/>
  <c r="N768" i="5" s="1"/>
  <c r="L768" i="4"/>
  <c r="K768" i="4"/>
  <c r="J768" i="4"/>
  <c r="Q768" i="5" s="1"/>
  <c r="P767" i="4"/>
  <c r="O767" i="4"/>
  <c r="N767" i="4"/>
  <c r="M767" i="4"/>
  <c r="L767" i="4"/>
  <c r="K767" i="4"/>
  <c r="J767" i="4"/>
  <c r="Q767" i="5" s="1"/>
  <c r="P766" i="4"/>
  <c r="O766" i="4"/>
  <c r="N766" i="4"/>
  <c r="M766" i="4"/>
  <c r="N766" i="5" s="1"/>
  <c r="L766" i="4"/>
  <c r="K766" i="4"/>
  <c r="J766" i="4"/>
  <c r="Q766" i="5" s="1"/>
  <c r="P765" i="4"/>
  <c r="O765" i="4"/>
  <c r="N765" i="4"/>
  <c r="M765" i="4"/>
  <c r="L765" i="4"/>
  <c r="K765" i="4"/>
  <c r="J765" i="4"/>
  <c r="Q765" i="5" s="1"/>
  <c r="P764" i="4"/>
  <c r="O764" i="4"/>
  <c r="N764" i="4"/>
  <c r="M764" i="4"/>
  <c r="N764" i="5" s="1"/>
  <c r="L764" i="4"/>
  <c r="K764" i="4"/>
  <c r="J764" i="4"/>
  <c r="Q764" i="5" s="1"/>
  <c r="P763" i="4"/>
  <c r="O763" i="4"/>
  <c r="N763" i="4"/>
  <c r="M763" i="4"/>
  <c r="L763" i="4"/>
  <c r="K763" i="4"/>
  <c r="J763" i="4"/>
  <c r="Q763" i="5" s="1"/>
  <c r="P762" i="4"/>
  <c r="O762" i="4"/>
  <c r="N762" i="4"/>
  <c r="M762" i="4"/>
  <c r="N762" i="5" s="1"/>
  <c r="L762" i="4"/>
  <c r="K762" i="4"/>
  <c r="J762" i="4"/>
  <c r="Q762" i="5" s="1"/>
  <c r="P761" i="4"/>
  <c r="O761" i="4"/>
  <c r="N761" i="4"/>
  <c r="M761" i="4"/>
  <c r="L761" i="4"/>
  <c r="K761" i="4"/>
  <c r="J761" i="4"/>
  <c r="Q761" i="5" s="1"/>
  <c r="P760" i="4"/>
  <c r="O760" i="4"/>
  <c r="N760" i="4"/>
  <c r="M760" i="4"/>
  <c r="N760" i="5" s="1"/>
  <c r="L760" i="4"/>
  <c r="K760" i="4"/>
  <c r="J760" i="4"/>
  <c r="Q760" i="5" s="1"/>
  <c r="P759" i="4"/>
  <c r="O759" i="4"/>
  <c r="N759" i="4"/>
  <c r="M759" i="4"/>
  <c r="L759" i="4"/>
  <c r="K759" i="4"/>
  <c r="J759" i="4"/>
  <c r="Q759" i="5" s="1"/>
  <c r="P758" i="4"/>
  <c r="O758" i="4"/>
  <c r="N758" i="4"/>
  <c r="M758" i="4"/>
  <c r="N758" i="5" s="1"/>
  <c r="L758" i="4"/>
  <c r="K758" i="4"/>
  <c r="J758" i="4"/>
  <c r="Q758" i="5" s="1"/>
  <c r="P757" i="4"/>
  <c r="O757" i="4"/>
  <c r="N757" i="4"/>
  <c r="M757" i="4"/>
  <c r="L757" i="4"/>
  <c r="K757" i="4"/>
  <c r="J757" i="4"/>
  <c r="Q757" i="5" s="1"/>
  <c r="P756" i="4"/>
  <c r="O756" i="4"/>
  <c r="N756" i="4"/>
  <c r="M756" i="4"/>
  <c r="N756" i="5" s="1"/>
  <c r="L756" i="4"/>
  <c r="K756" i="4"/>
  <c r="J756" i="4"/>
  <c r="Q756" i="5" s="1"/>
  <c r="P755" i="4"/>
  <c r="O755" i="4"/>
  <c r="N755" i="4"/>
  <c r="M755" i="4"/>
  <c r="L755" i="4"/>
  <c r="K755" i="4"/>
  <c r="J755" i="4"/>
  <c r="Q755" i="5" s="1"/>
  <c r="P754" i="4"/>
  <c r="O754" i="4"/>
  <c r="N754" i="4"/>
  <c r="M754" i="4"/>
  <c r="N754" i="5" s="1"/>
  <c r="L754" i="4"/>
  <c r="K754" i="4"/>
  <c r="J754" i="4"/>
  <c r="Q754" i="5" s="1"/>
  <c r="P753" i="4"/>
  <c r="O753" i="4"/>
  <c r="N753" i="4"/>
  <c r="M753" i="4"/>
  <c r="L753" i="4"/>
  <c r="K753" i="4"/>
  <c r="J753" i="4"/>
  <c r="Q753" i="5" s="1"/>
  <c r="P752" i="4"/>
  <c r="O752" i="4"/>
  <c r="N752" i="4"/>
  <c r="M752" i="4"/>
  <c r="N752" i="5" s="1"/>
  <c r="L752" i="4"/>
  <c r="K752" i="4"/>
  <c r="J752" i="4"/>
  <c r="Q752" i="5" s="1"/>
  <c r="P751" i="4"/>
  <c r="O751" i="4"/>
  <c r="N751" i="4"/>
  <c r="M751" i="4"/>
  <c r="L751" i="4"/>
  <c r="K751" i="4"/>
  <c r="J751" i="4"/>
  <c r="Q751" i="5" s="1"/>
  <c r="P750" i="4"/>
  <c r="O750" i="4"/>
  <c r="N750" i="4"/>
  <c r="M750" i="4"/>
  <c r="N750" i="5" s="1"/>
  <c r="L750" i="4"/>
  <c r="K750" i="4"/>
  <c r="J750" i="4"/>
  <c r="Q750" i="5" s="1"/>
  <c r="P749" i="4"/>
  <c r="O749" i="4"/>
  <c r="N749" i="4"/>
  <c r="M749" i="4"/>
  <c r="L749" i="4"/>
  <c r="K749" i="4"/>
  <c r="J749" i="4"/>
  <c r="Q749" i="5" s="1"/>
  <c r="P748" i="4"/>
  <c r="O748" i="4"/>
  <c r="N748" i="4"/>
  <c r="M748" i="4"/>
  <c r="N748" i="5" s="1"/>
  <c r="L748" i="4"/>
  <c r="K748" i="4"/>
  <c r="J748" i="4"/>
  <c r="Q748" i="5" s="1"/>
  <c r="P747" i="4"/>
  <c r="O747" i="4"/>
  <c r="N747" i="4"/>
  <c r="M747" i="4"/>
  <c r="L747" i="4"/>
  <c r="K747" i="4"/>
  <c r="J747" i="4"/>
  <c r="Q747" i="5" s="1"/>
  <c r="P746" i="4"/>
  <c r="O746" i="4"/>
  <c r="N746" i="4"/>
  <c r="M746" i="4"/>
  <c r="N746" i="5" s="1"/>
  <c r="L746" i="4"/>
  <c r="K746" i="4"/>
  <c r="J746" i="4"/>
  <c r="Q746" i="5" s="1"/>
  <c r="P745" i="4"/>
  <c r="O745" i="4"/>
  <c r="N745" i="4"/>
  <c r="M745" i="4"/>
  <c r="L745" i="4"/>
  <c r="K745" i="4"/>
  <c r="J745" i="4"/>
  <c r="Q745" i="5" s="1"/>
  <c r="P744" i="4"/>
  <c r="O744" i="4"/>
  <c r="N744" i="4"/>
  <c r="M744" i="4"/>
  <c r="N744" i="5" s="1"/>
  <c r="L744" i="4"/>
  <c r="K744" i="4"/>
  <c r="J744" i="4"/>
  <c r="Q744" i="5" s="1"/>
  <c r="P743" i="4"/>
  <c r="O743" i="4"/>
  <c r="N743" i="4"/>
  <c r="M743" i="4"/>
  <c r="L743" i="4"/>
  <c r="K743" i="4"/>
  <c r="J743" i="4"/>
  <c r="Q743" i="5" s="1"/>
  <c r="P742" i="4"/>
  <c r="O742" i="4"/>
  <c r="N742" i="4"/>
  <c r="M742" i="4"/>
  <c r="N742" i="5" s="1"/>
  <c r="L742" i="4"/>
  <c r="K742" i="4"/>
  <c r="J742" i="4"/>
  <c r="Q742" i="5" s="1"/>
  <c r="P741" i="4"/>
  <c r="O741" i="4"/>
  <c r="N741" i="4"/>
  <c r="M741" i="4"/>
  <c r="L741" i="4"/>
  <c r="K741" i="4"/>
  <c r="J741" i="4"/>
  <c r="Q741" i="5" s="1"/>
  <c r="P740" i="4"/>
  <c r="O740" i="4"/>
  <c r="N740" i="4"/>
  <c r="M740" i="4"/>
  <c r="N740" i="5" s="1"/>
  <c r="L740" i="4"/>
  <c r="K740" i="4"/>
  <c r="J740" i="4"/>
  <c r="Q740" i="5" s="1"/>
  <c r="P739" i="4"/>
  <c r="O739" i="4"/>
  <c r="N739" i="4"/>
  <c r="M739" i="4"/>
  <c r="L739" i="4"/>
  <c r="K739" i="4"/>
  <c r="J739" i="4"/>
  <c r="Q739" i="5" s="1"/>
  <c r="P738" i="4"/>
  <c r="O738" i="4"/>
  <c r="N738" i="4"/>
  <c r="M738" i="4"/>
  <c r="N738" i="5" s="1"/>
  <c r="L738" i="4"/>
  <c r="K738" i="4"/>
  <c r="J738" i="4"/>
  <c r="Q738" i="5" s="1"/>
  <c r="P737" i="4"/>
  <c r="O737" i="4"/>
  <c r="N737" i="4"/>
  <c r="M737" i="4"/>
  <c r="L737" i="4"/>
  <c r="K737" i="4"/>
  <c r="J737" i="4"/>
  <c r="Q737" i="5" s="1"/>
  <c r="P736" i="4"/>
  <c r="O736" i="4"/>
  <c r="N736" i="4"/>
  <c r="M736" i="4"/>
  <c r="N736" i="5" s="1"/>
  <c r="L736" i="4"/>
  <c r="K736" i="4"/>
  <c r="J736" i="4"/>
  <c r="Q736" i="5" s="1"/>
  <c r="P735" i="4"/>
  <c r="O735" i="4"/>
  <c r="N735" i="4"/>
  <c r="M735" i="4"/>
  <c r="L735" i="4"/>
  <c r="K735" i="4"/>
  <c r="J735" i="4"/>
  <c r="Q735" i="5" s="1"/>
  <c r="P734" i="4"/>
  <c r="O734" i="4"/>
  <c r="N734" i="4"/>
  <c r="M734" i="4"/>
  <c r="N734" i="5" s="1"/>
  <c r="L734" i="4"/>
  <c r="K734" i="4"/>
  <c r="J734" i="4"/>
  <c r="Q734" i="5" s="1"/>
  <c r="P733" i="4"/>
  <c r="O733" i="4"/>
  <c r="N733" i="4"/>
  <c r="M733" i="4"/>
  <c r="L733" i="4"/>
  <c r="K733" i="4"/>
  <c r="J733" i="4"/>
  <c r="Q733" i="5" s="1"/>
  <c r="P732" i="4"/>
  <c r="O732" i="4"/>
  <c r="N732" i="4"/>
  <c r="M732" i="4"/>
  <c r="N732" i="5" s="1"/>
  <c r="L732" i="4"/>
  <c r="K732" i="4"/>
  <c r="J732" i="4"/>
  <c r="Q732" i="5" s="1"/>
  <c r="P731" i="4"/>
  <c r="O731" i="4"/>
  <c r="N731" i="4"/>
  <c r="M731" i="4"/>
  <c r="L731" i="4"/>
  <c r="K731" i="4"/>
  <c r="J731" i="4"/>
  <c r="Q731" i="5" s="1"/>
  <c r="P730" i="4"/>
  <c r="O730" i="4"/>
  <c r="N730" i="4"/>
  <c r="M730" i="4"/>
  <c r="N730" i="5" s="1"/>
  <c r="L730" i="4"/>
  <c r="K730" i="4"/>
  <c r="J730" i="4"/>
  <c r="Q730" i="5" s="1"/>
  <c r="P729" i="4"/>
  <c r="O729" i="4"/>
  <c r="N729" i="4"/>
  <c r="M729" i="4"/>
  <c r="L729" i="4"/>
  <c r="K729" i="4"/>
  <c r="J729" i="4"/>
  <c r="Q729" i="5" s="1"/>
  <c r="P728" i="4"/>
  <c r="O728" i="4"/>
  <c r="N728" i="4"/>
  <c r="M728" i="4"/>
  <c r="N728" i="5" s="1"/>
  <c r="L728" i="4"/>
  <c r="K728" i="4"/>
  <c r="J728" i="4"/>
  <c r="Q728" i="5" s="1"/>
  <c r="P727" i="4"/>
  <c r="O727" i="4"/>
  <c r="N727" i="4"/>
  <c r="M727" i="4"/>
  <c r="L727" i="4"/>
  <c r="K727" i="4"/>
  <c r="J727" i="4"/>
  <c r="Q727" i="5" s="1"/>
  <c r="P726" i="4"/>
  <c r="O726" i="4"/>
  <c r="N726" i="4"/>
  <c r="M726" i="4"/>
  <c r="N726" i="5" s="1"/>
  <c r="L726" i="4"/>
  <c r="K726" i="4"/>
  <c r="J726" i="4"/>
  <c r="Q726" i="5" s="1"/>
  <c r="P725" i="4"/>
  <c r="O725" i="4"/>
  <c r="N725" i="4"/>
  <c r="M725" i="4"/>
  <c r="L725" i="4"/>
  <c r="K725" i="4"/>
  <c r="J725" i="4"/>
  <c r="Q725" i="5" s="1"/>
  <c r="P724" i="4"/>
  <c r="O724" i="4"/>
  <c r="N724" i="4"/>
  <c r="M724" i="4"/>
  <c r="N724" i="5" s="1"/>
  <c r="L724" i="4"/>
  <c r="K724" i="4"/>
  <c r="J724" i="4"/>
  <c r="Q724" i="5" s="1"/>
  <c r="P723" i="4"/>
  <c r="O723" i="4"/>
  <c r="N723" i="4"/>
  <c r="M723" i="4"/>
  <c r="L723" i="4"/>
  <c r="K723" i="4"/>
  <c r="J723" i="4"/>
  <c r="Q723" i="5" s="1"/>
  <c r="P722" i="4"/>
  <c r="O722" i="4"/>
  <c r="N722" i="4"/>
  <c r="M722" i="4"/>
  <c r="N722" i="5" s="1"/>
  <c r="L722" i="4"/>
  <c r="K722" i="4"/>
  <c r="J722" i="4"/>
  <c r="Q722" i="5" s="1"/>
  <c r="P721" i="4"/>
  <c r="O721" i="4"/>
  <c r="N721" i="4"/>
  <c r="M721" i="4"/>
  <c r="L721" i="4"/>
  <c r="K721" i="4"/>
  <c r="J721" i="4"/>
  <c r="Q721" i="5" s="1"/>
  <c r="P720" i="4"/>
  <c r="O720" i="4"/>
  <c r="N720" i="4"/>
  <c r="M720" i="4"/>
  <c r="N720" i="5" s="1"/>
  <c r="L720" i="4"/>
  <c r="K720" i="4"/>
  <c r="J720" i="4"/>
  <c r="Q720" i="5" s="1"/>
  <c r="P719" i="4"/>
  <c r="O719" i="4"/>
  <c r="N719" i="4"/>
  <c r="M719" i="4"/>
  <c r="L719" i="4"/>
  <c r="K719" i="4"/>
  <c r="J719" i="4"/>
  <c r="Q719" i="5" s="1"/>
  <c r="P718" i="4"/>
  <c r="O718" i="4"/>
  <c r="N718" i="4"/>
  <c r="M718" i="4"/>
  <c r="N718" i="5" s="1"/>
  <c r="L718" i="4"/>
  <c r="K718" i="4"/>
  <c r="J718" i="4"/>
  <c r="Q718" i="5" s="1"/>
  <c r="P717" i="4"/>
  <c r="O717" i="4"/>
  <c r="N717" i="4"/>
  <c r="M717" i="4"/>
  <c r="L717" i="4"/>
  <c r="K717" i="4"/>
  <c r="J717" i="4"/>
  <c r="Q717" i="5" s="1"/>
  <c r="P716" i="4"/>
  <c r="O716" i="4"/>
  <c r="N716" i="4"/>
  <c r="M716" i="4"/>
  <c r="N716" i="5" s="1"/>
  <c r="L716" i="4"/>
  <c r="K716" i="4"/>
  <c r="J716" i="4"/>
  <c r="Q716" i="5" s="1"/>
  <c r="P715" i="4"/>
  <c r="O715" i="4"/>
  <c r="N715" i="4"/>
  <c r="M715" i="4"/>
  <c r="L715" i="4"/>
  <c r="K715" i="4"/>
  <c r="J715" i="4"/>
  <c r="Q715" i="5" s="1"/>
  <c r="P714" i="4"/>
  <c r="O714" i="4"/>
  <c r="N714" i="4"/>
  <c r="M714" i="4"/>
  <c r="N714" i="5" s="1"/>
  <c r="L714" i="4"/>
  <c r="K714" i="4"/>
  <c r="J714" i="4"/>
  <c r="Q714" i="5" s="1"/>
  <c r="P713" i="4"/>
  <c r="O713" i="4"/>
  <c r="N713" i="4"/>
  <c r="M713" i="4"/>
  <c r="L713" i="4"/>
  <c r="K713" i="4"/>
  <c r="J713" i="4"/>
  <c r="Q713" i="5" s="1"/>
  <c r="P712" i="4"/>
  <c r="O712" i="4"/>
  <c r="N712" i="4"/>
  <c r="M712" i="4"/>
  <c r="N712" i="5" s="1"/>
  <c r="L712" i="4"/>
  <c r="K712" i="4"/>
  <c r="J712" i="4"/>
  <c r="Q712" i="5" s="1"/>
  <c r="P711" i="4"/>
  <c r="O711" i="4"/>
  <c r="N711" i="4"/>
  <c r="M711" i="4"/>
  <c r="L711" i="4"/>
  <c r="K711" i="4"/>
  <c r="J711" i="4"/>
  <c r="Q711" i="5" s="1"/>
  <c r="P710" i="4"/>
  <c r="O710" i="4"/>
  <c r="N710" i="4"/>
  <c r="M710" i="4"/>
  <c r="N710" i="5" s="1"/>
  <c r="L710" i="4"/>
  <c r="K710" i="4"/>
  <c r="J710" i="4"/>
  <c r="Q710" i="5" s="1"/>
  <c r="P709" i="4"/>
  <c r="O709" i="4"/>
  <c r="N709" i="4"/>
  <c r="M709" i="4"/>
  <c r="L709" i="4"/>
  <c r="K709" i="4"/>
  <c r="J709" i="4"/>
  <c r="Q709" i="5" s="1"/>
  <c r="P708" i="4"/>
  <c r="O708" i="4"/>
  <c r="N708" i="4"/>
  <c r="M708" i="4"/>
  <c r="N708" i="5" s="1"/>
  <c r="L708" i="4"/>
  <c r="K708" i="4"/>
  <c r="J708" i="4"/>
  <c r="Q708" i="5" s="1"/>
  <c r="P707" i="4"/>
  <c r="O707" i="4"/>
  <c r="N707" i="4"/>
  <c r="M707" i="4"/>
  <c r="L707" i="4"/>
  <c r="K707" i="4"/>
  <c r="J707" i="4"/>
  <c r="Q707" i="5" s="1"/>
  <c r="P706" i="4"/>
  <c r="O706" i="4"/>
  <c r="N706" i="4"/>
  <c r="M706" i="4"/>
  <c r="N706" i="5" s="1"/>
  <c r="L706" i="4"/>
  <c r="K706" i="4"/>
  <c r="J706" i="4"/>
  <c r="Q706" i="5" s="1"/>
  <c r="P705" i="4"/>
  <c r="O705" i="4"/>
  <c r="N705" i="4"/>
  <c r="M705" i="4"/>
  <c r="L705" i="4"/>
  <c r="K705" i="4"/>
  <c r="J705" i="4"/>
  <c r="Q705" i="5" s="1"/>
  <c r="P704" i="4"/>
  <c r="O704" i="4"/>
  <c r="N704" i="4"/>
  <c r="M704" i="4"/>
  <c r="N704" i="5" s="1"/>
  <c r="L704" i="4"/>
  <c r="K704" i="4"/>
  <c r="J704" i="4"/>
  <c r="Q704" i="5" s="1"/>
  <c r="P703" i="4"/>
  <c r="O703" i="4"/>
  <c r="N703" i="4"/>
  <c r="M703" i="4"/>
  <c r="L703" i="4"/>
  <c r="K703" i="4"/>
  <c r="J703" i="4"/>
  <c r="Q703" i="5" s="1"/>
  <c r="P702" i="4"/>
  <c r="O702" i="4"/>
  <c r="N702" i="4"/>
  <c r="M702" i="4"/>
  <c r="N702" i="5" s="1"/>
  <c r="L702" i="4"/>
  <c r="K702" i="4"/>
  <c r="J702" i="4"/>
  <c r="Q702" i="5" s="1"/>
  <c r="P701" i="4"/>
  <c r="O701" i="4"/>
  <c r="N701" i="4"/>
  <c r="M701" i="4"/>
  <c r="L701" i="4"/>
  <c r="K701" i="4"/>
  <c r="J701" i="4"/>
  <c r="Q701" i="5" s="1"/>
  <c r="P700" i="4"/>
  <c r="O700" i="4"/>
  <c r="N700" i="4"/>
  <c r="M700" i="4"/>
  <c r="N700" i="5" s="1"/>
  <c r="L700" i="4"/>
  <c r="K700" i="4"/>
  <c r="J700" i="4"/>
  <c r="Q700" i="5" s="1"/>
  <c r="P699" i="4"/>
  <c r="O699" i="4"/>
  <c r="N699" i="4"/>
  <c r="M699" i="4"/>
  <c r="L699" i="4"/>
  <c r="K699" i="4"/>
  <c r="J699" i="4"/>
  <c r="Q699" i="5" s="1"/>
  <c r="P698" i="4"/>
  <c r="O698" i="4"/>
  <c r="N698" i="4"/>
  <c r="M698" i="4"/>
  <c r="N698" i="5" s="1"/>
  <c r="L698" i="4"/>
  <c r="K698" i="4"/>
  <c r="J698" i="4"/>
  <c r="Q698" i="5" s="1"/>
  <c r="P697" i="4"/>
  <c r="O697" i="4"/>
  <c r="N697" i="4"/>
  <c r="M697" i="4"/>
  <c r="L697" i="4"/>
  <c r="K697" i="4"/>
  <c r="J697" i="4"/>
  <c r="Q697" i="5" s="1"/>
  <c r="P696" i="4"/>
  <c r="O696" i="4"/>
  <c r="N696" i="4"/>
  <c r="M696" i="4"/>
  <c r="N696" i="5" s="1"/>
  <c r="L696" i="4"/>
  <c r="K696" i="4"/>
  <c r="J696" i="4"/>
  <c r="Q696" i="5" s="1"/>
  <c r="P695" i="4"/>
  <c r="O695" i="4"/>
  <c r="N695" i="4"/>
  <c r="M695" i="4"/>
  <c r="L695" i="4"/>
  <c r="K695" i="4"/>
  <c r="J695" i="4"/>
  <c r="Q695" i="5" s="1"/>
  <c r="P694" i="4"/>
  <c r="O694" i="4"/>
  <c r="N694" i="4"/>
  <c r="M694" i="4"/>
  <c r="N694" i="5" s="1"/>
  <c r="L694" i="4"/>
  <c r="K694" i="4"/>
  <c r="J694" i="4"/>
  <c r="Q694" i="5" s="1"/>
  <c r="P693" i="4"/>
  <c r="O693" i="4"/>
  <c r="N693" i="4"/>
  <c r="M693" i="4"/>
  <c r="L693" i="4"/>
  <c r="K693" i="4"/>
  <c r="J693" i="4"/>
  <c r="Q693" i="5" s="1"/>
  <c r="P692" i="4"/>
  <c r="O692" i="4"/>
  <c r="N692" i="4"/>
  <c r="M692" i="4"/>
  <c r="N692" i="5" s="1"/>
  <c r="L692" i="4"/>
  <c r="K692" i="4"/>
  <c r="J692" i="4"/>
  <c r="Q692" i="5" s="1"/>
  <c r="P691" i="4"/>
  <c r="O691" i="4"/>
  <c r="N691" i="4"/>
  <c r="M691" i="4"/>
  <c r="L691" i="4"/>
  <c r="K691" i="4"/>
  <c r="J691" i="4"/>
  <c r="Q691" i="5" s="1"/>
  <c r="P690" i="4"/>
  <c r="O690" i="4"/>
  <c r="N690" i="4"/>
  <c r="M690" i="4"/>
  <c r="N690" i="5" s="1"/>
  <c r="L690" i="4"/>
  <c r="K690" i="4"/>
  <c r="J690" i="4"/>
  <c r="Q690" i="5" s="1"/>
  <c r="P689" i="4"/>
  <c r="O689" i="4"/>
  <c r="N689" i="4"/>
  <c r="M689" i="4"/>
  <c r="L689" i="4"/>
  <c r="K689" i="4"/>
  <c r="J689" i="4"/>
  <c r="Q689" i="5" s="1"/>
  <c r="P688" i="4"/>
  <c r="O688" i="4"/>
  <c r="N688" i="4"/>
  <c r="M688" i="4"/>
  <c r="N688" i="5" s="1"/>
  <c r="L688" i="4"/>
  <c r="K688" i="4"/>
  <c r="J688" i="4"/>
  <c r="Q688" i="5" s="1"/>
  <c r="P687" i="4"/>
  <c r="O687" i="4"/>
  <c r="N687" i="4"/>
  <c r="M687" i="4"/>
  <c r="L687" i="4"/>
  <c r="K687" i="4"/>
  <c r="J687" i="4"/>
  <c r="Q687" i="5" s="1"/>
  <c r="P686" i="4"/>
  <c r="O686" i="4"/>
  <c r="N686" i="4"/>
  <c r="M686" i="4"/>
  <c r="N686" i="5" s="1"/>
  <c r="L686" i="4"/>
  <c r="K686" i="4"/>
  <c r="J686" i="4"/>
  <c r="Q686" i="5" s="1"/>
  <c r="P685" i="4"/>
  <c r="O685" i="4"/>
  <c r="N685" i="4"/>
  <c r="M685" i="4"/>
  <c r="L685" i="4"/>
  <c r="K685" i="4"/>
  <c r="J685" i="4"/>
  <c r="Q685" i="5" s="1"/>
  <c r="P684" i="4"/>
  <c r="O684" i="4"/>
  <c r="N684" i="4"/>
  <c r="M684" i="4"/>
  <c r="N684" i="5" s="1"/>
  <c r="L684" i="4"/>
  <c r="K684" i="4"/>
  <c r="J684" i="4"/>
  <c r="Q684" i="5" s="1"/>
  <c r="P683" i="4"/>
  <c r="O683" i="4"/>
  <c r="N683" i="4"/>
  <c r="M683" i="4"/>
  <c r="L683" i="4"/>
  <c r="K683" i="4"/>
  <c r="J683" i="4"/>
  <c r="Q683" i="5" s="1"/>
  <c r="P682" i="4"/>
  <c r="O682" i="4"/>
  <c r="N682" i="4"/>
  <c r="M682" i="4"/>
  <c r="N682" i="5" s="1"/>
  <c r="L682" i="4"/>
  <c r="K682" i="4"/>
  <c r="J682" i="4"/>
  <c r="Q682" i="5" s="1"/>
  <c r="P681" i="4"/>
  <c r="O681" i="4"/>
  <c r="N681" i="4"/>
  <c r="M681" i="4"/>
  <c r="L681" i="4"/>
  <c r="K681" i="4"/>
  <c r="J681" i="4"/>
  <c r="Q681" i="5" s="1"/>
  <c r="P680" i="4"/>
  <c r="O680" i="4"/>
  <c r="N680" i="4"/>
  <c r="M680" i="4"/>
  <c r="N680" i="5" s="1"/>
  <c r="L680" i="4"/>
  <c r="K680" i="4"/>
  <c r="J680" i="4"/>
  <c r="Q680" i="5" s="1"/>
  <c r="P679" i="4"/>
  <c r="O679" i="4"/>
  <c r="N679" i="4"/>
  <c r="M679" i="4"/>
  <c r="L679" i="4"/>
  <c r="K679" i="4"/>
  <c r="J679" i="4"/>
  <c r="Q679" i="5" s="1"/>
  <c r="P678" i="4"/>
  <c r="O678" i="4"/>
  <c r="N678" i="4"/>
  <c r="M678" i="4"/>
  <c r="N678" i="5" s="1"/>
  <c r="L678" i="4"/>
  <c r="K678" i="4"/>
  <c r="J678" i="4"/>
  <c r="Q678" i="5" s="1"/>
  <c r="P677" i="4"/>
  <c r="O677" i="4"/>
  <c r="N677" i="4"/>
  <c r="M677" i="4"/>
  <c r="L677" i="4"/>
  <c r="K677" i="4"/>
  <c r="J677" i="4"/>
  <c r="Q677" i="5" s="1"/>
  <c r="P676" i="4"/>
  <c r="O676" i="4"/>
  <c r="N676" i="4"/>
  <c r="M676" i="4"/>
  <c r="N676" i="5" s="1"/>
  <c r="L676" i="4"/>
  <c r="K676" i="4"/>
  <c r="J676" i="4"/>
  <c r="Q676" i="5" s="1"/>
  <c r="P675" i="4"/>
  <c r="O675" i="4"/>
  <c r="N675" i="4"/>
  <c r="M675" i="4"/>
  <c r="L675" i="4"/>
  <c r="K675" i="4"/>
  <c r="J675" i="4"/>
  <c r="Q675" i="5" s="1"/>
  <c r="P674" i="4"/>
  <c r="O674" i="4"/>
  <c r="N674" i="4"/>
  <c r="M674" i="4"/>
  <c r="N674" i="5" s="1"/>
  <c r="L674" i="4"/>
  <c r="K674" i="4"/>
  <c r="J674" i="4"/>
  <c r="Q674" i="5" s="1"/>
  <c r="P673" i="4"/>
  <c r="O673" i="4"/>
  <c r="N673" i="4"/>
  <c r="M673" i="4"/>
  <c r="L673" i="4"/>
  <c r="K673" i="4"/>
  <c r="J673" i="4"/>
  <c r="Q673" i="5" s="1"/>
  <c r="P672" i="4"/>
  <c r="O672" i="4"/>
  <c r="N672" i="4"/>
  <c r="M672" i="4"/>
  <c r="N672" i="5" s="1"/>
  <c r="L672" i="4"/>
  <c r="K672" i="4"/>
  <c r="J672" i="4"/>
  <c r="Q672" i="5" s="1"/>
  <c r="P671" i="4"/>
  <c r="O671" i="4"/>
  <c r="N671" i="4"/>
  <c r="M671" i="4"/>
  <c r="L671" i="4"/>
  <c r="K671" i="4"/>
  <c r="J671" i="4"/>
  <c r="Q671" i="5" s="1"/>
  <c r="P670" i="4"/>
  <c r="O670" i="4"/>
  <c r="N670" i="4"/>
  <c r="M670" i="4"/>
  <c r="N670" i="5" s="1"/>
  <c r="L670" i="4"/>
  <c r="K670" i="4"/>
  <c r="J670" i="4"/>
  <c r="Q670" i="5" s="1"/>
  <c r="P669" i="4"/>
  <c r="O669" i="4"/>
  <c r="N669" i="4"/>
  <c r="M669" i="4"/>
  <c r="L669" i="4"/>
  <c r="K669" i="4"/>
  <c r="J669" i="4"/>
  <c r="Q669" i="5" s="1"/>
  <c r="P668" i="4"/>
  <c r="O668" i="4"/>
  <c r="N668" i="4"/>
  <c r="M668" i="4"/>
  <c r="N668" i="5" s="1"/>
  <c r="L668" i="4"/>
  <c r="K668" i="4"/>
  <c r="J668" i="4"/>
  <c r="Q668" i="5" s="1"/>
  <c r="P667" i="4"/>
  <c r="O667" i="4"/>
  <c r="N667" i="4"/>
  <c r="M667" i="4"/>
  <c r="L667" i="4"/>
  <c r="K667" i="4"/>
  <c r="J667" i="4"/>
  <c r="Q667" i="5" s="1"/>
  <c r="P666" i="4"/>
  <c r="O666" i="4"/>
  <c r="N666" i="4"/>
  <c r="M666" i="4"/>
  <c r="N666" i="5" s="1"/>
  <c r="L666" i="4"/>
  <c r="K666" i="4"/>
  <c r="J666" i="4"/>
  <c r="Q666" i="5" s="1"/>
  <c r="P665" i="4"/>
  <c r="O665" i="4"/>
  <c r="N665" i="4"/>
  <c r="M665" i="4"/>
  <c r="L665" i="4"/>
  <c r="K665" i="4"/>
  <c r="J665" i="4"/>
  <c r="Q665" i="5" s="1"/>
  <c r="P664" i="4"/>
  <c r="O664" i="4"/>
  <c r="N664" i="4"/>
  <c r="M664" i="4"/>
  <c r="N664" i="5" s="1"/>
  <c r="L664" i="4"/>
  <c r="K664" i="4"/>
  <c r="J664" i="4"/>
  <c r="Q664" i="5" s="1"/>
  <c r="P663" i="4"/>
  <c r="O663" i="4"/>
  <c r="N663" i="4"/>
  <c r="M663" i="4"/>
  <c r="L663" i="4"/>
  <c r="K663" i="4"/>
  <c r="J663" i="4"/>
  <c r="Q663" i="5" s="1"/>
  <c r="P662" i="4"/>
  <c r="O662" i="4"/>
  <c r="N662" i="4"/>
  <c r="M662" i="4"/>
  <c r="N662" i="5" s="1"/>
  <c r="L662" i="4"/>
  <c r="K662" i="4"/>
  <c r="J662" i="4"/>
  <c r="Q662" i="5" s="1"/>
  <c r="P661" i="4"/>
  <c r="O661" i="4"/>
  <c r="N661" i="4"/>
  <c r="M661" i="4"/>
  <c r="L661" i="4"/>
  <c r="K661" i="4"/>
  <c r="J661" i="4"/>
  <c r="Q661" i="5" s="1"/>
  <c r="P660" i="4"/>
  <c r="O660" i="4"/>
  <c r="N660" i="4"/>
  <c r="M660" i="4"/>
  <c r="N660" i="5" s="1"/>
  <c r="L660" i="4"/>
  <c r="K660" i="4"/>
  <c r="J660" i="4"/>
  <c r="Q660" i="5" s="1"/>
  <c r="P659" i="4"/>
  <c r="O659" i="4"/>
  <c r="N659" i="4"/>
  <c r="M659" i="4"/>
  <c r="L659" i="4"/>
  <c r="K659" i="4"/>
  <c r="J659" i="4"/>
  <c r="Q659" i="5" s="1"/>
  <c r="P658" i="4"/>
  <c r="O658" i="4"/>
  <c r="N658" i="4"/>
  <c r="M658" i="4"/>
  <c r="N658" i="5" s="1"/>
  <c r="L658" i="4"/>
  <c r="K658" i="4"/>
  <c r="J658" i="4"/>
  <c r="Q658" i="5" s="1"/>
  <c r="P657" i="4"/>
  <c r="O657" i="4"/>
  <c r="N657" i="4"/>
  <c r="M657" i="4"/>
  <c r="L657" i="4"/>
  <c r="K657" i="4"/>
  <c r="J657" i="4"/>
  <c r="Q657" i="5" s="1"/>
  <c r="P656" i="4"/>
  <c r="O656" i="4"/>
  <c r="N656" i="4"/>
  <c r="M656" i="4"/>
  <c r="N656" i="5" s="1"/>
  <c r="L656" i="4"/>
  <c r="K656" i="4"/>
  <c r="J656" i="4"/>
  <c r="Q656" i="5" s="1"/>
  <c r="P655" i="4"/>
  <c r="O655" i="4"/>
  <c r="N655" i="4"/>
  <c r="M655" i="4"/>
  <c r="L655" i="4"/>
  <c r="K655" i="4"/>
  <c r="J655" i="4"/>
  <c r="Q655" i="5" s="1"/>
  <c r="P654" i="4"/>
  <c r="O654" i="4"/>
  <c r="N654" i="4"/>
  <c r="M654" i="4"/>
  <c r="N654" i="5" s="1"/>
  <c r="L654" i="4"/>
  <c r="K654" i="4"/>
  <c r="J654" i="4"/>
  <c r="Q654" i="5" s="1"/>
  <c r="P653" i="4"/>
  <c r="O653" i="4"/>
  <c r="N653" i="4"/>
  <c r="M653" i="4"/>
  <c r="L653" i="4"/>
  <c r="K653" i="4"/>
  <c r="J653" i="4"/>
  <c r="Q653" i="5" s="1"/>
  <c r="P652" i="4"/>
  <c r="O652" i="4"/>
  <c r="N652" i="4"/>
  <c r="M652" i="4"/>
  <c r="N652" i="5" s="1"/>
  <c r="L652" i="4"/>
  <c r="K652" i="4"/>
  <c r="J652" i="4"/>
  <c r="Q652" i="5" s="1"/>
  <c r="P651" i="4"/>
  <c r="O651" i="4"/>
  <c r="N651" i="4"/>
  <c r="M651" i="4"/>
  <c r="L651" i="4"/>
  <c r="K651" i="4"/>
  <c r="J651" i="4"/>
  <c r="Q651" i="5" s="1"/>
  <c r="P650" i="4"/>
  <c r="O650" i="4"/>
  <c r="N650" i="4"/>
  <c r="M650" i="4"/>
  <c r="N650" i="5" s="1"/>
  <c r="L650" i="4"/>
  <c r="K650" i="4"/>
  <c r="J650" i="4"/>
  <c r="Q650" i="5" s="1"/>
  <c r="P649" i="4"/>
  <c r="O649" i="4"/>
  <c r="N649" i="4"/>
  <c r="M649" i="4"/>
  <c r="L649" i="4"/>
  <c r="K649" i="4"/>
  <c r="J649" i="4"/>
  <c r="Q649" i="5" s="1"/>
  <c r="P648" i="4"/>
  <c r="O648" i="4"/>
  <c r="N648" i="4"/>
  <c r="M648" i="4"/>
  <c r="N648" i="5" s="1"/>
  <c r="L648" i="4"/>
  <c r="K648" i="4"/>
  <c r="J648" i="4"/>
  <c r="Q648" i="5" s="1"/>
  <c r="P647" i="4"/>
  <c r="O647" i="4"/>
  <c r="N647" i="4"/>
  <c r="M647" i="4"/>
  <c r="L647" i="4"/>
  <c r="K647" i="4"/>
  <c r="J647" i="4"/>
  <c r="Q647" i="5" s="1"/>
  <c r="P646" i="4"/>
  <c r="O646" i="4"/>
  <c r="N646" i="4"/>
  <c r="M646" i="4"/>
  <c r="N646" i="5" s="1"/>
  <c r="L646" i="4"/>
  <c r="K646" i="4"/>
  <c r="J646" i="4"/>
  <c r="Q646" i="5" s="1"/>
  <c r="P645" i="4"/>
  <c r="O645" i="4"/>
  <c r="N645" i="4"/>
  <c r="M645" i="4"/>
  <c r="L645" i="4"/>
  <c r="K645" i="4"/>
  <c r="J645" i="4"/>
  <c r="Q645" i="5" s="1"/>
  <c r="P644" i="4"/>
  <c r="O644" i="4"/>
  <c r="N644" i="4"/>
  <c r="M644" i="4"/>
  <c r="N644" i="5" s="1"/>
  <c r="L644" i="4"/>
  <c r="K644" i="4"/>
  <c r="J644" i="4"/>
  <c r="Q644" i="5" s="1"/>
  <c r="P643" i="4"/>
  <c r="O643" i="4"/>
  <c r="N643" i="4"/>
  <c r="M643" i="4"/>
  <c r="L643" i="4"/>
  <c r="K643" i="4"/>
  <c r="J643" i="4"/>
  <c r="Q643" i="5" s="1"/>
  <c r="P642" i="4"/>
  <c r="O642" i="4"/>
  <c r="N642" i="4"/>
  <c r="M642" i="4"/>
  <c r="N642" i="5" s="1"/>
  <c r="L642" i="4"/>
  <c r="K642" i="4"/>
  <c r="J642" i="4"/>
  <c r="Q642" i="5" s="1"/>
  <c r="P641" i="4"/>
  <c r="O641" i="4"/>
  <c r="N641" i="4"/>
  <c r="M641" i="4"/>
  <c r="L641" i="4"/>
  <c r="K641" i="4"/>
  <c r="J641" i="4"/>
  <c r="Q641" i="5" s="1"/>
  <c r="P640" i="4"/>
  <c r="O640" i="4"/>
  <c r="N640" i="4"/>
  <c r="M640" i="4"/>
  <c r="N640" i="5" s="1"/>
  <c r="L640" i="4"/>
  <c r="K640" i="4"/>
  <c r="J640" i="4"/>
  <c r="Q640" i="5" s="1"/>
  <c r="P639" i="4"/>
  <c r="O639" i="4"/>
  <c r="N639" i="4"/>
  <c r="M639" i="4"/>
  <c r="L639" i="4"/>
  <c r="K639" i="4"/>
  <c r="J639" i="4"/>
  <c r="Q639" i="5" s="1"/>
  <c r="P638" i="4"/>
  <c r="O638" i="4"/>
  <c r="N638" i="4"/>
  <c r="M638" i="4"/>
  <c r="N638" i="5" s="1"/>
  <c r="L638" i="4"/>
  <c r="K638" i="4"/>
  <c r="J638" i="4"/>
  <c r="Q638" i="5" s="1"/>
  <c r="P637" i="4"/>
  <c r="O637" i="4"/>
  <c r="N637" i="4"/>
  <c r="M637" i="4"/>
  <c r="L637" i="4"/>
  <c r="K637" i="4"/>
  <c r="J637" i="4"/>
  <c r="Q637" i="5" s="1"/>
  <c r="P636" i="4"/>
  <c r="O636" i="4"/>
  <c r="N636" i="4"/>
  <c r="M636" i="4"/>
  <c r="N636" i="5" s="1"/>
  <c r="L636" i="4"/>
  <c r="K636" i="4"/>
  <c r="J636" i="4"/>
  <c r="Q636" i="5" s="1"/>
  <c r="P635" i="4"/>
  <c r="O635" i="4"/>
  <c r="N635" i="4"/>
  <c r="M635" i="4"/>
  <c r="L635" i="4"/>
  <c r="K635" i="4"/>
  <c r="J635" i="4"/>
  <c r="Q635" i="5" s="1"/>
  <c r="P634" i="4"/>
  <c r="O634" i="4"/>
  <c r="N634" i="4"/>
  <c r="M634" i="4"/>
  <c r="N634" i="5" s="1"/>
  <c r="L634" i="4"/>
  <c r="K634" i="4"/>
  <c r="J634" i="4"/>
  <c r="Q634" i="5" s="1"/>
  <c r="P633" i="4"/>
  <c r="O633" i="4"/>
  <c r="N633" i="4"/>
  <c r="M633" i="4"/>
  <c r="L633" i="4"/>
  <c r="K633" i="4"/>
  <c r="J633" i="4"/>
  <c r="Q633" i="5" s="1"/>
  <c r="P632" i="4"/>
  <c r="O632" i="4"/>
  <c r="N632" i="4"/>
  <c r="M632" i="4"/>
  <c r="N632" i="5" s="1"/>
  <c r="L632" i="4"/>
  <c r="K632" i="4"/>
  <c r="J632" i="4"/>
  <c r="Q632" i="5" s="1"/>
  <c r="P631" i="4"/>
  <c r="O631" i="4"/>
  <c r="N631" i="4"/>
  <c r="M631" i="4"/>
  <c r="L631" i="4"/>
  <c r="K631" i="4"/>
  <c r="J631" i="4"/>
  <c r="Q631" i="5" s="1"/>
  <c r="P630" i="4"/>
  <c r="O630" i="4"/>
  <c r="N630" i="4"/>
  <c r="M630" i="4"/>
  <c r="N630" i="5" s="1"/>
  <c r="L630" i="4"/>
  <c r="K630" i="4"/>
  <c r="J630" i="4"/>
  <c r="Q630" i="5" s="1"/>
  <c r="P629" i="4"/>
  <c r="O629" i="4"/>
  <c r="N629" i="4"/>
  <c r="M629" i="4"/>
  <c r="L629" i="4"/>
  <c r="K629" i="4"/>
  <c r="J629" i="4"/>
  <c r="Q629" i="5" s="1"/>
  <c r="P628" i="4"/>
  <c r="O628" i="4"/>
  <c r="N628" i="4"/>
  <c r="M628" i="4"/>
  <c r="N628" i="5" s="1"/>
  <c r="L628" i="4"/>
  <c r="K628" i="4"/>
  <c r="J628" i="4"/>
  <c r="Q628" i="5" s="1"/>
  <c r="P627" i="4"/>
  <c r="O627" i="4"/>
  <c r="N627" i="4"/>
  <c r="M627" i="4"/>
  <c r="L627" i="4"/>
  <c r="K627" i="4"/>
  <c r="J627" i="4"/>
  <c r="Q627" i="5" s="1"/>
  <c r="P626" i="4"/>
  <c r="O626" i="4"/>
  <c r="N626" i="4"/>
  <c r="M626" i="4"/>
  <c r="N626" i="5" s="1"/>
  <c r="L626" i="4"/>
  <c r="K626" i="4"/>
  <c r="J626" i="4"/>
  <c r="Q626" i="5" s="1"/>
  <c r="P625" i="4"/>
  <c r="O625" i="4"/>
  <c r="N625" i="4"/>
  <c r="M625" i="4"/>
  <c r="L625" i="4"/>
  <c r="K625" i="4"/>
  <c r="J625" i="4"/>
  <c r="Q625" i="5" s="1"/>
  <c r="P624" i="4"/>
  <c r="O624" i="4"/>
  <c r="N624" i="4"/>
  <c r="M624" i="4"/>
  <c r="N624" i="5" s="1"/>
  <c r="L624" i="4"/>
  <c r="K624" i="4"/>
  <c r="J624" i="4"/>
  <c r="Q624" i="5" s="1"/>
  <c r="P623" i="4"/>
  <c r="O623" i="4"/>
  <c r="N623" i="4"/>
  <c r="M623" i="4"/>
  <c r="L623" i="4"/>
  <c r="K623" i="4"/>
  <c r="J623" i="4"/>
  <c r="Q623" i="5" s="1"/>
  <c r="P622" i="4"/>
  <c r="O622" i="4"/>
  <c r="N622" i="4"/>
  <c r="M622" i="4"/>
  <c r="N622" i="5" s="1"/>
  <c r="L622" i="4"/>
  <c r="K622" i="4"/>
  <c r="J622" i="4"/>
  <c r="Q622" i="5" s="1"/>
  <c r="P621" i="4"/>
  <c r="O621" i="4"/>
  <c r="N621" i="4"/>
  <c r="M621" i="4"/>
  <c r="L621" i="4"/>
  <c r="K621" i="4"/>
  <c r="J621" i="4"/>
  <c r="Q621" i="5" s="1"/>
  <c r="P620" i="4"/>
  <c r="O620" i="4"/>
  <c r="N620" i="4"/>
  <c r="M620" i="4"/>
  <c r="N620" i="5" s="1"/>
  <c r="L620" i="4"/>
  <c r="K620" i="4"/>
  <c r="J620" i="4"/>
  <c r="Q620" i="5" s="1"/>
  <c r="P619" i="4"/>
  <c r="O619" i="4"/>
  <c r="N619" i="4"/>
  <c r="M619" i="4"/>
  <c r="L619" i="4"/>
  <c r="K619" i="4"/>
  <c r="J619" i="4"/>
  <c r="Q619" i="5" s="1"/>
  <c r="P618" i="4"/>
  <c r="O618" i="4"/>
  <c r="N618" i="4"/>
  <c r="M618" i="4"/>
  <c r="N618" i="5" s="1"/>
  <c r="L618" i="4"/>
  <c r="K618" i="4"/>
  <c r="J618" i="4"/>
  <c r="Q618" i="5" s="1"/>
  <c r="P617" i="4"/>
  <c r="O617" i="4"/>
  <c r="N617" i="4"/>
  <c r="M617" i="4"/>
  <c r="L617" i="4"/>
  <c r="K617" i="4"/>
  <c r="J617" i="4"/>
  <c r="Q617" i="5" s="1"/>
  <c r="P616" i="4"/>
  <c r="O616" i="4"/>
  <c r="N616" i="4"/>
  <c r="M616" i="4"/>
  <c r="N616" i="5" s="1"/>
  <c r="L616" i="4"/>
  <c r="K616" i="4"/>
  <c r="J616" i="4"/>
  <c r="Q616" i="5" s="1"/>
  <c r="P615" i="4"/>
  <c r="O615" i="4"/>
  <c r="N615" i="4"/>
  <c r="M615" i="4"/>
  <c r="L615" i="4"/>
  <c r="K615" i="4"/>
  <c r="J615" i="4"/>
  <c r="Q615" i="5" s="1"/>
  <c r="P614" i="4"/>
  <c r="O614" i="4"/>
  <c r="N614" i="4"/>
  <c r="M614" i="4"/>
  <c r="N614" i="5" s="1"/>
  <c r="L614" i="4"/>
  <c r="K614" i="4"/>
  <c r="J614" i="4"/>
  <c r="Q614" i="5" s="1"/>
  <c r="P613" i="4"/>
  <c r="O613" i="4"/>
  <c r="N613" i="4"/>
  <c r="M613" i="4"/>
  <c r="L613" i="4"/>
  <c r="K613" i="4"/>
  <c r="J613" i="4"/>
  <c r="Q613" i="5" s="1"/>
  <c r="P612" i="4"/>
  <c r="O612" i="4"/>
  <c r="N612" i="4"/>
  <c r="M612" i="4"/>
  <c r="N612" i="5" s="1"/>
  <c r="L612" i="4"/>
  <c r="K612" i="4"/>
  <c r="J612" i="4"/>
  <c r="Q612" i="5" s="1"/>
  <c r="P611" i="4"/>
  <c r="O611" i="4"/>
  <c r="N611" i="4"/>
  <c r="M611" i="4"/>
  <c r="L611" i="4"/>
  <c r="K611" i="4"/>
  <c r="J611" i="4"/>
  <c r="Q611" i="5" s="1"/>
  <c r="P610" i="4"/>
  <c r="O610" i="4"/>
  <c r="N610" i="4"/>
  <c r="M610" i="4"/>
  <c r="N610" i="5" s="1"/>
  <c r="L610" i="4"/>
  <c r="K610" i="4"/>
  <c r="J610" i="4"/>
  <c r="Q610" i="5" s="1"/>
  <c r="P609" i="4"/>
  <c r="O609" i="4"/>
  <c r="N609" i="4"/>
  <c r="M609" i="4"/>
  <c r="L609" i="4"/>
  <c r="K609" i="4"/>
  <c r="J609" i="4"/>
  <c r="Q609" i="5" s="1"/>
  <c r="P608" i="4"/>
  <c r="O608" i="4"/>
  <c r="N608" i="4"/>
  <c r="M608" i="4"/>
  <c r="N608" i="5" s="1"/>
  <c r="L608" i="4"/>
  <c r="K608" i="4"/>
  <c r="J608" i="4"/>
  <c r="Q608" i="5" s="1"/>
  <c r="P607" i="4"/>
  <c r="O607" i="4"/>
  <c r="N607" i="4"/>
  <c r="M607" i="4"/>
  <c r="L607" i="4"/>
  <c r="K607" i="4"/>
  <c r="J607" i="4"/>
  <c r="Q607" i="5" s="1"/>
  <c r="P606" i="4"/>
  <c r="O606" i="4"/>
  <c r="N606" i="4"/>
  <c r="M606" i="4"/>
  <c r="N606" i="5" s="1"/>
  <c r="L606" i="4"/>
  <c r="K606" i="4"/>
  <c r="J606" i="4"/>
  <c r="Q606" i="5" s="1"/>
  <c r="P605" i="4"/>
  <c r="O605" i="4"/>
  <c r="N605" i="4"/>
  <c r="M605" i="4"/>
  <c r="L605" i="4"/>
  <c r="K605" i="4"/>
  <c r="J605" i="4"/>
  <c r="Q605" i="5" s="1"/>
  <c r="P604" i="4"/>
  <c r="O604" i="4"/>
  <c r="N604" i="4"/>
  <c r="M604" i="4"/>
  <c r="N604" i="5" s="1"/>
  <c r="L604" i="4"/>
  <c r="K604" i="4"/>
  <c r="J604" i="4"/>
  <c r="Q604" i="5" s="1"/>
  <c r="P603" i="4"/>
  <c r="O603" i="4"/>
  <c r="N603" i="4"/>
  <c r="M603" i="4"/>
  <c r="L603" i="4"/>
  <c r="K603" i="4"/>
  <c r="J603" i="4"/>
  <c r="Q603" i="5" s="1"/>
  <c r="P602" i="4"/>
  <c r="O602" i="4"/>
  <c r="N602" i="4"/>
  <c r="M602" i="4"/>
  <c r="N602" i="5" s="1"/>
  <c r="L602" i="4"/>
  <c r="K602" i="4"/>
  <c r="J602" i="4"/>
  <c r="Q602" i="5" s="1"/>
  <c r="P601" i="4"/>
  <c r="O601" i="4"/>
  <c r="N601" i="4"/>
  <c r="M601" i="4"/>
  <c r="L601" i="4"/>
  <c r="K601" i="4"/>
  <c r="J601" i="4"/>
  <c r="Q601" i="5" s="1"/>
  <c r="P600" i="4"/>
  <c r="O600" i="4"/>
  <c r="N600" i="4"/>
  <c r="M600" i="4"/>
  <c r="N600" i="5" s="1"/>
  <c r="L600" i="4"/>
  <c r="K600" i="4"/>
  <c r="J600" i="4"/>
  <c r="Q600" i="5" s="1"/>
  <c r="P599" i="4"/>
  <c r="O599" i="4"/>
  <c r="N599" i="4"/>
  <c r="M599" i="4"/>
  <c r="L599" i="4"/>
  <c r="K599" i="4"/>
  <c r="J599" i="4"/>
  <c r="Q599" i="5" s="1"/>
  <c r="P598" i="4"/>
  <c r="O598" i="4"/>
  <c r="N598" i="4"/>
  <c r="M598" i="4"/>
  <c r="N598" i="5" s="1"/>
  <c r="L598" i="4"/>
  <c r="K598" i="4"/>
  <c r="J598" i="4"/>
  <c r="Q598" i="5" s="1"/>
  <c r="P597" i="4"/>
  <c r="O597" i="4"/>
  <c r="N597" i="4"/>
  <c r="M597" i="4"/>
  <c r="L597" i="4"/>
  <c r="K597" i="4"/>
  <c r="J597" i="4"/>
  <c r="Q597" i="5" s="1"/>
  <c r="P596" i="4"/>
  <c r="O596" i="4"/>
  <c r="N596" i="4"/>
  <c r="M596" i="4"/>
  <c r="N596" i="5" s="1"/>
  <c r="L596" i="4"/>
  <c r="K596" i="4"/>
  <c r="J596" i="4"/>
  <c r="Q596" i="5" s="1"/>
  <c r="P595" i="4"/>
  <c r="O595" i="4"/>
  <c r="N595" i="4"/>
  <c r="M595" i="4"/>
  <c r="L595" i="4"/>
  <c r="K595" i="4"/>
  <c r="J595" i="4"/>
  <c r="Q595" i="5" s="1"/>
  <c r="P594" i="4"/>
  <c r="O594" i="4"/>
  <c r="N594" i="4"/>
  <c r="M594" i="4"/>
  <c r="N594" i="5" s="1"/>
  <c r="L594" i="4"/>
  <c r="K594" i="4"/>
  <c r="J594" i="4"/>
  <c r="Q594" i="5" s="1"/>
  <c r="P593" i="4"/>
  <c r="O593" i="4"/>
  <c r="N593" i="4"/>
  <c r="M593" i="4"/>
  <c r="L593" i="4"/>
  <c r="K593" i="4"/>
  <c r="J593" i="4"/>
  <c r="Q593" i="5" s="1"/>
  <c r="P592" i="4"/>
  <c r="O592" i="4"/>
  <c r="N592" i="4"/>
  <c r="M592" i="4"/>
  <c r="N592" i="5" s="1"/>
  <c r="L592" i="4"/>
  <c r="K592" i="4"/>
  <c r="J592" i="4"/>
  <c r="Q592" i="5" s="1"/>
  <c r="P591" i="4"/>
  <c r="O591" i="4"/>
  <c r="N591" i="4"/>
  <c r="M591" i="4"/>
  <c r="L591" i="4"/>
  <c r="K591" i="4"/>
  <c r="J591" i="4"/>
  <c r="Q591" i="5" s="1"/>
  <c r="P590" i="4"/>
  <c r="O590" i="4"/>
  <c r="N590" i="4"/>
  <c r="M590" i="4"/>
  <c r="N590" i="5" s="1"/>
  <c r="L590" i="4"/>
  <c r="K590" i="4"/>
  <c r="J590" i="4"/>
  <c r="Q590" i="5" s="1"/>
  <c r="P589" i="4"/>
  <c r="O589" i="4"/>
  <c r="N589" i="4"/>
  <c r="M589" i="4"/>
  <c r="L589" i="4"/>
  <c r="K589" i="4"/>
  <c r="J589" i="4"/>
  <c r="Q589" i="5" s="1"/>
  <c r="P588" i="4"/>
  <c r="O588" i="4"/>
  <c r="N588" i="4"/>
  <c r="M588" i="4"/>
  <c r="N588" i="5" s="1"/>
  <c r="L588" i="4"/>
  <c r="K588" i="4"/>
  <c r="J588" i="4"/>
  <c r="Q588" i="5" s="1"/>
  <c r="P587" i="4"/>
  <c r="O587" i="4"/>
  <c r="N587" i="4"/>
  <c r="M587" i="4"/>
  <c r="L587" i="4"/>
  <c r="K587" i="4"/>
  <c r="J587" i="4"/>
  <c r="Q587" i="5" s="1"/>
  <c r="P586" i="4"/>
  <c r="O586" i="4"/>
  <c r="N586" i="4"/>
  <c r="M586" i="4"/>
  <c r="N586" i="5" s="1"/>
  <c r="L586" i="4"/>
  <c r="K586" i="4"/>
  <c r="J586" i="4"/>
  <c r="Q586" i="5" s="1"/>
  <c r="P585" i="4"/>
  <c r="O585" i="4"/>
  <c r="N585" i="4"/>
  <c r="M585" i="4"/>
  <c r="L585" i="4"/>
  <c r="K585" i="4"/>
  <c r="J585" i="4"/>
  <c r="Q585" i="5" s="1"/>
  <c r="P584" i="4"/>
  <c r="O584" i="4"/>
  <c r="N584" i="4"/>
  <c r="M584" i="4"/>
  <c r="N584" i="5" s="1"/>
  <c r="L584" i="4"/>
  <c r="K584" i="4"/>
  <c r="J584" i="4"/>
  <c r="Q584" i="5" s="1"/>
  <c r="P583" i="4"/>
  <c r="O583" i="4"/>
  <c r="N583" i="4"/>
  <c r="M583" i="4"/>
  <c r="L583" i="4"/>
  <c r="K583" i="4"/>
  <c r="J583" i="4"/>
  <c r="Q583" i="5" s="1"/>
  <c r="P582" i="4"/>
  <c r="O582" i="4"/>
  <c r="N582" i="4"/>
  <c r="M582" i="4"/>
  <c r="N582" i="5" s="1"/>
  <c r="L582" i="4"/>
  <c r="K582" i="4"/>
  <c r="J582" i="4"/>
  <c r="Q582" i="5" s="1"/>
  <c r="P581" i="4"/>
  <c r="O581" i="4"/>
  <c r="N581" i="4"/>
  <c r="M581" i="4"/>
  <c r="L581" i="4"/>
  <c r="K581" i="4"/>
  <c r="J581" i="4"/>
  <c r="Q581" i="5" s="1"/>
  <c r="P580" i="4"/>
  <c r="O580" i="4"/>
  <c r="N580" i="4"/>
  <c r="M580" i="4"/>
  <c r="N580" i="5" s="1"/>
  <c r="L580" i="4"/>
  <c r="K580" i="4"/>
  <c r="J580" i="4"/>
  <c r="Q580" i="5" s="1"/>
  <c r="P579" i="4"/>
  <c r="O579" i="4"/>
  <c r="N579" i="4"/>
  <c r="M579" i="4"/>
  <c r="L579" i="4"/>
  <c r="K579" i="4"/>
  <c r="J579" i="4"/>
  <c r="Q579" i="5" s="1"/>
  <c r="P578" i="4"/>
  <c r="O578" i="4"/>
  <c r="N578" i="4"/>
  <c r="M578" i="4"/>
  <c r="N578" i="5" s="1"/>
  <c r="L578" i="4"/>
  <c r="K578" i="4"/>
  <c r="J578" i="4"/>
  <c r="Q578" i="5" s="1"/>
  <c r="P577" i="4"/>
  <c r="O577" i="4"/>
  <c r="N577" i="4"/>
  <c r="M577" i="4"/>
  <c r="L577" i="4"/>
  <c r="K577" i="4"/>
  <c r="J577" i="4"/>
  <c r="Q577" i="5" s="1"/>
  <c r="P576" i="4"/>
  <c r="O576" i="4"/>
  <c r="N576" i="4"/>
  <c r="M576" i="4"/>
  <c r="N576" i="5" s="1"/>
  <c r="L576" i="4"/>
  <c r="K576" i="4"/>
  <c r="J576" i="4"/>
  <c r="Q576" i="5" s="1"/>
  <c r="P575" i="4"/>
  <c r="O575" i="4"/>
  <c r="N575" i="4"/>
  <c r="M575" i="4"/>
  <c r="L575" i="4"/>
  <c r="K575" i="4"/>
  <c r="J575" i="4"/>
  <c r="Q575" i="5" s="1"/>
  <c r="P574" i="4"/>
  <c r="O574" i="4"/>
  <c r="N574" i="4"/>
  <c r="M574" i="4"/>
  <c r="N574" i="5" s="1"/>
  <c r="L574" i="4"/>
  <c r="K574" i="4"/>
  <c r="J574" i="4"/>
  <c r="Q574" i="5" s="1"/>
  <c r="P573" i="4"/>
  <c r="O573" i="4"/>
  <c r="N573" i="4"/>
  <c r="M573" i="4"/>
  <c r="L573" i="4"/>
  <c r="K573" i="4"/>
  <c r="J573" i="4"/>
  <c r="Q573" i="5" s="1"/>
  <c r="P572" i="4"/>
  <c r="O572" i="4"/>
  <c r="N572" i="4"/>
  <c r="M572" i="4"/>
  <c r="N572" i="5" s="1"/>
  <c r="L572" i="4"/>
  <c r="K572" i="4"/>
  <c r="J572" i="4"/>
  <c r="Q572" i="5" s="1"/>
  <c r="P571" i="4"/>
  <c r="O571" i="4"/>
  <c r="N571" i="4"/>
  <c r="M571" i="4"/>
  <c r="L571" i="4"/>
  <c r="K571" i="4"/>
  <c r="J571" i="4"/>
  <c r="Q571" i="5" s="1"/>
  <c r="P570" i="4"/>
  <c r="O570" i="4"/>
  <c r="N570" i="4"/>
  <c r="M570" i="4"/>
  <c r="N570" i="5" s="1"/>
  <c r="L570" i="4"/>
  <c r="K570" i="4"/>
  <c r="J570" i="4"/>
  <c r="Q570" i="5" s="1"/>
  <c r="P569" i="4"/>
  <c r="O569" i="4"/>
  <c r="N569" i="4"/>
  <c r="M569" i="4"/>
  <c r="L569" i="4"/>
  <c r="K569" i="4"/>
  <c r="J569" i="4"/>
  <c r="Q569" i="5" s="1"/>
  <c r="P568" i="4"/>
  <c r="O568" i="4"/>
  <c r="N568" i="4"/>
  <c r="M568" i="4"/>
  <c r="N568" i="5" s="1"/>
  <c r="L568" i="4"/>
  <c r="K568" i="4"/>
  <c r="J568" i="4"/>
  <c r="Q568" i="5" s="1"/>
  <c r="P567" i="4"/>
  <c r="O567" i="4"/>
  <c r="N567" i="4"/>
  <c r="M567" i="4"/>
  <c r="L567" i="4"/>
  <c r="K567" i="4"/>
  <c r="J567" i="4"/>
  <c r="Q567" i="5" s="1"/>
  <c r="P566" i="4"/>
  <c r="O566" i="4"/>
  <c r="N566" i="4"/>
  <c r="M566" i="4"/>
  <c r="N566" i="5" s="1"/>
  <c r="L566" i="4"/>
  <c r="K566" i="4"/>
  <c r="J566" i="4"/>
  <c r="Q566" i="5" s="1"/>
  <c r="P565" i="4"/>
  <c r="O565" i="4"/>
  <c r="N565" i="4"/>
  <c r="M565" i="4"/>
  <c r="L565" i="4"/>
  <c r="K565" i="4"/>
  <c r="J565" i="4"/>
  <c r="Q565" i="5" s="1"/>
  <c r="F565" i="4"/>
  <c r="E565" i="4"/>
  <c r="D565" i="4"/>
  <c r="C565" i="4"/>
  <c r="B565" i="4"/>
  <c r="A565" i="4"/>
  <c r="P564" i="4"/>
  <c r="O564" i="4"/>
  <c r="N564" i="4"/>
  <c r="M564" i="4"/>
  <c r="N564" i="5" s="1"/>
  <c r="L564" i="4"/>
  <c r="K564" i="4"/>
  <c r="J564" i="4"/>
  <c r="Q564" i="5" s="1"/>
  <c r="F564" i="4"/>
  <c r="E564" i="4"/>
  <c r="D564" i="4"/>
  <c r="C564" i="4"/>
  <c r="B564" i="4"/>
  <c r="A564" i="4"/>
  <c r="P563" i="4"/>
  <c r="O563" i="4"/>
  <c r="N563" i="4"/>
  <c r="M563" i="4"/>
  <c r="L563" i="4"/>
  <c r="K563" i="4"/>
  <c r="J563" i="4"/>
  <c r="Q563" i="5" s="1"/>
  <c r="F563" i="4"/>
  <c r="E563" i="4"/>
  <c r="D563" i="4"/>
  <c r="C563" i="4"/>
  <c r="B563" i="4"/>
  <c r="A563" i="4"/>
  <c r="P562" i="4"/>
  <c r="O562" i="4"/>
  <c r="N562" i="4"/>
  <c r="M562" i="4"/>
  <c r="N562" i="5" s="1"/>
  <c r="L562" i="4"/>
  <c r="K562" i="4"/>
  <c r="J562" i="4"/>
  <c r="Q562" i="5" s="1"/>
  <c r="F562" i="4"/>
  <c r="E562" i="4"/>
  <c r="D562" i="4"/>
  <c r="C562" i="4"/>
  <c r="B562" i="4"/>
  <c r="A562" i="4"/>
  <c r="P561" i="4"/>
  <c r="O561" i="4"/>
  <c r="N561" i="4"/>
  <c r="M561" i="4"/>
  <c r="L561" i="4"/>
  <c r="K561" i="4"/>
  <c r="J561" i="4"/>
  <c r="Q561" i="5" s="1"/>
  <c r="F561" i="4"/>
  <c r="E561" i="4"/>
  <c r="D561" i="4"/>
  <c r="C561" i="4"/>
  <c r="B561" i="4"/>
  <c r="A561" i="4"/>
  <c r="P560" i="4"/>
  <c r="O560" i="4"/>
  <c r="N560" i="4"/>
  <c r="M560" i="4"/>
  <c r="N560" i="5" s="1"/>
  <c r="L560" i="4"/>
  <c r="K560" i="4"/>
  <c r="J560" i="4"/>
  <c r="Q560" i="5" s="1"/>
  <c r="F560" i="4"/>
  <c r="E560" i="4"/>
  <c r="D560" i="4"/>
  <c r="C560" i="4"/>
  <c r="B560" i="4"/>
  <c r="A560" i="4"/>
  <c r="P559" i="4"/>
  <c r="O559" i="4"/>
  <c r="N559" i="4"/>
  <c r="M559" i="4"/>
  <c r="L559" i="4"/>
  <c r="K559" i="4"/>
  <c r="J559" i="4"/>
  <c r="Q559" i="5" s="1"/>
  <c r="F559" i="4"/>
  <c r="E559" i="4"/>
  <c r="D559" i="4"/>
  <c r="C559" i="4"/>
  <c r="B559" i="4"/>
  <c r="A559" i="4"/>
  <c r="P558" i="4"/>
  <c r="O558" i="4"/>
  <c r="N558" i="4"/>
  <c r="M558" i="4"/>
  <c r="N558" i="5" s="1"/>
  <c r="L558" i="4"/>
  <c r="K558" i="4"/>
  <c r="J558" i="4"/>
  <c r="Q558" i="5" s="1"/>
  <c r="F558" i="4"/>
  <c r="E558" i="4"/>
  <c r="D558" i="4"/>
  <c r="C558" i="4"/>
  <c r="B558" i="4"/>
  <c r="A558" i="4"/>
  <c r="P557" i="4"/>
  <c r="O557" i="4"/>
  <c r="N557" i="4"/>
  <c r="M557" i="4"/>
  <c r="L557" i="4"/>
  <c r="K557" i="4"/>
  <c r="J557" i="4"/>
  <c r="Q557" i="5" s="1"/>
  <c r="F557" i="4"/>
  <c r="E557" i="4"/>
  <c r="D557" i="4"/>
  <c r="C557" i="4"/>
  <c r="B557" i="4"/>
  <c r="A557" i="4"/>
  <c r="P556" i="4"/>
  <c r="O556" i="4"/>
  <c r="N556" i="4"/>
  <c r="M556" i="4"/>
  <c r="N556" i="5" s="1"/>
  <c r="L556" i="4"/>
  <c r="K556" i="4"/>
  <c r="J556" i="4"/>
  <c r="Q556" i="5" s="1"/>
  <c r="F556" i="4"/>
  <c r="E556" i="4"/>
  <c r="D556" i="4"/>
  <c r="C556" i="4"/>
  <c r="B556" i="4"/>
  <c r="A556" i="4"/>
  <c r="P555" i="4"/>
  <c r="O555" i="4"/>
  <c r="N555" i="4"/>
  <c r="M555" i="4"/>
  <c r="L555" i="4"/>
  <c r="K555" i="4"/>
  <c r="J555" i="4"/>
  <c r="Q555" i="5" s="1"/>
  <c r="F555" i="4"/>
  <c r="E555" i="4"/>
  <c r="D555" i="4"/>
  <c r="C555" i="4"/>
  <c r="B555" i="4"/>
  <c r="A555" i="4"/>
  <c r="P554" i="4"/>
  <c r="O554" i="4"/>
  <c r="N554" i="4"/>
  <c r="M554" i="4"/>
  <c r="N554" i="5" s="1"/>
  <c r="L554" i="4"/>
  <c r="K554" i="4"/>
  <c r="J554" i="4"/>
  <c r="Q554" i="5" s="1"/>
  <c r="F554" i="4"/>
  <c r="E554" i="4"/>
  <c r="D554" i="4"/>
  <c r="C554" i="4"/>
  <c r="B554" i="4"/>
  <c r="A554" i="4"/>
  <c r="P553" i="4"/>
  <c r="O553" i="4"/>
  <c r="N553" i="4"/>
  <c r="M553" i="4"/>
  <c r="L553" i="4"/>
  <c r="K553" i="4"/>
  <c r="J553" i="4"/>
  <c r="Q553" i="5" s="1"/>
  <c r="F553" i="4"/>
  <c r="E553" i="4"/>
  <c r="D553" i="4"/>
  <c r="C553" i="4"/>
  <c r="B553" i="4"/>
  <c r="A553" i="4"/>
  <c r="P552" i="4"/>
  <c r="O552" i="4"/>
  <c r="N552" i="4"/>
  <c r="M552" i="4"/>
  <c r="N552" i="5" s="1"/>
  <c r="L552" i="4"/>
  <c r="K552" i="4"/>
  <c r="J552" i="4"/>
  <c r="Q552" i="5" s="1"/>
  <c r="F552" i="4"/>
  <c r="E552" i="4"/>
  <c r="D552" i="4"/>
  <c r="C552" i="4"/>
  <c r="B552" i="4"/>
  <c r="A552" i="4"/>
  <c r="P551" i="4"/>
  <c r="O551" i="4"/>
  <c r="N551" i="4"/>
  <c r="M551" i="4"/>
  <c r="L551" i="4"/>
  <c r="K551" i="4"/>
  <c r="J551" i="4"/>
  <c r="Q551" i="5" s="1"/>
  <c r="F551" i="4"/>
  <c r="E551" i="4"/>
  <c r="D551" i="4"/>
  <c r="C551" i="4"/>
  <c r="B551" i="4"/>
  <c r="A551" i="4"/>
  <c r="P550" i="4"/>
  <c r="O550" i="4"/>
  <c r="N550" i="4"/>
  <c r="M550" i="4"/>
  <c r="N550" i="5" s="1"/>
  <c r="L550" i="4"/>
  <c r="K550" i="4"/>
  <c r="J550" i="4"/>
  <c r="Q550" i="5" s="1"/>
  <c r="F550" i="4"/>
  <c r="E550" i="4"/>
  <c r="D550" i="4"/>
  <c r="C550" i="4"/>
  <c r="B550" i="4"/>
  <c r="A550" i="4"/>
  <c r="P549" i="4"/>
  <c r="O549" i="4"/>
  <c r="N549" i="4"/>
  <c r="M549" i="4"/>
  <c r="L549" i="4"/>
  <c r="K549" i="4"/>
  <c r="J549" i="4"/>
  <c r="Q549" i="5" s="1"/>
  <c r="F549" i="4"/>
  <c r="E549" i="4"/>
  <c r="D549" i="4"/>
  <c r="C549" i="4"/>
  <c r="B549" i="4"/>
  <c r="A549" i="4"/>
  <c r="P548" i="4"/>
  <c r="O548" i="4"/>
  <c r="N548" i="4"/>
  <c r="M548" i="4"/>
  <c r="N548" i="5" s="1"/>
  <c r="L548" i="4"/>
  <c r="K548" i="4"/>
  <c r="J548" i="4"/>
  <c r="Q548" i="5" s="1"/>
  <c r="F548" i="4"/>
  <c r="E548" i="4"/>
  <c r="D548" i="4"/>
  <c r="C548" i="4"/>
  <c r="B548" i="4"/>
  <c r="A548" i="4"/>
  <c r="P547" i="4"/>
  <c r="O547" i="4"/>
  <c r="N547" i="4"/>
  <c r="M547" i="4"/>
  <c r="L547" i="4"/>
  <c r="K547" i="4"/>
  <c r="J547" i="4"/>
  <c r="Q547" i="5" s="1"/>
  <c r="F547" i="4"/>
  <c r="E547" i="4"/>
  <c r="D547" i="4"/>
  <c r="C547" i="4"/>
  <c r="B547" i="4"/>
  <c r="A547" i="4"/>
  <c r="P546" i="4"/>
  <c r="O546" i="4"/>
  <c r="N546" i="4"/>
  <c r="M546" i="4"/>
  <c r="N546" i="5" s="1"/>
  <c r="L546" i="4"/>
  <c r="K546" i="4"/>
  <c r="J546" i="4"/>
  <c r="Q546" i="5" s="1"/>
  <c r="F546" i="4"/>
  <c r="E546" i="4"/>
  <c r="D546" i="4"/>
  <c r="C546" i="4"/>
  <c r="B546" i="4"/>
  <c r="A546" i="4"/>
  <c r="P545" i="4"/>
  <c r="O545" i="4"/>
  <c r="N545" i="4"/>
  <c r="M545" i="4"/>
  <c r="L545" i="4"/>
  <c r="K545" i="4"/>
  <c r="J545" i="4"/>
  <c r="Q545" i="5" s="1"/>
  <c r="F545" i="4"/>
  <c r="E545" i="4"/>
  <c r="D545" i="4"/>
  <c r="C545" i="4"/>
  <c r="B545" i="4"/>
  <c r="A545" i="4"/>
  <c r="P544" i="4"/>
  <c r="O544" i="4"/>
  <c r="N544" i="4"/>
  <c r="M544" i="4"/>
  <c r="N544" i="5" s="1"/>
  <c r="L544" i="4"/>
  <c r="K544" i="4"/>
  <c r="J544" i="4"/>
  <c r="Q544" i="5" s="1"/>
  <c r="F544" i="4"/>
  <c r="E544" i="4"/>
  <c r="D544" i="4"/>
  <c r="C544" i="4"/>
  <c r="B544" i="4"/>
  <c r="A544" i="4"/>
  <c r="P543" i="4"/>
  <c r="O543" i="4"/>
  <c r="N543" i="4"/>
  <c r="M543" i="4"/>
  <c r="L543" i="4"/>
  <c r="K543" i="4"/>
  <c r="J543" i="4"/>
  <c r="Q543" i="5" s="1"/>
  <c r="F543" i="4"/>
  <c r="E543" i="4"/>
  <c r="D543" i="4"/>
  <c r="C543" i="4"/>
  <c r="B543" i="4"/>
  <c r="A543" i="4"/>
  <c r="P542" i="4"/>
  <c r="O542" i="4"/>
  <c r="N542" i="4"/>
  <c r="M542" i="4"/>
  <c r="N542" i="5" s="1"/>
  <c r="L542" i="4"/>
  <c r="K542" i="4"/>
  <c r="J542" i="4"/>
  <c r="Q542" i="5" s="1"/>
  <c r="F542" i="4"/>
  <c r="E542" i="4"/>
  <c r="D542" i="4"/>
  <c r="C542" i="4"/>
  <c r="B542" i="4"/>
  <c r="A542" i="4"/>
  <c r="P541" i="4"/>
  <c r="O541" i="4"/>
  <c r="N541" i="4"/>
  <c r="M541" i="4"/>
  <c r="L541" i="4"/>
  <c r="K541" i="4"/>
  <c r="J541" i="4"/>
  <c r="Q541" i="5" s="1"/>
  <c r="F541" i="4"/>
  <c r="E541" i="4"/>
  <c r="D541" i="4"/>
  <c r="C541" i="4"/>
  <c r="B541" i="4"/>
  <c r="A541" i="4"/>
  <c r="P540" i="4"/>
  <c r="O540" i="4"/>
  <c r="N540" i="4"/>
  <c r="M540" i="4"/>
  <c r="N540" i="5" s="1"/>
  <c r="L540" i="4"/>
  <c r="K540" i="4"/>
  <c r="J540" i="4"/>
  <c r="Q540" i="5" s="1"/>
  <c r="F540" i="4"/>
  <c r="E540" i="4"/>
  <c r="D540" i="4"/>
  <c r="C540" i="4"/>
  <c r="B540" i="4"/>
  <c r="A540" i="4"/>
  <c r="P539" i="4"/>
  <c r="O539" i="4"/>
  <c r="N539" i="4"/>
  <c r="M539" i="4"/>
  <c r="L539" i="4"/>
  <c r="K539" i="4"/>
  <c r="J539" i="4"/>
  <c r="Q539" i="5" s="1"/>
  <c r="F539" i="4"/>
  <c r="E539" i="4"/>
  <c r="D539" i="4"/>
  <c r="C539" i="4"/>
  <c r="B539" i="4"/>
  <c r="A539" i="4"/>
  <c r="P538" i="4"/>
  <c r="O538" i="4"/>
  <c r="N538" i="4"/>
  <c r="M538" i="4"/>
  <c r="N538" i="5" s="1"/>
  <c r="L538" i="4"/>
  <c r="K538" i="4"/>
  <c r="J538" i="4"/>
  <c r="Q538" i="5" s="1"/>
  <c r="F538" i="4"/>
  <c r="E538" i="4"/>
  <c r="D538" i="4"/>
  <c r="C538" i="4"/>
  <c r="B538" i="4"/>
  <c r="A538" i="4"/>
  <c r="P537" i="4"/>
  <c r="O537" i="4"/>
  <c r="N537" i="4"/>
  <c r="M537" i="4"/>
  <c r="L537" i="4"/>
  <c r="K537" i="4"/>
  <c r="J537" i="4"/>
  <c r="Q537" i="5" s="1"/>
  <c r="F537" i="4"/>
  <c r="E537" i="4"/>
  <c r="D537" i="4"/>
  <c r="C537" i="4"/>
  <c r="B537" i="4"/>
  <c r="A537" i="4"/>
  <c r="P536" i="4"/>
  <c r="O536" i="4"/>
  <c r="N536" i="4"/>
  <c r="M536" i="4"/>
  <c r="N536" i="5" s="1"/>
  <c r="L536" i="4"/>
  <c r="K536" i="4"/>
  <c r="J536" i="4"/>
  <c r="Q536" i="5" s="1"/>
  <c r="F536" i="4"/>
  <c r="E536" i="4"/>
  <c r="D536" i="4"/>
  <c r="C536" i="4"/>
  <c r="B536" i="4"/>
  <c r="A536" i="4"/>
  <c r="P535" i="4"/>
  <c r="O535" i="4"/>
  <c r="N535" i="4"/>
  <c r="M535" i="4"/>
  <c r="L535" i="4"/>
  <c r="K535" i="4"/>
  <c r="J535" i="4"/>
  <c r="Q535" i="5" s="1"/>
  <c r="F535" i="4"/>
  <c r="E535" i="4"/>
  <c r="D535" i="4"/>
  <c r="C535" i="4"/>
  <c r="B535" i="4"/>
  <c r="A535" i="4"/>
  <c r="P534" i="4"/>
  <c r="O534" i="4"/>
  <c r="N534" i="4"/>
  <c r="M534" i="4"/>
  <c r="N534" i="5" s="1"/>
  <c r="L534" i="4"/>
  <c r="K534" i="4"/>
  <c r="J534" i="4"/>
  <c r="Q534" i="5" s="1"/>
  <c r="F534" i="4"/>
  <c r="E534" i="4"/>
  <c r="D534" i="4"/>
  <c r="C534" i="4"/>
  <c r="B534" i="4"/>
  <c r="A534" i="4"/>
  <c r="P533" i="4"/>
  <c r="O533" i="4"/>
  <c r="N533" i="4"/>
  <c r="M533" i="4"/>
  <c r="L533" i="4"/>
  <c r="K533" i="4"/>
  <c r="J533" i="4"/>
  <c r="Q533" i="5" s="1"/>
  <c r="F533" i="4"/>
  <c r="E533" i="4"/>
  <c r="D533" i="4"/>
  <c r="C533" i="4"/>
  <c r="B533" i="4"/>
  <c r="A533" i="4"/>
  <c r="P532" i="4"/>
  <c r="O532" i="4"/>
  <c r="N532" i="4"/>
  <c r="M532" i="4"/>
  <c r="N532" i="5" s="1"/>
  <c r="L532" i="4"/>
  <c r="K532" i="4"/>
  <c r="J532" i="4"/>
  <c r="Q532" i="5" s="1"/>
  <c r="F532" i="4"/>
  <c r="E532" i="4"/>
  <c r="D532" i="4"/>
  <c r="C532" i="4"/>
  <c r="B532" i="4"/>
  <c r="A532" i="4"/>
  <c r="P531" i="4"/>
  <c r="O531" i="4"/>
  <c r="N531" i="4"/>
  <c r="M531" i="4"/>
  <c r="L531" i="4"/>
  <c r="K531" i="4"/>
  <c r="J531" i="4"/>
  <c r="Q531" i="5" s="1"/>
  <c r="F531" i="4"/>
  <c r="E531" i="4"/>
  <c r="D531" i="4"/>
  <c r="C531" i="4"/>
  <c r="B531" i="4"/>
  <c r="A531" i="4"/>
  <c r="P530" i="4"/>
  <c r="O530" i="4"/>
  <c r="N530" i="4"/>
  <c r="M530" i="4"/>
  <c r="N530" i="5" s="1"/>
  <c r="L530" i="4"/>
  <c r="K530" i="4"/>
  <c r="J530" i="4"/>
  <c r="Q530" i="5" s="1"/>
  <c r="F530" i="4"/>
  <c r="E530" i="4"/>
  <c r="D530" i="4"/>
  <c r="C530" i="4"/>
  <c r="B530" i="4"/>
  <c r="A530" i="4"/>
  <c r="P529" i="4"/>
  <c r="O529" i="4"/>
  <c r="N529" i="4"/>
  <c r="M529" i="4"/>
  <c r="L529" i="4"/>
  <c r="K529" i="4"/>
  <c r="J529" i="4"/>
  <c r="Q529" i="5" s="1"/>
  <c r="F529" i="4"/>
  <c r="E529" i="4"/>
  <c r="D529" i="4"/>
  <c r="C529" i="4"/>
  <c r="B529" i="4"/>
  <c r="A529" i="4"/>
  <c r="P528" i="4"/>
  <c r="O528" i="4"/>
  <c r="N528" i="4"/>
  <c r="M528" i="4"/>
  <c r="N528" i="5" s="1"/>
  <c r="L528" i="4"/>
  <c r="K528" i="4"/>
  <c r="J528" i="4"/>
  <c r="Q528" i="5" s="1"/>
  <c r="F528" i="4"/>
  <c r="E528" i="4"/>
  <c r="D528" i="4"/>
  <c r="C528" i="4"/>
  <c r="B528" i="4"/>
  <c r="A528" i="4"/>
  <c r="P527" i="4"/>
  <c r="O527" i="4"/>
  <c r="N527" i="4"/>
  <c r="M527" i="4"/>
  <c r="L527" i="4"/>
  <c r="K527" i="4"/>
  <c r="J527" i="4"/>
  <c r="Q527" i="5" s="1"/>
  <c r="F527" i="4"/>
  <c r="E527" i="4"/>
  <c r="D527" i="4"/>
  <c r="C527" i="4"/>
  <c r="B527" i="4"/>
  <c r="A527" i="4"/>
  <c r="P526" i="4"/>
  <c r="O526" i="4"/>
  <c r="N526" i="4"/>
  <c r="M526" i="4"/>
  <c r="N526" i="5" s="1"/>
  <c r="L526" i="4"/>
  <c r="K526" i="4"/>
  <c r="J526" i="4"/>
  <c r="Q526" i="5" s="1"/>
  <c r="F526" i="4"/>
  <c r="E526" i="4"/>
  <c r="D526" i="4"/>
  <c r="C526" i="4"/>
  <c r="B526" i="4"/>
  <c r="A526" i="4"/>
  <c r="P525" i="4"/>
  <c r="O525" i="4"/>
  <c r="N525" i="4"/>
  <c r="M525" i="4"/>
  <c r="L525" i="4"/>
  <c r="K525" i="4"/>
  <c r="J525" i="4"/>
  <c r="Q525" i="5" s="1"/>
  <c r="F525" i="4"/>
  <c r="E525" i="4"/>
  <c r="D525" i="4"/>
  <c r="C525" i="4"/>
  <c r="B525" i="4"/>
  <c r="A525" i="4"/>
  <c r="P524" i="4"/>
  <c r="O524" i="4"/>
  <c r="N524" i="4"/>
  <c r="M524" i="4"/>
  <c r="N524" i="5" s="1"/>
  <c r="L524" i="4"/>
  <c r="K524" i="4"/>
  <c r="J524" i="4"/>
  <c r="Q524" i="5" s="1"/>
  <c r="F524" i="4"/>
  <c r="E524" i="4"/>
  <c r="D524" i="4"/>
  <c r="C524" i="4"/>
  <c r="B524" i="4"/>
  <c r="A524" i="4"/>
  <c r="P523" i="4"/>
  <c r="O523" i="4"/>
  <c r="N523" i="4"/>
  <c r="M523" i="4"/>
  <c r="L523" i="4"/>
  <c r="K523" i="4"/>
  <c r="J523" i="4"/>
  <c r="Q523" i="5" s="1"/>
  <c r="F523" i="4"/>
  <c r="E523" i="4"/>
  <c r="D523" i="4"/>
  <c r="C523" i="4"/>
  <c r="B523" i="4"/>
  <c r="A523" i="4"/>
  <c r="P522" i="4"/>
  <c r="O522" i="4"/>
  <c r="N522" i="4"/>
  <c r="M522" i="4"/>
  <c r="N522" i="5" s="1"/>
  <c r="L522" i="4"/>
  <c r="K522" i="4"/>
  <c r="J522" i="4"/>
  <c r="Q522" i="5" s="1"/>
  <c r="F522" i="4"/>
  <c r="E522" i="4"/>
  <c r="D522" i="4"/>
  <c r="C522" i="4"/>
  <c r="B522" i="4"/>
  <c r="A522" i="4"/>
  <c r="P521" i="4"/>
  <c r="O521" i="4"/>
  <c r="N521" i="4"/>
  <c r="M521" i="4"/>
  <c r="L521" i="4"/>
  <c r="K521" i="4"/>
  <c r="J521" i="4"/>
  <c r="Q521" i="5" s="1"/>
  <c r="F521" i="4"/>
  <c r="E521" i="4"/>
  <c r="D521" i="4"/>
  <c r="C521" i="4"/>
  <c r="B521" i="4"/>
  <c r="A521" i="4"/>
  <c r="P520" i="4"/>
  <c r="O520" i="4"/>
  <c r="N520" i="4"/>
  <c r="M520" i="4"/>
  <c r="N520" i="5" s="1"/>
  <c r="L520" i="4"/>
  <c r="K520" i="4"/>
  <c r="J520" i="4"/>
  <c r="Q520" i="5" s="1"/>
  <c r="F520" i="4"/>
  <c r="E520" i="4"/>
  <c r="D520" i="4"/>
  <c r="C520" i="4"/>
  <c r="B520" i="4"/>
  <c r="A520" i="4"/>
  <c r="P519" i="4"/>
  <c r="O519" i="4"/>
  <c r="N519" i="4"/>
  <c r="M519" i="4"/>
  <c r="L519" i="4"/>
  <c r="K519" i="4"/>
  <c r="J519" i="4"/>
  <c r="Q519" i="5" s="1"/>
  <c r="F519" i="4"/>
  <c r="E519" i="4"/>
  <c r="D519" i="4"/>
  <c r="C519" i="4"/>
  <c r="B519" i="4"/>
  <c r="A519" i="4"/>
  <c r="P518" i="4"/>
  <c r="O518" i="4"/>
  <c r="N518" i="4"/>
  <c r="M518" i="4"/>
  <c r="N518" i="5" s="1"/>
  <c r="L518" i="4"/>
  <c r="K518" i="4"/>
  <c r="J518" i="4"/>
  <c r="Q518" i="5" s="1"/>
  <c r="F518" i="4"/>
  <c r="E518" i="4"/>
  <c r="D518" i="4"/>
  <c r="C518" i="4"/>
  <c r="B518" i="4"/>
  <c r="A518" i="4"/>
  <c r="P517" i="4"/>
  <c r="O517" i="4"/>
  <c r="N517" i="4"/>
  <c r="M517" i="4"/>
  <c r="L517" i="4"/>
  <c r="K517" i="4"/>
  <c r="J517" i="4"/>
  <c r="Q517" i="5" s="1"/>
  <c r="F517" i="4"/>
  <c r="E517" i="4"/>
  <c r="D517" i="4"/>
  <c r="C517" i="4"/>
  <c r="B517" i="4"/>
  <c r="A517" i="4"/>
  <c r="P516" i="4"/>
  <c r="O516" i="4"/>
  <c r="N516" i="4"/>
  <c r="M516" i="4"/>
  <c r="N516" i="5" s="1"/>
  <c r="L516" i="4"/>
  <c r="K516" i="4"/>
  <c r="J516" i="4"/>
  <c r="Q516" i="5" s="1"/>
  <c r="F516" i="4"/>
  <c r="E516" i="4"/>
  <c r="D516" i="4"/>
  <c r="C516" i="4"/>
  <c r="B516" i="4"/>
  <c r="A516" i="4"/>
  <c r="P515" i="4"/>
  <c r="O515" i="4"/>
  <c r="N515" i="4"/>
  <c r="M515" i="4"/>
  <c r="L515" i="4"/>
  <c r="K515" i="4"/>
  <c r="J515" i="4"/>
  <c r="Q515" i="5" s="1"/>
  <c r="F515" i="4"/>
  <c r="E515" i="4"/>
  <c r="D515" i="4"/>
  <c r="C515" i="4"/>
  <c r="B515" i="4"/>
  <c r="A515" i="4"/>
  <c r="P514" i="4"/>
  <c r="O514" i="4"/>
  <c r="N514" i="4"/>
  <c r="M514" i="4"/>
  <c r="N514" i="5" s="1"/>
  <c r="L514" i="4"/>
  <c r="K514" i="4"/>
  <c r="J514" i="4"/>
  <c r="Q514" i="5" s="1"/>
  <c r="F514" i="4"/>
  <c r="E514" i="4"/>
  <c r="D514" i="4"/>
  <c r="C514" i="4"/>
  <c r="B514" i="4"/>
  <c r="A514" i="4"/>
  <c r="P513" i="4"/>
  <c r="O513" i="4"/>
  <c r="N513" i="4"/>
  <c r="M513" i="4"/>
  <c r="L513" i="4"/>
  <c r="K513" i="4"/>
  <c r="J513" i="4"/>
  <c r="Q513" i="5" s="1"/>
  <c r="F513" i="4"/>
  <c r="E513" i="4"/>
  <c r="D513" i="4"/>
  <c r="C513" i="4"/>
  <c r="B513" i="4"/>
  <c r="A513" i="4"/>
  <c r="P512" i="4"/>
  <c r="O512" i="4"/>
  <c r="N512" i="4"/>
  <c r="M512" i="4"/>
  <c r="N512" i="5" s="1"/>
  <c r="L512" i="4"/>
  <c r="K512" i="4"/>
  <c r="J512" i="4"/>
  <c r="Q512" i="5" s="1"/>
  <c r="F512" i="4"/>
  <c r="E512" i="4"/>
  <c r="D512" i="4"/>
  <c r="C512" i="4"/>
  <c r="B512" i="4"/>
  <c r="A512" i="4"/>
  <c r="P511" i="4"/>
  <c r="O511" i="4"/>
  <c r="N511" i="4"/>
  <c r="M511" i="4"/>
  <c r="L511" i="4"/>
  <c r="K511" i="4"/>
  <c r="J511" i="4"/>
  <c r="Q511" i="5" s="1"/>
  <c r="F511" i="4"/>
  <c r="E511" i="4"/>
  <c r="D511" i="4"/>
  <c r="C511" i="4"/>
  <c r="B511" i="4"/>
  <c r="A511" i="4"/>
  <c r="P510" i="4"/>
  <c r="O510" i="4"/>
  <c r="N510" i="4"/>
  <c r="M510" i="4"/>
  <c r="N510" i="5" s="1"/>
  <c r="L510" i="4"/>
  <c r="K510" i="4"/>
  <c r="J510" i="4"/>
  <c r="Q510" i="5" s="1"/>
  <c r="F510" i="4"/>
  <c r="E510" i="4"/>
  <c r="D510" i="4"/>
  <c r="C510" i="4"/>
  <c r="B510" i="4"/>
  <c r="A510" i="4"/>
  <c r="P509" i="4"/>
  <c r="O509" i="4"/>
  <c r="N509" i="4"/>
  <c r="M509" i="4"/>
  <c r="L509" i="4"/>
  <c r="K509" i="4"/>
  <c r="J509" i="4"/>
  <c r="Q509" i="5" s="1"/>
  <c r="F509" i="4"/>
  <c r="E509" i="4"/>
  <c r="D509" i="4"/>
  <c r="C509" i="4"/>
  <c r="B509" i="4"/>
  <c r="A509" i="4"/>
  <c r="P508" i="4"/>
  <c r="O508" i="4"/>
  <c r="N508" i="4"/>
  <c r="M508" i="4"/>
  <c r="N508" i="5" s="1"/>
  <c r="L508" i="4"/>
  <c r="K508" i="4"/>
  <c r="J508" i="4"/>
  <c r="Q508" i="5" s="1"/>
  <c r="F508" i="4"/>
  <c r="E508" i="4"/>
  <c r="D508" i="4"/>
  <c r="C508" i="4"/>
  <c r="B508" i="4"/>
  <c r="A508" i="4"/>
  <c r="P507" i="4"/>
  <c r="O507" i="4"/>
  <c r="N507" i="4"/>
  <c r="M507" i="4"/>
  <c r="L507" i="4"/>
  <c r="K507" i="4"/>
  <c r="J507" i="4"/>
  <c r="Q507" i="5" s="1"/>
  <c r="F507" i="4"/>
  <c r="E507" i="4"/>
  <c r="D507" i="4"/>
  <c r="C507" i="4"/>
  <c r="B507" i="4"/>
  <c r="A507" i="4"/>
  <c r="P506" i="4"/>
  <c r="O506" i="4"/>
  <c r="N506" i="4"/>
  <c r="M506" i="4"/>
  <c r="N506" i="5" s="1"/>
  <c r="L506" i="4"/>
  <c r="K506" i="4"/>
  <c r="J506" i="4"/>
  <c r="Q506" i="5" s="1"/>
  <c r="F506" i="4"/>
  <c r="E506" i="4"/>
  <c r="D506" i="4"/>
  <c r="C506" i="4"/>
  <c r="B506" i="4"/>
  <c r="A506" i="4"/>
  <c r="P505" i="4"/>
  <c r="O505" i="4"/>
  <c r="N505" i="4"/>
  <c r="M505" i="4"/>
  <c r="L505" i="4"/>
  <c r="K505" i="4"/>
  <c r="J505" i="4"/>
  <c r="Q505" i="5" s="1"/>
  <c r="F505" i="4"/>
  <c r="E505" i="4"/>
  <c r="D505" i="4"/>
  <c r="C505" i="4"/>
  <c r="B505" i="4"/>
  <c r="A505" i="4"/>
  <c r="P504" i="4"/>
  <c r="O504" i="4"/>
  <c r="N504" i="4"/>
  <c r="M504" i="4"/>
  <c r="N504" i="5" s="1"/>
  <c r="L504" i="4"/>
  <c r="K504" i="4"/>
  <c r="J504" i="4"/>
  <c r="Q504" i="5" s="1"/>
  <c r="F504" i="4"/>
  <c r="E504" i="4"/>
  <c r="D504" i="4"/>
  <c r="C504" i="4"/>
  <c r="B504" i="4"/>
  <c r="A504" i="4"/>
  <c r="P503" i="4"/>
  <c r="O503" i="4"/>
  <c r="N503" i="4"/>
  <c r="M503" i="4"/>
  <c r="L503" i="4"/>
  <c r="K503" i="4"/>
  <c r="J503" i="4"/>
  <c r="Q503" i="5" s="1"/>
  <c r="F503" i="4"/>
  <c r="E503" i="4"/>
  <c r="D503" i="4"/>
  <c r="C503" i="4"/>
  <c r="B503" i="4"/>
  <c r="A503" i="4"/>
  <c r="P502" i="4"/>
  <c r="O502" i="4"/>
  <c r="N502" i="4"/>
  <c r="M502" i="4"/>
  <c r="N502" i="5" s="1"/>
  <c r="L502" i="4"/>
  <c r="K502" i="4"/>
  <c r="J502" i="4"/>
  <c r="Q502" i="5" s="1"/>
  <c r="F502" i="4"/>
  <c r="E502" i="4"/>
  <c r="D502" i="4"/>
  <c r="C502" i="4"/>
  <c r="B502" i="4"/>
  <c r="A502" i="4"/>
  <c r="P501" i="4"/>
  <c r="O501" i="4"/>
  <c r="N501" i="4"/>
  <c r="M501" i="4"/>
  <c r="L501" i="4"/>
  <c r="K501" i="4"/>
  <c r="J501" i="4"/>
  <c r="Q501" i="5" s="1"/>
  <c r="F501" i="4"/>
  <c r="E501" i="4"/>
  <c r="D501" i="4"/>
  <c r="C501" i="4"/>
  <c r="B501" i="4"/>
  <c r="A501" i="4"/>
  <c r="P500" i="4"/>
  <c r="O500" i="4"/>
  <c r="N500" i="4"/>
  <c r="M500" i="4"/>
  <c r="N500" i="5" s="1"/>
  <c r="L500" i="4"/>
  <c r="K500" i="4"/>
  <c r="J500" i="4"/>
  <c r="Q500" i="5" s="1"/>
  <c r="F500" i="4"/>
  <c r="E500" i="4"/>
  <c r="D500" i="4"/>
  <c r="C500" i="4"/>
  <c r="B500" i="4"/>
  <c r="A500" i="4"/>
  <c r="P499" i="4"/>
  <c r="O499" i="4"/>
  <c r="N499" i="4"/>
  <c r="M499" i="4"/>
  <c r="L499" i="4"/>
  <c r="K499" i="4"/>
  <c r="J499" i="4"/>
  <c r="Q499" i="5" s="1"/>
  <c r="F499" i="4"/>
  <c r="E499" i="4"/>
  <c r="D499" i="4"/>
  <c r="C499" i="4"/>
  <c r="B499" i="4"/>
  <c r="A499" i="4"/>
  <c r="P498" i="4"/>
  <c r="O498" i="4"/>
  <c r="N498" i="4"/>
  <c r="M498" i="4"/>
  <c r="N498" i="5" s="1"/>
  <c r="L498" i="4"/>
  <c r="K498" i="4"/>
  <c r="J498" i="4"/>
  <c r="Q498" i="5" s="1"/>
  <c r="F498" i="4"/>
  <c r="E498" i="4"/>
  <c r="D498" i="4"/>
  <c r="C498" i="4"/>
  <c r="B498" i="4"/>
  <c r="A498" i="4"/>
  <c r="P497" i="4"/>
  <c r="O497" i="4"/>
  <c r="N497" i="4"/>
  <c r="M497" i="4"/>
  <c r="L497" i="4"/>
  <c r="K497" i="4"/>
  <c r="J497" i="4"/>
  <c r="Q497" i="5" s="1"/>
  <c r="F497" i="4"/>
  <c r="E497" i="4"/>
  <c r="D497" i="4"/>
  <c r="C497" i="4"/>
  <c r="B497" i="4"/>
  <c r="A497" i="4"/>
  <c r="P496" i="4"/>
  <c r="O496" i="4"/>
  <c r="N496" i="4"/>
  <c r="M496" i="4"/>
  <c r="N496" i="5" s="1"/>
  <c r="L496" i="4"/>
  <c r="K496" i="4"/>
  <c r="J496" i="4"/>
  <c r="Q496" i="5" s="1"/>
  <c r="F496" i="4"/>
  <c r="E496" i="4"/>
  <c r="D496" i="4"/>
  <c r="C496" i="4"/>
  <c r="B496" i="4"/>
  <c r="A496" i="4"/>
  <c r="P495" i="4"/>
  <c r="O495" i="4"/>
  <c r="N495" i="4"/>
  <c r="M495" i="4"/>
  <c r="L495" i="4"/>
  <c r="K495" i="4"/>
  <c r="J495" i="4"/>
  <c r="Q495" i="5" s="1"/>
  <c r="F495" i="4"/>
  <c r="E495" i="4"/>
  <c r="D495" i="4"/>
  <c r="C495" i="4"/>
  <c r="B495" i="4"/>
  <c r="A495" i="4"/>
  <c r="P494" i="4"/>
  <c r="O494" i="4"/>
  <c r="N494" i="4"/>
  <c r="M494" i="4"/>
  <c r="N494" i="5" s="1"/>
  <c r="L494" i="4"/>
  <c r="K494" i="4"/>
  <c r="J494" i="4"/>
  <c r="Q494" i="5" s="1"/>
  <c r="F494" i="4"/>
  <c r="E494" i="4"/>
  <c r="D494" i="4"/>
  <c r="C494" i="4"/>
  <c r="B494" i="4"/>
  <c r="A494" i="4"/>
  <c r="P493" i="4"/>
  <c r="O493" i="4"/>
  <c r="N493" i="4"/>
  <c r="M493" i="4"/>
  <c r="L493" i="4"/>
  <c r="K493" i="4"/>
  <c r="J493" i="4"/>
  <c r="Q493" i="5" s="1"/>
  <c r="F493" i="4"/>
  <c r="E493" i="4"/>
  <c r="D493" i="4"/>
  <c r="C493" i="4"/>
  <c r="B493" i="4"/>
  <c r="A493" i="4"/>
  <c r="P492" i="4"/>
  <c r="O492" i="4"/>
  <c r="N492" i="4"/>
  <c r="M492" i="4"/>
  <c r="N492" i="5" s="1"/>
  <c r="L492" i="4"/>
  <c r="K492" i="4"/>
  <c r="J492" i="4"/>
  <c r="Q492" i="5" s="1"/>
  <c r="F492" i="4"/>
  <c r="E492" i="4"/>
  <c r="D492" i="4"/>
  <c r="C492" i="4"/>
  <c r="B492" i="4"/>
  <c r="A492" i="4"/>
  <c r="P491" i="4"/>
  <c r="O491" i="4"/>
  <c r="N491" i="4"/>
  <c r="M491" i="4"/>
  <c r="L491" i="4"/>
  <c r="K491" i="4"/>
  <c r="J491" i="4"/>
  <c r="Q491" i="5" s="1"/>
  <c r="F491" i="4"/>
  <c r="E491" i="4"/>
  <c r="D491" i="4"/>
  <c r="C491" i="4"/>
  <c r="B491" i="4"/>
  <c r="A491" i="4"/>
  <c r="P490" i="4"/>
  <c r="O490" i="4"/>
  <c r="N490" i="4"/>
  <c r="M490" i="4"/>
  <c r="N490" i="5" s="1"/>
  <c r="L490" i="4"/>
  <c r="K490" i="4"/>
  <c r="J490" i="4"/>
  <c r="Q490" i="5" s="1"/>
  <c r="F490" i="4"/>
  <c r="E490" i="4"/>
  <c r="D490" i="4"/>
  <c r="C490" i="4"/>
  <c r="B490" i="4"/>
  <c r="A490" i="4"/>
  <c r="P489" i="4"/>
  <c r="O489" i="4"/>
  <c r="N489" i="4"/>
  <c r="M489" i="4"/>
  <c r="L489" i="4"/>
  <c r="K489" i="4"/>
  <c r="J489" i="4"/>
  <c r="Q489" i="5" s="1"/>
  <c r="F489" i="4"/>
  <c r="E489" i="4"/>
  <c r="D489" i="4"/>
  <c r="C489" i="4"/>
  <c r="B489" i="4"/>
  <c r="A489" i="4"/>
  <c r="P488" i="4"/>
  <c r="O488" i="4"/>
  <c r="N488" i="4"/>
  <c r="M488" i="4"/>
  <c r="N488" i="5" s="1"/>
  <c r="L488" i="4"/>
  <c r="K488" i="4"/>
  <c r="J488" i="4"/>
  <c r="Q488" i="5" s="1"/>
  <c r="F488" i="4"/>
  <c r="E488" i="4"/>
  <c r="D488" i="4"/>
  <c r="C488" i="4"/>
  <c r="B488" i="4"/>
  <c r="A488" i="4"/>
  <c r="P487" i="4"/>
  <c r="O487" i="4"/>
  <c r="N487" i="4"/>
  <c r="M487" i="4"/>
  <c r="L487" i="4"/>
  <c r="K487" i="4"/>
  <c r="J487" i="4"/>
  <c r="Q487" i="5" s="1"/>
  <c r="F487" i="4"/>
  <c r="E487" i="4"/>
  <c r="D487" i="4"/>
  <c r="C487" i="4"/>
  <c r="B487" i="4"/>
  <c r="A487" i="4"/>
  <c r="P486" i="4"/>
  <c r="O486" i="4"/>
  <c r="N486" i="4"/>
  <c r="M486" i="4"/>
  <c r="N486" i="5" s="1"/>
  <c r="L486" i="4"/>
  <c r="K486" i="4"/>
  <c r="J486" i="4"/>
  <c r="Q486" i="5" s="1"/>
  <c r="F486" i="4"/>
  <c r="E486" i="4"/>
  <c r="D486" i="4"/>
  <c r="C486" i="4"/>
  <c r="B486" i="4"/>
  <c r="A486" i="4"/>
  <c r="P485" i="4"/>
  <c r="O485" i="4"/>
  <c r="N485" i="4"/>
  <c r="M485" i="4"/>
  <c r="L485" i="4"/>
  <c r="K485" i="4"/>
  <c r="J485" i="4"/>
  <c r="Q485" i="5" s="1"/>
  <c r="F485" i="4"/>
  <c r="E485" i="4"/>
  <c r="D485" i="4"/>
  <c r="C485" i="4"/>
  <c r="B485" i="4"/>
  <c r="A485" i="4"/>
  <c r="P484" i="4"/>
  <c r="O484" i="4"/>
  <c r="N484" i="4"/>
  <c r="M484" i="4"/>
  <c r="N484" i="5" s="1"/>
  <c r="L484" i="4"/>
  <c r="K484" i="4"/>
  <c r="J484" i="4"/>
  <c r="Q484" i="5" s="1"/>
  <c r="F484" i="4"/>
  <c r="E484" i="4"/>
  <c r="D484" i="4"/>
  <c r="C484" i="4"/>
  <c r="B484" i="4"/>
  <c r="A484" i="4"/>
  <c r="P483" i="4"/>
  <c r="O483" i="4"/>
  <c r="N483" i="4"/>
  <c r="M483" i="4"/>
  <c r="L483" i="4"/>
  <c r="K483" i="4"/>
  <c r="J483" i="4"/>
  <c r="Q483" i="5" s="1"/>
  <c r="F483" i="4"/>
  <c r="E483" i="4"/>
  <c r="D483" i="4"/>
  <c r="C483" i="4"/>
  <c r="B483" i="4"/>
  <c r="A483" i="4"/>
  <c r="P482" i="4"/>
  <c r="O482" i="4"/>
  <c r="N482" i="4"/>
  <c r="M482" i="4"/>
  <c r="N482" i="5" s="1"/>
  <c r="L482" i="4"/>
  <c r="K482" i="4"/>
  <c r="J482" i="4"/>
  <c r="Q482" i="5" s="1"/>
  <c r="F482" i="4"/>
  <c r="E482" i="4"/>
  <c r="D482" i="4"/>
  <c r="C482" i="4"/>
  <c r="B482" i="4"/>
  <c r="A482" i="4"/>
  <c r="P481" i="4"/>
  <c r="O481" i="4"/>
  <c r="N481" i="4"/>
  <c r="M481" i="4"/>
  <c r="L481" i="4"/>
  <c r="K481" i="4"/>
  <c r="J481" i="4"/>
  <c r="Q481" i="5" s="1"/>
  <c r="F481" i="4"/>
  <c r="E481" i="4"/>
  <c r="D481" i="4"/>
  <c r="C481" i="4"/>
  <c r="B481" i="4"/>
  <c r="A481" i="4"/>
  <c r="P480" i="4"/>
  <c r="O480" i="4"/>
  <c r="N480" i="4"/>
  <c r="M480" i="4"/>
  <c r="N480" i="5" s="1"/>
  <c r="L480" i="4"/>
  <c r="K480" i="4"/>
  <c r="J480" i="4"/>
  <c r="Q480" i="5" s="1"/>
  <c r="F480" i="4"/>
  <c r="E480" i="4"/>
  <c r="D480" i="4"/>
  <c r="C480" i="4"/>
  <c r="B480" i="4"/>
  <c r="A480" i="4"/>
  <c r="P479" i="4"/>
  <c r="O479" i="4"/>
  <c r="N479" i="4"/>
  <c r="M479" i="4"/>
  <c r="L479" i="4"/>
  <c r="K479" i="4"/>
  <c r="J479" i="4"/>
  <c r="Q479" i="5" s="1"/>
  <c r="F479" i="4"/>
  <c r="E479" i="4"/>
  <c r="D479" i="4"/>
  <c r="C479" i="4"/>
  <c r="B479" i="4"/>
  <c r="A479" i="4"/>
  <c r="P478" i="4"/>
  <c r="O478" i="4"/>
  <c r="N478" i="4"/>
  <c r="M478" i="4"/>
  <c r="N478" i="5" s="1"/>
  <c r="L478" i="4"/>
  <c r="K478" i="4"/>
  <c r="J478" i="4"/>
  <c r="Q478" i="5" s="1"/>
  <c r="F478" i="4"/>
  <c r="E478" i="4"/>
  <c r="D478" i="4"/>
  <c r="C478" i="4"/>
  <c r="B478" i="4"/>
  <c r="A478" i="4"/>
  <c r="P477" i="4"/>
  <c r="O477" i="4"/>
  <c r="N477" i="4"/>
  <c r="M477" i="4"/>
  <c r="L477" i="4"/>
  <c r="K477" i="4"/>
  <c r="J477" i="4"/>
  <c r="Q477" i="5" s="1"/>
  <c r="F477" i="4"/>
  <c r="E477" i="4"/>
  <c r="D477" i="4"/>
  <c r="C477" i="4"/>
  <c r="B477" i="4"/>
  <c r="A477" i="4"/>
  <c r="P476" i="4"/>
  <c r="O476" i="4"/>
  <c r="N476" i="4"/>
  <c r="M476" i="4"/>
  <c r="N476" i="5" s="1"/>
  <c r="L476" i="4"/>
  <c r="K476" i="4"/>
  <c r="J476" i="4"/>
  <c r="Q476" i="5" s="1"/>
  <c r="F476" i="4"/>
  <c r="E476" i="4"/>
  <c r="D476" i="4"/>
  <c r="C476" i="4"/>
  <c r="B476" i="4"/>
  <c r="A476" i="4"/>
  <c r="P475" i="4"/>
  <c r="O475" i="4"/>
  <c r="N475" i="4"/>
  <c r="M475" i="4"/>
  <c r="L475" i="4"/>
  <c r="K475" i="4"/>
  <c r="J475" i="4"/>
  <c r="Q475" i="5" s="1"/>
  <c r="F475" i="4"/>
  <c r="E475" i="4"/>
  <c r="D475" i="4"/>
  <c r="C475" i="4"/>
  <c r="B475" i="4"/>
  <c r="A475" i="4"/>
  <c r="P474" i="4"/>
  <c r="O474" i="4"/>
  <c r="N474" i="4"/>
  <c r="M474" i="4"/>
  <c r="N474" i="5" s="1"/>
  <c r="L474" i="4"/>
  <c r="K474" i="4"/>
  <c r="J474" i="4"/>
  <c r="Q474" i="5" s="1"/>
  <c r="F474" i="4"/>
  <c r="E474" i="4"/>
  <c r="D474" i="4"/>
  <c r="C474" i="4"/>
  <c r="B474" i="4"/>
  <c r="A474" i="4"/>
  <c r="P473" i="4"/>
  <c r="O473" i="4"/>
  <c r="N473" i="4"/>
  <c r="M473" i="4"/>
  <c r="L473" i="4"/>
  <c r="K473" i="4"/>
  <c r="J473" i="4"/>
  <c r="Q473" i="5" s="1"/>
  <c r="F473" i="4"/>
  <c r="E473" i="4"/>
  <c r="D473" i="4"/>
  <c r="C473" i="4"/>
  <c r="B473" i="4"/>
  <c r="A473" i="4"/>
  <c r="P472" i="4"/>
  <c r="O472" i="4"/>
  <c r="N472" i="4"/>
  <c r="M472" i="4"/>
  <c r="N472" i="5" s="1"/>
  <c r="L472" i="4"/>
  <c r="K472" i="4"/>
  <c r="J472" i="4"/>
  <c r="Q472" i="5" s="1"/>
  <c r="F472" i="4"/>
  <c r="E472" i="4"/>
  <c r="D472" i="4"/>
  <c r="C472" i="4"/>
  <c r="B472" i="4"/>
  <c r="A472" i="4"/>
  <c r="P471" i="4"/>
  <c r="O471" i="4"/>
  <c r="N471" i="4"/>
  <c r="M471" i="4"/>
  <c r="L471" i="4"/>
  <c r="K471" i="4"/>
  <c r="J471" i="4"/>
  <c r="Q471" i="5" s="1"/>
  <c r="F471" i="4"/>
  <c r="E471" i="4"/>
  <c r="D471" i="4"/>
  <c r="C471" i="4"/>
  <c r="B471" i="4"/>
  <c r="A471" i="4"/>
  <c r="P470" i="4"/>
  <c r="O470" i="4"/>
  <c r="N470" i="4"/>
  <c r="M470" i="4"/>
  <c r="N470" i="5" s="1"/>
  <c r="L470" i="4"/>
  <c r="K470" i="4"/>
  <c r="J470" i="4"/>
  <c r="Q470" i="5" s="1"/>
  <c r="F470" i="4"/>
  <c r="E470" i="4"/>
  <c r="D470" i="4"/>
  <c r="C470" i="4"/>
  <c r="B470" i="4"/>
  <c r="A470" i="4"/>
  <c r="P469" i="4"/>
  <c r="O469" i="4"/>
  <c r="N469" i="4"/>
  <c r="M469" i="4"/>
  <c r="L469" i="4"/>
  <c r="K469" i="4"/>
  <c r="J469" i="4"/>
  <c r="Q469" i="5" s="1"/>
  <c r="F469" i="4"/>
  <c r="E469" i="4"/>
  <c r="D469" i="4"/>
  <c r="C469" i="4"/>
  <c r="B469" i="4"/>
  <c r="A469" i="4"/>
  <c r="P468" i="4"/>
  <c r="O468" i="4"/>
  <c r="N468" i="4"/>
  <c r="M468" i="4"/>
  <c r="N468" i="5" s="1"/>
  <c r="L468" i="4"/>
  <c r="K468" i="4"/>
  <c r="J468" i="4"/>
  <c r="Q468" i="5" s="1"/>
  <c r="F468" i="4"/>
  <c r="E468" i="4"/>
  <c r="D468" i="4"/>
  <c r="C468" i="4"/>
  <c r="B468" i="4"/>
  <c r="A468" i="4"/>
  <c r="P467" i="4"/>
  <c r="O467" i="4"/>
  <c r="N467" i="4"/>
  <c r="M467" i="4"/>
  <c r="L467" i="4"/>
  <c r="K467" i="4"/>
  <c r="J467" i="4"/>
  <c r="Q467" i="5" s="1"/>
  <c r="F467" i="4"/>
  <c r="E467" i="4"/>
  <c r="D467" i="4"/>
  <c r="C467" i="4"/>
  <c r="B467" i="4"/>
  <c r="A467" i="4"/>
  <c r="P466" i="4"/>
  <c r="O466" i="4"/>
  <c r="N466" i="4"/>
  <c r="M466" i="4"/>
  <c r="L466" i="4"/>
  <c r="K466" i="4"/>
  <c r="J466" i="4"/>
  <c r="Q466" i="5" s="1"/>
  <c r="F466" i="4"/>
  <c r="E466" i="4"/>
  <c r="D466" i="4"/>
  <c r="C466" i="4"/>
  <c r="B466" i="4"/>
  <c r="A466" i="4"/>
  <c r="P465" i="4"/>
  <c r="O465" i="4"/>
  <c r="N465" i="4"/>
  <c r="M465" i="4"/>
  <c r="L465" i="4"/>
  <c r="K465" i="4"/>
  <c r="J465" i="4"/>
  <c r="Q465" i="5" s="1"/>
  <c r="F465" i="4"/>
  <c r="E465" i="4"/>
  <c r="D465" i="4"/>
  <c r="C465" i="4"/>
  <c r="B465" i="4"/>
  <c r="A465" i="4"/>
  <c r="P464" i="4"/>
  <c r="O464" i="4"/>
  <c r="N464" i="4"/>
  <c r="M464" i="4"/>
  <c r="L464" i="4"/>
  <c r="K464" i="4"/>
  <c r="J464" i="4"/>
  <c r="Q464" i="5" s="1"/>
  <c r="F464" i="4"/>
  <c r="E464" i="4"/>
  <c r="D464" i="4"/>
  <c r="C464" i="4"/>
  <c r="B464" i="4"/>
  <c r="A464" i="4"/>
  <c r="P463" i="4"/>
  <c r="O463" i="4"/>
  <c r="N463" i="4"/>
  <c r="M463" i="4"/>
  <c r="L463" i="4"/>
  <c r="K463" i="4"/>
  <c r="J463" i="4"/>
  <c r="Q463" i="5" s="1"/>
  <c r="F463" i="4"/>
  <c r="E463" i="4"/>
  <c r="D463" i="4"/>
  <c r="C463" i="4"/>
  <c r="B463" i="4"/>
  <c r="A463" i="4"/>
  <c r="P462" i="4"/>
  <c r="O462" i="4"/>
  <c r="N462" i="4"/>
  <c r="M462" i="4"/>
  <c r="L462" i="4"/>
  <c r="K462" i="4"/>
  <c r="J462" i="4"/>
  <c r="Q462" i="5" s="1"/>
  <c r="F462" i="4"/>
  <c r="E462" i="4"/>
  <c r="D462" i="4"/>
  <c r="C462" i="4"/>
  <c r="B462" i="4"/>
  <c r="A462" i="4"/>
  <c r="P461" i="4"/>
  <c r="O461" i="4"/>
  <c r="N461" i="4"/>
  <c r="M461" i="4"/>
  <c r="L461" i="4"/>
  <c r="K461" i="4"/>
  <c r="J461" i="4"/>
  <c r="Q461" i="5" s="1"/>
  <c r="F461" i="4"/>
  <c r="E461" i="4"/>
  <c r="D461" i="4"/>
  <c r="C461" i="4"/>
  <c r="B461" i="4"/>
  <c r="A461" i="4"/>
  <c r="P460" i="4"/>
  <c r="O460" i="4"/>
  <c r="N460" i="4"/>
  <c r="M460" i="4"/>
  <c r="L460" i="4"/>
  <c r="K460" i="4"/>
  <c r="J460" i="4"/>
  <c r="Q460" i="5" s="1"/>
  <c r="F460" i="4"/>
  <c r="E460" i="4"/>
  <c r="D460" i="4"/>
  <c r="C460" i="4"/>
  <c r="B460" i="4"/>
  <c r="A460" i="4"/>
  <c r="P459" i="4"/>
  <c r="O459" i="4"/>
  <c r="N459" i="4"/>
  <c r="M459" i="4"/>
  <c r="L459" i="4"/>
  <c r="K459" i="4"/>
  <c r="J459" i="4"/>
  <c r="Q459" i="5" s="1"/>
  <c r="F459" i="4"/>
  <c r="E459" i="4"/>
  <c r="D459" i="4"/>
  <c r="C459" i="4"/>
  <c r="B459" i="4"/>
  <c r="A459" i="4"/>
  <c r="P458" i="4"/>
  <c r="O458" i="4"/>
  <c r="N458" i="4"/>
  <c r="M458" i="4"/>
  <c r="L458" i="4"/>
  <c r="K458" i="4"/>
  <c r="J458" i="4"/>
  <c r="Q458" i="5" s="1"/>
  <c r="F458" i="4"/>
  <c r="E458" i="4"/>
  <c r="D458" i="4"/>
  <c r="C458" i="4"/>
  <c r="B458" i="4"/>
  <c r="A458" i="4"/>
  <c r="P457" i="4"/>
  <c r="O457" i="4"/>
  <c r="N457" i="4"/>
  <c r="M457" i="4"/>
  <c r="L457" i="4"/>
  <c r="K457" i="4"/>
  <c r="J457" i="4"/>
  <c r="Q457" i="5" s="1"/>
  <c r="F457" i="4"/>
  <c r="E457" i="4"/>
  <c r="D457" i="4"/>
  <c r="C457" i="4"/>
  <c r="B457" i="4"/>
  <c r="A457" i="4"/>
  <c r="P456" i="4"/>
  <c r="O456" i="4"/>
  <c r="N456" i="4"/>
  <c r="M456" i="4"/>
  <c r="L456" i="4"/>
  <c r="K456" i="4"/>
  <c r="J456" i="4"/>
  <c r="Q456" i="5" s="1"/>
  <c r="F456" i="4"/>
  <c r="E456" i="4"/>
  <c r="D456" i="4"/>
  <c r="C456" i="4"/>
  <c r="B456" i="4"/>
  <c r="A456" i="4"/>
  <c r="P455" i="4"/>
  <c r="O455" i="4"/>
  <c r="N455" i="4"/>
  <c r="M455" i="4"/>
  <c r="L455" i="4"/>
  <c r="K455" i="4"/>
  <c r="J455" i="4"/>
  <c r="Q455" i="5" s="1"/>
  <c r="F455" i="4"/>
  <c r="E455" i="4"/>
  <c r="D455" i="4"/>
  <c r="C455" i="4"/>
  <c r="B455" i="4"/>
  <c r="A455" i="4"/>
  <c r="P454" i="4"/>
  <c r="O454" i="4"/>
  <c r="N454" i="4"/>
  <c r="M454" i="4"/>
  <c r="L454" i="4"/>
  <c r="K454" i="4"/>
  <c r="J454" i="4"/>
  <c r="Q454" i="5" s="1"/>
  <c r="F454" i="4"/>
  <c r="E454" i="4"/>
  <c r="D454" i="4"/>
  <c r="C454" i="4"/>
  <c r="B454" i="4"/>
  <c r="A454" i="4"/>
  <c r="P453" i="4"/>
  <c r="O453" i="4"/>
  <c r="N453" i="4"/>
  <c r="M453" i="4"/>
  <c r="L453" i="4"/>
  <c r="K453" i="4"/>
  <c r="J453" i="4"/>
  <c r="Q453" i="5" s="1"/>
  <c r="F453" i="4"/>
  <c r="E453" i="4"/>
  <c r="D453" i="4"/>
  <c r="C453" i="4"/>
  <c r="B453" i="4"/>
  <c r="A453" i="4"/>
  <c r="P452" i="4"/>
  <c r="O452" i="4"/>
  <c r="N452" i="4"/>
  <c r="M452" i="4"/>
  <c r="L452" i="4"/>
  <c r="K452" i="4"/>
  <c r="J452" i="4"/>
  <c r="Q452" i="5" s="1"/>
  <c r="F452" i="4"/>
  <c r="E452" i="4"/>
  <c r="D452" i="4"/>
  <c r="C452" i="4"/>
  <c r="B452" i="4"/>
  <c r="A452" i="4"/>
  <c r="P451" i="4"/>
  <c r="O451" i="4"/>
  <c r="N451" i="4"/>
  <c r="M451" i="4"/>
  <c r="L451" i="4"/>
  <c r="K451" i="4"/>
  <c r="J451" i="4"/>
  <c r="Q451" i="5" s="1"/>
  <c r="F451" i="4"/>
  <c r="E451" i="4"/>
  <c r="D451" i="4"/>
  <c r="C451" i="4"/>
  <c r="B451" i="4"/>
  <c r="A451" i="4"/>
  <c r="P450" i="4"/>
  <c r="O450" i="4"/>
  <c r="N450" i="4"/>
  <c r="M450" i="4"/>
  <c r="L450" i="4"/>
  <c r="K450" i="4"/>
  <c r="J450" i="4"/>
  <c r="Q450" i="5" s="1"/>
  <c r="F450" i="4"/>
  <c r="E450" i="4"/>
  <c r="D450" i="4"/>
  <c r="C450" i="4"/>
  <c r="B450" i="4"/>
  <c r="A450" i="4"/>
  <c r="P449" i="4"/>
  <c r="O449" i="4"/>
  <c r="N449" i="4"/>
  <c r="M449" i="4"/>
  <c r="L449" i="4"/>
  <c r="K449" i="4"/>
  <c r="J449" i="4"/>
  <c r="Q449" i="5" s="1"/>
  <c r="F449" i="4"/>
  <c r="E449" i="4"/>
  <c r="D449" i="4"/>
  <c r="C449" i="4"/>
  <c r="B449" i="4"/>
  <c r="A449" i="4"/>
  <c r="P448" i="4"/>
  <c r="O448" i="4"/>
  <c r="N448" i="4"/>
  <c r="M448" i="4"/>
  <c r="L448" i="4"/>
  <c r="K448" i="4"/>
  <c r="J448" i="4"/>
  <c r="Q448" i="5" s="1"/>
  <c r="F448" i="4"/>
  <c r="E448" i="4"/>
  <c r="D448" i="4"/>
  <c r="C448" i="4"/>
  <c r="B448" i="4"/>
  <c r="A448" i="4"/>
  <c r="P447" i="4"/>
  <c r="O447" i="4"/>
  <c r="N447" i="4"/>
  <c r="M447" i="4"/>
  <c r="L447" i="4"/>
  <c r="K447" i="4"/>
  <c r="J447" i="4"/>
  <c r="Q447" i="5" s="1"/>
  <c r="F447" i="4"/>
  <c r="E447" i="4"/>
  <c r="D447" i="4"/>
  <c r="C447" i="4"/>
  <c r="B447" i="4"/>
  <c r="A447" i="4"/>
  <c r="P446" i="4"/>
  <c r="O446" i="4"/>
  <c r="N446" i="4"/>
  <c r="M446" i="4"/>
  <c r="L446" i="4"/>
  <c r="K446" i="4"/>
  <c r="J446" i="4"/>
  <c r="Q446" i="5" s="1"/>
  <c r="F446" i="4"/>
  <c r="E446" i="4"/>
  <c r="D446" i="4"/>
  <c r="C446" i="4"/>
  <c r="B446" i="4"/>
  <c r="A446" i="4"/>
  <c r="P445" i="4"/>
  <c r="O445" i="4"/>
  <c r="N445" i="4"/>
  <c r="M445" i="4"/>
  <c r="L445" i="4"/>
  <c r="K445" i="4"/>
  <c r="J445" i="4"/>
  <c r="Q445" i="5" s="1"/>
  <c r="F445" i="4"/>
  <c r="E445" i="4"/>
  <c r="D445" i="4"/>
  <c r="C445" i="4"/>
  <c r="B445" i="4"/>
  <c r="A445" i="4"/>
  <c r="P444" i="4"/>
  <c r="O444" i="4"/>
  <c r="N444" i="4"/>
  <c r="M444" i="4"/>
  <c r="L444" i="4"/>
  <c r="K444" i="4"/>
  <c r="J444" i="4"/>
  <c r="Q444" i="5" s="1"/>
  <c r="F444" i="4"/>
  <c r="E444" i="4"/>
  <c r="D444" i="4"/>
  <c r="C444" i="4"/>
  <c r="B444" i="4"/>
  <c r="A444" i="4"/>
  <c r="P443" i="4"/>
  <c r="O443" i="4"/>
  <c r="N443" i="4"/>
  <c r="M443" i="4"/>
  <c r="L443" i="4"/>
  <c r="K443" i="4"/>
  <c r="J443" i="4"/>
  <c r="Q443" i="5" s="1"/>
  <c r="F443" i="4"/>
  <c r="E443" i="4"/>
  <c r="D443" i="4"/>
  <c r="C443" i="4"/>
  <c r="B443" i="4"/>
  <c r="A443" i="4"/>
  <c r="P442" i="4"/>
  <c r="O442" i="4"/>
  <c r="N442" i="4"/>
  <c r="M442" i="4"/>
  <c r="L442" i="4"/>
  <c r="K442" i="4"/>
  <c r="J442" i="4"/>
  <c r="Q442" i="5" s="1"/>
  <c r="F442" i="4"/>
  <c r="E442" i="4"/>
  <c r="D442" i="4"/>
  <c r="C442" i="4"/>
  <c r="B442" i="4"/>
  <c r="A442" i="4"/>
  <c r="P441" i="4"/>
  <c r="O441" i="4"/>
  <c r="N441" i="4"/>
  <c r="M441" i="4"/>
  <c r="L441" i="4"/>
  <c r="K441" i="4"/>
  <c r="J441" i="4"/>
  <c r="Q441" i="5" s="1"/>
  <c r="F441" i="4"/>
  <c r="E441" i="4"/>
  <c r="D441" i="4"/>
  <c r="C441" i="4"/>
  <c r="B441" i="4"/>
  <c r="A441" i="4"/>
  <c r="P440" i="4"/>
  <c r="O440" i="4"/>
  <c r="N440" i="4"/>
  <c r="M440" i="4"/>
  <c r="L440" i="4"/>
  <c r="K440" i="4"/>
  <c r="J440" i="4"/>
  <c r="Q440" i="5" s="1"/>
  <c r="F440" i="4"/>
  <c r="E440" i="4"/>
  <c r="D440" i="4"/>
  <c r="C440" i="4"/>
  <c r="B440" i="4"/>
  <c r="A440" i="4"/>
  <c r="P439" i="4"/>
  <c r="O439" i="4"/>
  <c r="N439" i="4"/>
  <c r="M439" i="4"/>
  <c r="L439" i="4"/>
  <c r="K439" i="4"/>
  <c r="J439" i="4"/>
  <c r="Q439" i="5" s="1"/>
  <c r="F439" i="4"/>
  <c r="E439" i="4"/>
  <c r="D439" i="4"/>
  <c r="C439" i="4"/>
  <c r="B439" i="4"/>
  <c r="A439" i="4"/>
  <c r="P438" i="4"/>
  <c r="O438" i="4"/>
  <c r="N438" i="4"/>
  <c r="M438" i="4"/>
  <c r="L438" i="4"/>
  <c r="K438" i="4"/>
  <c r="J438" i="4"/>
  <c r="Q438" i="5" s="1"/>
  <c r="F438" i="4"/>
  <c r="E438" i="4"/>
  <c r="D438" i="4"/>
  <c r="C438" i="4"/>
  <c r="B438" i="4"/>
  <c r="A438" i="4"/>
  <c r="P437" i="4"/>
  <c r="O437" i="4"/>
  <c r="N437" i="4"/>
  <c r="M437" i="4"/>
  <c r="L437" i="4"/>
  <c r="K437" i="4"/>
  <c r="J437" i="4"/>
  <c r="Q437" i="5" s="1"/>
  <c r="F437" i="4"/>
  <c r="E437" i="4"/>
  <c r="D437" i="4"/>
  <c r="C437" i="4"/>
  <c r="B437" i="4"/>
  <c r="A437" i="4"/>
  <c r="P436" i="4"/>
  <c r="O436" i="4"/>
  <c r="N436" i="4"/>
  <c r="M436" i="4"/>
  <c r="L436" i="4"/>
  <c r="K436" i="4"/>
  <c r="J436" i="4"/>
  <c r="Q436" i="5" s="1"/>
  <c r="F436" i="4"/>
  <c r="E436" i="4"/>
  <c r="D436" i="4"/>
  <c r="C436" i="4"/>
  <c r="B436" i="4"/>
  <c r="A436" i="4"/>
  <c r="P435" i="4"/>
  <c r="O435" i="4"/>
  <c r="N435" i="4"/>
  <c r="M435" i="4"/>
  <c r="L435" i="4"/>
  <c r="K435" i="4"/>
  <c r="J435" i="4"/>
  <c r="Q435" i="5" s="1"/>
  <c r="F435" i="4"/>
  <c r="E435" i="4"/>
  <c r="D435" i="4"/>
  <c r="C435" i="4"/>
  <c r="B435" i="4"/>
  <c r="A435" i="4"/>
  <c r="P434" i="4"/>
  <c r="O434" i="4"/>
  <c r="N434" i="4"/>
  <c r="M434" i="4"/>
  <c r="L434" i="4"/>
  <c r="K434" i="4"/>
  <c r="J434" i="4"/>
  <c r="Q434" i="5" s="1"/>
  <c r="F434" i="4"/>
  <c r="E434" i="4"/>
  <c r="D434" i="4"/>
  <c r="C434" i="4"/>
  <c r="B434" i="4"/>
  <c r="A434" i="4"/>
  <c r="P433" i="4"/>
  <c r="O433" i="4"/>
  <c r="N433" i="4"/>
  <c r="M433" i="4"/>
  <c r="L433" i="4"/>
  <c r="K433" i="4"/>
  <c r="J433" i="4"/>
  <c r="Q433" i="5" s="1"/>
  <c r="F433" i="4"/>
  <c r="E433" i="4"/>
  <c r="D433" i="4"/>
  <c r="C433" i="4"/>
  <c r="B433" i="4"/>
  <c r="A433" i="4"/>
  <c r="P432" i="4"/>
  <c r="O432" i="4"/>
  <c r="N432" i="4"/>
  <c r="M432" i="4"/>
  <c r="L432" i="4"/>
  <c r="K432" i="4"/>
  <c r="J432" i="4"/>
  <c r="Q432" i="5" s="1"/>
  <c r="F432" i="4"/>
  <c r="E432" i="4"/>
  <c r="D432" i="4"/>
  <c r="C432" i="4"/>
  <c r="B432" i="4"/>
  <c r="A432" i="4"/>
  <c r="P431" i="4"/>
  <c r="O431" i="4"/>
  <c r="N431" i="4"/>
  <c r="M431" i="4"/>
  <c r="L431" i="4"/>
  <c r="K431" i="4"/>
  <c r="J431" i="4"/>
  <c r="Q431" i="5" s="1"/>
  <c r="F431" i="4"/>
  <c r="E431" i="4"/>
  <c r="D431" i="4"/>
  <c r="C431" i="4"/>
  <c r="B431" i="4"/>
  <c r="A431" i="4"/>
  <c r="P430" i="4"/>
  <c r="O430" i="4"/>
  <c r="N430" i="4"/>
  <c r="M430" i="4"/>
  <c r="L430" i="4"/>
  <c r="K430" i="4"/>
  <c r="J430" i="4"/>
  <c r="Q430" i="5" s="1"/>
  <c r="F430" i="4"/>
  <c r="E430" i="4"/>
  <c r="D430" i="4"/>
  <c r="C430" i="4"/>
  <c r="B430" i="4"/>
  <c r="A430" i="4"/>
  <c r="P429" i="4"/>
  <c r="O429" i="4"/>
  <c r="N429" i="4"/>
  <c r="M429" i="4"/>
  <c r="L429" i="4"/>
  <c r="K429" i="4"/>
  <c r="J429" i="4"/>
  <c r="Q429" i="5" s="1"/>
  <c r="F429" i="4"/>
  <c r="E429" i="4"/>
  <c r="D429" i="4"/>
  <c r="C429" i="4"/>
  <c r="B429" i="4"/>
  <c r="A429" i="4"/>
  <c r="P428" i="4"/>
  <c r="O428" i="4"/>
  <c r="N428" i="4"/>
  <c r="M428" i="4"/>
  <c r="L428" i="4"/>
  <c r="K428" i="4"/>
  <c r="J428" i="4"/>
  <c r="Q428" i="5" s="1"/>
  <c r="F428" i="4"/>
  <c r="E428" i="4"/>
  <c r="D428" i="4"/>
  <c r="C428" i="4"/>
  <c r="B428" i="4"/>
  <c r="A428" i="4"/>
  <c r="P427" i="4"/>
  <c r="O427" i="4"/>
  <c r="N427" i="4"/>
  <c r="M427" i="4"/>
  <c r="L427" i="4"/>
  <c r="K427" i="4"/>
  <c r="J427" i="4"/>
  <c r="Q427" i="5" s="1"/>
  <c r="F427" i="4"/>
  <c r="E427" i="4"/>
  <c r="D427" i="4"/>
  <c r="C427" i="4"/>
  <c r="B427" i="4"/>
  <c r="A427" i="4"/>
  <c r="P426" i="4"/>
  <c r="O426" i="4"/>
  <c r="N426" i="4"/>
  <c r="M426" i="4"/>
  <c r="L426" i="4"/>
  <c r="K426" i="4"/>
  <c r="J426" i="4"/>
  <c r="Q426" i="5" s="1"/>
  <c r="F426" i="4"/>
  <c r="E426" i="4"/>
  <c r="D426" i="4"/>
  <c r="C426" i="4"/>
  <c r="B426" i="4"/>
  <c r="A426" i="4"/>
  <c r="P425" i="4"/>
  <c r="O425" i="4"/>
  <c r="N425" i="4"/>
  <c r="M425" i="4"/>
  <c r="L425" i="4"/>
  <c r="K425" i="4"/>
  <c r="J425" i="4"/>
  <c r="Q425" i="5" s="1"/>
  <c r="F425" i="4"/>
  <c r="E425" i="4"/>
  <c r="D425" i="4"/>
  <c r="C425" i="4"/>
  <c r="B425" i="4"/>
  <c r="A425" i="4"/>
  <c r="P424" i="4"/>
  <c r="O424" i="4"/>
  <c r="N424" i="4"/>
  <c r="M424" i="4"/>
  <c r="L424" i="4"/>
  <c r="K424" i="4"/>
  <c r="J424" i="4"/>
  <c r="Q424" i="5" s="1"/>
  <c r="F424" i="4"/>
  <c r="E424" i="4"/>
  <c r="D424" i="4"/>
  <c r="C424" i="4"/>
  <c r="B424" i="4"/>
  <c r="A424" i="4"/>
  <c r="P423" i="4"/>
  <c r="O423" i="4"/>
  <c r="N423" i="4"/>
  <c r="M423" i="4"/>
  <c r="L423" i="4"/>
  <c r="K423" i="4"/>
  <c r="J423" i="4"/>
  <c r="Q423" i="5" s="1"/>
  <c r="F423" i="4"/>
  <c r="E423" i="4"/>
  <c r="D423" i="4"/>
  <c r="C423" i="4"/>
  <c r="B423" i="4"/>
  <c r="A423" i="4"/>
  <c r="P422" i="4"/>
  <c r="O422" i="4"/>
  <c r="N422" i="4"/>
  <c r="M422" i="4"/>
  <c r="L422" i="4"/>
  <c r="K422" i="4"/>
  <c r="J422" i="4"/>
  <c r="Q422" i="5" s="1"/>
  <c r="F422" i="4"/>
  <c r="E422" i="4"/>
  <c r="D422" i="4"/>
  <c r="C422" i="4"/>
  <c r="B422" i="4"/>
  <c r="A422" i="4"/>
  <c r="P421" i="4"/>
  <c r="O421" i="4"/>
  <c r="N421" i="4"/>
  <c r="M421" i="4"/>
  <c r="L421" i="4"/>
  <c r="K421" i="4"/>
  <c r="J421" i="4"/>
  <c r="Q421" i="5" s="1"/>
  <c r="F421" i="4"/>
  <c r="E421" i="4"/>
  <c r="D421" i="4"/>
  <c r="C421" i="4"/>
  <c r="B421" i="4"/>
  <c r="A421" i="4"/>
  <c r="P420" i="4"/>
  <c r="O420" i="4"/>
  <c r="N420" i="4"/>
  <c r="M420" i="4"/>
  <c r="L420" i="4"/>
  <c r="K420" i="4"/>
  <c r="J420" i="4"/>
  <c r="Q420" i="5" s="1"/>
  <c r="F420" i="4"/>
  <c r="E420" i="4"/>
  <c r="D420" i="4"/>
  <c r="C420" i="4"/>
  <c r="B420" i="4"/>
  <c r="A420" i="4"/>
  <c r="P419" i="4"/>
  <c r="O419" i="4"/>
  <c r="N419" i="4"/>
  <c r="M419" i="4"/>
  <c r="L419" i="4"/>
  <c r="K419" i="4"/>
  <c r="J419" i="4"/>
  <c r="Q419" i="5" s="1"/>
  <c r="F419" i="4"/>
  <c r="E419" i="4"/>
  <c r="D419" i="4"/>
  <c r="C419" i="4"/>
  <c r="B419" i="4"/>
  <c r="A419" i="4"/>
  <c r="P418" i="4"/>
  <c r="O418" i="4"/>
  <c r="N418" i="4"/>
  <c r="M418" i="4"/>
  <c r="L418" i="4"/>
  <c r="K418" i="4"/>
  <c r="J418" i="4"/>
  <c r="Q418" i="5" s="1"/>
  <c r="F418" i="4"/>
  <c r="E418" i="4"/>
  <c r="D418" i="4"/>
  <c r="C418" i="4"/>
  <c r="B418" i="4"/>
  <c r="A418" i="4"/>
  <c r="P417" i="4"/>
  <c r="O417" i="4"/>
  <c r="N417" i="4"/>
  <c r="M417" i="4"/>
  <c r="L417" i="4"/>
  <c r="K417" i="4"/>
  <c r="J417" i="4"/>
  <c r="Q417" i="5" s="1"/>
  <c r="F417" i="4"/>
  <c r="E417" i="4"/>
  <c r="D417" i="4"/>
  <c r="C417" i="4"/>
  <c r="B417" i="4"/>
  <c r="A417" i="4"/>
  <c r="P416" i="4"/>
  <c r="O416" i="4"/>
  <c r="N416" i="4"/>
  <c r="M416" i="4"/>
  <c r="L416" i="4"/>
  <c r="K416" i="4"/>
  <c r="J416" i="4"/>
  <c r="Q416" i="5" s="1"/>
  <c r="F416" i="4"/>
  <c r="E416" i="4"/>
  <c r="D416" i="4"/>
  <c r="C416" i="4"/>
  <c r="B416" i="4"/>
  <c r="A416" i="4"/>
  <c r="P415" i="4"/>
  <c r="O415" i="4"/>
  <c r="N415" i="4"/>
  <c r="M415" i="4"/>
  <c r="L415" i="4"/>
  <c r="K415" i="4"/>
  <c r="J415" i="4"/>
  <c r="Q415" i="5" s="1"/>
  <c r="F415" i="4"/>
  <c r="E415" i="4"/>
  <c r="D415" i="4"/>
  <c r="C415" i="4"/>
  <c r="B415" i="4"/>
  <c r="A415" i="4"/>
  <c r="P414" i="4"/>
  <c r="O414" i="4"/>
  <c r="N414" i="4"/>
  <c r="M414" i="4"/>
  <c r="L414" i="4"/>
  <c r="K414" i="4"/>
  <c r="J414" i="4"/>
  <c r="Q414" i="5" s="1"/>
  <c r="F414" i="4"/>
  <c r="E414" i="4"/>
  <c r="D414" i="4"/>
  <c r="C414" i="4"/>
  <c r="B414" i="4"/>
  <c r="A414" i="4"/>
  <c r="P413" i="4"/>
  <c r="O413" i="4"/>
  <c r="N413" i="4"/>
  <c r="M413" i="4"/>
  <c r="L413" i="4"/>
  <c r="K413" i="4"/>
  <c r="J413" i="4"/>
  <c r="Q413" i="5" s="1"/>
  <c r="F413" i="4"/>
  <c r="E413" i="4"/>
  <c r="D413" i="4"/>
  <c r="C413" i="4"/>
  <c r="B413" i="4"/>
  <c r="A413" i="4"/>
  <c r="P412" i="4"/>
  <c r="O412" i="4"/>
  <c r="N412" i="4"/>
  <c r="M412" i="4"/>
  <c r="L412" i="4"/>
  <c r="K412" i="4"/>
  <c r="J412" i="4"/>
  <c r="Q412" i="5" s="1"/>
  <c r="F412" i="4"/>
  <c r="E412" i="4"/>
  <c r="D412" i="4"/>
  <c r="C412" i="4"/>
  <c r="B412" i="4"/>
  <c r="A412" i="4"/>
  <c r="P411" i="4"/>
  <c r="O411" i="4"/>
  <c r="N411" i="4"/>
  <c r="M411" i="4"/>
  <c r="L411" i="4"/>
  <c r="K411" i="4"/>
  <c r="J411" i="4"/>
  <c r="Q411" i="5" s="1"/>
  <c r="F411" i="4"/>
  <c r="E411" i="4"/>
  <c r="D411" i="4"/>
  <c r="C411" i="4"/>
  <c r="B411" i="4"/>
  <c r="A411" i="4"/>
  <c r="P410" i="4"/>
  <c r="O410" i="4"/>
  <c r="N410" i="4"/>
  <c r="M410" i="4"/>
  <c r="L410" i="4"/>
  <c r="K410" i="4"/>
  <c r="J410" i="4"/>
  <c r="Q410" i="5" s="1"/>
  <c r="F410" i="4"/>
  <c r="E410" i="4"/>
  <c r="D410" i="4"/>
  <c r="C410" i="4"/>
  <c r="B410" i="4"/>
  <c r="A410" i="4"/>
  <c r="P409" i="4"/>
  <c r="O409" i="4"/>
  <c r="N409" i="4"/>
  <c r="M409" i="4"/>
  <c r="L409" i="4"/>
  <c r="K409" i="4"/>
  <c r="J409" i="4"/>
  <c r="Q409" i="5" s="1"/>
  <c r="F409" i="4"/>
  <c r="E409" i="4"/>
  <c r="D409" i="4"/>
  <c r="C409" i="4"/>
  <c r="B409" i="4"/>
  <c r="A409" i="4"/>
  <c r="P408" i="4"/>
  <c r="O408" i="4"/>
  <c r="N408" i="4"/>
  <c r="M408" i="4"/>
  <c r="L408" i="4"/>
  <c r="K408" i="4"/>
  <c r="J408" i="4"/>
  <c r="Q408" i="5" s="1"/>
  <c r="F408" i="4"/>
  <c r="E408" i="4"/>
  <c r="D408" i="4"/>
  <c r="C408" i="4"/>
  <c r="B408" i="4"/>
  <c r="A408" i="4"/>
  <c r="P407" i="4"/>
  <c r="O407" i="4"/>
  <c r="N407" i="4"/>
  <c r="M407" i="4"/>
  <c r="L407" i="4"/>
  <c r="K407" i="4"/>
  <c r="J407" i="4"/>
  <c r="Q407" i="5" s="1"/>
  <c r="F407" i="4"/>
  <c r="E407" i="4"/>
  <c r="D407" i="4"/>
  <c r="C407" i="4"/>
  <c r="B407" i="4"/>
  <c r="A407" i="4"/>
  <c r="P406" i="4"/>
  <c r="O406" i="4"/>
  <c r="N406" i="4"/>
  <c r="M406" i="4"/>
  <c r="L406" i="4"/>
  <c r="K406" i="4"/>
  <c r="J406" i="4"/>
  <c r="Q406" i="5" s="1"/>
  <c r="F406" i="4"/>
  <c r="E406" i="4"/>
  <c r="D406" i="4"/>
  <c r="C406" i="4"/>
  <c r="B406" i="4"/>
  <c r="A406" i="4"/>
  <c r="P405" i="4"/>
  <c r="O405" i="4"/>
  <c r="N405" i="4"/>
  <c r="M405" i="4"/>
  <c r="L405" i="4"/>
  <c r="K405" i="4"/>
  <c r="J405" i="4"/>
  <c r="Q405" i="5" s="1"/>
  <c r="F405" i="4"/>
  <c r="E405" i="4"/>
  <c r="D405" i="4"/>
  <c r="C405" i="4"/>
  <c r="B405" i="4"/>
  <c r="A405" i="4"/>
  <c r="P404" i="4"/>
  <c r="O404" i="4"/>
  <c r="N404" i="4"/>
  <c r="M404" i="4"/>
  <c r="L404" i="4"/>
  <c r="K404" i="4"/>
  <c r="J404" i="4"/>
  <c r="Q404" i="5" s="1"/>
  <c r="F404" i="4"/>
  <c r="E404" i="4"/>
  <c r="D404" i="4"/>
  <c r="C404" i="4"/>
  <c r="B404" i="4"/>
  <c r="A404" i="4"/>
  <c r="P403" i="4"/>
  <c r="O403" i="4"/>
  <c r="N403" i="4"/>
  <c r="M403" i="4"/>
  <c r="L403" i="4"/>
  <c r="K403" i="4"/>
  <c r="J403" i="4"/>
  <c r="Q403" i="5" s="1"/>
  <c r="F403" i="4"/>
  <c r="E403" i="4"/>
  <c r="D403" i="4"/>
  <c r="C403" i="4"/>
  <c r="B403" i="4"/>
  <c r="A403" i="4"/>
  <c r="P402" i="4"/>
  <c r="O402" i="4"/>
  <c r="N402" i="4"/>
  <c r="M402" i="4"/>
  <c r="L402" i="4"/>
  <c r="K402" i="4"/>
  <c r="J402" i="4"/>
  <c r="Q402" i="5" s="1"/>
  <c r="F402" i="4"/>
  <c r="E402" i="4"/>
  <c r="D402" i="4"/>
  <c r="C402" i="4"/>
  <c r="B402" i="4"/>
  <c r="A402" i="4"/>
  <c r="P401" i="4"/>
  <c r="O401" i="4"/>
  <c r="N401" i="4"/>
  <c r="M401" i="4"/>
  <c r="L401" i="4"/>
  <c r="K401" i="4"/>
  <c r="J401" i="4"/>
  <c r="Q401" i="5" s="1"/>
  <c r="F401" i="4"/>
  <c r="E401" i="4"/>
  <c r="D401" i="4"/>
  <c r="C401" i="4"/>
  <c r="B401" i="4"/>
  <c r="A401" i="4"/>
  <c r="P400" i="4"/>
  <c r="O400" i="4"/>
  <c r="N400" i="4"/>
  <c r="M400" i="4"/>
  <c r="L400" i="4"/>
  <c r="K400" i="4"/>
  <c r="J400" i="4"/>
  <c r="Q400" i="5" s="1"/>
  <c r="F400" i="4"/>
  <c r="E400" i="4"/>
  <c r="D400" i="4"/>
  <c r="C400" i="4"/>
  <c r="B400" i="4"/>
  <c r="A400" i="4"/>
  <c r="P399" i="4"/>
  <c r="O399" i="4"/>
  <c r="N399" i="4"/>
  <c r="M399" i="4"/>
  <c r="L399" i="4"/>
  <c r="K399" i="4"/>
  <c r="J399" i="4"/>
  <c r="Q399" i="5" s="1"/>
  <c r="F399" i="4"/>
  <c r="E399" i="4"/>
  <c r="D399" i="4"/>
  <c r="C399" i="4"/>
  <c r="B399" i="4"/>
  <c r="A399" i="4"/>
  <c r="P398" i="4"/>
  <c r="O398" i="4"/>
  <c r="N398" i="4"/>
  <c r="M398" i="4"/>
  <c r="L398" i="4"/>
  <c r="K398" i="4"/>
  <c r="J398" i="4"/>
  <c r="Q398" i="5" s="1"/>
  <c r="F398" i="4"/>
  <c r="E398" i="4"/>
  <c r="D398" i="4"/>
  <c r="C398" i="4"/>
  <c r="B398" i="4"/>
  <c r="A398" i="4"/>
  <c r="P397" i="4"/>
  <c r="O397" i="4"/>
  <c r="N397" i="4"/>
  <c r="M397" i="4"/>
  <c r="L397" i="4"/>
  <c r="K397" i="4"/>
  <c r="J397" i="4"/>
  <c r="Q397" i="5" s="1"/>
  <c r="F397" i="4"/>
  <c r="E397" i="4"/>
  <c r="D397" i="4"/>
  <c r="C397" i="4"/>
  <c r="B397" i="4"/>
  <c r="A397" i="4"/>
  <c r="P396" i="4"/>
  <c r="O396" i="4"/>
  <c r="N396" i="4"/>
  <c r="M396" i="4"/>
  <c r="L396" i="4"/>
  <c r="K396" i="4"/>
  <c r="J396" i="4"/>
  <c r="Q396" i="5" s="1"/>
  <c r="F396" i="4"/>
  <c r="E396" i="4"/>
  <c r="D396" i="4"/>
  <c r="C396" i="4"/>
  <c r="B396" i="4"/>
  <c r="A396" i="4"/>
  <c r="P395" i="4"/>
  <c r="O395" i="4"/>
  <c r="N395" i="4"/>
  <c r="M395" i="4"/>
  <c r="L395" i="4"/>
  <c r="K395" i="4"/>
  <c r="J395" i="4"/>
  <c r="Q395" i="5" s="1"/>
  <c r="F395" i="4"/>
  <c r="E395" i="4"/>
  <c r="D395" i="4"/>
  <c r="C395" i="4"/>
  <c r="B395" i="4"/>
  <c r="A395" i="4"/>
  <c r="P394" i="4"/>
  <c r="O394" i="4"/>
  <c r="N394" i="4"/>
  <c r="M394" i="4"/>
  <c r="L394" i="4"/>
  <c r="K394" i="4"/>
  <c r="J394" i="4"/>
  <c r="Q394" i="5" s="1"/>
  <c r="F394" i="4"/>
  <c r="E394" i="4"/>
  <c r="D394" i="4"/>
  <c r="C394" i="4"/>
  <c r="B394" i="4"/>
  <c r="A394" i="4"/>
  <c r="P393" i="4"/>
  <c r="O393" i="4"/>
  <c r="N393" i="4"/>
  <c r="M393" i="4"/>
  <c r="L393" i="4"/>
  <c r="K393" i="4"/>
  <c r="J393" i="4"/>
  <c r="Q393" i="5" s="1"/>
  <c r="F393" i="4"/>
  <c r="E393" i="4"/>
  <c r="D393" i="4"/>
  <c r="C393" i="4"/>
  <c r="B393" i="4"/>
  <c r="A393" i="4"/>
  <c r="P392" i="4"/>
  <c r="O392" i="4"/>
  <c r="N392" i="4"/>
  <c r="M392" i="4"/>
  <c r="L392" i="4"/>
  <c r="K392" i="4"/>
  <c r="J392" i="4"/>
  <c r="Q392" i="5" s="1"/>
  <c r="F392" i="4"/>
  <c r="E392" i="4"/>
  <c r="D392" i="4"/>
  <c r="C392" i="4"/>
  <c r="B392" i="4"/>
  <c r="A392" i="4"/>
  <c r="P391" i="4"/>
  <c r="O391" i="4"/>
  <c r="N391" i="4"/>
  <c r="M391" i="4"/>
  <c r="L391" i="4"/>
  <c r="K391" i="4"/>
  <c r="J391" i="4"/>
  <c r="Q391" i="5" s="1"/>
  <c r="F391" i="4"/>
  <c r="E391" i="4"/>
  <c r="D391" i="4"/>
  <c r="C391" i="4"/>
  <c r="B391" i="4"/>
  <c r="A391" i="4"/>
  <c r="P390" i="4"/>
  <c r="O390" i="4"/>
  <c r="N390" i="4"/>
  <c r="M390" i="4"/>
  <c r="L390" i="4"/>
  <c r="K390" i="4"/>
  <c r="J390" i="4"/>
  <c r="Q390" i="5" s="1"/>
  <c r="F390" i="4"/>
  <c r="E390" i="4"/>
  <c r="D390" i="4"/>
  <c r="C390" i="4"/>
  <c r="B390" i="4"/>
  <c r="A390" i="4"/>
  <c r="P389" i="4"/>
  <c r="O389" i="4"/>
  <c r="N389" i="4"/>
  <c r="M389" i="4"/>
  <c r="L389" i="4"/>
  <c r="K389" i="4"/>
  <c r="J389" i="4"/>
  <c r="Q389" i="5" s="1"/>
  <c r="F389" i="4"/>
  <c r="E389" i="4"/>
  <c r="D389" i="4"/>
  <c r="C389" i="4"/>
  <c r="B389" i="4"/>
  <c r="A389" i="4"/>
  <c r="P388" i="4"/>
  <c r="O388" i="4"/>
  <c r="N388" i="4"/>
  <c r="M388" i="4"/>
  <c r="L388" i="4"/>
  <c r="K388" i="4"/>
  <c r="J388" i="4"/>
  <c r="Q388" i="5" s="1"/>
  <c r="F388" i="4"/>
  <c r="E388" i="4"/>
  <c r="D388" i="4"/>
  <c r="C388" i="4"/>
  <c r="B388" i="4"/>
  <c r="A388" i="4"/>
  <c r="P387" i="4"/>
  <c r="O387" i="4"/>
  <c r="N387" i="4"/>
  <c r="M387" i="4"/>
  <c r="L387" i="4"/>
  <c r="K387" i="4"/>
  <c r="J387" i="4"/>
  <c r="Q387" i="5" s="1"/>
  <c r="F387" i="4"/>
  <c r="E387" i="4"/>
  <c r="D387" i="4"/>
  <c r="C387" i="4"/>
  <c r="B387" i="4"/>
  <c r="A387" i="4"/>
  <c r="P386" i="4"/>
  <c r="O386" i="4"/>
  <c r="N386" i="4"/>
  <c r="M386" i="4"/>
  <c r="L386" i="4"/>
  <c r="K386" i="4"/>
  <c r="J386" i="4"/>
  <c r="Q386" i="5" s="1"/>
  <c r="F386" i="4"/>
  <c r="E386" i="4"/>
  <c r="D386" i="4"/>
  <c r="C386" i="4"/>
  <c r="B386" i="4"/>
  <c r="A386" i="4"/>
  <c r="P385" i="4"/>
  <c r="O385" i="4"/>
  <c r="N385" i="4"/>
  <c r="M385" i="4"/>
  <c r="L385" i="4"/>
  <c r="K385" i="4"/>
  <c r="J385" i="4"/>
  <c r="Q385" i="5" s="1"/>
  <c r="F385" i="4"/>
  <c r="E385" i="4"/>
  <c r="D385" i="4"/>
  <c r="C385" i="4"/>
  <c r="B385" i="4"/>
  <c r="A385" i="4"/>
  <c r="P384" i="4"/>
  <c r="O384" i="4"/>
  <c r="N384" i="4"/>
  <c r="M384" i="4"/>
  <c r="L384" i="4"/>
  <c r="K384" i="4"/>
  <c r="J384" i="4"/>
  <c r="Q384" i="5" s="1"/>
  <c r="F384" i="4"/>
  <c r="E384" i="4"/>
  <c r="D384" i="4"/>
  <c r="C384" i="4"/>
  <c r="B384" i="4"/>
  <c r="A384" i="4"/>
  <c r="P383" i="4"/>
  <c r="O383" i="4"/>
  <c r="N383" i="4"/>
  <c r="M383" i="4"/>
  <c r="L383" i="4"/>
  <c r="K383" i="4"/>
  <c r="J383" i="4"/>
  <c r="Q383" i="5" s="1"/>
  <c r="F383" i="4"/>
  <c r="E383" i="4"/>
  <c r="D383" i="4"/>
  <c r="C383" i="4"/>
  <c r="B383" i="4"/>
  <c r="A383" i="4"/>
  <c r="P382" i="4"/>
  <c r="O382" i="4"/>
  <c r="N382" i="4"/>
  <c r="M382" i="4"/>
  <c r="L382" i="4"/>
  <c r="K382" i="4"/>
  <c r="J382" i="4"/>
  <c r="Q382" i="5" s="1"/>
  <c r="F382" i="4"/>
  <c r="E382" i="4"/>
  <c r="D382" i="4"/>
  <c r="C382" i="4"/>
  <c r="B382" i="4"/>
  <c r="A382" i="4"/>
  <c r="P381" i="4"/>
  <c r="O381" i="4"/>
  <c r="N381" i="4"/>
  <c r="M381" i="4"/>
  <c r="L381" i="4"/>
  <c r="K381" i="4"/>
  <c r="J381" i="4"/>
  <c r="Q381" i="5" s="1"/>
  <c r="F381" i="4"/>
  <c r="E381" i="4"/>
  <c r="D381" i="4"/>
  <c r="C381" i="4"/>
  <c r="B381" i="4"/>
  <c r="A381" i="4"/>
  <c r="P380" i="4"/>
  <c r="O380" i="4"/>
  <c r="N380" i="4"/>
  <c r="M380" i="4"/>
  <c r="L380" i="4"/>
  <c r="K380" i="4"/>
  <c r="J380" i="4"/>
  <c r="Q380" i="5" s="1"/>
  <c r="F380" i="4"/>
  <c r="E380" i="4"/>
  <c r="D380" i="4"/>
  <c r="C380" i="4"/>
  <c r="B380" i="4"/>
  <c r="A380" i="4"/>
  <c r="P379" i="4"/>
  <c r="O379" i="4"/>
  <c r="N379" i="4"/>
  <c r="M379" i="4"/>
  <c r="L379" i="4"/>
  <c r="K379" i="4"/>
  <c r="J379" i="4"/>
  <c r="Q379" i="5" s="1"/>
  <c r="F379" i="4"/>
  <c r="E379" i="4"/>
  <c r="D379" i="4"/>
  <c r="C379" i="4"/>
  <c r="B379" i="4"/>
  <c r="A379" i="4"/>
  <c r="P378" i="4"/>
  <c r="O378" i="4"/>
  <c r="N378" i="4"/>
  <c r="M378" i="4"/>
  <c r="L378" i="4"/>
  <c r="K378" i="4"/>
  <c r="J378" i="4"/>
  <c r="Q378" i="5" s="1"/>
  <c r="F378" i="4"/>
  <c r="E378" i="4"/>
  <c r="D378" i="4"/>
  <c r="C378" i="4"/>
  <c r="B378" i="4"/>
  <c r="A378" i="4"/>
  <c r="P377" i="4"/>
  <c r="O377" i="4"/>
  <c r="N377" i="4"/>
  <c r="M377" i="4"/>
  <c r="L377" i="4"/>
  <c r="K377" i="4"/>
  <c r="J377" i="4"/>
  <c r="Q377" i="5" s="1"/>
  <c r="F377" i="4"/>
  <c r="E377" i="4"/>
  <c r="D377" i="4"/>
  <c r="C377" i="4"/>
  <c r="B377" i="4"/>
  <c r="A377" i="4"/>
  <c r="P376" i="4"/>
  <c r="O376" i="4"/>
  <c r="N376" i="4"/>
  <c r="M376" i="4"/>
  <c r="L376" i="4"/>
  <c r="K376" i="4"/>
  <c r="J376" i="4"/>
  <c r="Q376" i="5" s="1"/>
  <c r="F376" i="4"/>
  <c r="E376" i="4"/>
  <c r="D376" i="4"/>
  <c r="C376" i="4"/>
  <c r="B376" i="4"/>
  <c r="A376" i="4"/>
  <c r="P375" i="4"/>
  <c r="O375" i="4"/>
  <c r="N375" i="4"/>
  <c r="M375" i="4"/>
  <c r="L375" i="4"/>
  <c r="K375" i="4"/>
  <c r="J375" i="4"/>
  <c r="Q375" i="5" s="1"/>
  <c r="F375" i="4"/>
  <c r="E375" i="4"/>
  <c r="D375" i="4"/>
  <c r="C375" i="4"/>
  <c r="B375" i="4"/>
  <c r="A375" i="4"/>
  <c r="P374" i="4"/>
  <c r="O374" i="4"/>
  <c r="N374" i="4"/>
  <c r="M374" i="4"/>
  <c r="L374" i="4"/>
  <c r="K374" i="4"/>
  <c r="J374" i="4"/>
  <c r="Q374" i="5" s="1"/>
  <c r="F374" i="4"/>
  <c r="E374" i="4"/>
  <c r="D374" i="4"/>
  <c r="C374" i="4"/>
  <c r="B374" i="4"/>
  <c r="A374" i="4"/>
  <c r="P373" i="4"/>
  <c r="O373" i="4"/>
  <c r="N373" i="4"/>
  <c r="M373" i="4"/>
  <c r="L373" i="4"/>
  <c r="K373" i="4"/>
  <c r="J373" i="4"/>
  <c r="Q373" i="5" s="1"/>
  <c r="F373" i="4"/>
  <c r="E373" i="4"/>
  <c r="D373" i="4"/>
  <c r="C373" i="4"/>
  <c r="B373" i="4"/>
  <c r="A373" i="4"/>
  <c r="P372" i="4"/>
  <c r="O372" i="4"/>
  <c r="N372" i="4"/>
  <c r="M372" i="4"/>
  <c r="L372" i="4"/>
  <c r="K372" i="4"/>
  <c r="J372" i="4"/>
  <c r="Q372" i="5" s="1"/>
  <c r="F372" i="4"/>
  <c r="E372" i="4"/>
  <c r="D372" i="4"/>
  <c r="C372" i="4"/>
  <c r="B372" i="4"/>
  <c r="A372" i="4"/>
  <c r="P371" i="4"/>
  <c r="O371" i="4"/>
  <c r="N371" i="4"/>
  <c r="M371" i="4"/>
  <c r="L371" i="4"/>
  <c r="K371" i="4"/>
  <c r="J371" i="4"/>
  <c r="Q371" i="5" s="1"/>
  <c r="F371" i="4"/>
  <c r="E371" i="4"/>
  <c r="D371" i="4"/>
  <c r="C371" i="4"/>
  <c r="B371" i="4"/>
  <c r="A371" i="4"/>
  <c r="P370" i="4"/>
  <c r="O370" i="4"/>
  <c r="N370" i="4"/>
  <c r="M370" i="4"/>
  <c r="L370" i="4"/>
  <c r="K370" i="4"/>
  <c r="J370" i="4"/>
  <c r="Q370" i="5" s="1"/>
  <c r="F370" i="4"/>
  <c r="E370" i="4"/>
  <c r="D370" i="4"/>
  <c r="C370" i="4"/>
  <c r="B370" i="4"/>
  <c r="A370" i="4"/>
  <c r="P369" i="4"/>
  <c r="O369" i="4"/>
  <c r="N369" i="4"/>
  <c r="M369" i="4"/>
  <c r="L369" i="4"/>
  <c r="K369" i="4"/>
  <c r="J369" i="4"/>
  <c r="Q369" i="5" s="1"/>
  <c r="F369" i="4"/>
  <c r="E369" i="4"/>
  <c r="D369" i="4"/>
  <c r="C369" i="4"/>
  <c r="B369" i="4"/>
  <c r="A369" i="4"/>
  <c r="P368" i="4"/>
  <c r="O368" i="4"/>
  <c r="N368" i="4"/>
  <c r="M368" i="4"/>
  <c r="L368" i="4"/>
  <c r="K368" i="4"/>
  <c r="J368" i="4"/>
  <c r="Q368" i="5" s="1"/>
  <c r="F368" i="4"/>
  <c r="E368" i="4"/>
  <c r="D368" i="4"/>
  <c r="C368" i="4"/>
  <c r="B368" i="4"/>
  <c r="A368" i="4"/>
  <c r="P367" i="4"/>
  <c r="O367" i="4"/>
  <c r="N367" i="4"/>
  <c r="M367" i="4"/>
  <c r="L367" i="4"/>
  <c r="K367" i="4"/>
  <c r="J367" i="4"/>
  <c r="Q367" i="5" s="1"/>
  <c r="F367" i="4"/>
  <c r="E367" i="4"/>
  <c r="D367" i="4"/>
  <c r="C367" i="4"/>
  <c r="B367" i="4"/>
  <c r="A367" i="4"/>
  <c r="P366" i="4"/>
  <c r="O366" i="4"/>
  <c r="N366" i="4"/>
  <c r="M366" i="4"/>
  <c r="L366" i="4"/>
  <c r="K366" i="4"/>
  <c r="J366" i="4"/>
  <c r="Q366" i="5" s="1"/>
  <c r="F366" i="4"/>
  <c r="E366" i="4"/>
  <c r="D366" i="4"/>
  <c r="C366" i="4"/>
  <c r="B366" i="4"/>
  <c r="A366" i="4"/>
  <c r="P365" i="4"/>
  <c r="O365" i="4"/>
  <c r="N365" i="4"/>
  <c r="M365" i="4"/>
  <c r="L365" i="4"/>
  <c r="K365" i="4"/>
  <c r="J365" i="4"/>
  <c r="Q365" i="5" s="1"/>
  <c r="F365" i="4"/>
  <c r="E365" i="4"/>
  <c r="D365" i="4"/>
  <c r="C365" i="4"/>
  <c r="B365" i="4"/>
  <c r="A365" i="4"/>
  <c r="P364" i="4"/>
  <c r="O364" i="4"/>
  <c r="N364" i="4"/>
  <c r="M364" i="4"/>
  <c r="L364" i="4"/>
  <c r="K364" i="4"/>
  <c r="J364" i="4"/>
  <c r="Q364" i="5" s="1"/>
  <c r="F364" i="4"/>
  <c r="E364" i="4"/>
  <c r="D364" i="4"/>
  <c r="C364" i="4"/>
  <c r="B364" i="4"/>
  <c r="A364" i="4"/>
  <c r="P363" i="4"/>
  <c r="O363" i="4"/>
  <c r="N363" i="4"/>
  <c r="M363" i="4"/>
  <c r="L363" i="4"/>
  <c r="K363" i="4"/>
  <c r="J363" i="4"/>
  <c r="Q363" i="5" s="1"/>
  <c r="F363" i="4"/>
  <c r="E363" i="4"/>
  <c r="D363" i="4"/>
  <c r="C363" i="4"/>
  <c r="B363" i="4"/>
  <c r="A363" i="4"/>
  <c r="P362" i="4"/>
  <c r="O362" i="4"/>
  <c r="N362" i="4"/>
  <c r="M362" i="4"/>
  <c r="L362" i="4"/>
  <c r="K362" i="4"/>
  <c r="J362" i="4"/>
  <c r="Q362" i="5" s="1"/>
  <c r="F362" i="4"/>
  <c r="E362" i="4"/>
  <c r="D362" i="4"/>
  <c r="C362" i="4"/>
  <c r="B362" i="4"/>
  <c r="A362" i="4"/>
  <c r="P361" i="4"/>
  <c r="O361" i="4"/>
  <c r="N361" i="4"/>
  <c r="M361" i="4"/>
  <c r="L361" i="4"/>
  <c r="K361" i="4"/>
  <c r="J361" i="4"/>
  <c r="Q361" i="5" s="1"/>
  <c r="F361" i="4"/>
  <c r="E361" i="4"/>
  <c r="D361" i="4"/>
  <c r="C361" i="4"/>
  <c r="B361" i="4"/>
  <c r="A361" i="4"/>
  <c r="P360" i="4"/>
  <c r="O360" i="4"/>
  <c r="N360" i="4"/>
  <c r="M360" i="4"/>
  <c r="L360" i="4"/>
  <c r="K360" i="4"/>
  <c r="J360" i="4"/>
  <c r="Q360" i="5" s="1"/>
  <c r="F360" i="4"/>
  <c r="E360" i="4"/>
  <c r="D360" i="4"/>
  <c r="C360" i="4"/>
  <c r="B360" i="4"/>
  <c r="A360" i="4"/>
  <c r="P359" i="4"/>
  <c r="O359" i="4"/>
  <c r="N359" i="4"/>
  <c r="M359" i="4"/>
  <c r="L359" i="4"/>
  <c r="K359" i="4"/>
  <c r="J359" i="4"/>
  <c r="Q359" i="5" s="1"/>
  <c r="F359" i="4"/>
  <c r="E359" i="4"/>
  <c r="D359" i="4"/>
  <c r="C359" i="4"/>
  <c r="B359" i="4"/>
  <c r="A359" i="4"/>
  <c r="P358" i="4"/>
  <c r="O358" i="4"/>
  <c r="N358" i="4"/>
  <c r="M358" i="4"/>
  <c r="L358" i="4"/>
  <c r="K358" i="4"/>
  <c r="J358" i="4"/>
  <c r="Q358" i="5" s="1"/>
  <c r="F358" i="4"/>
  <c r="E358" i="4"/>
  <c r="D358" i="4"/>
  <c r="C358" i="4"/>
  <c r="B358" i="4"/>
  <c r="A358" i="4"/>
  <c r="P357" i="4"/>
  <c r="O357" i="4"/>
  <c r="N357" i="4"/>
  <c r="M357" i="4"/>
  <c r="L357" i="4"/>
  <c r="K357" i="4"/>
  <c r="J357" i="4"/>
  <c r="Q357" i="5" s="1"/>
  <c r="F357" i="4"/>
  <c r="E357" i="4"/>
  <c r="D357" i="4"/>
  <c r="C357" i="4"/>
  <c r="B357" i="4"/>
  <c r="A357" i="4"/>
  <c r="P356" i="4"/>
  <c r="O356" i="4"/>
  <c r="N356" i="4"/>
  <c r="M356" i="4"/>
  <c r="L356" i="4"/>
  <c r="K356" i="4"/>
  <c r="J356" i="4"/>
  <c r="Q356" i="5" s="1"/>
  <c r="F356" i="4"/>
  <c r="E356" i="4"/>
  <c r="D356" i="4"/>
  <c r="C356" i="4"/>
  <c r="B356" i="4"/>
  <c r="A356" i="4"/>
  <c r="P355" i="4"/>
  <c r="O355" i="4"/>
  <c r="N355" i="4"/>
  <c r="M355" i="4"/>
  <c r="L355" i="4"/>
  <c r="K355" i="4"/>
  <c r="J355" i="4"/>
  <c r="Q355" i="5" s="1"/>
  <c r="F355" i="4"/>
  <c r="E355" i="4"/>
  <c r="D355" i="4"/>
  <c r="C355" i="4"/>
  <c r="B355" i="4"/>
  <c r="A355" i="4"/>
  <c r="P354" i="4"/>
  <c r="O354" i="4"/>
  <c r="N354" i="4"/>
  <c r="M354" i="4"/>
  <c r="L354" i="4"/>
  <c r="K354" i="4"/>
  <c r="J354" i="4"/>
  <c r="Q354" i="5" s="1"/>
  <c r="F354" i="4"/>
  <c r="E354" i="4"/>
  <c r="D354" i="4"/>
  <c r="C354" i="4"/>
  <c r="B354" i="4"/>
  <c r="A354" i="4"/>
  <c r="P353" i="4"/>
  <c r="O353" i="4"/>
  <c r="N353" i="4"/>
  <c r="M353" i="4"/>
  <c r="L353" i="4"/>
  <c r="K353" i="4"/>
  <c r="J353" i="4"/>
  <c r="Q353" i="5" s="1"/>
  <c r="F353" i="4"/>
  <c r="E353" i="4"/>
  <c r="D353" i="4"/>
  <c r="C353" i="4"/>
  <c r="B353" i="4"/>
  <c r="A353" i="4"/>
  <c r="P352" i="4"/>
  <c r="O352" i="4"/>
  <c r="N352" i="4"/>
  <c r="M352" i="4"/>
  <c r="L352" i="4"/>
  <c r="K352" i="4"/>
  <c r="J352" i="4"/>
  <c r="Q352" i="5" s="1"/>
  <c r="F352" i="4"/>
  <c r="E352" i="4"/>
  <c r="D352" i="4"/>
  <c r="C352" i="4"/>
  <c r="B352" i="4"/>
  <c r="A352" i="4"/>
  <c r="P351" i="4"/>
  <c r="O351" i="4"/>
  <c r="N351" i="4"/>
  <c r="M351" i="4"/>
  <c r="L351" i="4"/>
  <c r="K351" i="4"/>
  <c r="J351" i="4"/>
  <c r="Q351" i="5" s="1"/>
  <c r="F351" i="4"/>
  <c r="E351" i="4"/>
  <c r="D351" i="4"/>
  <c r="C351" i="4"/>
  <c r="B351" i="4"/>
  <c r="A351" i="4"/>
  <c r="P350" i="4"/>
  <c r="O350" i="4"/>
  <c r="N350" i="4"/>
  <c r="M350" i="4"/>
  <c r="L350" i="4"/>
  <c r="K350" i="4"/>
  <c r="J350" i="4"/>
  <c r="Q350" i="5" s="1"/>
  <c r="F350" i="4"/>
  <c r="E350" i="4"/>
  <c r="D350" i="4"/>
  <c r="C350" i="4"/>
  <c r="B350" i="4"/>
  <c r="A350" i="4"/>
  <c r="P349" i="4"/>
  <c r="O349" i="4"/>
  <c r="N349" i="4"/>
  <c r="M349" i="4"/>
  <c r="L349" i="4"/>
  <c r="K349" i="4"/>
  <c r="J349" i="4"/>
  <c r="Q349" i="5" s="1"/>
  <c r="F349" i="4"/>
  <c r="E349" i="4"/>
  <c r="D349" i="4"/>
  <c r="C349" i="4"/>
  <c r="B349" i="4"/>
  <c r="A349" i="4"/>
  <c r="P348" i="4"/>
  <c r="O348" i="4"/>
  <c r="N348" i="4"/>
  <c r="M348" i="4"/>
  <c r="L348" i="4"/>
  <c r="K348" i="4"/>
  <c r="J348" i="4"/>
  <c r="Q348" i="5" s="1"/>
  <c r="F348" i="4"/>
  <c r="E348" i="4"/>
  <c r="D348" i="4"/>
  <c r="C348" i="4"/>
  <c r="B348" i="4"/>
  <c r="A348" i="4"/>
  <c r="P347" i="4"/>
  <c r="O347" i="4"/>
  <c r="N347" i="4"/>
  <c r="M347" i="4"/>
  <c r="L347" i="4"/>
  <c r="K347" i="4"/>
  <c r="J347" i="4"/>
  <c r="Q347" i="5" s="1"/>
  <c r="F347" i="4"/>
  <c r="E347" i="4"/>
  <c r="D347" i="4"/>
  <c r="C347" i="4"/>
  <c r="B347" i="4"/>
  <c r="A347" i="4"/>
  <c r="P346" i="4"/>
  <c r="O346" i="4"/>
  <c r="N346" i="4"/>
  <c r="M346" i="4"/>
  <c r="L346" i="4"/>
  <c r="K346" i="4"/>
  <c r="J346" i="4"/>
  <c r="Q346" i="5" s="1"/>
  <c r="F346" i="4"/>
  <c r="E346" i="4"/>
  <c r="D346" i="4"/>
  <c r="C346" i="4"/>
  <c r="B346" i="4"/>
  <c r="A346" i="4"/>
  <c r="P345" i="4"/>
  <c r="O345" i="4"/>
  <c r="N345" i="4"/>
  <c r="M345" i="4"/>
  <c r="L345" i="4"/>
  <c r="K345" i="4"/>
  <c r="J345" i="4"/>
  <c r="Q345" i="5" s="1"/>
  <c r="F345" i="4"/>
  <c r="E345" i="4"/>
  <c r="D345" i="4"/>
  <c r="C345" i="4"/>
  <c r="B345" i="4"/>
  <c r="A345" i="4"/>
  <c r="P344" i="4"/>
  <c r="O344" i="4"/>
  <c r="N344" i="4"/>
  <c r="M344" i="4"/>
  <c r="L344" i="4"/>
  <c r="K344" i="4"/>
  <c r="J344" i="4"/>
  <c r="Q344" i="5" s="1"/>
  <c r="F344" i="4"/>
  <c r="E344" i="4"/>
  <c r="D344" i="4"/>
  <c r="C344" i="4"/>
  <c r="B344" i="4"/>
  <c r="A344" i="4"/>
  <c r="P343" i="4"/>
  <c r="O343" i="4"/>
  <c r="N343" i="4"/>
  <c r="M343" i="4"/>
  <c r="L343" i="4"/>
  <c r="K343" i="4"/>
  <c r="J343" i="4"/>
  <c r="Q343" i="5" s="1"/>
  <c r="F343" i="4"/>
  <c r="E343" i="4"/>
  <c r="D343" i="4"/>
  <c r="C343" i="4"/>
  <c r="B343" i="4"/>
  <c r="A343" i="4"/>
  <c r="P342" i="4"/>
  <c r="O342" i="4"/>
  <c r="N342" i="4"/>
  <c r="M342" i="4"/>
  <c r="L342" i="4"/>
  <c r="K342" i="4"/>
  <c r="J342" i="4"/>
  <c r="Q342" i="5" s="1"/>
  <c r="F342" i="4"/>
  <c r="E342" i="4"/>
  <c r="D342" i="4"/>
  <c r="C342" i="4"/>
  <c r="B342" i="4"/>
  <c r="A342" i="4"/>
  <c r="P341" i="4"/>
  <c r="O341" i="4"/>
  <c r="N341" i="4"/>
  <c r="M341" i="4"/>
  <c r="L341" i="4"/>
  <c r="K341" i="4"/>
  <c r="J341" i="4"/>
  <c r="Q341" i="5" s="1"/>
  <c r="F341" i="4"/>
  <c r="E341" i="4"/>
  <c r="D341" i="4"/>
  <c r="C341" i="4"/>
  <c r="B341" i="4"/>
  <c r="A341" i="4"/>
  <c r="P340" i="4"/>
  <c r="O340" i="4"/>
  <c r="N340" i="4"/>
  <c r="M340" i="4"/>
  <c r="L340" i="4"/>
  <c r="K340" i="4"/>
  <c r="J340" i="4"/>
  <c r="Q340" i="5" s="1"/>
  <c r="F340" i="4"/>
  <c r="E340" i="4"/>
  <c r="D340" i="4"/>
  <c r="C340" i="4"/>
  <c r="B340" i="4"/>
  <c r="A340" i="4"/>
  <c r="P339" i="4"/>
  <c r="O339" i="4"/>
  <c r="N339" i="4"/>
  <c r="M339" i="4"/>
  <c r="L339" i="4"/>
  <c r="K339" i="4"/>
  <c r="J339" i="4"/>
  <c r="Q339" i="5" s="1"/>
  <c r="F339" i="4"/>
  <c r="E339" i="4"/>
  <c r="D339" i="4"/>
  <c r="C339" i="4"/>
  <c r="B339" i="4"/>
  <c r="A339" i="4"/>
  <c r="P338" i="4"/>
  <c r="O338" i="4"/>
  <c r="N338" i="4"/>
  <c r="M338" i="4"/>
  <c r="L338" i="4"/>
  <c r="K338" i="4"/>
  <c r="J338" i="4"/>
  <c r="Q338" i="5" s="1"/>
  <c r="F338" i="4"/>
  <c r="E338" i="4"/>
  <c r="D338" i="4"/>
  <c r="C338" i="4"/>
  <c r="B338" i="4"/>
  <c r="A338" i="4"/>
  <c r="P337" i="4"/>
  <c r="O337" i="4"/>
  <c r="N337" i="4"/>
  <c r="M337" i="4"/>
  <c r="L337" i="4"/>
  <c r="K337" i="4"/>
  <c r="J337" i="4"/>
  <c r="Q337" i="5" s="1"/>
  <c r="F337" i="4"/>
  <c r="E337" i="4"/>
  <c r="D337" i="4"/>
  <c r="C337" i="4"/>
  <c r="B337" i="4"/>
  <c r="A337" i="4"/>
  <c r="P336" i="4"/>
  <c r="O336" i="4"/>
  <c r="N336" i="4"/>
  <c r="M336" i="4"/>
  <c r="L336" i="4"/>
  <c r="K336" i="4"/>
  <c r="J336" i="4"/>
  <c r="Q336" i="5" s="1"/>
  <c r="F336" i="4"/>
  <c r="E336" i="4"/>
  <c r="D336" i="4"/>
  <c r="C336" i="4"/>
  <c r="B336" i="4"/>
  <c r="A336" i="4"/>
  <c r="P335" i="4"/>
  <c r="O335" i="4"/>
  <c r="N335" i="4"/>
  <c r="M335" i="4"/>
  <c r="L335" i="4"/>
  <c r="K335" i="4"/>
  <c r="J335" i="4"/>
  <c r="Q335" i="5" s="1"/>
  <c r="F335" i="4"/>
  <c r="E335" i="4"/>
  <c r="D335" i="4"/>
  <c r="C335" i="4"/>
  <c r="B335" i="4"/>
  <c r="A335" i="4"/>
  <c r="P334" i="4"/>
  <c r="O334" i="4"/>
  <c r="N334" i="4"/>
  <c r="M334" i="4"/>
  <c r="L334" i="4"/>
  <c r="K334" i="4"/>
  <c r="J334" i="4"/>
  <c r="Q334" i="5" s="1"/>
  <c r="F334" i="4"/>
  <c r="E334" i="4"/>
  <c r="D334" i="4"/>
  <c r="C334" i="4"/>
  <c r="B334" i="4"/>
  <c r="A334" i="4"/>
  <c r="P333" i="4"/>
  <c r="O333" i="4"/>
  <c r="N333" i="4"/>
  <c r="M333" i="4"/>
  <c r="L333" i="4"/>
  <c r="K333" i="4"/>
  <c r="J333" i="4"/>
  <c r="Q333" i="5" s="1"/>
  <c r="F333" i="4"/>
  <c r="E333" i="4"/>
  <c r="D333" i="4"/>
  <c r="C333" i="4"/>
  <c r="B333" i="4"/>
  <c r="A333" i="4"/>
  <c r="P332" i="4"/>
  <c r="O332" i="4"/>
  <c r="N332" i="4"/>
  <c r="M332" i="4"/>
  <c r="L332" i="4"/>
  <c r="K332" i="4"/>
  <c r="J332" i="4"/>
  <c r="Q332" i="5" s="1"/>
  <c r="F332" i="4"/>
  <c r="E332" i="4"/>
  <c r="D332" i="4"/>
  <c r="C332" i="4"/>
  <c r="B332" i="4"/>
  <c r="A332" i="4"/>
  <c r="P331" i="4"/>
  <c r="O331" i="4"/>
  <c r="N331" i="4"/>
  <c r="M331" i="4"/>
  <c r="L331" i="4"/>
  <c r="K331" i="4"/>
  <c r="J331" i="4"/>
  <c r="Q331" i="5" s="1"/>
  <c r="F331" i="4"/>
  <c r="E331" i="4"/>
  <c r="D331" i="4"/>
  <c r="C331" i="4"/>
  <c r="B331" i="4"/>
  <c r="A331" i="4"/>
  <c r="P330" i="4"/>
  <c r="O330" i="4"/>
  <c r="N330" i="4"/>
  <c r="M330" i="4"/>
  <c r="L330" i="4"/>
  <c r="K330" i="4"/>
  <c r="J330" i="4"/>
  <c r="Q330" i="5" s="1"/>
  <c r="F330" i="4"/>
  <c r="E330" i="4"/>
  <c r="D330" i="4"/>
  <c r="C330" i="4"/>
  <c r="B330" i="4"/>
  <c r="A330" i="4"/>
  <c r="P329" i="4"/>
  <c r="O329" i="4"/>
  <c r="N329" i="4"/>
  <c r="M329" i="4"/>
  <c r="L329" i="4"/>
  <c r="K329" i="4"/>
  <c r="J329" i="4"/>
  <c r="Q329" i="5" s="1"/>
  <c r="F329" i="4"/>
  <c r="E329" i="4"/>
  <c r="D329" i="4"/>
  <c r="C329" i="4"/>
  <c r="B329" i="4"/>
  <c r="A329" i="4"/>
  <c r="P328" i="4"/>
  <c r="O328" i="4"/>
  <c r="N328" i="4"/>
  <c r="M328" i="4"/>
  <c r="L328" i="4"/>
  <c r="K328" i="4"/>
  <c r="J328" i="4"/>
  <c r="Q328" i="5" s="1"/>
  <c r="F328" i="4"/>
  <c r="E328" i="4"/>
  <c r="D328" i="4"/>
  <c r="C328" i="4"/>
  <c r="B328" i="4"/>
  <c r="A328" i="4"/>
  <c r="P327" i="4"/>
  <c r="O327" i="4"/>
  <c r="N327" i="4"/>
  <c r="M327" i="4"/>
  <c r="L327" i="4"/>
  <c r="K327" i="4"/>
  <c r="J327" i="4"/>
  <c r="Q327" i="5" s="1"/>
  <c r="F327" i="4"/>
  <c r="E327" i="4"/>
  <c r="D327" i="4"/>
  <c r="C327" i="4"/>
  <c r="B327" i="4"/>
  <c r="A327" i="4"/>
  <c r="P326" i="4"/>
  <c r="O326" i="4"/>
  <c r="N326" i="4"/>
  <c r="M326" i="4"/>
  <c r="L326" i="4"/>
  <c r="K326" i="4"/>
  <c r="J326" i="4"/>
  <c r="Q326" i="5" s="1"/>
  <c r="F326" i="4"/>
  <c r="E326" i="4"/>
  <c r="D326" i="4"/>
  <c r="C326" i="4"/>
  <c r="B326" i="4"/>
  <c r="A326" i="4"/>
  <c r="P325" i="4"/>
  <c r="O325" i="4"/>
  <c r="N325" i="4"/>
  <c r="M325" i="4"/>
  <c r="L325" i="4"/>
  <c r="K325" i="4"/>
  <c r="J325" i="4"/>
  <c r="Q325" i="5" s="1"/>
  <c r="F325" i="4"/>
  <c r="E325" i="4"/>
  <c r="D325" i="4"/>
  <c r="C325" i="4"/>
  <c r="B325" i="4"/>
  <c r="A325" i="4"/>
  <c r="P324" i="4"/>
  <c r="O324" i="4"/>
  <c r="N324" i="4"/>
  <c r="M324" i="4"/>
  <c r="L324" i="4"/>
  <c r="K324" i="4"/>
  <c r="J324" i="4"/>
  <c r="Q324" i="5" s="1"/>
  <c r="F324" i="4"/>
  <c r="E324" i="4"/>
  <c r="D324" i="4"/>
  <c r="C324" i="4"/>
  <c r="B324" i="4"/>
  <c r="A324" i="4"/>
  <c r="P323" i="4"/>
  <c r="O323" i="4"/>
  <c r="N323" i="4"/>
  <c r="M323" i="4"/>
  <c r="L323" i="4"/>
  <c r="K323" i="4"/>
  <c r="J323" i="4"/>
  <c r="Q323" i="5" s="1"/>
  <c r="F323" i="4"/>
  <c r="E323" i="4"/>
  <c r="D323" i="4"/>
  <c r="C323" i="4"/>
  <c r="B323" i="4"/>
  <c r="A323" i="4"/>
  <c r="P322" i="4"/>
  <c r="O322" i="4"/>
  <c r="N322" i="4"/>
  <c r="M322" i="4"/>
  <c r="L322" i="4"/>
  <c r="K322" i="4"/>
  <c r="J322" i="4"/>
  <c r="Q322" i="5" s="1"/>
  <c r="F322" i="4"/>
  <c r="E322" i="4"/>
  <c r="D322" i="4"/>
  <c r="C322" i="4"/>
  <c r="B322" i="4"/>
  <c r="A322" i="4"/>
  <c r="P321" i="4"/>
  <c r="O321" i="4"/>
  <c r="N321" i="4"/>
  <c r="M321" i="4"/>
  <c r="L321" i="4"/>
  <c r="K321" i="4"/>
  <c r="J321" i="4"/>
  <c r="Q321" i="5" s="1"/>
  <c r="F321" i="4"/>
  <c r="E321" i="4"/>
  <c r="D321" i="4"/>
  <c r="C321" i="4"/>
  <c r="B321" i="4"/>
  <c r="A321" i="4"/>
  <c r="P320" i="4"/>
  <c r="O320" i="4"/>
  <c r="N320" i="4"/>
  <c r="M320" i="4"/>
  <c r="L320" i="4"/>
  <c r="K320" i="4"/>
  <c r="J320" i="4"/>
  <c r="Q320" i="5" s="1"/>
  <c r="F320" i="4"/>
  <c r="E320" i="4"/>
  <c r="D320" i="4"/>
  <c r="C320" i="4"/>
  <c r="B320" i="4"/>
  <c r="A320" i="4"/>
  <c r="P319" i="4"/>
  <c r="O319" i="4"/>
  <c r="N319" i="4"/>
  <c r="M319" i="4"/>
  <c r="L319" i="4"/>
  <c r="K319" i="4"/>
  <c r="J319" i="4"/>
  <c r="Q319" i="5" s="1"/>
  <c r="F319" i="4"/>
  <c r="E319" i="4"/>
  <c r="D319" i="4"/>
  <c r="C319" i="4"/>
  <c r="B319" i="4"/>
  <c r="A319" i="4"/>
  <c r="P318" i="4"/>
  <c r="O318" i="4"/>
  <c r="N318" i="4"/>
  <c r="M318" i="4"/>
  <c r="L318" i="4"/>
  <c r="K318" i="4"/>
  <c r="J318" i="4"/>
  <c r="Q318" i="5" s="1"/>
  <c r="F318" i="4"/>
  <c r="E318" i="4"/>
  <c r="D318" i="4"/>
  <c r="C318" i="4"/>
  <c r="B318" i="4"/>
  <c r="A318" i="4"/>
  <c r="P317" i="4"/>
  <c r="O317" i="4"/>
  <c r="N317" i="4"/>
  <c r="M317" i="4"/>
  <c r="L317" i="4"/>
  <c r="K317" i="4"/>
  <c r="J317" i="4"/>
  <c r="Q317" i="5" s="1"/>
  <c r="F317" i="4"/>
  <c r="E317" i="4"/>
  <c r="D317" i="4"/>
  <c r="C317" i="4"/>
  <c r="B317" i="4"/>
  <c r="A317" i="4"/>
  <c r="P316" i="4"/>
  <c r="O316" i="4"/>
  <c r="N316" i="4"/>
  <c r="M316" i="4"/>
  <c r="L316" i="4"/>
  <c r="K316" i="4"/>
  <c r="J316" i="4"/>
  <c r="Q316" i="5" s="1"/>
  <c r="F316" i="4"/>
  <c r="E316" i="4"/>
  <c r="D316" i="4"/>
  <c r="C316" i="4"/>
  <c r="B316" i="4"/>
  <c r="A316" i="4"/>
  <c r="P315" i="4"/>
  <c r="O315" i="4"/>
  <c r="N315" i="4"/>
  <c r="M315" i="4"/>
  <c r="L315" i="4"/>
  <c r="K315" i="4"/>
  <c r="J315" i="4"/>
  <c r="Q315" i="5" s="1"/>
  <c r="F315" i="4"/>
  <c r="E315" i="4"/>
  <c r="D315" i="4"/>
  <c r="C315" i="4"/>
  <c r="B315" i="4"/>
  <c r="A315" i="4"/>
  <c r="P314" i="4"/>
  <c r="O314" i="4"/>
  <c r="N314" i="4"/>
  <c r="M314" i="4"/>
  <c r="L314" i="4"/>
  <c r="K314" i="4"/>
  <c r="J314" i="4"/>
  <c r="Q314" i="5" s="1"/>
  <c r="F314" i="4"/>
  <c r="E314" i="4"/>
  <c r="D314" i="4"/>
  <c r="C314" i="4"/>
  <c r="B314" i="4"/>
  <c r="A314" i="4"/>
  <c r="P313" i="4"/>
  <c r="O313" i="4"/>
  <c r="N313" i="4"/>
  <c r="M313" i="4"/>
  <c r="L313" i="4"/>
  <c r="K313" i="4"/>
  <c r="J313" i="4"/>
  <c r="Q313" i="5" s="1"/>
  <c r="F313" i="4"/>
  <c r="E313" i="4"/>
  <c r="D313" i="4"/>
  <c r="C313" i="4"/>
  <c r="B313" i="4"/>
  <c r="A313" i="4"/>
  <c r="P312" i="4"/>
  <c r="O312" i="4"/>
  <c r="N312" i="4"/>
  <c r="M312" i="4"/>
  <c r="L312" i="4"/>
  <c r="K312" i="4"/>
  <c r="J312" i="4"/>
  <c r="Q312" i="5" s="1"/>
  <c r="F312" i="4"/>
  <c r="E312" i="4"/>
  <c r="D312" i="4"/>
  <c r="C312" i="4"/>
  <c r="B312" i="4"/>
  <c r="A312" i="4"/>
  <c r="P311" i="4"/>
  <c r="O311" i="4"/>
  <c r="N311" i="4"/>
  <c r="M311" i="4"/>
  <c r="L311" i="4"/>
  <c r="K311" i="4"/>
  <c r="J311" i="4"/>
  <c r="Q311" i="5" s="1"/>
  <c r="F311" i="4"/>
  <c r="E311" i="4"/>
  <c r="D311" i="4"/>
  <c r="C311" i="4"/>
  <c r="B311" i="4"/>
  <c r="A311" i="4"/>
  <c r="P310" i="4"/>
  <c r="O310" i="4"/>
  <c r="N310" i="4"/>
  <c r="M310" i="4"/>
  <c r="L310" i="4"/>
  <c r="K310" i="4"/>
  <c r="J310" i="4"/>
  <c r="Q310" i="5" s="1"/>
  <c r="F310" i="4"/>
  <c r="E310" i="4"/>
  <c r="D310" i="4"/>
  <c r="C310" i="4"/>
  <c r="B310" i="4"/>
  <c r="A310" i="4"/>
  <c r="P309" i="4"/>
  <c r="O309" i="4"/>
  <c r="N309" i="4"/>
  <c r="M309" i="4"/>
  <c r="L309" i="4"/>
  <c r="K309" i="4"/>
  <c r="J309" i="4"/>
  <c r="Q309" i="5" s="1"/>
  <c r="F309" i="4"/>
  <c r="E309" i="4"/>
  <c r="D309" i="4"/>
  <c r="C309" i="4"/>
  <c r="B309" i="4"/>
  <c r="A309" i="4"/>
  <c r="P308" i="4"/>
  <c r="O308" i="4"/>
  <c r="N308" i="4"/>
  <c r="M308" i="4"/>
  <c r="L308" i="4"/>
  <c r="K308" i="4"/>
  <c r="J308" i="4"/>
  <c r="Q308" i="5" s="1"/>
  <c r="F308" i="4"/>
  <c r="E308" i="4"/>
  <c r="D308" i="4"/>
  <c r="C308" i="4"/>
  <c r="B308" i="4"/>
  <c r="A308" i="4"/>
  <c r="P307" i="4"/>
  <c r="O307" i="4"/>
  <c r="N307" i="4"/>
  <c r="M307" i="4"/>
  <c r="L307" i="4"/>
  <c r="K307" i="4"/>
  <c r="J307" i="4"/>
  <c r="Q307" i="5" s="1"/>
  <c r="F307" i="4"/>
  <c r="E307" i="4"/>
  <c r="D307" i="4"/>
  <c r="C307" i="4"/>
  <c r="B307" i="4"/>
  <c r="A307" i="4"/>
  <c r="P306" i="4"/>
  <c r="O306" i="4"/>
  <c r="N306" i="4"/>
  <c r="M306" i="4"/>
  <c r="L306" i="4"/>
  <c r="K306" i="4"/>
  <c r="J306" i="4"/>
  <c r="Q306" i="5" s="1"/>
  <c r="F306" i="4"/>
  <c r="E306" i="4"/>
  <c r="D306" i="4"/>
  <c r="C306" i="4"/>
  <c r="B306" i="4"/>
  <c r="A306" i="4"/>
  <c r="P305" i="4"/>
  <c r="O305" i="4"/>
  <c r="N305" i="4"/>
  <c r="M305" i="4"/>
  <c r="L305" i="4"/>
  <c r="K305" i="4"/>
  <c r="J305" i="4"/>
  <c r="Q305" i="5" s="1"/>
  <c r="F305" i="4"/>
  <c r="E305" i="4"/>
  <c r="D305" i="4"/>
  <c r="C305" i="4"/>
  <c r="B305" i="4"/>
  <c r="A305" i="4"/>
  <c r="P304" i="4"/>
  <c r="O304" i="4"/>
  <c r="N304" i="4"/>
  <c r="M304" i="4"/>
  <c r="L304" i="4"/>
  <c r="K304" i="4"/>
  <c r="J304" i="4"/>
  <c r="Q304" i="5" s="1"/>
  <c r="F304" i="4"/>
  <c r="E304" i="4"/>
  <c r="D304" i="4"/>
  <c r="C304" i="4"/>
  <c r="B304" i="4"/>
  <c r="A304" i="4"/>
  <c r="P303" i="4"/>
  <c r="O303" i="4"/>
  <c r="N303" i="4"/>
  <c r="M303" i="4"/>
  <c r="L303" i="4"/>
  <c r="K303" i="4"/>
  <c r="J303" i="4"/>
  <c r="Q303" i="5" s="1"/>
  <c r="F303" i="4"/>
  <c r="E303" i="4"/>
  <c r="D303" i="4"/>
  <c r="C303" i="4"/>
  <c r="B303" i="4"/>
  <c r="A303" i="4"/>
  <c r="P302" i="4"/>
  <c r="O302" i="4"/>
  <c r="N302" i="4"/>
  <c r="M302" i="4"/>
  <c r="L302" i="4"/>
  <c r="K302" i="4"/>
  <c r="J302" i="4"/>
  <c r="Q302" i="5" s="1"/>
  <c r="F302" i="4"/>
  <c r="E302" i="4"/>
  <c r="D302" i="4"/>
  <c r="C302" i="4"/>
  <c r="B302" i="4"/>
  <c r="A302" i="4"/>
  <c r="P301" i="4"/>
  <c r="O301" i="4"/>
  <c r="N301" i="4"/>
  <c r="M301" i="4"/>
  <c r="L301" i="4"/>
  <c r="K301" i="4"/>
  <c r="J301" i="4"/>
  <c r="Q301" i="5" s="1"/>
  <c r="F301" i="4"/>
  <c r="E301" i="4"/>
  <c r="D301" i="4"/>
  <c r="C301" i="4"/>
  <c r="B301" i="4"/>
  <c r="A301" i="4"/>
  <c r="P300" i="4"/>
  <c r="O300" i="4"/>
  <c r="N300" i="4"/>
  <c r="M300" i="4"/>
  <c r="L300" i="4"/>
  <c r="K300" i="4"/>
  <c r="J300" i="4"/>
  <c r="Q300" i="5" s="1"/>
  <c r="F300" i="4"/>
  <c r="E300" i="4"/>
  <c r="D300" i="4"/>
  <c r="C300" i="4"/>
  <c r="B300" i="4"/>
  <c r="A300" i="4"/>
  <c r="P299" i="4"/>
  <c r="O299" i="4"/>
  <c r="N299" i="4"/>
  <c r="M299" i="4"/>
  <c r="L299" i="4"/>
  <c r="K299" i="4"/>
  <c r="J299" i="4"/>
  <c r="Q299" i="5" s="1"/>
  <c r="F299" i="4"/>
  <c r="E299" i="4"/>
  <c r="D299" i="4"/>
  <c r="C299" i="4"/>
  <c r="B299" i="4"/>
  <c r="A299" i="4"/>
  <c r="P298" i="4"/>
  <c r="O298" i="4"/>
  <c r="N298" i="4"/>
  <c r="M298" i="4"/>
  <c r="L298" i="4"/>
  <c r="K298" i="4"/>
  <c r="J298" i="4"/>
  <c r="Q298" i="5" s="1"/>
  <c r="F298" i="4"/>
  <c r="E298" i="4"/>
  <c r="D298" i="4"/>
  <c r="C298" i="4"/>
  <c r="B298" i="4"/>
  <c r="A298" i="4"/>
  <c r="P297" i="4"/>
  <c r="O297" i="4"/>
  <c r="N297" i="4"/>
  <c r="M297" i="4"/>
  <c r="L297" i="4"/>
  <c r="K297" i="4"/>
  <c r="J297" i="4"/>
  <c r="Q297" i="5" s="1"/>
  <c r="F297" i="4"/>
  <c r="E297" i="4"/>
  <c r="D297" i="4"/>
  <c r="C297" i="4"/>
  <c r="B297" i="4"/>
  <c r="A297" i="4"/>
  <c r="P296" i="4"/>
  <c r="O296" i="4"/>
  <c r="N296" i="4"/>
  <c r="M296" i="4"/>
  <c r="L296" i="4"/>
  <c r="K296" i="4"/>
  <c r="J296" i="4"/>
  <c r="Q296" i="5" s="1"/>
  <c r="F296" i="4"/>
  <c r="E296" i="4"/>
  <c r="D296" i="4"/>
  <c r="C296" i="4"/>
  <c r="B296" i="4"/>
  <c r="A296" i="4"/>
  <c r="P295" i="4"/>
  <c r="O295" i="4"/>
  <c r="N295" i="4"/>
  <c r="M295" i="4"/>
  <c r="L295" i="4"/>
  <c r="K295" i="4"/>
  <c r="J295" i="4"/>
  <c r="Q295" i="5" s="1"/>
  <c r="F295" i="4"/>
  <c r="E295" i="4"/>
  <c r="D295" i="4"/>
  <c r="C295" i="4"/>
  <c r="B295" i="4"/>
  <c r="A295" i="4"/>
  <c r="P294" i="4"/>
  <c r="O294" i="4"/>
  <c r="N294" i="4"/>
  <c r="M294" i="4"/>
  <c r="L294" i="4"/>
  <c r="K294" i="4"/>
  <c r="J294" i="4"/>
  <c r="Q294" i="5" s="1"/>
  <c r="F294" i="4"/>
  <c r="E294" i="4"/>
  <c r="D294" i="4"/>
  <c r="C294" i="4"/>
  <c r="B294" i="4"/>
  <c r="A294" i="4"/>
  <c r="P293" i="4"/>
  <c r="O293" i="4"/>
  <c r="N293" i="4"/>
  <c r="M293" i="4"/>
  <c r="L293" i="4"/>
  <c r="K293" i="4"/>
  <c r="J293" i="4"/>
  <c r="Q293" i="5" s="1"/>
  <c r="F293" i="4"/>
  <c r="E293" i="4"/>
  <c r="D293" i="4"/>
  <c r="C293" i="4"/>
  <c r="B293" i="4"/>
  <c r="A293" i="4"/>
  <c r="P292" i="4"/>
  <c r="O292" i="4"/>
  <c r="N292" i="4"/>
  <c r="M292" i="4"/>
  <c r="L292" i="4"/>
  <c r="K292" i="4"/>
  <c r="J292" i="4"/>
  <c r="Q292" i="5" s="1"/>
  <c r="F292" i="4"/>
  <c r="E292" i="4"/>
  <c r="D292" i="4"/>
  <c r="C292" i="4"/>
  <c r="B292" i="4"/>
  <c r="A292" i="4"/>
  <c r="P291" i="4"/>
  <c r="O291" i="4"/>
  <c r="N291" i="4"/>
  <c r="M291" i="4"/>
  <c r="L291" i="4"/>
  <c r="K291" i="4"/>
  <c r="J291" i="4"/>
  <c r="Q291" i="5" s="1"/>
  <c r="F291" i="4"/>
  <c r="E291" i="4"/>
  <c r="D291" i="4"/>
  <c r="C291" i="4"/>
  <c r="B291" i="4"/>
  <c r="A291" i="4"/>
  <c r="P290" i="4"/>
  <c r="O290" i="4"/>
  <c r="N290" i="4"/>
  <c r="M290" i="4"/>
  <c r="L290" i="4"/>
  <c r="K290" i="4"/>
  <c r="J290" i="4"/>
  <c r="Q290" i="5" s="1"/>
  <c r="F290" i="4"/>
  <c r="E290" i="4"/>
  <c r="D290" i="4"/>
  <c r="C290" i="4"/>
  <c r="B290" i="4"/>
  <c r="A290" i="4"/>
  <c r="P289" i="4"/>
  <c r="O289" i="4"/>
  <c r="N289" i="4"/>
  <c r="M289" i="4"/>
  <c r="L289" i="4"/>
  <c r="K289" i="4"/>
  <c r="J289" i="4"/>
  <c r="Q289" i="5" s="1"/>
  <c r="F289" i="4"/>
  <c r="E289" i="4"/>
  <c r="D289" i="4"/>
  <c r="C289" i="4"/>
  <c r="B289" i="4"/>
  <c r="A289" i="4"/>
  <c r="P288" i="4"/>
  <c r="O288" i="4"/>
  <c r="N288" i="4"/>
  <c r="M288" i="4"/>
  <c r="L288" i="4"/>
  <c r="K288" i="4"/>
  <c r="J288" i="4"/>
  <c r="Q288" i="5" s="1"/>
  <c r="F288" i="4"/>
  <c r="E288" i="4"/>
  <c r="D288" i="4"/>
  <c r="C288" i="4"/>
  <c r="B288" i="4"/>
  <c r="A288" i="4"/>
  <c r="P287" i="4"/>
  <c r="O287" i="4"/>
  <c r="N287" i="4"/>
  <c r="M287" i="4"/>
  <c r="L287" i="4"/>
  <c r="K287" i="4"/>
  <c r="J287" i="4"/>
  <c r="Q287" i="5" s="1"/>
  <c r="F287" i="4"/>
  <c r="E287" i="4"/>
  <c r="D287" i="4"/>
  <c r="C287" i="4"/>
  <c r="B287" i="4"/>
  <c r="A287" i="4"/>
  <c r="P286" i="4"/>
  <c r="O286" i="4"/>
  <c r="N286" i="4"/>
  <c r="M286" i="4"/>
  <c r="L286" i="4"/>
  <c r="K286" i="4"/>
  <c r="J286" i="4"/>
  <c r="Q286" i="5" s="1"/>
  <c r="F286" i="4"/>
  <c r="E286" i="4"/>
  <c r="D286" i="4"/>
  <c r="C286" i="4"/>
  <c r="B286" i="4"/>
  <c r="A286" i="4"/>
  <c r="P285" i="4"/>
  <c r="O285" i="4"/>
  <c r="N285" i="4"/>
  <c r="M285" i="4"/>
  <c r="L285" i="4"/>
  <c r="K285" i="4"/>
  <c r="J285" i="4"/>
  <c r="Q285" i="5" s="1"/>
  <c r="F285" i="4"/>
  <c r="E285" i="4"/>
  <c r="D285" i="4"/>
  <c r="C285" i="4"/>
  <c r="B285" i="4"/>
  <c r="A285" i="4"/>
  <c r="P284" i="4"/>
  <c r="O284" i="4"/>
  <c r="N284" i="4"/>
  <c r="M284" i="4"/>
  <c r="L284" i="4"/>
  <c r="K284" i="4"/>
  <c r="J284" i="4"/>
  <c r="Q284" i="5" s="1"/>
  <c r="F284" i="4"/>
  <c r="E284" i="4"/>
  <c r="D284" i="4"/>
  <c r="C284" i="4"/>
  <c r="B284" i="4"/>
  <c r="A284" i="4"/>
  <c r="P283" i="4"/>
  <c r="O283" i="4"/>
  <c r="N283" i="4"/>
  <c r="M283" i="4"/>
  <c r="L283" i="4"/>
  <c r="K283" i="4"/>
  <c r="J283" i="4"/>
  <c r="Q283" i="5" s="1"/>
  <c r="F283" i="4"/>
  <c r="E283" i="4"/>
  <c r="D283" i="4"/>
  <c r="C283" i="4"/>
  <c r="B283" i="4"/>
  <c r="A283" i="4"/>
  <c r="P282" i="4"/>
  <c r="O282" i="4"/>
  <c r="N282" i="4"/>
  <c r="M282" i="4"/>
  <c r="L282" i="4"/>
  <c r="K282" i="4"/>
  <c r="J282" i="4"/>
  <c r="Q282" i="5" s="1"/>
  <c r="F282" i="4"/>
  <c r="E282" i="4"/>
  <c r="D282" i="4"/>
  <c r="C282" i="4"/>
  <c r="B282" i="4"/>
  <c r="A282" i="4"/>
  <c r="P281" i="4"/>
  <c r="O281" i="4"/>
  <c r="N281" i="4"/>
  <c r="M281" i="4"/>
  <c r="L281" i="4"/>
  <c r="K281" i="4"/>
  <c r="J281" i="4"/>
  <c r="Q281" i="5" s="1"/>
  <c r="F281" i="4"/>
  <c r="E281" i="4"/>
  <c r="D281" i="4"/>
  <c r="C281" i="4"/>
  <c r="B281" i="4"/>
  <c r="A281" i="4"/>
  <c r="P280" i="4"/>
  <c r="O280" i="4"/>
  <c r="N280" i="4"/>
  <c r="M280" i="4"/>
  <c r="L280" i="4"/>
  <c r="K280" i="4"/>
  <c r="J280" i="4"/>
  <c r="Q280" i="5" s="1"/>
  <c r="F280" i="4"/>
  <c r="E280" i="4"/>
  <c r="D280" i="4"/>
  <c r="C280" i="4"/>
  <c r="B280" i="4"/>
  <c r="A280" i="4"/>
  <c r="P279" i="4"/>
  <c r="O279" i="4"/>
  <c r="N279" i="4"/>
  <c r="M279" i="4"/>
  <c r="L279" i="4"/>
  <c r="K279" i="4"/>
  <c r="J279" i="4"/>
  <c r="Q279" i="5" s="1"/>
  <c r="F279" i="4"/>
  <c r="E279" i="4"/>
  <c r="D279" i="4"/>
  <c r="C279" i="4"/>
  <c r="B279" i="4"/>
  <c r="A279" i="4"/>
  <c r="P278" i="4"/>
  <c r="O278" i="4"/>
  <c r="N278" i="4"/>
  <c r="M278" i="4"/>
  <c r="L278" i="4"/>
  <c r="K278" i="4"/>
  <c r="J278" i="4"/>
  <c r="Q278" i="5" s="1"/>
  <c r="F278" i="4"/>
  <c r="E278" i="4"/>
  <c r="D278" i="4"/>
  <c r="C278" i="4"/>
  <c r="B278" i="4"/>
  <c r="A278" i="4"/>
  <c r="P277" i="4"/>
  <c r="O277" i="4"/>
  <c r="N277" i="4"/>
  <c r="M277" i="4"/>
  <c r="L277" i="4"/>
  <c r="K277" i="4"/>
  <c r="J277" i="4"/>
  <c r="Q277" i="5" s="1"/>
  <c r="F277" i="4"/>
  <c r="E277" i="4"/>
  <c r="D277" i="4"/>
  <c r="C277" i="4"/>
  <c r="B277" i="4"/>
  <c r="A277" i="4"/>
  <c r="P276" i="4"/>
  <c r="O276" i="4"/>
  <c r="N276" i="4"/>
  <c r="M276" i="4"/>
  <c r="L276" i="4"/>
  <c r="K276" i="4"/>
  <c r="J276" i="4"/>
  <c r="Q276" i="5" s="1"/>
  <c r="F276" i="4"/>
  <c r="E276" i="4"/>
  <c r="D276" i="4"/>
  <c r="C276" i="4"/>
  <c r="B276" i="4"/>
  <c r="A276" i="4"/>
  <c r="P275" i="4"/>
  <c r="O275" i="4"/>
  <c r="N275" i="4"/>
  <c r="M275" i="4"/>
  <c r="L275" i="4"/>
  <c r="K275" i="4"/>
  <c r="J275" i="4"/>
  <c r="Q275" i="5" s="1"/>
  <c r="F275" i="4"/>
  <c r="E275" i="4"/>
  <c r="D275" i="4"/>
  <c r="C275" i="4"/>
  <c r="B275" i="4"/>
  <c r="A275" i="4"/>
  <c r="P274" i="4"/>
  <c r="O274" i="4"/>
  <c r="N274" i="4"/>
  <c r="M274" i="4"/>
  <c r="L274" i="4"/>
  <c r="K274" i="4"/>
  <c r="J274" i="4"/>
  <c r="Q274" i="5" s="1"/>
  <c r="F274" i="4"/>
  <c r="E274" i="4"/>
  <c r="D274" i="4"/>
  <c r="C274" i="4"/>
  <c r="B274" i="4"/>
  <c r="A274" i="4"/>
  <c r="P273" i="4"/>
  <c r="O273" i="4"/>
  <c r="N273" i="4"/>
  <c r="M273" i="4"/>
  <c r="L273" i="4"/>
  <c r="K273" i="4"/>
  <c r="J273" i="4"/>
  <c r="Q273" i="5" s="1"/>
  <c r="F273" i="4"/>
  <c r="E273" i="4"/>
  <c r="D273" i="4"/>
  <c r="C273" i="4"/>
  <c r="B273" i="4"/>
  <c r="A273" i="4"/>
  <c r="P272" i="4"/>
  <c r="O272" i="4"/>
  <c r="N272" i="4"/>
  <c r="M272" i="4"/>
  <c r="L272" i="4"/>
  <c r="K272" i="4"/>
  <c r="J272" i="4"/>
  <c r="Q272" i="5" s="1"/>
  <c r="F272" i="4"/>
  <c r="E272" i="4"/>
  <c r="D272" i="4"/>
  <c r="C272" i="4"/>
  <c r="B272" i="4"/>
  <c r="A272" i="4"/>
  <c r="P271" i="4"/>
  <c r="O271" i="4"/>
  <c r="N271" i="4"/>
  <c r="M271" i="4"/>
  <c r="L271" i="4"/>
  <c r="K271" i="4"/>
  <c r="J271" i="4"/>
  <c r="Q271" i="5" s="1"/>
  <c r="F271" i="4"/>
  <c r="E271" i="4"/>
  <c r="D271" i="4"/>
  <c r="C271" i="4"/>
  <c r="B271" i="4"/>
  <c r="A271" i="4"/>
  <c r="P270" i="4"/>
  <c r="O270" i="4"/>
  <c r="N270" i="4"/>
  <c r="M270" i="4"/>
  <c r="L270" i="4"/>
  <c r="K270" i="4"/>
  <c r="J270" i="4"/>
  <c r="Q270" i="5" s="1"/>
  <c r="F270" i="4"/>
  <c r="E270" i="4"/>
  <c r="D270" i="4"/>
  <c r="C270" i="4"/>
  <c r="B270" i="4"/>
  <c r="A270" i="4"/>
  <c r="P269" i="4"/>
  <c r="O269" i="4"/>
  <c r="N269" i="4"/>
  <c r="M269" i="4"/>
  <c r="L269" i="4"/>
  <c r="K269" i="4"/>
  <c r="J269" i="4"/>
  <c r="Q269" i="5" s="1"/>
  <c r="F269" i="4"/>
  <c r="E269" i="4"/>
  <c r="D269" i="4"/>
  <c r="C269" i="4"/>
  <c r="B269" i="4"/>
  <c r="A269" i="4"/>
  <c r="P268" i="4"/>
  <c r="O268" i="4"/>
  <c r="N268" i="4"/>
  <c r="M268" i="4"/>
  <c r="L268" i="4"/>
  <c r="K268" i="4"/>
  <c r="J268" i="4"/>
  <c r="Q268" i="5" s="1"/>
  <c r="F268" i="4"/>
  <c r="E268" i="4"/>
  <c r="D268" i="4"/>
  <c r="C268" i="4"/>
  <c r="B268" i="4"/>
  <c r="A268" i="4"/>
  <c r="P267" i="4"/>
  <c r="O267" i="4"/>
  <c r="N267" i="4"/>
  <c r="M267" i="4"/>
  <c r="L267" i="4"/>
  <c r="K267" i="4"/>
  <c r="J267" i="4"/>
  <c r="Q267" i="5" s="1"/>
  <c r="F267" i="4"/>
  <c r="E267" i="4"/>
  <c r="D267" i="4"/>
  <c r="C267" i="4"/>
  <c r="B267" i="4"/>
  <c r="A267" i="4"/>
  <c r="P266" i="4"/>
  <c r="O266" i="4"/>
  <c r="N266" i="4"/>
  <c r="M266" i="4"/>
  <c r="L266" i="4"/>
  <c r="K266" i="4"/>
  <c r="J266" i="4"/>
  <c r="Q266" i="5" s="1"/>
  <c r="F266" i="4"/>
  <c r="E266" i="4"/>
  <c r="D266" i="4"/>
  <c r="C266" i="4"/>
  <c r="B266" i="4"/>
  <c r="A266" i="4"/>
  <c r="P265" i="4"/>
  <c r="O265" i="4"/>
  <c r="N265" i="4"/>
  <c r="M265" i="4"/>
  <c r="L265" i="4"/>
  <c r="K265" i="4"/>
  <c r="J265" i="4"/>
  <c r="Q265" i="5" s="1"/>
  <c r="F265" i="4"/>
  <c r="E265" i="4"/>
  <c r="D265" i="4"/>
  <c r="C265" i="4"/>
  <c r="B265" i="4"/>
  <c r="A265" i="4"/>
  <c r="P264" i="4"/>
  <c r="O264" i="4"/>
  <c r="N264" i="4"/>
  <c r="M264" i="4"/>
  <c r="L264" i="4"/>
  <c r="K264" i="4"/>
  <c r="J264" i="4"/>
  <c r="Q264" i="5" s="1"/>
  <c r="F264" i="4"/>
  <c r="E264" i="4"/>
  <c r="D264" i="4"/>
  <c r="C264" i="4"/>
  <c r="B264" i="4"/>
  <c r="A264" i="4"/>
  <c r="P263" i="4"/>
  <c r="O263" i="4"/>
  <c r="N263" i="4"/>
  <c r="M263" i="4"/>
  <c r="L263" i="4"/>
  <c r="K263" i="4"/>
  <c r="J263" i="4"/>
  <c r="Q263" i="5" s="1"/>
  <c r="F263" i="4"/>
  <c r="E263" i="4"/>
  <c r="D263" i="4"/>
  <c r="C263" i="4"/>
  <c r="B263" i="4"/>
  <c r="A263" i="4"/>
  <c r="P262" i="4"/>
  <c r="O262" i="4"/>
  <c r="N262" i="4"/>
  <c r="M262" i="4"/>
  <c r="L262" i="4"/>
  <c r="K262" i="4"/>
  <c r="J262" i="4"/>
  <c r="Q262" i="5" s="1"/>
  <c r="F262" i="4"/>
  <c r="E262" i="4"/>
  <c r="D262" i="4"/>
  <c r="C262" i="4"/>
  <c r="B262" i="4"/>
  <c r="A262" i="4"/>
  <c r="P261" i="4"/>
  <c r="O261" i="4"/>
  <c r="N261" i="4"/>
  <c r="M261" i="4"/>
  <c r="L261" i="4"/>
  <c r="K261" i="4"/>
  <c r="J261" i="4"/>
  <c r="Q261" i="5" s="1"/>
  <c r="F261" i="4"/>
  <c r="E261" i="4"/>
  <c r="D261" i="4"/>
  <c r="C261" i="4"/>
  <c r="B261" i="4"/>
  <c r="A261" i="4"/>
  <c r="P260" i="4"/>
  <c r="O260" i="4"/>
  <c r="N260" i="4"/>
  <c r="M260" i="4"/>
  <c r="L260" i="4"/>
  <c r="K260" i="4"/>
  <c r="J260" i="4"/>
  <c r="Q260" i="5" s="1"/>
  <c r="F260" i="4"/>
  <c r="E260" i="4"/>
  <c r="D260" i="4"/>
  <c r="C260" i="4"/>
  <c r="B260" i="4"/>
  <c r="A260" i="4"/>
  <c r="P259" i="4"/>
  <c r="O259" i="4"/>
  <c r="N259" i="4"/>
  <c r="M259" i="4"/>
  <c r="L259" i="4"/>
  <c r="K259" i="4"/>
  <c r="J259" i="4"/>
  <c r="Q259" i="5" s="1"/>
  <c r="F259" i="4"/>
  <c r="E259" i="4"/>
  <c r="D259" i="4"/>
  <c r="C259" i="4"/>
  <c r="B259" i="4"/>
  <c r="A259" i="4"/>
  <c r="P258" i="4"/>
  <c r="O258" i="4"/>
  <c r="N258" i="4"/>
  <c r="M258" i="4"/>
  <c r="L258" i="4"/>
  <c r="K258" i="4"/>
  <c r="J258" i="4"/>
  <c r="Q258" i="5" s="1"/>
  <c r="F258" i="4"/>
  <c r="E258" i="4"/>
  <c r="D258" i="4"/>
  <c r="C258" i="4"/>
  <c r="B258" i="4"/>
  <c r="A258" i="4"/>
  <c r="P257" i="4"/>
  <c r="O257" i="4"/>
  <c r="N257" i="4"/>
  <c r="M257" i="4"/>
  <c r="L257" i="4"/>
  <c r="K257" i="4"/>
  <c r="J257" i="4"/>
  <c r="Q257" i="5" s="1"/>
  <c r="F257" i="4"/>
  <c r="E257" i="4"/>
  <c r="D257" i="4"/>
  <c r="C257" i="4"/>
  <c r="B257" i="4"/>
  <c r="A257" i="4"/>
  <c r="P256" i="4"/>
  <c r="O256" i="4"/>
  <c r="N256" i="4"/>
  <c r="M256" i="4"/>
  <c r="L256" i="4"/>
  <c r="K256" i="4"/>
  <c r="J256" i="4"/>
  <c r="Q256" i="5" s="1"/>
  <c r="F256" i="4"/>
  <c r="E256" i="4"/>
  <c r="D256" i="4"/>
  <c r="C256" i="4"/>
  <c r="B256" i="4"/>
  <c r="A256" i="4"/>
  <c r="P255" i="4"/>
  <c r="O255" i="4"/>
  <c r="N255" i="4"/>
  <c r="M255" i="4"/>
  <c r="L255" i="4"/>
  <c r="K255" i="4"/>
  <c r="J255" i="4"/>
  <c r="Q255" i="5" s="1"/>
  <c r="F255" i="4"/>
  <c r="E255" i="4"/>
  <c r="D255" i="4"/>
  <c r="C255" i="4"/>
  <c r="B255" i="4"/>
  <c r="A255" i="4"/>
  <c r="P254" i="4"/>
  <c r="O254" i="4"/>
  <c r="N254" i="4"/>
  <c r="M254" i="4"/>
  <c r="L254" i="4"/>
  <c r="K254" i="4"/>
  <c r="J254" i="4"/>
  <c r="Q254" i="5" s="1"/>
  <c r="F254" i="4"/>
  <c r="E254" i="4"/>
  <c r="D254" i="4"/>
  <c r="C254" i="4"/>
  <c r="B254" i="4"/>
  <c r="A254" i="4"/>
  <c r="P253" i="4"/>
  <c r="O253" i="4"/>
  <c r="N253" i="4"/>
  <c r="M253" i="4"/>
  <c r="L253" i="4"/>
  <c r="K253" i="4"/>
  <c r="J253" i="4"/>
  <c r="Q253" i="5" s="1"/>
  <c r="F253" i="4"/>
  <c r="E253" i="4"/>
  <c r="D253" i="4"/>
  <c r="C253" i="4"/>
  <c r="B253" i="4"/>
  <c r="A253" i="4"/>
  <c r="P252" i="4"/>
  <c r="O252" i="4"/>
  <c r="N252" i="4"/>
  <c r="M252" i="4"/>
  <c r="L252" i="4"/>
  <c r="K252" i="4"/>
  <c r="J252" i="4"/>
  <c r="Q252" i="5" s="1"/>
  <c r="F252" i="4"/>
  <c r="E252" i="4"/>
  <c r="D252" i="4"/>
  <c r="C252" i="4"/>
  <c r="B252" i="4"/>
  <c r="A252" i="4"/>
  <c r="P251" i="4"/>
  <c r="O251" i="4"/>
  <c r="N251" i="4"/>
  <c r="M251" i="4"/>
  <c r="L251" i="4"/>
  <c r="K251" i="4"/>
  <c r="J251" i="4"/>
  <c r="Q251" i="5" s="1"/>
  <c r="F251" i="4"/>
  <c r="E251" i="4"/>
  <c r="D251" i="4"/>
  <c r="C251" i="4"/>
  <c r="B251" i="4"/>
  <c r="A251" i="4"/>
  <c r="P250" i="4"/>
  <c r="O250" i="4"/>
  <c r="N250" i="4"/>
  <c r="M250" i="4"/>
  <c r="L250" i="4"/>
  <c r="K250" i="4"/>
  <c r="J250" i="4"/>
  <c r="Q250" i="5" s="1"/>
  <c r="F250" i="4"/>
  <c r="E250" i="4"/>
  <c r="D250" i="4"/>
  <c r="C250" i="4"/>
  <c r="B250" i="4"/>
  <c r="A250" i="4"/>
  <c r="P249" i="4"/>
  <c r="O249" i="4"/>
  <c r="N249" i="4"/>
  <c r="M249" i="4"/>
  <c r="L249" i="4"/>
  <c r="K249" i="4"/>
  <c r="J249" i="4"/>
  <c r="Q249" i="5" s="1"/>
  <c r="F249" i="4"/>
  <c r="E249" i="4"/>
  <c r="D249" i="4"/>
  <c r="C249" i="4"/>
  <c r="B249" i="4"/>
  <c r="A249" i="4"/>
  <c r="P248" i="4"/>
  <c r="O248" i="4"/>
  <c r="N248" i="4"/>
  <c r="M248" i="4"/>
  <c r="L248" i="4"/>
  <c r="K248" i="4"/>
  <c r="J248" i="4"/>
  <c r="Q248" i="5" s="1"/>
  <c r="F248" i="4"/>
  <c r="E248" i="4"/>
  <c r="D248" i="4"/>
  <c r="C248" i="4"/>
  <c r="B248" i="4"/>
  <c r="A248" i="4"/>
  <c r="P247" i="4"/>
  <c r="O247" i="4"/>
  <c r="N247" i="4"/>
  <c r="M247" i="4"/>
  <c r="L247" i="4"/>
  <c r="K247" i="4"/>
  <c r="J247" i="4"/>
  <c r="Q247" i="5" s="1"/>
  <c r="F247" i="4"/>
  <c r="E247" i="4"/>
  <c r="D247" i="4"/>
  <c r="C247" i="4"/>
  <c r="B247" i="4"/>
  <c r="A247" i="4"/>
  <c r="P246" i="4"/>
  <c r="O246" i="4"/>
  <c r="N246" i="4"/>
  <c r="M246" i="4"/>
  <c r="L246" i="4"/>
  <c r="K246" i="4"/>
  <c r="J246" i="4"/>
  <c r="Q246" i="5" s="1"/>
  <c r="F246" i="4"/>
  <c r="E246" i="4"/>
  <c r="D246" i="4"/>
  <c r="C246" i="4"/>
  <c r="B246" i="4"/>
  <c r="A246" i="4"/>
  <c r="P245" i="4"/>
  <c r="O245" i="4"/>
  <c r="N245" i="4"/>
  <c r="M245" i="4"/>
  <c r="L245" i="4"/>
  <c r="K245" i="4"/>
  <c r="J245" i="4"/>
  <c r="Q245" i="5" s="1"/>
  <c r="F245" i="4"/>
  <c r="E245" i="4"/>
  <c r="D245" i="4"/>
  <c r="C245" i="4"/>
  <c r="B245" i="4"/>
  <c r="A245" i="4"/>
  <c r="P244" i="4"/>
  <c r="O244" i="4"/>
  <c r="N244" i="4"/>
  <c r="M244" i="4"/>
  <c r="L244" i="4"/>
  <c r="K244" i="4"/>
  <c r="J244" i="4"/>
  <c r="Q244" i="5" s="1"/>
  <c r="F244" i="4"/>
  <c r="E244" i="4"/>
  <c r="D244" i="4"/>
  <c r="C244" i="4"/>
  <c r="B244" i="4"/>
  <c r="A244" i="4"/>
  <c r="P243" i="4"/>
  <c r="O243" i="4"/>
  <c r="N243" i="4"/>
  <c r="M243" i="4"/>
  <c r="L243" i="4"/>
  <c r="K243" i="4"/>
  <c r="J243" i="4"/>
  <c r="Q243" i="5" s="1"/>
  <c r="F243" i="4"/>
  <c r="E243" i="4"/>
  <c r="D243" i="4"/>
  <c r="C243" i="4"/>
  <c r="B243" i="4"/>
  <c r="A243" i="4"/>
  <c r="P242" i="4"/>
  <c r="O242" i="4"/>
  <c r="N242" i="4"/>
  <c r="M242" i="4"/>
  <c r="L242" i="4"/>
  <c r="K242" i="4"/>
  <c r="J242" i="4"/>
  <c r="Q242" i="5" s="1"/>
  <c r="F242" i="4"/>
  <c r="E242" i="4"/>
  <c r="D242" i="4"/>
  <c r="C242" i="4"/>
  <c r="B242" i="4"/>
  <c r="A242" i="4"/>
  <c r="P241" i="4"/>
  <c r="O241" i="4"/>
  <c r="N241" i="4"/>
  <c r="M241" i="4"/>
  <c r="L241" i="4"/>
  <c r="K241" i="4"/>
  <c r="J241" i="4"/>
  <c r="Q241" i="5" s="1"/>
  <c r="F241" i="4"/>
  <c r="E241" i="4"/>
  <c r="D241" i="4"/>
  <c r="C241" i="4"/>
  <c r="B241" i="4"/>
  <c r="A241" i="4"/>
  <c r="P240" i="4"/>
  <c r="O240" i="4"/>
  <c r="N240" i="4"/>
  <c r="M240" i="4"/>
  <c r="L240" i="4"/>
  <c r="K240" i="4"/>
  <c r="J240" i="4"/>
  <c r="Q240" i="5" s="1"/>
  <c r="F240" i="4"/>
  <c r="E240" i="4"/>
  <c r="D240" i="4"/>
  <c r="C240" i="4"/>
  <c r="B240" i="4"/>
  <c r="A240" i="4"/>
  <c r="P239" i="4"/>
  <c r="O239" i="4"/>
  <c r="N239" i="4"/>
  <c r="M239" i="4"/>
  <c r="L239" i="4"/>
  <c r="K239" i="4"/>
  <c r="J239" i="4"/>
  <c r="Q239" i="5" s="1"/>
  <c r="F239" i="4"/>
  <c r="E239" i="4"/>
  <c r="D239" i="4"/>
  <c r="C239" i="4"/>
  <c r="B239" i="4"/>
  <c r="A239" i="4"/>
  <c r="P238" i="4"/>
  <c r="O238" i="4"/>
  <c r="N238" i="4"/>
  <c r="M238" i="4"/>
  <c r="L238" i="4"/>
  <c r="K238" i="4"/>
  <c r="J238" i="4"/>
  <c r="Q238" i="5" s="1"/>
  <c r="F238" i="4"/>
  <c r="E238" i="4"/>
  <c r="D238" i="4"/>
  <c r="C238" i="4"/>
  <c r="B238" i="4"/>
  <c r="A238" i="4"/>
  <c r="P237" i="4"/>
  <c r="O237" i="4"/>
  <c r="N237" i="4"/>
  <c r="M237" i="4"/>
  <c r="L237" i="4"/>
  <c r="K237" i="4"/>
  <c r="J237" i="4"/>
  <c r="Q237" i="5" s="1"/>
  <c r="F237" i="4"/>
  <c r="E237" i="4"/>
  <c r="D237" i="4"/>
  <c r="C237" i="4"/>
  <c r="B237" i="4"/>
  <c r="A237" i="4"/>
  <c r="P236" i="4"/>
  <c r="O236" i="4"/>
  <c r="N236" i="4"/>
  <c r="M236" i="4"/>
  <c r="L236" i="4"/>
  <c r="K236" i="4"/>
  <c r="J236" i="4"/>
  <c r="Q236" i="5" s="1"/>
  <c r="F236" i="4"/>
  <c r="E236" i="4"/>
  <c r="D236" i="4"/>
  <c r="C236" i="4"/>
  <c r="B236" i="4"/>
  <c r="A236" i="4"/>
  <c r="P235" i="4"/>
  <c r="O235" i="4"/>
  <c r="N235" i="4"/>
  <c r="M235" i="4"/>
  <c r="L235" i="4"/>
  <c r="K235" i="4"/>
  <c r="J235" i="4"/>
  <c r="Q235" i="5" s="1"/>
  <c r="F235" i="4"/>
  <c r="E235" i="4"/>
  <c r="D235" i="4"/>
  <c r="C235" i="4"/>
  <c r="B235" i="4"/>
  <c r="A235" i="4"/>
  <c r="P234" i="4"/>
  <c r="O234" i="4"/>
  <c r="N234" i="4"/>
  <c r="M234" i="4"/>
  <c r="L234" i="4"/>
  <c r="K234" i="4"/>
  <c r="J234" i="4"/>
  <c r="Q234" i="5" s="1"/>
  <c r="F234" i="4"/>
  <c r="E234" i="4"/>
  <c r="D234" i="4"/>
  <c r="C234" i="4"/>
  <c r="B234" i="4"/>
  <c r="A234" i="4"/>
  <c r="P233" i="4"/>
  <c r="O233" i="4"/>
  <c r="N233" i="4"/>
  <c r="M233" i="4"/>
  <c r="L233" i="4"/>
  <c r="K233" i="4"/>
  <c r="J233" i="4"/>
  <c r="Q233" i="5" s="1"/>
  <c r="F233" i="4"/>
  <c r="E233" i="4"/>
  <c r="D233" i="4"/>
  <c r="C233" i="4"/>
  <c r="B233" i="4"/>
  <c r="A233" i="4"/>
  <c r="P232" i="4"/>
  <c r="O232" i="4"/>
  <c r="N232" i="4"/>
  <c r="M232" i="4"/>
  <c r="L232" i="4"/>
  <c r="K232" i="4"/>
  <c r="J232" i="4"/>
  <c r="Q232" i="5" s="1"/>
  <c r="F232" i="4"/>
  <c r="E232" i="4"/>
  <c r="D232" i="4"/>
  <c r="C232" i="4"/>
  <c r="B232" i="4"/>
  <c r="A232" i="4"/>
  <c r="P231" i="4"/>
  <c r="O231" i="4"/>
  <c r="N231" i="4"/>
  <c r="M231" i="4"/>
  <c r="L231" i="4"/>
  <c r="K231" i="4"/>
  <c r="J231" i="4"/>
  <c r="Q231" i="5" s="1"/>
  <c r="F231" i="4"/>
  <c r="E231" i="4"/>
  <c r="D231" i="4"/>
  <c r="C231" i="4"/>
  <c r="B231" i="4"/>
  <c r="A231" i="4"/>
  <c r="P230" i="4"/>
  <c r="O230" i="4"/>
  <c r="N230" i="4"/>
  <c r="M230" i="4"/>
  <c r="L230" i="4"/>
  <c r="K230" i="4"/>
  <c r="J230" i="4"/>
  <c r="Q230" i="5" s="1"/>
  <c r="F230" i="4"/>
  <c r="E230" i="4"/>
  <c r="D230" i="4"/>
  <c r="C230" i="4"/>
  <c r="B230" i="4"/>
  <c r="A230" i="4"/>
  <c r="P229" i="4"/>
  <c r="O229" i="4"/>
  <c r="N229" i="4"/>
  <c r="M229" i="4"/>
  <c r="L229" i="4"/>
  <c r="K229" i="4"/>
  <c r="J229" i="4"/>
  <c r="Q229" i="5" s="1"/>
  <c r="F229" i="4"/>
  <c r="E229" i="4"/>
  <c r="D229" i="4"/>
  <c r="C229" i="4"/>
  <c r="B229" i="4"/>
  <c r="A229" i="4"/>
  <c r="P228" i="4"/>
  <c r="O228" i="4"/>
  <c r="N228" i="4"/>
  <c r="M228" i="4"/>
  <c r="L228" i="4"/>
  <c r="K228" i="4"/>
  <c r="J228" i="4"/>
  <c r="Q228" i="5" s="1"/>
  <c r="F228" i="4"/>
  <c r="E228" i="4"/>
  <c r="D228" i="4"/>
  <c r="C228" i="4"/>
  <c r="B228" i="4"/>
  <c r="A228" i="4"/>
  <c r="P227" i="4"/>
  <c r="O227" i="4"/>
  <c r="N227" i="4"/>
  <c r="M227" i="4"/>
  <c r="L227" i="4"/>
  <c r="K227" i="4"/>
  <c r="J227" i="4"/>
  <c r="Q227" i="5" s="1"/>
  <c r="F227" i="4"/>
  <c r="E227" i="4"/>
  <c r="D227" i="4"/>
  <c r="C227" i="4"/>
  <c r="B227" i="4"/>
  <c r="A227" i="4"/>
  <c r="P226" i="4"/>
  <c r="O226" i="4"/>
  <c r="N226" i="4"/>
  <c r="M226" i="4"/>
  <c r="L226" i="4"/>
  <c r="K226" i="4"/>
  <c r="J226" i="4"/>
  <c r="Q226" i="5" s="1"/>
  <c r="F226" i="4"/>
  <c r="E226" i="4"/>
  <c r="D226" i="4"/>
  <c r="C226" i="4"/>
  <c r="B226" i="4"/>
  <c r="A226" i="4"/>
  <c r="P225" i="4"/>
  <c r="O225" i="4"/>
  <c r="N225" i="4"/>
  <c r="M225" i="4"/>
  <c r="L225" i="4"/>
  <c r="K225" i="4"/>
  <c r="J225" i="4"/>
  <c r="Q225" i="5" s="1"/>
  <c r="F225" i="4"/>
  <c r="E225" i="4"/>
  <c r="D225" i="4"/>
  <c r="C225" i="4"/>
  <c r="B225" i="4"/>
  <c r="A225" i="4"/>
  <c r="P224" i="4"/>
  <c r="O224" i="4"/>
  <c r="N224" i="4"/>
  <c r="M224" i="4"/>
  <c r="L224" i="4"/>
  <c r="K224" i="4"/>
  <c r="J224" i="4"/>
  <c r="Q224" i="5" s="1"/>
  <c r="F224" i="4"/>
  <c r="E224" i="4"/>
  <c r="D224" i="4"/>
  <c r="C224" i="4"/>
  <c r="B224" i="4"/>
  <c r="A224" i="4"/>
  <c r="P223" i="4"/>
  <c r="O223" i="4"/>
  <c r="N223" i="4"/>
  <c r="M223" i="4"/>
  <c r="L223" i="4"/>
  <c r="K223" i="4"/>
  <c r="J223" i="4"/>
  <c r="Q223" i="5" s="1"/>
  <c r="F223" i="4"/>
  <c r="E223" i="4"/>
  <c r="D223" i="4"/>
  <c r="C223" i="4"/>
  <c r="B223" i="4"/>
  <c r="A223" i="4"/>
  <c r="P222" i="4"/>
  <c r="O222" i="4"/>
  <c r="N222" i="4"/>
  <c r="M222" i="4"/>
  <c r="L222" i="4"/>
  <c r="K222" i="4"/>
  <c r="J222" i="4"/>
  <c r="Q222" i="5" s="1"/>
  <c r="F222" i="4"/>
  <c r="E222" i="4"/>
  <c r="D222" i="4"/>
  <c r="C222" i="4"/>
  <c r="B222" i="4"/>
  <c r="A222" i="4"/>
  <c r="P221" i="4"/>
  <c r="O221" i="4"/>
  <c r="N221" i="4"/>
  <c r="M221" i="4"/>
  <c r="L221" i="4"/>
  <c r="K221" i="4"/>
  <c r="J221" i="4"/>
  <c r="Q221" i="5" s="1"/>
  <c r="F221" i="4"/>
  <c r="E221" i="4"/>
  <c r="D221" i="4"/>
  <c r="C221" i="4"/>
  <c r="B221" i="4"/>
  <c r="A221" i="4"/>
  <c r="P220" i="4"/>
  <c r="O220" i="4"/>
  <c r="N220" i="4"/>
  <c r="M220" i="4"/>
  <c r="L220" i="4"/>
  <c r="K220" i="4"/>
  <c r="J220" i="4"/>
  <c r="Q220" i="5" s="1"/>
  <c r="F220" i="4"/>
  <c r="E220" i="4"/>
  <c r="D220" i="4"/>
  <c r="C220" i="4"/>
  <c r="B220" i="4"/>
  <c r="A220" i="4"/>
  <c r="P219" i="4"/>
  <c r="O219" i="4"/>
  <c r="N219" i="4"/>
  <c r="M219" i="4"/>
  <c r="L219" i="4"/>
  <c r="K219" i="4"/>
  <c r="J219" i="4"/>
  <c r="Q219" i="5" s="1"/>
  <c r="F219" i="4"/>
  <c r="E219" i="4"/>
  <c r="D219" i="4"/>
  <c r="C219" i="4"/>
  <c r="B219" i="4"/>
  <c r="A219" i="4"/>
  <c r="P218" i="4"/>
  <c r="O218" i="4"/>
  <c r="N218" i="4"/>
  <c r="M218" i="4"/>
  <c r="L218" i="4"/>
  <c r="K218" i="4"/>
  <c r="J218" i="4"/>
  <c r="Q218" i="5" s="1"/>
  <c r="F218" i="4"/>
  <c r="E218" i="4"/>
  <c r="D218" i="4"/>
  <c r="C218" i="4"/>
  <c r="B218" i="4"/>
  <c r="A218" i="4"/>
  <c r="P217" i="4"/>
  <c r="O217" i="4"/>
  <c r="N217" i="4"/>
  <c r="M217" i="4"/>
  <c r="L217" i="4"/>
  <c r="K217" i="4"/>
  <c r="J217" i="4"/>
  <c r="Q217" i="5" s="1"/>
  <c r="F217" i="4"/>
  <c r="E217" i="4"/>
  <c r="D217" i="4"/>
  <c r="C217" i="4"/>
  <c r="B217" i="4"/>
  <c r="A217" i="4"/>
  <c r="P216" i="4"/>
  <c r="O216" i="4"/>
  <c r="N216" i="4"/>
  <c r="M216" i="4"/>
  <c r="L216" i="4"/>
  <c r="K216" i="4"/>
  <c r="J216" i="4"/>
  <c r="Q216" i="5" s="1"/>
  <c r="F216" i="4"/>
  <c r="E216" i="4"/>
  <c r="D216" i="4"/>
  <c r="C216" i="4"/>
  <c r="B216" i="4"/>
  <c r="A216" i="4"/>
  <c r="P215" i="4"/>
  <c r="O215" i="4"/>
  <c r="N215" i="4"/>
  <c r="M215" i="4"/>
  <c r="L215" i="4"/>
  <c r="K215" i="4"/>
  <c r="J215" i="4"/>
  <c r="Q215" i="5" s="1"/>
  <c r="F215" i="4"/>
  <c r="E215" i="4"/>
  <c r="D215" i="4"/>
  <c r="C215" i="4"/>
  <c r="B215" i="4"/>
  <c r="A215" i="4"/>
  <c r="P214" i="4"/>
  <c r="O214" i="4"/>
  <c r="N214" i="4"/>
  <c r="M214" i="4"/>
  <c r="L214" i="4"/>
  <c r="K214" i="4"/>
  <c r="J214" i="4"/>
  <c r="Q214" i="5" s="1"/>
  <c r="F214" i="4"/>
  <c r="E214" i="4"/>
  <c r="D214" i="4"/>
  <c r="C214" i="4"/>
  <c r="B214" i="4"/>
  <c r="A214" i="4"/>
  <c r="P213" i="4"/>
  <c r="O213" i="4"/>
  <c r="N213" i="4"/>
  <c r="M213" i="4"/>
  <c r="L213" i="4"/>
  <c r="K213" i="4"/>
  <c r="J213" i="4"/>
  <c r="Q213" i="5" s="1"/>
  <c r="F213" i="4"/>
  <c r="E213" i="4"/>
  <c r="D213" i="4"/>
  <c r="C213" i="4"/>
  <c r="B213" i="4"/>
  <c r="A213" i="4"/>
  <c r="P212" i="4"/>
  <c r="O212" i="4"/>
  <c r="N212" i="4"/>
  <c r="M212" i="4"/>
  <c r="L212" i="4"/>
  <c r="K212" i="4"/>
  <c r="J212" i="4"/>
  <c r="Q212" i="5" s="1"/>
  <c r="F212" i="4"/>
  <c r="E212" i="4"/>
  <c r="D212" i="4"/>
  <c r="C212" i="4"/>
  <c r="B212" i="4"/>
  <c r="A212" i="4"/>
  <c r="P211" i="4"/>
  <c r="O211" i="4"/>
  <c r="N211" i="4"/>
  <c r="M211" i="4"/>
  <c r="L211" i="4"/>
  <c r="K211" i="4"/>
  <c r="J211" i="4"/>
  <c r="Q211" i="5" s="1"/>
  <c r="F211" i="4"/>
  <c r="E211" i="4"/>
  <c r="D211" i="4"/>
  <c r="C211" i="4"/>
  <c r="B211" i="4"/>
  <c r="A211" i="4"/>
  <c r="P210" i="4"/>
  <c r="O210" i="4"/>
  <c r="N210" i="4"/>
  <c r="M210" i="4"/>
  <c r="L210" i="4"/>
  <c r="K210" i="4"/>
  <c r="J210" i="4"/>
  <c r="Q210" i="5" s="1"/>
  <c r="F210" i="4"/>
  <c r="E210" i="4"/>
  <c r="D210" i="4"/>
  <c r="C210" i="4"/>
  <c r="B210" i="4"/>
  <c r="A210" i="4"/>
  <c r="P209" i="4"/>
  <c r="O209" i="4"/>
  <c r="N209" i="4"/>
  <c r="M209" i="4"/>
  <c r="L209" i="4"/>
  <c r="K209" i="4"/>
  <c r="J209" i="4"/>
  <c r="Q209" i="5" s="1"/>
  <c r="F209" i="4"/>
  <c r="E209" i="4"/>
  <c r="D209" i="4"/>
  <c r="C209" i="4"/>
  <c r="B209" i="4"/>
  <c r="A209" i="4"/>
  <c r="P208" i="4"/>
  <c r="O208" i="4"/>
  <c r="N208" i="4"/>
  <c r="M208" i="4"/>
  <c r="L208" i="4"/>
  <c r="K208" i="4"/>
  <c r="J208" i="4"/>
  <c r="Q208" i="5" s="1"/>
  <c r="F208" i="4"/>
  <c r="E208" i="4"/>
  <c r="D208" i="4"/>
  <c r="C208" i="4"/>
  <c r="B208" i="4"/>
  <c r="A208" i="4"/>
  <c r="P207" i="4"/>
  <c r="O207" i="4"/>
  <c r="N207" i="4"/>
  <c r="M207" i="4"/>
  <c r="L207" i="4"/>
  <c r="K207" i="4"/>
  <c r="J207" i="4"/>
  <c r="Q207" i="5" s="1"/>
  <c r="F207" i="4"/>
  <c r="E207" i="4"/>
  <c r="D207" i="4"/>
  <c r="C207" i="4"/>
  <c r="B207" i="4"/>
  <c r="A207" i="4"/>
  <c r="P206" i="4"/>
  <c r="O206" i="4"/>
  <c r="N206" i="4"/>
  <c r="M206" i="4"/>
  <c r="L206" i="4"/>
  <c r="K206" i="4"/>
  <c r="J206" i="4"/>
  <c r="Q206" i="5" s="1"/>
  <c r="F206" i="4"/>
  <c r="E206" i="4"/>
  <c r="D206" i="4"/>
  <c r="C206" i="4"/>
  <c r="B206" i="4"/>
  <c r="A206" i="4"/>
  <c r="P205" i="4"/>
  <c r="O205" i="4"/>
  <c r="N205" i="4"/>
  <c r="M205" i="4"/>
  <c r="L205" i="4"/>
  <c r="K205" i="4"/>
  <c r="J205" i="4"/>
  <c r="Q205" i="5" s="1"/>
  <c r="F205" i="4"/>
  <c r="E205" i="4"/>
  <c r="D205" i="4"/>
  <c r="C205" i="4"/>
  <c r="B205" i="4"/>
  <c r="A205" i="4"/>
  <c r="P204" i="4"/>
  <c r="O204" i="4"/>
  <c r="N204" i="4"/>
  <c r="M204" i="4"/>
  <c r="L204" i="4"/>
  <c r="K204" i="4"/>
  <c r="J204" i="4"/>
  <c r="Q204" i="5" s="1"/>
  <c r="F204" i="4"/>
  <c r="E204" i="4"/>
  <c r="D204" i="4"/>
  <c r="C204" i="4"/>
  <c r="B204" i="4"/>
  <c r="A204" i="4"/>
  <c r="P203" i="4"/>
  <c r="O203" i="4"/>
  <c r="N203" i="4"/>
  <c r="M203" i="4"/>
  <c r="L203" i="4"/>
  <c r="K203" i="4"/>
  <c r="J203" i="4"/>
  <c r="Q203" i="5" s="1"/>
  <c r="F203" i="4"/>
  <c r="E203" i="4"/>
  <c r="D203" i="4"/>
  <c r="C203" i="4"/>
  <c r="B203" i="4"/>
  <c r="A203" i="4"/>
  <c r="P202" i="4"/>
  <c r="O202" i="4"/>
  <c r="N202" i="4"/>
  <c r="M202" i="4"/>
  <c r="L202" i="4"/>
  <c r="K202" i="4"/>
  <c r="J202" i="4"/>
  <c r="Q202" i="5" s="1"/>
  <c r="F202" i="4"/>
  <c r="E202" i="4"/>
  <c r="D202" i="4"/>
  <c r="C202" i="4"/>
  <c r="B202" i="4"/>
  <c r="A202" i="4"/>
  <c r="P201" i="4"/>
  <c r="O201" i="4"/>
  <c r="N201" i="4"/>
  <c r="M201" i="4"/>
  <c r="L201" i="4"/>
  <c r="K201" i="4"/>
  <c r="J201" i="4"/>
  <c r="Q201" i="5" s="1"/>
  <c r="F201" i="4"/>
  <c r="E201" i="4"/>
  <c r="D201" i="4"/>
  <c r="C201" i="4"/>
  <c r="B201" i="4"/>
  <c r="A201" i="4"/>
  <c r="P200" i="4"/>
  <c r="O200" i="4"/>
  <c r="N200" i="4"/>
  <c r="M200" i="4"/>
  <c r="L200" i="4"/>
  <c r="K200" i="4"/>
  <c r="J200" i="4"/>
  <c r="Q200" i="5" s="1"/>
  <c r="F200" i="4"/>
  <c r="E200" i="4"/>
  <c r="D200" i="4"/>
  <c r="C200" i="4"/>
  <c r="B200" i="4"/>
  <c r="A200" i="4"/>
  <c r="P199" i="4"/>
  <c r="O199" i="4"/>
  <c r="N199" i="4"/>
  <c r="M199" i="4"/>
  <c r="L199" i="4"/>
  <c r="K199" i="4"/>
  <c r="J199" i="4"/>
  <c r="Q199" i="5" s="1"/>
  <c r="F199" i="4"/>
  <c r="E199" i="4"/>
  <c r="D199" i="4"/>
  <c r="C199" i="4"/>
  <c r="B199" i="4"/>
  <c r="A199" i="4"/>
  <c r="P198" i="4"/>
  <c r="O198" i="4"/>
  <c r="N198" i="4"/>
  <c r="M198" i="4"/>
  <c r="L198" i="4"/>
  <c r="K198" i="4"/>
  <c r="J198" i="4"/>
  <c r="Q198" i="5" s="1"/>
  <c r="F198" i="4"/>
  <c r="E198" i="4"/>
  <c r="D198" i="4"/>
  <c r="C198" i="4"/>
  <c r="B198" i="4"/>
  <c r="A198" i="4"/>
  <c r="P197" i="4"/>
  <c r="O197" i="4"/>
  <c r="N197" i="4"/>
  <c r="M197" i="4"/>
  <c r="L197" i="4"/>
  <c r="K197" i="4"/>
  <c r="J197" i="4"/>
  <c r="Q197" i="5" s="1"/>
  <c r="F197" i="4"/>
  <c r="E197" i="4"/>
  <c r="D197" i="4"/>
  <c r="C197" i="4"/>
  <c r="B197" i="4"/>
  <c r="A197" i="4"/>
  <c r="P196" i="4"/>
  <c r="O196" i="4"/>
  <c r="N196" i="4"/>
  <c r="M196" i="4"/>
  <c r="L196" i="4"/>
  <c r="K196" i="4"/>
  <c r="J196" i="4"/>
  <c r="Q196" i="5" s="1"/>
  <c r="F196" i="4"/>
  <c r="E196" i="4"/>
  <c r="D196" i="4"/>
  <c r="C196" i="4"/>
  <c r="B196" i="4"/>
  <c r="A196" i="4"/>
  <c r="P195" i="4"/>
  <c r="O195" i="4"/>
  <c r="N195" i="4"/>
  <c r="M195" i="4"/>
  <c r="L195" i="4"/>
  <c r="K195" i="4"/>
  <c r="J195" i="4"/>
  <c r="Q195" i="5" s="1"/>
  <c r="F195" i="4"/>
  <c r="E195" i="4"/>
  <c r="D195" i="4"/>
  <c r="C195" i="4"/>
  <c r="B195" i="4"/>
  <c r="A195" i="4"/>
  <c r="P194" i="4"/>
  <c r="O194" i="4"/>
  <c r="N194" i="4"/>
  <c r="M194" i="4"/>
  <c r="L194" i="4"/>
  <c r="K194" i="4"/>
  <c r="J194" i="4"/>
  <c r="Q194" i="5" s="1"/>
  <c r="F194" i="4"/>
  <c r="E194" i="4"/>
  <c r="D194" i="4"/>
  <c r="C194" i="4"/>
  <c r="B194" i="4"/>
  <c r="A194" i="4"/>
  <c r="P193" i="4"/>
  <c r="O193" i="4"/>
  <c r="N193" i="4"/>
  <c r="M193" i="4"/>
  <c r="L193" i="4"/>
  <c r="K193" i="4"/>
  <c r="J193" i="4"/>
  <c r="Q193" i="5" s="1"/>
  <c r="F193" i="4"/>
  <c r="E193" i="4"/>
  <c r="D193" i="4"/>
  <c r="C193" i="4"/>
  <c r="B193" i="4"/>
  <c r="A193" i="4"/>
  <c r="P192" i="4"/>
  <c r="O192" i="4"/>
  <c r="N192" i="4"/>
  <c r="M192" i="4"/>
  <c r="L192" i="4"/>
  <c r="K192" i="4"/>
  <c r="J192" i="4"/>
  <c r="Q192" i="5" s="1"/>
  <c r="F192" i="4"/>
  <c r="E192" i="4"/>
  <c r="D192" i="4"/>
  <c r="C192" i="4"/>
  <c r="B192" i="4"/>
  <c r="A192" i="4"/>
  <c r="P191" i="4"/>
  <c r="O191" i="4"/>
  <c r="N191" i="4"/>
  <c r="M191" i="4"/>
  <c r="L191" i="4"/>
  <c r="K191" i="4"/>
  <c r="J191" i="4"/>
  <c r="Q191" i="5" s="1"/>
  <c r="F191" i="4"/>
  <c r="E191" i="4"/>
  <c r="D191" i="4"/>
  <c r="C191" i="4"/>
  <c r="B191" i="4"/>
  <c r="A191" i="4"/>
  <c r="P190" i="4"/>
  <c r="O190" i="4"/>
  <c r="N190" i="4"/>
  <c r="M190" i="4"/>
  <c r="L190" i="4"/>
  <c r="K190" i="4"/>
  <c r="J190" i="4"/>
  <c r="Q190" i="5" s="1"/>
  <c r="F190" i="4"/>
  <c r="E190" i="4"/>
  <c r="D190" i="4"/>
  <c r="C190" i="4"/>
  <c r="B190" i="4"/>
  <c r="A190" i="4"/>
  <c r="P189" i="4"/>
  <c r="O189" i="4"/>
  <c r="N189" i="4"/>
  <c r="M189" i="4"/>
  <c r="L189" i="4"/>
  <c r="K189" i="4"/>
  <c r="J189" i="4"/>
  <c r="Q189" i="5" s="1"/>
  <c r="F189" i="4"/>
  <c r="E189" i="4"/>
  <c r="D189" i="4"/>
  <c r="C189" i="4"/>
  <c r="B189" i="4"/>
  <c r="A189" i="4"/>
  <c r="P188" i="4"/>
  <c r="O188" i="4"/>
  <c r="N188" i="4"/>
  <c r="M188" i="4"/>
  <c r="L188" i="4"/>
  <c r="K188" i="4"/>
  <c r="J188" i="4"/>
  <c r="Q188" i="5" s="1"/>
  <c r="F188" i="4"/>
  <c r="E188" i="4"/>
  <c r="D188" i="4"/>
  <c r="C188" i="4"/>
  <c r="B188" i="4"/>
  <c r="A188" i="4"/>
  <c r="P187" i="4"/>
  <c r="O187" i="4"/>
  <c r="N187" i="4"/>
  <c r="M187" i="4"/>
  <c r="L187" i="4"/>
  <c r="K187" i="4"/>
  <c r="J187" i="4"/>
  <c r="Q187" i="5" s="1"/>
  <c r="F187" i="4"/>
  <c r="E187" i="4"/>
  <c r="D187" i="4"/>
  <c r="C187" i="4"/>
  <c r="B187" i="4"/>
  <c r="A187" i="4"/>
  <c r="P186" i="4"/>
  <c r="O186" i="4"/>
  <c r="N186" i="4"/>
  <c r="M186" i="4"/>
  <c r="L186" i="4"/>
  <c r="K186" i="4"/>
  <c r="J186" i="4"/>
  <c r="Q186" i="5" s="1"/>
  <c r="F186" i="4"/>
  <c r="E186" i="4"/>
  <c r="D186" i="4"/>
  <c r="C186" i="4"/>
  <c r="B186" i="4"/>
  <c r="A186" i="4"/>
  <c r="P185" i="4"/>
  <c r="O185" i="4"/>
  <c r="N185" i="4"/>
  <c r="M185" i="4"/>
  <c r="L185" i="4"/>
  <c r="K185" i="4"/>
  <c r="J185" i="4"/>
  <c r="Q185" i="5" s="1"/>
  <c r="F185" i="4"/>
  <c r="E185" i="4"/>
  <c r="D185" i="4"/>
  <c r="C185" i="4"/>
  <c r="B185" i="4"/>
  <c r="A185" i="4"/>
  <c r="P184" i="4"/>
  <c r="O184" i="4"/>
  <c r="N184" i="4"/>
  <c r="M184" i="4"/>
  <c r="L184" i="4"/>
  <c r="K184" i="4"/>
  <c r="J184" i="4"/>
  <c r="Q184" i="5" s="1"/>
  <c r="F184" i="4"/>
  <c r="E184" i="4"/>
  <c r="D184" i="4"/>
  <c r="C184" i="4"/>
  <c r="B184" i="4"/>
  <c r="A184" i="4"/>
  <c r="P183" i="4"/>
  <c r="O183" i="4"/>
  <c r="N183" i="4"/>
  <c r="M183" i="4"/>
  <c r="L183" i="4"/>
  <c r="K183" i="4"/>
  <c r="J183" i="4"/>
  <c r="Q183" i="5" s="1"/>
  <c r="F183" i="4"/>
  <c r="E183" i="4"/>
  <c r="D183" i="4"/>
  <c r="C183" i="4"/>
  <c r="B183" i="4"/>
  <c r="A183" i="4"/>
  <c r="P182" i="4"/>
  <c r="O182" i="4"/>
  <c r="N182" i="4"/>
  <c r="M182" i="4"/>
  <c r="L182" i="4"/>
  <c r="K182" i="4"/>
  <c r="J182" i="4"/>
  <c r="Q182" i="5" s="1"/>
  <c r="F182" i="4"/>
  <c r="E182" i="4"/>
  <c r="D182" i="4"/>
  <c r="C182" i="4"/>
  <c r="B182" i="4"/>
  <c r="A182" i="4"/>
  <c r="P181" i="4"/>
  <c r="O181" i="4"/>
  <c r="N181" i="4"/>
  <c r="M181" i="4"/>
  <c r="L181" i="4"/>
  <c r="K181" i="4"/>
  <c r="J181" i="4"/>
  <c r="Q181" i="5" s="1"/>
  <c r="F181" i="4"/>
  <c r="E181" i="4"/>
  <c r="D181" i="4"/>
  <c r="C181" i="4"/>
  <c r="B181" i="4"/>
  <c r="A181" i="4"/>
  <c r="P180" i="4"/>
  <c r="O180" i="4"/>
  <c r="N180" i="4"/>
  <c r="M180" i="4"/>
  <c r="L180" i="4"/>
  <c r="K180" i="4"/>
  <c r="J180" i="4"/>
  <c r="Q180" i="5" s="1"/>
  <c r="F180" i="4"/>
  <c r="E180" i="4"/>
  <c r="D180" i="4"/>
  <c r="C180" i="4"/>
  <c r="B180" i="4"/>
  <c r="A180" i="4"/>
  <c r="P179" i="4"/>
  <c r="O179" i="4"/>
  <c r="N179" i="4"/>
  <c r="M179" i="4"/>
  <c r="L179" i="4"/>
  <c r="K179" i="4"/>
  <c r="J179" i="4"/>
  <c r="Q179" i="5" s="1"/>
  <c r="F179" i="4"/>
  <c r="E179" i="4"/>
  <c r="D179" i="4"/>
  <c r="C179" i="4"/>
  <c r="B179" i="4"/>
  <c r="A179" i="4"/>
  <c r="P178" i="4"/>
  <c r="O178" i="4"/>
  <c r="N178" i="4"/>
  <c r="M178" i="4"/>
  <c r="L178" i="4"/>
  <c r="K178" i="4"/>
  <c r="J178" i="4"/>
  <c r="Q178" i="5" s="1"/>
  <c r="F178" i="4"/>
  <c r="E178" i="4"/>
  <c r="D178" i="4"/>
  <c r="C178" i="4"/>
  <c r="B178" i="4"/>
  <c r="A178" i="4"/>
  <c r="P177" i="4"/>
  <c r="O177" i="4"/>
  <c r="N177" i="4"/>
  <c r="M177" i="4"/>
  <c r="L177" i="4"/>
  <c r="K177" i="4"/>
  <c r="J177" i="4"/>
  <c r="Q177" i="5" s="1"/>
  <c r="F177" i="4"/>
  <c r="E177" i="4"/>
  <c r="D177" i="4"/>
  <c r="C177" i="4"/>
  <c r="B177" i="4"/>
  <c r="A177" i="4"/>
  <c r="P176" i="4"/>
  <c r="O176" i="4"/>
  <c r="N176" i="4"/>
  <c r="M176" i="4"/>
  <c r="L176" i="4"/>
  <c r="K176" i="4"/>
  <c r="J176" i="4"/>
  <c r="Q176" i="5" s="1"/>
  <c r="F176" i="4"/>
  <c r="E176" i="4"/>
  <c r="D176" i="4"/>
  <c r="C176" i="4"/>
  <c r="B176" i="4"/>
  <c r="A176" i="4"/>
  <c r="P175" i="4"/>
  <c r="O175" i="4"/>
  <c r="N175" i="4"/>
  <c r="M175" i="4"/>
  <c r="L175" i="4"/>
  <c r="K175" i="4"/>
  <c r="J175" i="4"/>
  <c r="Q175" i="5" s="1"/>
  <c r="F175" i="4"/>
  <c r="E175" i="4"/>
  <c r="D175" i="4"/>
  <c r="C175" i="4"/>
  <c r="B175" i="4"/>
  <c r="A175" i="4"/>
  <c r="P174" i="4"/>
  <c r="O174" i="4"/>
  <c r="N174" i="4"/>
  <c r="M174" i="4"/>
  <c r="L174" i="4"/>
  <c r="K174" i="4"/>
  <c r="J174" i="4"/>
  <c r="Q174" i="5" s="1"/>
  <c r="F174" i="4"/>
  <c r="E174" i="4"/>
  <c r="D174" i="4"/>
  <c r="C174" i="4"/>
  <c r="B174" i="4"/>
  <c r="A174" i="4"/>
  <c r="P173" i="4"/>
  <c r="O173" i="4"/>
  <c r="N173" i="4"/>
  <c r="M173" i="4"/>
  <c r="L173" i="4"/>
  <c r="K173" i="4"/>
  <c r="J173" i="4"/>
  <c r="Q173" i="5" s="1"/>
  <c r="F173" i="4"/>
  <c r="E173" i="4"/>
  <c r="D173" i="4"/>
  <c r="C173" i="4"/>
  <c r="B173" i="4"/>
  <c r="A173" i="4"/>
  <c r="P172" i="4"/>
  <c r="O172" i="4"/>
  <c r="N172" i="4"/>
  <c r="M172" i="4"/>
  <c r="L172" i="4"/>
  <c r="K172" i="4"/>
  <c r="J172" i="4"/>
  <c r="Q172" i="5" s="1"/>
  <c r="F172" i="4"/>
  <c r="E172" i="4"/>
  <c r="D172" i="4"/>
  <c r="C172" i="4"/>
  <c r="B172" i="4"/>
  <c r="A172" i="4"/>
  <c r="P171" i="4"/>
  <c r="O171" i="4"/>
  <c r="N171" i="4"/>
  <c r="M171" i="4"/>
  <c r="L171" i="4"/>
  <c r="K171" i="4"/>
  <c r="J171" i="4"/>
  <c r="Q171" i="5" s="1"/>
  <c r="F171" i="4"/>
  <c r="E171" i="4"/>
  <c r="D171" i="4"/>
  <c r="C171" i="4"/>
  <c r="B171" i="4"/>
  <c r="A171" i="4"/>
  <c r="P170" i="4"/>
  <c r="O170" i="4"/>
  <c r="N170" i="4"/>
  <c r="M170" i="4"/>
  <c r="L170" i="4"/>
  <c r="K170" i="4"/>
  <c r="J170" i="4"/>
  <c r="Q170" i="5" s="1"/>
  <c r="F170" i="4"/>
  <c r="E170" i="4"/>
  <c r="D170" i="4"/>
  <c r="C170" i="4"/>
  <c r="B170" i="4"/>
  <c r="A170" i="4"/>
  <c r="P169" i="4"/>
  <c r="O169" i="4"/>
  <c r="N169" i="4"/>
  <c r="M169" i="4"/>
  <c r="L169" i="4"/>
  <c r="K169" i="4"/>
  <c r="J169" i="4"/>
  <c r="Q169" i="5" s="1"/>
  <c r="F169" i="4"/>
  <c r="E169" i="4"/>
  <c r="D169" i="4"/>
  <c r="C169" i="4"/>
  <c r="B169" i="4"/>
  <c r="A169" i="4"/>
  <c r="P168" i="4"/>
  <c r="O168" i="4"/>
  <c r="N168" i="4"/>
  <c r="M168" i="4"/>
  <c r="L168" i="4"/>
  <c r="K168" i="4"/>
  <c r="J168" i="4"/>
  <c r="Q168" i="5" s="1"/>
  <c r="F168" i="4"/>
  <c r="E168" i="4"/>
  <c r="D168" i="4"/>
  <c r="C168" i="4"/>
  <c r="B168" i="4"/>
  <c r="A168" i="4"/>
  <c r="P167" i="4"/>
  <c r="O167" i="4"/>
  <c r="N167" i="4"/>
  <c r="M167" i="4"/>
  <c r="L167" i="4"/>
  <c r="K167" i="4"/>
  <c r="J167" i="4"/>
  <c r="Q167" i="5" s="1"/>
  <c r="F167" i="4"/>
  <c r="E167" i="4"/>
  <c r="D167" i="4"/>
  <c r="C167" i="4"/>
  <c r="B167" i="4"/>
  <c r="A167" i="4"/>
  <c r="P166" i="4"/>
  <c r="O166" i="4"/>
  <c r="N166" i="4"/>
  <c r="M166" i="4"/>
  <c r="L166" i="4"/>
  <c r="K166" i="4"/>
  <c r="J166" i="4"/>
  <c r="Q166" i="5" s="1"/>
  <c r="F166" i="4"/>
  <c r="E166" i="4"/>
  <c r="D166" i="4"/>
  <c r="C166" i="4"/>
  <c r="B166" i="4"/>
  <c r="A166" i="4"/>
  <c r="P165" i="4"/>
  <c r="O165" i="4"/>
  <c r="N165" i="4"/>
  <c r="M165" i="4"/>
  <c r="L165" i="4"/>
  <c r="K165" i="4"/>
  <c r="J165" i="4"/>
  <c r="Q165" i="5" s="1"/>
  <c r="F165" i="4"/>
  <c r="E165" i="4"/>
  <c r="D165" i="4"/>
  <c r="C165" i="4"/>
  <c r="B165" i="4"/>
  <c r="A165" i="4"/>
  <c r="P164" i="4"/>
  <c r="O164" i="4"/>
  <c r="N164" i="4"/>
  <c r="M164" i="4"/>
  <c r="L164" i="4"/>
  <c r="K164" i="4"/>
  <c r="J164" i="4"/>
  <c r="Q164" i="5" s="1"/>
  <c r="F164" i="4"/>
  <c r="E164" i="4"/>
  <c r="D164" i="4"/>
  <c r="C164" i="4"/>
  <c r="B164" i="4"/>
  <c r="A164" i="4"/>
  <c r="P163" i="4"/>
  <c r="O163" i="4"/>
  <c r="N163" i="4"/>
  <c r="M163" i="4"/>
  <c r="L163" i="4"/>
  <c r="K163" i="4"/>
  <c r="J163" i="4"/>
  <c r="Q163" i="5" s="1"/>
  <c r="F163" i="4"/>
  <c r="E163" i="4"/>
  <c r="D163" i="4"/>
  <c r="C163" i="4"/>
  <c r="B163" i="4"/>
  <c r="A163" i="4"/>
  <c r="P162" i="4"/>
  <c r="O162" i="4"/>
  <c r="N162" i="4"/>
  <c r="M162" i="4"/>
  <c r="L162" i="4"/>
  <c r="K162" i="4"/>
  <c r="J162" i="4"/>
  <c r="Q162" i="5" s="1"/>
  <c r="F162" i="4"/>
  <c r="E162" i="4"/>
  <c r="D162" i="4"/>
  <c r="C162" i="4"/>
  <c r="B162" i="4"/>
  <c r="A162" i="4"/>
  <c r="P161" i="4"/>
  <c r="O161" i="4"/>
  <c r="N161" i="4"/>
  <c r="M161" i="4"/>
  <c r="L161" i="4"/>
  <c r="K161" i="4"/>
  <c r="J161" i="4"/>
  <c r="Q161" i="5" s="1"/>
  <c r="F161" i="4"/>
  <c r="E161" i="4"/>
  <c r="D161" i="4"/>
  <c r="C161" i="4"/>
  <c r="B161" i="4"/>
  <c r="A161" i="4"/>
  <c r="P160" i="4"/>
  <c r="O160" i="4"/>
  <c r="N160" i="4"/>
  <c r="M160" i="4"/>
  <c r="L160" i="4"/>
  <c r="K160" i="4"/>
  <c r="J160" i="4"/>
  <c r="Q160" i="5" s="1"/>
  <c r="F160" i="4"/>
  <c r="E160" i="4"/>
  <c r="D160" i="4"/>
  <c r="C160" i="4"/>
  <c r="B160" i="4"/>
  <c r="A160" i="4"/>
  <c r="P159" i="4"/>
  <c r="O159" i="4"/>
  <c r="N159" i="4"/>
  <c r="M159" i="4"/>
  <c r="L159" i="4"/>
  <c r="K159" i="4"/>
  <c r="J159" i="4"/>
  <c r="Q159" i="5" s="1"/>
  <c r="F159" i="4"/>
  <c r="E159" i="4"/>
  <c r="D159" i="4"/>
  <c r="C159" i="4"/>
  <c r="B159" i="4"/>
  <c r="A159" i="4"/>
  <c r="P158" i="4"/>
  <c r="O158" i="4"/>
  <c r="N158" i="4"/>
  <c r="M158" i="4"/>
  <c r="L158" i="4"/>
  <c r="K158" i="4"/>
  <c r="J158" i="4"/>
  <c r="Q158" i="5" s="1"/>
  <c r="F158" i="4"/>
  <c r="E158" i="4"/>
  <c r="D158" i="4"/>
  <c r="C158" i="4"/>
  <c r="B158" i="4"/>
  <c r="A158" i="4"/>
  <c r="P157" i="4"/>
  <c r="O157" i="4"/>
  <c r="N157" i="4"/>
  <c r="M157" i="4"/>
  <c r="L157" i="4"/>
  <c r="K157" i="4"/>
  <c r="J157" i="4"/>
  <c r="Q157" i="5" s="1"/>
  <c r="F157" i="4"/>
  <c r="E157" i="4"/>
  <c r="D157" i="4"/>
  <c r="C157" i="4"/>
  <c r="B157" i="4"/>
  <c r="A157" i="4"/>
  <c r="P156" i="4"/>
  <c r="O156" i="4"/>
  <c r="N156" i="4"/>
  <c r="M156" i="4"/>
  <c r="L156" i="4"/>
  <c r="K156" i="4"/>
  <c r="J156" i="4"/>
  <c r="Q156" i="5" s="1"/>
  <c r="F156" i="4"/>
  <c r="E156" i="4"/>
  <c r="D156" i="4"/>
  <c r="C156" i="4"/>
  <c r="B156" i="4"/>
  <c r="A156" i="4"/>
  <c r="P155" i="4"/>
  <c r="O155" i="4"/>
  <c r="N155" i="4"/>
  <c r="M155" i="4"/>
  <c r="L155" i="4"/>
  <c r="K155" i="4"/>
  <c r="J155" i="4"/>
  <c r="Q155" i="5" s="1"/>
  <c r="F155" i="4"/>
  <c r="E155" i="4"/>
  <c r="D155" i="4"/>
  <c r="C155" i="4"/>
  <c r="B155" i="4"/>
  <c r="A155" i="4"/>
  <c r="P154" i="4"/>
  <c r="O154" i="4"/>
  <c r="N154" i="4"/>
  <c r="M154" i="4"/>
  <c r="L154" i="4"/>
  <c r="K154" i="4"/>
  <c r="J154" i="4"/>
  <c r="Q154" i="5" s="1"/>
  <c r="F154" i="4"/>
  <c r="E154" i="4"/>
  <c r="D154" i="4"/>
  <c r="C154" i="4"/>
  <c r="B154" i="4"/>
  <c r="A154" i="4"/>
  <c r="P153" i="4"/>
  <c r="O153" i="4"/>
  <c r="N153" i="4"/>
  <c r="M153" i="4"/>
  <c r="L153" i="4"/>
  <c r="K153" i="4"/>
  <c r="J153" i="4"/>
  <c r="Q153" i="5" s="1"/>
  <c r="F153" i="4"/>
  <c r="E153" i="4"/>
  <c r="D153" i="4"/>
  <c r="C153" i="4"/>
  <c r="B153" i="4"/>
  <c r="A153" i="4"/>
  <c r="P152" i="4"/>
  <c r="O152" i="4"/>
  <c r="N152" i="4"/>
  <c r="M152" i="4"/>
  <c r="L152" i="4"/>
  <c r="K152" i="4"/>
  <c r="J152" i="4"/>
  <c r="Q152" i="5" s="1"/>
  <c r="F152" i="4"/>
  <c r="E152" i="4"/>
  <c r="D152" i="4"/>
  <c r="C152" i="4"/>
  <c r="B152" i="4"/>
  <c r="A152" i="4"/>
  <c r="P151" i="4"/>
  <c r="O151" i="4"/>
  <c r="N151" i="4"/>
  <c r="M151" i="4"/>
  <c r="L151" i="4"/>
  <c r="K151" i="4"/>
  <c r="J151" i="4"/>
  <c r="Q151" i="5" s="1"/>
  <c r="F151" i="4"/>
  <c r="E151" i="4"/>
  <c r="D151" i="4"/>
  <c r="C151" i="4"/>
  <c r="B151" i="4"/>
  <c r="A151" i="4"/>
  <c r="P150" i="4"/>
  <c r="O150" i="4"/>
  <c r="N150" i="4"/>
  <c r="M150" i="4"/>
  <c r="L150" i="4"/>
  <c r="K150" i="4"/>
  <c r="J150" i="4"/>
  <c r="Q150" i="5" s="1"/>
  <c r="F150" i="4"/>
  <c r="E150" i="4"/>
  <c r="D150" i="4"/>
  <c r="C150" i="4"/>
  <c r="B150" i="4"/>
  <c r="A150" i="4"/>
  <c r="P149" i="4"/>
  <c r="O149" i="4"/>
  <c r="N149" i="4"/>
  <c r="M149" i="4"/>
  <c r="L149" i="4"/>
  <c r="K149" i="4"/>
  <c r="J149" i="4"/>
  <c r="Q149" i="5" s="1"/>
  <c r="F149" i="4"/>
  <c r="E149" i="4"/>
  <c r="D149" i="4"/>
  <c r="C149" i="4"/>
  <c r="B149" i="4"/>
  <c r="A149" i="4"/>
  <c r="P148" i="4"/>
  <c r="O148" i="4"/>
  <c r="N148" i="4"/>
  <c r="M148" i="4"/>
  <c r="L148" i="4"/>
  <c r="K148" i="4"/>
  <c r="J148" i="4"/>
  <c r="Q148" i="5" s="1"/>
  <c r="F148" i="4"/>
  <c r="E148" i="4"/>
  <c r="D148" i="4"/>
  <c r="C148" i="4"/>
  <c r="B148" i="4"/>
  <c r="A148" i="4"/>
  <c r="P147" i="4"/>
  <c r="O147" i="4"/>
  <c r="N147" i="4"/>
  <c r="M147" i="4"/>
  <c r="L147" i="4"/>
  <c r="K147" i="4"/>
  <c r="J147" i="4"/>
  <c r="Q147" i="5" s="1"/>
  <c r="F147" i="4"/>
  <c r="E147" i="4"/>
  <c r="D147" i="4"/>
  <c r="C147" i="4"/>
  <c r="B147" i="4"/>
  <c r="A147" i="4"/>
  <c r="P146" i="4"/>
  <c r="O146" i="4"/>
  <c r="N146" i="4"/>
  <c r="M146" i="4"/>
  <c r="L146" i="4"/>
  <c r="K146" i="4"/>
  <c r="J146" i="4"/>
  <c r="Q146" i="5" s="1"/>
  <c r="F146" i="4"/>
  <c r="E146" i="4"/>
  <c r="D146" i="4"/>
  <c r="C146" i="4"/>
  <c r="B146" i="4"/>
  <c r="A146" i="4"/>
  <c r="P145" i="4"/>
  <c r="O145" i="4"/>
  <c r="N145" i="4"/>
  <c r="M145" i="4"/>
  <c r="L145" i="4"/>
  <c r="K145" i="4"/>
  <c r="J145" i="4"/>
  <c r="Q145" i="5" s="1"/>
  <c r="F145" i="4"/>
  <c r="E145" i="4"/>
  <c r="D145" i="4"/>
  <c r="C145" i="4"/>
  <c r="B145" i="4"/>
  <c r="A145" i="4"/>
  <c r="P144" i="4"/>
  <c r="O144" i="4"/>
  <c r="N144" i="4"/>
  <c r="M144" i="4"/>
  <c r="L144" i="4"/>
  <c r="K144" i="4"/>
  <c r="J144" i="4"/>
  <c r="Q144" i="5" s="1"/>
  <c r="F144" i="4"/>
  <c r="E144" i="4"/>
  <c r="D144" i="4"/>
  <c r="C144" i="4"/>
  <c r="B144" i="4"/>
  <c r="A144" i="4"/>
  <c r="P143" i="4"/>
  <c r="O143" i="4"/>
  <c r="N143" i="4"/>
  <c r="M143" i="4"/>
  <c r="L143" i="4"/>
  <c r="K143" i="4"/>
  <c r="J143" i="4"/>
  <c r="Q143" i="5" s="1"/>
  <c r="F143" i="4"/>
  <c r="E143" i="4"/>
  <c r="D143" i="4"/>
  <c r="C143" i="4"/>
  <c r="B143" i="4"/>
  <c r="A143" i="4"/>
  <c r="P142" i="4"/>
  <c r="O142" i="4"/>
  <c r="N142" i="4"/>
  <c r="M142" i="4"/>
  <c r="L142" i="4"/>
  <c r="K142" i="4"/>
  <c r="J142" i="4"/>
  <c r="Q142" i="5" s="1"/>
  <c r="F142" i="4"/>
  <c r="E142" i="4"/>
  <c r="D142" i="4"/>
  <c r="C142" i="4"/>
  <c r="B142" i="4"/>
  <c r="A142" i="4"/>
  <c r="P141" i="4"/>
  <c r="O141" i="4"/>
  <c r="N141" i="4"/>
  <c r="M141" i="4"/>
  <c r="L141" i="4"/>
  <c r="K141" i="4"/>
  <c r="J141" i="4"/>
  <c r="Q141" i="5" s="1"/>
  <c r="F141" i="4"/>
  <c r="E141" i="4"/>
  <c r="D141" i="4"/>
  <c r="C141" i="4"/>
  <c r="B141" i="4"/>
  <c r="A141" i="4"/>
  <c r="P140" i="4"/>
  <c r="O140" i="4"/>
  <c r="N140" i="4"/>
  <c r="M140" i="4"/>
  <c r="L140" i="4"/>
  <c r="K140" i="4"/>
  <c r="J140" i="4"/>
  <c r="Q140" i="5" s="1"/>
  <c r="F140" i="4"/>
  <c r="E140" i="4"/>
  <c r="D140" i="4"/>
  <c r="C140" i="4"/>
  <c r="B140" i="4"/>
  <c r="A140" i="4"/>
  <c r="P139" i="4"/>
  <c r="O139" i="4"/>
  <c r="N139" i="4"/>
  <c r="M139" i="4"/>
  <c r="L139" i="4"/>
  <c r="K139" i="4"/>
  <c r="J139" i="4"/>
  <c r="Q139" i="5" s="1"/>
  <c r="F139" i="4"/>
  <c r="E139" i="4"/>
  <c r="D139" i="4"/>
  <c r="C139" i="4"/>
  <c r="B139" i="4"/>
  <c r="A139" i="4"/>
  <c r="P138" i="4"/>
  <c r="O138" i="4"/>
  <c r="N138" i="4"/>
  <c r="M138" i="4"/>
  <c r="L138" i="4"/>
  <c r="K138" i="4"/>
  <c r="J138" i="4"/>
  <c r="Q138" i="5" s="1"/>
  <c r="F138" i="4"/>
  <c r="E138" i="4"/>
  <c r="D138" i="4"/>
  <c r="C138" i="4"/>
  <c r="B138" i="4"/>
  <c r="A138" i="4"/>
  <c r="P137" i="4"/>
  <c r="O137" i="4"/>
  <c r="N137" i="4"/>
  <c r="M137" i="4"/>
  <c r="L137" i="4"/>
  <c r="K137" i="4"/>
  <c r="J137" i="4"/>
  <c r="Q137" i="5" s="1"/>
  <c r="F137" i="4"/>
  <c r="E137" i="4"/>
  <c r="D137" i="4"/>
  <c r="C137" i="4"/>
  <c r="B137" i="4"/>
  <c r="A137" i="4"/>
  <c r="P136" i="4"/>
  <c r="O136" i="4"/>
  <c r="N136" i="4"/>
  <c r="M136" i="4"/>
  <c r="L136" i="4"/>
  <c r="K136" i="4"/>
  <c r="J136" i="4"/>
  <c r="Q136" i="5" s="1"/>
  <c r="F136" i="4"/>
  <c r="E136" i="4"/>
  <c r="D136" i="4"/>
  <c r="C136" i="4"/>
  <c r="B136" i="4"/>
  <c r="A136" i="4"/>
  <c r="P135" i="4"/>
  <c r="O135" i="4"/>
  <c r="N135" i="4"/>
  <c r="M135" i="4"/>
  <c r="L135" i="4"/>
  <c r="K135" i="4"/>
  <c r="J135" i="4"/>
  <c r="Q135" i="5" s="1"/>
  <c r="F135" i="4"/>
  <c r="E135" i="4"/>
  <c r="D135" i="4"/>
  <c r="C135" i="4"/>
  <c r="B135" i="4"/>
  <c r="A135" i="4"/>
  <c r="P134" i="4"/>
  <c r="O134" i="4"/>
  <c r="N134" i="4"/>
  <c r="M134" i="4"/>
  <c r="L134" i="4"/>
  <c r="K134" i="4"/>
  <c r="J134" i="4"/>
  <c r="Q134" i="5" s="1"/>
  <c r="F134" i="4"/>
  <c r="E134" i="4"/>
  <c r="D134" i="4"/>
  <c r="C134" i="4"/>
  <c r="B134" i="4"/>
  <c r="A134" i="4"/>
  <c r="P133" i="4"/>
  <c r="O133" i="4"/>
  <c r="N133" i="4"/>
  <c r="M133" i="4"/>
  <c r="L133" i="4"/>
  <c r="K133" i="4"/>
  <c r="J133" i="4"/>
  <c r="Q133" i="5" s="1"/>
  <c r="F133" i="4"/>
  <c r="E133" i="4"/>
  <c r="D133" i="4"/>
  <c r="C133" i="4"/>
  <c r="B133" i="4"/>
  <c r="A133" i="4"/>
  <c r="P132" i="4"/>
  <c r="O132" i="4"/>
  <c r="N132" i="4"/>
  <c r="M132" i="4"/>
  <c r="L132" i="4"/>
  <c r="K132" i="4"/>
  <c r="J132" i="4"/>
  <c r="Q132" i="5" s="1"/>
  <c r="F132" i="4"/>
  <c r="E132" i="4"/>
  <c r="D132" i="4"/>
  <c r="C132" i="4"/>
  <c r="B132" i="4"/>
  <c r="A132" i="4"/>
  <c r="P131" i="4"/>
  <c r="O131" i="4"/>
  <c r="N131" i="4"/>
  <c r="M131" i="4"/>
  <c r="L131" i="4"/>
  <c r="K131" i="4"/>
  <c r="J131" i="4"/>
  <c r="Q131" i="5" s="1"/>
  <c r="F131" i="4"/>
  <c r="E131" i="4"/>
  <c r="D131" i="4"/>
  <c r="C131" i="4"/>
  <c r="B131" i="4"/>
  <c r="A131" i="4"/>
  <c r="P130" i="4"/>
  <c r="O130" i="4"/>
  <c r="N130" i="4"/>
  <c r="M130" i="4"/>
  <c r="L130" i="4"/>
  <c r="K130" i="4"/>
  <c r="J130" i="4"/>
  <c r="Q130" i="5" s="1"/>
  <c r="F130" i="4"/>
  <c r="E130" i="4"/>
  <c r="D130" i="4"/>
  <c r="C130" i="4"/>
  <c r="B130" i="4"/>
  <c r="A130" i="4"/>
  <c r="P129" i="4"/>
  <c r="O129" i="4"/>
  <c r="N129" i="4"/>
  <c r="M129" i="4"/>
  <c r="L129" i="4"/>
  <c r="K129" i="4"/>
  <c r="J129" i="4"/>
  <c r="Q129" i="5" s="1"/>
  <c r="F129" i="4"/>
  <c r="E129" i="4"/>
  <c r="D129" i="4"/>
  <c r="C129" i="4"/>
  <c r="B129" i="4"/>
  <c r="A129" i="4"/>
  <c r="P128" i="4"/>
  <c r="O128" i="4"/>
  <c r="N128" i="4"/>
  <c r="M128" i="4"/>
  <c r="L128" i="4"/>
  <c r="K128" i="4"/>
  <c r="J128" i="4"/>
  <c r="Q128" i="5" s="1"/>
  <c r="F128" i="4"/>
  <c r="E128" i="4"/>
  <c r="D128" i="4"/>
  <c r="C128" i="4"/>
  <c r="B128" i="4"/>
  <c r="A128" i="4"/>
  <c r="P127" i="4"/>
  <c r="O127" i="4"/>
  <c r="N127" i="4"/>
  <c r="M127" i="4"/>
  <c r="L127" i="4"/>
  <c r="K127" i="4"/>
  <c r="J127" i="4"/>
  <c r="Q127" i="5" s="1"/>
  <c r="F127" i="4"/>
  <c r="E127" i="4"/>
  <c r="D127" i="4"/>
  <c r="C127" i="4"/>
  <c r="B127" i="4"/>
  <c r="A127" i="4"/>
  <c r="P126" i="4"/>
  <c r="O126" i="4"/>
  <c r="N126" i="4"/>
  <c r="M126" i="4"/>
  <c r="L126" i="4"/>
  <c r="K126" i="4"/>
  <c r="J126" i="4"/>
  <c r="Q126" i="5" s="1"/>
  <c r="F126" i="4"/>
  <c r="E126" i="4"/>
  <c r="D126" i="4"/>
  <c r="C126" i="4"/>
  <c r="B126" i="4"/>
  <c r="A126" i="4"/>
  <c r="P125" i="4"/>
  <c r="O125" i="4"/>
  <c r="N125" i="4"/>
  <c r="M125" i="4"/>
  <c r="L125" i="4"/>
  <c r="K125" i="4"/>
  <c r="J125" i="4"/>
  <c r="Q125" i="5" s="1"/>
  <c r="F125" i="4"/>
  <c r="E125" i="4"/>
  <c r="D125" i="4"/>
  <c r="C125" i="4"/>
  <c r="B125" i="4"/>
  <c r="A125" i="4"/>
  <c r="P124" i="4"/>
  <c r="O124" i="4"/>
  <c r="N124" i="4"/>
  <c r="M124" i="4"/>
  <c r="L124" i="4"/>
  <c r="K124" i="4"/>
  <c r="J124" i="4"/>
  <c r="Q124" i="5" s="1"/>
  <c r="F124" i="4"/>
  <c r="E124" i="4"/>
  <c r="D124" i="4"/>
  <c r="C124" i="4"/>
  <c r="B124" i="4"/>
  <c r="A124" i="4"/>
  <c r="P123" i="4"/>
  <c r="O123" i="4"/>
  <c r="N123" i="4"/>
  <c r="M123" i="4"/>
  <c r="L123" i="4"/>
  <c r="K123" i="4"/>
  <c r="J123" i="4"/>
  <c r="Q123" i="5" s="1"/>
  <c r="F123" i="4"/>
  <c r="E123" i="4"/>
  <c r="D123" i="4"/>
  <c r="C123" i="4"/>
  <c r="B123" i="4"/>
  <c r="A123" i="4"/>
  <c r="P122" i="4"/>
  <c r="O122" i="4"/>
  <c r="N122" i="4"/>
  <c r="M122" i="4"/>
  <c r="L122" i="4"/>
  <c r="K122" i="4"/>
  <c r="J122" i="4"/>
  <c r="Q122" i="5" s="1"/>
  <c r="F122" i="4"/>
  <c r="E122" i="4"/>
  <c r="D122" i="4"/>
  <c r="C122" i="4"/>
  <c r="B122" i="4"/>
  <c r="A122" i="4"/>
  <c r="P121" i="4"/>
  <c r="O121" i="4"/>
  <c r="N121" i="4"/>
  <c r="M121" i="4"/>
  <c r="L121" i="4"/>
  <c r="K121" i="4"/>
  <c r="J121" i="4"/>
  <c r="Q121" i="5" s="1"/>
  <c r="F121" i="4"/>
  <c r="E121" i="4"/>
  <c r="D121" i="4"/>
  <c r="C121" i="4"/>
  <c r="B121" i="4"/>
  <c r="A121" i="4"/>
  <c r="P120" i="4"/>
  <c r="O120" i="4"/>
  <c r="N120" i="4"/>
  <c r="M120" i="4"/>
  <c r="L120" i="4"/>
  <c r="K120" i="4"/>
  <c r="J120" i="4"/>
  <c r="Q120" i="5" s="1"/>
  <c r="F120" i="4"/>
  <c r="E120" i="4"/>
  <c r="D120" i="4"/>
  <c r="C120" i="4"/>
  <c r="B120" i="4"/>
  <c r="A120" i="4"/>
  <c r="P119" i="4"/>
  <c r="O119" i="4"/>
  <c r="N119" i="4"/>
  <c r="M119" i="4"/>
  <c r="L119" i="4"/>
  <c r="K119" i="4"/>
  <c r="J119" i="4"/>
  <c r="Q119" i="5" s="1"/>
  <c r="F119" i="4"/>
  <c r="E119" i="4"/>
  <c r="D119" i="4"/>
  <c r="C119" i="4"/>
  <c r="B119" i="4"/>
  <c r="A119" i="4"/>
  <c r="P118" i="4"/>
  <c r="O118" i="4"/>
  <c r="N118" i="4"/>
  <c r="M118" i="4"/>
  <c r="L118" i="4"/>
  <c r="K118" i="4"/>
  <c r="J118" i="4"/>
  <c r="Q118" i="5" s="1"/>
  <c r="F118" i="4"/>
  <c r="E118" i="4"/>
  <c r="D118" i="4"/>
  <c r="C118" i="4"/>
  <c r="B118" i="4"/>
  <c r="A118" i="4"/>
  <c r="P117" i="4"/>
  <c r="O117" i="4"/>
  <c r="N117" i="4"/>
  <c r="M117" i="4"/>
  <c r="L117" i="4"/>
  <c r="K117" i="4"/>
  <c r="J117" i="4"/>
  <c r="Q117" i="5" s="1"/>
  <c r="F117" i="4"/>
  <c r="E117" i="4"/>
  <c r="D117" i="4"/>
  <c r="C117" i="4"/>
  <c r="B117" i="4"/>
  <c r="A117" i="4"/>
  <c r="P116" i="4"/>
  <c r="O116" i="4"/>
  <c r="N116" i="4"/>
  <c r="M116" i="4"/>
  <c r="L116" i="4"/>
  <c r="K116" i="4"/>
  <c r="J116" i="4"/>
  <c r="Q116" i="5" s="1"/>
  <c r="F116" i="4"/>
  <c r="E116" i="4"/>
  <c r="D116" i="4"/>
  <c r="C116" i="4"/>
  <c r="B116" i="4"/>
  <c r="A116" i="4"/>
  <c r="P115" i="4"/>
  <c r="O115" i="4"/>
  <c r="N115" i="4"/>
  <c r="M115" i="4"/>
  <c r="L115" i="4"/>
  <c r="K115" i="4"/>
  <c r="J115" i="4"/>
  <c r="Q115" i="5" s="1"/>
  <c r="F115" i="4"/>
  <c r="E115" i="4"/>
  <c r="D115" i="4"/>
  <c r="C115" i="4"/>
  <c r="B115" i="4"/>
  <c r="A115" i="4"/>
  <c r="P114" i="4"/>
  <c r="O114" i="4"/>
  <c r="N114" i="4"/>
  <c r="M114" i="4"/>
  <c r="L114" i="4"/>
  <c r="K114" i="4"/>
  <c r="J114" i="4"/>
  <c r="Q114" i="5" s="1"/>
  <c r="F114" i="4"/>
  <c r="E114" i="4"/>
  <c r="D114" i="4"/>
  <c r="C114" i="4"/>
  <c r="B114" i="4"/>
  <c r="A114" i="4"/>
  <c r="P113" i="4"/>
  <c r="O113" i="4"/>
  <c r="N113" i="4"/>
  <c r="M113" i="4"/>
  <c r="L113" i="4"/>
  <c r="K113" i="4"/>
  <c r="J113" i="4"/>
  <c r="Q113" i="5" s="1"/>
  <c r="F113" i="4"/>
  <c r="E113" i="4"/>
  <c r="D113" i="4"/>
  <c r="C113" i="4"/>
  <c r="B113" i="4"/>
  <c r="A113" i="4"/>
  <c r="P112" i="4"/>
  <c r="O112" i="4"/>
  <c r="N112" i="4"/>
  <c r="M112" i="4"/>
  <c r="L112" i="4"/>
  <c r="K112" i="4"/>
  <c r="J112" i="4"/>
  <c r="Q112" i="5" s="1"/>
  <c r="F112" i="4"/>
  <c r="E112" i="4"/>
  <c r="D112" i="4"/>
  <c r="C112" i="4"/>
  <c r="B112" i="4"/>
  <c r="A112" i="4"/>
  <c r="P111" i="4"/>
  <c r="O111" i="4"/>
  <c r="N111" i="4"/>
  <c r="M111" i="4"/>
  <c r="L111" i="4"/>
  <c r="K111" i="4"/>
  <c r="J111" i="4"/>
  <c r="Q111" i="5" s="1"/>
  <c r="F111" i="4"/>
  <c r="E111" i="4"/>
  <c r="D111" i="4"/>
  <c r="C111" i="4"/>
  <c r="B111" i="4"/>
  <c r="A111" i="4"/>
  <c r="P110" i="4"/>
  <c r="O110" i="4"/>
  <c r="N110" i="4"/>
  <c r="M110" i="4"/>
  <c r="L110" i="4"/>
  <c r="K110" i="4"/>
  <c r="J110" i="4"/>
  <c r="Q110" i="5" s="1"/>
  <c r="F110" i="4"/>
  <c r="E110" i="4"/>
  <c r="D110" i="4"/>
  <c r="C110" i="4"/>
  <c r="B110" i="4"/>
  <c r="A110" i="4"/>
  <c r="P109" i="4"/>
  <c r="O109" i="4"/>
  <c r="N109" i="4"/>
  <c r="M109" i="4"/>
  <c r="L109" i="4"/>
  <c r="K109" i="4"/>
  <c r="J109" i="4"/>
  <c r="Q109" i="5" s="1"/>
  <c r="F109" i="4"/>
  <c r="E109" i="4"/>
  <c r="D109" i="4"/>
  <c r="C109" i="4"/>
  <c r="B109" i="4"/>
  <c r="A109" i="4"/>
  <c r="P108" i="4"/>
  <c r="O108" i="4"/>
  <c r="N108" i="4"/>
  <c r="M108" i="4"/>
  <c r="L108" i="4"/>
  <c r="K108" i="4"/>
  <c r="J108" i="4"/>
  <c r="Q108" i="5" s="1"/>
  <c r="F108" i="4"/>
  <c r="E108" i="4"/>
  <c r="D108" i="4"/>
  <c r="C108" i="4"/>
  <c r="B108" i="4"/>
  <c r="A108" i="4"/>
  <c r="P107" i="4"/>
  <c r="O107" i="4"/>
  <c r="N107" i="4"/>
  <c r="M107" i="4"/>
  <c r="L107" i="4"/>
  <c r="K107" i="4"/>
  <c r="J107" i="4"/>
  <c r="Q107" i="5" s="1"/>
  <c r="F107" i="4"/>
  <c r="E107" i="4"/>
  <c r="D107" i="4"/>
  <c r="C107" i="4"/>
  <c r="B107" i="4"/>
  <c r="A107" i="4"/>
  <c r="P106" i="4"/>
  <c r="O106" i="4"/>
  <c r="N106" i="4"/>
  <c r="M106" i="4"/>
  <c r="L106" i="4"/>
  <c r="K106" i="4"/>
  <c r="J106" i="4"/>
  <c r="Q106" i="5" s="1"/>
  <c r="F106" i="4"/>
  <c r="E106" i="4"/>
  <c r="D106" i="4"/>
  <c r="C106" i="4"/>
  <c r="B106" i="4"/>
  <c r="A106" i="4"/>
  <c r="P105" i="4"/>
  <c r="O105" i="4"/>
  <c r="N105" i="4"/>
  <c r="M105" i="4"/>
  <c r="L105" i="4"/>
  <c r="K105" i="4"/>
  <c r="J105" i="4"/>
  <c r="Q105" i="5" s="1"/>
  <c r="F105" i="4"/>
  <c r="E105" i="4"/>
  <c r="D105" i="4"/>
  <c r="C105" i="4"/>
  <c r="B105" i="4"/>
  <c r="A105" i="4"/>
  <c r="P104" i="4"/>
  <c r="O104" i="4"/>
  <c r="N104" i="4"/>
  <c r="M104" i="4"/>
  <c r="L104" i="4"/>
  <c r="K104" i="4"/>
  <c r="J104" i="4"/>
  <c r="Q104" i="5" s="1"/>
  <c r="F104" i="4"/>
  <c r="E104" i="4"/>
  <c r="D104" i="4"/>
  <c r="C104" i="4"/>
  <c r="B104" i="4"/>
  <c r="A104" i="4"/>
  <c r="P103" i="4"/>
  <c r="O103" i="4"/>
  <c r="N103" i="4"/>
  <c r="M103" i="4"/>
  <c r="L103" i="4"/>
  <c r="K103" i="4"/>
  <c r="J103" i="4"/>
  <c r="Q103" i="5" s="1"/>
  <c r="F103" i="4"/>
  <c r="E103" i="4"/>
  <c r="D103" i="4"/>
  <c r="C103" i="4"/>
  <c r="B103" i="4"/>
  <c r="A103" i="4"/>
  <c r="P102" i="4"/>
  <c r="O102" i="4"/>
  <c r="N102" i="4"/>
  <c r="M102" i="4"/>
  <c r="L102" i="4"/>
  <c r="K102" i="4"/>
  <c r="J102" i="4"/>
  <c r="Q102" i="5" s="1"/>
  <c r="F102" i="4"/>
  <c r="E102" i="4"/>
  <c r="D102" i="4"/>
  <c r="C102" i="4"/>
  <c r="B102" i="4"/>
  <c r="A102" i="4"/>
  <c r="P101" i="4"/>
  <c r="O101" i="4"/>
  <c r="N101" i="4"/>
  <c r="M101" i="4"/>
  <c r="L101" i="4"/>
  <c r="K101" i="4"/>
  <c r="J101" i="4"/>
  <c r="Q101" i="5" s="1"/>
  <c r="F101" i="4"/>
  <c r="E101" i="4"/>
  <c r="D101" i="4"/>
  <c r="C101" i="4"/>
  <c r="B101" i="4"/>
  <c r="A101" i="4"/>
  <c r="P100" i="4"/>
  <c r="O100" i="4"/>
  <c r="N100" i="4"/>
  <c r="M100" i="4"/>
  <c r="L100" i="4"/>
  <c r="K100" i="4"/>
  <c r="J100" i="4"/>
  <c r="Q100" i="5" s="1"/>
  <c r="F100" i="4"/>
  <c r="E100" i="4"/>
  <c r="D100" i="4"/>
  <c r="C100" i="4"/>
  <c r="B100" i="4"/>
  <c r="A100" i="4"/>
  <c r="P99" i="4"/>
  <c r="O99" i="4"/>
  <c r="N99" i="4"/>
  <c r="M99" i="4"/>
  <c r="L99" i="4"/>
  <c r="K99" i="4"/>
  <c r="J99" i="4"/>
  <c r="Q99" i="5" s="1"/>
  <c r="F99" i="4"/>
  <c r="E99" i="4"/>
  <c r="D99" i="4"/>
  <c r="C99" i="4"/>
  <c r="B99" i="4"/>
  <c r="A99" i="4"/>
  <c r="P98" i="4"/>
  <c r="O98" i="4"/>
  <c r="N98" i="4"/>
  <c r="M98" i="4"/>
  <c r="L98" i="4"/>
  <c r="K98" i="4"/>
  <c r="J98" i="4"/>
  <c r="Q98" i="5" s="1"/>
  <c r="F98" i="4"/>
  <c r="E98" i="4"/>
  <c r="D98" i="4"/>
  <c r="C98" i="4"/>
  <c r="B98" i="4"/>
  <c r="A98" i="4"/>
  <c r="P97" i="4"/>
  <c r="O97" i="4"/>
  <c r="N97" i="4"/>
  <c r="M97" i="4"/>
  <c r="L97" i="4"/>
  <c r="K97" i="4"/>
  <c r="J97" i="4"/>
  <c r="Q97" i="5" s="1"/>
  <c r="F97" i="4"/>
  <c r="E97" i="4"/>
  <c r="D97" i="4"/>
  <c r="C97" i="4"/>
  <c r="B97" i="4"/>
  <c r="A97" i="4"/>
  <c r="P96" i="4"/>
  <c r="O96" i="4"/>
  <c r="N96" i="4"/>
  <c r="M96" i="4"/>
  <c r="L96" i="4"/>
  <c r="K96" i="4"/>
  <c r="J96" i="4"/>
  <c r="Q96" i="5" s="1"/>
  <c r="F96" i="4"/>
  <c r="E96" i="4"/>
  <c r="D96" i="4"/>
  <c r="C96" i="4"/>
  <c r="B96" i="4"/>
  <c r="A96" i="4"/>
  <c r="P95" i="4"/>
  <c r="O95" i="4"/>
  <c r="N95" i="4"/>
  <c r="M95" i="4"/>
  <c r="L95" i="4"/>
  <c r="K95" i="4"/>
  <c r="J95" i="4"/>
  <c r="Q95" i="5" s="1"/>
  <c r="F95" i="4"/>
  <c r="E95" i="4"/>
  <c r="D95" i="4"/>
  <c r="C95" i="4"/>
  <c r="B95" i="4"/>
  <c r="A95" i="4"/>
  <c r="P94" i="4"/>
  <c r="O94" i="4"/>
  <c r="N94" i="4"/>
  <c r="M94" i="4"/>
  <c r="L94" i="4"/>
  <c r="K94" i="4"/>
  <c r="J94" i="4"/>
  <c r="Q94" i="5" s="1"/>
  <c r="F94" i="4"/>
  <c r="E94" i="4"/>
  <c r="D94" i="4"/>
  <c r="C94" i="4"/>
  <c r="B94" i="4"/>
  <c r="A94" i="4"/>
  <c r="P93" i="4"/>
  <c r="O93" i="4"/>
  <c r="N93" i="4"/>
  <c r="M93" i="4"/>
  <c r="L93" i="4"/>
  <c r="K93" i="4"/>
  <c r="J93" i="4"/>
  <c r="Q93" i="5" s="1"/>
  <c r="F93" i="4"/>
  <c r="E93" i="4"/>
  <c r="D93" i="4"/>
  <c r="C93" i="4"/>
  <c r="B93" i="4"/>
  <c r="A93" i="4"/>
  <c r="P92" i="4"/>
  <c r="O92" i="4"/>
  <c r="N92" i="4"/>
  <c r="M92" i="4"/>
  <c r="L92" i="4"/>
  <c r="K92" i="4"/>
  <c r="J92" i="4"/>
  <c r="Q92" i="5" s="1"/>
  <c r="F92" i="4"/>
  <c r="E92" i="4"/>
  <c r="D92" i="4"/>
  <c r="C92" i="4"/>
  <c r="B92" i="4"/>
  <c r="A92" i="4"/>
  <c r="P91" i="4"/>
  <c r="O91" i="4"/>
  <c r="N91" i="4"/>
  <c r="M91" i="4"/>
  <c r="L91" i="4"/>
  <c r="K91" i="4"/>
  <c r="J91" i="4"/>
  <c r="Q91" i="5" s="1"/>
  <c r="F91" i="4"/>
  <c r="E91" i="4"/>
  <c r="D91" i="4"/>
  <c r="C91" i="4"/>
  <c r="B91" i="4"/>
  <c r="A91" i="4"/>
  <c r="P90" i="4"/>
  <c r="O90" i="4"/>
  <c r="N90" i="4"/>
  <c r="M90" i="4"/>
  <c r="L90" i="4"/>
  <c r="K90" i="4"/>
  <c r="J90" i="4"/>
  <c r="Q90" i="5" s="1"/>
  <c r="F90" i="4"/>
  <c r="E90" i="4"/>
  <c r="D90" i="4"/>
  <c r="C90" i="4"/>
  <c r="B90" i="4"/>
  <c r="A90" i="4"/>
  <c r="P89" i="4"/>
  <c r="O89" i="4"/>
  <c r="N89" i="4"/>
  <c r="M89" i="4"/>
  <c r="L89" i="4"/>
  <c r="K89" i="4"/>
  <c r="J89" i="4"/>
  <c r="Q89" i="5" s="1"/>
  <c r="F89" i="4"/>
  <c r="E89" i="4"/>
  <c r="D89" i="4"/>
  <c r="C89" i="4"/>
  <c r="B89" i="4"/>
  <c r="A89" i="4"/>
  <c r="P88" i="4"/>
  <c r="O88" i="4"/>
  <c r="N88" i="4"/>
  <c r="M88" i="4"/>
  <c r="L88" i="4"/>
  <c r="K88" i="4"/>
  <c r="J88" i="4"/>
  <c r="Q88" i="5" s="1"/>
  <c r="F88" i="4"/>
  <c r="E88" i="4"/>
  <c r="D88" i="4"/>
  <c r="C88" i="4"/>
  <c r="B88" i="4"/>
  <c r="A88" i="4"/>
  <c r="P87" i="4"/>
  <c r="O87" i="4"/>
  <c r="N87" i="4"/>
  <c r="M87" i="4"/>
  <c r="L87" i="4"/>
  <c r="K87" i="4"/>
  <c r="J87" i="4"/>
  <c r="Q87" i="5" s="1"/>
  <c r="F87" i="4"/>
  <c r="E87" i="4"/>
  <c r="D87" i="4"/>
  <c r="C87" i="4"/>
  <c r="B87" i="4"/>
  <c r="A87" i="4"/>
  <c r="P86" i="4"/>
  <c r="O86" i="4"/>
  <c r="N86" i="4"/>
  <c r="M86" i="4"/>
  <c r="L86" i="4"/>
  <c r="K86" i="4"/>
  <c r="J86" i="4"/>
  <c r="Q86" i="5" s="1"/>
  <c r="F86" i="4"/>
  <c r="E86" i="4"/>
  <c r="D86" i="4"/>
  <c r="C86" i="4"/>
  <c r="B86" i="4"/>
  <c r="A86" i="4"/>
  <c r="P85" i="4"/>
  <c r="O85" i="4"/>
  <c r="N85" i="4"/>
  <c r="M85" i="4"/>
  <c r="L85" i="4"/>
  <c r="K85" i="4"/>
  <c r="J85" i="4"/>
  <c r="Q85" i="5" s="1"/>
  <c r="F85" i="4"/>
  <c r="E85" i="4"/>
  <c r="D85" i="4"/>
  <c r="C85" i="4"/>
  <c r="B85" i="4"/>
  <c r="A85" i="4"/>
  <c r="P84" i="4"/>
  <c r="O84" i="4"/>
  <c r="N84" i="4"/>
  <c r="M84" i="4"/>
  <c r="L84" i="4"/>
  <c r="K84" i="4"/>
  <c r="J84" i="4"/>
  <c r="Q84" i="5" s="1"/>
  <c r="F84" i="4"/>
  <c r="E84" i="4"/>
  <c r="D84" i="4"/>
  <c r="C84" i="4"/>
  <c r="B84" i="4"/>
  <c r="A84" i="4"/>
  <c r="P83" i="4"/>
  <c r="O83" i="4"/>
  <c r="N83" i="4"/>
  <c r="M83" i="4"/>
  <c r="L83" i="4"/>
  <c r="K83" i="4"/>
  <c r="J83" i="4"/>
  <c r="Q83" i="5" s="1"/>
  <c r="F83" i="4"/>
  <c r="E83" i="4"/>
  <c r="D83" i="4"/>
  <c r="C83" i="4"/>
  <c r="B83" i="4"/>
  <c r="A83" i="4"/>
  <c r="P82" i="4"/>
  <c r="O82" i="4"/>
  <c r="N82" i="4"/>
  <c r="M82" i="4"/>
  <c r="L82" i="4"/>
  <c r="K82" i="4"/>
  <c r="J82" i="4"/>
  <c r="Q82" i="5" s="1"/>
  <c r="F82" i="4"/>
  <c r="E82" i="4"/>
  <c r="D82" i="4"/>
  <c r="C82" i="4"/>
  <c r="B82" i="4"/>
  <c r="A82" i="4"/>
  <c r="P81" i="4"/>
  <c r="O81" i="4"/>
  <c r="N81" i="4"/>
  <c r="M81" i="4"/>
  <c r="L81" i="4"/>
  <c r="K81" i="4"/>
  <c r="J81" i="4"/>
  <c r="Q81" i="5" s="1"/>
  <c r="F81" i="4"/>
  <c r="E81" i="4"/>
  <c r="D81" i="4"/>
  <c r="C81" i="4"/>
  <c r="B81" i="4"/>
  <c r="A81" i="4"/>
  <c r="P80" i="4"/>
  <c r="O80" i="4"/>
  <c r="N80" i="4"/>
  <c r="M80" i="4"/>
  <c r="L80" i="4"/>
  <c r="K80" i="4"/>
  <c r="J80" i="4"/>
  <c r="Q80" i="5" s="1"/>
  <c r="F80" i="4"/>
  <c r="E80" i="4"/>
  <c r="D80" i="4"/>
  <c r="C80" i="4"/>
  <c r="B80" i="4"/>
  <c r="A80" i="4"/>
  <c r="P79" i="4"/>
  <c r="O79" i="4"/>
  <c r="N79" i="4"/>
  <c r="M79" i="4"/>
  <c r="L79" i="4"/>
  <c r="K79" i="4"/>
  <c r="J79" i="4"/>
  <c r="Q79" i="5" s="1"/>
  <c r="F79" i="4"/>
  <c r="E79" i="4"/>
  <c r="D79" i="4"/>
  <c r="C79" i="4"/>
  <c r="B79" i="4"/>
  <c r="A79" i="4"/>
  <c r="P78" i="4"/>
  <c r="O78" i="4"/>
  <c r="N78" i="4"/>
  <c r="M78" i="4"/>
  <c r="L78" i="4"/>
  <c r="K78" i="4"/>
  <c r="J78" i="4"/>
  <c r="Q78" i="5" s="1"/>
  <c r="F78" i="4"/>
  <c r="E78" i="4"/>
  <c r="D78" i="4"/>
  <c r="C78" i="4"/>
  <c r="B78" i="4"/>
  <c r="A78" i="4"/>
  <c r="P77" i="4"/>
  <c r="O77" i="4"/>
  <c r="N77" i="4"/>
  <c r="M77" i="4"/>
  <c r="L77" i="4"/>
  <c r="K77" i="4"/>
  <c r="J77" i="4"/>
  <c r="Q77" i="5" s="1"/>
  <c r="F77" i="4"/>
  <c r="E77" i="4"/>
  <c r="D77" i="4"/>
  <c r="C77" i="4"/>
  <c r="B77" i="4"/>
  <c r="A77" i="4"/>
  <c r="P76" i="4"/>
  <c r="O76" i="4"/>
  <c r="N76" i="4"/>
  <c r="M76" i="4"/>
  <c r="L76" i="4"/>
  <c r="K76" i="4"/>
  <c r="J76" i="4"/>
  <c r="Q76" i="5" s="1"/>
  <c r="F76" i="4"/>
  <c r="E76" i="4"/>
  <c r="D76" i="4"/>
  <c r="C76" i="4"/>
  <c r="B76" i="4"/>
  <c r="A76" i="4"/>
  <c r="P75" i="4"/>
  <c r="O75" i="4"/>
  <c r="N75" i="4"/>
  <c r="M75" i="4"/>
  <c r="L75" i="4"/>
  <c r="K75" i="4"/>
  <c r="J75" i="4"/>
  <c r="Q75" i="5" s="1"/>
  <c r="F75" i="4"/>
  <c r="E75" i="4"/>
  <c r="D75" i="4"/>
  <c r="C75" i="4"/>
  <c r="B75" i="4"/>
  <c r="A75" i="4"/>
  <c r="P74" i="4"/>
  <c r="O74" i="4"/>
  <c r="N74" i="4"/>
  <c r="M74" i="4"/>
  <c r="L74" i="4"/>
  <c r="K74" i="4"/>
  <c r="J74" i="4"/>
  <c r="Q74" i="5" s="1"/>
  <c r="F74" i="4"/>
  <c r="E74" i="4"/>
  <c r="D74" i="4"/>
  <c r="C74" i="4"/>
  <c r="B74" i="4"/>
  <c r="A74" i="4"/>
  <c r="P73" i="4"/>
  <c r="O73" i="4"/>
  <c r="N73" i="4"/>
  <c r="M73" i="4"/>
  <c r="L73" i="4"/>
  <c r="K73" i="4"/>
  <c r="J73" i="4"/>
  <c r="Q73" i="5" s="1"/>
  <c r="F73" i="4"/>
  <c r="E73" i="4"/>
  <c r="D73" i="4"/>
  <c r="C73" i="4"/>
  <c r="B73" i="4"/>
  <c r="A73" i="4"/>
  <c r="P72" i="4"/>
  <c r="O72" i="4"/>
  <c r="N72" i="4"/>
  <c r="M72" i="4"/>
  <c r="L72" i="4"/>
  <c r="K72" i="4"/>
  <c r="J72" i="4"/>
  <c r="Q72" i="5" s="1"/>
  <c r="F72" i="4"/>
  <c r="E72" i="4"/>
  <c r="D72" i="4"/>
  <c r="C72" i="4"/>
  <c r="B72" i="4"/>
  <c r="A72" i="4"/>
  <c r="P71" i="4"/>
  <c r="O71" i="4"/>
  <c r="N71" i="4"/>
  <c r="M71" i="4"/>
  <c r="L71" i="4"/>
  <c r="K71" i="4"/>
  <c r="J71" i="4"/>
  <c r="Q71" i="5" s="1"/>
  <c r="F71" i="4"/>
  <c r="E71" i="4"/>
  <c r="D71" i="4"/>
  <c r="C71" i="4"/>
  <c r="B71" i="4"/>
  <c r="A71" i="4"/>
  <c r="P70" i="4"/>
  <c r="O70" i="4"/>
  <c r="N70" i="4"/>
  <c r="M70" i="4"/>
  <c r="L70" i="4"/>
  <c r="K70" i="4"/>
  <c r="J70" i="4"/>
  <c r="Q70" i="5" s="1"/>
  <c r="F70" i="4"/>
  <c r="E70" i="4"/>
  <c r="D70" i="4"/>
  <c r="C70" i="4"/>
  <c r="B70" i="4"/>
  <c r="A70" i="4"/>
  <c r="P69" i="4"/>
  <c r="O69" i="4"/>
  <c r="N69" i="4"/>
  <c r="M69" i="4"/>
  <c r="L69" i="4"/>
  <c r="K69" i="4"/>
  <c r="J69" i="4"/>
  <c r="Q69" i="5" s="1"/>
  <c r="F69" i="4"/>
  <c r="E69" i="4"/>
  <c r="D69" i="4"/>
  <c r="C69" i="4"/>
  <c r="B69" i="4"/>
  <c r="A69" i="4"/>
  <c r="P68" i="4"/>
  <c r="O68" i="4"/>
  <c r="N68" i="4"/>
  <c r="M68" i="4"/>
  <c r="L68" i="4"/>
  <c r="K68" i="4"/>
  <c r="J68" i="4"/>
  <c r="Q68" i="5" s="1"/>
  <c r="F68" i="4"/>
  <c r="E68" i="4"/>
  <c r="D68" i="4"/>
  <c r="C68" i="4"/>
  <c r="B68" i="4"/>
  <c r="A68" i="4"/>
  <c r="P67" i="4"/>
  <c r="O67" i="4"/>
  <c r="N67" i="4"/>
  <c r="M67" i="4"/>
  <c r="L67" i="4"/>
  <c r="K67" i="4"/>
  <c r="J67" i="4"/>
  <c r="Q67" i="5" s="1"/>
  <c r="F67" i="4"/>
  <c r="E67" i="4"/>
  <c r="D67" i="4"/>
  <c r="C67" i="4"/>
  <c r="B67" i="4"/>
  <c r="A67" i="4"/>
  <c r="P66" i="4"/>
  <c r="O66" i="4"/>
  <c r="N66" i="4"/>
  <c r="M66" i="4"/>
  <c r="L66" i="4"/>
  <c r="K66" i="4"/>
  <c r="J66" i="4"/>
  <c r="Q66" i="5" s="1"/>
  <c r="F66" i="4"/>
  <c r="E66" i="4"/>
  <c r="D66" i="4"/>
  <c r="C66" i="4"/>
  <c r="B66" i="4"/>
  <c r="A66" i="4"/>
  <c r="P65" i="4"/>
  <c r="O65" i="4"/>
  <c r="N65" i="4"/>
  <c r="M65" i="4"/>
  <c r="L65" i="4"/>
  <c r="K65" i="4"/>
  <c r="J65" i="4"/>
  <c r="Q65" i="5" s="1"/>
  <c r="F65" i="4"/>
  <c r="E65" i="4"/>
  <c r="D65" i="4"/>
  <c r="C65" i="4"/>
  <c r="B65" i="4"/>
  <c r="A65" i="4"/>
  <c r="P64" i="4"/>
  <c r="O64" i="4"/>
  <c r="N64" i="4"/>
  <c r="M64" i="4"/>
  <c r="L64" i="4"/>
  <c r="K64" i="4"/>
  <c r="J64" i="4"/>
  <c r="Q64" i="5" s="1"/>
  <c r="F64" i="4"/>
  <c r="E64" i="4"/>
  <c r="D64" i="4"/>
  <c r="C64" i="4"/>
  <c r="B64" i="4"/>
  <c r="A64" i="4"/>
  <c r="P63" i="4"/>
  <c r="O63" i="4"/>
  <c r="N63" i="4"/>
  <c r="M63" i="4"/>
  <c r="L63" i="4"/>
  <c r="K63" i="4"/>
  <c r="J63" i="4"/>
  <c r="Q63" i="5" s="1"/>
  <c r="F63" i="4"/>
  <c r="E63" i="4"/>
  <c r="D63" i="4"/>
  <c r="C63" i="4"/>
  <c r="B63" i="4"/>
  <c r="A63" i="4"/>
  <c r="P62" i="4"/>
  <c r="O62" i="4"/>
  <c r="N62" i="4"/>
  <c r="M62" i="4"/>
  <c r="L62" i="4"/>
  <c r="K62" i="4"/>
  <c r="J62" i="4"/>
  <c r="Q62" i="5" s="1"/>
  <c r="F62" i="4"/>
  <c r="E62" i="4"/>
  <c r="D62" i="4"/>
  <c r="C62" i="4"/>
  <c r="B62" i="4"/>
  <c r="A62" i="4"/>
  <c r="P61" i="4"/>
  <c r="O61" i="4"/>
  <c r="N61" i="4"/>
  <c r="M61" i="4"/>
  <c r="L61" i="4"/>
  <c r="K61" i="4"/>
  <c r="J61" i="4"/>
  <c r="Q61" i="5" s="1"/>
  <c r="F61" i="4"/>
  <c r="E61" i="4"/>
  <c r="D61" i="4"/>
  <c r="C61" i="4"/>
  <c r="B61" i="4"/>
  <c r="A61" i="4"/>
  <c r="P60" i="4"/>
  <c r="O60" i="4"/>
  <c r="N60" i="4"/>
  <c r="M60" i="4"/>
  <c r="L60" i="4"/>
  <c r="K60" i="4"/>
  <c r="J60" i="4"/>
  <c r="Q60" i="5" s="1"/>
  <c r="F60" i="4"/>
  <c r="E60" i="4"/>
  <c r="D60" i="4"/>
  <c r="C60" i="4"/>
  <c r="B60" i="4"/>
  <c r="A60" i="4"/>
  <c r="P59" i="4"/>
  <c r="O59" i="4"/>
  <c r="N59" i="4"/>
  <c r="M59" i="4"/>
  <c r="L59" i="4"/>
  <c r="K59" i="4"/>
  <c r="J59" i="4"/>
  <c r="Q59" i="5" s="1"/>
  <c r="F59" i="4"/>
  <c r="E59" i="4"/>
  <c r="D59" i="4"/>
  <c r="C59" i="4"/>
  <c r="B59" i="4"/>
  <c r="A59" i="4"/>
  <c r="P58" i="4"/>
  <c r="O58" i="4"/>
  <c r="N58" i="4"/>
  <c r="M58" i="4"/>
  <c r="L58" i="4"/>
  <c r="K58" i="4"/>
  <c r="J58" i="4"/>
  <c r="Q58" i="5" s="1"/>
  <c r="F58" i="4"/>
  <c r="E58" i="4"/>
  <c r="D58" i="4"/>
  <c r="C58" i="4"/>
  <c r="B58" i="4"/>
  <c r="A58" i="4"/>
  <c r="P57" i="4"/>
  <c r="O57" i="4"/>
  <c r="N57" i="4"/>
  <c r="M57" i="4"/>
  <c r="L57" i="4"/>
  <c r="K57" i="4"/>
  <c r="J57" i="4"/>
  <c r="Q57" i="5" s="1"/>
  <c r="F57" i="4"/>
  <c r="E57" i="4"/>
  <c r="D57" i="4"/>
  <c r="C57" i="4"/>
  <c r="B57" i="4"/>
  <c r="A57" i="4"/>
  <c r="P56" i="4"/>
  <c r="O56" i="4"/>
  <c r="N56" i="4"/>
  <c r="M56" i="4"/>
  <c r="L56" i="4"/>
  <c r="K56" i="4"/>
  <c r="J56" i="4"/>
  <c r="Q56" i="5" s="1"/>
  <c r="F56" i="4"/>
  <c r="E56" i="4"/>
  <c r="D56" i="4"/>
  <c r="C56" i="4"/>
  <c r="B56" i="4"/>
  <c r="A56" i="4"/>
  <c r="P55" i="4"/>
  <c r="O55" i="4"/>
  <c r="N55" i="4"/>
  <c r="M55" i="4"/>
  <c r="L55" i="4"/>
  <c r="K55" i="4"/>
  <c r="J55" i="4"/>
  <c r="Q55" i="5" s="1"/>
  <c r="F55" i="4"/>
  <c r="E55" i="4"/>
  <c r="D55" i="4"/>
  <c r="C55" i="4"/>
  <c r="B55" i="4"/>
  <c r="A55" i="4"/>
  <c r="P54" i="4"/>
  <c r="O54" i="4"/>
  <c r="N54" i="4"/>
  <c r="M54" i="4"/>
  <c r="L54" i="4"/>
  <c r="K54" i="4"/>
  <c r="J54" i="4"/>
  <c r="Q54" i="5" s="1"/>
  <c r="F54" i="4"/>
  <c r="E54" i="4"/>
  <c r="D54" i="4"/>
  <c r="C54" i="4"/>
  <c r="B54" i="4"/>
  <c r="A54" i="4"/>
  <c r="P53" i="4"/>
  <c r="O53" i="4"/>
  <c r="N53" i="4"/>
  <c r="M53" i="4"/>
  <c r="L53" i="4"/>
  <c r="K53" i="4"/>
  <c r="J53" i="4"/>
  <c r="Q53" i="5" s="1"/>
  <c r="F53" i="4"/>
  <c r="E53" i="4"/>
  <c r="D53" i="4"/>
  <c r="C53" i="4"/>
  <c r="B53" i="4"/>
  <c r="A53" i="4"/>
  <c r="P52" i="4"/>
  <c r="O52" i="4"/>
  <c r="N52" i="4"/>
  <c r="M52" i="4"/>
  <c r="L52" i="4"/>
  <c r="K52" i="4"/>
  <c r="J52" i="4"/>
  <c r="Q52" i="5" s="1"/>
  <c r="F52" i="4"/>
  <c r="E52" i="4"/>
  <c r="D52" i="4"/>
  <c r="C52" i="4"/>
  <c r="B52" i="4"/>
  <c r="A52" i="4"/>
  <c r="P51" i="4"/>
  <c r="O51" i="4"/>
  <c r="N51" i="4"/>
  <c r="M51" i="4"/>
  <c r="L51" i="4"/>
  <c r="K51" i="4"/>
  <c r="J51" i="4"/>
  <c r="Q51" i="5" s="1"/>
  <c r="F51" i="4"/>
  <c r="E51" i="4"/>
  <c r="D51" i="4"/>
  <c r="C51" i="4"/>
  <c r="B51" i="4"/>
  <c r="A51" i="4"/>
  <c r="P50" i="4"/>
  <c r="O50" i="4"/>
  <c r="N50" i="4"/>
  <c r="M50" i="4"/>
  <c r="L50" i="4"/>
  <c r="K50" i="4"/>
  <c r="J50" i="4"/>
  <c r="Q50" i="5" s="1"/>
  <c r="F50" i="4"/>
  <c r="E50" i="4"/>
  <c r="D50" i="4"/>
  <c r="C50" i="4"/>
  <c r="B50" i="4"/>
  <c r="A50" i="4"/>
  <c r="P49" i="4"/>
  <c r="O49" i="4"/>
  <c r="N49" i="4"/>
  <c r="M49" i="4"/>
  <c r="L49" i="4"/>
  <c r="K49" i="4"/>
  <c r="J49" i="4"/>
  <c r="Q49" i="5" s="1"/>
  <c r="F49" i="4"/>
  <c r="E49" i="4"/>
  <c r="D49" i="4"/>
  <c r="C49" i="4"/>
  <c r="B49" i="4"/>
  <c r="A49" i="4"/>
  <c r="P48" i="4"/>
  <c r="O48" i="4"/>
  <c r="N48" i="4"/>
  <c r="M48" i="4"/>
  <c r="L48" i="4"/>
  <c r="K48" i="4"/>
  <c r="J48" i="4"/>
  <c r="Q48" i="5" s="1"/>
  <c r="F48" i="4"/>
  <c r="E48" i="4"/>
  <c r="D48" i="4"/>
  <c r="C48" i="4"/>
  <c r="B48" i="4"/>
  <c r="A48" i="4"/>
  <c r="P47" i="4"/>
  <c r="O47" i="4"/>
  <c r="N47" i="4"/>
  <c r="M47" i="4"/>
  <c r="L47" i="4"/>
  <c r="K47" i="4"/>
  <c r="J47" i="4"/>
  <c r="Q47" i="5" s="1"/>
  <c r="F47" i="4"/>
  <c r="E47" i="4"/>
  <c r="D47" i="4"/>
  <c r="C47" i="4"/>
  <c r="B47" i="4"/>
  <c r="A47" i="4"/>
  <c r="P46" i="4"/>
  <c r="O46" i="4"/>
  <c r="N46" i="4"/>
  <c r="M46" i="4"/>
  <c r="L46" i="4"/>
  <c r="K46" i="4"/>
  <c r="J46" i="4"/>
  <c r="Q46" i="5" s="1"/>
  <c r="F46" i="4"/>
  <c r="E46" i="4"/>
  <c r="D46" i="4"/>
  <c r="C46" i="4"/>
  <c r="B46" i="4"/>
  <c r="A46" i="4"/>
  <c r="P45" i="4"/>
  <c r="O45" i="4"/>
  <c r="N45" i="4"/>
  <c r="M45" i="4"/>
  <c r="L45" i="4"/>
  <c r="K45" i="4"/>
  <c r="J45" i="4"/>
  <c r="Q45" i="5" s="1"/>
  <c r="F45" i="4"/>
  <c r="E45" i="4"/>
  <c r="D45" i="4"/>
  <c r="C45" i="4"/>
  <c r="B45" i="4"/>
  <c r="A45" i="4"/>
  <c r="P44" i="4"/>
  <c r="O44" i="4"/>
  <c r="N44" i="4"/>
  <c r="M44" i="4"/>
  <c r="L44" i="4"/>
  <c r="K44" i="4"/>
  <c r="J44" i="4"/>
  <c r="Q44" i="5" s="1"/>
  <c r="F44" i="4"/>
  <c r="E44" i="4"/>
  <c r="D44" i="4"/>
  <c r="C44" i="4"/>
  <c r="B44" i="4"/>
  <c r="A44" i="4"/>
  <c r="P43" i="4"/>
  <c r="O43" i="4"/>
  <c r="N43" i="4"/>
  <c r="M43" i="4"/>
  <c r="L43" i="4"/>
  <c r="K43" i="4"/>
  <c r="J43" i="4"/>
  <c r="Q43" i="5" s="1"/>
  <c r="F43" i="4"/>
  <c r="E43" i="4"/>
  <c r="D43" i="4"/>
  <c r="C43" i="4"/>
  <c r="B43" i="4"/>
  <c r="A43" i="4"/>
  <c r="P42" i="4"/>
  <c r="O42" i="4"/>
  <c r="N42" i="4"/>
  <c r="M42" i="4"/>
  <c r="L42" i="4"/>
  <c r="K42" i="4"/>
  <c r="J42" i="4"/>
  <c r="Q42" i="5" s="1"/>
  <c r="F42" i="4"/>
  <c r="E42" i="4"/>
  <c r="D42" i="4"/>
  <c r="C42" i="4"/>
  <c r="B42" i="4"/>
  <c r="A42" i="4"/>
  <c r="P41" i="4"/>
  <c r="O41" i="4"/>
  <c r="N41" i="4"/>
  <c r="M41" i="4"/>
  <c r="L41" i="4"/>
  <c r="K41" i="4"/>
  <c r="J41" i="4"/>
  <c r="Q41" i="5" s="1"/>
  <c r="F41" i="4"/>
  <c r="E41" i="4"/>
  <c r="D41" i="4"/>
  <c r="C41" i="4"/>
  <c r="B41" i="4"/>
  <c r="A41" i="4"/>
  <c r="P40" i="4"/>
  <c r="O40" i="4"/>
  <c r="N40" i="4"/>
  <c r="M40" i="4"/>
  <c r="L40" i="4"/>
  <c r="K40" i="4"/>
  <c r="J40" i="4"/>
  <c r="Q40" i="5" s="1"/>
  <c r="F40" i="4"/>
  <c r="E40" i="4"/>
  <c r="D40" i="4"/>
  <c r="C40" i="4"/>
  <c r="B40" i="4"/>
  <c r="A40" i="4"/>
  <c r="P39" i="4"/>
  <c r="O39" i="4"/>
  <c r="N39" i="4"/>
  <c r="M39" i="4"/>
  <c r="L39" i="4"/>
  <c r="K39" i="4"/>
  <c r="J39" i="4"/>
  <c r="Q39" i="5" s="1"/>
  <c r="F39" i="4"/>
  <c r="E39" i="4"/>
  <c r="D39" i="4"/>
  <c r="C39" i="4"/>
  <c r="B39" i="4"/>
  <c r="A39" i="4"/>
  <c r="P38" i="4"/>
  <c r="O38" i="4"/>
  <c r="N38" i="4"/>
  <c r="M38" i="4"/>
  <c r="L38" i="4"/>
  <c r="K38" i="4"/>
  <c r="J38" i="4"/>
  <c r="Q38" i="5" s="1"/>
  <c r="F38" i="4"/>
  <c r="E38" i="4"/>
  <c r="D38" i="4"/>
  <c r="C38" i="4"/>
  <c r="B38" i="4"/>
  <c r="A38" i="4"/>
  <c r="P37" i="4"/>
  <c r="O37" i="4"/>
  <c r="N37" i="4"/>
  <c r="M37" i="4"/>
  <c r="L37" i="4"/>
  <c r="K37" i="4"/>
  <c r="J37" i="4"/>
  <c r="Q37" i="5" s="1"/>
  <c r="F37" i="4"/>
  <c r="E37" i="4"/>
  <c r="D37" i="4"/>
  <c r="C37" i="4"/>
  <c r="B37" i="4"/>
  <c r="A37" i="4"/>
  <c r="P36" i="4"/>
  <c r="O36" i="4"/>
  <c r="N36" i="4"/>
  <c r="M36" i="4"/>
  <c r="L36" i="4"/>
  <c r="K36" i="4"/>
  <c r="J36" i="4"/>
  <c r="Q36" i="5" s="1"/>
  <c r="F36" i="4"/>
  <c r="E36" i="4"/>
  <c r="D36" i="4"/>
  <c r="C36" i="4"/>
  <c r="B36" i="4"/>
  <c r="A36" i="4"/>
  <c r="P35" i="4"/>
  <c r="O35" i="4"/>
  <c r="N35" i="4"/>
  <c r="M35" i="4"/>
  <c r="L35" i="4"/>
  <c r="K35" i="4"/>
  <c r="J35" i="4"/>
  <c r="Q35" i="5" s="1"/>
  <c r="H35" i="4"/>
  <c r="F35" i="4"/>
  <c r="E35" i="4"/>
  <c r="D35" i="4"/>
  <c r="C35" i="4"/>
  <c r="B35" i="4"/>
  <c r="A35" i="4"/>
  <c r="P34" i="4"/>
  <c r="O34" i="4"/>
  <c r="N34" i="4"/>
  <c r="M34" i="4"/>
  <c r="L34" i="4"/>
  <c r="K34" i="4"/>
  <c r="J34" i="4"/>
  <c r="Q34" i="5" s="1"/>
  <c r="H34" i="4"/>
  <c r="F34" i="4"/>
  <c r="E34" i="4"/>
  <c r="D34" i="4"/>
  <c r="C34" i="4"/>
  <c r="B34" i="4"/>
  <c r="A34" i="4"/>
  <c r="P33" i="4"/>
  <c r="O33" i="4"/>
  <c r="N33" i="4"/>
  <c r="M33" i="4"/>
  <c r="L33" i="4"/>
  <c r="K33" i="4"/>
  <c r="J33" i="4"/>
  <c r="Q33" i="5" s="1"/>
  <c r="H33" i="4"/>
  <c r="F33" i="4"/>
  <c r="E33" i="4"/>
  <c r="D33" i="4"/>
  <c r="C33" i="4"/>
  <c r="B33" i="4"/>
  <c r="A33" i="4"/>
  <c r="P32" i="4"/>
  <c r="O32" i="4"/>
  <c r="N32" i="4"/>
  <c r="M32" i="4"/>
  <c r="L32" i="4"/>
  <c r="K32" i="4"/>
  <c r="J32" i="4"/>
  <c r="Q32" i="5" s="1"/>
  <c r="H32" i="4"/>
  <c r="F32" i="4"/>
  <c r="E32" i="4"/>
  <c r="D32" i="4"/>
  <c r="C32" i="4"/>
  <c r="B32" i="4"/>
  <c r="A32" i="4"/>
  <c r="P31" i="4"/>
  <c r="O31" i="4"/>
  <c r="N31" i="4"/>
  <c r="M31" i="4"/>
  <c r="L31" i="4"/>
  <c r="K31" i="4"/>
  <c r="J31" i="4"/>
  <c r="Q31" i="5" s="1"/>
  <c r="H31" i="4"/>
  <c r="F31" i="4"/>
  <c r="E31" i="4"/>
  <c r="D31" i="4"/>
  <c r="C31" i="4"/>
  <c r="B31" i="4"/>
  <c r="A31" i="4"/>
  <c r="P30" i="4"/>
  <c r="O30" i="4"/>
  <c r="N30" i="4"/>
  <c r="M30" i="4"/>
  <c r="L30" i="4"/>
  <c r="K30" i="4"/>
  <c r="J30" i="4"/>
  <c r="Q30" i="5" s="1"/>
  <c r="H30" i="4"/>
  <c r="F30" i="4"/>
  <c r="E30" i="4"/>
  <c r="D30" i="4"/>
  <c r="C30" i="4"/>
  <c r="B30" i="4"/>
  <c r="A30" i="4"/>
  <c r="P29" i="4"/>
  <c r="O29" i="4"/>
  <c r="N29" i="4"/>
  <c r="M29" i="4"/>
  <c r="L29" i="4"/>
  <c r="K29" i="4"/>
  <c r="J29" i="4"/>
  <c r="Q29" i="5" s="1"/>
  <c r="H29" i="4"/>
  <c r="F29" i="4"/>
  <c r="E29" i="4"/>
  <c r="D29" i="4"/>
  <c r="C29" i="4"/>
  <c r="B29" i="4"/>
  <c r="A29" i="4"/>
  <c r="P28" i="4"/>
  <c r="O28" i="4"/>
  <c r="N28" i="4"/>
  <c r="M28" i="4"/>
  <c r="L28" i="4"/>
  <c r="K28" i="4"/>
  <c r="J28" i="4"/>
  <c r="Q28" i="5" s="1"/>
  <c r="H28" i="4"/>
  <c r="F28" i="4"/>
  <c r="E28" i="4"/>
  <c r="D28" i="4"/>
  <c r="C28" i="4"/>
  <c r="B28" i="4"/>
  <c r="A28" i="4"/>
  <c r="P27" i="4"/>
  <c r="O27" i="4"/>
  <c r="N27" i="4"/>
  <c r="M27" i="4"/>
  <c r="L27" i="4"/>
  <c r="K27" i="4"/>
  <c r="J27" i="4"/>
  <c r="Q27" i="5" s="1"/>
  <c r="H27" i="4"/>
  <c r="F27" i="4"/>
  <c r="E27" i="4"/>
  <c r="D27" i="4"/>
  <c r="C27" i="4"/>
  <c r="B27" i="4"/>
  <c r="A27" i="4"/>
  <c r="P26" i="4"/>
  <c r="O26" i="4"/>
  <c r="N26" i="4"/>
  <c r="M26" i="4"/>
  <c r="L26" i="4"/>
  <c r="K26" i="4"/>
  <c r="J26" i="4"/>
  <c r="Q26" i="5" s="1"/>
  <c r="H26" i="4"/>
  <c r="F26" i="4"/>
  <c r="E26" i="4"/>
  <c r="D26" i="4"/>
  <c r="C26" i="4"/>
  <c r="B26" i="4"/>
  <c r="A26" i="4"/>
  <c r="P25" i="4"/>
  <c r="O25" i="4"/>
  <c r="N25" i="4"/>
  <c r="M25" i="4"/>
  <c r="L25" i="4"/>
  <c r="K25" i="4"/>
  <c r="J25" i="4"/>
  <c r="Q25" i="5" s="1"/>
  <c r="H25" i="4"/>
  <c r="F25" i="4"/>
  <c r="E25" i="4"/>
  <c r="D25" i="4"/>
  <c r="C25" i="4"/>
  <c r="B25" i="4"/>
  <c r="A25" i="4"/>
  <c r="P24" i="4"/>
  <c r="O24" i="4"/>
  <c r="N24" i="4"/>
  <c r="M24" i="4"/>
  <c r="L24" i="4"/>
  <c r="K24" i="4"/>
  <c r="J24" i="4"/>
  <c r="Q24" i="5" s="1"/>
  <c r="H24" i="4"/>
  <c r="F24" i="4"/>
  <c r="E24" i="4"/>
  <c r="D24" i="4"/>
  <c r="C24" i="4"/>
  <c r="B24" i="4"/>
  <c r="A24" i="4"/>
  <c r="P23" i="4"/>
  <c r="O23" i="4"/>
  <c r="N23" i="4"/>
  <c r="M23" i="4"/>
  <c r="L23" i="4"/>
  <c r="K23" i="4"/>
  <c r="J23" i="4"/>
  <c r="Q23" i="5" s="1"/>
  <c r="H23" i="4"/>
  <c r="F23" i="4"/>
  <c r="E23" i="4"/>
  <c r="D23" i="4"/>
  <c r="C23" i="4"/>
  <c r="B23" i="4"/>
  <c r="A23" i="4"/>
  <c r="P22" i="4"/>
  <c r="O22" i="4"/>
  <c r="N22" i="4"/>
  <c r="M22" i="4"/>
  <c r="L22" i="4"/>
  <c r="K22" i="4"/>
  <c r="J22" i="4"/>
  <c r="Q22" i="5" s="1"/>
  <c r="H22" i="4"/>
  <c r="F22" i="4"/>
  <c r="E22" i="4"/>
  <c r="D22" i="4"/>
  <c r="C22" i="4"/>
  <c r="B22" i="4"/>
  <c r="A22" i="4"/>
  <c r="P21" i="4"/>
  <c r="O21" i="4"/>
  <c r="N21" i="4"/>
  <c r="M21" i="4"/>
  <c r="L21" i="4"/>
  <c r="K21" i="4"/>
  <c r="J21" i="4"/>
  <c r="Q21" i="5" s="1"/>
  <c r="H21" i="4"/>
  <c r="F21" i="4"/>
  <c r="E21" i="4"/>
  <c r="D21" i="4"/>
  <c r="C21" i="4"/>
  <c r="B21" i="4"/>
  <c r="A21" i="4"/>
  <c r="P20" i="4"/>
  <c r="O20" i="4"/>
  <c r="N20" i="4"/>
  <c r="M20" i="4"/>
  <c r="L20" i="4"/>
  <c r="K20" i="4"/>
  <c r="J20" i="4"/>
  <c r="Q20" i="5" s="1"/>
  <c r="H20" i="4"/>
  <c r="F20" i="4"/>
  <c r="E20" i="4"/>
  <c r="D20" i="4"/>
  <c r="C20" i="4"/>
  <c r="B20" i="4"/>
  <c r="A20" i="4"/>
  <c r="P19" i="4"/>
  <c r="O19" i="4"/>
  <c r="N19" i="4"/>
  <c r="M19" i="4"/>
  <c r="L19" i="4"/>
  <c r="K19" i="4"/>
  <c r="J19" i="4"/>
  <c r="Q19" i="5" s="1"/>
  <c r="H19" i="4"/>
  <c r="F19" i="4"/>
  <c r="E19" i="4"/>
  <c r="D19" i="4"/>
  <c r="C19" i="4"/>
  <c r="B19" i="4"/>
  <c r="A19" i="4"/>
  <c r="P18" i="4"/>
  <c r="O18" i="4"/>
  <c r="N18" i="4"/>
  <c r="M18" i="4"/>
  <c r="L18" i="4"/>
  <c r="K18" i="4"/>
  <c r="J18" i="4"/>
  <c r="Q18" i="5" s="1"/>
  <c r="H18" i="4"/>
  <c r="F18" i="4"/>
  <c r="E18" i="4"/>
  <c r="D18" i="4"/>
  <c r="C18" i="4"/>
  <c r="B18" i="4"/>
  <c r="A18" i="4"/>
  <c r="P17" i="4"/>
  <c r="O17" i="4"/>
  <c r="N17" i="4"/>
  <c r="M17" i="4"/>
  <c r="L17" i="4"/>
  <c r="K17" i="4"/>
  <c r="J17" i="4"/>
  <c r="Q17" i="5" s="1"/>
  <c r="H17" i="4"/>
  <c r="F17" i="4"/>
  <c r="E17" i="4"/>
  <c r="D17" i="4"/>
  <c r="C17" i="4"/>
  <c r="B17" i="4"/>
  <c r="A17" i="4"/>
  <c r="P16" i="4"/>
  <c r="O16" i="4"/>
  <c r="N16" i="4"/>
  <c r="M16" i="4"/>
  <c r="L16" i="4"/>
  <c r="K16" i="4"/>
  <c r="J16" i="4"/>
  <c r="Q16" i="5" s="1"/>
  <c r="H16" i="4"/>
  <c r="F16" i="4"/>
  <c r="E16" i="4"/>
  <c r="D16" i="4"/>
  <c r="C16" i="4"/>
  <c r="B16" i="4"/>
  <c r="A16" i="4"/>
  <c r="P15" i="4"/>
  <c r="O15" i="4"/>
  <c r="N15" i="4"/>
  <c r="M15" i="4"/>
  <c r="L15" i="4"/>
  <c r="K15" i="4"/>
  <c r="J15" i="4"/>
  <c r="Q15" i="5" s="1"/>
  <c r="H15" i="4"/>
  <c r="F15" i="4"/>
  <c r="E15" i="4"/>
  <c r="D15" i="4"/>
  <c r="C15" i="4"/>
  <c r="B15" i="4"/>
  <c r="A15" i="4"/>
  <c r="P14" i="4"/>
  <c r="O14" i="4"/>
  <c r="N14" i="4"/>
  <c r="M14" i="4"/>
  <c r="L14" i="4"/>
  <c r="K14" i="4"/>
  <c r="J14" i="4"/>
  <c r="Q14" i="5" s="1"/>
  <c r="H14" i="4"/>
  <c r="F14" i="4"/>
  <c r="E14" i="4"/>
  <c r="D14" i="4"/>
  <c r="C14" i="4"/>
  <c r="B14" i="4"/>
  <c r="A14" i="4"/>
  <c r="P13" i="4"/>
  <c r="O13" i="4"/>
  <c r="N13" i="4"/>
  <c r="M13" i="4"/>
  <c r="L13" i="4"/>
  <c r="K13" i="4"/>
  <c r="J13" i="4"/>
  <c r="Q13" i="5" s="1"/>
  <c r="H13" i="4"/>
  <c r="F13" i="4"/>
  <c r="E13" i="4"/>
  <c r="D13" i="4"/>
  <c r="C13" i="4"/>
  <c r="B13" i="4"/>
  <c r="A13" i="4"/>
  <c r="P12" i="4"/>
  <c r="O12" i="4"/>
  <c r="N12" i="4"/>
  <c r="M12" i="4"/>
  <c r="L12" i="4"/>
  <c r="K12" i="4"/>
  <c r="J12" i="4"/>
  <c r="Q12" i="5" s="1"/>
  <c r="H12" i="4"/>
  <c r="B1021" i="3" s="1"/>
  <c r="F12" i="4"/>
  <c r="E12" i="4"/>
  <c r="D12" i="4"/>
  <c r="C12" i="4"/>
  <c r="B12" i="4"/>
  <c r="A12" i="4"/>
  <c r="P11" i="4"/>
  <c r="O11" i="4"/>
  <c r="N11" i="4"/>
  <c r="M11" i="4"/>
  <c r="L11" i="4"/>
  <c r="K11" i="4"/>
  <c r="J11" i="4"/>
  <c r="Q11" i="5" s="1"/>
  <c r="H11" i="4"/>
  <c r="B1020" i="3" s="1"/>
  <c r="F11" i="4"/>
  <c r="E11" i="4"/>
  <c r="D11" i="4"/>
  <c r="C11" i="4"/>
  <c r="B11" i="4"/>
  <c r="A11" i="4"/>
  <c r="P10" i="4"/>
  <c r="O10" i="4"/>
  <c r="N10" i="4"/>
  <c r="M10" i="4"/>
  <c r="L10" i="4"/>
  <c r="K10" i="4"/>
  <c r="J10" i="4"/>
  <c r="Q10" i="5" s="1"/>
  <c r="H10" i="4"/>
  <c r="F10" i="4"/>
  <c r="E10" i="4"/>
  <c r="D10" i="4"/>
  <c r="C10" i="4"/>
  <c r="B10" i="4"/>
  <c r="A10" i="4"/>
  <c r="P9" i="4"/>
  <c r="O9" i="4"/>
  <c r="N9" i="4"/>
  <c r="M9" i="4"/>
  <c r="L9" i="4"/>
  <c r="K9" i="4"/>
  <c r="J9" i="4"/>
  <c r="Q9" i="5" s="1"/>
  <c r="H9" i="4"/>
  <c r="B1018" i="3" s="1"/>
  <c r="F9" i="4"/>
  <c r="E9" i="4"/>
  <c r="D9" i="4"/>
  <c r="C9" i="4"/>
  <c r="B9" i="4"/>
  <c r="A9" i="4"/>
  <c r="P8" i="4"/>
  <c r="O8" i="4"/>
  <c r="N8" i="4"/>
  <c r="M8" i="4"/>
  <c r="L8" i="4"/>
  <c r="K8" i="4"/>
  <c r="J8" i="4"/>
  <c r="Q8" i="5" s="1"/>
  <c r="H8" i="4"/>
  <c r="F8" i="4"/>
  <c r="E8" i="4"/>
  <c r="D8" i="4"/>
  <c r="C8" i="4"/>
  <c r="B8" i="4"/>
  <c r="A8" i="4"/>
  <c r="P7" i="4"/>
  <c r="O7" i="4"/>
  <c r="N7" i="4"/>
  <c r="A2" i="3" s="1"/>
  <c r="M7" i="4"/>
  <c r="L7" i="4"/>
  <c r="K7" i="4"/>
  <c r="J7" i="4"/>
  <c r="Q7" i="5" s="1"/>
  <c r="H7" i="4"/>
  <c r="B1016" i="3" s="1"/>
  <c r="F7" i="4"/>
  <c r="E7" i="4"/>
  <c r="D7" i="4"/>
  <c r="C7" i="4"/>
  <c r="B7" i="4"/>
  <c r="A7" i="4"/>
  <c r="P6" i="4"/>
  <c r="O6" i="4"/>
  <c r="N6" i="4"/>
  <c r="A1" i="2" s="1"/>
  <c r="M6" i="4"/>
  <c r="L6" i="4"/>
  <c r="K6" i="4"/>
  <c r="J6" i="4"/>
  <c r="Q6" i="5" s="1"/>
  <c r="H6" i="4"/>
  <c r="B1015" i="3" s="1"/>
  <c r="F6" i="4"/>
  <c r="E6" i="4"/>
  <c r="D6" i="4"/>
  <c r="C6" i="4"/>
  <c r="B6" i="4"/>
  <c r="A6" i="4"/>
  <c r="B1044" i="3"/>
  <c r="D1044" i="3" s="1"/>
  <c r="B1043" i="3"/>
  <c r="D1043" i="3" s="1"/>
  <c r="B1042" i="3"/>
  <c r="D1042" i="3" s="1"/>
  <c r="B1041" i="3"/>
  <c r="D1041" i="3" s="1"/>
  <c r="B1040" i="3"/>
  <c r="D1040" i="3" s="1"/>
  <c r="B1039" i="3"/>
  <c r="D1039" i="3" s="1"/>
  <c r="B1038" i="3"/>
  <c r="D1038" i="3" s="1"/>
  <c r="B1037" i="3"/>
  <c r="D1037" i="3" s="1"/>
  <c r="B1036" i="3"/>
  <c r="D1036" i="3" s="1"/>
  <c r="B1035" i="3"/>
  <c r="D1035" i="3" s="1"/>
  <c r="B1034" i="3"/>
  <c r="D1034" i="3" s="1"/>
  <c r="B1033" i="3"/>
  <c r="D1033" i="3" s="1"/>
  <c r="B1032" i="3"/>
  <c r="D1032" i="3" s="1"/>
  <c r="B1031" i="3"/>
  <c r="D1031" i="3" s="1"/>
  <c r="B1030" i="3"/>
  <c r="D1030" i="3" s="1"/>
  <c r="B1029" i="3"/>
  <c r="D1029" i="3" s="1"/>
  <c r="B1028" i="3"/>
  <c r="D1028" i="3" s="1"/>
  <c r="B1027" i="3"/>
  <c r="D1027" i="3" s="1"/>
  <c r="B1026" i="3"/>
  <c r="D1026" i="3" s="1"/>
  <c r="B1025" i="3"/>
  <c r="D1025" i="3" s="1"/>
  <c r="B1024" i="3"/>
  <c r="D1024" i="3" s="1"/>
  <c r="B1023" i="3"/>
  <c r="D1023" i="3" s="1"/>
  <c r="B1022" i="3"/>
  <c r="D1022" i="3" s="1"/>
  <c r="B1019" i="3"/>
  <c r="B1017" i="3"/>
  <c r="A2" i="2"/>
  <c r="J1005" i="1"/>
  <c r="F1008" i="1"/>
  <c r="A1008" i="1"/>
  <c r="J1004" i="1"/>
  <c r="F1007" i="1"/>
  <c r="A1007" i="1"/>
  <c r="J1003" i="1"/>
  <c r="F1006" i="1"/>
  <c r="A1006" i="1"/>
  <c r="J1002" i="1"/>
  <c r="F1005" i="1"/>
  <c r="A1005" i="1"/>
  <c r="J1001" i="1"/>
  <c r="F1004" i="1"/>
  <c r="A1004" i="1"/>
  <c r="J1000" i="1"/>
  <c r="F1003" i="1"/>
  <c r="A1003" i="1"/>
  <c r="J999" i="1"/>
  <c r="F1002" i="1"/>
  <c r="A1002" i="1"/>
  <c r="J998" i="1"/>
  <c r="F1001" i="1"/>
  <c r="A1001" i="1"/>
  <c r="J997" i="1"/>
  <c r="F1000" i="1"/>
  <c r="A1000" i="1"/>
  <c r="K999" i="1"/>
  <c r="J996" i="1"/>
  <c r="F999" i="1"/>
  <c r="A999" i="1"/>
  <c r="J995" i="1"/>
  <c r="F998" i="1"/>
  <c r="A998" i="1"/>
  <c r="J994" i="1"/>
  <c r="F997" i="1"/>
  <c r="A997" i="1"/>
  <c r="J993" i="1"/>
  <c r="F996" i="1"/>
  <c r="A996" i="1"/>
  <c r="J992" i="1"/>
  <c r="F995" i="1"/>
  <c r="A995" i="1"/>
  <c r="J991" i="1"/>
  <c r="F994" i="1"/>
  <c r="A994" i="1"/>
  <c r="J990" i="1"/>
  <c r="F993" i="1"/>
  <c r="A993" i="1"/>
  <c r="J989" i="1"/>
  <c r="F992" i="1"/>
  <c r="A992" i="1"/>
  <c r="J988" i="1"/>
  <c r="F991" i="1"/>
  <c r="A991" i="1"/>
  <c r="J987" i="1"/>
  <c r="F990" i="1"/>
  <c r="A990" i="1"/>
  <c r="J986" i="1"/>
  <c r="F989" i="1"/>
  <c r="A989" i="1"/>
  <c r="J985" i="1"/>
  <c r="F988" i="1"/>
  <c r="A988" i="1"/>
  <c r="J984" i="1"/>
  <c r="F987" i="1"/>
  <c r="A987" i="1"/>
  <c r="J983" i="1"/>
  <c r="F986" i="1"/>
  <c r="A986" i="1"/>
  <c r="J982" i="1"/>
  <c r="F985" i="1"/>
  <c r="A985" i="1"/>
  <c r="J981" i="1"/>
  <c r="F984" i="1"/>
  <c r="A984" i="1"/>
  <c r="K983" i="1"/>
  <c r="J980" i="1"/>
  <c r="F983" i="1"/>
  <c r="A983" i="1"/>
  <c r="J979" i="1"/>
  <c r="F982" i="1"/>
  <c r="A982" i="1"/>
  <c r="J978" i="1"/>
  <c r="F981" i="1"/>
  <c r="A981" i="1"/>
  <c r="J977" i="1"/>
  <c r="F980" i="1"/>
  <c r="A980" i="1"/>
  <c r="J976" i="1"/>
  <c r="F979" i="1"/>
  <c r="A979" i="1"/>
  <c r="J975" i="1"/>
  <c r="F978" i="1"/>
  <c r="A978" i="1"/>
  <c r="J974" i="1"/>
  <c r="F977" i="1"/>
  <c r="A977" i="1"/>
  <c r="J973" i="1"/>
  <c r="F976" i="1"/>
  <c r="A976" i="1"/>
  <c r="J972" i="1"/>
  <c r="F975" i="1"/>
  <c r="A975" i="1"/>
  <c r="J971" i="1"/>
  <c r="F974" i="1"/>
  <c r="A974" i="1"/>
  <c r="J970" i="1"/>
  <c r="F973" i="1"/>
  <c r="A973" i="1"/>
  <c r="J969" i="1"/>
  <c r="F972" i="1"/>
  <c r="A972" i="1"/>
  <c r="J968" i="1"/>
  <c r="F971" i="1"/>
  <c r="A971" i="1"/>
  <c r="J967" i="1"/>
  <c r="F970" i="1"/>
  <c r="A970" i="1"/>
  <c r="J966" i="1"/>
  <c r="F969" i="1"/>
  <c r="A969" i="1"/>
  <c r="J965" i="1"/>
  <c r="F968" i="1"/>
  <c r="A968" i="1"/>
  <c r="J964" i="1"/>
  <c r="F967" i="1"/>
  <c r="A967" i="1"/>
  <c r="J963" i="1"/>
  <c r="F966" i="1"/>
  <c r="A966" i="1"/>
  <c r="J962" i="1"/>
  <c r="F965" i="1"/>
  <c r="A965" i="1"/>
  <c r="J961" i="1"/>
  <c r="F964" i="1"/>
  <c r="A964" i="1"/>
  <c r="J960" i="1"/>
  <c r="F963" i="1"/>
  <c r="A963" i="1"/>
  <c r="J959" i="1"/>
  <c r="F962" i="1"/>
  <c r="A962" i="1"/>
  <c r="J958" i="1"/>
  <c r="F961" i="1"/>
  <c r="A961" i="1"/>
  <c r="J957" i="1"/>
  <c r="F960" i="1"/>
  <c r="A960" i="1"/>
  <c r="J956" i="1"/>
  <c r="F959" i="1"/>
  <c r="A959" i="1"/>
  <c r="J955" i="1"/>
  <c r="F958" i="1"/>
  <c r="A958" i="1"/>
  <c r="J954" i="1"/>
  <c r="F957" i="1"/>
  <c r="A957" i="1"/>
  <c r="J953" i="1"/>
  <c r="F956" i="1"/>
  <c r="A956" i="1"/>
  <c r="J952" i="1"/>
  <c r="F955" i="1"/>
  <c r="A955" i="1"/>
  <c r="J951" i="1"/>
  <c r="F954" i="1"/>
  <c r="A954" i="1"/>
  <c r="J950" i="1"/>
  <c r="F953" i="1"/>
  <c r="A953" i="1"/>
  <c r="J949" i="1"/>
  <c r="F952" i="1"/>
  <c r="A952" i="1"/>
  <c r="J948" i="1"/>
  <c r="F951" i="1"/>
  <c r="A951" i="1"/>
  <c r="J947" i="1"/>
  <c r="F950" i="1"/>
  <c r="A950" i="1"/>
  <c r="J946" i="1"/>
  <c r="F949" i="1"/>
  <c r="A949" i="1"/>
  <c r="J945" i="1"/>
  <c r="F948" i="1"/>
  <c r="A948" i="1"/>
  <c r="J944" i="1"/>
  <c r="F947" i="1"/>
  <c r="A947" i="1"/>
  <c r="J943" i="1"/>
  <c r="F946" i="1"/>
  <c r="A946" i="1"/>
  <c r="J942" i="1"/>
  <c r="F945" i="1"/>
  <c r="A945" i="1"/>
  <c r="J941" i="1"/>
  <c r="F944" i="1"/>
  <c r="A944" i="1"/>
  <c r="J940" i="1"/>
  <c r="F943" i="1"/>
  <c r="A943" i="1"/>
  <c r="J939" i="1"/>
  <c r="F942" i="1"/>
  <c r="A942" i="1"/>
  <c r="J938" i="1"/>
  <c r="F941" i="1"/>
  <c r="A941" i="1"/>
  <c r="J937" i="1"/>
  <c r="F940" i="1"/>
  <c r="A940" i="1"/>
  <c r="J936" i="1"/>
  <c r="F939" i="1"/>
  <c r="A939" i="1"/>
  <c r="J935" i="1"/>
  <c r="F938" i="1"/>
  <c r="A938" i="1"/>
  <c r="J934" i="1"/>
  <c r="F937" i="1"/>
  <c r="A937" i="1"/>
  <c r="J933" i="1"/>
  <c r="F936" i="1"/>
  <c r="A936" i="1"/>
  <c r="J932" i="1"/>
  <c r="F935" i="1"/>
  <c r="A935" i="1"/>
  <c r="J931" i="1"/>
  <c r="F934" i="1"/>
  <c r="A934" i="1"/>
  <c r="J930" i="1"/>
  <c r="F933" i="1"/>
  <c r="A933" i="1"/>
  <c r="J929" i="1"/>
  <c r="F932" i="1"/>
  <c r="A932" i="1"/>
  <c r="J928" i="1"/>
  <c r="F931" i="1"/>
  <c r="A931" i="1"/>
  <c r="J927" i="1"/>
  <c r="F930" i="1"/>
  <c r="A930" i="1"/>
  <c r="J926" i="1"/>
  <c r="F929" i="1"/>
  <c r="A929" i="1"/>
  <c r="J925" i="1"/>
  <c r="F928" i="1"/>
  <c r="A928" i="1"/>
  <c r="J924" i="1"/>
  <c r="F927" i="1"/>
  <c r="A927" i="1"/>
  <c r="J923" i="1"/>
  <c r="F926" i="1"/>
  <c r="A926" i="1"/>
  <c r="J922" i="1"/>
  <c r="F925" i="1"/>
  <c r="A925" i="1"/>
  <c r="J921" i="1"/>
  <c r="F924" i="1"/>
  <c r="A924" i="1"/>
  <c r="J920" i="1"/>
  <c r="F923" i="1"/>
  <c r="A923" i="1"/>
  <c r="J919" i="1"/>
  <c r="F922" i="1"/>
  <c r="A922" i="1"/>
  <c r="J918" i="1"/>
  <c r="F921" i="1"/>
  <c r="A921" i="1"/>
  <c r="J917" i="1"/>
  <c r="F920" i="1"/>
  <c r="A920" i="1"/>
  <c r="J916" i="1"/>
  <c r="F919" i="1"/>
  <c r="A919" i="1"/>
  <c r="J915" i="1"/>
  <c r="F918" i="1"/>
  <c r="A918" i="1"/>
  <c r="J914" i="1"/>
  <c r="F917" i="1"/>
  <c r="A917" i="1"/>
  <c r="J913" i="1"/>
  <c r="F916" i="1"/>
  <c r="A916" i="1"/>
  <c r="J912" i="1"/>
  <c r="F915" i="1"/>
  <c r="A915" i="1"/>
  <c r="J911" i="1"/>
  <c r="F914" i="1"/>
  <c r="A914" i="1"/>
  <c r="J910" i="1"/>
  <c r="F913" i="1"/>
  <c r="A913" i="1"/>
  <c r="J909" i="1"/>
  <c r="F912" i="1"/>
  <c r="A912" i="1"/>
  <c r="J908" i="1"/>
  <c r="F911" i="1"/>
  <c r="A911" i="1"/>
  <c r="J907" i="1"/>
  <c r="F910" i="1"/>
  <c r="A910" i="1"/>
  <c r="J906" i="1"/>
  <c r="F909" i="1"/>
  <c r="A909" i="1"/>
  <c r="J905" i="1"/>
  <c r="F908" i="1"/>
  <c r="A908" i="1"/>
  <c r="J904" i="1"/>
  <c r="F907" i="1"/>
  <c r="A907" i="1"/>
  <c r="J903" i="1"/>
  <c r="F906" i="1"/>
  <c r="A906" i="1"/>
  <c r="J902" i="1"/>
  <c r="F905" i="1"/>
  <c r="A905" i="1"/>
  <c r="J901" i="1"/>
  <c r="F904" i="1"/>
  <c r="A904" i="1"/>
  <c r="J900" i="1"/>
  <c r="F903" i="1"/>
  <c r="A903" i="1"/>
  <c r="J899" i="1"/>
  <c r="F902" i="1"/>
  <c r="A902" i="1"/>
  <c r="J898" i="1"/>
  <c r="F901" i="1"/>
  <c r="A901" i="1"/>
  <c r="J897" i="1"/>
  <c r="F900" i="1"/>
  <c r="A900" i="1"/>
  <c r="J896" i="1"/>
  <c r="F899" i="1"/>
  <c r="A899" i="1"/>
  <c r="J895" i="1"/>
  <c r="F898" i="1"/>
  <c r="A898" i="1"/>
  <c r="J894" i="1"/>
  <c r="F897" i="1"/>
  <c r="A897" i="1"/>
  <c r="J893" i="1"/>
  <c r="F896" i="1"/>
  <c r="A896" i="1"/>
  <c r="J892" i="1"/>
  <c r="F895" i="1"/>
  <c r="A895" i="1"/>
  <c r="J891" i="1"/>
  <c r="F894" i="1"/>
  <c r="A894" i="1"/>
  <c r="J890" i="1"/>
  <c r="F893" i="1"/>
  <c r="A893" i="1"/>
  <c r="J889" i="1"/>
  <c r="F892" i="1"/>
  <c r="A892" i="1"/>
  <c r="J888" i="1"/>
  <c r="F891" i="1"/>
  <c r="A891" i="1"/>
  <c r="J887" i="1"/>
  <c r="F890" i="1"/>
  <c r="A890" i="1"/>
  <c r="J886" i="1"/>
  <c r="F889" i="1"/>
  <c r="A889" i="1"/>
  <c r="J885" i="1"/>
  <c r="F888" i="1"/>
  <c r="A888" i="1"/>
  <c r="J884" i="1"/>
  <c r="F887" i="1"/>
  <c r="A887" i="1"/>
  <c r="J883" i="1"/>
  <c r="F886" i="1"/>
  <c r="A886" i="1"/>
  <c r="J882" i="1"/>
  <c r="F885" i="1"/>
  <c r="A885" i="1"/>
  <c r="J881" i="1"/>
  <c r="F884" i="1"/>
  <c r="A884" i="1"/>
  <c r="J880" i="1"/>
  <c r="F883" i="1"/>
  <c r="A883" i="1"/>
  <c r="J879" i="1"/>
  <c r="F882" i="1"/>
  <c r="A882" i="1"/>
  <c r="J878" i="1"/>
  <c r="F881" i="1"/>
  <c r="A881" i="1"/>
  <c r="J877" i="1"/>
  <c r="F880" i="1"/>
  <c r="A880" i="1"/>
  <c r="J876" i="1"/>
  <c r="F879" i="1"/>
  <c r="A879" i="1"/>
  <c r="J875" i="1"/>
  <c r="F878" i="1"/>
  <c r="A878" i="1"/>
  <c r="J874" i="1"/>
  <c r="F877" i="1"/>
  <c r="A877" i="1"/>
  <c r="J873" i="1"/>
  <c r="F876" i="1"/>
  <c r="A876" i="1"/>
  <c r="J872" i="1"/>
  <c r="F875" i="1"/>
  <c r="A875" i="1"/>
  <c r="J871" i="1"/>
  <c r="F874" i="1"/>
  <c r="A874" i="1"/>
  <c r="J870" i="1"/>
  <c r="F873" i="1"/>
  <c r="A873" i="1"/>
  <c r="J869" i="1"/>
  <c r="F872" i="1"/>
  <c r="A872" i="1"/>
  <c r="J868" i="1"/>
  <c r="F871" i="1"/>
  <c r="A871" i="1"/>
  <c r="J867" i="1"/>
  <c r="F870" i="1"/>
  <c r="A870" i="1"/>
  <c r="J866" i="1"/>
  <c r="F869" i="1"/>
  <c r="A869" i="1"/>
  <c r="J865" i="1"/>
  <c r="F868" i="1"/>
  <c r="A868" i="1"/>
  <c r="J864" i="1"/>
  <c r="F867" i="1"/>
  <c r="A867" i="1"/>
  <c r="J863" i="1"/>
  <c r="F866" i="1"/>
  <c r="A866" i="1"/>
  <c r="J862" i="1"/>
  <c r="F865" i="1"/>
  <c r="A865" i="1"/>
  <c r="J861" i="1"/>
  <c r="F864" i="1"/>
  <c r="A864" i="1"/>
  <c r="J860" i="1"/>
  <c r="F863" i="1"/>
  <c r="A863" i="1"/>
  <c r="J859" i="1"/>
  <c r="F862" i="1"/>
  <c r="A862" i="1"/>
  <c r="J858" i="1"/>
  <c r="F861" i="1"/>
  <c r="A861" i="1"/>
  <c r="J857" i="1"/>
  <c r="F860" i="1"/>
  <c r="A860" i="1"/>
  <c r="J856" i="1"/>
  <c r="F859" i="1"/>
  <c r="A859" i="1"/>
  <c r="J855" i="1"/>
  <c r="F858" i="1"/>
  <c r="A858" i="1"/>
  <c r="J854" i="1"/>
  <c r="F857" i="1"/>
  <c r="A857" i="1"/>
  <c r="J853" i="1"/>
  <c r="F856" i="1"/>
  <c r="A856" i="1"/>
  <c r="J852" i="1"/>
  <c r="F855" i="1"/>
  <c r="A855" i="1"/>
  <c r="J851" i="1"/>
  <c r="F854" i="1"/>
  <c r="A854" i="1"/>
  <c r="J850" i="1"/>
  <c r="F853" i="1"/>
  <c r="A853" i="1"/>
  <c r="J849" i="1"/>
  <c r="F852" i="1"/>
  <c r="A852" i="1"/>
  <c r="J848" i="1"/>
  <c r="F851" i="1"/>
  <c r="A851" i="1"/>
  <c r="J847" i="1"/>
  <c r="F850" i="1"/>
  <c r="A850" i="1"/>
  <c r="J846" i="1"/>
  <c r="F849" i="1"/>
  <c r="A849" i="1"/>
  <c r="J845" i="1"/>
  <c r="F848" i="1"/>
  <c r="A848" i="1"/>
  <c r="J844" i="1"/>
  <c r="F847" i="1"/>
  <c r="A847" i="1"/>
  <c r="J843" i="1"/>
  <c r="F846" i="1"/>
  <c r="A846" i="1"/>
  <c r="J842" i="1"/>
  <c r="F845" i="1"/>
  <c r="A845" i="1"/>
  <c r="J841" i="1"/>
  <c r="F844" i="1"/>
  <c r="A844" i="1"/>
  <c r="J840" i="1"/>
  <c r="F843" i="1"/>
  <c r="A843" i="1"/>
  <c r="J839" i="1"/>
  <c r="F842" i="1"/>
  <c r="A842" i="1"/>
  <c r="J838" i="1"/>
  <c r="F841" i="1"/>
  <c r="A841" i="1"/>
  <c r="J837" i="1"/>
  <c r="F840" i="1"/>
  <c r="A840" i="1"/>
  <c r="J836" i="1"/>
  <c r="F839" i="1"/>
  <c r="A839" i="1"/>
  <c r="J835" i="1"/>
  <c r="F838" i="1"/>
  <c r="A838" i="1"/>
  <c r="J834" i="1"/>
  <c r="F837" i="1"/>
  <c r="A837" i="1"/>
  <c r="J833" i="1"/>
  <c r="F836" i="1"/>
  <c r="A836" i="1"/>
  <c r="J832" i="1"/>
  <c r="F835" i="1"/>
  <c r="A835" i="1"/>
  <c r="J831" i="1"/>
  <c r="F834" i="1"/>
  <c r="A834" i="1"/>
  <c r="J830" i="1"/>
  <c r="F833" i="1"/>
  <c r="A833" i="1"/>
  <c r="J829" i="1"/>
  <c r="F832" i="1"/>
  <c r="A832" i="1"/>
  <c r="J828" i="1"/>
  <c r="F831" i="1"/>
  <c r="A831" i="1"/>
  <c r="J827" i="1"/>
  <c r="F830" i="1"/>
  <c r="A830" i="1"/>
  <c r="J826" i="1"/>
  <c r="F829" i="1"/>
  <c r="A829" i="1"/>
  <c r="J825" i="1"/>
  <c r="F828" i="1"/>
  <c r="A828" i="1"/>
  <c r="J824" i="1"/>
  <c r="F827" i="1"/>
  <c r="A827" i="1"/>
  <c r="J823" i="1"/>
  <c r="F826" i="1"/>
  <c r="A826" i="1"/>
  <c r="J822" i="1"/>
  <c r="F825" i="1"/>
  <c r="A825" i="1"/>
  <c r="J821" i="1"/>
  <c r="F824" i="1"/>
  <c r="A824" i="1"/>
  <c r="J820" i="1"/>
  <c r="F823" i="1"/>
  <c r="A823" i="1"/>
  <c r="J819" i="1"/>
  <c r="F822" i="1"/>
  <c r="A822" i="1"/>
  <c r="J818" i="1"/>
  <c r="F821" i="1"/>
  <c r="A821" i="1"/>
  <c r="J817" i="1"/>
  <c r="F820" i="1"/>
  <c r="A820" i="1"/>
  <c r="J816" i="1"/>
  <c r="F819" i="1"/>
  <c r="A819" i="1"/>
  <c r="J815" i="1"/>
  <c r="F818" i="1"/>
  <c r="A818" i="1"/>
  <c r="J814" i="1"/>
  <c r="F817" i="1"/>
  <c r="A817" i="1"/>
  <c r="K816" i="1"/>
  <c r="J813" i="1"/>
  <c r="F816" i="1"/>
  <c r="A816" i="1"/>
  <c r="J812" i="1"/>
  <c r="F815" i="1"/>
  <c r="A815" i="1"/>
  <c r="K814" i="1"/>
  <c r="J811" i="1"/>
  <c r="F814" i="1"/>
  <c r="A814" i="1"/>
  <c r="J810" i="1"/>
  <c r="F813" i="1"/>
  <c r="A813" i="1"/>
  <c r="J809" i="1"/>
  <c r="F812" i="1"/>
  <c r="A812" i="1"/>
  <c r="J808" i="1"/>
  <c r="F811" i="1"/>
  <c r="A811" i="1"/>
  <c r="J807" i="1"/>
  <c r="F810" i="1"/>
  <c r="A810" i="1"/>
  <c r="J806" i="1"/>
  <c r="F809" i="1"/>
  <c r="A809" i="1"/>
  <c r="J805" i="1"/>
  <c r="F808" i="1"/>
  <c r="A808" i="1"/>
  <c r="J804" i="1"/>
  <c r="F807" i="1"/>
  <c r="A807" i="1"/>
  <c r="J803" i="1"/>
  <c r="F806" i="1"/>
  <c r="A806" i="1"/>
  <c r="J802" i="1"/>
  <c r="F805" i="1"/>
  <c r="A805" i="1"/>
  <c r="J801" i="1"/>
  <c r="F804" i="1"/>
  <c r="A804" i="1"/>
  <c r="J800" i="1"/>
  <c r="F803" i="1"/>
  <c r="A803" i="1"/>
  <c r="J799" i="1"/>
  <c r="F802" i="1"/>
  <c r="A802" i="1"/>
  <c r="J798" i="1"/>
  <c r="F801" i="1"/>
  <c r="A801" i="1"/>
  <c r="J797" i="1"/>
  <c r="F800" i="1"/>
  <c r="A800" i="1"/>
  <c r="J796" i="1"/>
  <c r="F799" i="1"/>
  <c r="A799" i="1"/>
  <c r="J795" i="1"/>
  <c r="F798" i="1"/>
  <c r="A798" i="1"/>
  <c r="J794" i="1"/>
  <c r="F797" i="1"/>
  <c r="A797" i="1"/>
  <c r="J793" i="1"/>
  <c r="F796" i="1"/>
  <c r="A796" i="1"/>
  <c r="J792" i="1"/>
  <c r="F795" i="1"/>
  <c r="A795" i="1"/>
  <c r="J791" i="1"/>
  <c r="F794" i="1"/>
  <c r="A794" i="1"/>
  <c r="J790" i="1"/>
  <c r="F793" i="1"/>
  <c r="A793" i="1"/>
  <c r="J789" i="1"/>
  <c r="F792" i="1"/>
  <c r="A792" i="1"/>
  <c r="J788" i="1"/>
  <c r="F791" i="1"/>
  <c r="A791" i="1"/>
  <c r="J787" i="1"/>
  <c r="F790" i="1"/>
  <c r="A790" i="1"/>
  <c r="J786" i="1"/>
  <c r="F789" i="1"/>
  <c r="A789" i="1"/>
  <c r="J785" i="1"/>
  <c r="F788" i="1"/>
  <c r="A788" i="1"/>
  <c r="J784" i="1"/>
  <c r="F787" i="1"/>
  <c r="A787" i="1"/>
  <c r="J783" i="1"/>
  <c r="F786" i="1"/>
  <c r="A786" i="1"/>
  <c r="J782" i="1"/>
  <c r="F785" i="1"/>
  <c r="A785" i="1"/>
  <c r="J781" i="1"/>
  <c r="F784" i="1"/>
  <c r="A784" i="1"/>
  <c r="J780" i="1"/>
  <c r="F783" i="1"/>
  <c r="A783" i="1"/>
  <c r="J779" i="1"/>
  <c r="F782" i="1"/>
  <c r="A782" i="1"/>
  <c r="J778" i="1"/>
  <c r="F781" i="1"/>
  <c r="A781" i="1"/>
  <c r="J777" i="1"/>
  <c r="F780" i="1"/>
  <c r="A780" i="1"/>
  <c r="J776" i="1"/>
  <c r="F779" i="1"/>
  <c r="A779" i="1"/>
  <c r="J775" i="1"/>
  <c r="F778" i="1"/>
  <c r="A778" i="1"/>
  <c r="J774" i="1"/>
  <c r="F777" i="1"/>
  <c r="A777" i="1"/>
  <c r="J773" i="1"/>
  <c r="F776" i="1"/>
  <c r="A776" i="1"/>
  <c r="J772" i="1"/>
  <c r="F775" i="1"/>
  <c r="A775" i="1"/>
  <c r="J771" i="1"/>
  <c r="F774" i="1"/>
  <c r="A774" i="1"/>
  <c r="J770" i="1"/>
  <c r="F773" i="1"/>
  <c r="A773" i="1"/>
  <c r="J769" i="1"/>
  <c r="F772" i="1"/>
  <c r="A772" i="1"/>
  <c r="J768" i="1"/>
  <c r="F771" i="1"/>
  <c r="A771" i="1"/>
  <c r="J767" i="1"/>
  <c r="F770" i="1"/>
  <c r="A770" i="1"/>
  <c r="J766" i="1"/>
  <c r="F769" i="1"/>
  <c r="A769" i="1"/>
  <c r="J765" i="1"/>
  <c r="F768" i="1"/>
  <c r="A768" i="1"/>
  <c r="J764" i="1"/>
  <c r="F767" i="1"/>
  <c r="A767" i="1"/>
  <c r="J763" i="1"/>
  <c r="F766" i="1"/>
  <c r="A766" i="1"/>
  <c r="J762" i="1"/>
  <c r="F765" i="1"/>
  <c r="A765" i="1"/>
  <c r="J761" i="1"/>
  <c r="F764" i="1"/>
  <c r="A764" i="1"/>
  <c r="J760" i="1"/>
  <c r="F763" i="1"/>
  <c r="A763" i="1"/>
  <c r="J759" i="1"/>
  <c r="F762" i="1"/>
  <c r="A762" i="1"/>
  <c r="J758" i="1"/>
  <c r="F761" i="1"/>
  <c r="A761" i="1"/>
  <c r="J757" i="1"/>
  <c r="F760" i="1"/>
  <c r="A760" i="1"/>
  <c r="J756" i="1"/>
  <c r="F759" i="1"/>
  <c r="A759" i="1"/>
  <c r="J755" i="1"/>
  <c r="F758" i="1"/>
  <c r="A758" i="1"/>
  <c r="J754" i="1"/>
  <c r="F757" i="1"/>
  <c r="A757" i="1"/>
  <c r="J753" i="1"/>
  <c r="F756" i="1"/>
  <c r="A756" i="1"/>
  <c r="J752" i="1"/>
  <c r="F755" i="1"/>
  <c r="A755" i="1"/>
  <c r="J751" i="1"/>
  <c r="F754" i="1"/>
  <c r="A754" i="1"/>
  <c r="J750" i="1"/>
  <c r="F753" i="1"/>
  <c r="A753" i="1"/>
  <c r="J749" i="1"/>
  <c r="F752" i="1"/>
  <c r="A752" i="1"/>
  <c r="J748" i="1"/>
  <c r="F751" i="1"/>
  <c r="A751" i="1"/>
  <c r="J747" i="1"/>
  <c r="F750" i="1"/>
  <c r="A750" i="1"/>
  <c r="J746" i="1"/>
  <c r="F749" i="1"/>
  <c r="A749" i="1"/>
  <c r="J745" i="1"/>
  <c r="F748" i="1"/>
  <c r="A748" i="1"/>
  <c r="J744" i="1"/>
  <c r="F747" i="1"/>
  <c r="A747" i="1"/>
  <c r="J743" i="1"/>
  <c r="F746" i="1"/>
  <c r="A746" i="1"/>
  <c r="J742" i="1"/>
  <c r="F745" i="1"/>
  <c r="A745" i="1"/>
  <c r="J741" i="1"/>
  <c r="F744" i="1"/>
  <c r="A744" i="1"/>
  <c r="J740" i="1"/>
  <c r="F743" i="1"/>
  <c r="A743" i="1"/>
  <c r="J739" i="1"/>
  <c r="F742" i="1"/>
  <c r="A742" i="1"/>
  <c r="J738" i="1"/>
  <c r="F741" i="1"/>
  <c r="A741" i="1"/>
  <c r="J737" i="1"/>
  <c r="F740" i="1"/>
  <c r="A740" i="1"/>
  <c r="J736" i="1"/>
  <c r="F739" i="1"/>
  <c r="A739" i="1"/>
  <c r="J735" i="1"/>
  <c r="F738" i="1"/>
  <c r="A738" i="1"/>
  <c r="J734" i="1"/>
  <c r="F737" i="1"/>
  <c r="A737" i="1"/>
  <c r="J733" i="1"/>
  <c r="F736" i="1"/>
  <c r="A736" i="1"/>
  <c r="J732" i="1"/>
  <c r="F735" i="1"/>
  <c r="A735" i="1"/>
  <c r="J731" i="1"/>
  <c r="F734" i="1"/>
  <c r="A734" i="1"/>
  <c r="J730" i="1"/>
  <c r="F733" i="1"/>
  <c r="A733" i="1"/>
  <c r="J729" i="1"/>
  <c r="F732" i="1"/>
  <c r="A732" i="1"/>
  <c r="J728" i="1"/>
  <c r="F731" i="1"/>
  <c r="A731" i="1"/>
  <c r="J727" i="1"/>
  <c r="F730" i="1"/>
  <c r="A730" i="1"/>
  <c r="J726" i="1"/>
  <c r="F729" i="1"/>
  <c r="A729" i="1"/>
  <c r="J725" i="1"/>
  <c r="F728" i="1"/>
  <c r="A728" i="1"/>
  <c r="J724" i="1"/>
  <c r="F727" i="1"/>
  <c r="A727" i="1"/>
  <c r="J723" i="1"/>
  <c r="F726" i="1"/>
  <c r="A726" i="1"/>
  <c r="J722" i="1"/>
  <c r="F725" i="1"/>
  <c r="A725" i="1"/>
  <c r="J721" i="1"/>
  <c r="F724" i="1"/>
  <c r="A724" i="1"/>
  <c r="J720" i="1"/>
  <c r="F723" i="1"/>
  <c r="A723" i="1"/>
  <c r="J719" i="1"/>
  <c r="F722" i="1"/>
  <c r="A722" i="1"/>
  <c r="J718" i="1"/>
  <c r="F721" i="1"/>
  <c r="A721" i="1"/>
  <c r="J717" i="1"/>
  <c r="F720" i="1"/>
  <c r="A720" i="1"/>
  <c r="J716" i="1"/>
  <c r="F719" i="1"/>
  <c r="A719" i="1"/>
  <c r="J715" i="1"/>
  <c r="F718" i="1"/>
  <c r="A718" i="1"/>
  <c r="J714" i="1"/>
  <c r="F717" i="1"/>
  <c r="A717" i="1"/>
  <c r="J713" i="1"/>
  <c r="F716" i="1"/>
  <c r="A716" i="1"/>
  <c r="J712" i="1"/>
  <c r="F715" i="1"/>
  <c r="A715" i="1"/>
  <c r="J711" i="1"/>
  <c r="F714" i="1"/>
  <c r="A714" i="1"/>
  <c r="J710" i="1"/>
  <c r="F713" i="1"/>
  <c r="A713" i="1"/>
  <c r="J709" i="1"/>
  <c r="F712" i="1"/>
  <c r="A712" i="1"/>
  <c r="J708" i="1"/>
  <c r="F711" i="1"/>
  <c r="A711" i="1"/>
  <c r="J707" i="1"/>
  <c r="F710" i="1"/>
  <c r="A710" i="1"/>
  <c r="J706" i="1"/>
  <c r="F709" i="1"/>
  <c r="A709" i="1"/>
  <c r="J705" i="1"/>
  <c r="F708" i="1"/>
  <c r="A708" i="1"/>
  <c r="J704" i="1"/>
  <c r="F707" i="1"/>
  <c r="A707" i="1"/>
  <c r="J703" i="1"/>
  <c r="F706" i="1"/>
  <c r="A706" i="1"/>
  <c r="J702" i="1"/>
  <c r="F705" i="1"/>
  <c r="A705" i="1"/>
  <c r="J701" i="1"/>
  <c r="F704" i="1"/>
  <c r="A704" i="1"/>
  <c r="J700" i="1"/>
  <c r="F703" i="1"/>
  <c r="A703" i="1"/>
  <c r="J699" i="1"/>
  <c r="F702" i="1"/>
  <c r="A702" i="1"/>
  <c r="J698" i="1"/>
  <c r="F701" i="1"/>
  <c r="A701" i="1"/>
  <c r="J697" i="1"/>
  <c r="F700" i="1"/>
  <c r="A700" i="1"/>
  <c r="J696" i="1"/>
  <c r="F699" i="1"/>
  <c r="A699" i="1"/>
  <c r="J695" i="1"/>
  <c r="F698" i="1"/>
  <c r="A698" i="1"/>
  <c r="J694" i="1"/>
  <c r="F697" i="1"/>
  <c r="A697" i="1"/>
  <c r="J693" i="1"/>
  <c r="F696" i="1"/>
  <c r="A696" i="1"/>
  <c r="J692" i="1"/>
  <c r="F695" i="1"/>
  <c r="A695" i="1"/>
  <c r="J691" i="1"/>
  <c r="F694" i="1"/>
  <c r="A694" i="1"/>
  <c r="J690" i="1"/>
  <c r="F693" i="1"/>
  <c r="A693" i="1"/>
  <c r="J689" i="1"/>
  <c r="F692" i="1"/>
  <c r="A692" i="1"/>
  <c r="J688" i="1"/>
  <c r="F691" i="1"/>
  <c r="A691" i="1"/>
  <c r="J687" i="1"/>
  <c r="F690" i="1"/>
  <c r="A690" i="1"/>
  <c r="J686" i="1"/>
  <c r="F689" i="1"/>
  <c r="A689" i="1"/>
  <c r="J685" i="1"/>
  <c r="F688" i="1"/>
  <c r="A688" i="1"/>
  <c r="J684" i="1"/>
  <c r="F687" i="1"/>
  <c r="A687" i="1"/>
  <c r="J683" i="1"/>
  <c r="F686" i="1"/>
  <c r="A686" i="1"/>
  <c r="J682" i="1"/>
  <c r="F685" i="1"/>
  <c r="A685" i="1"/>
  <c r="J681" i="1"/>
  <c r="F684" i="1"/>
  <c r="A684" i="1"/>
  <c r="J680" i="1"/>
  <c r="F683" i="1"/>
  <c r="A683" i="1"/>
  <c r="J679" i="1"/>
  <c r="F682" i="1"/>
  <c r="A682" i="1"/>
  <c r="J678" i="1"/>
  <c r="F681" i="1"/>
  <c r="A681" i="1"/>
  <c r="J677" i="1"/>
  <c r="F680" i="1"/>
  <c r="A680" i="1"/>
  <c r="J676" i="1"/>
  <c r="F679" i="1"/>
  <c r="A679" i="1"/>
  <c r="J675" i="1"/>
  <c r="F678" i="1"/>
  <c r="A678" i="1"/>
  <c r="J674" i="1"/>
  <c r="F677" i="1"/>
  <c r="A677" i="1"/>
  <c r="J673" i="1"/>
  <c r="F676" i="1"/>
  <c r="A676" i="1"/>
  <c r="J672" i="1"/>
  <c r="F675" i="1"/>
  <c r="A675" i="1"/>
  <c r="J671" i="1"/>
  <c r="F674" i="1"/>
  <c r="A674" i="1"/>
  <c r="J670" i="1"/>
  <c r="F673" i="1"/>
  <c r="A673" i="1"/>
  <c r="J669" i="1"/>
  <c r="F672" i="1"/>
  <c r="A672" i="1"/>
  <c r="J668" i="1"/>
  <c r="F671" i="1"/>
  <c r="A671" i="1"/>
  <c r="J667" i="1"/>
  <c r="F670" i="1"/>
  <c r="A670" i="1"/>
  <c r="J666" i="1"/>
  <c r="F669" i="1"/>
  <c r="A669" i="1"/>
  <c r="J665" i="1"/>
  <c r="F668" i="1"/>
  <c r="A668" i="1"/>
  <c r="J664" i="1"/>
  <c r="F667" i="1"/>
  <c r="A667" i="1"/>
  <c r="J663" i="1"/>
  <c r="F666" i="1"/>
  <c r="A666" i="1"/>
  <c r="J662" i="1"/>
  <c r="F665" i="1"/>
  <c r="A665" i="1"/>
  <c r="J661" i="1"/>
  <c r="F664" i="1"/>
  <c r="A664" i="1"/>
  <c r="J660" i="1"/>
  <c r="F663" i="1"/>
  <c r="A663" i="1"/>
  <c r="J659" i="1"/>
  <c r="F662" i="1"/>
  <c r="A662" i="1"/>
  <c r="J658" i="1"/>
  <c r="F661" i="1"/>
  <c r="A661" i="1"/>
  <c r="J657" i="1"/>
  <c r="F660" i="1"/>
  <c r="A660" i="1"/>
  <c r="J656" i="1"/>
  <c r="F659" i="1"/>
  <c r="A659" i="1"/>
  <c r="J655" i="1"/>
  <c r="F658" i="1"/>
  <c r="A658" i="1"/>
  <c r="J654" i="1"/>
  <c r="F657" i="1"/>
  <c r="A657" i="1"/>
  <c r="J653" i="1"/>
  <c r="F656" i="1"/>
  <c r="A656" i="1"/>
  <c r="J652" i="1"/>
  <c r="F655" i="1"/>
  <c r="A655" i="1"/>
  <c r="J651" i="1"/>
  <c r="F654" i="1"/>
  <c r="A654" i="1"/>
  <c r="J650" i="1"/>
  <c r="F653" i="1"/>
  <c r="A653" i="1"/>
  <c r="J649" i="1"/>
  <c r="F652" i="1"/>
  <c r="A652" i="1"/>
  <c r="J648" i="1"/>
  <c r="F651" i="1"/>
  <c r="A651" i="1"/>
  <c r="J647" i="1"/>
  <c r="F650" i="1"/>
  <c r="A650" i="1"/>
  <c r="J646" i="1"/>
  <c r="F649" i="1"/>
  <c r="A649" i="1"/>
  <c r="J645" i="1"/>
  <c r="F648" i="1"/>
  <c r="A648" i="1"/>
  <c r="J644" i="1"/>
  <c r="F647" i="1"/>
  <c r="A647" i="1"/>
  <c r="J643" i="1"/>
  <c r="F646" i="1"/>
  <c r="A646" i="1"/>
  <c r="J642" i="1"/>
  <c r="F645" i="1"/>
  <c r="A645" i="1"/>
  <c r="J641" i="1"/>
  <c r="F644" i="1"/>
  <c r="A644" i="1"/>
  <c r="J640" i="1"/>
  <c r="F643" i="1"/>
  <c r="A643" i="1"/>
  <c r="J639" i="1"/>
  <c r="F642" i="1"/>
  <c r="A642" i="1"/>
  <c r="J638" i="1"/>
  <c r="F641" i="1"/>
  <c r="A641" i="1"/>
  <c r="J637" i="1"/>
  <c r="F640" i="1"/>
  <c r="A640" i="1"/>
  <c r="J636" i="1"/>
  <c r="F639" i="1"/>
  <c r="A639" i="1"/>
  <c r="J635" i="1"/>
  <c r="F638" i="1"/>
  <c r="A638" i="1"/>
  <c r="J634" i="1"/>
  <c r="F637" i="1"/>
  <c r="A637" i="1"/>
  <c r="J633" i="1"/>
  <c r="F636" i="1"/>
  <c r="A636" i="1"/>
  <c r="J632" i="1"/>
  <c r="F635" i="1"/>
  <c r="A635" i="1"/>
  <c r="J631" i="1"/>
  <c r="F634" i="1"/>
  <c r="A634" i="1"/>
  <c r="J630" i="1"/>
  <c r="F633" i="1"/>
  <c r="A633" i="1"/>
  <c r="J629" i="1"/>
  <c r="F632" i="1"/>
  <c r="A632" i="1"/>
  <c r="J628" i="1"/>
  <c r="F631" i="1"/>
  <c r="A631" i="1"/>
  <c r="J627" i="1"/>
  <c r="F630" i="1"/>
  <c r="A630" i="1"/>
  <c r="J626" i="1"/>
  <c r="F629" i="1"/>
  <c r="A629" i="1"/>
  <c r="J625" i="1"/>
  <c r="F628" i="1"/>
  <c r="A628" i="1"/>
  <c r="J624" i="1"/>
  <c r="F627" i="1"/>
  <c r="A627" i="1"/>
  <c r="J623" i="1"/>
  <c r="F626" i="1"/>
  <c r="A626" i="1"/>
  <c r="J622" i="1"/>
  <c r="F625" i="1"/>
  <c r="A625" i="1"/>
  <c r="J621" i="1"/>
  <c r="F624" i="1"/>
  <c r="A624" i="1"/>
  <c r="J620" i="1"/>
  <c r="F623" i="1"/>
  <c r="A623" i="1"/>
  <c r="J619" i="1"/>
  <c r="F622" i="1"/>
  <c r="A622" i="1"/>
  <c r="J618" i="1"/>
  <c r="F621" i="1"/>
  <c r="A621" i="1"/>
  <c r="J617" i="1"/>
  <c r="F620" i="1"/>
  <c r="A620" i="1"/>
  <c r="J616" i="1"/>
  <c r="F619" i="1"/>
  <c r="A619" i="1"/>
  <c r="J615" i="1"/>
  <c r="F618" i="1"/>
  <c r="A618" i="1"/>
  <c r="J614" i="1"/>
  <c r="F617" i="1"/>
  <c r="A617" i="1"/>
  <c r="J613" i="1"/>
  <c r="F616" i="1"/>
  <c r="A616" i="1"/>
  <c r="J612" i="1"/>
  <c r="F615" i="1"/>
  <c r="A615" i="1"/>
  <c r="J611" i="1"/>
  <c r="F614" i="1"/>
  <c r="A614" i="1"/>
  <c r="J610" i="1"/>
  <c r="F613" i="1"/>
  <c r="A613" i="1"/>
  <c r="J609" i="1"/>
  <c r="F612" i="1"/>
  <c r="A612" i="1"/>
  <c r="J608" i="1"/>
  <c r="F611" i="1"/>
  <c r="A611" i="1"/>
  <c r="J607" i="1"/>
  <c r="F610" i="1"/>
  <c r="A610" i="1"/>
  <c r="J606" i="1"/>
  <c r="F609" i="1"/>
  <c r="A609" i="1"/>
  <c r="J605" i="1"/>
  <c r="F608" i="1"/>
  <c r="A608" i="1"/>
  <c r="J604" i="1"/>
  <c r="F607" i="1"/>
  <c r="A607" i="1"/>
  <c r="J603" i="1"/>
  <c r="F606" i="1"/>
  <c r="A606" i="1"/>
  <c r="J602" i="1"/>
  <c r="F605" i="1"/>
  <c r="A605" i="1"/>
  <c r="J601" i="1"/>
  <c r="F604" i="1"/>
  <c r="A604" i="1"/>
  <c r="J600" i="1"/>
  <c r="F603" i="1"/>
  <c r="A603" i="1"/>
  <c r="J599" i="1"/>
  <c r="F602" i="1"/>
  <c r="A602" i="1"/>
  <c r="J598" i="1"/>
  <c r="F601" i="1"/>
  <c r="A601" i="1"/>
  <c r="J597" i="1"/>
  <c r="F600" i="1"/>
  <c r="A600" i="1"/>
  <c r="J596" i="1"/>
  <c r="F599" i="1"/>
  <c r="A599" i="1"/>
  <c r="J595" i="1"/>
  <c r="F598" i="1"/>
  <c r="A598" i="1"/>
  <c r="J594" i="1"/>
  <c r="F597" i="1"/>
  <c r="A597" i="1"/>
  <c r="J593" i="1"/>
  <c r="F596" i="1"/>
  <c r="A596" i="1"/>
  <c r="J592" i="1"/>
  <c r="F595" i="1"/>
  <c r="A595" i="1"/>
  <c r="J591" i="1"/>
  <c r="F594" i="1"/>
  <c r="A594" i="1"/>
  <c r="J590" i="1"/>
  <c r="F593" i="1"/>
  <c r="A593" i="1"/>
  <c r="J589" i="1"/>
  <c r="F592" i="1"/>
  <c r="A592" i="1"/>
  <c r="J588" i="1"/>
  <c r="F591" i="1"/>
  <c r="A591" i="1"/>
  <c r="J587" i="1"/>
  <c r="F590" i="1"/>
  <c r="A590" i="1"/>
  <c r="J586" i="1"/>
  <c r="F589" i="1"/>
  <c r="A589" i="1"/>
  <c r="J585" i="1"/>
  <c r="F588" i="1"/>
  <c r="A588" i="1"/>
  <c r="J584" i="1"/>
  <c r="F587" i="1"/>
  <c r="A587" i="1"/>
  <c r="J583" i="1"/>
  <c r="F586" i="1"/>
  <c r="A586" i="1"/>
  <c r="J582" i="1"/>
  <c r="F585" i="1"/>
  <c r="A585" i="1"/>
  <c r="J581" i="1"/>
  <c r="F584" i="1"/>
  <c r="A584" i="1"/>
  <c r="J580" i="1"/>
  <c r="F583" i="1"/>
  <c r="A583" i="1"/>
  <c r="J579" i="1"/>
  <c r="F582" i="1"/>
  <c r="A582" i="1"/>
  <c r="J578" i="1"/>
  <c r="F581" i="1"/>
  <c r="A581" i="1"/>
  <c r="J577" i="1"/>
  <c r="F580" i="1"/>
  <c r="A580" i="1"/>
  <c r="J576" i="1"/>
  <c r="F579" i="1"/>
  <c r="A579" i="1"/>
  <c r="J575" i="1"/>
  <c r="F578" i="1"/>
  <c r="A578" i="1"/>
  <c r="J574" i="1"/>
  <c r="F577" i="1"/>
  <c r="A577" i="1"/>
  <c r="J573" i="1"/>
  <c r="F576" i="1"/>
  <c r="A576" i="1"/>
  <c r="J572" i="1"/>
  <c r="F575" i="1"/>
  <c r="A575" i="1"/>
  <c r="J571" i="1"/>
  <c r="F574" i="1"/>
  <c r="A574" i="1"/>
  <c r="J570" i="1"/>
  <c r="F573" i="1"/>
  <c r="A573" i="1"/>
  <c r="J569" i="1"/>
  <c r="F572" i="1"/>
  <c r="A572" i="1"/>
  <c r="J568" i="1"/>
  <c r="F571" i="1"/>
  <c r="A571" i="1"/>
  <c r="J567" i="1"/>
  <c r="F570" i="1"/>
  <c r="A570" i="1"/>
  <c r="J566" i="1"/>
  <c r="F569" i="1"/>
  <c r="A569" i="1"/>
  <c r="J565" i="1"/>
  <c r="F568" i="1"/>
  <c r="A568" i="1"/>
  <c r="J564" i="1"/>
  <c r="F567" i="1"/>
  <c r="A567" i="1"/>
  <c r="J563" i="1"/>
  <c r="F566" i="1"/>
  <c r="A566" i="1"/>
  <c r="J562" i="1"/>
  <c r="F565" i="1"/>
  <c r="A565" i="1"/>
  <c r="J561" i="1"/>
  <c r="F564" i="1"/>
  <c r="A564" i="1"/>
  <c r="J560" i="1"/>
  <c r="F563" i="1"/>
  <c r="A563" i="1"/>
  <c r="J559" i="1"/>
  <c r="F562" i="1"/>
  <c r="A562" i="1"/>
  <c r="J558" i="1"/>
  <c r="F561" i="1"/>
  <c r="A561" i="1"/>
  <c r="J557" i="1"/>
  <c r="F560" i="1"/>
  <c r="A560" i="1"/>
  <c r="J556" i="1"/>
  <c r="F559" i="1"/>
  <c r="A559" i="1"/>
  <c r="J555" i="1"/>
  <c r="F558" i="1"/>
  <c r="A558" i="1"/>
  <c r="J554" i="1"/>
  <c r="F557" i="1"/>
  <c r="A557" i="1"/>
  <c r="J553" i="1"/>
  <c r="F556" i="1"/>
  <c r="A556" i="1"/>
  <c r="J552" i="1"/>
  <c r="F555" i="1"/>
  <c r="A555" i="1"/>
  <c r="J551" i="1"/>
  <c r="F554" i="1"/>
  <c r="A554" i="1"/>
  <c r="J550" i="1"/>
  <c r="F553" i="1"/>
  <c r="A553" i="1"/>
  <c r="J549" i="1"/>
  <c r="F552" i="1"/>
  <c r="A552" i="1"/>
  <c r="J548" i="1"/>
  <c r="F551" i="1"/>
  <c r="A551" i="1"/>
  <c r="J547" i="1"/>
  <c r="F550" i="1"/>
  <c r="A550" i="1"/>
  <c r="J546" i="1"/>
  <c r="F549" i="1"/>
  <c r="A549" i="1"/>
  <c r="J545" i="1"/>
  <c r="F548" i="1"/>
  <c r="A548" i="1"/>
  <c r="J544" i="1"/>
  <c r="F547" i="1"/>
  <c r="A547" i="1"/>
  <c r="J543" i="1"/>
  <c r="F546" i="1"/>
  <c r="A546" i="1"/>
  <c r="J542" i="1"/>
  <c r="F545" i="1"/>
  <c r="A545" i="1"/>
  <c r="J541" i="1"/>
  <c r="F544" i="1"/>
  <c r="A544" i="1"/>
  <c r="J540" i="1"/>
  <c r="F543" i="1"/>
  <c r="A543" i="1"/>
  <c r="J539" i="1"/>
  <c r="F542" i="1"/>
  <c r="A542" i="1"/>
  <c r="J538" i="1"/>
  <c r="F541" i="1"/>
  <c r="A541" i="1"/>
  <c r="J537" i="1"/>
  <c r="F540" i="1"/>
  <c r="A540" i="1"/>
  <c r="J536" i="1"/>
  <c r="F539" i="1"/>
  <c r="A539" i="1"/>
  <c r="J535" i="1"/>
  <c r="F538" i="1"/>
  <c r="A538" i="1"/>
  <c r="J534" i="1"/>
  <c r="F537" i="1"/>
  <c r="A537" i="1"/>
  <c r="J533" i="1"/>
  <c r="F536" i="1"/>
  <c r="A536" i="1"/>
  <c r="J532" i="1"/>
  <c r="F535" i="1"/>
  <c r="A535" i="1"/>
  <c r="J531" i="1"/>
  <c r="F534" i="1"/>
  <c r="A534" i="1"/>
  <c r="J530" i="1"/>
  <c r="F533" i="1"/>
  <c r="A533" i="1"/>
  <c r="J529" i="1"/>
  <c r="F532" i="1"/>
  <c r="A532" i="1"/>
  <c r="J528" i="1"/>
  <c r="F531" i="1"/>
  <c r="A531" i="1"/>
  <c r="J527" i="1"/>
  <c r="F530" i="1"/>
  <c r="A530" i="1"/>
  <c r="J526" i="1"/>
  <c r="F529" i="1"/>
  <c r="A529" i="1"/>
  <c r="J525" i="1"/>
  <c r="F528" i="1"/>
  <c r="A528" i="1"/>
  <c r="J524" i="1"/>
  <c r="F527" i="1"/>
  <c r="A527" i="1"/>
  <c r="J523" i="1"/>
  <c r="F526" i="1"/>
  <c r="A526" i="1"/>
  <c r="J522" i="1"/>
  <c r="F525" i="1"/>
  <c r="A525" i="1"/>
  <c r="J521" i="1"/>
  <c r="F524" i="1"/>
  <c r="A524" i="1"/>
  <c r="J520" i="1"/>
  <c r="F523" i="1"/>
  <c r="A523" i="1"/>
  <c r="J519" i="1"/>
  <c r="F522" i="1"/>
  <c r="A522" i="1"/>
  <c r="J518" i="1"/>
  <c r="F521" i="1"/>
  <c r="A521" i="1"/>
  <c r="J517" i="1"/>
  <c r="F520" i="1"/>
  <c r="A520" i="1"/>
  <c r="J516" i="1"/>
  <c r="F519" i="1"/>
  <c r="A519" i="1"/>
  <c r="J515" i="1"/>
  <c r="F518" i="1"/>
  <c r="A518" i="1"/>
  <c r="J514" i="1"/>
  <c r="F517" i="1"/>
  <c r="A517" i="1"/>
  <c r="J513" i="1"/>
  <c r="F516" i="1"/>
  <c r="A516" i="1"/>
  <c r="J512" i="1"/>
  <c r="F515" i="1"/>
  <c r="A515" i="1"/>
  <c r="J511" i="1"/>
  <c r="F514" i="1"/>
  <c r="A514" i="1"/>
  <c r="J510" i="1"/>
  <c r="F513" i="1"/>
  <c r="A513" i="1"/>
  <c r="J509" i="1"/>
  <c r="F512" i="1"/>
  <c r="A512" i="1"/>
  <c r="J508" i="1"/>
  <c r="F511" i="1"/>
  <c r="A511" i="1"/>
  <c r="J507" i="1"/>
  <c r="F510" i="1"/>
  <c r="A510" i="1"/>
  <c r="J506" i="1"/>
  <c r="F509" i="1"/>
  <c r="A509" i="1"/>
  <c r="J505" i="1"/>
  <c r="F508" i="1"/>
  <c r="A508" i="1"/>
  <c r="J504" i="1"/>
  <c r="F507" i="1"/>
  <c r="A507" i="1"/>
  <c r="J503" i="1"/>
  <c r="F506" i="1"/>
  <c r="A506" i="1"/>
  <c r="J502" i="1"/>
  <c r="F505" i="1"/>
  <c r="A505" i="1"/>
  <c r="J501" i="1"/>
  <c r="F504" i="1"/>
  <c r="A504" i="1"/>
  <c r="J500" i="1"/>
  <c r="F503" i="1"/>
  <c r="A503" i="1"/>
  <c r="J499" i="1"/>
  <c r="F502" i="1"/>
  <c r="A502" i="1"/>
  <c r="J498" i="1"/>
  <c r="F501" i="1"/>
  <c r="A501" i="1"/>
  <c r="J497" i="1"/>
  <c r="F500" i="1"/>
  <c r="A500" i="1"/>
  <c r="J496" i="1"/>
  <c r="F499" i="1"/>
  <c r="A499" i="1"/>
  <c r="J495" i="1"/>
  <c r="F498" i="1"/>
  <c r="A498" i="1"/>
  <c r="J494" i="1"/>
  <c r="F497" i="1"/>
  <c r="A497" i="1"/>
  <c r="J493" i="1"/>
  <c r="F496" i="1"/>
  <c r="A496" i="1"/>
  <c r="J492" i="1"/>
  <c r="F495" i="1"/>
  <c r="A495" i="1"/>
  <c r="J491" i="1"/>
  <c r="F494" i="1"/>
  <c r="A494" i="1"/>
  <c r="J490" i="1"/>
  <c r="F493" i="1"/>
  <c r="A493" i="1"/>
  <c r="J489" i="1"/>
  <c r="F492" i="1"/>
  <c r="A492" i="1"/>
  <c r="J488" i="1"/>
  <c r="F491" i="1"/>
  <c r="A491" i="1"/>
  <c r="J487" i="1"/>
  <c r="F490" i="1"/>
  <c r="A490" i="1"/>
  <c r="J486" i="1"/>
  <c r="F489" i="1"/>
  <c r="A489" i="1"/>
  <c r="J485" i="1"/>
  <c r="F488" i="1"/>
  <c r="A488" i="1"/>
  <c r="J484" i="1"/>
  <c r="F487" i="1"/>
  <c r="A487" i="1"/>
  <c r="J483" i="1"/>
  <c r="F486" i="1"/>
  <c r="A486" i="1"/>
  <c r="J482" i="1"/>
  <c r="F485" i="1"/>
  <c r="A485" i="1"/>
  <c r="J481" i="1"/>
  <c r="F484" i="1"/>
  <c r="A484" i="1"/>
  <c r="J480" i="1"/>
  <c r="F483" i="1"/>
  <c r="A483" i="1"/>
  <c r="J479" i="1"/>
  <c r="F482" i="1"/>
  <c r="A482" i="1"/>
  <c r="J478" i="1"/>
  <c r="F481" i="1"/>
  <c r="A481" i="1"/>
  <c r="J477" i="1"/>
  <c r="F480" i="1"/>
  <c r="A480" i="1"/>
  <c r="J476" i="1"/>
  <c r="F479" i="1"/>
  <c r="A479" i="1"/>
  <c r="J475" i="1"/>
  <c r="F478" i="1"/>
  <c r="A478" i="1"/>
  <c r="J474" i="1"/>
  <c r="F477" i="1"/>
  <c r="A477" i="1"/>
  <c r="J473" i="1"/>
  <c r="F476" i="1"/>
  <c r="A476" i="1"/>
  <c r="J472" i="1"/>
  <c r="F475" i="1"/>
  <c r="A475" i="1"/>
  <c r="J471" i="1"/>
  <c r="F474" i="1"/>
  <c r="A474" i="1"/>
  <c r="J470" i="1"/>
  <c r="F473" i="1"/>
  <c r="A473" i="1"/>
  <c r="J469" i="1"/>
  <c r="F472" i="1"/>
  <c r="A472" i="1"/>
  <c r="J468" i="1"/>
  <c r="F471" i="1"/>
  <c r="A471" i="1"/>
  <c r="J467" i="1"/>
  <c r="F470" i="1"/>
  <c r="A470" i="1"/>
  <c r="J466" i="1"/>
  <c r="F469" i="1"/>
  <c r="A469" i="1"/>
  <c r="J465" i="1"/>
  <c r="F468" i="1"/>
  <c r="A468" i="1"/>
  <c r="J464" i="1"/>
  <c r="F467" i="1"/>
  <c r="A467" i="1"/>
  <c r="J463" i="1"/>
  <c r="F466" i="1"/>
  <c r="A466" i="1"/>
  <c r="J462" i="1"/>
  <c r="F465" i="1"/>
  <c r="A465" i="1"/>
  <c r="J461" i="1"/>
  <c r="F464" i="1"/>
  <c r="A464" i="1"/>
  <c r="J460" i="1"/>
  <c r="F463" i="1"/>
  <c r="A463" i="1"/>
  <c r="J459" i="1"/>
  <c r="F462" i="1"/>
  <c r="A462" i="1"/>
  <c r="J458" i="1"/>
  <c r="F461" i="1"/>
  <c r="A461" i="1"/>
  <c r="J457" i="1"/>
  <c r="F460" i="1"/>
  <c r="A460" i="1"/>
  <c r="J456" i="1"/>
  <c r="F459" i="1"/>
  <c r="A459" i="1"/>
  <c r="J455" i="1"/>
  <c r="F458" i="1"/>
  <c r="A458" i="1"/>
  <c r="J454" i="1"/>
  <c r="F457" i="1"/>
  <c r="A457" i="1"/>
  <c r="J453" i="1"/>
  <c r="F456" i="1"/>
  <c r="A456" i="1"/>
  <c r="J452" i="1"/>
  <c r="F455" i="1"/>
  <c r="A455" i="1"/>
  <c r="J451" i="1"/>
  <c r="F454" i="1"/>
  <c r="A454" i="1"/>
  <c r="J450" i="1"/>
  <c r="F453" i="1"/>
  <c r="A453" i="1"/>
  <c r="J449" i="1"/>
  <c r="F452" i="1"/>
  <c r="A452" i="1"/>
  <c r="J448" i="1"/>
  <c r="F451" i="1"/>
  <c r="A451" i="1"/>
  <c r="J447" i="1"/>
  <c r="F450" i="1"/>
  <c r="A450" i="1"/>
  <c r="J446" i="1"/>
  <c r="F449" i="1"/>
  <c r="A449" i="1"/>
  <c r="J445" i="1"/>
  <c r="F448" i="1"/>
  <c r="A448" i="1"/>
  <c r="J444" i="1"/>
  <c r="F447" i="1"/>
  <c r="A447" i="1"/>
  <c r="J443" i="1"/>
  <c r="F446" i="1"/>
  <c r="A446" i="1"/>
  <c r="J442" i="1"/>
  <c r="F445" i="1"/>
  <c r="A445" i="1"/>
  <c r="J441" i="1"/>
  <c r="F444" i="1"/>
  <c r="A444" i="1"/>
  <c r="J440" i="1"/>
  <c r="F443" i="1"/>
  <c r="A443" i="1"/>
  <c r="J439" i="1"/>
  <c r="F442" i="1"/>
  <c r="A442" i="1"/>
  <c r="J438" i="1"/>
  <c r="F441" i="1"/>
  <c r="A441" i="1"/>
  <c r="J437" i="1"/>
  <c r="F440" i="1"/>
  <c r="A440" i="1"/>
  <c r="J436" i="1"/>
  <c r="F439" i="1"/>
  <c r="A439" i="1"/>
  <c r="J435" i="1"/>
  <c r="F438" i="1"/>
  <c r="A438" i="1"/>
  <c r="J434" i="1"/>
  <c r="F437" i="1"/>
  <c r="A437" i="1"/>
  <c r="J433" i="1"/>
  <c r="F436" i="1"/>
  <c r="A436" i="1"/>
  <c r="J432" i="1"/>
  <c r="F435" i="1"/>
  <c r="A435" i="1"/>
  <c r="J431" i="1"/>
  <c r="F434" i="1"/>
  <c r="A434" i="1"/>
  <c r="J430" i="1"/>
  <c r="F433" i="1"/>
  <c r="A433" i="1"/>
  <c r="J429" i="1"/>
  <c r="F432" i="1"/>
  <c r="A432" i="1"/>
  <c r="J428" i="1"/>
  <c r="F431" i="1"/>
  <c r="A431" i="1"/>
  <c r="J427" i="1"/>
  <c r="F430" i="1"/>
  <c r="A430" i="1"/>
  <c r="J426" i="1"/>
  <c r="F429" i="1"/>
  <c r="A429" i="1"/>
  <c r="J425" i="1"/>
  <c r="F428" i="1"/>
  <c r="A428" i="1"/>
  <c r="J424" i="1"/>
  <c r="F427" i="1"/>
  <c r="A427" i="1"/>
  <c r="J423" i="1"/>
  <c r="F426" i="1"/>
  <c r="A426" i="1"/>
  <c r="J422" i="1"/>
  <c r="F425" i="1"/>
  <c r="A425" i="1"/>
  <c r="J421" i="1"/>
  <c r="F424" i="1"/>
  <c r="A424" i="1"/>
  <c r="J420" i="1"/>
  <c r="F423" i="1"/>
  <c r="A423" i="1"/>
  <c r="J419" i="1"/>
  <c r="F422" i="1"/>
  <c r="A422" i="1"/>
  <c r="J418" i="1"/>
  <c r="F421" i="1"/>
  <c r="A421" i="1"/>
  <c r="J417" i="1"/>
  <c r="F420" i="1"/>
  <c r="A420" i="1"/>
  <c r="J416" i="1"/>
  <c r="F419" i="1"/>
  <c r="A419" i="1"/>
  <c r="J415" i="1"/>
  <c r="F418" i="1"/>
  <c r="A418" i="1"/>
  <c r="J414" i="1"/>
  <c r="F417" i="1"/>
  <c r="A417" i="1"/>
  <c r="J413" i="1"/>
  <c r="F416" i="1"/>
  <c r="A416" i="1"/>
  <c r="J412" i="1"/>
  <c r="F415" i="1"/>
  <c r="A415" i="1"/>
  <c r="J411" i="1"/>
  <c r="F414" i="1"/>
  <c r="A414" i="1"/>
  <c r="J410" i="1"/>
  <c r="F413" i="1"/>
  <c r="A413" i="1"/>
  <c r="J409" i="1"/>
  <c r="F412" i="1"/>
  <c r="A412" i="1"/>
  <c r="J408" i="1"/>
  <c r="F411" i="1"/>
  <c r="A411" i="1"/>
  <c r="J407" i="1"/>
  <c r="F410" i="1"/>
  <c r="A410" i="1"/>
  <c r="J406" i="1"/>
  <c r="F409" i="1"/>
  <c r="A409" i="1"/>
  <c r="J405" i="1"/>
  <c r="F408" i="1"/>
  <c r="A408" i="1"/>
  <c r="J404" i="1"/>
  <c r="F407" i="1"/>
  <c r="A407" i="1"/>
  <c r="J403" i="1"/>
  <c r="F406" i="1"/>
  <c r="A406" i="1"/>
  <c r="J402" i="1"/>
  <c r="F405" i="1"/>
  <c r="A405" i="1"/>
  <c r="J401" i="1"/>
  <c r="F404" i="1"/>
  <c r="A404" i="1"/>
  <c r="J400" i="1"/>
  <c r="F403" i="1"/>
  <c r="A403" i="1"/>
  <c r="J399" i="1"/>
  <c r="F402" i="1"/>
  <c r="A402" i="1"/>
  <c r="J398" i="1"/>
  <c r="F401" i="1"/>
  <c r="A401" i="1"/>
  <c r="J397" i="1"/>
  <c r="F400" i="1"/>
  <c r="A400" i="1"/>
  <c r="J396" i="1"/>
  <c r="F399" i="1"/>
  <c r="A399" i="1"/>
  <c r="J395" i="1"/>
  <c r="F398" i="1"/>
  <c r="A398" i="1"/>
  <c r="J394" i="1"/>
  <c r="F397" i="1"/>
  <c r="A397" i="1"/>
  <c r="J393" i="1"/>
  <c r="F396" i="1"/>
  <c r="A396" i="1"/>
  <c r="J392" i="1"/>
  <c r="F395" i="1"/>
  <c r="A395" i="1"/>
  <c r="J391" i="1"/>
  <c r="F394" i="1"/>
  <c r="A394" i="1"/>
  <c r="J390" i="1"/>
  <c r="F393" i="1"/>
  <c r="A393" i="1"/>
  <c r="J389" i="1"/>
  <c r="F392" i="1"/>
  <c r="A392" i="1"/>
  <c r="J388" i="1"/>
  <c r="F391" i="1"/>
  <c r="A391" i="1"/>
  <c r="J387" i="1"/>
  <c r="F390" i="1"/>
  <c r="A390" i="1"/>
  <c r="J386" i="1"/>
  <c r="F389" i="1"/>
  <c r="A389" i="1"/>
  <c r="J385" i="1"/>
  <c r="F388" i="1"/>
  <c r="A388" i="1"/>
  <c r="J384" i="1"/>
  <c r="F387" i="1"/>
  <c r="A387" i="1"/>
  <c r="J383" i="1"/>
  <c r="F386" i="1"/>
  <c r="A386" i="1"/>
  <c r="J382" i="1"/>
  <c r="F385" i="1"/>
  <c r="A385" i="1"/>
  <c r="J381" i="1"/>
  <c r="F384" i="1"/>
  <c r="A384" i="1"/>
  <c r="J380" i="1"/>
  <c r="F383" i="1"/>
  <c r="A383" i="1"/>
  <c r="J379" i="1"/>
  <c r="F382" i="1"/>
  <c r="A382" i="1"/>
  <c r="J378" i="1"/>
  <c r="F381" i="1"/>
  <c r="A381" i="1"/>
  <c r="J377" i="1"/>
  <c r="F380" i="1"/>
  <c r="A380" i="1"/>
  <c r="J376" i="1"/>
  <c r="F379" i="1"/>
  <c r="A379" i="1"/>
  <c r="J375" i="1"/>
  <c r="F378" i="1"/>
  <c r="A378" i="1"/>
  <c r="J374" i="1"/>
  <c r="F377" i="1"/>
  <c r="A377" i="1"/>
  <c r="J373" i="1"/>
  <c r="F376" i="1"/>
  <c r="A376" i="1"/>
  <c r="J372" i="1"/>
  <c r="F375" i="1"/>
  <c r="A375" i="1"/>
  <c r="J371" i="1"/>
  <c r="F374" i="1"/>
  <c r="A374" i="1"/>
  <c r="J370" i="1"/>
  <c r="F373" i="1"/>
  <c r="A373" i="1"/>
  <c r="J369" i="1"/>
  <c r="F372" i="1"/>
  <c r="A372" i="1"/>
  <c r="J368" i="1"/>
  <c r="F371" i="1"/>
  <c r="A371" i="1"/>
  <c r="J367" i="1"/>
  <c r="F370" i="1"/>
  <c r="A370" i="1"/>
  <c r="J366" i="1"/>
  <c r="F369" i="1"/>
  <c r="A369" i="1"/>
  <c r="J365" i="1"/>
  <c r="F368" i="1"/>
  <c r="A368" i="1"/>
  <c r="J364" i="1"/>
  <c r="F367" i="1"/>
  <c r="A367" i="1"/>
  <c r="J363" i="1"/>
  <c r="F366" i="1"/>
  <c r="A366" i="1"/>
  <c r="J362" i="1"/>
  <c r="F365" i="1"/>
  <c r="A365" i="1"/>
  <c r="J361" i="1"/>
  <c r="F364" i="1"/>
  <c r="A364" i="1"/>
  <c r="J360" i="1"/>
  <c r="F363" i="1"/>
  <c r="A363" i="1"/>
  <c r="J359" i="1"/>
  <c r="F362" i="1"/>
  <c r="A362" i="1"/>
  <c r="J358" i="1"/>
  <c r="F361" i="1"/>
  <c r="A361" i="1"/>
  <c r="J357" i="1"/>
  <c r="F360" i="1"/>
  <c r="A360" i="1"/>
  <c r="J356" i="1"/>
  <c r="F359" i="1"/>
  <c r="A359" i="1"/>
  <c r="J355" i="1"/>
  <c r="F358" i="1"/>
  <c r="A358" i="1"/>
  <c r="J354" i="1"/>
  <c r="F357" i="1"/>
  <c r="A357" i="1"/>
  <c r="J353" i="1"/>
  <c r="F356" i="1"/>
  <c r="A356" i="1"/>
  <c r="J352" i="1"/>
  <c r="F355" i="1"/>
  <c r="A355" i="1"/>
  <c r="J351" i="1"/>
  <c r="F354" i="1"/>
  <c r="A354" i="1"/>
  <c r="J350" i="1"/>
  <c r="F353" i="1"/>
  <c r="A353" i="1"/>
  <c r="J349" i="1"/>
  <c r="F352" i="1"/>
  <c r="A352" i="1"/>
  <c r="J348" i="1"/>
  <c r="F351" i="1"/>
  <c r="A351" i="1"/>
  <c r="J347" i="1"/>
  <c r="F350" i="1"/>
  <c r="A350" i="1"/>
  <c r="J346" i="1"/>
  <c r="F349" i="1"/>
  <c r="A349" i="1"/>
  <c r="J345" i="1"/>
  <c r="F348" i="1"/>
  <c r="A348" i="1"/>
  <c r="J344" i="1"/>
  <c r="F347" i="1"/>
  <c r="A347" i="1"/>
  <c r="J343" i="1"/>
  <c r="F346" i="1"/>
  <c r="A346" i="1"/>
  <c r="J342" i="1"/>
  <c r="F345" i="1"/>
  <c r="A345" i="1"/>
  <c r="J341" i="1"/>
  <c r="F344" i="1"/>
  <c r="A344" i="1"/>
  <c r="J340" i="1"/>
  <c r="F343" i="1"/>
  <c r="A343" i="1"/>
  <c r="J339" i="1"/>
  <c r="F342" i="1"/>
  <c r="A342" i="1"/>
  <c r="J338" i="1"/>
  <c r="F341" i="1"/>
  <c r="A341" i="1"/>
  <c r="J337" i="1"/>
  <c r="F340" i="1"/>
  <c r="A340" i="1"/>
  <c r="J336" i="1"/>
  <c r="F339" i="1"/>
  <c r="A339" i="1"/>
  <c r="J335" i="1"/>
  <c r="F338" i="1"/>
  <c r="A338" i="1"/>
  <c r="J334" i="1"/>
  <c r="F337" i="1"/>
  <c r="A337" i="1"/>
  <c r="J333" i="1"/>
  <c r="F336" i="1"/>
  <c r="A336" i="1"/>
  <c r="J332" i="1"/>
  <c r="F335" i="1"/>
  <c r="A335" i="1"/>
  <c r="J331" i="1"/>
  <c r="F334" i="1"/>
  <c r="A334" i="1"/>
  <c r="J330" i="1"/>
  <c r="F333" i="1"/>
  <c r="A333" i="1"/>
  <c r="J329" i="1"/>
  <c r="F332" i="1"/>
  <c r="A332" i="1"/>
  <c r="J328" i="1"/>
  <c r="F331" i="1"/>
  <c r="A331" i="1"/>
  <c r="J327" i="1"/>
  <c r="F330" i="1"/>
  <c r="A330" i="1"/>
  <c r="J326" i="1"/>
  <c r="F329" i="1"/>
  <c r="A329" i="1"/>
  <c r="J325" i="1"/>
  <c r="F328" i="1"/>
  <c r="A328" i="1"/>
  <c r="J324" i="1"/>
  <c r="F327" i="1"/>
  <c r="A327" i="1"/>
  <c r="J323" i="1"/>
  <c r="F326" i="1"/>
  <c r="A326" i="1"/>
  <c r="J322" i="1"/>
  <c r="F325" i="1"/>
  <c r="A325" i="1"/>
  <c r="J321" i="1"/>
  <c r="F324" i="1"/>
  <c r="A324" i="1"/>
  <c r="J320" i="1"/>
  <c r="F323" i="1"/>
  <c r="A323" i="1"/>
  <c r="J319" i="1"/>
  <c r="F322" i="1"/>
  <c r="A322" i="1"/>
  <c r="J318" i="1"/>
  <c r="F321" i="1"/>
  <c r="A321" i="1"/>
  <c r="J317" i="1"/>
  <c r="F320" i="1"/>
  <c r="A320" i="1"/>
  <c r="J316" i="1"/>
  <c r="F319" i="1"/>
  <c r="A319" i="1"/>
  <c r="J315" i="1"/>
  <c r="F318" i="1"/>
  <c r="A318" i="1"/>
  <c r="J314" i="1"/>
  <c r="F317" i="1"/>
  <c r="A317" i="1"/>
  <c r="J313" i="1"/>
  <c r="F316" i="1"/>
  <c r="A316" i="1"/>
  <c r="J312" i="1"/>
  <c r="F315" i="1"/>
  <c r="A315" i="1"/>
  <c r="J311" i="1"/>
  <c r="F314" i="1"/>
  <c r="A314" i="1"/>
  <c r="J310" i="1"/>
  <c r="F313" i="1"/>
  <c r="A313" i="1"/>
  <c r="J309" i="1"/>
  <c r="F312" i="1"/>
  <c r="A312" i="1"/>
  <c r="J308" i="1"/>
  <c r="F311" i="1"/>
  <c r="A311" i="1"/>
  <c r="J307" i="1"/>
  <c r="F310" i="1"/>
  <c r="A310" i="1"/>
  <c r="J306" i="1"/>
  <c r="F309" i="1"/>
  <c r="A309" i="1"/>
  <c r="J305" i="1"/>
  <c r="F308" i="1"/>
  <c r="A308" i="1"/>
  <c r="J304" i="1"/>
  <c r="F307" i="1"/>
  <c r="A307" i="1"/>
  <c r="J303" i="1"/>
  <c r="F306" i="1"/>
  <c r="A306" i="1"/>
  <c r="J302" i="1"/>
  <c r="F305" i="1"/>
  <c r="A305" i="1"/>
  <c r="J301" i="1"/>
  <c r="F304" i="1"/>
  <c r="A304" i="1"/>
  <c r="J300" i="1"/>
  <c r="F303" i="1"/>
  <c r="A303" i="1"/>
  <c r="J299" i="1"/>
  <c r="F302" i="1"/>
  <c r="A302" i="1"/>
  <c r="J298" i="1"/>
  <c r="F301" i="1"/>
  <c r="A301" i="1"/>
  <c r="J297" i="1"/>
  <c r="F300" i="1"/>
  <c r="A300" i="1"/>
  <c r="J296" i="1"/>
  <c r="F299" i="1"/>
  <c r="A299" i="1"/>
  <c r="J295" i="1"/>
  <c r="F298" i="1"/>
  <c r="A298" i="1"/>
  <c r="J294" i="1"/>
  <c r="F297" i="1"/>
  <c r="A297" i="1"/>
  <c r="J293" i="1"/>
  <c r="F296" i="1"/>
  <c r="A296" i="1"/>
  <c r="J292" i="1"/>
  <c r="F295" i="1"/>
  <c r="A295" i="1"/>
  <c r="J291" i="1"/>
  <c r="F294" i="1"/>
  <c r="A294" i="1"/>
  <c r="J290" i="1"/>
  <c r="F293" i="1"/>
  <c r="A293" i="1"/>
  <c r="J289" i="1"/>
  <c r="F292" i="1"/>
  <c r="A292" i="1"/>
  <c r="J288" i="1"/>
  <c r="F291" i="1"/>
  <c r="A291" i="1"/>
  <c r="J287" i="1"/>
  <c r="F290" i="1"/>
  <c r="A290" i="1"/>
  <c r="J286" i="1"/>
  <c r="F289" i="1"/>
  <c r="A289" i="1"/>
  <c r="J285" i="1"/>
  <c r="F288" i="1"/>
  <c r="A288" i="1"/>
  <c r="J284" i="1"/>
  <c r="F287" i="1"/>
  <c r="A287" i="1"/>
  <c r="J283" i="1"/>
  <c r="F286" i="1"/>
  <c r="A286" i="1"/>
  <c r="J282" i="1"/>
  <c r="F285" i="1"/>
  <c r="A285" i="1"/>
  <c r="J281" i="1"/>
  <c r="F284" i="1"/>
  <c r="A284" i="1"/>
  <c r="J280" i="1"/>
  <c r="F283" i="1"/>
  <c r="A283" i="1"/>
  <c r="J279" i="1"/>
  <c r="F282" i="1"/>
  <c r="A282" i="1"/>
  <c r="J278" i="1"/>
  <c r="F281" i="1"/>
  <c r="A281" i="1"/>
  <c r="J277" i="1"/>
  <c r="F280" i="1"/>
  <c r="A280" i="1"/>
  <c r="J276" i="1"/>
  <c r="F279" i="1"/>
  <c r="A279" i="1"/>
  <c r="J275" i="1"/>
  <c r="F278" i="1"/>
  <c r="A278" i="1"/>
  <c r="J274" i="1"/>
  <c r="F277" i="1"/>
  <c r="A277" i="1"/>
  <c r="J273" i="1"/>
  <c r="F276" i="1"/>
  <c r="A276" i="1"/>
  <c r="J272" i="1"/>
  <c r="F275" i="1"/>
  <c r="A275" i="1"/>
  <c r="J271" i="1"/>
  <c r="F274" i="1"/>
  <c r="A274" i="1"/>
  <c r="J270" i="1"/>
  <c r="F273" i="1"/>
  <c r="A273" i="1"/>
  <c r="J269" i="1"/>
  <c r="F272" i="1"/>
  <c r="A272" i="1"/>
  <c r="J268" i="1"/>
  <c r="F271" i="1"/>
  <c r="A271" i="1"/>
  <c r="J267" i="1"/>
  <c r="F270" i="1"/>
  <c r="A270" i="1"/>
  <c r="J266" i="1"/>
  <c r="F269" i="1"/>
  <c r="A269" i="1"/>
  <c r="J265" i="1"/>
  <c r="F268" i="1"/>
  <c r="A268" i="1"/>
  <c r="J264" i="1"/>
  <c r="F267" i="1"/>
  <c r="A267" i="1"/>
  <c r="J263" i="1"/>
  <c r="F266" i="1"/>
  <c r="A266" i="1"/>
  <c r="J262" i="1"/>
  <c r="F265" i="1"/>
  <c r="A265" i="1"/>
  <c r="J261" i="1"/>
  <c r="F264" i="1"/>
  <c r="A264" i="1"/>
  <c r="J260" i="1"/>
  <c r="F263" i="1"/>
  <c r="A263" i="1"/>
  <c r="J259" i="1"/>
  <c r="F262" i="1"/>
  <c r="A262" i="1"/>
  <c r="J258" i="1"/>
  <c r="F261" i="1"/>
  <c r="A261" i="1"/>
  <c r="J257" i="1"/>
  <c r="F260" i="1"/>
  <c r="A260" i="1"/>
  <c r="J256" i="1"/>
  <c r="F259" i="1"/>
  <c r="A259" i="1"/>
  <c r="J255" i="1"/>
  <c r="F258" i="1"/>
  <c r="A258" i="1"/>
  <c r="J254" i="1"/>
  <c r="F257" i="1"/>
  <c r="A257" i="1"/>
  <c r="J253" i="1"/>
  <c r="F256" i="1"/>
  <c r="A256" i="1"/>
  <c r="J252" i="1"/>
  <c r="F255" i="1"/>
  <c r="A255" i="1"/>
  <c r="J251" i="1"/>
  <c r="F254" i="1"/>
  <c r="A254" i="1"/>
  <c r="J250" i="1"/>
  <c r="F253" i="1"/>
  <c r="A253" i="1"/>
  <c r="J249" i="1"/>
  <c r="F252" i="1"/>
  <c r="A252" i="1"/>
  <c r="J248" i="1"/>
  <c r="F251" i="1"/>
  <c r="A251" i="1"/>
  <c r="J247" i="1"/>
  <c r="F250" i="1"/>
  <c r="A250" i="1"/>
  <c r="J246" i="1"/>
  <c r="F249" i="1"/>
  <c r="A249" i="1"/>
  <c r="J245" i="1"/>
  <c r="F248" i="1"/>
  <c r="A248" i="1"/>
  <c r="J244" i="1"/>
  <c r="F247" i="1"/>
  <c r="A247" i="1"/>
  <c r="J243" i="1"/>
  <c r="F246" i="1"/>
  <c r="A246" i="1"/>
  <c r="J242" i="1"/>
  <c r="F245" i="1"/>
  <c r="A245" i="1"/>
  <c r="J241" i="1"/>
  <c r="F244" i="1"/>
  <c r="A244" i="1"/>
  <c r="J240" i="1"/>
  <c r="F243" i="1"/>
  <c r="A243" i="1"/>
  <c r="J239" i="1"/>
  <c r="F242" i="1"/>
  <c r="A242" i="1"/>
  <c r="J238" i="1"/>
  <c r="F241" i="1"/>
  <c r="A241" i="1"/>
  <c r="J237" i="1"/>
  <c r="F240" i="1"/>
  <c r="A240" i="1"/>
  <c r="J236" i="1"/>
  <c r="F239" i="1"/>
  <c r="A239" i="1"/>
  <c r="J235" i="1"/>
  <c r="F238" i="1"/>
  <c r="A238" i="1"/>
  <c r="J234" i="1"/>
  <c r="F237" i="1"/>
  <c r="A237" i="1"/>
  <c r="J233" i="1"/>
  <c r="F236" i="1"/>
  <c r="A236" i="1"/>
  <c r="J232" i="1"/>
  <c r="F235" i="1"/>
  <c r="A235" i="1"/>
  <c r="J231" i="1"/>
  <c r="F234" i="1"/>
  <c r="A234" i="1"/>
  <c r="J230" i="1"/>
  <c r="F233" i="1"/>
  <c r="A233" i="1"/>
  <c r="J229" i="1"/>
  <c r="F232" i="1"/>
  <c r="A232" i="1"/>
  <c r="J228" i="1"/>
  <c r="F231" i="1"/>
  <c r="A231" i="1"/>
  <c r="J227" i="1"/>
  <c r="F230" i="1"/>
  <c r="A230" i="1"/>
  <c r="J226" i="1"/>
  <c r="F229" i="1"/>
  <c r="A229" i="1"/>
  <c r="J225" i="1"/>
  <c r="F228" i="1"/>
  <c r="A228" i="1"/>
  <c r="J224" i="1"/>
  <c r="F227" i="1"/>
  <c r="A227" i="1"/>
  <c r="J223" i="1"/>
  <c r="F226" i="1"/>
  <c r="A226" i="1"/>
  <c r="J222" i="1"/>
  <c r="F225" i="1"/>
  <c r="A225" i="1"/>
  <c r="J221" i="1"/>
  <c r="F224" i="1"/>
  <c r="A224" i="1"/>
  <c r="J220" i="1"/>
  <c r="F223" i="1"/>
  <c r="A223" i="1"/>
  <c r="J219" i="1"/>
  <c r="F222" i="1"/>
  <c r="A222" i="1"/>
  <c r="J218" i="1"/>
  <c r="F221" i="1"/>
  <c r="A221" i="1"/>
  <c r="J217" i="1"/>
  <c r="F220" i="1"/>
  <c r="A220" i="1"/>
  <c r="J216" i="1"/>
  <c r="F219" i="1"/>
  <c r="A219" i="1"/>
  <c r="J215" i="1"/>
  <c r="F218" i="1"/>
  <c r="A218" i="1"/>
  <c r="J214" i="1"/>
  <c r="F217" i="1"/>
  <c r="A217" i="1"/>
  <c r="J213" i="1"/>
  <c r="F216" i="1"/>
  <c r="A216" i="1"/>
  <c r="J212" i="1"/>
  <c r="F215" i="1"/>
  <c r="A215" i="1"/>
  <c r="J211" i="1"/>
  <c r="F214" i="1"/>
  <c r="A214" i="1"/>
  <c r="J210" i="1"/>
  <c r="F213" i="1"/>
  <c r="A213" i="1"/>
  <c r="J209" i="1"/>
  <c r="F212" i="1"/>
  <c r="A212" i="1"/>
  <c r="J208" i="1"/>
  <c r="F211" i="1"/>
  <c r="A211" i="1"/>
  <c r="J207" i="1"/>
  <c r="F210" i="1"/>
  <c r="A210" i="1"/>
  <c r="J206" i="1"/>
  <c r="F209" i="1"/>
  <c r="A209" i="1"/>
  <c r="J205" i="1"/>
  <c r="F208" i="1"/>
  <c r="A208" i="1"/>
  <c r="J204" i="1"/>
  <c r="F207" i="1"/>
  <c r="A207" i="1"/>
  <c r="J203" i="1"/>
  <c r="F206" i="1"/>
  <c r="A206" i="1"/>
  <c r="J202" i="1"/>
  <c r="F205" i="1"/>
  <c r="A205" i="1"/>
  <c r="J201" i="1"/>
  <c r="F204" i="1"/>
  <c r="A204" i="1"/>
  <c r="J200" i="1"/>
  <c r="F203" i="1"/>
  <c r="A203" i="1"/>
  <c r="J199" i="1"/>
  <c r="F202" i="1"/>
  <c r="A202" i="1"/>
  <c r="J198" i="1"/>
  <c r="F201" i="1"/>
  <c r="A201" i="1"/>
  <c r="J197" i="1"/>
  <c r="F200" i="1"/>
  <c r="A200" i="1"/>
  <c r="J196" i="1"/>
  <c r="F199" i="1"/>
  <c r="A199" i="1"/>
  <c r="J195" i="1"/>
  <c r="F198" i="1"/>
  <c r="A198" i="1"/>
  <c r="J194" i="1"/>
  <c r="F197" i="1"/>
  <c r="A197" i="1"/>
  <c r="J193" i="1"/>
  <c r="F196" i="1"/>
  <c r="A196" i="1"/>
  <c r="J192" i="1"/>
  <c r="F195" i="1"/>
  <c r="A195" i="1"/>
  <c r="J191" i="1"/>
  <c r="F194" i="1"/>
  <c r="A194" i="1"/>
  <c r="J190" i="1"/>
  <c r="F193" i="1"/>
  <c r="A193" i="1"/>
  <c r="J189" i="1"/>
  <c r="F192" i="1"/>
  <c r="A192" i="1"/>
  <c r="J188" i="1"/>
  <c r="F191" i="1"/>
  <c r="A191" i="1"/>
  <c r="J187" i="1"/>
  <c r="F190" i="1"/>
  <c r="A190" i="1"/>
  <c r="J186" i="1"/>
  <c r="F189" i="1"/>
  <c r="A189" i="1"/>
  <c r="J185" i="1"/>
  <c r="F188" i="1"/>
  <c r="A188" i="1"/>
  <c r="J184" i="1"/>
  <c r="F187" i="1"/>
  <c r="A187" i="1"/>
  <c r="J183" i="1"/>
  <c r="F186" i="1"/>
  <c r="A186" i="1"/>
  <c r="J182" i="1"/>
  <c r="F185" i="1"/>
  <c r="A185" i="1"/>
  <c r="J181" i="1"/>
  <c r="F184" i="1"/>
  <c r="A184" i="1"/>
  <c r="J180" i="1"/>
  <c r="F183" i="1"/>
  <c r="A183" i="1"/>
  <c r="J179" i="1"/>
  <c r="F182" i="1"/>
  <c r="A182" i="1"/>
  <c r="J178" i="1"/>
  <c r="F181" i="1"/>
  <c r="A181" i="1"/>
  <c r="J177" i="1"/>
  <c r="F180" i="1"/>
  <c r="A180" i="1"/>
  <c r="J176" i="1"/>
  <c r="F179" i="1"/>
  <c r="A179" i="1"/>
  <c r="J175" i="1"/>
  <c r="F178" i="1"/>
  <c r="A178" i="1"/>
  <c r="J174" i="1"/>
  <c r="F177" i="1"/>
  <c r="A177" i="1"/>
  <c r="J173" i="1"/>
  <c r="F176" i="1"/>
  <c r="A176" i="1"/>
  <c r="J172" i="1"/>
  <c r="F175" i="1"/>
  <c r="A175" i="1"/>
  <c r="J171" i="1"/>
  <c r="F174" i="1"/>
  <c r="A174" i="1"/>
  <c r="J170" i="1"/>
  <c r="F173" i="1"/>
  <c r="A173" i="1"/>
  <c r="J169" i="1"/>
  <c r="F172" i="1"/>
  <c r="A172" i="1"/>
  <c r="J168" i="1"/>
  <c r="F171" i="1"/>
  <c r="A171" i="1"/>
  <c r="J167" i="1"/>
  <c r="F170" i="1"/>
  <c r="A170" i="1"/>
  <c r="J166" i="1"/>
  <c r="F169" i="1"/>
  <c r="A169" i="1"/>
  <c r="J165" i="1"/>
  <c r="F168" i="1"/>
  <c r="A168" i="1"/>
  <c r="J164" i="1"/>
  <c r="F167" i="1"/>
  <c r="A167" i="1"/>
  <c r="J163" i="1"/>
  <c r="F166" i="1"/>
  <c r="A166" i="1"/>
  <c r="J162" i="1"/>
  <c r="F165" i="1"/>
  <c r="A165" i="1"/>
  <c r="J161" i="1"/>
  <c r="F164" i="1"/>
  <c r="A164" i="1"/>
  <c r="J160" i="1"/>
  <c r="F163" i="1"/>
  <c r="A163" i="1"/>
  <c r="J159" i="1"/>
  <c r="F162" i="1"/>
  <c r="A162" i="1"/>
  <c r="J158" i="1"/>
  <c r="F161" i="1"/>
  <c r="A161" i="1"/>
  <c r="J157" i="1"/>
  <c r="F160" i="1"/>
  <c r="A160" i="1"/>
  <c r="J156" i="1"/>
  <c r="F159" i="1"/>
  <c r="A159" i="1"/>
  <c r="J155" i="1"/>
  <c r="F158" i="1"/>
  <c r="A158" i="1"/>
  <c r="J154" i="1"/>
  <c r="F157" i="1"/>
  <c r="A157" i="1"/>
  <c r="J153" i="1"/>
  <c r="F156" i="1"/>
  <c r="A156" i="1"/>
  <c r="J152" i="1"/>
  <c r="F155" i="1"/>
  <c r="A155" i="1"/>
  <c r="J151" i="1"/>
  <c r="F154" i="1"/>
  <c r="A154" i="1"/>
  <c r="J150" i="1"/>
  <c r="F153" i="1"/>
  <c r="A153" i="1"/>
  <c r="J149" i="1"/>
  <c r="F152" i="1"/>
  <c r="A152" i="1"/>
  <c r="J148" i="1"/>
  <c r="F151" i="1"/>
  <c r="A151" i="1"/>
  <c r="J147" i="1"/>
  <c r="F150" i="1"/>
  <c r="A150" i="1"/>
  <c r="J146" i="1"/>
  <c r="F149" i="1"/>
  <c r="A149" i="1"/>
  <c r="J145" i="1"/>
  <c r="F148" i="1"/>
  <c r="A148" i="1"/>
  <c r="J144" i="1"/>
  <c r="F147" i="1"/>
  <c r="A147" i="1"/>
  <c r="J143" i="1"/>
  <c r="F146" i="1"/>
  <c r="A146" i="1"/>
  <c r="J142" i="1"/>
  <c r="F145" i="1"/>
  <c r="A145" i="1"/>
  <c r="J141" i="1"/>
  <c r="F144" i="1"/>
  <c r="A144" i="1"/>
  <c r="J140" i="1"/>
  <c r="F143" i="1"/>
  <c r="A143" i="1"/>
  <c r="J139" i="1"/>
  <c r="F142" i="1"/>
  <c r="A142" i="1"/>
  <c r="J138" i="1"/>
  <c r="F141" i="1"/>
  <c r="A141" i="1"/>
  <c r="J137" i="1"/>
  <c r="F140" i="1"/>
  <c r="A140" i="1"/>
  <c r="J136" i="1"/>
  <c r="F139" i="1"/>
  <c r="A139" i="1"/>
  <c r="J135" i="1"/>
  <c r="F138" i="1"/>
  <c r="A138" i="1"/>
  <c r="J134" i="1"/>
  <c r="F137" i="1"/>
  <c r="A137" i="1"/>
  <c r="J133" i="1"/>
  <c r="F136" i="1"/>
  <c r="A136" i="1"/>
  <c r="J132" i="1"/>
  <c r="F135" i="1"/>
  <c r="A135" i="1"/>
  <c r="J131" i="1"/>
  <c r="F134" i="1"/>
  <c r="A134" i="1"/>
  <c r="J130" i="1"/>
  <c r="F133" i="1"/>
  <c r="A133" i="1"/>
  <c r="J129" i="1"/>
  <c r="F132" i="1"/>
  <c r="A132" i="1"/>
  <c r="J128" i="1"/>
  <c r="F131" i="1"/>
  <c r="A131" i="1"/>
  <c r="J127" i="1"/>
  <c r="F130" i="1"/>
  <c r="A130" i="1"/>
  <c r="J126" i="1"/>
  <c r="F129" i="1"/>
  <c r="A129" i="1"/>
  <c r="J125" i="1"/>
  <c r="F128" i="1"/>
  <c r="A128" i="1"/>
  <c r="J124" i="1"/>
  <c r="F127" i="1"/>
  <c r="A127" i="1"/>
  <c r="J123" i="1"/>
  <c r="F126" i="1"/>
  <c r="A126" i="1"/>
  <c r="J122" i="1"/>
  <c r="F125" i="1"/>
  <c r="A125" i="1"/>
  <c r="J121" i="1"/>
  <c r="F124" i="1"/>
  <c r="A124" i="1"/>
  <c r="J120" i="1"/>
  <c r="F123" i="1"/>
  <c r="A123" i="1"/>
  <c r="J119" i="1"/>
  <c r="F122" i="1"/>
  <c r="A122" i="1"/>
  <c r="J118" i="1"/>
  <c r="F121" i="1"/>
  <c r="A121" i="1"/>
  <c r="J117" i="1"/>
  <c r="F120" i="1"/>
  <c r="A120" i="1"/>
  <c r="J116" i="1"/>
  <c r="F119" i="1"/>
  <c r="A119" i="1"/>
  <c r="J115" i="1"/>
  <c r="F118" i="1"/>
  <c r="A118" i="1"/>
  <c r="J114" i="1"/>
  <c r="F117" i="1"/>
  <c r="A117" i="1"/>
  <c r="J113" i="1"/>
  <c r="F116" i="1"/>
  <c r="A116" i="1"/>
  <c r="J112" i="1"/>
  <c r="F115" i="1"/>
  <c r="A115" i="1"/>
  <c r="J111" i="1"/>
  <c r="F114" i="1"/>
  <c r="A114" i="1"/>
  <c r="J110" i="1"/>
  <c r="F113" i="1"/>
  <c r="A113" i="1"/>
  <c r="J109" i="1"/>
  <c r="F112" i="1"/>
  <c r="A112" i="1"/>
  <c r="J108" i="1"/>
  <c r="F111" i="1"/>
  <c r="A111" i="1"/>
  <c r="J107" i="1"/>
  <c r="F110" i="1"/>
  <c r="A110" i="1"/>
  <c r="J106" i="1"/>
  <c r="F109" i="1"/>
  <c r="A109" i="1"/>
  <c r="J105" i="1"/>
  <c r="F108" i="1"/>
  <c r="A108" i="1"/>
  <c r="J104" i="1"/>
  <c r="F107" i="1"/>
  <c r="A107" i="1"/>
  <c r="J103" i="1"/>
  <c r="F106" i="1"/>
  <c r="A106" i="1"/>
  <c r="J102" i="1"/>
  <c r="F105" i="1"/>
  <c r="A105" i="1"/>
  <c r="J101" i="1"/>
  <c r="F104" i="1"/>
  <c r="A104" i="1"/>
  <c r="J100" i="1"/>
  <c r="F103" i="1"/>
  <c r="A103" i="1"/>
  <c r="J99" i="1"/>
  <c r="F102" i="1"/>
  <c r="A102" i="1"/>
  <c r="J98" i="1"/>
  <c r="F101" i="1"/>
  <c r="A101" i="1"/>
  <c r="J97" i="1"/>
  <c r="F100" i="1"/>
  <c r="A100" i="1"/>
  <c r="J96" i="1"/>
  <c r="F99" i="1"/>
  <c r="A99" i="1"/>
  <c r="J95" i="1"/>
  <c r="F98" i="1"/>
  <c r="A98" i="1"/>
  <c r="J94" i="1"/>
  <c r="F97" i="1"/>
  <c r="A97" i="1"/>
  <c r="J93" i="1"/>
  <c r="F96" i="1"/>
  <c r="A96" i="1"/>
  <c r="J92" i="1"/>
  <c r="F95" i="1"/>
  <c r="A95" i="1"/>
  <c r="J91" i="1"/>
  <c r="F94" i="1"/>
  <c r="A94" i="1"/>
  <c r="J90" i="1"/>
  <c r="F93" i="1"/>
  <c r="A93" i="1"/>
  <c r="J89" i="1"/>
  <c r="F92" i="1"/>
  <c r="A92" i="1"/>
  <c r="J88" i="1"/>
  <c r="F91" i="1"/>
  <c r="A91" i="1"/>
  <c r="J87" i="1"/>
  <c r="F90" i="1"/>
  <c r="A90" i="1"/>
  <c r="J86" i="1"/>
  <c r="F89" i="1"/>
  <c r="A89" i="1"/>
  <c r="J85" i="1"/>
  <c r="F88" i="1"/>
  <c r="A88" i="1"/>
  <c r="J84" i="1"/>
  <c r="F87" i="1"/>
  <c r="A87" i="1"/>
  <c r="J83" i="1"/>
  <c r="F86" i="1"/>
  <c r="A86" i="1"/>
  <c r="J82" i="1"/>
  <c r="F85" i="1"/>
  <c r="A85" i="1"/>
  <c r="J81" i="1"/>
  <c r="F84" i="1"/>
  <c r="A84" i="1"/>
  <c r="J80" i="1"/>
  <c r="F83" i="1"/>
  <c r="A83" i="1"/>
  <c r="J79" i="1"/>
  <c r="F82" i="1"/>
  <c r="A82" i="1"/>
  <c r="J78" i="1"/>
  <c r="F81" i="1"/>
  <c r="A81" i="1"/>
  <c r="J77" i="1"/>
  <c r="F80" i="1"/>
  <c r="A80" i="1"/>
  <c r="J76" i="1"/>
  <c r="F79" i="1"/>
  <c r="A79" i="1"/>
  <c r="J75" i="1"/>
  <c r="F78" i="1"/>
  <c r="A78" i="1"/>
  <c r="J74" i="1"/>
  <c r="F77" i="1"/>
  <c r="A77" i="1"/>
  <c r="J73" i="1"/>
  <c r="F76" i="1"/>
  <c r="A76" i="1"/>
  <c r="J72" i="1"/>
  <c r="F75" i="1"/>
  <c r="A75" i="1"/>
  <c r="J71" i="1"/>
  <c r="F74" i="1"/>
  <c r="A74" i="1"/>
  <c r="J70" i="1"/>
  <c r="F73" i="1"/>
  <c r="A73" i="1"/>
  <c r="J69" i="1"/>
  <c r="F72" i="1"/>
  <c r="A72" i="1"/>
  <c r="J68" i="1"/>
  <c r="F71" i="1"/>
  <c r="A71" i="1"/>
  <c r="J67" i="1"/>
  <c r="F70" i="1"/>
  <c r="A70" i="1"/>
  <c r="J66" i="1"/>
  <c r="F69" i="1"/>
  <c r="A69" i="1"/>
  <c r="J65" i="1"/>
  <c r="F68" i="1"/>
  <c r="A68" i="1"/>
  <c r="J64" i="1"/>
  <c r="F67" i="1"/>
  <c r="A67" i="1"/>
  <c r="J63" i="1"/>
  <c r="F66" i="1"/>
  <c r="A66" i="1"/>
  <c r="J62" i="1"/>
  <c r="F65" i="1"/>
  <c r="A65" i="1"/>
  <c r="J61" i="1"/>
  <c r="F64" i="1"/>
  <c r="A64" i="1"/>
  <c r="J60" i="1"/>
  <c r="F63" i="1"/>
  <c r="A63" i="1"/>
  <c r="J59" i="1"/>
  <c r="F62" i="1"/>
  <c r="A62" i="1"/>
  <c r="J58" i="1"/>
  <c r="F61" i="1"/>
  <c r="A61" i="1"/>
  <c r="J57" i="1"/>
  <c r="F60" i="1"/>
  <c r="A60" i="1"/>
  <c r="J56" i="1"/>
  <c r="F59" i="1"/>
  <c r="A59" i="1"/>
  <c r="J55" i="1"/>
  <c r="F58" i="1"/>
  <c r="A58" i="1"/>
  <c r="J54" i="1"/>
  <c r="F57" i="1"/>
  <c r="A57" i="1"/>
  <c r="J53" i="1"/>
  <c r="F56" i="1"/>
  <c r="A56" i="1"/>
  <c r="J52" i="1"/>
  <c r="F55" i="1"/>
  <c r="A55" i="1"/>
  <c r="J51" i="1"/>
  <c r="F54" i="1"/>
  <c r="A54" i="1"/>
  <c r="J50" i="1"/>
  <c r="F53" i="1"/>
  <c r="A53" i="1"/>
  <c r="J49" i="1"/>
  <c r="F52" i="1"/>
  <c r="A52" i="1"/>
  <c r="J48" i="1"/>
  <c r="F51" i="1"/>
  <c r="A51" i="1"/>
  <c r="J47" i="1"/>
  <c r="F50" i="1"/>
  <c r="A50" i="1"/>
  <c r="J46" i="1"/>
  <c r="F49" i="1"/>
  <c r="A49" i="1"/>
  <c r="J45" i="1"/>
  <c r="F48" i="1"/>
  <c r="A48" i="1"/>
  <c r="J44" i="1"/>
  <c r="F47" i="1"/>
  <c r="A47" i="1"/>
  <c r="J43" i="1"/>
  <c r="F46" i="1"/>
  <c r="A46" i="1"/>
  <c r="J42" i="1"/>
  <c r="F45" i="1"/>
  <c r="A45" i="1"/>
  <c r="J41" i="1"/>
  <c r="F44" i="1"/>
  <c r="A44" i="1"/>
  <c r="J40" i="1"/>
  <c r="F43" i="1"/>
  <c r="A43" i="1"/>
  <c r="J39" i="1"/>
  <c r="F42" i="1"/>
  <c r="A42" i="1"/>
  <c r="J38" i="1"/>
  <c r="F41" i="1"/>
  <c r="A41" i="1"/>
  <c r="J37" i="1"/>
  <c r="F40" i="1"/>
  <c r="A40" i="1"/>
  <c r="J36" i="1"/>
  <c r="F39" i="1"/>
  <c r="A39" i="1"/>
  <c r="J35" i="1"/>
  <c r="F38" i="1"/>
  <c r="A38" i="1"/>
  <c r="J34" i="1"/>
  <c r="F37" i="1"/>
  <c r="A37" i="1"/>
  <c r="J33" i="1"/>
  <c r="F36" i="1"/>
  <c r="A36" i="1"/>
  <c r="J32" i="1"/>
  <c r="F35" i="1"/>
  <c r="A35" i="1"/>
  <c r="J31" i="1"/>
  <c r="F34" i="1"/>
  <c r="A34" i="1"/>
  <c r="J30" i="1"/>
  <c r="F33" i="1"/>
  <c r="A33" i="1"/>
  <c r="J29" i="1"/>
  <c r="F32" i="1"/>
  <c r="A32" i="1"/>
  <c r="J28" i="1"/>
  <c r="A31" i="1"/>
  <c r="J27" i="1"/>
  <c r="A30" i="1"/>
  <c r="J26" i="1"/>
  <c r="F29" i="1"/>
  <c r="A29" i="1"/>
  <c r="J25" i="1"/>
  <c r="A28" i="1"/>
  <c r="J24" i="1"/>
  <c r="A27" i="1"/>
  <c r="J23" i="1"/>
  <c r="A26" i="1"/>
  <c r="J22" i="1"/>
  <c r="F25" i="1"/>
  <c r="A25" i="1"/>
  <c r="J21" i="1"/>
  <c r="A24" i="1"/>
  <c r="J20" i="1"/>
  <c r="A23" i="1"/>
  <c r="J19" i="1"/>
  <c r="F22" i="1"/>
  <c r="A22" i="1"/>
  <c r="J18" i="1"/>
  <c r="A21" i="1"/>
  <c r="J17" i="1"/>
  <c r="F20" i="1"/>
  <c r="A20" i="1"/>
  <c r="J16" i="1"/>
  <c r="A19" i="1"/>
  <c r="J15" i="1"/>
  <c r="F18" i="1"/>
  <c r="A18" i="1"/>
  <c r="J14" i="1"/>
  <c r="A17" i="1"/>
  <c r="J13" i="1"/>
  <c r="F16" i="1"/>
  <c r="A16" i="1"/>
  <c r="J12" i="1"/>
  <c r="A15" i="1"/>
  <c r="J11" i="1"/>
  <c r="F14" i="1"/>
  <c r="A14" i="1"/>
  <c r="J10" i="1"/>
  <c r="A13" i="1"/>
  <c r="J9" i="1"/>
  <c r="F12" i="1"/>
  <c r="A12" i="1"/>
  <c r="F11" i="1"/>
  <c r="A11" i="1"/>
  <c r="A10" i="1"/>
  <c r="A9" i="1"/>
  <c r="A2" i="1"/>
  <c r="N1434" i="5" l="1"/>
  <c r="N1436" i="5"/>
  <c r="N1438" i="5"/>
  <c r="N1440" i="5"/>
  <c r="N1442" i="5"/>
  <c r="N1444" i="5"/>
  <c r="N1446" i="5"/>
  <c r="N1448" i="5"/>
  <c r="N1450" i="5"/>
  <c r="N1452" i="5"/>
  <c r="N1454" i="5"/>
  <c r="N1456" i="5"/>
  <c r="N1458" i="5"/>
  <c r="N1460" i="5"/>
  <c r="N1462" i="5"/>
  <c r="N1464" i="5"/>
  <c r="N1466" i="5"/>
  <c r="N1468" i="5"/>
  <c r="N1470" i="5"/>
  <c r="N1472" i="5"/>
  <c r="N1474" i="5"/>
  <c r="N1476" i="5"/>
  <c r="N1478" i="5"/>
  <c r="N1480" i="5"/>
  <c r="N1482" i="5"/>
  <c r="N1484" i="5"/>
  <c r="N1486" i="5"/>
  <c r="N1488" i="5"/>
  <c r="N1490" i="5"/>
  <c r="N1492" i="5"/>
  <c r="N1494" i="5"/>
  <c r="N1496" i="5"/>
  <c r="N1498" i="5"/>
  <c r="N1500" i="5"/>
  <c r="N1502" i="5"/>
  <c r="N1504" i="5"/>
  <c r="N1506" i="5"/>
  <c r="N1508" i="5"/>
  <c r="N1510" i="5"/>
  <c r="N1512" i="5"/>
  <c r="N1514" i="5"/>
  <c r="N1516" i="5"/>
  <c r="N1518" i="5"/>
  <c r="N1520" i="5"/>
  <c r="N1522" i="5"/>
  <c r="N1524" i="5"/>
  <c r="N1526" i="5"/>
  <c r="N1528" i="5"/>
  <c r="N1530" i="5"/>
  <c r="N1532" i="5"/>
  <c r="N1534" i="5"/>
  <c r="N1536" i="5"/>
  <c r="N1538" i="5"/>
  <c r="N1540" i="5"/>
  <c r="N1542" i="5"/>
  <c r="N1544" i="5"/>
  <c r="N1546" i="5"/>
  <c r="N1548" i="5"/>
  <c r="N1550" i="5"/>
  <c r="N1552" i="5"/>
  <c r="N1554" i="5"/>
  <c r="N1556" i="5"/>
  <c r="N1558" i="5"/>
  <c r="N1560" i="5"/>
  <c r="N1562" i="5"/>
  <c r="N1564" i="5"/>
  <c r="N1566" i="5"/>
  <c r="N1568" i="5"/>
  <c r="N1570" i="5"/>
  <c r="N1572" i="5"/>
  <c r="N1574" i="5"/>
  <c r="N1576" i="5"/>
  <c r="N1578" i="5"/>
  <c r="N1580" i="5"/>
  <c r="N1582" i="5"/>
  <c r="N1584" i="5"/>
  <c r="N1586" i="5"/>
  <c r="N1588" i="5"/>
  <c r="N1590" i="5"/>
  <c r="N1592" i="5"/>
  <c r="N1594" i="5"/>
  <c r="N1596" i="5"/>
  <c r="N1598" i="5"/>
  <c r="N1600" i="5"/>
  <c r="N1602" i="5"/>
  <c r="N1604" i="5"/>
  <c r="N1606" i="5"/>
  <c r="N1608" i="5"/>
  <c r="N1610" i="5"/>
  <c r="N1612" i="5"/>
  <c r="N1614" i="5"/>
  <c r="N1616" i="5"/>
  <c r="N1618" i="5"/>
  <c r="N1620" i="5"/>
  <c r="N1622" i="5"/>
  <c r="N1624" i="5"/>
  <c r="N1626" i="5"/>
  <c r="N1628" i="5"/>
  <c r="N1630" i="5"/>
  <c r="N1632" i="5"/>
  <c r="N1634" i="5"/>
  <c r="N1636" i="5"/>
  <c r="N1638" i="5"/>
  <c r="N1640" i="5"/>
  <c r="N1642" i="5"/>
  <c r="N1644" i="5"/>
  <c r="N1646" i="5"/>
  <c r="N1648" i="5"/>
  <c r="N1650" i="5"/>
  <c r="N1652" i="5"/>
  <c r="N1654" i="5"/>
  <c r="N1656" i="5"/>
  <c r="N1658" i="5"/>
  <c r="N1660" i="5"/>
  <c r="N1662" i="5"/>
  <c r="N1664" i="5"/>
  <c r="N1666" i="5"/>
  <c r="N1668" i="5"/>
  <c r="N1670" i="5"/>
  <c r="N1672" i="5"/>
  <c r="N1674" i="5"/>
  <c r="N1676" i="5"/>
  <c r="N1678" i="5"/>
  <c r="N1680" i="5"/>
  <c r="N1682" i="5"/>
  <c r="N1684" i="5"/>
  <c r="N1686" i="5"/>
  <c r="N1688" i="5"/>
  <c r="N1690" i="5"/>
  <c r="N1692" i="5"/>
  <c r="N1694" i="5"/>
  <c r="N1696" i="5"/>
  <c r="N1698" i="5"/>
  <c r="N1700" i="5"/>
  <c r="N1702" i="5"/>
  <c r="N1704" i="5"/>
  <c r="N1706" i="5"/>
  <c r="N1708" i="5"/>
  <c r="N1710" i="5"/>
  <c r="N1712" i="5"/>
  <c r="N1714" i="5"/>
  <c r="N1716" i="5"/>
  <c r="N1718" i="5"/>
  <c r="N1720" i="5"/>
  <c r="N1722" i="5"/>
  <c r="N1724" i="5"/>
  <c r="N1726" i="5"/>
  <c r="N1728" i="5"/>
  <c r="N1730" i="5"/>
  <c r="N1732" i="5"/>
  <c r="N1734" i="5"/>
  <c r="N1736" i="5"/>
  <c r="N1738" i="5"/>
  <c r="N1740" i="5"/>
  <c r="N1742" i="5"/>
  <c r="N1744" i="5"/>
  <c r="N1746" i="5"/>
  <c r="N1748" i="5"/>
  <c r="N1750" i="5"/>
  <c r="N1752" i="5"/>
  <c r="N1754" i="5"/>
  <c r="N1756" i="5"/>
  <c r="N1758" i="5"/>
  <c r="A1" i="3"/>
  <c r="C6" i="2"/>
  <c r="N1760" i="5"/>
  <c r="N1762" i="5"/>
  <c r="N1764" i="5"/>
  <c r="N1766" i="5"/>
  <c r="N1768" i="5"/>
  <c r="N1770" i="5"/>
  <c r="N1772" i="5"/>
  <c r="N1774" i="5"/>
  <c r="N1776" i="5"/>
  <c r="N1778" i="5"/>
  <c r="N1780" i="5"/>
  <c r="N1782" i="5"/>
  <c r="N1784" i="5"/>
  <c r="N1786" i="5"/>
  <c r="N1788" i="5"/>
  <c r="N1790" i="5"/>
  <c r="N1792" i="5"/>
  <c r="N1794" i="5"/>
  <c r="N1796" i="5"/>
  <c r="N1798" i="5"/>
  <c r="N1800" i="5"/>
  <c r="N1802" i="5"/>
  <c r="N1804" i="5"/>
  <c r="N1806" i="5"/>
  <c r="N1808" i="5"/>
  <c r="N1810" i="5"/>
  <c r="N1812" i="5"/>
  <c r="N1814" i="5"/>
  <c r="N1816" i="5"/>
  <c r="N1818" i="5"/>
  <c r="N1820" i="5"/>
  <c r="N1822" i="5"/>
  <c r="N1824" i="5"/>
  <c r="N1826" i="5"/>
  <c r="N1828" i="5"/>
  <c r="N1830" i="5"/>
  <c r="N1832" i="5"/>
  <c r="N1834" i="5"/>
  <c r="N1836" i="5"/>
  <c r="N1838" i="5"/>
  <c r="N1840" i="5"/>
  <c r="N1842" i="5"/>
  <c r="N1844" i="5"/>
  <c r="N1846" i="5"/>
  <c r="N1848" i="5"/>
  <c r="N1850" i="5"/>
  <c r="N1852" i="5"/>
  <c r="N1854" i="5"/>
  <c r="N1856" i="5"/>
  <c r="N1858" i="5"/>
  <c r="N1860" i="5"/>
  <c r="N1862" i="5"/>
  <c r="N1864" i="5"/>
  <c r="N1866" i="5"/>
  <c r="N1868" i="5"/>
  <c r="N1870" i="5"/>
  <c r="N1872" i="5"/>
  <c r="N1874" i="5"/>
  <c r="N1876" i="5"/>
  <c r="N1878" i="5"/>
  <c r="N1880" i="5"/>
  <c r="N1882" i="5"/>
  <c r="N1884" i="5"/>
  <c r="N1886" i="5"/>
  <c r="N1888" i="5"/>
  <c r="N1890" i="5"/>
  <c r="N1892" i="5"/>
  <c r="N1894" i="5"/>
  <c r="N1896" i="5"/>
  <c r="N1898" i="5"/>
  <c r="N1900" i="5"/>
  <c r="N1902" i="5"/>
  <c r="N1904" i="5"/>
  <c r="N1906" i="5"/>
  <c r="N1908" i="5"/>
  <c r="N1910" i="5"/>
  <c r="N1912" i="5"/>
  <c r="N1914" i="5"/>
  <c r="N1916" i="5"/>
  <c r="N1918" i="5"/>
  <c r="N1920" i="5"/>
  <c r="N1922" i="5"/>
  <c r="N1924" i="5"/>
  <c r="N1926" i="5"/>
  <c r="N1928" i="5"/>
  <c r="AA46" i="5"/>
  <c r="AA38" i="5"/>
  <c r="AA40" i="5"/>
  <c r="AA42" i="5"/>
  <c r="AA44" i="5"/>
  <c r="F9" i="1"/>
  <c r="F13" i="1"/>
  <c r="F15" i="1"/>
  <c r="F17" i="1"/>
  <c r="F19" i="1"/>
  <c r="F21" i="1"/>
  <c r="F23" i="1"/>
  <c r="F27" i="1"/>
  <c r="F31" i="1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7" i="2"/>
  <c r="F24" i="1"/>
  <c r="F26" i="1"/>
  <c r="F28" i="1"/>
  <c r="F30" i="1"/>
  <c r="AA26" i="5"/>
  <c r="AA28" i="5"/>
  <c r="B988" i="5"/>
  <c r="B1004" i="5"/>
  <c r="AA815" i="5"/>
  <c r="B815" i="5"/>
  <c r="J815" i="5"/>
  <c r="AA817" i="5"/>
  <c r="B817" i="5"/>
  <c r="J817" i="5"/>
  <c r="AA819" i="5"/>
  <c r="B819" i="5"/>
  <c r="J819" i="5"/>
  <c r="AA821" i="5"/>
  <c r="B821" i="5"/>
  <c r="J821" i="5"/>
  <c r="AA823" i="5"/>
  <c r="B823" i="5"/>
  <c r="J823" i="5"/>
  <c r="AA825" i="5"/>
  <c r="B825" i="5"/>
  <c r="J825" i="5"/>
  <c r="AA827" i="5"/>
  <c r="B827" i="5"/>
  <c r="J827" i="5"/>
  <c r="AA829" i="5"/>
  <c r="B829" i="5"/>
  <c r="J829" i="5"/>
  <c r="AA831" i="5"/>
  <c r="B831" i="5"/>
  <c r="J831" i="5"/>
  <c r="AA833" i="5"/>
  <c r="B833" i="5"/>
  <c r="J833" i="5"/>
  <c r="AA436" i="5"/>
  <c r="B436" i="5"/>
  <c r="AA438" i="5"/>
  <c r="B438" i="5"/>
  <c r="AA440" i="5"/>
  <c r="B440" i="5"/>
  <c r="AA442" i="5"/>
  <c r="B442" i="5"/>
  <c r="AA444" i="5"/>
  <c r="B444" i="5"/>
  <c r="AA446" i="5"/>
  <c r="B446" i="5"/>
  <c r="AA448" i="5"/>
  <c r="B448" i="5"/>
  <c r="AA450" i="5"/>
  <c r="B450" i="5"/>
  <c r="B721" i="5"/>
  <c r="B723" i="5"/>
  <c r="B725" i="5"/>
  <c r="B727" i="5"/>
  <c r="B729" i="5"/>
  <c r="B731" i="5"/>
  <c r="B733" i="5"/>
  <c r="B735" i="5"/>
  <c r="B737" i="5"/>
  <c r="B739" i="5"/>
  <c r="B741" i="5"/>
  <c r="B743" i="5"/>
  <c r="B745" i="5"/>
  <c r="B747" i="5"/>
  <c r="B749" i="5"/>
  <c r="B751" i="5"/>
  <c r="B753" i="5"/>
  <c r="B755" i="5"/>
  <c r="B757" i="5"/>
  <c r="B759" i="5"/>
  <c r="B761" i="5"/>
  <c r="B763" i="5"/>
  <c r="B765" i="5"/>
  <c r="B767" i="5"/>
  <c r="B769" i="5"/>
  <c r="B771" i="5"/>
  <c r="B773" i="5"/>
  <c r="B775" i="5"/>
  <c r="B777" i="5"/>
  <c r="B779" i="5"/>
  <c r="B781" i="5"/>
  <c r="B783" i="5"/>
  <c r="B785" i="5"/>
  <c r="B787" i="5"/>
  <c r="B789" i="5"/>
  <c r="B791" i="5"/>
  <c r="B793" i="5"/>
  <c r="B795" i="5"/>
  <c r="B797" i="5"/>
  <c r="B799" i="5"/>
  <c r="B801" i="5"/>
  <c r="B803" i="5"/>
  <c r="B805" i="5"/>
  <c r="B807" i="5"/>
  <c r="B809" i="5"/>
  <c r="AA835" i="5"/>
  <c r="B835" i="5"/>
  <c r="J835" i="5"/>
  <c r="J721" i="5"/>
  <c r="J723" i="5"/>
  <c r="J725" i="5"/>
  <c r="J727" i="5"/>
  <c r="J729" i="5"/>
  <c r="J731" i="5"/>
  <c r="J733" i="5"/>
  <c r="J735" i="5"/>
  <c r="J737" i="5"/>
  <c r="J739" i="5"/>
  <c r="J741" i="5"/>
  <c r="J743" i="5"/>
  <c r="J745" i="5"/>
  <c r="J747" i="5"/>
  <c r="J749" i="5"/>
  <c r="J751" i="5"/>
  <c r="J753" i="5"/>
  <c r="J755" i="5"/>
  <c r="J757" i="5"/>
  <c r="J759" i="5"/>
  <c r="J761" i="5"/>
  <c r="J763" i="5"/>
  <c r="J765" i="5"/>
  <c r="J767" i="5"/>
  <c r="J769" i="5"/>
  <c r="J771" i="5"/>
  <c r="J773" i="5"/>
  <c r="J775" i="5"/>
  <c r="J777" i="5"/>
  <c r="J779" i="5"/>
  <c r="J781" i="5"/>
  <c r="J783" i="5"/>
  <c r="J785" i="5"/>
  <c r="J787" i="5"/>
  <c r="J789" i="5"/>
  <c r="J791" i="5"/>
  <c r="J793" i="5"/>
  <c r="J795" i="5"/>
  <c r="J797" i="5"/>
  <c r="J799" i="5"/>
  <c r="J801" i="5"/>
  <c r="J803" i="5"/>
  <c r="J805" i="5"/>
  <c r="J807" i="5"/>
  <c r="J809" i="5"/>
  <c r="AA811" i="5"/>
  <c r="J811" i="5"/>
  <c r="AA897" i="5"/>
  <c r="B897" i="5"/>
  <c r="J897" i="5"/>
  <c r="AA899" i="5"/>
  <c r="B899" i="5"/>
  <c r="J899" i="5"/>
  <c r="AA901" i="5"/>
  <c r="B901" i="5"/>
  <c r="J901" i="5"/>
  <c r="AA903" i="5"/>
  <c r="B903" i="5"/>
  <c r="J903" i="5"/>
  <c r="AA905" i="5"/>
  <c r="B905" i="5"/>
  <c r="J905" i="5"/>
  <c r="AA907" i="5"/>
  <c r="B907" i="5"/>
  <c r="J907" i="5"/>
  <c r="AA909" i="5"/>
  <c r="B909" i="5"/>
  <c r="J909" i="5"/>
  <c r="AA911" i="5"/>
  <c r="B911" i="5"/>
  <c r="J911" i="5"/>
  <c r="AA913" i="5"/>
  <c r="J913" i="5"/>
  <c r="B913" i="5"/>
  <c r="J837" i="5"/>
  <c r="J839" i="5"/>
  <c r="J841" i="5"/>
  <c r="J843" i="5"/>
  <c r="J845" i="5"/>
  <c r="J847" i="5"/>
  <c r="J849" i="5"/>
  <c r="J851" i="5"/>
  <c r="J853" i="5"/>
  <c r="J855" i="5"/>
  <c r="J857" i="5"/>
  <c r="J859" i="5"/>
  <c r="J861" i="5"/>
  <c r="J863" i="5"/>
  <c r="J865" i="5"/>
  <c r="J867" i="5"/>
  <c r="J869" i="5"/>
  <c r="J871" i="5"/>
  <c r="J873" i="5"/>
  <c r="J875" i="5"/>
  <c r="J877" i="5"/>
  <c r="J879" i="5"/>
  <c r="J881" i="5"/>
  <c r="AA883" i="5"/>
  <c r="B883" i="5"/>
  <c r="AA885" i="5"/>
  <c r="B885" i="5"/>
  <c r="AA887" i="5"/>
  <c r="B887" i="5"/>
  <c r="AA889" i="5"/>
  <c r="B889" i="5"/>
  <c r="AA891" i="5"/>
  <c r="B891" i="5"/>
  <c r="AA893" i="5"/>
  <c r="B893" i="5"/>
  <c r="AA895" i="5"/>
  <c r="B895" i="5"/>
  <c r="B837" i="5"/>
  <c r="B839" i="5"/>
  <c r="B841" i="5"/>
  <c r="B843" i="5"/>
  <c r="B845" i="5"/>
  <c r="B847" i="5"/>
  <c r="B849" i="5"/>
  <c r="B851" i="5"/>
  <c r="B853" i="5"/>
  <c r="B855" i="5"/>
  <c r="B857" i="5"/>
  <c r="B859" i="5"/>
  <c r="B861" i="5"/>
  <c r="B863" i="5"/>
  <c r="B865" i="5"/>
  <c r="B867" i="5"/>
  <c r="B869" i="5"/>
  <c r="B871" i="5"/>
  <c r="B873" i="5"/>
  <c r="B875" i="5"/>
  <c r="B877" i="5"/>
  <c r="B879" i="5"/>
  <c r="B881" i="5"/>
  <c r="J883" i="5"/>
  <c r="J885" i="5"/>
  <c r="J887" i="5"/>
  <c r="J889" i="5"/>
  <c r="J891" i="5"/>
  <c r="J893" i="5"/>
  <c r="J895" i="5"/>
  <c r="B915" i="5"/>
  <c r="B917" i="5"/>
  <c r="B919" i="5"/>
  <c r="B921" i="5"/>
  <c r="B923" i="5"/>
  <c r="B925" i="5"/>
  <c r="B927" i="5"/>
  <c r="B929" i="5"/>
  <c r="B931" i="5"/>
  <c r="B933" i="5"/>
  <c r="B935" i="5"/>
  <c r="B936" i="5"/>
  <c r="B938" i="5"/>
  <c r="B940" i="5"/>
  <c r="B942" i="5"/>
  <c r="B944" i="5"/>
  <c r="B946" i="5"/>
  <c r="B948" i="5"/>
  <c r="B976" i="5"/>
  <c r="J980" i="5"/>
  <c r="B984" i="5"/>
  <c r="J988" i="5"/>
  <c r="B992" i="5"/>
  <c r="J996" i="5"/>
  <c r="B1000" i="5"/>
  <c r="J1004" i="5"/>
  <c r="J915" i="5"/>
  <c r="J917" i="5"/>
  <c r="J919" i="5"/>
  <c r="J921" i="5"/>
  <c r="J923" i="5"/>
  <c r="J925" i="5"/>
  <c r="J927" i="5"/>
  <c r="J929" i="5"/>
  <c r="J931" i="5"/>
  <c r="J933" i="5"/>
  <c r="J936" i="5"/>
  <c r="J938" i="5"/>
  <c r="J940" i="5"/>
  <c r="J942" i="5"/>
  <c r="J944" i="5"/>
  <c r="J946" i="5"/>
  <c r="J948" i="5"/>
  <c r="J976" i="5"/>
  <c r="J984" i="5"/>
  <c r="J992" i="5"/>
  <c r="J1000" i="5"/>
  <c r="L23" i="5"/>
  <c r="AA20" i="5"/>
  <c r="AA22" i="5"/>
  <c r="AA16" i="5"/>
  <c r="AA14" i="5"/>
  <c r="AA240" i="5"/>
  <c r="J240" i="5"/>
  <c r="B240" i="5"/>
  <c r="H240" i="5"/>
  <c r="L240" i="5"/>
  <c r="AA248" i="5"/>
  <c r="J248" i="5"/>
  <c r="B248" i="5"/>
  <c r="H248" i="5"/>
  <c r="L248" i="5"/>
  <c r="AA256" i="5"/>
  <c r="J256" i="5"/>
  <c r="B256" i="5"/>
  <c r="H256" i="5"/>
  <c r="L256" i="5"/>
  <c r="AA264" i="5"/>
  <c r="J264" i="5"/>
  <c r="B264" i="5"/>
  <c r="H264" i="5"/>
  <c r="L264" i="5"/>
  <c r="AA272" i="5"/>
  <c r="J272" i="5"/>
  <c r="B272" i="5"/>
  <c r="H272" i="5"/>
  <c r="L272" i="5"/>
  <c r="AA280" i="5"/>
  <c r="J280" i="5"/>
  <c r="B280" i="5"/>
  <c r="H280" i="5"/>
  <c r="L280" i="5"/>
  <c r="AA288" i="5"/>
  <c r="J288" i="5"/>
  <c r="B288" i="5"/>
  <c r="H288" i="5"/>
  <c r="L288" i="5"/>
  <c r="AA296" i="5"/>
  <c r="J296" i="5"/>
  <c r="B296" i="5"/>
  <c r="H296" i="5"/>
  <c r="L296" i="5"/>
  <c r="AA304" i="5"/>
  <c r="J304" i="5"/>
  <c r="B304" i="5"/>
  <c r="H304" i="5"/>
  <c r="L304" i="5"/>
  <c r="AA312" i="5"/>
  <c r="J312" i="5"/>
  <c r="B312" i="5"/>
  <c r="H312" i="5"/>
  <c r="L312" i="5"/>
  <c r="AA320" i="5"/>
  <c r="J320" i="5"/>
  <c r="B320" i="5"/>
  <c r="H320" i="5"/>
  <c r="L320" i="5"/>
  <c r="AA328" i="5"/>
  <c r="J328" i="5"/>
  <c r="B328" i="5"/>
  <c r="H328" i="5"/>
  <c r="L328" i="5"/>
  <c r="AA336" i="5"/>
  <c r="J336" i="5"/>
  <c r="B336" i="5"/>
  <c r="H336" i="5"/>
  <c r="L336" i="5"/>
  <c r="AA344" i="5"/>
  <c r="J344" i="5"/>
  <c r="B344" i="5"/>
  <c r="H344" i="5"/>
  <c r="L344" i="5"/>
  <c r="AA352" i="5"/>
  <c r="J352" i="5"/>
  <c r="B352" i="5"/>
  <c r="H352" i="5"/>
  <c r="L352" i="5"/>
  <c r="AA360" i="5"/>
  <c r="J360" i="5"/>
  <c r="B360" i="5"/>
  <c r="H360" i="5"/>
  <c r="L360" i="5"/>
  <c r="AA368" i="5"/>
  <c r="J368" i="5"/>
  <c r="B368" i="5"/>
  <c r="H368" i="5"/>
  <c r="L368" i="5"/>
  <c r="AA376" i="5"/>
  <c r="L376" i="5"/>
  <c r="J376" i="5"/>
  <c r="B376" i="5"/>
  <c r="H376" i="5"/>
  <c r="AA236" i="5"/>
  <c r="J236" i="5"/>
  <c r="B236" i="5"/>
  <c r="H236" i="5"/>
  <c r="L236" i="5"/>
  <c r="AA244" i="5"/>
  <c r="J244" i="5"/>
  <c r="B244" i="5"/>
  <c r="H244" i="5"/>
  <c r="L244" i="5"/>
  <c r="AA252" i="5"/>
  <c r="J252" i="5"/>
  <c r="B252" i="5"/>
  <c r="H252" i="5"/>
  <c r="L252" i="5"/>
  <c r="AA260" i="5"/>
  <c r="J260" i="5"/>
  <c r="B260" i="5"/>
  <c r="H260" i="5"/>
  <c r="L260" i="5"/>
  <c r="AA268" i="5"/>
  <c r="J268" i="5"/>
  <c r="B268" i="5"/>
  <c r="H268" i="5"/>
  <c r="L268" i="5"/>
  <c r="AA276" i="5"/>
  <c r="J276" i="5"/>
  <c r="B276" i="5"/>
  <c r="H276" i="5"/>
  <c r="L276" i="5"/>
  <c r="AA284" i="5"/>
  <c r="J284" i="5"/>
  <c r="B284" i="5"/>
  <c r="H284" i="5"/>
  <c r="L284" i="5"/>
  <c r="AA292" i="5"/>
  <c r="J292" i="5"/>
  <c r="B292" i="5"/>
  <c r="H292" i="5"/>
  <c r="L292" i="5"/>
  <c r="AA300" i="5"/>
  <c r="J300" i="5"/>
  <c r="B300" i="5"/>
  <c r="H300" i="5"/>
  <c r="L300" i="5"/>
  <c r="AA308" i="5"/>
  <c r="J308" i="5"/>
  <c r="B308" i="5"/>
  <c r="H308" i="5"/>
  <c r="L308" i="5"/>
  <c r="AA316" i="5"/>
  <c r="J316" i="5"/>
  <c r="B316" i="5"/>
  <c r="H316" i="5"/>
  <c r="L316" i="5"/>
  <c r="AA324" i="5"/>
  <c r="J324" i="5"/>
  <c r="B324" i="5"/>
  <c r="H324" i="5"/>
  <c r="L324" i="5"/>
  <c r="AA332" i="5"/>
  <c r="J332" i="5"/>
  <c r="B332" i="5"/>
  <c r="H332" i="5"/>
  <c r="L332" i="5"/>
  <c r="AA340" i="5"/>
  <c r="J340" i="5"/>
  <c r="B340" i="5"/>
  <c r="H340" i="5"/>
  <c r="L340" i="5"/>
  <c r="AA348" i="5"/>
  <c r="J348" i="5"/>
  <c r="B348" i="5"/>
  <c r="H348" i="5"/>
  <c r="L348" i="5"/>
  <c r="AA356" i="5"/>
  <c r="J356" i="5"/>
  <c r="B356" i="5"/>
  <c r="H356" i="5"/>
  <c r="L356" i="5"/>
  <c r="AA364" i="5"/>
  <c r="J364" i="5"/>
  <c r="B364" i="5"/>
  <c r="H364" i="5"/>
  <c r="L364" i="5"/>
  <c r="AA372" i="5"/>
  <c r="J372" i="5"/>
  <c r="B372" i="5"/>
  <c r="H372" i="5"/>
  <c r="L372" i="5"/>
  <c r="B6" i="5"/>
  <c r="B10" i="5"/>
  <c r="B12" i="5"/>
  <c r="B14" i="5"/>
  <c r="B16" i="5"/>
  <c r="B18" i="5"/>
  <c r="B20" i="5"/>
  <c r="B22" i="5"/>
  <c r="B24" i="5"/>
  <c r="B26" i="5"/>
  <c r="B28" i="5"/>
  <c r="B30" i="5"/>
  <c r="B32" i="5"/>
  <c r="B34" i="5"/>
  <c r="B36" i="5"/>
  <c r="B38" i="5"/>
  <c r="B40" i="5"/>
  <c r="B42" i="5"/>
  <c r="B44" i="5"/>
  <c r="B46" i="5"/>
  <c r="B48" i="5"/>
  <c r="J48" i="5"/>
  <c r="B50" i="5"/>
  <c r="J50" i="5"/>
  <c r="B52" i="5"/>
  <c r="J52" i="5"/>
  <c r="B54" i="5"/>
  <c r="J54" i="5"/>
  <c r="B56" i="5"/>
  <c r="J56" i="5"/>
  <c r="B58" i="5"/>
  <c r="J58" i="5"/>
  <c r="B60" i="5"/>
  <c r="J60" i="5"/>
  <c r="B62" i="5"/>
  <c r="J62" i="5"/>
  <c r="B64" i="5"/>
  <c r="J64" i="5"/>
  <c r="B66" i="5"/>
  <c r="J66" i="5"/>
  <c r="B68" i="5"/>
  <c r="J68" i="5"/>
  <c r="B70" i="5"/>
  <c r="J70" i="5"/>
  <c r="B72" i="5"/>
  <c r="J72" i="5"/>
  <c r="B74" i="5"/>
  <c r="J74" i="5"/>
  <c r="B76" i="5"/>
  <c r="J76" i="5"/>
  <c r="B78" i="5"/>
  <c r="J78" i="5"/>
  <c r="B80" i="5"/>
  <c r="J80" i="5"/>
  <c r="B82" i="5"/>
  <c r="J82" i="5"/>
  <c r="B84" i="5"/>
  <c r="J84" i="5"/>
  <c r="B86" i="5"/>
  <c r="J86" i="5"/>
  <c r="B88" i="5"/>
  <c r="J88" i="5"/>
  <c r="B90" i="5"/>
  <c r="J90" i="5"/>
  <c r="B92" i="5"/>
  <c r="J92" i="5"/>
  <c r="B94" i="5"/>
  <c r="J94" i="5"/>
  <c r="B96" i="5"/>
  <c r="J96" i="5"/>
  <c r="B98" i="5"/>
  <c r="J98" i="5"/>
  <c r="B100" i="5"/>
  <c r="J100" i="5"/>
  <c r="B102" i="5"/>
  <c r="J102" i="5"/>
  <c r="B104" i="5"/>
  <c r="J104" i="5"/>
  <c r="B106" i="5"/>
  <c r="J106" i="5"/>
  <c r="B108" i="5"/>
  <c r="J108" i="5"/>
  <c r="B110" i="5"/>
  <c r="J110" i="5"/>
  <c r="B112" i="5"/>
  <c r="J112" i="5"/>
  <c r="B114" i="5"/>
  <c r="J114" i="5"/>
  <c r="B116" i="5"/>
  <c r="J116" i="5"/>
  <c r="B118" i="5"/>
  <c r="J118" i="5"/>
  <c r="B120" i="5"/>
  <c r="J120" i="5"/>
  <c r="B122" i="5"/>
  <c r="J122" i="5"/>
  <c r="B124" i="5"/>
  <c r="J124" i="5"/>
  <c r="B126" i="5"/>
  <c r="J126" i="5"/>
  <c r="B128" i="5"/>
  <c r="J128" i="5"/>
  <c r="B130" i="5"/>
  <c r="J130" i="5"/>
  <c r="B132" i="5"/>
  <c r="J132" i="5"/>
  <c r="B134" i="5"/>
  <c r="J134" i="5"/>
  <c r="B136" i="5"/>
  <c r="J136" i="5"/>
  <c r="B138" i="5"/>
  <c r="J138" i="5"/>
  <c r="B140" i="5"/>
  <c r="J140" i="5"/>
  <c r="B142" i="5"/>
  <c r="J142" i="5"/>
  <c r="B144" i="5"/>
  <c r="J144" i="5"/>
  <c r="B146" i="5"/>
  <c r="J146" i="5"/>
  <c r="B148" i="5"/>
  <c r="J148" i="5"/>
  <c r="B150" i="5"/>
  <c r="J150" i="5"/>
  <c r="B152" i="5"/>
  <c r="J152" i="5"/>
  <c r="B154" i="5"/>
  <c r="J154" i="5"/>
  <c r="B156" i="5"/>
  <c r="J156" i="5"/>
  <c r="B158" i="5"/>
  <c r="J158" i="5"/>
  <c r="B160" i="5"/>
  <c r="J160" i="5"/>
  <c r="B162" i="5"/>
  <c r="J162" i="5"/>
  <c r="B164" i="5"/>
  <c r="J164" i="5"/>
  <c r="B166" i="5"/>
  <c r="J166" i="5"/>
  <c r="B168" i="5"/>
  <c r="J168" i="5"/>
  <c r="B170" i="5"/>
  <c r="J170" i="5"/>
  <c r="B172" i="5"/>
  <c r="J172" i="5"/>
  <c r="B174" i="5"/>
  <c r="J174" i="5"/>
  <c r="B176" i="5"/>
  <c r="J176" i="5"/>
  <c r="B178" i="5"/>
  <c r="J178" i="5"/>
  <c r="B180" i="5"/>
  <c r="J180" i="5"/>
  <c r="B182" i="5"/>
  <c r="J182" i="5"/>
  <c r="B184" i="5"/>
  <c r="J184" i="5"/>
  <c r="B186" i="5"/>
  <c r="J186" i="5"/>
  <c r="B188" i="5"/>
  <c r="J188" i="5"/>
  <c r="B190" i="5"/>
  <c r="J190" i="5"/>
  <c r="B192" i="5"/>
  <c r="J192" i="5"/>
  <c r="B194" i="5"/>
  <c r="J194" i="5"/>
  <c r="B196" i="5"/>
  <c r="J196" i="5"/>
  <c r="B198" i="5"/>
  <c r="J198" i="5"/>
  <c r="B200" i="5"/>
  <c r="J200" i="5"/>
  <c r="B202" i="5"/>
  <c r="J202" i="5"/>
  <c r="B204" i="5"/>
  <c r="J204" i="5"/>
  <c r="B206" i="5"/>
  <c r="J206" i="5"/>
  <c r="B208" i="5"/>
  <c r="J208" i="5"/>
  <c r="B210" i="5"/>
  <c r="J210" i="5"/>
  <c r="B212" i="5"/>
  <c r="J212" i="5"/>
  <c r="B214" i="5"/>
  <c r="J214" i="5"/>
  <c r="B216" i="5"/>
  <c r="J216" i="5"/>
  <c r="B218" i="5"/>
  <c r="J218" i="5"/>
  <c r="B220" i="5"/>
  <c r="J220" i="5"/>
  <c r="B222" i="5"/>
  <c r="J222" i="5"/>
  <c r="B224" i="5"/>
  <c r="J224" i="5"/>
  <c r="B226" i="5"/>
  <c r="J226" i="5"/>
  <c r="B228" i="5"/>
  <c r="J228" i="5"/>
  <c r="B230" i="5"/>
  <c r="J230" i="5"/>
  <c r="B232" i="5"/>
  <c r="J232" i="5"/>
  <c r="B234" i="5"/>
  <c r="J234" i="5"/>
  <c r="AA454" i="5"/>
  <c r="J454" i="5"/>
  <c r="B454" i="5"/>
  <c r="H454" i="5"/>
  <c r="L454" i="5"/>
  <c r="AA462" i="5"/>
  <c r="J462" i="5"/>
  <c r="B462" i="5"/>
  <c r="H462" i="5"/>
  <c r="L462" i="5"/>
  <c r="AA470" i="5"/>
  <c r="J470" i="5"/>
  <c r="B470" i="5"/>
  <c r="H470" i="5"/>
  <c r="L470" i="5"/>
  <c r="AA478" i="5"/>
  <c r="J478" i="5"/>
  <c r="B478" i="5"/>
  <c r="H478" i="5"/>
  <c r="L478" i="5"/>
  <c r="H10" i="5"/>
  <c r="L10" i="5"/>
  <c r="H12" i="5"/>
  <c r="L12" i="5"/>
  <c r="H14" i="5"/>
  <c r="L14" i="5"/>
  <c r="H16" i="5"/>
  <c r="L16" i="5"/>
  <c r="H18" i="5"/>
  <c r="J18" i="5" s="1"/>
  <c r="L18" i="5"/>
  <c r="H20" i="5"/>
  <c r="L20" i="5"/>
  <c r="H22" i="5"/>
  <c r="L22" i="5"/>
  <c r="H24" i="5"/>
  <c r="L24" i="5"/>
  <c r="H26" i="5"/>
  <c r="L26" i="5"/>
  <c r="H28" i="5"/>
  <c r="L28" i="5"/>
  <c r="H30" i="5"/>
  <c r="L30" i="5"/>
  <c r="H32" i="5"/>
  <c r="J32" i="5" s="1"/>
  <c r="L32" i="5"/>
  <c r="H34" i="5"/>
  <c r="J34" i="5" s="1"/>
  <c r="L34" i="5"/>
  <c r="H36" i="5"/>
  <c r="L36" i="5"/>
  <c r="H38" i="5"/>
  <c r="L38" i="5"/>
  <c r="H40" i="5"/>
  <c r="L40" i="5"/>
  <c r="H42" i="5"/>
  <c r="L42" i="5"/>
  <c r="H44" i="5"/>
  <c r="L44" i="5"/>
  <c r="H46" i="5"/>
  <c r="L46" i="5"/>
  <c r="H48" i="5"/>
  <c r="L48" i="5"/>
  <c r="H50" i="5"/>
  <c r="L50" i="5"/>
  <c r="H52" i="5"/>
  <c r="L52" i="5"/>
  <c r="H54" i="5"/>
  <c r="L54" i="5"/>
  <c r="H56" i="5"/>
  <c r="L56" i="5"/>
  <c r="H58" i="5"/>
  <c r="L58" i="5"/>
  <c r="H60" i="5"/>
  <c r="L60" i="5"/>
  <c r="H62" i="5"/>
  <c r="L62" i="5"/>
  <c r="H64" i="5"/>
  <c r="L64" i="5"/>
  <c r="H66" i="5"/>
  <c r="L66" i="5"/>
  <c r="H68" i="5"/>
  <c r="L68" i="5"/>
  <c r="H70" i="5"/>
  <c r="L70" i="5"/>
  <c r="H72" i="5"/>
  <c r="L72" i="5"/>
  <c r="H74" i="5"/>
  <c r="L74" i="5"/>
  <c r="H76" i="5"/>
  <c r="L76" i="5"/>
  <c r="H78" i="5"/>
  <c r="L78" i="5"/>
  <c r="H80" i="5"/>
  <c r="L80" i="5"/>
  <c r="H82" i="5"/>
  <c r="L82" i="5"/>
  <c r="H84" i="5"/>
  <c r="L84" i="5"/>
  <c r="H86" i="5"/>
  <c r="L86" i="5"/>
  <c r="H88" i="5"/>
  <c r="L88" i="5"/>
  <c r="H90" i="5"/>
  <c r="L90" i="5"/>
  <c r="H92" i="5"/>
  <c r="L92" i="5"/>
  <c r="H94" i="5"/>
  <c r="L94" i="5"/>
  <c r="H96" i="5"/>
  <c r="L96" i="5"/>
  <c r="H98" i="5"/>
  <c r="L98" i="5"/>
  <c r="H100" i="5"/>
  <c r="L100" i="5"/>
  <c r="H102" i="5"/>
  <c r="L102" i="5"/>
  <c r="H104" i="5"/>
  <c r="L104" i="5"/>
  <c r="H106" i="5"/>
  <c r="L106" i="5"/>
  <c r="H108" i="5"/>
  <c r="L108" i="5"/>
  <c r="H110" i="5"/>
  <c r="L110" i="5"/>
  <c r="H112" i="5"/>
  <c r="L112" i="5"/>
  <c r="H114" i="5"/>
  <c r="L114" i="5"/>
  <c r="H116" i="5"/>
  <c r="L116" i="5"/>
  <c r="H118" i="5"/>
  <c r="L118" i="5"/>
  <c r="H120" i="5"/>
  <c r="L120" i="5"/>
  <c r="H122" i="5"/>
  <c r="L122" i="5"/>
  <c r="H124" i="5"/>
  <c r="L124" i="5"/>
  <c r="H126" i="5"/>
  <c r="L126" i="5"/>
  <c r="H128" i="5"/>
  <c r="L128" i="5"/>
  <c r="H130" i="5"/>
  <c r="L130" i="5"/>
  <c r="H132" i="5"/>
  <c r="L132" i="5"/>
  <c r="H134" i="5"/>
  <c r="L134" i="5"/>
  <c r="H136" i="5"/>
  <c r="L136" i="5"/>
  <c r="H138" i="5"/>
  <c r="L138" i="5"/>
  <c r="H140" i="5"/>
  <c r="L140" i="5"/>
  <c r="H142" i="5"/>
  <c r="L142" i="5"/>
  <c r="H144" i="5"/>
  <c r="L144" i="5"/>
  <c r="H146" i="5"/>
  <c r="L146" i="5"/>
  <c r="H148" i="5"/>
  <c r="L148" i="5"/>
  <c r="H150" i="5"/>
  <c r="L150" i="5"/>
  <c r="H152" i="5"/>
  <c r="L152" i="5"/>
  <c r="H154" i="5"/>
  <c r="L154" i="5"/>
  <c r="H156" i="5"/>
  <c r="L156" i="5"/>
  <c r="H158" i="5"/>
  <c r="L158" i="5"/>
  <c r="H160" i="5"/>
  <c r="L160" i="5"/>
  <c r="H162" i="5"/>
  <c r="L162" i="5"/>
  <c r="H164" i="5"/>
  <c r="L164" i="5"/>
  <c r="H166" i="5"/>
  <c r="L166" i="5"/>
  <c r="H168" i="5"/>
  <c r="L168" i="5"/>
  <c r="H170" i="5"/>
  <c r="L170" i="5"/>
  <c r="H172" i="5"/>
  <c r="L172" i="5"/>
  <c r="H174" i="5"/>
  <c r="L174" i="5"/>
  <c r="H176" i="5"/>
  <c r="L176" i="5"/>
  <c r="H178" i="5"/>
  <c r="L178" i="5"/>
  <c r="H180" i="5"/>
  <c r="L180" i="5"/>
  <c r="H182" i="5"/>
  <c r="L182" i="5"/>
  <c r="H184" i="5"/>
  <c r="L184" i="5"/>
  <c r="H186" i="5"/>
  <c r="L186" i="5"/>
  <c r="H188" i="5"/>
  <c r="L188" i="5"/>
  <c r="H190" i="5"/>
  <c r="L190" i="5"/>
  <c r="H192" i="5"/>
  <c r="L192" i="5"/>
  <c r="H194" i="5"/>
  <c r="L194" i="5"/>
  <c r="H196" i="5"/>
  <c r="L196" i="5"/>
  <c r="H198" i="5"/>
  <c r="L198" i="5"/>
  <c r="H200" i="5"/>
  <c r="L200" i="5"/>
  <c r="H202" i="5"/>
  <c r="L202" i="5"/>
  <c r="H204" i="5"/>
  <c r="L204" i="5"/>
  <c r="H206" i="5"/>
  <c r="L206" i="5"/>
  <c r="H208" i="5"/>
  <c r="L208" i="5"/>
  <c r="H210" i="5"/>
  <c r="L210" i="5"/>
  <c r="H212" i="5"/>
  <c r="L212" i="5"/>
  <c r="H214" i="5"/>
  <c r="L214" i="5"/>
  <c r="H216" i="5"/>
  <c r="L216" i="5"/>
  <c r="H218" i="5"/>
  <c r="L218" i="5"/>
  <c r="H220" i="5"/>
  <c r="L220" i="5"/>
  <c r="H222" i="5"/>
  <c r="L222" i="5"/>
  <c r="H224" i="5"/>
  <c r="L224" i="5"/>
  <c r="H226" i="5"/>
  <c r="L226" i="5"/>
  <c r="H228" i="5"/>
  <c r="L228" i="5"/>
  <c r="H230" i="5"/>
  <c r="L230" i="5"/>
  <c r="H232" i="5"/>
  <c r="L232" i="5"/>
  <c r="H234" i="5"/>
  <c r="L234" i="5"/>
  <c r="AA238" i="5"/>
  <c r="J238" i="5"/>
  <c r="B238" i="5"/>
  <c r="L238" i="5"/>
  <c r="AA242" i="5"/>
  <c r="J242" i="5"/>
  <c r="B242" i="5"/>
  <c r="L242" i="5"/>
  <c r="AA246" i="5"/>
  <c r="J246" i="5"/>
  <c r="B246" i="5"/>
  <c r="L246" i="5"/>
  <c r="AA250" i="5"/>
  <c r="J250" i="5"/>
  <c r="B250" i="5"/>
  <c r="L250" i="5"/>
  <c r="AA254" i="5"/>
  <c r="J254" i="5"/>
  <c r="B254" i="5"/>
  <c r="L254" i="5"/>
  <c r="AA258" i="5"/>
  <c r="J258" i="5"/>
  <c r="B258" i="5"/>
  <c r="L258" i="5"/>
  <c r="AA262" i="5"/>
  <c r="J262" i="5"/>
  <c r="B262" i="5"/>
  <c r="L262" i="5"/>
  <c r="AA266" i="5"/>
  <c r="J266" i="5"/>
  <c r="B266" i="5"/>
  <c r="L266" i="5"/>
  <c r="AA270" i="5"/>
  <c r="J270" i="5"/>
  <c r="B270" i="5"/>
  <c r="L270" i="5"/>
  <c r="AA274" i="5"/>
  <c r="J274" i="5"/>
  <c r="B274" i="5"/>
  <c r="L274" i="5"/>
  <c r="AA278" i="5"/>
  <c r="J278" i="5"/>
  <c r="B278" i="5"/>
  <c r="L278" i="5"/>
  <c r="AA282" i="5"/>
  <c r="J282" i="5"/>
  <c r="B282" i="5"/>
  <c r="L282" i="5"/>
  <c r="AA286" i="5"/>
  <c r="J286" i="5"/>
  <c r="B286" i="5"/>
  <c r="L286" i="5"/>
  <c r="AA290" i="5"/>
  <c r="J290" i="5"/>
  <c r="B290" i="5"/>
  <c r="L290" i="5"/>
  <c r="AA294" i="5"/>
  <c r="J294" i="5"/>
  <c r="B294" i="5"/>
  <c r="L294" i="5"/>
  <c r="AA298" i="5"/>
  <c r="J298" i="5"/>
  <c r="B298" i="5"/>
  <c r="L298" i="5"/>
  <c r="AA302" i="5"/>
  <c r="J302" i="5"/>
  <c r="B302" i="5"/>
  <c r="L302" i="5"/>
  <c r="AA306" i="5"/>
  <c r="J306" i="5"/>
  <c r="B306" i="5"/>
  <c r="L306" i="5"/>
  <c r="AA310" i="5"/>
  <c r="J310" i="5"/>
  <c r="B310" i="5"/>
  <c r="L310" i="5"/>
  <c r="AA314" i="5"/>
  <c r="J314" i="5"/>
  <c r="B314" i="5"/>
  <c r="L314" i="5"/>
  <c r="AA318" i="5"/>
  <c r="J318" i="5"/>
  <c r="B318" i="5"/>
  <c r="L318" i="5"/>
  <c r="AA322" i="5"/>
  <c r="J322" i="5"/>
  <c r="B322" i="5"/>
  <c r="L322" i="5"/>
  <c r="AA326" i="5"/>
  <c r="J326" i="5"/>
  <c r="B326" i="5"/>
  <c r="L326" i="5"/>
  <c r="AA330" i="5"/>
  <c r="J330" i="5"/>
  <c r="B330" i="5"/>
  <c r="L330" i="5"/>
  <c r="AA334" i="5"/>
  <c r="J334" i="5"/>
  <c r="B334" i="5"/>
  <c r="L334" i="5"/>
  <c r="AA338" i="5"/>
  <c r="J338" i="5"/>
  <c r="B338" i="5"/>
  <c r="L338" i="5"/>
  <c r="AA342" i="5"/>
  <c r="J342" i="5"/>
  <c r="B342" i="5"/>
  <c r="L342" i="5"/>
  <c r="AA346" i="5"/>
  <c r="J346" i="5"/>
  <c r="B346" i="5"/>
  <c r="L346" i="5"/>
  <c r="AA350" i="5"/>
  <c r="J350" i="5"/>
  <c r="B350" i="5"/>
  <c r="L350" i="5"/>
  <c r="AA354" i="5"/>
  <c r="J354" i="5"/>
  <c r="B354" i="5"/>
  <c r="L354" i="5"/>
  <c r="AA358" i="5"/>
  <c r="J358" i="5"/>
  <c r="B358" i="5"/>
  <c r="L358" i="5"/>
  <c r="AA362" i="5"/>
  <c r="J362" i="5"/>
  <c r="B362" i="5"/>
  <c r="L362" i="5"/>
  <c r="AA366" i="5"/>
  <c r="J366" i="5"/>
  <c r="B366" i="5"/>
  <c r="L366" i="5"/>
  <c r="AA370" i="5"/>
  <c r="J370" i="5"/>
  <c r="B370" i="5"/>
  <c r="L370" i="5"/>
  <c r="AA374" i="5"/>
  <c r="J374" i="5"/>
  <c r="B374" i="5"/>
  <c r="L374" i="5"/>
  <c r="AA458" i="5"/>
  <c r="J458" i="5"/>
  <c r="B458" i="5"/>
  <c r="H458" i="5"/>
  <c r="L458" i="5"/>
  <c r="AA466" i="5"/>
  <c r="J466" i="5"/>
  <c r="B466" i="5"/>
  <c r="H466" i="5"/>
  <c r="L466" i="5"/>
  <c r="AA474" i="5"/>
  <c r="J474" i="5"/>
  <c r="B474" i="5"/>
  <c r="H474" i="5"/>
  <c r="L474" i="5"/>
  <c r="AA482" i="5"/>
  <c r="J482" i="5"/>
  <c r="B482" i="5"/>
  <c r="H482" i="5"/>
  <c r="L482" i="5"/>
  <c r="B378" i="5"/>
  <c r="J378" i="5"/>
  <c r="B380" i="5"/>
  <c r="J380" i="5"/>
  <c r="B382" i="5"/>
  <c r="J382" i="5"/>
  <c r="B384" i="5"/>
  <c r="J384" i="5"/>
  <c r="B386" i="5"/>
  <c r="J386" i="5"/>
  <c r="B388" i="5"/>
  <c r="J388" i="5"/>
  <c r="B390" i="5"/>
  <c r="J390" i="5"/>
  <c r="B392" i="5"/>
  <c r="J392" i="5"/>
  <c r="B394" i="5"/>
  <c r="J394" i="5"/>
  <c r="B396" i="5"/>
  <c r="J396" i="5"/>
  <c r="B398" i="5"/>
  <c r="J398" i="5"/>
  <c r="B400" i="5"/>
  <c r="J400" i="5"/>
  <c r="B402" i="5"/>
  <c r="J402" i="5"/>
  <c r="B404" i="5"/>
  <c r="J404" i="5"/>
  <c r="B406" i="5"/>
  <c r="J406" i="5"/>
  <c r="B408" i="5"/>
  <c r="J408" i="5"/>
  <c r="B410" i="5"/>
  <c r="J410" i="5"/>
  <c r="B412" i="5"/>
  <c r="J412" i="5"/>
  <c r="B414" i="5"/>
  <c r="J414" i="5"/>
  <c r="B416" i="5"/>
  <c r="J416" i="5"/>
  <c r="B418" i="5"/>
  <c r="J418" i="5"/>
  <c r="B420" i="5"/>
  <c r="J420" i="5"/>
  <c r="B422" i="5"/>
  <c r="J422" i="5"/>
  <c r="B424" i="5"/>
  <c r="J424" i="5"/>
  <c r="B426" i="5"/>
  <c r="J426" i="5"/>
  <c r="B428" i="5"/>
  <c r="J428" i="5"/>
  <c r="B430" i="5"/>
  <c r="J430" i="5"/>
  <c r="B432" i="5"/>
  <c r="J432" i="5"/>
  <c r="B434" i="5"/>
  <c r="H434" i="5"/>
  <c r="L434" i="5"/>
  <c r="H436" i="5"/>
  <c r="L436" i="5"/>
  <c r="H438" i="5"/>
  <c r="L438" i="5"/>
  <c r="H440" i="5"/>
  <c r="L440" i="5"/>
  <c r="H442" i="5"/>
  <c r="L442" i="5"/>
  <c r="H444" i="5"/>
  <c r="L444" i="5"/>
  <c r="H446" i="5"/>
  <c r="L446" i="5"/>
  <c r="H448" i="5"/>
  <c r="L448" i="5"/>
  <c r="H450" i="5"/>
  <c r="L450" i="5"/>
  <c r="H378" i="5"/>
  <c r="L378" i="5"/>
  <c r="H380" i="5"/>
  <c r="L380" i="5"/>
  <c r="H382" i="5"/>
  <c r="L382" i="5"/>
  <c r="H384" i="5"/>
  <c r="L384" i="5"/>
  <c r="H386" i="5"/>
  <c r="L386" i="5"/>
  <c r="H388" i="5"/>
  <c r="L388" i="5"/>
  <c r="H390" i="5"/>
  <c r="L390" i="5"/>
  <c r="H392" i="5"/>
  <c r="L392" i="5"/>
  <c r="H394" i="5"/>
  <c r="L394" i="5"/>
  <c r="H396" i="5"/>
  <c r="L396" i="5"/>
  <c r="H398" i="5"/>
  <c r="L398" i="5"/>
  <c r="H400" i="5"/>
  <c r="L400" i="5"/>
  <c r="H402" i="5"/>
  <c r="L402" i="5"/>
  <c r="H404" i="5"/>
  <c r="L404" i="5"/>
  <c r="H406" i="5"/>
  <c r="L406" i="5"/>
  <c r="H408" i="5"/>
  <c r="L408" i="5"/>
  <c r="H410" i="5"/>
  <c r="L410" i="5"/>
  <c r="H412" i="5"/>
  <c r="L412" i="5"/>
  <c r="H414" i="5"/>
  <c r="L414" i="5"/>
  <c r="H416" i="5"/>
  <c r="L416" i="5"/>
  <c r="H418" i="5"/>
  <c r="L418" i="5"/>
  <c r="H420" i="5"/>
  <c r="L420" i="5"/>
  <c r="H422" i="5"/>
  <c r="L422" i="5"/>
  <c r="H424" i="5"/>
  <c r="L424" i="5"/>
  <c r="H426" i="5"/>
  <c r="L426" i="5"/>
  <c r="H428" i="5"/>
  <c r="L428" i="5"/>
  <c r="H430" i="5"/>
  <c r="L430" i="5"/>
  <c r="H432" i="5"/>
  <c r="L432" i="5"/>
  <c r="J434" i="5"/>
  <c r="AA452" i="5"/>
  <c r="J452" i="5"/>
  <c r="B452" i="5"/>
  <c r="L452" i="5"/>
  <c r="AA456" i="5"/>
  <c r="J456" i="5"/>
  <c r="B456" i="5"/>
  <c r="L456" i="5"/>
  <c r="AA460" i="5"/>
  <c r="J460" i="5"/>
  <c r="B460" i="5"/>
  <c r="L460" i="5"/>
  <c r="AA464" i="5"/>
  <c r="J464" i="5"/>
  <c r="B464" i="5"/>
  <c r="L464" i="5"/>
  <c r="AA468" i="5"/>
  <c r="J468" i="5"/>
  <c r="B468" i="5"/>
  <c r="L468" i="5"/>
  <c r="AA472" i="5"/>
  <c r="J472" i="5"/>
  <c r="B472" i="5"/>
  <c r="L472" i="5"/>
  <c r="AA476" i="5"/>
  <c r="J476" i="5"/>
  <c r="B476" i="5"/>
  <c r="L476" i="5"/>
  <c r="AA480" i="5"/>
  <c r="J480" i="5"/>
  <c r="B480" i="5"/>
  <c r="L480" i="5"/>
  <c r="AA556" i="5"/>
  <c r="J556" i="5"/>
  <c r="B556" i="5"/>
  <c r="H556" i="5"/>
  <c r="L556" i="5"/>
  <c r="B484" i="5"/>
  <c r="J484" i="5"/>
  <c r="B486" i="5"/>
  <c r="J486" i="5"/>
  <c r="B488" i="5"/>
  <c r="J488" i="5"/>
  <c r="B490" i="5"/>
  <c r="J490" i="5"/>
  <c r="B492" i="5"/>
  <c r="J492" i="5"/>
  <c r="B494" i="5"/>
  <c r="J494" i="5"/>
  <c r="B496" i="5"/>
  <c r="J496" i="5"/>
  <c r="B498" i="5"/>
  <c r="J498" i="5"/>
  <c r="B500" i="5"/>
  <c r="J500" i="5"/>
  <c r="B502" i="5"/>
  <c r="J502" i="5"/>
  <c r="B504" i="5"/>
  <c r="J504" i="5"/>
  <c r="B506" i="5"/>
  <c r="J506" i="5"/>
  <c r="B508" i="5"/>
  <c r="J508" i="5"/>
  <c r="B510" i="5"/>
  <c r="J510" i="5"/>
  <c r="B512" i="5"/>
  <c r="J512" i="5"/>
  <c r="B514" i="5"/>
  <c r="J514" i="5"/>
  <c r="B516" i="5"/>
  <c r="J516" i="5"/>
  <c r="B518" i="5"/>
  <c r="J518" i="5"/>
  <c r="B520" i="5"/>
  <c r="J520" i="5"/>
  <c r="B522" i="5"/>
  <c r="J522" i="5"/>
  <c r="B524" i="5"/>
  <c r="J524" i="5"/>
  <c r="B526" i="5"/>
  <c r="J526" i="5"/>
  <c r="B528" i="5"/>
  <c r="J528" i="5"/>
  <c r="B530" i="5"/>
  <c r="J530" i="5"/>
  <c r="B532" i="5"/>
  <c r="J532" i="5"/>
  <c r="B534" i="5"/>
  <c r="J534" i="5"/>
  <c r="B536" i="5"/>
  <c r="J536" i="5"/>
  <c r="B538" i="5"/>
  <c r="J538" i="5"/>
  <c r="B540" i="5"/>
  <c r="J540" i="5"/>
  <c r="B542" i="5"/>
  <c r="J542" i="5"/>
  <c r="B544" i="5"/>
  <c r="J544" i="5"/>
  <c r="B546" i="5"/>
  <c r="J546" i="5"/>
  <c r="B548" i="5"/>
  <c r="J548" i="5"/>
  <c r="B550" i="5"/>
  <c r="J550" i="5"/>
  <c r="B552" i="5"/>
  <c r="J552" i="5"/>
  <c r="B554" i="5"/>
  <c r="J554" i="5"/>
  <c r="AA564" i="5"/>
  <c r="J564" i="5"/>
  <c r="B564" i="5"/>
  <c r="H564" i="5"/>
  <c r="AA566" i="5"/>
  <c r="J566" i="5"/>
  <c r="B566" i="5"/>
  <c r="L566" i="5"/>
  <c r="H566" i="5"/>
  <c r="AA572" i="5"/>
  <c r="J572" i="5"/>
  <c r="B572" i="5"/>
  <c r="H572" i="5"/>
  <c r="AA574" i="5"/>
  <c r="J574" i="5"/>
  <c r="B574" i="5"/>
  <c r="L574" i="5"/>
  <c r="H574" i="5"/>
  <c r="AA580" i="5"/>
  <c r="J580" i="5"/>
  <c r="B580" i="5"/>
  <c r="H580" i="5"/>
  <c r="AA582" i="5"/>
  <c r="J582" i="5"/>
  <c r="B582" i="5"/>
  <c r="L582" i="5"/>
  <c r="H582" i="5"/>
  <c r="AA586" i="5"/>
  <c r="J586" i="5"/>
  <c r="B586" i="5"/>
  <c r="H586" i="5"/>
  <c r="L586" i="5"/>
  <c r="AA594" i="5"/>
  <c r="J594" i="5"/>
  <c r="B594" i="5"/>
  <c r="H594" i="5"/>
  <c r="L594" i="5"/>
  <c r="AA602" i="5"/>
  <c r="J602" i="5"/>
  <c r="B602" i="5"/>
  <c r="H602" i="5"/>
  <c r="L602" i="5"/>
  <c r="AA610" i="5"/>
  <c r="J610" i="5"/>
  <c r="B610" i="5"/>
  <c r="H610" i="5"/>
  <c r="L610" i="5"/>
  <c r="AA618" i="5"/>
  <c r="J618" i="5"/>
  <c r="B618" i="5"/>
  <c r="H618" i="5"/>
  <c r="L618" i="5"/>
  <c r="AA626" i="5"/>
  <c r="J626" i="5"/>
  <c r="B626" i="5"/>
  <c r="H626" i="5"/>
  <c r="L626" i="5"/>
  <c r="AA634" i="5"/>
  <c r="J634" i="5"/>
  <c r="B634" i="5"/>
  <c r="H634" i="5"/>
  <c r="L634" i="5"/>
  <c r="AA642" i="5"/>
  <c r="J642" i="5"/>
  <c r="B642" i="5"/>
  <c r="H642" i="5"/>
  <c r="L642" i="5"/>
  <c r="AA650" i="5"/>
  <c r="J650" i="5"/>
  <c r="B650" i="5"/>
  <c r="H650" i="5"/>
  <c r="L650" i="5"/>
  <c r="AA658" i="5"/>
  <c r="J658" i="5"/>
  <c r="B658" i="5"/>
  <c r="H658" i="5"/>
  <c r="L658" i="5"/>
  <c r="AA666" i="5"/>
  <c r="J666" i="5"/>
  <c r="B666" i="5"/>
  <c r="H666" i="5"/>
  <c r="L666" i="5"/>
  <c r="H484" i="5"/>
  <c r="L484" i="5"/>
  <c r="H486" i="5"/>
  <c r="L486" i="5"/>
  <c r="H488" i="5"/>
  <c r="L488" i="5"/>
  <c r="H490" i="5"/>
  <c r="L490" i="5"/>
  <c r="H492" i="5"/>
  <c r="L492" i="5"/>
  <c r="H494" i="5"/>
  <c r="L494" i="5"/>
  <c r="H496" i="5"/>
  <c r="L496" i="5"/>
  <c r="H498" i="5"/>
  <c r="L498" i="5"/>
  <c r="H500" i="5"/>
  <c r="L500" i="5"/>
  <c r="H502" i="5"/>
  <c r="L502" i="5"/>
  <c r="H504" i="5"/>
  <c r="L504" i="5"/>
  <c r="H506" i="5"/>
  <c r="L506" i="5"/>
  <c r="H508" i="5"/>
  <c r="L508" i="5"/>
  <c r="H510" i="5"/>
  <c r="L510" i="5"/>
  <c r="H512" i="5"/>
  <c r="L512" i="5"/>
  <c r="H514" i="5"/>
  <c r="L514" i="5"/>
  <c r="H516" i="5"/>
  <c r="L516" i="5"/>
  <c r="H518" i="5"/>
  <c r="L518" i="5"/>
  <c r="H520" i="5"/>
  <c r="L520" i="5"/>
  <c r="H522" i="5"/>
  <c r="L522" i="5"/>
  <c r="H524" i="5"/>
  <c r="L524" i="5"/>
  <c r="H526" i="5"/>
  <c r="L526" i="5"/>
  <c r="H528" i="5"/>
  <c r="L528" i="5"/>
  <c r="H530" i="5"/>
  <c r="L530" i="5"/>
  <c r="H532" i="5"/>
  <c r="L532" i="5"/>
  <c r="H534" i="5"/>
  <c r="L534" i="5"/>
  <c r="H536" i="5"/>
  <c r="L536" i="5"/>
  <c r="H538" i="5"/>
  <c r="L538" i="5"/>
  <c r="H540" i="5"/>
  <c r="L540" i="5"/>
  <c r="H542" i="5"/>
  <c r="L542" i="5"/>
  <c r="H544" i="5"/>
  <c r="L544" i="5"/>
  <c r="H546" i="5"/>
  <c r="L546" i="5"/>
  <c r="H548" i="5"/>
  <c r="L548" i="5"/>
  <c r="H550" i="5"/>
  <c r="L550" i="5"/>
  <c r="H552" i="5"/>
  <c r="L552" i="5"/>
  <c r="H554" i="5"/>
  <c r="L554" i="5"/>
  <c r="AA558" i="5"/>
  <c r="J558" i="5"/>
  <c r="B558" i="5"/>
  <c r="L558" i="5"/>
  <c r="AA560" i="5"/>
  <c r="J560" i="5"/>
  <c r="B560" i="5"/>
  <c r="H560" i="5"/>
  <c r="AA562" i="5"/>
  <c r="J562" i="5"/>
  <c r="B562" i="5"/>
  <c r="L562" i="5"/>
  <c r="H562" i="5"/>
  <c r="AA568" i="5"/>
  <c r="J568" i="5"/>
  <c r="B568" i="5"/>
  <c r="H568" i="5"/>
  <c r="AA570" i="5"/>
  <c r="J570" i="5"/>
  <c r="B570" i="5"/>
  <c r="L570" i="5"/>
  <c r="H570" i="5"/>
  <c r="AA576" i="5"/>
  <c r="J576" i="5"/>
  <c r="B576" i="5"/>
  <c r="H576" i="5"/>
  <c r="AA578" i="5"/>
  <c r="J578" i="5"/>
  <c r="B578" i="5"/>
  <c r="L578" i="5"/>
  <c r="H578" i="5"/>
  <c r="AA584" i="5"/>
  <c r="J584" i="5"/>
  <c r="B584" i="5"/>
  <c r="L584" i="5"/>
  <c r="H584" i="5"/>
  <c r="AA590" i="5"/>
  <c r="J590" i="5"/>
  <c r="B590" i="5"/>
  <c r="H590" i="5"/>
  <c r="L590" i="5"/>
  <c r="AA598" i="5"/>
  <c r="J598" i="5"/>
  <c r="B598" i="5"/>
  <c r="H598" i="5"/>
  <c r="L598" i="5"/>
  <c r="AA606" i="5"/>
  <c r="J606" i="5"/>
  <c r="B606" i="5"/>
  <c r="H606" i="5"/>
  <c r="L606" i="5"/>
  <c r="AA614" i="5"/>
  <c r="J614" i="5"/>
  <c r="B614" i="5"/>
  <c r="H614" i="5"/>
  <c r="L614" i="5"/>
  <c r="AA622" i="5"/>
  <c r="J622" i="5"/>
  <c r="B622" i="5"/>
  <c r="H622" i="5"/>
  <c r="L622" i="5"/>
  <c r="AA630" i="5"/>
  <c r="J630" i="5"/>
  <c r="B630" i="5"/>
  <c r="H630" i="5"/>
  <c r="L630" i="5"/>
  <c r="AA638" i="5"/>
  <c r="J638" i="5"/>
  <c r="B638" i="5"/>
  <c r="H638" i="5"/>
  <c r="L638" i="5"/>
  <c r="AA646" i="5"/>
  <c r="J646" i="5"/>
  <c r="B646" i="5"/>
  <c r="H646" i="5"/>
  <c r="L646" i="5"/>
  <c r="AA654" i="5"/>
  <c r="J654" i="5"/>
  <c r="B654" i="5"/>
  <c r="H654" i="5"/>
  <c r="L654" i="5"/>
  <c r="AA662" i="5"/>
  <c r="J662" i="5"/>
  <c r="B662" i="5"/>
  <c r="H662" i="5"/>
  <c r="L662" i="5"/>
  <c r="AA670" i="5"/>
  <c r="J670" i="5"/>
  <c r="B670" i="5"/>
  <c r="H670" i="5"/>
  <c r="L670" i="5"/>
  <c r="AA588" i="5"/>
  <c r="J588" i="5"/>
  <c r="B588" i="5"/>
  <c r="L588" i="5"/>
  <c r="AA592" i="5"/>
  <c r="J592" i="5"/>
  <c r="B592" i="5"/>
  <c r="L592" i="5"/>
  <c r="AA596" i="5"/>
  <c r="J596" i="5"/>
  <c r="B596" i="5"/>
  <c r="L596" i="5"/>
  <c r="AA600" i="5"/>
  <c r="J600" i="5"/>
  <c r="B600" i="5"/>
  <c r="L600" i="5"/>
  <c r="AA604" i="5"/>
  <c r="J604" i="5"/>
  <c r="B604" i="5"/>
  <c r="L604" i="5"/>
  <c r="AA608" i="5"/>
  <c r="J608" i="5"/>
  <c r="B608" i="5"/>
  <c r="L608" i="5"/>
  <c r="AA612" i="5"/>
  <c r="J612" i="5"/>
  <c r="B612" i="5"/>
  <c r="L612" i="5"/>
  <c r="AA616" i="5"/>
  <c r="J616" i="5"/>
  <c r="B616" i="5"/>
  <c r="L616" i="5"/>
  <c r="AA620" i="5"/>
  <c r="J620" i="5"/>
  <c r="B620" i="5"/>
  <c r="L620" i="5"/>
  <c r="AA624" i="5"/>
  <c r="J624" i="5"/>
  <c r="B624" i="5"/>
  <c r="L624" i="5"/>
  <c r="AA628" i="5"/>
  <c r="J628" i="5"/>
  <c r="B628" i="5"/>
  <c r="L628" i="5"/>
  <c r="AA632" i="5"/>
  <c r="J632" i="5"/>
  <c r="B632" i="5"/>
  <c r="L632" i="5"/>
  <c r="AA636" i="5"/>
  <c r="J636" i="5"/>
  <c r="B636" i="5"/>
  <c r="L636" i="5"/>
  <c r="AA640" i="5"/>
  <c r="J640" i="5"/>
  <c r="B640" i="5"/>
  <c r="L640" i="5"/>
  <c r="AA644" i="5"/>
  <c r="J644" i="5"/>
  <c r="B644" i="5"/>
  <c r="L644" i="5"/>
  <c r="AA648" i="5"/>
  <c r="J648" i="5"/>
  <c r="B648" i="5"/>
  <c r="L648" i="5"/>
  <c r="AA652" i="5"/>
  <c r="J652" i="5"/>
  <c r="B652" i="5"/>
  <c r="L652" i="5"/>
  <c r="AA656" i="5"/>
  <c r="J656" i="5"/>
  <c r="B656" i="5"/>
  <c r="L656" i="5"/>
  <c r="AA660" i="5"/>
  <c r="J660" i="5"/>
  <c r="B660" i="5"/>
  <c r="L660" i="5"/>
  <c r="AA664" i="5"/>
  <c r="J664" i="5"/>
  <c r="B664" i="5"/>
  <c r="L664" i="5"/>
  <c r="AA668" i="5"/>
  <c r="J668" i="5"/>
  <c r="B668" i="5"/>
  <c r="L668" i="5"/>
  <c r="H672" i="5"/>
  <c r="L672" i="5"/>
  <c r="H674" i="5"/>
  <c r="L674" i="5"/>
  <c r="H676" i="5"/>
  <c r="L676" i="5"/>
  <c r="H678" i="5"/>
  <c r="L678" i="5"/>
  <c r="H680" i="5"/>
  <c r="L680" i="5"/>
  <c r="H682" i="5"/>
  <c r="L682" i="5"/>
  <c r="H684" i="5"/>
  <c r="L684" i="5"/>
  <c r="H686" i="5"/>
  <c r="L686" i="5"/>
  <c r="H688" i="5"/>
  <c r="L688" i="5"/>
  <c r="H690" i="5"/>
  <c r="L690" i="5"/>
  <c r="H692" i="5"/>
  <c r="L692" i="5"/>
  <c r="H694" i="5"/>
  <c r="L694" i="5"/>
  <c r="H696" i="5"/>
  <c r="L696" i="5"/>
  <c r="H698" i="5"/>
  <c r="L698" i="5"/>
  <c r="H700" i="5"/>
  <c r="L700" i="5"/>
  <c r="H702" i="5"/>
  <c r="L702" i="5"/>
  <c r="H704" i="5"/>
  <c r="L704" i="5"/>
  <c r="H706" i="5"/>
  <c r="L706" i="5"/>
  <c r="H708" i="5"/>
  <c r="L708" i="5"/>
  <c r="H710" i="5"/>
  <c r="L710" i="5"/>
  <c r="H712" i="5"/>
  <c r="L712" i="5"/>
  <c r="H714" i="5"/>
  <c r="L714" i="5"/>
  <c r="H716" i="5"/>
  <c r="L716" i="5"/>
  <c r="H718" i="5"/>
  <c r="L718" i="5"/>
  <c r="AA956" i="5"/>
  <c r="J956" i="5"/>
  <c r="B956" i="5"/>
  <c r="L956" i="5"/>
  <c r="H956" i="5"/>
  <c r="AA964" i="5"/>
  <c r="J964" i="5"/>
  <c r="B964" i="5"/>
  <c r="L964" i="5"/>
  <c r="H964" i="5"/>
  <c r="AA972" i="5"/>
  <c r="J972" i="5"/>
  <c r="B972" i="5"/>
  <c r="L972" i="5"/>
  <c r="H972" i="5"/>
  <c r="B672" i="5"/>
  <c r="J672" i="5"/>
  <c r="B674" i="5"/>
  <c r="J674" i="5"/>
  <c r="B676" i="5"/>
  <c r="J676" i="5"/>
  <c r="B678" i="5"/>
  <c r="J678" i="5"/>
  <c r="B680" i="5"/>
  <c r="J680" i="5"/>
  <c r="B682" i="5"/>
  <c r="J682" i="5"/>
  <c r="B684" i="5"/>
  <c r="J684" i="5"/>
  <c r="B686" i="5"/>
  <c r="J686" i="5"/>
  <c r="B688" i="5"/>
  <c r="J688" i="5"/>
  <c r="B690" i="5"/>
  <c r="J690" i="5"/>
  <c r="B692" i="5"/>
  <c r="J692" i="5"/>
  <c r="B694" i="5"/>
  <c r="J694" i="5"/>
  <c r="B696" i="5"/>
  <c r="J696" i="5"/>
  <c r="B698" i="5"/>
  <c r="J698" i="5"/>
  <c r="B700" i="5"/>
  <c r="J700" i="5"/>
  <c r="B702" i="5"/>
  <c r="J702" i="5"/>
  <c r="B704" i="5"/>
  <c r="J704" i="5"/>
  <c r="B706" i="5"/>
  <c r="J706" i="5"/>
  <c r="B708" i="5"/>
  <c r="J708" i="5"/>
  <c r="B710" i="5"/>
  <c r="J710" i="5"/>
  <c r="B712" i="5"/>
  <c r="J712" i="5"/>
  <c r="B714" i="5"/>
  <c r="J714" i="5"/>
  <c r="B716" i="5"/>
  <c r="J716" i="5"/>
  <c r="B718" i="5"/>
  <c r="J718" i="5"/>
  <c r="H721" i="5"/>
  <c r="L721" i="5"/>
  <c r="H723" i="5"/>
  <c r="L723" i="5"/>
  <c r="H725" i="5"/>
  <c r="L725" i="5"/>
  <c r="H727" i="5"/>
  <c r="L727" i="5"/>
  <c r="H729" i="5"/>
  <c r="L729" i="5"/>
  <c r="H731" i="5"/>
  <c r="L731" i="5"/>
  <c r="H733" i="5"/>
  <c r="L733" i="5"/>
  <c r="H735" i="5"/>
  <c r="L735" i="5"/>
  <c r="H737" i="5"/>
  <c r="L737" i="5"/>
  <c r="H739" i="5"/>
  <c r="L739" i="5"/>
  <c r="H741" i="5"/>
  <c r="L741" i="5"/>
  <c r="H743" i="5"/>
  <c r="L743" i="5"/>
  <c r="H745" i="5"/>
  <c r="L745" i="5"/>
  <c r="H747" i="5"/>
  <c r="L747" i="5"/>
  <c r="H749" i="5"/>
  <c r="L749" i="5"/>
  <c r="H751" i="5"/>
  <c r="L751" i="5"/>
  <c r="H753" i="5"/>
  <c r="L753" i="5"/>
  <c r="H755" i="5"/>
  <c r="L755" i="5"/>
  <c r="H757" i="5"/>
  <c r="L757" i="5"/>
  <c r="H759" i="5"/>
  <c r="L759" i="5"/>
  <c r="H761" i="5"/>
  <c r="L761" i="5"/>
  <c r="H763" i="5"/>
  <c r="L763" i="5"/>
  <c r="H765" i="5"/>
  <c r="L765" i="5"/>
  <c r="H767" i="5"/>
  <c r="L767" i="5"/>
  <c r="H769" i="5"/>
  <c r="L769" i="5"/>
  <c r="H771" i="5"/>
  <c r="L771" i="5"/>
  <c r="H773" i="5"/>
  <c r="L773" i="5"/>
  <c r="H775" i="5"/>
  <c r="L775" i="5"/>
  <c r="H777" i="5"/>
  <c r="L777" i="5"/>
  <c r="H779" i="5"/>
  <c r="L779" i="5"/>
  <c r="H781" i="5"/>
  <c r="L781" i="5"/>
  <c r="H783" i="5"/>
  <c r="L783" i="5"/>
  <c r="H785" i="5"/>
  <c r="L785" i="5"/>
  <c r="H787" i="5"/>
  <c r="L787" i="5"/>
  <c r="H789" i="5"/>
  <c r="L789" i="5"/>
  <c r="H791" i="5"/>
  <c r="L791" i="5"/>
  <c r="H793" i="5"/>
  <c r="L793" i="5"/>
  <c r="H795" i="5"/>
  <c r="L795" i="5"/>
  <c r="H797" i="5"/>
  <c r="L797" i="5"/>
  <c r="H799" i="5"/>
  <c r="L799" i="5"/>
  <c r="H801" i="5"/>
  <c r="L801" i="5"/>
  <c r="H803" i="5"/>
  <c r="L803" i="5"/>
  <c r="H805" i="5"/>
  <c r="L805" i="5"/>
  <c r="H807" i="5"/>
  <c r="L807" i="5"/>
  <c r="H809" i="5"/>
  <c r="L809" i="5"/>
  <c r="H811" i="5"/>
  <c r="L811" i="5"/>
  <c r="AA813" i="5"/>
  <c r="L813" i="5"/>
  <c r="H813" i="5"/>
  <c r="J813" i="5"/>
  <c r="AA952" i="5"/>
  <c r="J952" i="5"/>
  <c r="B952" i="5"/>
  <c r="L952" i="5"/>
  <c r="H952" i="5"/>
  <c r="AA960" i="5"/>
  <c r="J960" i="5"/>
  <c r="B960" i="5"/>
  <c r="L960" i="5"/>
  <c r="H960" i="5"/>
  <c r="AA968" i="5"/>
  <c r="J968" i="5"/>
  <c r="B968" i="5"/>
  <c r="L968" i="5"/>
  <c r="H968" i="5"/>
  <c r="AA950" i="5"/>
  <c r="J950" i="5"/>
  <c r="B950" i="5"/>
  <c r="L950" i="5"/>
  <c r="AA954" i="5"/>
  <c r="J954" i="5"/>
  <c r="B954" i="5"/>
  <c r="L954" i="5"/>
  <c r="AA958" i="5"/>
  <c r="J958" i="5"/>
  <c r="B958" i="5"/>
  <c r="L958" i="5"/>
  <c r="AA962" i="5"/>
  <c r="J962" i="5"/>
  <c r="B962" i="5"/>
  <c r="L962" i="5"/>
  <c r="AA966" i="5"/>
  <c r="J966" i="5"/>
  <c r="B966" i="5"/>
  <c r="L966" i="5"/>
  <c r="AA970" i="5"/>
  <c r="J970" i="5"/>
  <c r="B970" i="5"/>
  <c r="L970" i="5"/>
  <c r="AA974" i="5"/>
  <c r="J974" i="5"/>
  <c r="B974" i="5"/>
  <c r="L974" i="5"/>
  <c r="AA978" i="5"/>
  <c r="J978" i="5"/>
  <c r="B978" i="5"/>
  <c r="L978" i="5"/>
  <c r="AA982" i="5"/>
  <c r="J982" i="5"/>
  <c r="B982" i="5"/>
  <c r="L982" i="5"/>
  <c r="AA986" i="5"/>
  <c r="J986" i="5"/>
  <c r="B986" i="5"/>
  <c r="L986" i="5"/>
  <c r="AA990" i="5"/>
  <c r="J990" i="5"/>
  <c r="B990" i="5"/>
  <c r="L990" i="5"/>
  <c r="AA994" i="5"/>
  <c r="J994" i="5"/>
  <c r="B994" i="5"/>
  <c r="L994" i="5"/>
  <c r="AA998" i="5"/>
  <c r="J998" i="5"/>
  <c r="B998" i="5"/>
  <c r="L998" i="5"/>
  <c r="AA1002" i="5"/>
  <c r="J1002" i="5"/>
  <c r="B1002" i="5"/>
  <c r="L1002" i="5"/>
  <c r="H815" i="5"/>
  <c r="L815" i="5"/>
  <c r="H817" i="5"/>
  <c r="L817" i="5"/>
  <c r="H819" i="5"/>
  <c r="L819" i="5"/>
  <c r="H821" i="5"/>
  <c r="L821" i="5"/>
  <c r="H823" i="5"/>
  <c r="L823" i="5"/>
  <c r="H825" i="5"/>
  <c r="L825" i="5"/>
  <c r="H827" i="5"/>
  <c r="L827" i="5"/>
  <c r="H829" i="5"/>
  <c r="L829" i="5"/>
  <c r="H831" i="5"/>
  <c r="L831" i="5"/>
  <c r="H833" i="5"/>
  <c r="L833" i="5"/>
  <c r="H835" i="5"/>
  <c r="L835" i="5"/>
  <c r="H837" i="5"/>
  <c r="L837" i="5"/>
  <c r="H839" i="5"/>
  <c r="L839" i="5"/>
  <c r="H841" i="5"/>
  <c r="L841" i="5"/>
  <c r="H843" i="5"/>
  <c r="L843" i="5"/>
  <c r="H845" i="5"/>
  <c r="L845" i="5"/>
  <c r="H847" i="5"/>
  <c r="L847" i="5"/>
  <c r="H849" i="5"/>
  <c r="L849" i="5"/>
  <c r="H851" i="5"/>
  <c r="L851" i="5"/>
  <c r="H853" i="5"/>
  <c r="L853" i="5"/>
  <c r="H855" i="5"/>
  <c r="L855" i="5"/>
  <c r="H857" i="5"/>
  <c r="L857" i="5"/>
  <c r="H859" i="5"/>
  <c r="L859" i="5"/>
  <c r="H861" i="5"/>
  <c r="L861" i="5"/>
  <c r="H863" i="5"/>
  <c r="L863" i="5"/>
  <c r="H865" i="5"/>
  <c r="L865" i="5"/>
  <c r="H867" i="5"/>
  <c r="L867" i="5"/>
  <c r="H869" i="5"/>
  <c r="L869" i="5"/>
  <c r="H871" i="5"/>
  <c r="L871" i="5"/>
  <c r="H873" i="5"/>
  <c r="L873" i="5"/>
  <c r="H875" i="5"/>
  <c r="L875" i="5"/>
  <c r="H877" i="5"/>
  <c r="L877" i="5"/>
  <c r="H879" i="5"/>
  <c r="L879" i="5"/>
  <c r="H881" i="5"/>
  <c r="L881" i="5"/>
  <c r="H883" i="5"/>
  <c r="L883" i="5"/>
  <c r="H885" i="5"/>
  <c r="L885" i="5"/>
  <c r="H887" i="5"/>
  <c r="L887" i="5"/>
  <c r="H889" i="5"/>
  <c r="L889" i="5"/>
  <c r="H891" i="5"/>
  <c r="L891" i="5"/>
  <c r="H893" i="5"/>
  <c r="L893" i="5"/>
  <c r="H895" i="5"/>
  <c r="L895" i="5"/>
  <c r="H897" i="5"/>
  <c r="L897" i="5"/>
  <c r="H899" i="5"/>
  <c r="L899" i="5"/>
  <c r="H901" i="5"/>
  <c r="L901" i="5"/>
  <c r="H903" i="5"/>
  <c r="L903" i="5"/>
  <c r="H905" i="5"/>
  <c r="L905" i="5"/>
  <c r="H907" i="5"/>
  <c r="L907" i="5"/>
  <c r="H909" i="5"/>
  <c r="L909" i="5"/>
  <c r="H911" i="5"/>
  <c r="L911" i="5"/>
  <c r="H913" i="5"/>
  <c r="L913" i="5"/>
  <c r="H915" i="5"/>
  <c r="L915" i="5"/>
  <c r="H917" i="5"/>
  <c r="L917" i="5"/>
  <c r="H919" i="5"/>
  <c r="L919" i="5"/>
  <c r="H921" i="5"/>
  <c r="L921" i="5"/>
  <c r="H923" i="5"/>
  <c r="L923" i="5"/>
  <c r="H925" i="5"/>
  <c r="L925" i="5"/>
  <c r="H927" i="5"/>
  <c r="L927" i="5"/>
  <c r="H929" i="5"/>
  <c r="L929" i="5"/>
  <c r="H931" i="5"/>
  <c r="L931" i="5"/>
  <c r="H933" i="5"/>
  <c r="L933" i="5"/>
  <c r="H936" i="5"/>
  <c r="L936" i="5"/>
  <c r="H938" i="5"/>
  <c r="L938" i="5"/>
  <c r="H940" i="5"/>
  <c r="L940" i="5"/>
  <c r="H942" i="5"/>
  <c r="L942" i="5"/>
  <c r="H944" i="5"/>
  <c r="L944" i="5"/>
  <c r="H946" i="5"/>
  <c r="L946" i="5"/>
  <c r="H948" i="5"/>
  <c r="L948" i="5"/>
  <c r="H950" i="5"/>
  <c r="H954" i="5"/>
  <c r="H958" i="5"/>
  <c r="H962" i="5"/>
  <c r="H966" i="5"/>
  <c r="H970" i="5"/>
  <c r="H974" i="5"/>
  <c r="H978" i="5"/>
  <c r="H982" i="5"/>
  <c r="H986" i="5"/>
  <c r="H990" i="5"/>
  <c r="H994" i="5"/>
  <c r="H998" i="5"/>
  <c r="H1002" i="5"/>
  <c r="H976" i="5"/>
  <c r="L976" i="5"/>
  <c r="H980" i="5"/>
  <c r="L980" i="5"/>
  <c r="H984" i="5"/>
  <c r="L984" i="5"/>
  <c r="H988" i="5"/>
  <c r="L988" i="5"/>
  <c r="H992" i="5"/>
  <c r="L992" i="5"/>
  <c r="H996" i="5"/>
  <c r="L996" i="5"/>
  <c r="H1000" i="5"/>
  <c r="L1000" i="5"/>
  <c r="H1004" i="5"/>
  <c r="L1004" i="5"/>
  <c r="L6" i="5"/>
  <c r="B8" i="5"/>
  <c r="L8" i="5"/>
  <c r="AA8" i="5"/>
  <c r="H6" i="5"/>
  <c r="A1" i="1"/>
  <c r="F10" i="1"/>
  <c r="A3" i="2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7" i="5"/>
  <c r="N39" i="5"/>
  <c r="N41" i="5"/>
  <c r="N43" i="5"/>
  <c r="N45" i="5"/>
  <c r="N47" i="5"/>
  <c r="N49" i="5"/>
  <c r="N51" i="5"/>
  <c r="N53" i="5"/>
  <c r="N55" i="5"/>
  <c r="N57" i="5"/>
  <c r="N59" i="5"/>
  <c r="N61" i="5"/>
  <c r="N63" i="5"/>
  <c r="N65" i="5"/>
  <c r="N67" i="5"/>
  <c r="N69" i="5"/>
  <c r="N71" i="5"/>
  <c r="N73" i="5"/>
  <c r="N75" i="5"/>
  <c r="N77" i="5"/>
  <c r="N79" i="5"/>
  <c r="N81" i="5"/>
  <c r="N83" i="5"/>
  <c r="N85" i="5"/>
  <c r="N87" i="5"/>
  <c r="N89" i="5"/>
  <c r="N91" i="5"/>
  <c r="N93" i="5"/>
  <c r="N95" i="5"/>
  <c r="N97" i="5"/>
  <c r="N99" i="5"/>
  <c r="N101" i="5"/>
  <c r="N103" i="5"/>
  <c r="N105" i="5"/>
  <c r="N107" i="5"/>
  <c r="N109" i="5"/>
  <c r="N111" i="5"/>
  <c r="N113" i="5"/>
  <c r="N115" i="5"/>
  <c r="N117" i="5"/>
  <c r="N119" i="5"/>
  <c r="N121" i="5"/>
  <c r="N123" i="5"/>
  <c r="N125" i="5"/>
  <c r="N127" i="5"/>
  <c r="N129" i="5"/>
  <c r="N131" i="5"/>
  <c r="N133" i="5"/>
  <c r="N135" i="5"/>
  <c r="N137" i="5"/>
  <c r="N139" i="5"/>
  <c r="N141" i="5"/>
  <c r="N143" i="5"/>
  <c r="N145" i="5"/>
  <c r="N147" i="5"/>
  <c r="N149" i="5"/>
  <c r="N151" i="5"/>
  <c r="N153" i="5"/>
  <c r="N155" i="5"/>
  <c r="N157" i="5"/>
  <c r="N159" i="5"/>
  <c r="N161" i="5"/>
  <c r="N163" i="5"/>
  <c r="N165" i="5"/>
  <c r="N167" i="5"/>
  <c r="N169" i="5"/>
  <c r="N171" i="5"/>
  <c r="N173" i="5"/>
  <c r="N175" i="5"/>
  <c r="N177" i="5"/>
  <c r="N179" i="5"/>
  <c r="N181" i="5"/>
  <c r="N183" i="5"/>
  <c r="N185" i="5"/>
  <c r="N187" i="5"/>
  <c r="N189" i="5"/>
  <c r="N191" i="5"/>
  <c r="N193" i="5"/>
  <c r="N195" i="5"/>
  <c r="N197" i="5"/>
  <c r="N199" i="5"/>
  <c r="N201" i="5"/>
  <c r="N203" i="5"/>
  <c r="N205" i="5"/>
  <c r="N207" i="5"/>
  <c r="N209" i="5"/>
  <c r="N211" i="5"/>
  <c r="N213" i="5"/>
  <c r="N215" i="5"/>
  <c r="N217" i="5"/>
  <c r="N219" i="5"/>
  <c r="N221" i="5"/>
  <c r="N223" i="5"/>
  <c r="N225" i="5"/>
  <c r="N227" i="5"/>
  <c r="N229" i="5"/>
  <c r="N231" i="5"/>
  <c r="N233" i="5"/>
  <c r="N235" i="5"/>
  <c r="N237" i="5"/>
  <c r="N239" i="5"/>
  <c r="N241" i="5"/>
  <c r="N243" i="5"/>
  <c r="N245" i="5"/>
  <c r="N247" i="5"/>
  <c r="N249" i="5"/>
  <c r="N251" i="5"/>
  <c r="N253" i="5"/>
  <c r="N255" i="5"/>
  <c r="N257" i="5"/>
  <c r="N259" i="5"/>
  <c r="N261" i="5"/>
  <c r="N263" i="5"/>
  <c r="N265" i="5"/>
  <c r="N267" i="5"/>
  <c r="N269" i="5"/>
  <c r="N271" i="5"/>
  <c r="N273" i="5"/>
  <c r="N275" i="5"/>
  <c r="N277" i="5"/>
  <c r="N279" i="5"/>
  <c r="N281" i="5"/>
  <c r="N283" i="5"/>
  <c r="N285" i="5"/>
  <c r="N287" i="5"/>
  <c r="N289" i="5"/>
  <c r="N291" i="5"/>
  <c r="N293" i="5"/>
  <c r="N295" i="5"/>
  <c r="N297" i="5"/>
  <c r="N299" i="5"/>
  <c r="N301" i="5"/>
  <c r="N303" i="5"/>
  <c r="N305" i="5"/>
  <c r="N307" i="5"/>
  <c r="N309" i="5"/>
  <c r="N311" i="5"/>
  <c r="N313" i="5"/>
  <c r="N315" i="5"/>
  <c r="N317" i="5"/>
  <c r="N319" i="5"/>
  <c r="N321" i="5"/>
  <c r="N323" i="5"/>
  <c r="N325" i="5"/>
  <c r="N327" i="5"/>
  <c r="N329" i="5"/>
  <c r="N331" i="5"/>
  <c r="N333" i="5"/>
  <c r="N335" i="5"/>
  <c r="N337" i="5"/>
  <c r="N339" i="5"/>
  <c r="N341" i="5"/>
  <c r="N343" i="5"/>
  <c r="N345" i="5"/>
  <c r="N347" i="5"/>
  <c r="N349" i="5"/>
  <c r="N351" i="5"/>
  <c r="N353" i="5"/>
  <c r="N355" i="5"/>
  <c r="N357" i="5"/>
  <c r="N359" i="5"/>
  <c r="N361" i="5"/>
  <c r="N363" i="5"/>
  <c r="N365" i="5"/>
  <c r="N367" i="5"/>
  <c r="N369" i="5"/>
  <c r="N371" i="5"/>
  <c r="N373" i="5"/>
  <c r="N375" i="5"/>
  <c r="N377" i="5"/>
  <c r="N379" i="5"/>
  <c r="N381" i="5"/>
  <c r="N383" i="5"/>
  <c r="N385" i="5"/>
  <c r="N387" i="5"/>
  <c r="N389" i="5"/>
  <c r="N391" i="5"/>
  <c r="N393" i="5"/>
  <c r="N395" i="5"/>
  <c r="N397" i="5"/>
  <c r="N399" i="5"/>
  <c r="N401" i="5"/>
  <c r="N403" i="5"/>
  <c r="N405" i="5"/>
  <c r="N407" i="5"/>
  <c r="N409" i="5"/>
  <c r="N411" i="5"/>
  <c r="N413" i="5"/>
  <c r="N415" i="5"/>
  <c r="N417" i="5"/>
  <c r="N419" i="5"/>
  <c r="N421" i="5"/>
  <c r="N423" i="5"/>
  <c r="N425" i="5"/>
  <c r="N427" i="5"/>
  <c r="N429" i="5"/>
  <c r="N431" i="5"/>
  <c r="N433" i="5"/>
  <c r="N435" i="5"/>
  <c r="N437" i="5"/>
  <c r="N439" i="5"/>
  <c r="N441" i="5"/>
  <c r="N443" i="5"/>
  <c r="N445" i="5"/>
  <c r="N447" i="5"/>
  <c r="N449" i="5"/>
  <c r="N451" i="5"/>
  <c r="N453" i="5"/>
  <c r="N455" i="5"/>
  <c r="N457" i="5"/>
  <c r="N459" i="5"/>
  <c r="N461" i="5"/>
  <c r="N463" i="5"/>
  <c r="N465" i="5"/>
  <c r="N1930" i="5"/>
  <c r="N1932" i="5"/>
  <c r="N1934" i="5"/>
  <c r="N1936" i="5"/>
  <c r="N1938" i="5"/>
  <c r="N1940" i="5"/>
  <c r="N1942" i="5"/>
  <c r="N1944" i="5"/>
  <c r="N1946" i="5"/>
  <c r="N1948" i="5"/>
  <c r="N1950" i="5"/>
  <c r="N1952" i="5"/>
  <c r="N1954" i="5"/>
  <c r="N1956" i="5"/>
  <c r="N1958" i="5"/>
  <c r="N1960" i="5"/>
  <c r="N1962" i="5"/>
  <c r="N1964" i="5"/>
  <c r="N1966" i="5"/>
  <c r="N1968" i="5"/>
  <c r="N1970" i="5"/>
  <c r="N1972" i="5"/>
  <c r="N1974" i="5"/>
  <c r="N1976" i="5"/>
  <c r="N1978" i="5"/>
  <c r="N1980" i="5"/>
  <c r="N1982" i="5"/>
  <c r="N1984" i="5"/>
  <c r="N1986" i="5"/>
  <c r="N1988" i="5"/>
  <c r="N1990" i="5"/>
  <c r="N1992" i="5"/>
  <c r="N1994" i="5"/>
  <c r="N1996" i="5"/>
  <c r="N1998" i="5"/>
  <c r="N2000" i="5"/>
  <c r="N2002" i="5"/>
  <c r="N2004" i="5"/>
  <c r="T6" i="5"/>
  <c r="W6" i="5"/>
  <c r="O6" i="5"/>
  <c r="W7" i="5"/>
  <c r="U7" i="5"/>
  <c r="O7" i="5"/>
  <c r="V7" i="5"/>
  <c r="T7" i="5"/>
  <c r="P7" i="5"/>
  <c r="T8" i="5"/>
  <c r="W8" i="5"/>
  <c r="O8" i="5"/>
  <c r="W9" i="5"/>
  <c r="U9" i="5"/>
  <c r="O9" i="5"/>
  <c r="V9" i="5"/>
  <c r="T9" i="5"/>
  <c r="P9" i="5"/>
  <c r="T10" i="5"/>
  <c r="W10" i="5"/>
  <c r="O10" i="5"/>
  <c r="W11" i="5"/>
  <c r="U11" i="5"/>
  <c r="O11" i="5"/>
  <c r="V11" i="5"/>
  <c r="T11" i="5"/>
  <c r="P11" i="5"/>
  <c r="T12" i="5"/>
  <c r="W12" i="5"/>
  <c r="O12" i="5"/>
  <c r="W13" i="5"/>
  <c r="U13" i="5"/>
  <c r="O13" i="5"/>
  <c r="V13" i="5"/>
  <c r="T13" i="5"/>
  <c r="P13" i="5"/>
  <c r="T14" i="5"/>
  <c r="W14" i="5"/>
  <c r="O14" i="5"/>
  <c r="W15" i="5"/>
  <c r="U15" i="5"/>
  <c r="O15" i="5"/>
  <c r="V15" i="5"/>
  <c r="T15" i="5"/>
  <c r="P15" i="5"/>
  <c r="T16" i="5"/>
  <c r="W16" i="5"/>
  <c r="O16" i="5"/>
  <c r="W17" i="5"/>
  <c r="U17" i="5"/>
  <c r="O17" i="5"/>
  <c r="V17" i="5"/>
  <c r="T17" i="5"/>
  <c r="P17" i="5"/>
  <c r="T18" i="5"/>
  <c r="W18" i="5"/>
  <c r="O18" i="5"/>
  <c r="W19" i="5"/>
  <c r="U19" i="5"/>
  <c r="O19" i="5"/>
  <c r="V19" i="5"/>
  <c r="T19" i="5"/>
  <c r="P19" i="5"/>
  <c r="T20" i="5"/>
  <c r="W20" i="5"/>
  <c r="O20" i="5"/>
  <c r="W21" i="5"/>
  <c r="U21" i="5"/>
  <c r="O21" i="5"/>
  <c r="V21" i="5"/>
  <c r="T21" i="5"/>
  <c r="P21" i="5"/>
  <c r="T22" i="5"/>
  <c r="W22" i="5"/>
  <c r="O22" i="5"/>
  <c r="W23" i="5"/>
  <c r="U23" i="5"/>
  <c r="O23" i="5"/>
  <c r="V23" i="5"/>
  <c r="T23" i="5"/>
  <c r="P23" i="5"/>
  <c r="T24" i="5"/>
  <c r="W24" i="5"/>
  <c r="O24" i="5"/>
  <c r="W25" i="5"/>
  <c r="U25" i="5"/>
  <c r="O25" i="5"/>
  <c r="V25" i="5"/>
  <c r="T25" i="5"/>
  <c r="P25" i="5"/>
  <c r="T26" i="5"/>
  <c r="W26" i="5"/>
  <c r="O26" i="5"/>
  <c r="W27" i="5"/>
  <c r="U27" i="5"/>
  <c r="O27" i="5"/>
  <c r="V27" i="5"/>
  <c r="T27" i="5"/>
  <c r="P27" i="5"/>
  <c r="T28" i="5"/>
  <c r="W28" i="5"/>
  <c r="S28" i="5"/>
  <c r="W29" i="5"/>
  <c r="U29" i="5"/>
  <c r="S29" i="5"/>
  <c r="O29" i="5"/>
  <c r="V29" i="5"/>
  <c r="T29" i="5"/>
  <c r="P29" i="5"/>
  <c r="R29" i="5" s="1"/>
  <c r="T30" i="5"/>
  <c r="W30" i="5"/>
  <c r="S30" i="5"/>
  <c r="W31" i="5"/>
  <c r="U31" i="5"/>
  <c r="S31" i="5"/>
  <c r="O31" i="5"/>
  <c r="V31" i="5"/>
  <c r="T31" i="5"/>
  <c r="P31" i="5"/>
  <c r="R31" i="5" s="1"/>
  <c r="T32" i="5"/>
  <c r="W32" i="5"/>
  <c r="S32" i="5"/>
  <c r="W33" i="5"/>
  <c r="U33" i="5"/>
  <c r="S33" i="5"/>
  <c r="O33" i="5"/>
  <c r="V33" i="5"/>
  <c r="T33" i="5"/>
  <c r="P33" i="5"/>
  <c r="R33" i="5" s="1"/>
  <c r="T34" i="5"/>
  <c r="W34" i="5"/>
  <c r="S34" i="5"/>
  <c r="W35" i="5"/>
  <c r="U35" i="5"/>
  <c r="S35" i="5"/>
  <c r="O35" i="5"/>
  <c r="V35" i="5"/>
  <c r="T35" i="5"/>
  <c r="P35" i="5"/>
  <c r="R35" i="5" s="1"/>
  <c r="U37" i="5"/>
  <c r="O37" i="5"/>
  <c r="T37" i="5"/>
  <c r="W39" i="5"/>
  <c r="U39" i="5"/>
  <c r="S39" i="5"/>
  <c r="O39" i="5"/>
  <c r="V39" i="5"/>
  <c r="T39" i="5"/>
  <c r="P39" i="5"/>
  <c r="R39" i="5" s="1"/>
  <c r="U41" i="5"/>
  <c r="O41" i="5"/>
  <c r="T41" i="5"/>
  <c r="W43" i="5"/>
  <c r="U43" i="5"/>
  <c r="S43" i="5"/>
  <c r="O43" i="5"/>
  <c r="V43" i="5"/>
  <c r="T43" i="5"/>
  <c r="P43" i="5"/>
  <c r="R43" i="5" s="1"/>
  <c r="U45" i="5"/>
  <c r="O45" i="5"/>
  <c r="T45" i="5"/>
  <c r="W47" i="5"/>
  <c r="U47" i="5"/>
  <c r="S47" i="5"/>
  <c r="O47" i="5"/>
  <c r="V47" i="5"/>
  <c r="T47" i="5"/>
  <c r="P47" i="5"/>
  <c r="R47" i="5" s="1"/>
  <c r="U49" i="5"/>
  <c r="O49" i="5"/>
  <c r="T49" i="5"/>
  <c r="W51" i="5"/>
  <c r="U51" i="5"/>
  <c r="S51" i="5"/>
  <c r="O51" i="5"/>
  <c r="V51" i="5"/>
  <c r="T51" i="5"/>
  <c r="P51" i="5"/>
  <c r="R51" i="5" s="1"/>
  <c r="U53" i="5"/>
  <c r="O53" i="5"/>
  <c r="T53" i="5"/>
  <c r="W55" i="5"/>
  <c r="U55" i="5"/>
  <c r="S55" i="5"/>
  <c r="O55" i="5"/>
  <c r="V55" i="5"/>
  <c r="T55" i="5"/>
  <c r="P55" i="5"/>
  <c r="R55" i="5" s="1"/>
  <c r="U57" i="5"/>
  <c r="O57" i="5"/>
  <c r="T57" i="5"/>
  <c r="W59" i="5"/>
  <c r="U59" i="5"/>
  <c r="S59" i="5"/>
  <c r="O59" i="5"/>
  <c r="V59" i="5"/>
  <c r="T59" i="5"/>
  <c r="P59" i="5"/>
  <c r="R59" i="5" s="1"/>
  <c r="U61" i="5"/>
  <c r="O61" i="5"/>
  <c r="T61" i="5"/>
  <c r="W63" i="5"/>
  <c r="U63" i="5"/>
  <c r="S63" i="5"/>
  <c r="O63" i="5"/>
  <c r="V63" i="5"/>
  <c r="T63" i="5"/>
  <c r="P63" i="5"/>
  <c r="R63" i="5" s="1"/>
  <c r="U65" i="5"/>
  <c r="O65" i="5"/>
  <c r="T65" i="5"/>
  <c r="W67" i="5"/>
  <c r="U67" i="5"/>
  <c r="S67" i="5"/>
  <c r="O67" i="5"/>
  <c r="V67" i="5"/>
  <c r="T67" i="5"/>
  <c r="P67" i="5"/>
  <c r="R67" i="5" s="1"/>
  <c r="U69" i="5"/>
  <c r="O69" i="5"/>
  <c r="T69" i="5"/>
  <c r="W71" i="5"/>
  <c r="U71" i="5"/>
  <c r="S71" i="5"/>
  <c r="O71" i="5"/>
  <c r="V71" i="5"/>
  <c r="T71" i="5"/>
  <c r="P71" i="5"/>
  <c r="R71" i="5" s="1"/>
  <c r="W73" i="5"/>
  <c r="U73" i="5"/>
  <c r="S73" i="5"/>
  <c r="O73" i="5"/>
  <c r="V73" i="5"/>
  <c r="T73" i="5"/>
  <c r="P73" i="5"/>
  <c r="R73" i="5" s="1"/>
  <c r="W75" i="5"/>
  <c r="U75" i="5"/>
  <c r="S75" i="5"/>
  <c r="O75" i="5"/>
  <c r="V75" i="5"/>
  <c r="T75" i="5"/>
  <c r="P75" i="5"/>
  <c r="R75" i="5" s="1"/>
  <c r="W77" i="5"/>
  <c r="U77" i="5"/>
  <c r="S77" i="5"/>
  <c r="O77" i="5"/>
  <c r="V77" i="5"/>
  <c r="T77" i="5"/>
  <c r="P77" i="5"/>
  <c r="R77" i="5" s="1"/>
  <c r="W79" i="5"/>
  <c r="U79" i="5"/>
  <c r="S79" i="5"/>
  <c r="O79" i="5"/>
  <c r="V79" i="5"/>
  <c r="T79" i="5"/>
  <c r="P79" i="5"/>
  <c r="R79" i="5" s="1"/>
  <c r="W81" i="5"/>
  <c r="U81" i="5"/>
  <c r="S81" i="5"/>
  <c r="O81" i="5"/>
  <c r="V81" i="5"/>
  <c r="T81" i="5"/>
  <c r="P81" i="5"/>
  <c r="R81" i="5" s="1"/>
  <c r="W83" i="5"/>
  <c r="U83" i="5"/>
  <c r="S83" i="5"/>
  <c r="O83" i="5"/>
  <c r="V83" i="5"/>
  <c r="T83" i="5"/>
  <c r="P83" i="5"/>
  <c r="R83" i="5" s="1"/>
  <c r="W85" i="5"/>
  <c r="U85" i="5"/>
  <c r="S85" i="5"/>
  <c r="O85" i="5"/>
  <c r="V85" i="5"/>
  <c r="T85" i="5"/>
  <c r="P85" i="5"/>
  <c r="R85" i="5" s="1"/>
  <c r="W87" i="5"/>
  <c r="U87" i="5"/>
  <c r="S87" i="5"/>
  <c r="O87" i="5"/>
  <c r="V87" i="5"/>
  <c r="T87" i="5"/>
  <c r="P87" i="5"/>
  <c r="R87" i="5" s="1"/>
  <c r="W89" i="5"/>
  <c r="U89" i="5"/>
  <c r="S89" i="5"/>
  <c r="O89" i="5"/>
  <c r="V89" i="5"/>
  <c r="T89" i="5"/>
  <c r="P89" i="5"/>
  <c r="R89" i="5" s="1"/>
  <c r="W91" i="5"/>
  <c r="U91" i="5"/>
  <c r="S91" i="5"/>
  <c r="O91" i="5"/>
  <c r="V91" i="5"/>
  <c r="T91" i="5"/>
  <c r="P91" i="5"/>
  <c r="R91" i="5" s="1"/>
  <c r="W93" i="5"/>
  <c r="U93" i="5"/>
  <c r="S93" i="5"/>
  <c r="O93" i="5"/>
  <c r="V93" i="5"/>
  <c r="T93" i="5"/>
  <c r="P93" i="5"/>
  <c r="R93" i="5" s="1"/>
  <c r="W95" i="5"/>
  <c r="U95" i="5"/>
  <c r="S95" i="5"/>
  <c r="O95" i="5"/>
  <c r="V95" i="5"/>
  <c r="T95" i="5"/>
  <c r="P95" i="5"/>
  <c r="R95" i="5" s="1"/>
  <c r="W97" i="5"/>
  <c r="U97" i="5"/>
  <c r="S97" i="5"/>
  <c r="O97" i="5"/>
  <c r="V97" i="5"/>
  <c r="T97" i="5"/>
  <c r="P97" i="5"/>
  <c r="R97" i="5" s="1"/>
  <c r="W99" i="5"/>
  <c r="U99" i="5"/>
  <c r="S99" i="5"/>
  <c r="O99" i="5"/>
  <c r="V99" i="5"/>
  <c r="T99" i="5"/>
  <c r="P99" i="5"/>
  <c r="R99" i="5" s="1"/>
  <c r="W101" i="5"/>
  <c r="U101" i="5"/>
  <c r="S101" i="5"/>
  <c r="O101" i="5"/>
  <c r="V101" i="5"/>
  <c r="T101" i="5"/>
  <c r="P101" i="5"/>
  <c r="R101" i="5" s="1"/>
  <c r="W103" i="5"/>
  <c r="U103" i="5"/>
  <c r="S103" i="5"/>
  <c r="O103" i="5"/>
  <c r="V103" i="5"/>
  <c r="T103" i="5"/>
  <c r="P103" i="5"/>
  <c r="R103" i="5" s="1"/>
  <c r="W105" i="5"/>
  <c r="U105" i="5"/>
  <c r="S105" i="5"/>
  <c r="O105" i="5"/>
  <c r="V105" i="5"/>
  <c r="T105" i="5"/>
  <c r="P105" i="5"/>
  <c r="R105" i="5" s="1"/>
  <c r="W107" i="5"/>
  <c r="U107" i="5"/>
  <c r="S107" i="5"/>
  <c r="O107" i="5"/>
  <c r="V107" i="5"/>
  <c r="T107" i="5"/>
  <c r="P107" i="5"/>
  <c r="R107" i="5" s="1"/>
  <c r="W109" i="5"/>
  <c r="U109" i="5"/>
  <c r="S109" i="5"/>
  <c r="O109" i="5"/>
  <c r="V109" i="5"/>
  <c r="T109" i="5"/>
  <c r="P109" i="5"/>
  <c r="R109" i="5" s="1"/>
  <c r="W111" i="5"/>
  <c r="U111" i="5"/>
  <c r="S111" i="5"/>
  <c r="O111" i="5"/>
  <c r="V111" i="5"/>
  <c r="T111" i="5"/>
  <c r="P111" i="5"/>
  <c r="R111" i="5" s="1"/>
  <c r="W113" i="5"/>
  <c r="U113" i="5"/>
  <c r="S113" i="5"/>
  <c r="O113" i="5"/>
  <c r="V113" i="5"/>
  <c r="T113" i="5"/>
  <c r="P113" i="5"/>
  <c r="R113" i="5" s="1"/>
  <c r="W115" i="5"/>
  <c r="U115" i="5"/>
  <c r="S115" i="5"/>
  <c r="O115" i="5"/>
  <c r="V115" i="5"/>
  <c r="T115" i="5"/>
  <c r="P115" i="5"/>
  <c r="R115" i="5" s="1"/>
  <c r="W117" i="5"/>
  <c r="U117" i="5"/>
  <c r="S117" i="5"/>
  <c r="O117" i="5"/>
  <c r="V117" i="5"/>
  <c r="T117" i="5"/>
  <c r="P117" i="5"/>
  <c r="R117" i="5" s="1"/>
  <c r="W119" i="5"/>
  <c r="U119" i="5"/>
  <c r="S119" i="5"/>
  <c r="O119" i="5"/>
  <c r="V119" i="5"/>
  <c r="T119" i="5"/>
  <c r="P119" i="5"/>
  <c r="R119" i="5" s="1"/>
  <c r="W121" i="5"/>
  <c r="U121" i="5"/>
  <c r="S121" i="5"/>
  <c r="O121" i="5"/>
  <c r="V121" i="5"/>
  <c r="T121" i="5"/>
  <c r="P121" i="5"/>
  <c r="R121" i="5" s="1"/>
  <c r="W123" i="5"/>
  <c r="U123" i="5"/>
  <c r="S123" i="5"/>
  <c r="O123" i="5"/>
  <c r="V123" i="5"/>
  <c r="T123" i="5"/>
  <c r="P123" i="5"/>
  <c r="R123" i="5" s="1"/>
  <c r="W125" i="5"/>
  <c r="U125" i="5"/>
  <c r="S125" i="5"/>
  <c r="O125" i="5"/>
  <c r="V125" i="5"/>
  <c r="T125" i="5"/>
  <c r="P125" i="5"/>
  <c r="R125" i="5" s="1"/>
  <c r="W127" i="5"/>
  <c r="U127" i="5"/>
  <c r="S127" i="5"/>
  <c r="O127" i="5"/>
  <c r="V127" i="5"/>
  <c r="T127" i="5"/>
  <c r="P127" i="5"/>
  <c r="R127" i="5" s="1"/>
  <c r="W129" i="5"/>
  <c r="U129" i="5"/>
  <c r="S129" i="5"/>
  <c r="O129" i="5"/>
  <c r="V129" i="5"/>
  <c r="T129" i="5"/>
  <c r="P129" i="5"/>
  <c r="R129" i="5" s="1"/>
  <c r="W131" i="5"/>
  <c r="U131" i="5"/>
  <c r="S131" i="5"/>
  <c r="O131" i="5"/>
  <c r="V131" i="5"/>
  <c r="T131" i="5"/>
  <c r="P131" i="5"/>
  <c r="R131" i="5" s="1"/>
  <c r="W133" i="5"/>
  <c r="U133" i="5"/>
  <c r="S133" i="5"/>
  <c r="O133" i="5"/>
  <c r="V133" i="5"/>
  <c r="T133" i="5"/>
  <c r="P133" i="5"/>
  <c r="R133" i="5" s="1"/>
  <c r="W135" i="5"/>
  <c r="U135" i="5"/>
  <c r="S135" i="5"/>
  <c r="O135" i="5"/>
  <c r="V135" i="5"/>
  <c r="T135" i="5"/>
  <c r="P135" i="5"/>
  <c r="R135" i="5" s="1"/>
  <c r="W137" i="5"/>
  <c r="U137" i="5"/>
  <c r="S137" i="5"/>
  <c r="O137" i="5"/>
  <c r="V137" i="5"/>
  <c r="T137" i="5"/>
  <c r="P137" i="5"/>
  <c r="R137" i="5" s="1"/>
  <c r="W139" i="5"/>
  <c r="U139" i="5"/>
  <c r="S139" i="5"/>
  <c r="O139" i="5"/>
  <c r="V139" i="5"/>
  <c r="T139" i="5"/>
  <c r="P139" i="5"/>
  <c r="R139" i="5" s="1"/>
  <c r="W141" i="5"/>
  <c r="U141" i="5"/>
  <c r="S141" i="5"/>
  <c r="O141" i="5"/>
  <c r="V141" i="5"/>
  <c r="T141" i="5"/>
  <c r="P141" i="5"/>
  <c r="R141" i="5" s="1"/>
  <c r="W143" i="5"/>
  <c r="U143" i="5"/>
  <c r="S143" i="5"/>
  <c r="O143" i="5"/>
  <c r="V143" i="5"/>
  <c r="T143" i="5"/>
  <c r="P143" i="5"/>
  <c r="R143" i="5" s="1"/>
  <c r="W145" i="5"/>
  <c r="U145" i="5"/>
  <c r="S145" i="5"/>
  <c r="O145" i="5"/>
  <c r="V145" i="5"/>
  <c r="T145" i="5"/>
  <c r="P145" i="5"/>
  <c r="R145" i="5" s="1"/>
  <c r="W147" i="5"/>
  <c r="U147" i="5"/>
  <c r="S147" i="5"/>
  <c r="O147" i="5"/>
  <c r="V147" i="5"/>
  <c r="T147" i="5"/>
  <c r="P147" i="5"/>
  <c r="R147" i="5" s="1"/>
  <c r="W149" i="5"/>
  <c r="U149" i="5"/>
  <c r="S149" i="5"/>
  <c r="O149" i="5"/>
  <c r="V149" i="5"/>
  <c r="T149" i="5"/>
  <c r="P149" i="5"/>
  <c r="R149" i="5" s="1"/>
  <c r="W151" i="5"/>
  <c r="U151" i="5"/>
  <c r="S151" i="5"/>
  <c r="O151" i="5"/>
  <c r="V151" i="5"/>
  <c r="T151" i="5"/>
  <c r="P151" i="5"/>
  <c r="R151" i="5" s="1"/>
  <c r="W153" i="5"/>
  <c r="U153" i="5"/>
  <c r="S153" i="5"/>
  <c r="O153" i="5"/>
  <c r="V153" i="5"/>
  <c r="T153" i="5"/>
  <c r="P153" i="5"/>
  <c r="R153" i="5" s="1"/>
  <c r="W155" i="5"/>
  <c r="U155" i="5"/>
  <c r="S155" i="5"/>
  <c r="O155" i="5"/>
  <c r="V155" i="5"/>
  <c r="T155" i="5"/>
  <c r="P155" i="5"/>
  <c r="R155" i="5" s="1"/>
  <c r="W157" i="5"/>
  <c r="U157" i="5"/>
  <c r="S157" i="5"/>
  <c r="O157" i="5"/>
  <c r="V157" i="5"/>
  <c r="T157" i="5"/>
  <c r="P157" i="5"/>
  <c r="R157" i="5" s="1"/>
  <c r="W159" i="5"/>
  <c r="U159" i="5"/>
  <c r="S159" i="5"/>
  <c r="O159" i="5"/>
  <c r="V159" i="5"/>
  <c r="T159" i="5"/>
  <c r="P159" i="5"/>
  <c r="R159" i="5" s="1"/>
  <c r="W161" i="5"/>
  <c r="U161" i="5"/>
  <c r="S161" i="5"/>
  <c r="O161" i="5"/>
  <c r="V161" i="5"/>
  <c r="T161" i="5"/>
  <c r="P161" i="5"/>
  <c r="R161" i="5" s="1"/>
  <c r="W163" i="5"/>
  <c r="U163" i="5"/>
  <c r="S163" i="5"/>
  <c r="O163" i="5"/>
  <c r="V163" i="5"/>
  <c r="T163" i="5"/>
  <c r="P163" i="5"/>
  <c r="R163" i="5" s="1"/>
  <c r="W165" i="5"/>
  <c r="U165" i="5"/>
  <c r="S165" i="5"/>
  <c r="O165" i="5"/>
  <c r="V165" i="5"/>
  <c r="T165" i="5"/>
  <c r="P165" i="5"/>
  <c r="R165" i="5" s="1"/>
  <c r="W167" i="5"/>
  <c r="U167" i="5"/>
  <c r="S167" i="5"/>
  <c r="O167" i="5"/>
  <c r="V167" i="5"/>
  <c r="T167" i="5"/>
  <c r="P167" i="5"/>
  <c r="R167" i="5" s="1"/>
  <c r="W169" i="5"/>
  <c r="U169" i="5"/>
  <c r="S169" i="5"/>
  <c r="O169" i="5"/>
  <c r="V169" i="5"/>
  <c r="T169" i="5"/>
  <c r="P169" i="5"/>
  <c r="R169" i="5" s="1"/>
  <c r="W171" i="5"/>
  <c r="U171" i="5"/>
  <c r="S171" i="5"/>
  <c r="O171" i="5"/>
  <c r="V171" i="5"/>
  <c r="T171" i="5"/>
  <c r="P171" i="5"/>
  <c r="R171" i="5" s="1"/>
  <c r="W173" i="5"/>
  <c r="U173" i="5"/>
  <c r="S173" i="5"/>
  <c r="O173" i="5"/>
  <c r="V173" i="5"/>
  <c r="T173" i="5"/>
  <c r="P173" i="5"/>
  <c r="R173" i="5" s="1"/>
  <c r="W175" i="5"/>
  <c r="U175" i="5"/>
  <c r="S175" i="5"/>
  <c r="O175" i="5"/>
  <c r="V175" i="5"/>
  <c r="T175" i="5"/>
  <c r="P175" i="5"/>
  <c r="R175" i="5" s="1"/>
  <c r="W177" i="5"/>
  <c r="U177" i="5"/>
  <c r="S177" i="5"/>
  <c r="O177" i="5"/>
  <c r="V177" i="5"/>
  <c r="T177" i="5"/>
  <c r="P177" i="5"/>
  <c r="R177" i="5" s="1"/>
  <c r="W179" i="5"/>
  <c r="U179" i="5"/>
  <c r="S179" i="5"/>
  <c r="O179" i="5"/>
  <c r="V179" i="5"/>
  <c r="T179" i="5"/>
  <c r="P179" i="5"/>
  <c r="R179" i="5" s="1"/>
  <c r="W181" i="5"/>
  <c r="U181" i="5"/>
  <c r="S181" i="5"/>
  <c r="O181" i="5"/>
  <c r="V181" i="5"/>
  <c r="T181" i="5"/>
  <c r="P181" i="5"/>
  <c r="R181" i="5" s="1"/>
  <c r="W183" i="5"/>
  <c r="U183" i="5"/>
  <c r="S183" i="5"/>
  <c r="O183" i="5"/>
  <c r="V183" i="5"/>
  <c r="T183" i="5"/>
  <c r="P183" i="5"/>
  <c r="R183" i="5" s="1"/>
  <c r="W185" i="5"/>
  <c r="U185" i="5"/>
  <c r="S185" i="5"/>
  <c r="O185" i="5"/>
  <c r="V185" i="5"/>
  <c r="T185" i="5"/>
  <c r="P185" i="5"/>
  <c r="R185" i="5" s="1"/>
  <c r="W187" i="5"/>
  <c r="U187" i="5"/>
  <c r="S187" i="5"/>
  <c r="O187" i="5"/>
  <c r="V187" i="5"/>
  <c r="T187" i="5"/>
  <c r="P187" i="5"/>
  <c r="R187" i="5" s="1"/>
  <c r="W189" i="5"/>
  <c r="U189" i="5"/>
  <c r="S189" i="5"/>
  <c r="O189" i="5"/>
  <c r="V189" i="5"/>
  <c r="T189" i="5"/>
  <c r="P189" i="5"/>
  <c r="R189" i="5" s="1"/>
  <c r="W191" i="5"/>
  <c r="U191" i="5"/>
  <c r="S191" i="5"/>
  <c r="O191" i="5"/>
  <c r="V191" i="5"/>
  <c r="T191" i="5"/>
  <c r="P191" i="5"/>
  <c r="R191" i="5" s="1"/>
  <c r="W193" i="5"/>
  <c r="U193" i="5"/>
  <c r="S193" i="5"/>
  <c r="O193" i="5"/>
  <c r="V193" i="5"/>
  <c r="T193" i="5"/>
  <c r="P193" i="5"/>
  <c r="R193" i="5" s="1"/>
  <c r="W195" i="5"/>
  <c r="U195" i="5"/>
  <c r="S195" i="5"/>
  <c r="O195" i="5"/>
  <c r="V195" i="5"/>
  <c r="T195" i="5"/>
  <c r="P195" i="5"/>
  <c r="R195" i="5" s="1"/>
  <c r="W197" i="5"/>
  <c r="U197" i="5"/>
  <c r="S197" i="5"/>
  <c r="O197" i="5"/>
  <c r="V197" i="5"/>
  <c r="T197" i="5"/>
  <c r="P197" i="5"/>
  <c r="R197" i="5" s="1"/>
  <c r="W199" i="5"/>
  <c r="U199" i="5"/>
  <c r="S199" i="5"/>
  <c r="O199" i="5"/>
  <c r="V199" i="5"/>
  <c r="T199" i="5"/>
  <c r="P199" i="5"/>
  <c r="R199" i="5" s="1"/>
  <c r="W201" i="5"/>
  <c r="U201" i="5"/>
  <c r="S201" i="5"/>
  <c r="O201" i="5"/>
  <c r="V201" i="5"/>
  <c r="T201" i="5"/>
  <c r="P201" i="5"/>
  <c r="R201" i="5" s="1"/>
  <c r="W203" i="5"/>
  <c r="U203" i="5"/>
  <c r="S203" i="5"/>
  <c r="O203" i="5"/>
  <c r="V203" i="5"/>
  <c r="T203" i="5"/>
  <c r="P203" i="5"/>
  <c r="R203" i="5" s="1"/>
  <c r="W205" i="5"/>
  <c r="U205" i="5"/>
  <c r="S205" i="5"/>
  <c r="O205" i="5"/>
  <c r="V205" i="5"/>
  <c r="T205" i="5"/>
  <c r="P205" i="5"/>
  <c r="R205" i="5" s="1"/>
  <c r="W207" i="5"/>
  <c r="U207" i="5"/>
  <c r="S207" i="5"/>
  <c r="O207" i="5"/>
  <c r="V207" i="5"/>
  <c r="T207" i="5"/>
  <c r="P207" i="5"/>
  <c r="R207" i="5" s="1"/>
  <c r="W209" i="5"/>
  <c r="U209" i="5"/>
  <c r="S209" i="5"/>
  <c r="O209" i="5"/>
  <c r="V209" i="5"/>
  <c r="T209" i="5"/>
  <c r="P209" i="5"/>
  <c r="R209" i="5" s="1"/>
  <c r="W211" i="5"/>
  <c r="U211" i="5"/>
  <c r="S211" i="5"/>
  <c r="O211" i="5"/>
  <c r="V211" i="5"/>
  <c r="T211" i="5"/>
  <c r="P211" i="5"/>
  <c r="R211" i="5" s="1"/>
  <c r="W213" i="5"/>
  <c r="U213" i="5"/>
  <c r="S213" i="5"/>
  <c r="O213" i="5"/>
  <c r="V213" i="5"/>
  <c r="T213" i="5"/>
  <c r="P213" i="5"/>
  <c r="R213" i="5" s="1"/>
  <c r="W215" i="5"/>
  <c r="U215" i="5"/>
  <c r="S215" i="5"/>
  <c r="O215" i="5"/>
  <c r="V215" i="5"/>
  <c r="T215" i="5"/>
  <c r="P215" i="5"/>
  <c r="R215" i="5" s="1"/>
  <c r="W217" i="5"/>
  <c r="U217" i="5"/>
  <c r="S217" i="5"/>
  <c r="O217" i="5"/>
  <c r="V217" i="5"/>
  <c r="T217" i="5"/>
  <c r="P217" i="5"/>
  <c r="R217" i="5" s="1"/>
  <c r="W219" i="5"/>
  <c r="U219" i="5"/>
  <c r="S219" i="5"/>
  <c r="O219" i="5"/>
  <c r="V219" i="5"/>
  <c r="T219" i="5"/>
  <c r="P219" i="5"/>
  <c r="R219" i="5" s="1"/>
  <c r="W221" i="5"/>
  <c r="U221" i="5"/>
  <c r="S221" i="5"/>
  <c r="O221" i="5"/>
  <c r="V221" i="5"/>
  <c r="T221" i="5"/>
  <c r="P221" i="5"/>
  <c r="R221" i="5" s="1"/>
  <c r="W223" i="5"/>
  <c r="U223" i="5"/>
  <c r="S223" i="5"/>
  <c r="O223" i="5"/>
  <c r="V223" i="5"/>
  <c r="T223" i="5"/>
  <c r="P223" i="5"/>
  <c r="R223" i="5" s="1"/>
  <c r="W225" i="5"/>
  <c r="U225" i="5"/>
  <c r="S225" i="5"/>
  <c r="O225" i="5"/>
  <c r="V225" i="5"/>
  <c r="T225" i="5"/>
  <c r="P225" i="5"/>
  <c r="R225" i="5" s="1"/>
  <c r="W227" i="5"/>
  <c r="U227" i="5"/>
  <c r="S227" i="5"/>
  <c r="O227" i="5"/>
  <c r="V227" i="5"/>
  <c r="T227" i="5"/>
  <c r="P227" i="5"/>
  <c r="R227" i="5" s="1"/>
  <c r="W229" i="5"/>
  <c r="U229" i="5"/>
  <c r="S229" i="5"/>
  <c r="O229" i="5"/>
  <c r="V229" i="5"/>
  <c r="T229" i="5"/>
  <c r="P229" i="5"/>
  <c r="R229" i="5" s="1"/>
  <c r="W231" i="5"/>
  <c r="U231" i="5"/>
  <c r="S231" i="5"/>
  <c r="O231" i="5"/>
  <c r="V231" i="5"/>
  <c r="T231" i="5"/>
  <c r="P231" i="5"/>
  <c r="R231" i="5" s="1"/>
  <c r="W233" i="5"/>
  <c r="U233" i="5"/>
  <c r="S233" i="5"/>
  <c r="O233" i="5"/>
  <c r="V233" i="5"/>
  <c r="T233" i="5"/>
  <c r="P233" i="5"/>
  <c r="R233" i="5" s="1"/>
  <c r="W235" i="5"/>
  <c r="U235" i="5"/>
  <c r="S235" i="5"/>
  <c r="O235" i="5"/>
  <c r="V235" i="5"/>
  <c r="T235" i="5"/>
  <c r="P235" i="5"/>
  <c r="R235" i="5" s="1"/>
  <c r="W237" i="5"/>
  <c r="U237" i="5"/>
  <c r="S237" i="5"/>
  <c r="O237" i="5"/>
  <c r="V237" i="5"/>
  <c r="T237" i="5"/>
  <c r="P237" i="5"/>
  <c r="R237" i="5" s="1"/>
  <c r="W239" i="5"/>
  <c r="U239" i="5"/>
  <c r="S239" i="5"/>
  <c r="O239" i="5"/>
  <c r="V239" i="5"/>
  <c r="T239" i="5"/>
  <c r="P239" i="5"/>
  <c r="R239" i="5" s="1"/>
  <c r="W241" i="5"/>
  <c r="U241" i="5"/>
  <c r="S241" i="5"/>
  <c r="O241" i="5"/>
  <c r="V241" i="5"/>
  <c r="T241" i="5"/>
  <c r="P241" i="5"/>
  <c r="R241" i="5" s="1"/>
  <c r="W243" i="5"/>
  <c r="U243" i="5"/>
  <c r="S243" i="5"/>
  <c r="O243" i="5"/>
  <c r="V243" i="5"/>
  <c r="T243" i="5"/>
  <c r="P243" i="5"/>
  <c r="R243" i="5" s="1"/>
  <c r="W245" i="5"/>
  <c r="U245" i="5"/>
  <c r="S245" i="5"/>
  <c r="O245" i="5"/>
  <c r="V245" i="5"/>
  <c r="T245" i="5"/>
  <c r="P245" i="5"/>
  <c r="R245" i="5" s="1"/>
  <c r="W247" i="5"/>
  <c r="U247" i="5"/>
  <c r="S247" i="5"/>
  <c r="O247" i="5"/>
  <c r="V247" i="5"/>
  <c r="T247" i="5"/>
  <c r="P247" i="5"/>
  <c r="R247" i="5" s="1"/>
  <c r="W249" i="5"/>
  <c r="U249" i="5"/>
  <c r="S249" i="5"/>
  <c r="O249" i="5"/>
  <c r="V249" i="5"/>
  <c r="T249" i="5"/>
  <c r="P249" i="5"/>
  <c r="R249" i="5" s="1"/>
  <c r="W251" i="5"/>
  <c r="U251" i="5"/>
  <c r="S251" i="5"/>
  <c r="O251" i="5"/>
  <c r="V251" i="5"/>
  <c r="T251" i="5"/>
  <c r="P251" i="5"/>
  <c r="R251" i="5" s="1"/>
  <c r="W253" i="5"/>
  <c r="U253" i="5"/>
  <c r="S253" i="5"/>
  <c r="O253" i="5"/>
  <c r="V253" i="5"/>
  <c r="T253" i="5"/>
  <c r="P253" i="5"/>
  <c r="R253" i="5" s="1"/>
  <c r="W255" i="5"/>
  <c r="U255" i="5"/>
  <c r="S255" i="5"/>
  <c r="O255" i="5"/>
  <c r="V255" i="5"/>
  <c r="T255" i="5"/>
  <c r="P255" i="5"/>
  <c r="R255" i="5" s="1"/>
  <c r="W257" i="5"/>
  <c r="U257" i="5"/>
  <c r="S257" i="5"/>
  <c r="O257" i="5"/>
  <c r="V257" i="5"/>
  <c r="T257" i="5"/>
  <c r="P257" i="5"/>
  <c r="R257" i="5" s="1"/>
  <c r="W259" i="5"/>
  <c r="U259" i="5"/>
  <c r="S259" i="5"/>
  <c r="O259" i="5"/>
  <c r="V259" i="5"/>
  <c r="T259" i="5"/>
  <c r="P259" i="5"/>
  <c r="R259" i="5" s="1"/>
  <c r="W261" i="5"/>
  <c r="U261" i="5"/>
  <c r="S261" i="5"/>
  <c r="O261" i="5"/>
  <c r="V261" i="5"/>
  <c r="T261" i="5"/>
  <c r="P261" i="5"/>
  <c r="R261" i="5" s="1"/>
  <c r="W263" i="5"/>
  <c r="U263" i="5"/>
  <c r="S263" i="5"/>
  <c r="O263" i="5"/>
  <c r="V263" i="5"/>
  <c r="T263" i="5"/>
  <c r="P263" i="5"/>
  <c r="R263" i="5" s="1"/>
  <c r="W265" i="5"/>
  <c r="U265" i="5"/>
  <c r="S265" i="5"/>
  <c r="O265" i="5"/>
  <c r="V265" i="5"/>
  <c r="T265" i="5"/>
  <c r="P265" i="5"/>
  <c r="R265" i="5" s="1"/>
  <c r="W267" i="5"/>
  <c r="U267" i="5"/>
  <c r="S267" i="5"/>
  <c r="O267" i="5"/>
  <c r="V267" i="5"/>
  <c r="T267" i="5"/>
  <c r="P267" i="5"/>
  <c r="R267" i="5" s="1"/>
  <c r="W269" i="5"/>
  <c r="U269" i="5"/>
  <c r="S269" i="5"/>
  <c r="O269" i="5"/>
  <c r="V269" i="5"/>
  <c r="T269" i="5"/>
  <c r="P269" i="5"/>
  <c r="R269" i="5" s="1"/>
  <c r="W271" i="5"/>
  <c r="U271" i="5"/>
  <c r="S271" i="5"/>
  <c r="O271" i="5"/>
  <c r="V271" i="5"/>
  <c r="T271" i="5"/>
  <c r="P271" i="5"/>
  <c r="R271" i="5" s="1"/>
  <c r="W273" i="5"/>
  <c r="U273" i="5"/>
  <c r="S273" i="5"/>
  <c r="O273" i="5"/>
  <c r="V273" i="5"/>
  <c r="T273" i="5"/>
  <c r="P273" i="5"/>
  <c r="R273" i="5" s="1"/>
  <c r="W275" i="5"/>
  <c r="U275" i="5"/>
  <c r="S275" i="5"/>
  <c r="O275" i="5"/>
  <c r="V275" i="5"/>
  <c r="T275" i="5"/>
  <c r="P275" i="5"/>
  <c r="R275" i="5" s="1"/>
  <c r="W277" i="5"/>
  <c r="U277" i="5"/>
  <c r="S277" i="5"/>
  <c r="O277" i="5"/>
  <c r="V277" i="5"/>
  <c r="T277" i="5"/>
  <c r="P277" i="5"/>
  <c r="R277" i="5" s="1"/>
  <c r="W279" i="5"/>
  <c r="U279" i="5"/>
  <c r="S279" i="5"/>
  <c r="O279" i="5"/>
  <c r="V279" i="5"/>
  <c r="T279" i="5"/>
  <c r="P279" i="5"/>
  <c r="R279" i="5" s="1"/>
  <c r="W281" i="5"/>
  <c r="U281" i="5"/>
  <c r="S281" i="5"/>
  <c r="O281" i="5"/>
  <c r="V281" i="5"/>
  <c r="T281" i="5"/>
  <c r="P281" i="5"/>
  <c r="R281" i="5" s="1"/>
  <c r="W283" i="5"/>
  <c r="U283" i="5"/>
  <c r="S283" i="5"/>
  <c r="O283" i="5"/>
  <c r="V283" i="5"/>
  <c r="T283" i="5"/>
  <c r="P283" i="5"/>
  <c r="R283" i="5" s="1"/>
  <c r="W285" i="5"/>
  <c r="U285" i="5"/>
  <c r="S285" i="5"/>
  <c r="O285" i="5"/>
  <c r="V285" i="5"/>
  <c r="T285" i="5"/>
  <c r="P285" i="5"/>
  <c r="R285" i="5" s="1"/>
  <c r="W287" i="5"/>
  <c r="U287" i="5"/>
  <c r="S287" i="5"/>
  <c r="O287" i="5"/>
  <c r="V287" i="5"/>
  <c r="T287" i="5"/>
  <c r="P287" i="5"/>
  <c r="R287" i="5" s="1"/>
  <c r="W289" i="5"/>
  <c r="U289" i="5"/>
  <c r="S289" i="5"/>
  <c r="O289" i="5"/>
  <c r="V289" i="5"/>
  <c r="T289" i="5"/>
  <c r="P289" i="5"/>
  <c r="R289" i="5" s="1"/>
  <c r="W291" i="5"/>
  <c r="U291" i="5"/>
  <c r="S291" i="5"/>
  <c r="O291" i="5"/>
  <c r="V291" i="5"/>
  <c r="T291" i="5"/>
  <c r="P291" i="5"/>
  <c r="R291" i="5" s="1"/>
  <c r="W293" i="5"/>
  <c r="U293" i="5"/>
  <c r="S293" i="5"/>
  <c r="O293" i="5"/>
  <c r="V293" i="5"/>
  <c r="T293" i="5"/>
  <c r="P293" i="5"/>
  <c r="R293" i="5" s="1"/>
  <c r="W295" i="5"/>
  <c r="U295" i="5"/>
  <c r="S295" i="5"/>
  <c r="O295" i="5"/>
  <c r="V295" i="5"/>
  <c r="T295" i="5"/>
  <c r="P295" i="5"/>
  <c r="R295" i="5" s="1"/>
  <c r="W297" i="5"/>
  <c r="U297" i="5"/>
  <c r="S297" i="5"/>
  <c r="O297" i="5"/>
  <c r="V297" i="5"/>
  <c r="T297" i="5"/>
  <c r="P297" i="5"/>
  <c r="R297" i="5" s="1"/>
  <c r="W299" i="5"/>
  <c r="U299" i="5"/>
  <c r="S299" i="5"/>
  <c r="O299" i="5"/>
  <c r="V299" i="5"/>
  <c r="T299" i="5"/>
  <c r="P299" i="5"/>
  <c r="R299" i="5" s="1"/>
  <c r="W301" i="5"/>
  <c r="U301" i="5"/>
  <c r="S301" i="5"/>
  <c r="O301" i="5"/>
  <c r="V301" i="5"/>
  <c r="T301" i="5"/>
  <c r="P301" i="5"/>
  <c r="R301" i="5" s="1"/>
  <c r="W303" i="5"/>
  <c r="U303" i="5"/>
  <c r="S303" i="5"/>
  <c r="O303" i="5"/>
  <c r="V303" i="5"/>
  <c r="T303" i="5"/>
  <c r="P303" i="5"/>
  <c r="R303" i="5" s="1"/>
  <c r="W305" i="5"/>
  <c r="U305" i="5"/>
  <c r="S305" i="5"/>
  <c r="O305" i="5"/>
  <c r="V305" i="5"/>
  <c r="T305" i="5"/>
  <c r="P305" i="5"/>
  <c r="R305" i="5" s="1"/>
  <c r="W307" i="5"/>
  <c r="U307" i="5"/>
  <c r="S307" i="5"/>
  <c r="O307" i="5"/>
  <c r="V307" i="5"/>
  <c r="T307" i="5"/>
  <c r="P307" i="5"/>
  <c r="R307" i="5" s="1"/>
  <c r="W309" i="5"/>
  <c r="U309" i="5"/>
  <c r="S309" i="5"/>
  <c r="O309" i="5"/>
  <c r="V309" i="5"/>
  <c r="T309" i="5"/>
  <c r="P309" i="5"/>
  <c r="R309" i="5" s="1"/>
  <c r="W311" i="5"/>
  <c r="U311" i="5"/>
  <c r="S311" i="5"/>
  <c r="O311" i="5"/>
  <c r="V311" i="5"/>
  <c r="T311" i="5"/>
  <c r="P311" i="5"/>
  <c r="R311" i="5" s="1"/>
  <c r="W313" i="5"/>
  <c r="U313" i="5"/>
  <c r="S313" i="5"/>
  <c r="O313" i="5"/>
  <c r="V313" i="5"/>
  <c r="T313" i="5"/>
  <c r="P313" i="5"/>
  <c r="R313" i="5" s="1"/>
  <c r="W315" i="5"/>
  <c r="U315" i="5"/>
  <c r="S315" i="5"/>
  <c r="O315" i="5"/>
  <c r="V315" i="5"/>
  <c r="T315" i="5"/>
  <c r="P315" i="5"/>
  <c r="R315" i="5" s="1"/>
  <c r="W317" i="5"/>
  <c r="U317" i="5"/>
  <c r="S317" i="5"/>
  <c r="O317" i="5"/>
  <c r="V317" i="5"/>
  <c r="T317" i="5"/>
  <c r="P317" i="5"/>
  <c r="R317" i="5" s="1"/>
  <c r="W319" i="5"/>
  <c r="U319" i="5"/>
  <c r="S319" i="5"/>
  <c r="O319" i="5"/>
  <c r="V319" i="5"/>
  <c r="T319" i="5"/>
  <c r="P319" i="5"/>
  <c r="R319" i="5" s="1"/>
  <c r="W321" i="5"/>
  <c r="U321" i="5"/>
  <c r="S321" i="5"/>
  <c r="O321" i="5"/>
  <c r="V321" i="5"/>
  <c r="T321" i="5"/>
  <c r="P321" i="5"/>
  <c r="R321" i="5" s="1"/>
  <c r="W323" i="5"/>
  <c r="U323" i="5"/>
  <c r="S323" i="5"/>
  <c r="O323" i="5"/>
  <c r="V323" i="5"/>
  <c r="T323" i="5"/>
  <c r="P323" i="5"/>
  <c r="R323" i="5" s="1"/>
  <c r="W325" i="5"/>
  <c r="U325" i="5"/>
  <c r="S325" i="5"/>
  <c r="O325" i="5"/>
  <c r="V325" i="5"/>
  <c r="T325" i="5"/>
  <c r="P325" i="5"/>
  <c r="R325" i="5" s="1"/>
  <c r="W327" i="5"/>
  <c r="U327" i="5"/>
  <c r="S327" i="5"/>
  <c r="O327" i="5"/>
  <c r="V327" i="5"/>
  <c r="T327" i="5"/>
  <c r="P327" i="5"/>
  <c r="R327" i="5" s="1"/>
  <c r="W329" i="5"/>
  <c r="U329" i="5"/>
  <c r="S329" i="5"/>
  <c r="O329" i="5"/>
  <c r="V329" i="5"/>
  <c r="T329" i="5"/>
  <c r="P329" i="5"/>
  <c r="R329" i="5" s="1"/>
  <c r="W331" i="5"/>
  <c r="U331" i="5"/>
  <c r="S331" i="5"/>
  <c r="O331" i="5"/>
  <c r="V331" i="5"/>
  <c r="T331" i="5"/>
  <c r="P331" i="5"/>
  <c r="R331" i="5" s="1"/>
  <c r="W333" i="5"/>
  <c r="U333" i="5"/>
  <c r="S333" i="5"/>
  <c r="O333" i="5"/>
  <c r="V333" i="5"/>
  <c r="T333" i="5"/>
  <c r="P333" i="5"/>
  <c r="R333" i="5" s="1"/>
  <c r="W335" i="5"/>
  <c r="U335" i="5"/>
  <c r="S335" i="5"/>
  <c r="O335" i="5"/>
  <c r="V335" i="5"/>
  <c r="T335" i="5"/>
  <c r="P335" i="5"/>
  <c r="R335" i="5" s="1"/>
  <c r="W337" i="5"/>
  <c r="U337" i="5"/>
  <c r="S337" i="5"/>
  <c r="O337" i="5"/>
  <c r="V337" i="5"/>
  <c r="T337" i="5"/>
  <c r="P337" i="5"/>
  <c r="R337" i="5" s="1"/>
  <c r="W339" i="5"/>
  <c r="U339" i="5"/>
  <c r="S339" i="5"/>
  <c r="O339" i="5"/>
  <c r="V339" i="5"/>
  <c r="T339" i="5"/>
  <c r="P339" i="5"/>
  <c r="R339" i="5" s="1"/>
  <c r="W341" i="5"/>
  <c r="U341" i="5"/>
  <c r="S341" i="5"/>
  <c r="O341" i="5"/>
  <c r="V341" i="5"/>
  <c r="T341" i="5"/>
  <c r="P341" i="5"/>
  <c r="R341" i="5" s="1"/>
  <c r="W343" i="5"/>
  <c r="U343" i="5"/>
  <c r="S343" i="5"/>
  <c r="O343" i="5"/>
  <c r="V343" i="5"/>
  <c r="T343" i="5"/>
  <c r="P343" i="5"/>
  <c r="R343" i="5" s="1"/>
  <c r="W345" i="5"/>
  <c r="U345" i="5"/>
  <c r="S345" i="5"/>
  <c r="O345" i="5"/>
  <c r="V345" i="5"/>
  <c r="T345" i="5"/>
  <c r="P345" i="5"/>
  <c r="R345" i="5" s="1"/>
  <c r="W347" i="5"/>
  <c r="U347" i="5"/>
  <c r="S347" i="5"/>
  <c r="O347" i="5"/>
  <c r="V347" i="5"/>
  <c r="T347" i="5"/>
  <c r="P347" i="5"/>
  <c r="R347" i="5" s="1"/>
  <c r="W349" i="5"/>
  <c r="U349" i="5"/>
  <c r="S349" i="5"/>
  <c r="O349" i="5"/>
  <c r="V349" i="5"/>
  <c r="T349" i="5"/>
  <c r="P349" i="5"/>
  <c r="R349" i="5" s="1"/>
  <c r="W351" i="5"/>
  <c r="U351" i="5"/>
  <c r="S351" i="5"/>
  <c r="O351" i="5"/>
  <c r="V351" i="5"/>
  <c r="T351" i="5"/>
  <c r="P351" i="5"/>
  <c r="R351" i="5" s="1"/>
  <c r="W353" i="5"/>
  <c r="U353" i="5"/>
  <c r="S353" i="5"/>
  <c r="O353" i="5"/>
  <c r="V353" i="5"/>
  <c r="T353" i="5"/>
  <c r="P353" i="5"/>
  <c r="R353" i="5" s="1"/>
  <c r="W355" i="5"/>
  <c r="U355" i="5"/>
  <c r="S355" i="5"/>
  <c r="O355" i="5"/>
  <c r="V355" i="5"/>
  <c r="T355" i="5"/>
  <c r="P355" i="5"/>
  <c r="R355" i="5" s="1"/>
  <c r="W357" i="5"/>
  <c r="U357" i="5"/>
  <c r="S357" i="5"/>
  <c r="O357" i="5"/>
  <c r="V357" i="5"/>
  <c r="T357" i="5"/>
  <c r="P357" i="5"/>
  <c r="R357" i="5" s="1"/>
  <c r="W359" i="5"/>
  <c r="U359" i="5"/>
  <c r="S359" i="5"/>
  <c r="O359" i="5"/>
  <c r="V359" i="5"/>
  <c r="T359" i="5"/>
  <c r="P359" i="5"/>
  <c r="R359" i="5" s="1"/>
  <c r="W361" i="5"/>
  <c r="U361" i="5"/>
  <c r="S361" i="5"/>
  <c r="O361" i="5"/>
  <c r="V361" i="5"/>
  <c r="T361" i="5"/>
  <c r="P361" i="5"/>
  <c r="R361" i="5" s="1"/>
  <c r="W363" i="5"/>
  <c r="U363" i="5"/>
  <c r="S363" i="5"/>
  <c r="O363" i="5"/>
  <c r="V363" i="5"/>
  <c r="T363" i="5"/>
  <c r="P363" i="5"/>
  <c r="R363" i="5" s="1"/>
  <c r="W365" i="5"/>
  <c r="U365" i="5"/>
  <c r="S365" i="5"/>
  <c r="O365" i="5"/>
  <c r="V365" i="5"/>
  <c r="T365" i="5"/>
  <c r="P365" i="5"/>
  <c r="R365" i="5" s="1"/>
  <c r="W367" i="5"/>
  <c r="U367" i="5"/>
  <c r="S367" i="5"/>
  <c r="O367" i="5"/>
  <c r="V367" i="5"/>
  <c r="T367" i="5"/>
  <c r="P367" i="5"/>
  <c r="R367" i="5" s="1"/>
  <c r="W369" i="5"/>
  <c r="U369" i="5"/>
  <c r="S369" i="5"/>
  <c r="O369" i="5"/>
  <c r="V369" i="5"/>
  <c r="T369" i="5"/>
  <c r="P369" i="5"/>
  <c r="R369" i="5" s="1"/>
  <c r="W371" i="5"/>
  <c r="U371" i="5"/>
  <c r="S371" i="5"/>
  <c r="O371" i="5"/>
  <c r="V371" i="5"/>
  <c r="T371" i="5"/>
  <c r="P371" i="5"/>
  <c r="R371" i="5" s="1"/>
  <c r="W373" i="5"/>
  <c r="U373" i="5"/>
  <c r="S373" i="5"/>
  <c r="O373" i="5"/>
  <c r="V373" i="5"/>
  <c r="T373" i="5"/>
  <c r="P373" i="5"/>
  <c r="R373" i="5" s="1"/>
  <c r="W375" i="5"/>
  <c r="U375" i="5"/>
  <c r="S375" i="5"/>
  <c r="O375" i="5"/>
  <c r="V375" i="5"/>
  <c r="T375" i="5"/>
  <c r="P375" i="5"/>
  <c r="R375" i="5" s="1"/>
  <c r="W377" i="5"/>
  <c r="U377" i="5"/>
  <c r="S377" i="5"/>
  <c r="O377" i="5"/>
  <c r="V377" i="5"/>
  <c r="T377" i="5"/>
  <c r="P377" i="5"/>
  <c r="R377" i="5" s="1"/>
  <c r="W379" i="5"/>
  <c r="U379" i="5"/>
  <c r="S379" i="5"/>
  <c r="O379" i="5"/>
  <c r="V379" i="5"/>
  <c r="T379" i="5"/>
  <c r="P379" i="5"/>
  <c r="R379" i="5" s="1"/>
  <c r="W381" i="5"/>
  <c r="U381" i="5"/>
  <c r="S381" i="5"/>
  <c r="O381" i="5"/>
  <c r="V381" i="5"/>
  <c r="T381" i="5"/>
  <c r="P381" i="5"/>
  <c r="R381" i="5" s="1"/>
  <c r="W383" i="5"/>
  <c r="U383" i="5"/>
  <c r="S383" i="5"/>
  <c r="O383" i="5"/>
  <c r="V383" i="5"/>
  <c r="T383" i="5"/>
  <c r="P383" i="5"/>
  <c r="R383" i="5" s="1"/>
  <c r="W385" i="5"/>
  <c r="U385" i="5"/>
  <c r="S385" i="5"/>
  <c r="O385" i="5"/>
  <c r="V385" i="5"/>
  <c r="T385" i="5"/>
  <c r="P385" i="5"/>
  <c r="R385" i="5" s="1"/>
  <c r="W387" i="5"/>
  <c r="U387" i="5"/>
  <c r="S387" i="5"/>
  <c r="O387" i="5"/>
  <c r="V387" i="5"/>
  <c r="T387" i="5"/>
  <c r="P387" i="5"/>
  <c r="R387" i="5" s="1"/>
  <c r="W389" i="5"/>
  <c r="U389" i="5"/>
  <c r="S389" i="5"/>
  <c r="O389" i="5"/>
  <c r="V389" i="5"/>
  <c r="T389" i="5"/>
  <c r="P389" i="5"/>
  <c r="R389" i="5" s="1"/>
  <c r="W391" i="5"/>
  <c r="U391" i="5"/>
  <c r="S391" i="5"/>
  <c r="O391" i="5"/>
  <c r="V391" i="5"/>
  <c r="T391" i="5"/>
  <c r="P391" i="5"/>
  <c r="R391" i="5" s="1"/>
  <c r="W393" i="5"/>
  <c r="U393" i="5"/>
  <c r="S393" i="5"/>
  <c r="O393" i="5"/>
  <c r="V393" i="5"/>
  <c r="T393" i="5"/>
  <c r="P393" i="5"/>
  <c r="R393" i="5" s="1"/>
  <c r="W395" i="5"/>
  <c r="U395" i="5"/>
  <c r="S395" i="5"/>
  <c r="O395" i="5"/>
  <c r="V395" i="5"/>
  <c r="T395" i="5"/>
  <c r="P395" i="5"/>
  <c r="R395" i="5" s="1"/>
  <c r="W397" i="5"/>
  <c r="U397" i="5"/>
  <c r="S397" i="5"/>
  <c r="O397" i="5"/>
  <c r="V397" i="5"/>
  <c r="T397" i="5"/>
  <c r="P397" i="5"/>
  <c r="R397" i="5" s="1"/>
  <c r="W399" i="5"/>
  <c r="U399" i="5"/>
  <c r="S399" i="5"/>
  <c r="O399" i="5"/>
  <c r="V399" i="5"/>
  <c r="T399" i="5"/>
  <c r="P399" i="5"/>
  <c r="R399" i="5" s="1"/>
  <c r="W401" i="5"/>
  <c r="U401" i="5"/>
  <c r="S401" i="5"/>
  <c r="O401" i="5"/>
  <c r="V401" i="5"/>
  <c r="T401" i="5"/>
  <c r="P401" i="5"/>
  <c r="R401" i="5" s="1"/>
  <c r="W403" i="5"/>
  <c r="U403" i="5"/>
  <c r="S403" i="5"/>
  <c r="O403" i="5"/>
  <c r="V403" i="5"/>
  <c r="T403" i="5"/>
  <c r="P403" i="5"/>
  <c r="R403" i="5" s="1"/>
  <c r="W405" i="5"/>
  <c r="U405" i="5"/>
  <c r="S405" i="5"/>
  <c r="O405" i="5"/>
  <c r="V405" i="5"/>
  <c r="T405" i="5"/>
  <c r="P405" i="5"/>
  <c r="R405" i="5" s="1"/>
  <c r="W407" i="5"/>
  <c r="U407" i="5"/>
  <c r="S407" i="5"/>
  <c r="O407" i="5"/>
  <c r="V407" i="5"/>
  <c r="T407" i="5"/>
  <c r="P407" i="5"/>
  <c r="R407" i="5" s="1"/>
  <c r="W409" i="5"/>
  <c r="U409" i="5"/>
  <c r="S409" i="5"/>
  <c r="O409" i="5"/>
  <c r="V409" i="5"/>
  <c r="T409" i="5"/>
  <c r="P409" i="5"/>
  <c r="R409" i="5" s="1"/>
  <c r="W411" i="5"/>
  <c r="U411" i="5"/>
  <c r="S411" i="5"/>
  <c r="O411" i="5"/>
  <c r="V411" i="5"/>
  <c r="T411" i="5"/>
  <c r="P411" i="5"/>
  <c r="R411" i="5" s="1"/>
  <c r="W413" i="5"/>
  <c r="U413" i="5"/>
  <c r="S413" i="5"/>
  <c r="O413" i="5"/>
  <c r="V413" i="5"/>
  <c r="T413" i="5"/>
  <c r="P413" i="5"/>
  <c r="R413" i="5" s="1"/>
  <c r="W415" i="5"/>
  <c r="U415" i="5"/>
  <c r="S415" i="5"/>
  <c r="O415" i="5"/>
  <c r="V415" i="5"/>
  <c r="T415" i="5"/>
  <c r="P415" i="5"/>
  <c r="R415" i="5" s="1"/>
  <c r="W417" i="5"/>
  <c r="U417" i="5"/>
  <c r="S417" i="5"/>
  <c r="O417" i="5"/>
  <c r="V417" i="5"/>
  <c r="T417" i="5"/>
  <c r="P417" i="5"/>
  <c r="R417" i="5" s="1"/>
  <c r="W419" i="5"/>
  <c r="U419" i="5"/>
  <c r="S419" i="5"/>
  <c r="O419" i="5"/>
  <c r="V419" i="5"/>
  <c r="T419" i="5"/>
  <c r="P419" i="5"/>
  <c r="R419" i="5" s="1"/>
  <c r="W421" i="5"/>
  <c r="U421" i="5"/>
  <c r="S421" i="5"/>
  <c r="O421" i="5"/>
  <c r="V421" i="5"/>
  <c r="T421" i="5"/>
  <c r="P421" i="5"/>
  <c r="R421" i="5" s="1"/>
  <c r="W423" i="5"/>
  <c r="U423" i="5"/>
  <c r="S423" i="5"/>
  <c r="O423" i="5"/>
  <c r="V423" i="5"/>
  <c r="T423" i="5"/>
  <c r="P423" i="5"/>
  <c r="R423" i="5" s="1"/>
  <c r="W425" i="5"/>
  <c r="U425" i="5"/>
  <c r="S425" i="5"/>
  <c r="O425" i="5"/>
  <c r="V425" i="5"/>
  <c r="T425" i="5"/>
  <c r="P425" i="5"/>
  <c r="R425" i="5" s="1"/>
  <c r="W427" i="5"/>
  <c r="U427" i="5"/>
  <c r="S427" i="5"/>
  <c r="O427" i="5"/>
  <c r="V427" i="5"/>
  <c r="T427" i="5"/>
  <c r="P427" i="5"/>
  <c r="R427" i="5" s="1"/>
  <c r="W429" i="5"/>
  <c r="U429" i="5"/>
  <c r="S429" i="5"/>
  <c r="O429" i="5"/>
  <c r="V429" i="5"/>
  <c r="T429" i="5"/>
  <c r="P429" i="5"/>
  <c r="R429" i="5" s="1"/>
  <c r="W431" i="5"/>
  <c r="U431" i="5"/>
  <c r="S431" i="5"/>
  <c r="O431" i="5"/>
  <c r="V431" i="5"/>
  <c r="T431" i="5"/>
  <c r="P431" i="5"/>
  <c r="R431" i="5" s="1"/>
  <c r="W433" i="5"/>
  <c r="U433" i="5"/>
  <c r="S433" i="5"/>
  <c r="O433" i="5"/>
  <c r="V433" i="5"/>
  <c r="T433" i="5"/>
  <c r="P433" i="5"/>
  <c r="R433" i="5" s="1"/>
  <c r="W435" i="5"/>
  <c r="U435" i="5"/>
  <c r="S435" i="5"/>
  <c r="O435" i="5"/>
  <c r="V435" i="5"/>
  <c r="T435" i="5"/>
  <c r="P435" i="5"/>
  <c r="R435" i="5" s="1"/>
  <c r="W437" i="5"/>
  <c r="U437" i="5"/>
  <c r="S437" i="5"/>
  <c r="O437" i="5"/>
  <c r="V437" i="5"/>
  <c r="T437" i="5"/>
  <c r="P437" i="5"/>
  <c r="R437" i="5" s="1"/>
  <c r="W439" i="5"/>
  <c r="U439" i="5"/>
  <c r="S439" i="5"/>
  <c r="O439" i="5"/>
  <c r="V439" i="5"/>
  <c r="T439" i="5"/>
  <c r="P439" i="5"/>
  <c r="R439" i="5" s="1"/>
  <c r="W441" i="5"/>
  <c r="U441" i="5"/>
  <c r="S441" i="5"/>
  <c r="O441" i="5"/>
  <c r="V441" i="5"/>
  <c r="T441" i="5"/>
  <c r="P441" i="5"/>
  <c r="R441" i="5" s="1"/>
  <c r="W443" i="5"/>
  <c r="U443" i="5"/>
  <c r="S443" i="5"/>
  <c r="O443" i="5"/>
  <c r="V443" i="5"/>
  <c r="T443" i="5"/>
  <c r="P443" i="5"/>
  <c r="R443" i="5" s="1"/>
  <c r="W445" i="5"/>
  <c r="U445" i="5"/>
  <c r="S445" i="5"/>
  <c r="O445" i="5"/>
  <c r="V445" i="5"/>
  <c r="T445" i="5"/>
  <c r="P445" i="5"/>
  <c r="R445" i="5" s="1"/>
  <c r="W447" i="5"/>
  <c r="U447" i="5"/>
  <c r="S447" i="5"/>
  <c r="O447" i="5"/>
  <c r="V447" i="5"/>
  <c r="T447" i="5"/>
  <c r="P447" i="5"/>
  <c r="R447" i="5" s="1"/>
  <c r="W449" i="5"/>
  <c r="U449" i="5"/>
  <c r="S449" i="5"/>
  <c r="O449" i="5"/>
  <c r="V449" i="5"/>
  <c r="T449" i="5"/>
  <c r="P449" i="5"/>
  <c r="R449" i="5" s="1"/>
  <c r="W451" i="5"/>
  <c r="U451" i="5"/>
  <c r="S451" i="5"/>
  <c r="O451" i="5"/>
  <c r="V451" i="5"/>
  <c r="T451" i="5"/>
  <c r="P451" i="5"/>
  <c r="R451" i="5" s="1"/>
  <c r="W453" i="5"/>
  <c r="U453" i="5"/>
  <c r="S453" i="5"/>
  <c r="O453" i="5"/>
  <c r="V453" i="5"/>
  <c r="T453" i="5"/>
  <c r="P453" i="5"/>
  <c r="R453" i="5" s="1"/>
  <c r="W455" i="5"/>
  <c r="U455" i="5"/>
  <c r="S455" i="5"/>
  <c r="O455" i="5"/>
  <c r="V455" i="5"/>
  <c r="T455" i="5"/>
  <c r="P455" i="5"/>
  <c r="R455" i="5" s="1"/>
  <c r="W457" i="5"/>
  <c r="U457" i="5"/>
  <c r="S457" i="5"/>
  <c r="O457" i="5"/>
  <c r="V457" i="5"/>
  <c r="T457" i="5"/>
  <c r="P457" i="5"/>
  <c r="R457" i="5" s="1"/>
  <c r="W459" i="5"/>
  <c r="U459" i="5"/>
  <c r="S459" i="5"/>
  <c r="O459" i="5"/>
  <c r="V459" i="5"/>
  <c r="T459" i="5"/>
  <c r="P459" i="5"/>
  <c r="R459" i="5" s="1"/>
  <c r="W461" i="5"/>
  <c r="U461" i="5"/>
  <c r="S461" i="5"/>
  <c r="O461" i="5"/>
  <c r="V461" i="5"/>
  <c r="T461" i="5"/>
  <c r="P461" i="5"/>
  <c r="R461" i="5" s="1"/>
  <c r="W463" i="5"/>
  <c r="U463" i="5"/>
  <c r="S463" i="5"/>
  <c r="O463" i="5"/>
  <c r="V463" i="5"/>
  <c r="T463" i="5"/>
  <c r="P463" i="5"/>
  <c r="R463" i="5" s="1"/>
  <c r="W465" i="5"/>
  <c r="U465" i="5"/>
  <c r="S465" i="5"/>
  <c r="O465" i="5"/>
  <c r="V465" i="5"/>
  <c r="T465" i="5"/>
  <c r="P465" i="5"/>
  <c r="R465" i="5" s="1"/>
  <c r="AB6" i="5"/>
  <c r="N36" i="5"/>
  <c r="N38" i="5"/>
  <c r="N40" i="5"/>
  <c r="N42" i="5"/>
  <c r="N44" i="5"/>
  <c r="N46" i="5"/>
  <c r="N48" i="5"/>
  <c r="N50" i="5"/>
  <c r="N52" i="5"/>
  <c r="N54" i="5"/>
  <c r="N56" i="5"/>
  <c r="N58" i="5"/>
  <c r="N60" i="5"/>
  <c r="N62" i="5"/>
  <c r="N64" i="5"/>
  <c r="N66" i="5"/>
  <c r="N68" i="5"/>
  <c r="N70" i="5"/>
  <c r="N72" i="5"/>
  <c r="N74" i="5"/>
  <c r="N76" i="5"/>
  <c r="N78" i="5"/>
  <c r="N80" i="5"/>
  <c r="N82" i="5"/>
  <c r="N84" i="5"/>
  <c r="N86" i="5"/>
  <c r="N88" i="5"/>
  <c r="N90" i="5"/>
  <c r="N92" i="5"/>
  <c r="N94" i="5"/>
  <c r="N96" i="5"/>
  <c r="N98" i="5"/>
  <c r="N100" i="5"/>
  <c r="N102" i="5"/>
  <c r="N104" i="5"/>
  <c r="N106" i="5"/>
  <c r="N108" i="5"/>
  <c r="N110" i="5"/>
  <c r="N112" i="5"/>
  <c r="N114" i="5"/>
  <c r="N116" i="5"/>
  <c r="N118" i="5"/>
  <c r="N120" i="5"/>
  <c r="N122" i="5"/>
  <c r="N124" i="5"/>
  <c r="N126" i="5"/>
  <c r="N128" i="5"/>
  <c r="N130" i="5"/>
  <c r="N132" i="5"/>
  <c r="N134" i="5"/>
  <c r="N136" i="5"/>
  <c r="N138" i="5"/>
  <c r="N140" i="5"/>
  <c r="N142" i="5"/>
  <c r="N144" i="5"/>
  <c r="N146" i="5"/>
  <c r="N148" i="5"/>
  <c r="N150" i="5"/>
  <c r="N152" i="5"/>
  <c r="N154" i="5"/>
  <c r="N156" i="5"/>
  <c r="N158" i="5"/>
  <c r="N160" i="5"/>
  <c r="N162" i="5"/>
  <c r="N164" i="5"/>
  <c r="N166" i="5"/>
  <c r="N168" i="5"/>
  <c r="N170" i="5"/>
  <c r="N172" i="5"/>
  <c r="N174" i="5"/>
  <c r="N176" i="5"/>
  <c r="N178" i="5"/>
  <c r="N180" i="5"/>
  <c r="N182" i="5"/>
  <c r="N184" i="5"/>
  <c r="N186" i="5"/>
  <c r="N188" i="5"/>
  <c r="N190" i="5"/>
  <c r="N192" i="5"/>
  <c r="N194" i="5"/>
  <c r="N196" i="5"/>
  <c r="N198" i="5"/>
  <c r="N200" i="5"/>
  <c r="N202" i="5"/>
  <c r="N204" i="5"/>
  <c r="N206" i="5"/>
  <c r="N208" i="5"/>
  <c r="N210" i="5"/>
  <c r="N212" i="5"/>
  <c r="N214" i="5"/>
  <c r="N216" i="5"/>
  <c r="N218" i="5"/>
  <c r="N220" i="5"/>
  <c r="N222" i="5"/>
  <c r="N224" i="5"/>
  <c r="N226" i="5"/>
  <c r="N228" i="5"/>
  <c r="N230" i="5"/>
  <c r="N232" i="5"/>
  <c r="N234" i="5"/>
  <c r="N236" i="5"/>
  <c r="N238" i="5"/>
  <c r="N240" i="5"/>
  <c r="N242" i="5"/>
  <c r="N244" i="5"/>
  <c r="N246" i="5"/>
  <c r="N248" i="5"/>
  <c r="N250" i="5"/>
  <c r="N252" i="5"/>
  <c r="N254" i="5"/>
  <c r="N256" i="5"/>
  <c r="N258" i="5"/>
  <c r="N260" i="5"/>
  <c r="N262" i="5"/>
  <c r="N264" i="5"/>
  <c r="N266" i="5"/>
  <c r="N268" i="5"/>
  <c r="N270" i="5"/>
  <c r="N272" i="5"/>
  <c r="N274" i="5"/>
  <c r="N276" i="5"/>
  <c r="N278" i="5"/>
  <c r="N280" i="5"/>
  <c r="N282" i="5"/>
  <c r="N284" i="5"/>
  <c r="N286" i="5"/>
  <c r="N288" i="5"/>
  <c r="N290" i="5"/>
  <c r="N292" i="5"/>
  <c r="N294" i="5"/>
  <c r="N296" i="5"/>
  <c r="N298" i="5"/>
  <c r="N300" i="5"/>
  <c r="N302" i="5"/>
  <c r="N304" i="5"/>
  <c r="N306" i="5"/>
  <c r="N308" i="5"/>
  <c r="N310" i="5"/>
  <c r="N312" i="5"/>
  <c r="N314" i="5"/>
  <c r="N316" i="5"/>
  <c r="N318" i="5"/>
  <c r="N320" i="5"/>
  <c r="N322" i="5"/>
  <c r="N324" i="5"/>
  <c r="N326" i="5"/>
  <c r="N328" i="5"/>
  <c r="N330" i="5"/>
  <c r="N332" i="5"/>
  <c r="N334" i="5"/>
  <c r="N336" i="5"/>
  <c r="N338" i="5"/>
  <c r="N340" i="5"/>
  <c r="N342" i="5"/>
  <c r="N344" i="5"/>
  <c r="N346" i="5"/>
  <c r="N348" i="5"/>
  <c r="N350" i="5"/>
  <c r="N352" i="5"/>
  <c r="N354" i="5"/>
  <c r="N356" i="5"/>
  <c r="N358" i="5"/>
  <c r="N360" i="5"/>
  <c r="N362" i="5"/>
  <c r="N364" i="5"/>
  <c r="N366" i="5"/>
  <c r="N368" i="5"/>
  <c r="N370" i="5"/>
  <c r="N372" i="5"/>
  <c r="N374" i="5"/>
  <c r="N376" i="5"/>
  <c r="N378" i="5"/>
  <c r="N380" i="5"/>
  <c r="N382" i="5"/>
  <c r="N384" i="5"/>
  <c r="N386" i="5"/>
  <c r="N388" i="5"/>
  <c r="N390" i="5"/>
  <c r="N392" i="5"/>
  <c r="N394" i="5"/>
  <c r="N396" i="5"/>
  <c r="N398" i="5"/>
  <c r="N400" i="5"/>
  <c r="N402" i="5"/>
  <c r="N404" i="5"/>
  <c r="N406" i="5"/>
  <c r="N408" i="5"/>
  <c r="N410" i="5"/>
  <c r="N412" i="5"/>
  <c r="N414" i="5"/>
  <c r="N416" i="5"/>
  <c r="N418" i="5"/>
  <c r="N420" i="5"/>
  <c r="N422" i="5"/>
  <c r="N424" i="5"/>
  <c r="N426" i="5"/>
  <c r="N428" i="5"/>
  <c r="N430" i="5"/>
  <c r="N432" i="5"/>
  <c r="N434" i="5"/>
  <c r="N436" i="5"/>
  <c r="N438" i="5"/>
  <c r="N440" i="5"/>
  <c r="N442" i="5"/>
  <c r="N444" i="5"/>
  <c r="N446" i="5"/>
  <c r="N448" i="5"/>
  <c r="N450" i="5"/>
  <c r="N452" i="5"/>
  <c r="N454" i="5"/>
  <c r="N456" i="5"/>
  <c r="N458" i="5"/>
  <c r="N460" i="5"/>
  <c r="N462" i="5"/>
  <c r="N464" i="5"/>
  <c r="N466" i="5"/>
  <c r="W468" i="5"/>
  <c r="U468" i="5"/>
  <c r="S468" i="5"/>
  <c r="O468" i="5"/>
  <c r="V468" i="5"/>
  <c r="T468" i="5"/>
  <c r="P468" i="5"/>
  <c r="R468" i="5" s="1"/>
  <c r="W470" i="5"/>
  <c r="U470" i="5"/>
  <c r="S470" i="5"/>
  <c r="O470" i="5"/>
  <c r="V470" i="5"/>
  <c r="T470" i="5"/>
  <c r="P470" i="5"/>
  <c r="R470" i="5" s="1"/>
  <c r="W472" i="5"/>
  <c r="U472" i="5"/>
  <c r="S472" i="5"/>
  <c r="O472" i="5"/>
  <c r="V472" i="5"/>
  <c r="T472" i="5"/>
  <c r="P472" i="5"/>
  <c r="R472" i="5" s="1"/>
  <c r="W474" i="5"/>
  <c r="U474" i="5"/>
  <c r="S474" i="5"/>
  <c r="O474" i="5"/>
  <c r="V474" i="5"/>
  <c r="T474" i="5"/>
  <c r="P474" i="5"/>
  <c r="R474" i="5" s="1"/>
  <c r="W476" i="5"/>
  <c r="U476" i="5"/>
  <c r="S476" i="5"/>
  <c r="O476" i="5"/>
  <c r="V476" i="5"/>
  <c r="T476" i="5"/>
  <c r="P476" i="5"/>
  <c r="R476" i="5" s="1"/>
  <c r="W478" i="5"/>
  <c r="U478" i="5"/>
  <c r="S478" i="5"/>
  <c r="O478" i="5"/>
  <c r="V478" i="5"/>
  <c r="T478" i="5"/>
  <c r="P478" i="5"/>
  <c r="R478" i="5" s="1"/>
  <c r="W480" i="5"/>
  <c r="U480" i="5"/>
  <c r="S480" i="5"/>
  <c r="O480" i="5"/>
  <c r="V480" i="5"/>
  <c r="T480" i="5"/>
  <c r="P480" i="5"/>
  <c r="R480" i="5" s="1"/>
  <c r="W482" i="5"/>
  <c r="U482" i="5"/>
  <c r="S482" i="5"/>
  <c r="O482" i="5"/>
  <c r="V482" i="5"/>
  <c r="T482" i="5"/>
  <c r="P482" i="5"/>
  <c r="R482" i="5" s="1"/>
  <c r="W484" i="5"/>
  <c r="U484" i="5"/>
  <c r="S484" i="5"/>
  <c r="O484" i="5"/>
  <c r="V484" i="5"/>
  <c r="T484" i="5"/>
  <c r="P484" i="5"/>
  <c r="R484" i="5" s="1"/>
  <c r="W486" i="5"/>
  <c r="U486" i="5"/>
  <c r="S486" i="5"/>
  <c r="O486" i="5"/>
  <c r="V486" i="5"/>
  <c r="T486" i="5"/>
  <c r="P486" i="5"/>
  <c r="R486" i="5" s="1"/>
  <c r="W488" i="5"/>
  <c r="U488" i="5"/>
  <c r="S488" i="5"/>
  <c r="O488" i="5"/>
  <c r="V488" i="5"/>
  <c r="T488" i="5"/>
  <c r="P488" i="5"/>
  <c r="R488" i="5" s="1"/>
  <c r="W490" i="5"/>
  <c r="U490" i="5"/>
  <c r="S490" i="5"/>
  <c r="O490" i="5"/>
  <c r="V490" i="5"/>
  <c r="T490" i="5"/>
  <c r="P490" i="5"/>
  <c r="R490" i="5" s="1"/>
  <c r="W492" i="5"/>
  <c r="U492" i="5"/>
  <c r="S492" i="5"/>
  <c r="O492" i="5"/>
  <c r="V492" i="5"/>
  <c r="T492" i="5"/>
  <c r="P492" i="5"/>
  <c r="R492" i="5" s="1"/>
  <c r="W494" i="5"/>
  <c r="U494" i="5"/>
  <c r="S494" i="5"/>
  <c r="O494" i="5"/>
  <c r="V494" i="5"/>
  <c r="T494" i="5"/>
  <c r="P494" i="5"/>
  <c r="R494" i="5" s="1"/>
  <c r="W496" i="5"/>
  <c r="U496" i="5"/>
  <c r="S496" i="5"/>
  <c r="O496" i="5"/>
  <c r="V496" i="5"/>
  <c r="T496" i="5"/>
  <c r="P496" i="5"/>
  <c r="R496" i="5" s="1"/>
  <c r="W498" i="5"/>
  <c r="U498" i="5"/>
  <c r="S498" i="5"/>
  <c r="O498" i="5"/>
  <c r="V498" i="5"/>
  <c r="T498" i="5"/>
  <c r="P498" i="5"/>
  <c r="R498" i="5" s="1"/>
  <c r="W500" i="5"/>
  <c r="U500" i="5"/>
  <c r="S500" i="5"/>
  <c r="O500" i="5"/>
  <c r="V500" i="5"/>
  <c r="T500" i="5"/>
  <c r="P500" i="5"/>
  <c r="R500" i="5" s="1"/>
  <c r="W502" i="5"/>
  <c r="U502" i="5"/>
  <c r="S502" i="5"/>
  <c r="O502" i="5"/>
  <c r="V502" i="5"/>
  <c r="T502" i="5"/>
  <c r="P502" i="5"/>
  <c r="R502" i="5" s="1"/>
  <c r="W504" i="5"/>
  <c r="U504" i="5"/>
  <c r="S504" i="5"/>
  <c r="O504" i="5"/>
  <c r="V504" i="5"/>
  <c r="T504" i="5"/>
  <c r="P504" i="5"/>
  <c r="R504" i="5" s="1"/>
  <c r="W506" i="5"/>
  <c r="U506" i="5"/>
  <c r="S506" i="5"/>
  <c r="O506" i="5"/>
  <c r="V506" i="5"/>
  <c r="T506" i="5"/>
  <c r="P506" i="5"/>
  <c r="R506" i="5" s="1"/>
  <c r="W508" i="5"/>
  <c r="U508" i="5"/>
  <c r="S508" i="5"/>
  <c r="O508" i="5"/>
  <c r="V508" i="5"/>
  <c r="T508" i="5"/>
  <c r="P508" i="5"/>
  <c r="R508" i="5" s="1"/>
  <c r="W510" i="5"/>
  <c r="U510" i="5"/>
  <c r="S510" i="5"/>
  <c r="O510" i="5"/>
  <c r="V510" i="5"/>
  <c r="T510" i="5"/>
  <c r="P510" i="5"/>
  <c r="R510" i="5" s="1"/>
  <c r="W512" i="5"/>
  <c r="U512" i="5"/>
  <c r="S512" i="5"/>
  <c r="O512" i="5"/>
  <c r="V512" i="5"/>
  <c r="T512" i="5"/>
  <c r="P512" i="5"/>
  <c r="R512" i="5" s="1"/>
  <c r="W514" i="5"/>
  <c r="U514" i="5"/>
  <c r="S514" i="5"/>
  <c r="O514" i="5"/>
  <c r="V514" i="5"/>
  <c r="T514" i="5"/>
  <c r="P514" i="5"/>
  <c r="R514" i="5" s="1"/>
  <c r="W516" i="5"/>
  <c r="U516" i="5"/>
  <c r="S516" i="5"/>
  <c r="O516" i="5"/>
  <c r="V516" i="5"/>
  <c r="T516" i="5"/>
  <c r="P516" i="5"/>
  <c r="R516" i="5" s="1"/>
  <c r="W518" i="5"/>
  <c r="U518" i="5"/>
  <c r="S518" i="5"/>
  <c r="O518" i="5"/>
  <c r="V518" i="5"/>
  <c r="T518" i="5"/>
  <c r="P518" i="5"/>
  <c r="R518" i="5" s="1"/>
  <c r="W520" i="5"/>
  <c r="U520" i="5"/>
  <c r="S520" i="5"/>
  <c r="O520" i="5"/>
  <c r="V520" i="5"/>
  <c r="T520" i="5"/>
  <c r="P520" i="5"/>
  <c r="R520" i="5" s="1"/>
  <c r="W522" i="5"/>
  <c r="U522" i="5"/>
  <c r="S522" i="5"/>
  <c r="O522" i="5"/>
  <c r="V522" i="5"/>
  <c r="T522" i="5"/>
  <c r="P522" i="5"/>
  <c r="R522" i="5" s="1"/>
  <c r="W524" i="5"/>
  <c r="U524" i="5"/>
  <c r="S524" i="5"/>
  <c r="O524" i="5"/>
  <c r="V524" i="5"/>
  <c r="T524" i="5"/>
  <c r="P524" i="5"/>
  <c r="R524" i="5" s="1"/>
  <c r="W526" i="5"/>
  <c r="U526" i="5"/>
  <c r="S526" i="5"/>
  <c r="O526" i="5"/>
  <c r="V526" i="5"/>
  <c r="T526" i="5"/>
  <c r="P526" i="5"/>
  <c r="R526" i="5" s="1"/>
  <c r="W528" i="5"/>
  <c r="U528" i="5"/>
  <c r="S528" i="5"/>
  <c r="O528" i="5"/>
  <c r="V528" i="5"/>
  <c r="T528" i="5"/>
  <c r="P528" i="5"/>
  <c r="R528" i="5" s="1"/>
  <c r="W530" i="5"/>
  <c r="U530" i="5"/>
  <c r="S530" i="5"/>
  <c r="O530" i="5"/>
  <c r="V530" i="5"/>
  <c r="T530" i="5"/>
  <c r="P530" i="5"/>
  <c r="R530" i="5" s="1"/>
  <c r="W532" i="5"/>
  <c r="U532" i="5"/>
  <c r="S532" i="5"/>
  <c r="O532" i="5"/>
  <c r="V532" i="5"/>
  <c r="T532" i="5"/>
  <c r="P532" i="5"/>
  <c r="R532" i="5" s="1"/>
  <c r="W534" i="5"/>
  <c r="U534" i="5"/>
  <c r="S534" i="5"/>
  <c r="O534" i="5"/>
  <c r="V534" i="5"/>
  <c r="T534" i="5"/>
  <c r="P534" i="5"/>
  <c r="R534" i="5" s="1"/>
  <c r="W536" i="5"/>
  <c r="U536" i="5"/>
  <c r="S536" i="5"/>
  <c r="O536" i="5"/>
  <c r="V536" i="5"/>
  <c r="T536" i="5"/>
  <c r="P536" i="5"/>
  <c r="R536" i="5" s="1"/>
  <c r="W538" i="5"/>
  <c r="U538" i="5"/>
  <c r="S538" i="5"/>
  <c r="O538" i="5"/>
  <c r="V538" i="5"/>
  <c r="T538" i="5"/>
  <c r="P538" i="5"/>
  <c r="R538" i="5" s="1"/>
  <c r="W540" i="5"/>
  <c r="U540" i="5"/>
  <c r="S540" i="5"/>
  <c r="O540" i="5"/>
  <c r="V540" i="5"/>
  <c r="T540" i="5"/>
  <c r="P540" i="5"/>
  <c r="R540" i="5" s="1"/>
  <c r="W542" i="5"/>
  <c r="U542" i="5"/>
  <c r="S542" i="5"/>
  <c r="O542" i="5"/>
  <c r="V542" i="5"/>
  <c r="T542" i="5"/>
  <c r="P542" i="5"/>
  <c r="R542" i="5" s="1"/>
  <c r="W544" i="5"/>
  <c r="U544" i="5"/>
  <c r="S544" i="5"/>
  <c r="O544" i="5"/>
  <c r="V544" i="5"/>
  <c r="T544" i="5"/>
  <c r="P544" i="5"/>
  <c r="R544" i="5" s="1"/>
  <c r="W546" i="5"/>
  <c r="U546" i="5"/>
  <c r="S546" i="5"/>
  <c r="O546" i="5"/>
  <c r="V546" i="5"/>
  <c r="T546" i="5"/>
  <c r="P546" i="5"/>
  <c r="R546" i="5" s="1"/>
  <c r="W548" i="5"/>
  <c r="U548" i="5"/>
  <c r="S548" i="5"/>
  <c r="O548" i="5"/>
  <c r="V548" i="5"/>
  <c r="T548" i="5"/>
  <c r="P548" i="5"/>
  <c r="R548" i="5" s="1"/>
  <c r="W550" i="5"/>
  <c r="U550" i="5"/>
  <c r="S550" i="5"/>
  <c r="O550" i="5"/>
  <c r="V550" i="5"/>
  <c r="T550" i="5"/>
  <c r="P550" i="5"/>
  <c r="R550" i="5" s="1"/>
  <c r="W552" i="5"/>
  <c r="U552" i="5"/>
  <c r="S552" i="5"/>
  <c r="O552" i="5"/>
  <c r="V552" i="5"/>
  <c r="T552" i="5"/>
  <c r="P552" i="5"/>
  <c r="R552" i="5" s="1"/>
  <c r="W554" i="5"/>
  <c r="U554" i="5"/>
  <c r="S554" i="5"/>
  <c r="O554" i="5"/>
  <c r="V554" i="5"/>
  <c r="T554" i="5"/>
  <c r="P554" i="5"/>
  <c r="R554" i="5" s="1"/>
  <c r="W556" i="5"/>
  <c r="U556" i="5"/>
  <c r="S556" i="5"/>
  <c r="O556" i="5"/>
  <c r="V556" i="5"/>
  <c r="T556" i="5"/>
  <c r="P556" i="5"/>
  <c r="R556" i="5" s="1"/>
  <c r="W558" i="5"/>
  <c r="U558" i="5"/>
  <c r="S558" i="5"/>
  <c r="O558" i="5"/>
  <c r="V558" i="5"/>
  <c r="T558" i="5"/>
  <c r="P558" i="5"/>
  <c r="R558" i="5" s="1"/>
  <c r="W560" i="5"/>
  <c r="U560" i="5"/>
  <c r="S560" i="5"/>
  <c r="O560" i="5"/>
  <c r="V560" i="5"/>
  <c r="T560" i="5"/>
  <c r="P560" i="5"/>
  <c r="R560" i="5" s="1"/>
  <c r="W562" i="5"/>
  <c r="U562" i="5"/>
  <c r="S562" i="5"/>
  <c r="O562" i="5"/>
  <c r="V562" i="5"/>
  <c r="T562" i="5"/>
  <c r="P562" i="5"/>
  <c r="R562" i="5" s="1"/>
  <c r="W564" i="5"/>
  <c r="U564" i="5"/>
  <c r="S564" i="5"/>
  <c r="O564" i="5"/>
  <c r="V564" i="5"/>
  <c r="T564" i="5"/>
  <c r="P564" i="5"/>
  <c r="R564" i="5" s="1"/>
  <c r="W566" i="5"/>
  <c r="U566" i="5"/>
  <c r="S566" i="5"/>
  <c r="O566" i="5"/>
  <c r="V566" i="5"/>
  <c r="T566" i="5"/>
  <c r="P566" i="5"/>
  <c r="R566" i="5" s="1"/>
  <c r="W568" i="5"/>
  <c r="U568" i="5"/>
  <c r="S568" i="5"/>
  <c r="O568" i="5"/>
  <c r="V568" i="5"/>
  <c r="T568" i="5"/>
  <c r="P568" i="5"/>
  <c r="R568" i="5" s="1"/>
  <c r="W570" i="5"/>
  <c r="U570" i="5"/>
  <c r="S570" i="5"/>
  <c r="O570" i="5"/>
  <c r="V570" i="5"/>
  <c r="T570" i="5"/>
  <c r="P570" i="5"/>
  <c r="R570" i="5" s="1"/>
  <c r="W572" i="5"/>
  <c r="U572" i="5"/>
  <c r="S572" i="5"/>
  <c r="O572" i="5"/>
  <c r="V572" i="5"/>
  <c r="T572" i="5"/>
  <c r="P572" i="5"/>
  <c r="R572" i="5" s="1"/>
  <c r="W574" i="5"/>
  <c r="U574" i="5"/>
  <c r="S574" i="5"/>
  <c r="O574" i="5"/>
  <c r="V574" i="5"/>
  <c r="T574" i="5"/>
  <c r="P574" i="5"/>
  <c r="R574" i="5" s="1"/>
  <c r="W576" i="5"/>
  <c r="U576" i="5"/>
  <c r="S576" i="5"/>
  <c r="O576" i="5"/>
  <c r="V576" i="5"/>
  <c r="T576" i="5"/>
  <c r="P576" i="5"/>
  <c r="R576" i="5" s="1"/>
  <c r="W578" i="5"/>
  <c r="U578" i="5"/>
  <c r="S578" i="5"/>
  <c r="O578" i="5"/>
  <c r="V578" i="5"/>
  <c r="T578" i="5"/>
  <c r="P578" i="5"/>
  <c r="R578" i="5" s="1"/>
  <c r="W580" i="5"/>
  <c r="U580" i="5"/>
  <c r="S580" i="5"/>
  <c r="O580" i="5"/>
  <c r="V580" i="5"/>
  <c r="T580" i="5"/>
  <c r="P580" i="5"/>
  <c r="R580" i="5" s="1"/>
  <c r="W582" i="5"/>
  <c r="U582" i="5"/>
  <c r="S582" i="5"/>
  <c r="O582" i="5"/>
  <c r="V582" i="5"/>
  <c r="T582" i="5"/>
  <c r="P582" i="5"/>
  <c r="R582" i="5" s="1"/>
  <c r="W584" i="5"/>
  <c r="U584" i="5"/>
  <c r="S584" i="5"/>
  <c r="O584" i="5"/>
  <c r="V584" i="5"/>
  <c r="T584" i="5"/>
  <c r="P584" i="5"/>
  <c r="R584" i="5" s="1"/>
  <c r="W586" i="5"/>
  <c r="U586" i="5"/>
  <c r="S586" i="5"/>
  <c r="O586" i="5"/>
  <c r="V586" i="5"/>
  <c r="T586" i="5"/>
  <c r="P586" i="5"/>
  <c r="R586" i="5" s="1"/>
  <c r="W588" i="5"/>
  <c r="U588" i="5"/>
  <c r="S588" i="5"/>
  <c r="O588" i="5"/>
  <c r="V588" i="5"/>
  <c r="T588" i="5"/>
  <c r="P588" i="5"/>
  <c r="R588" i="5" s="1"/>
  <c r="W590" i="5"/>
  <c r="U590" i="5"/>
  <c r="S590" i="5"/>
  <c r="O590" i="5"/>
  <c r="V590" i="5"/>
  <c r="T590" i="5"/>
  <c r="P590" i="5"/>
  <c r="R590" i="5" s="1"/>
  <c r="W592" i="5"/>
  <c r="U592" i="5"/>
  <c r="S592" i="5"/>
  <c r="O592" i="5"/>
  <c r="V592" i="5"/>
  <c r="T592" i="5"/>
  <c r="P592" i="5"/>
  <c r="R592" i="5" s="1"/>
  <c r="W594" i="5"/>
  <c r="U594" i="5"/>
  <c r="S594" i="5"/>
  <c r="O594" i="5"/>
  <c r="V594" i="5"/>
  <c r="T594" i="5"/>
  <c r="P594" i="5"/>
  <c r="R594" i="5" s="1"/>
  <c r="W596" i="5"/>
  <c r="U596" i="5"/>
  <c r="S596" i="5"/>
  <c r="O596" i="5"/>
  <c r="V596" i="5"/>
  <c r="T596" i="5"/>
  <c r="P596" i="5"/>
  <c r="R596" i="5" s="1"/>
  <c r="W598" i="5"/>
  <c r="U598" i="5"/>
  <c r="S598" i="5"/>
  <c r="O598" i="5"/>
  <c r="V598" i="5"/>
  <c r="T598" i="5"/>
  <c r="P598" i="5"/>
  <c r="R598" i="5" s="1"/>
  <c r="W600" i="5"/>
  <c r="U600" i="5"/>
  <c r="S600" i="5"/>
  <c r="O600" i="5"/>
  <c r="V600" i="5"/>
  <c r="T600" i="5"/>
  <c r="P600" i="5"/>
  <c r="R600" i="5" s="1"/>
  <c r="W602" i="5"/>
  <c r="U602" i="5"/>
  <c r="S602" i="5"/>
  <c r="O602" i="5"/>
  <c r="V602" i="5"/>
  <c r="T602" i="5"/>
  <c r="P602" i="5"/>
  <c r="R602" i="5" s="1"/>
  <c r="W604" i="5"/>
  <c r="U604" i="5"/>
  <c r="S604" i="5"/>
  <c r="O604" i="5"/>
  <c r="V604" i="5"/>
  <c r="T604" i="5"/>
  <c r="P604" i="5"/>
  <c r="R604" i="5" s="1"/>
  <c r="W606" i="5"/>
  <c r="U606" i="5"/>
  <c r="S606" i="5"/>
  <c r="O606" i="5"/>
  <c r="V606" i="5"/>
  <c r="T606" i="5"/>
  <c r="P606" i="5"/>
  <c r="R606" i="5" s="1"/>
  <c r="W608" i="5"/>
  <c r="U608" i="5"/>
  <c r="S608" i="5"/>
  <c r="O608" i="5"/>
  <c r="V608" i="5"/>
  <c r="T608" i="5"/>
  <c r="P608" i="5"/>
  <c r="R608" i="5" s="1"/>
  <c r="W610" i="5"/>
  <c r="U610" i="5"/>
  <c r="S610" i="5"/>
  <c r="O610" i="5"/>
  <c r="V610" i="5"/>
  <c r="T610" i="5"/>
  <c r="P610" i="5"/>
  <c r="R610" i="5" s="1"/>
  <c r="W612" i="5"/>
  <c r="U612" i="5"/>
  <c r="S612" i="5"/>
  <c r="O612" i="5"/>
  <c r="V612" i="5"/>
  <c r="T612" i="5"/>
  <c r="P612" i="5"/>
  <c r="R612" i="5" s="1"/>
  <c r="W614" i="5"/>
  <c r="U614" i="5"/>
  <c r="S614" i="5"/>
  <c r="O614" i="5"/>
  <c r="V614" i="5"/>
  <c r="T614" i="5"/>
  <c r="P614" i="5"/>
  <c r="R614" i="5" s="1"/>
  <c r="W616" i="5"/>
  <c r="U616" i="5"/>
  <c r="S616" i="5"/>
  <c r="O616" i="5"/>
  <c r="V616" i="5"/>
  <c r="T616" i="5"/>
  <c r="P616" i="5"/>
  <c r="R616" i="5" s="1"/>
  <c r="W618" i="5"/>
  <c r="U618" i="5"/>
  <c r="S618" i="5"/>
  <c r="O618" i="5"/>
  <c r="V618" i="5"/>
  <c r="T618" i="5"/>
  <c r="P618" i="5"/>
  <c r="R618" i="5" s="1"/>
  <c r="W620" i="5"/>
  <c r="U620" i="5"/>
  <c r="S620" i="5"/>
  <c r="O620" i="5"/>
  <c r="V620" i="5"/>
  <c r="T620" i="5"/>
  <c r="P620" i="5"/>
  <c r="R620" i="5" s="1"/>
  <c r="W622" i="5"/>
  <c r="U622" i="5"/>
  <c r="S622" i="5"/>
  <c r="O622" i="5"/>
  <c r="V622" i="5"/>
  <c r="T622" i="5"/>
  <c r="P622" i="5"/>
  <c r="R622" i="5" s="1"/>
  <c r="W624" i="5"/>
  <c r="U624" i="5"/>
  <c r="S624" i="5"/>
  <c r="O624" i="5"/>
  <c r="V624" i="5"/>
  <c r="T624" i="5"/>
  <c r="P624" i="5"/>
  <c r="R624" i="5" s="1"/>
  <c r="W626" i="5"/>
  <c r="U626" i="5"/>
  <c r="S626" i="5"/>
  <c r="O626" i="5"/>
  <c r="V626" i="5"/>
  <c r="T626" i="5"/>
  <c r="P626" i="5"/>
  <c r="R626" i="5" s="1"/>
  <c r="W628" i="5"/>
  <c r="U628" i="5"/>
  <c r="S628" i="5"/>
  <c r="O628" i="5"/>
  <c r="V628" i="5"/>
  <c r="T628" i="5"/>
  <c r="P628" i="5"/>
  <c r="R628" i="5" s="1"/>
  <c r="W630" i="5"/>
  <c r="U630" i="5"/>
  <c r="S630" i="5"/>
  <c r="O630" i="5"/>
  <c r="V630" i="5"/>
  <c r="T630" i="5"/>
  <c r="P630" i="5"/>
  <c r="R630" i="5" s="1"/>
  <c r="W632" i="5"/>
  <c r="U632" i="5"/>
  <c r="S632" i="5"/>
  <c r="O632" i="5"/>
  <c r="V632" i="5"/>
  <c r="T632" i="5"/>
  <c r="P632" i="5"/>
  <c r="R632" i="5" s="1"/>
  <c r="W634" i="5"/>
  <c r="U634" i="5"/>
  <c r="S634" i="5"/>
  <c r="O634" i="5"/>
  <c r="V634" i="5"/>
  <c r="T634" i="5"/>
  <c r="P634" i="5"/>
  <c r="R634" i="5" s="1"/>
  <c r="W636" i="5"/>
  <c r="U636" i="5"/>
  <c r="S636" i="5"/>
  <c r="O636" i="5"/>
  <c r="V636" i="5"/>
  <c r="T636" i="5"/>
  <c r="P636" i="5"/>
  <c r="R636" i="5" s="1"/>
  <c r="W638" i="5"/>
  <c r="U638" i="5"/>
  <c r="S638" i="5"/>
  <c r="O638" i="5"/>
  <c r="V638" i="5"/>
  <c r="T638" i="5"/>
  <c r="P638" i="5"/>
  <c r="R638" i="5" s="1"/>
  <c r="W640" i="5"/>
  <c r="U640" i="5"/>
  <c r="S640" i="5"/>
  <c r="O640" i="5"/>
  <c r="V640" i="5"/>
  <c r="T640" i="5"/>
  <c r="P640" i="5"/>
  <c r="R640" i="5" s="1"/>
  <c r="W642" i="5"/>
  <c r="U642" i="5"/>
  <c r="S642" i="5"/>
  <c r="O642" i="5"/>
  <c r="V642" i="5"/>
  <c r="T642" i="5"/>
  <c r="P642" i="5"/>
  <c r="R642" i="5" s="1"/>
  <c r="W644" i="5"/>
  <c r="U644" i="5"/>
  <c r="S644" i="5"/>
  <c r="O644" i="5"/>
  <c r="V644" i="5"/>
  <c r="T644" i="5"/>
  <c r="P644" i="5"/>
  <c r="R644" i="5" s="1"/>
  <c r="W646" i="5"/>
  <c r="U646" i="5"/>
  <c r="S646" i="5"/>
  <c r="O646" i="5"/>
  <c r="V646" i="5"/>
  <c r="T646" i="5"/>
  <c r="P646" i="5"/>
  <c r="R646" i="5" s="1"/>
  <c r="W648" i="5"/>
  <c r="U648" i="5"/>
  <c r="S648" i="5"/>
  <c r="O648" i="5"/>
  <c r="V648" i="5"/>
  <c r="T648" i="5"/>
  <c r="P648" i="5"/>
  <c r="R648" i="5" s="1"/>
  <c r="W650" i="5"/>
  <c r="U650" i="5"/>
  <c r="S650" i="5"/>
  <c r="O650" i="5"/>
  <c r="V650" i="5"/>
  <c r="T650" i="5"/>
  <c r="P650" i="5"/>
  <c r="R650" i="5" s="1"/>
  <c r="W652" i="5"/>
  <c r="U652" i="5"/>
  <c r="S652" i="5"/>
  <c r="O652" i="5"/>
  <c r="V652" i="5"/>
  <c r="T652" i="5"/>
  <c r="P652" i="5"/>
  <c r="R652" i="5" s="1"/>
  <c r="W654" i="5"/>
  <c r="U654" i="5"/>
  <c r="S654" i="5"/>
  <c r="O654" i="5"/>
  <c r="V654" i="5"/>
  <c r="T654" i="5"/>
  <c r="P654" i="5"/>
  <c r="R654" i="5" s="1"/>
  <c r="W656" i="5"/>
  <c r="U656" i="5"/>
  <c r="S656" i="5"/>
  <c r="O656" i="5"/>
  <c r="V656" i="5"/>
  <c r="T656" i="5"/>
  <c r="P656" i="5"/>
  <c r="R656" i="5" s="1"/>
  <c r="W658" i="5"/>
  <c r="U658" i="5"/>
  <c r="S658" i="5"/>
  <c r="O658" i="5"/>
  <c r="V658" i="5"/>
  <c r="T658" i="5"/>
  <c r="P658" i="5"/>
  <c r="R658" i="5" s="1"/>
  <c r="W660" i="5"/>
  <c r="U660" i="5"/>
  <c r="S660" i="5"/>
  <c r="O660" i="5"/>
  <c r="V660" i="5"/>
  <c r="T660" i="5"/>
  <c r="P660" i="5"/>
  <c r="R660" i="5" s="1"/>
  <c r="W662" i="5"/>
  <c r="U662" i="5"/>
  <c r="S662" i="5"/>
  <c r="O662" i="5"/>
  <c r="V662" i="5"/>
  <c r="T662" i="5"/>
  <c r="P662" i="5"/>
  <c r="R662" i="5" s="1"/>
  <c r="W664" i="5"/>
  <c r="U664" i="5"/>
  <c r="S664" i="5"/>
  <c r="O664" i="5"/>
  <c r="V664" i="5"/>
  <c r="T664" i="5"/>
  <c r="P664" i="5"/>
  <c r="R664" i="5" s="1"/>
  <c r="W666" i="5"/>
  <c r="U666" i="5"/>
  <c r="S666" i="5"/>
  <c r="O666" i="5"/>
  <c r="V666" i="5"/>
  <c r="T666" i="5"/>
  <c r="P666" i="5"/>
  <c r="R666" i="5" s="1"/>
  <c r="W668" i="5"/>
  <c r="U668" i="5"/>
  <c r="S668" i="5"/>
  <c r="O668" i="5"/>
  <c r="V668" i="5"/>
  <c r="T668" i="5"/>
  <c r="P668" i="5"/>
  <c r="R668" i="5" s="1"/>
  <c r="W670" i="5"/>
  <c r="U670" i="5"/>
  <c r="S670" i="5"/>
  <c r="O670" i="5"/>
  <c r="V670" i="5"/>
  <c r="T670" i="5"/>
  <c r="P670" i="5"/>
  <c r="R670" i="5" s="1"/>
  <c r="W672" i="5"/>
  <c r="U672" i="5"/>
  <c r="S672" i="5"/>
  <c r="O672" i="5"/>
  <c r="V672" i="5"/>
  <c r="T672" i="5"/>
  <c r="P672" i="5"/>
  <c r="R672" i="5" s="1"/>
  <c r="W674" i="5"/>
  <c r="U674" i="5"/>
  <c r="S674" i="5"/>
  <c r="O674" i="5"/>
  <c r="V674" i="5"/>
  <c r="T674" i="5"/>
  <c r="P674" i="5"/>
  <c r="R674" i="5" s="1"/>
  <c r="W676" i="5"/>
  <c r="U676" i="5"/>
  <c r="S676" i="5"/>
  <c r="O676" i="5"/>
  <c r="V676" i="5"/>
  <c r="T676" i="5"/>
  <c r="P676" i="5"/>
  <c r="R676" i="5" s="1"/>
  <c r="W678" i="5"/>
  <c r="U678" i="5"/>
  <c r="S678" i="5"/>
  <c r="O678" i="5"/>
  <c r="V678" i="5"/>
  <c r="T678" i="5"/>
  <c r="P678" i="5"/>
  <c r="R678" i="5" s="1"/>
  <c r="W680" i="5"/>
  <c r="U680" i="5"/>
  <c r="S680" i="5"/>
  <c r="O680" i="5"/>
  <c r="V680" i="5"/>
  <c r="T680" i="5"/>
  <c r="P680" i="5"/>
  <c r="R680" i="5" s="1"/>
  <c r="W682" i="5"/>
  <c r="U682" i="5"/>
  <c r="S682" i="5"/>
  <c r="O682" i="5"/>
  <c r="V682" i="5"/>
  <c r="T682" i="5"/>
  <c r="P682" i="5"/>
  <c r="R682" i="5" s="1"/>
  <c r="W684" i="5"/>
  <c r="U684" i="5"/>
  <c r="S684" i="5"/>
  <c r="O684" i="5"/>
  <c r="V684" i="5"/>
  <c r="T684" i="5"/>
  <c r="P684" i="5"/>
  <c r="R684" i="5" s="1"/>
  <c r="W686" i="5"/>
  <c r="U686" i="5"/>
  <c r="S686" i="5"/>
  <c r="O686" i="5"/>
  <c r="V686" i="5"/>
  <c r="T686" i="5"/>
  <c r="P686" i="5"/>
  <c r="R686" i="5" s="1"/>
  <c r="W688" i="5"/>
  <c r="U688" i="5"/>
  <c r="S688" i="5"/>
  <c r="O688" i="5"/>
  <c r="V688" i="5"/>
  <c r="T688" i="5"/>
  <c r="P688" i="5"/>
  <c r="R688" i="5" s="1"/>
  <c r="W690" i="5"/>
  <c r="U690" i="5"/>
  <c r="S690" i="5"/>
  <c r="O690" i="5"/>
  <c r="V690" i="5"/>
  <c r="T690" i="5"/>
  <c r="P690" i="5"/>
  <c r="R690" i="5" s="1"/>
  <c r="W692" i="5"/>
  <c r="U692" i="5"/>
  <c r="S692" i="5"/>
  <c r="O692" i="5"/>
  <c r="V692" i="5"/>
  <c r="T692" i="5"/>
  <c r="P692" i="5"/>
  <c r="R692" i="5" s="1"/>
  <c r="W694" i="5"/>
  <c r="U694" i="5"/>
  <c r="S694" i="5"/>
  <c r="O694" i="5"/>
  <c r="V694" i="5"/>
  <c r="T694" i="5"/>
  <c r="P694" i="5"/>
  <c r="R694" i="5" s="1"/>
  <c r="W696" i="5"/>
  <c r="U696" i="5"/>
  <c r="S696" i="5"/>
  <c r="O696" i="5"/>
  <c r="V696" i="5"/>
  <c r="T696" i="5"/>
  <c r="P696" i="5"/>
  <c r="R696" i="5" s="1"/>
  <c r="W698" i="5"/>
  <c r="U698" i="5"/>
  <c r="S698" i="5"/>
  <c r="O698" i="5"/>
  <c r="V698" i="5"/>
  <c r="T698" i="5"/>
  <c r="P698" i="5"/>
  <c r="R698" i="5" s="1"/>
  <c r="W700" i="5"/>
  <c r="U700" i="5"/>
  <c r="S700" i="5"/>
  <c r="O700" i="5"/>
  <c r="V700" i="5"/>
  <c r="T700" i="5"/>
  <c r="P700" i="5"/>
  <c r="R700" i="5" s="1"/>
  <c r="W702" i="5"/>
  <c r="U702" i="5"/>
  <c r="S702" i="5"/>
  <c r="O702" i="5"/>
  <c r="V702" i="5"/>
  <c r="T702" i="5"/>
  <c r="P702" i="5"/>
  <c r="R702" i="5" s="1"/>
  <c r="W704" i="5"/>
  <c r="U704" i="5"/>
  <c r="S704" i="5"/>
  <c r="O704" i="5"/>
  <c r="V704" i="5"/>
  <c r="T704" i="5"/>
  <c r="P704" i="5"/>
  <c r="R704" i="5" s="1"/>
  <c r="W706" i="5"/>
  <c r="U706" i="5"/>
  <c r="S706" i="5"/>
  <c r="O706" i="5"/>
  <c r="V706" i="5"/>
  <c r="T706" i="5"/>
  <c r="P706" i="5"/>
  <c r="R706" i="5" s="1"/>
  <c r="W708" i="5"/>
  <c r="U708" i="5"/>
  <c r="S708" i="5"/>
  <c r="O708" i="5"/>
  <c r="V708" i="5"/>
  <c r="T708" i="5"/>
  <c r="P708" i="5"/>
  <c r="R708" i="5" s="1"/>
  <c r="W710" i="5"/>
  <c r="U710" i="5"/>
  <c r="S710" i="5"/>
  <c r="O710" i="5"/>
  <c r="V710" i="5"/>
  <c r="T710" i="5"/>
  <c r="P710" i="5"/>
  <c r="R710" i="5" s="1"/>
  <c r="W712" i="5"/>
  <c r="U712" i="5"/>
  <c r="S712" i="5"/>
  <c r="O712" i="5"/>
  <c r="V712" i="5"/>
  <c r="T712" i="5"/>
  <c r="P712" i="5"/>
  <c r="R712" i="5" s="1"/>
  <c r="W714" i="5"/>
  <c r="U714" i="5"/>
  <c r="S714" i="5"/>
  <c r="O714" i="5"/>
  <c r="V714" i="5"/>
  <c r="T714" i="5"/>
  <c r="P714" i="5"/>
  <c r="R714" i="5" s="1"/>
  <c r="W716" i="5"/>
  <c r="U716" i="5"/>
  <c r="S716" i="5"/>
  <c r="O716" i="5"/>
  <c r="V716" i="5"/>
  <c r="T716" i="5"/>
  <c r="P716" i="5"/>
  <c r="R716" i="5" s="1"/>
  <c r="W718" i="5"/>
  <c r="U718" i="5"/>
  <c r="S718" i="5"/>
  <c r="O718" i="5"/>
  <c r="V718" i="5"/>
  <c r="T718" i="5"/>
  <c r="P718" i="5"/>
  <c r="R718" i="5" s="1"/>
  <c r="W720" i="5"/>
  <c r="U720" i="5"/>
  <c r="S720" i="5"/>
  <c r="O720" i="5"/>
  <c r="T720" i="5"/>
  <c r="P720" i="5"/>
  <c r="R720" i="5" s="1"/>
  <c r="V720" i="5"/>
  <c r="W722" i="5"/>
  <c r="U722" i="5"/>
  <c r="S722" i="5"/>
  <c r="O722" i="5"/>
  <c r="T722" i="5"/>
  <c r="P722" i="5"/>
  <c r="R722" i="5" s="1"/>
  <c r="V722" i="5"/>
  <c r="W724" i="5"/>
  <c r="U724" i="5"/>
  <c r="S724" i="5"/>
  <c r="O724" i="5"/>
  <c r="T724" i="5"/>
  <c r="P724" i="5"/>
  <c r="R724" i="5" s="1"/>
  <c r="V724" i="5"/>
  <c r="W726" i="5"/>
  <c r="U726" i="5"/>
  <c r="S726" i="5"/>
  <c r="O726" i="5"/>
  <c r="T726" i="5"/>
  <c r="P726" i="5"/>
  <c r="R726" i="5" s="1"/>
  <c r="V726" i="5"/>
  <c r="W728" i="5"/>
  <c r="U728" i="5"/>
  <c r="S728" i="5"/>
  <c r="O728" i="5"/>
  <c r="T728" i="5"/>
  <c r="P728" i="5"/>
  <c r="R728" i="5" s="1"/>
  <c r="V728" i="5"/>
  <c r="W730" i="5"/>
  <c r="U730" i="5"/>
  <c r="S730" i="5"/>
  <c r="O730" i="5"/>
  <c r="T730" i="5"/>
  <c r="P730" i="5"/>
  <c r="R730" i="5" s="1"/>
  <c r="V730" i="5"/>
  <c r="W732" i="5"/>
  <c r="U732" i="5"/>
  <c r="S732" i="5"/>
  <c r="O732" i="5"/>
  <c r="T732" i="5"/>
  <c r="P732" i="5"/>
  <c r="R732" i="5" s="1"/>
  <c r="V732" i="5"/>
  <c r="W734" i="5"/>
  <c r="U734" i="5"/>
  <c r="S734" i="5"/>
  <c r="O734" i="5"/>
  <c r="T734" i="5"/>
  <c r="P734" i="5"/>
  <c r="R734" i="5" s="1"/>
  <c r="V734" i="5"/>
  <c r="W736" i="5"/>
  <c r="U736" i="5"/>
  <c r="S736" i="5"/>
  <c r="O736" i="5"/>
  <c r="T736" i="5"/>
  <c r="P736" i="5"/>
  <c r="R736" i="5" s="1"/>
  <c r="V736" i="5"/>
  <c r="W738" i="5"/>
  <c r="U738" i="5"/>
  <c r="S738" i="5"/>
  <c r="O738" i="5"/>
  <c r="T738" i="5"/>
  <c r="P738" i="5"/>
  <c r="R738" i="5" s="1"/>
  <c r="V738" i="5"/>
  <c r="W740" i="5"/>
  <c r="U740" i="5"/>
  <c r="S740" i="5"/>
  <c r="O740" i="5"/>
  <c r="T740" i="5"/>
  <c r="P740" i="5"/>
  <c r="R740" i="5" s="1"/>
  <c r="V740" i="5"/>
  <c r="W742" i="5"/>
  <c r="U742" i="5"/>
  <c r="S742" i="5"/>
  <c r="O742" i="5"/>
  <c r="T742" i="5"/>
  <c r="P742" i="5"/>
  <c r="R742" i="5" s="1"/>
  <c r="V742" i="5"/>
  <c r="W744" i="5"/>
  <c r="U744" i="5"/>
  <c r="S744" i="5"/>
  <c r="O744" i="5"/>
  <c r="T744" i="5"/>
  <c r="P744" i="5"/>
  <c r="R744" i="5" s="1"/>
  <c r="V744" i="5"/>
  <c r="W746" i="5"/>
  <c r="U746" i="5"/>
  <c r="S746" i="5"/>
  <c r="O746" i="5"/>
  <c r="T746" i="5"/>
  <c r="P746" i="5"/>
  <c r="R746" i="5" s="1"/>
  <c r="V746" i="5"/>
  <c r="W748" i="5"/>
  <c r="U748" i="5"/>
  <c r="S748" i="5"/>
  <c r="O748" i="5"/>
  <c r="T748" i="5"/>
  <c r="P748" i="5"/>
  <c r="R748" i="5" s="1"/>
  <c r="V748" i="5"/>
  <c r="W750" i="5"/>
  <c r="U750" i="5"/>
  <c r="S750" i="5"/>
  <c r="O750" i="5"/>
  <c r="T750" i="5"/>
  <c r="P750" i="5"/>
  <c r="R750" i="5" s="1"/>
  <c r="V750" i="5"/>
  <c r="W752" i="5"/>
  <c r="U752" i="5"/>
  <c r="S752" i="5"/>
  <c r="O752" i="5"/>
  <c r="T752" i="5"/>
  <c r="P752" i="5"/>
  <c r="R752" i="5" s="1"/>
  <c r="V752" i="5"/>
  <c r="W754" i="5"/>
  <c r="U754" i="5"/>
  <c r="S754" i="5"/>
  <c r="O754" i="5"/>
  <c r="T754" i="5"/>
  <c r="P754" i="5"/>
  <c r="R754" i="5" s="1"/>
  <c r="V754" i="5"/>
  <c r="W756" i="5"/>
  <c r="U756" i="5"/>
  <c r="S756" i="5"/>
  <c r="O756" i="5"/>
  <c r="T756" i="5"/>
  <c r="P756" i="5"/>
  <c r="R756" i="5" s="1"/>
  <c r="V756" i="5"/>
  <c r="W758" i="5"/>
  <c r="U758" i="5"/>
  <c r="S758" i="5"/>
  <c r="O758" i="5"/>
  <c r="T758" i="5"/>
  <c r="P758" i="5"/>
  <c r="R758" i="5" s="1"/>
  <c r="V758" i="5"/>
  <c r="W760" i="5"/>
  <c r="U760" i="5"/>
  <c r="S760" i="5"/>
  <c r="O760" i="5"/>
  <c r="T760" i="5"/>
  <c r="P760" i="5"/>
  <c r="R760" i="5" s="1"/>
  <c r="V760" i="5"/>
  <c r="W762" i="5"/>
  <c r="U762" i="5"/>
  <c r="S762" i="5"/>
  <c r="O762" i="5"/>
  <c r="T762" i="5"/>
  <c r="P762" i="5"/>
  <c r="R762" i="5" s="1"/>
  <c r="V762" i="5"/>
  <c r="W764" i="5"/>
  <c r="U764" i="5"/>
  <c r="S764" i="5"/>
  <c r="O764" i="5"/>
  <c r="T764" i="5"/>
  <c r="P764" i="5"/>
  <c r="R764" i="5" s="1"/>
  <c r="V764" i="5"/>
  <c r="W766" i="5"/>
  <c r="U766" i="5"/>
  <c r="S766" i="5"/>
  <c r="O766" i="5"/>
  <c r="T766" i="5"/>
  <c r="P766" i="5"/>
  <c r="R766" i="5" s="1"/>
  <c r="V766" i="5"/>
  <c r="W768" i="5"/>
  <c r="U768" i="5"/>
  <c r="S768" i="5"/>
  <c r="O768" i="5"/>
  <c r="T768" i="5"/>
  <c r="P768" i="5"/>
  <c r="R768" i="5" s="1"/>
  <c r="V768" i="5"/>
  <c r="W770" i="5"/>
  <c r="U770" i="5"/>
  <c r="S770" i="5"/>
  <c r="O770" i="5"/>
  <c r="T770" i="5"/>
  <c r="P770" i="5"/>
  <c r="R770" i="5" s="1"/>
  <c r="V770" i="5"/>
  <c r="W772" i="5"/>
  <c r="U772" i="5"/>
  <c r="S772" i="5"/>
  <c r="O772" i="5"/>
  <c r="T772" i="5"/>
  <c r="P772" i="5"/>
  <c r="R772" i="5" s="1"/>
  <c r="V772" i="5"/>
  <c r="W774" i="5"/>
  <c r="U774" i="5"/>
  <c r="S774" i="5"/>
  <c r="O774" i="5"/>
  <c r="T774" i="5"/>
  <c r="P774" i="5"/>
  <c r="R774" i="5" s="1"/>
  <c r="V774" i="5"/>
  <c r="W776" i="5"/>
  <c r="U776" i="5"/>
  <c r="S776" i="5"/>
  <c r="O776" i="5"/>
  <c r="T776" i="5"/>
  <c r="P776" i="5"/>
  <c r="R776" i="5" s="1"/>
  <c r="V776" i="5"/>
  <c r="W778" i="5"/>
  <c r="U778" i="5"/>
  <c r="S778" i="5"/>
  <c r="O778" i="5"/>
  <c r="T778" i="5"/>
  <c r="P778" i="5"/>
  <c r="R778" i="5" s="1"/>
  <c r="V778" i="5"/>
  <c r="W780" i="5"/>
  <c r="U780" i="5"/>
  <c r="S780" i="5"/>
  <c r="O780" i="5"/>
  <c r="T780" i="5"/>
  <c r="P780" i="5"/>
  <c r="R780" i="5" s="1"/>
  <c r="V780" i="5"/>
  <c r="W782" i="5"/>
  <c r="U782" i="5"/>
  <c r="S782" i="5"/>
  <c r="O782" i="5"/>
  <c r="T782" i="5"/>
  <c r="P782" i="5"/>
  <c r="R782" i="5" s="1"/>
  <c r="V782" i="5"/>
  <c r="W784" i="5"/>
  <c r="U784" i="5"/>
  <c r="S784" i="5"/>
  <c r="O784" i="5"/>
  <c r="T784" i="5"/>
  <c r="P784" i="5"/>
  <c r="R784" i="5" s="1"/>
  <c r="V784" i="5"/>
  <c r="W786" i="5"/>
  <c r="U786" i="5"/>
  <c r="S786" i="5"/>
  <c r="O786" i="5"/>
  <c r="T786" i="5"/>
  <c r="P786" i="5"/>
  <c r="R786" i="5" s="1"/>
  <c r="V786" i="5"/>
  <c r="W788" i="5"/>
  <c r="U788" i="5"/>
  <c r="S788" i="5"/>
  <c r="O788" i="5"/>
  <c r="T788" i="5"/>
  <c r="P788" i="5"/>
  <c r="R788" i="5" s="1"/>
  <c r="V788" i="5"/>
  <c r="W790" i="5"/>
  <c r="U790" i="5"/>
  <c r="S790" i="5"/>
  <c r="O790" i="5"/>
  <c r="T790" i="5"/>
  <c r="P790" i="5"/>
  <c r="R790" i="5" s="1"/>
  <c r="V790" i="5"/>
  <c r="W792" i="5"/>
  <c r="U792" i="5"/>
  <c r="S792" i="5"/>
  <c r="O792" i="5"/>
  <c r="T792" i="5"/>
  <c r="P792" i="5"/>
  <c r="R792" i="5" s="1"/>
  <c r="V792" i="5"/>
  <c r="W794" i="5"/>
  <c r="U794" i="5"/>
  <c r="S794" i="5"/>
  <c r="O794" i="5"/>
  <c r="T794" i="5"/>
  <c r="P794" i="5"/>
  <c r="R794" i="5" s="1"/>
  <c r="V794" i="5"/>
  <c r="W796" i="5"/>
  <c r="U796" i="5"/>
  <c r="S796" i="5"/>
  <c r="O796" i="5"/>
  <c r="T796" i="5"/>
  <c r="P796" i="5"/>
  <c r="R796" i="5" s="1"/>
  <c r="V796" i="5"/>
  <c r="W798" i="5"/>
  <c r="U798" i="5"/>
  <c r="S798" i="5"/>
  <c r="O798" i="5"/>
  <c r="T798" i="5"/>
  <c r="P798" i="5"/>
  <c r="R798" i="5" s="1"/>
  <c r="V798" i="5"/>
  <c r="W800" i="5"/>
  <c r="U800" i="5"/>
  <c r="S800" i="5"/>
  <c r="O800" i="5"/>
  <c r="T800" i="5"/>
  <c r="P800" i="5"/>
  <c r="R800" i="5" s="1"/>
  <c r="V800" i="5"/>
  <c r="W802" i="5"/>
  <c r="U802" i="5"/>
  <c r="S802" i="5"/>
  <c r="O802" i="5"/>
  <c r="T802" i="5"/>
  <c r="P802" i="5"/>
  <c r="R802" i="5" s="1"/>
  <c r="V802" i="5"/>
  <c r="W804" i="5"/>
  <c r="U804" i="5"/>
  <c r="S804" i="5"/>
  <c r="O804" i="5"/>
  <c r="T804" i="5"/>
  <c r="P804" i="5"/>
  <c r="R804" i="5" s="1"/>
  <c r="V804" i="5"/>
  <c r="W806" i="5"/>
  <c r="U806" i="5"/>
  <c r="S806" i="5"/>
  <c r="O806" i="5"/>
  <c r="T806" i="5"/>
  <c r="P806" i="5"/>
  <c r="R806" i="5" s="1"/>
  <c r="V806" i="5"/>
  <c r="W808" i="5"/>
  <c r="U808" i="5"/>
  <c r="S808" i="5"/>
  <c r="O808" i="5"/>
  <c r="T808" i="5"/>
  <c r="P808" i="5"/>
  <c r="R808" i="5" s="1"/>
  <c r="V808" i="5"/>
  <c r="W810" i="5"/>
  <c r="U810" i="5"/>
  <c r="S810" i="5"/>
  <c r="O810" i="5"/>
  <c r="T810" i="5"/>
  <c r="P810" i="5"/>
  <c r="R810" i="5" s="1"/>
  <c r="V810" i="5"/>
  <c r="W812" i="5"/>
  <c r="U812" i="5"/>
  <c r="S812" i="5"/>
  <c r="O812" i="5"/>
  <c r="T812" i="5"/>
  <c r="P812" i="5"/>
  <c r="R812" i="5" s="1"/>
  <c r="V812" i="5"/>
  <c r="W814" i="5"/>
  <c r="U814" i="5"/>
  <c r="S814" i="5"/>
  <c r="O814" i="5"/>
  <c r="T814" i="5"/>
  <c r="P814" i="5"/>
  <c r="R814" i="5" s="1"/>
  <c r="V814" i="5"/>
  <c r="W816" i="5"/>
  <c r="U816" i="5"/>
  <c r="S816" i="5"/>
  <c r="O816" i="5"/>
  <c r="T816" i="5"/>
  <c r="P816" i="5"/>
  <c r="R816" i="5" s="1"/>
  <c r="V816" i="5"/>
  <c r="W818" i="5"/>
  <c r="U818" i="5"/>
  <c r="S818" i="5"/>
  <c r="O818" i="5"/>
  <c r="T818" i="5"/>
  <c r="P818" i="5"/>
  <c r="R818" i="5" s="1"/>
  <c r="V818" i="5"/>
  <c r="W820" i="5"/>
  <c r="U820" i="5"/>
  <c r="S820" i="5"/>
  <c r="O820" i="5"/>
  <c r="T820" i="5"/>
  <c r="P820" i="5"/>
  <c r="R820" i="5" s="1"/>
  <c r="V820" i="5"/>
  <c r="W822" i="5"/>
  <c r="U822" i="5"/>
  <c r="S822" i="5"/>
  <c r="O822" i="5"/>
  <c r="T822" i="5"/>
  <c r="P822" i="5"/>
  <c r="R822" i="5" s="1"/>
  <c r="V822" i="5"/>
  <c r="W824" i="5"/>
  <c r="U824" i="5"/>
  <c r="S824" i="5"/>
  <c r="O824" i="5"/>
  <c r="T824" i="5"/>
  <c r="P824" i="5"/>
  <c r="R824" i="5" s="1"/>
  <c r="V824" i="5"/>
  <c r="W826" i="5"/>
  <c r="U826" i="5"/>
  <c r="S826" i="5"/>
  <c r="O826" i="5"/>
  <c r="T826" i="5"/>
  <c r="P826" i="5"/>
  <c r="R826" i="5" s="1"/>
  <c r="V826" i="5"/>
  <c r="V828" i="5"/>
  <c r="T828" i="5"/>
  <c r="P828" i="5"/>
  <c r="R828" i="5" s="1"/>
  <c r="W828" i="5"/>
  <c r="U828" i="5"/>
  <c r="S828" i="5"/>
  <c r="O828" i="5"/>
  <c r="V830" i="5"/>
  <c r="T830" i="5"/>
  <c r="P830" i="5"/>
  <c r="R830" i="5" s="1"/>
  <c r="W830" i="5"/>
  <c r="U830" i="5"/>
  <c r="S830" i="5"/>
  <c r="O830" i="5"/>
  <c r="V832" i="5"/>
  <c r="T832" i="5"/>
  <c r="P832" i="5"/>
  <c r="R832" i="5" s="1"/>
  <c r="W832" i="5"/>
  <c r="U832" i="5"/>
  <c r="S832" i="5"/>
  <c r="O832" i="5"/>
  <c r="V834" i="5"/>
  <c r="T834" i="5"/>
  <c r="P834" i="5"/>
  <c r="R834" i="5" s="1"/>
  <c r="W834" i="5"/>
  <c r="U834" i="5"/>
  <c r="S834" i="5"/>
  <c r="O834" i="5"/>
  <c r="V836" i="5"/>
  <c r="T836" i="5"/>
  <c r="P836" i="5"/>
  <c r="R836" i="5" s="1"/>
  <c r="W836" i="5"/>
  <c r="U836" i="5"/>
  <c r="S836" i="5"/>
  <c r="O836" i="5"/>
  <c r="V838" i="5"/>
  <c r="T838" i="5"/>
  <c r="P838" i="5"/>
  <c r="R838" i="5" s="1"/>
  <c r="W838" i="5"/>
  <c r="U838" i="5"/>
  <c r="S838" i="5"/>
  <c r="O838" i="5"/>
  <c r="V840" i="5"/>
  <c r="T840" i="5"/>
  <c r="P840" i="5"/>
  <c r="R840" i="5" s="1"/>
  <c r="W840" i="5"/>
  <c r="U840" i="5"/>
  <c r="S840" i="5"/>
  <c r="O840" i="5"/>
  <c r="V842" i="5"/>
  <c r="T842" i="5"/>
  <c r="P842" i="5"/>
  <c r="R842" i="5" s="1"/>
  <c r="W842" i="5"/>
  <c r="U842" i="5"/>
  <c r="S842" i="5"/>
  <c r="O842" i="5"/>
  <c r="V844" i="5"/>
  <c r="T844" i="5"/>
  <c r="P844" i="5"/>
  <c r="R844" i="5" s="1"/>
  <c r="W844" i="5"/>
  <c r="U844" i="5"/>
  <c r="S844" i="5"/>
  <c r="O844" i="5"/>
  <c r="V846" i="5"/>
  <c r="T846" i="5"/>
  <c r="P846" i="5"/>
  <c r="R846" i="5" s="1"/>
  <c r="W846" i="5"/>
  <c r="U846" i="5"/>
  <c r="S846" i="5"/>
  <c r="O846" i="5"/>
  <c r="V848" i="5"/>
  <c r="T848" i="5"/>
  <c r="P848" i="5"/>
  <c r="R848" i="5" s="1"/>
  <c r="W848" i="5"/>
  <c r="U848" i="5"/>
  <c r="S848" i="5"/>
  <c r="O848" i="5"/>
  <c r="V850" i="5"/>
  <c r="T850" i="5"/>
  <c r="P850" i="5"/>
  <c r="R850" i="5" s="1"/>
  <c r="W850" i="5"/>
  <c r="U850" i="5"/>
  <c r="S850" i="5"/>
  <c r="O850" i="5"/>
  <c r="V852" i="5"/>
  <c r="T852" i="5"/>
  <c r="P852" i="5"/>
  <c r="R852" i="5" s="1"/>
  <c r="W852" i="5"/>
  <c r="U852" i="5"/>
  <c r="S852" i="5"/>
  <c r="O852" i="5"/>
  <c r="V854" i="5"/>
  <c r="T854" i="5"/>
  <c r="P854" i="5"/>
  <c r="R854" i="5" s="1"/>
  <c r="W854" i="5"/>
  <c r="U854" i="5"/>
  <c r="S854" i="5"/>
  <c r="O854" i="5"/>
  <c r="V856" i="5"/>
  <c r="T856" i="5"/>
  <c r="P856" i="5"/>
  <c r="R856" i="5" s="1"/>
  <c r="W856" i="5"/>
  <c r="U856" i="5"/>
  <c r="S856" i="5"/>
  <c r="O856" i="5"/>
  <c r="V858" i="5"/>
  <c r="T858" i="5"/>
  <c r="P858" i="5"/>
  <c r="R858" i="5" s="1"/>
  <c r="W858" i="5"/>
  <c r="U858" i="5"/>
  <c r="S858" i="5"/>
  <c r="O858" i="5"/>
  <c r="V860" i="5"/>
  <c r="T860" i="5"/>
  <c r="P860" i="5"/>
  <c r="R860" i="5" s="1"/>
  <c r="W860" i="5"/>
  <c r="U860" i="5"/>
  <c r="S860" i="5"/>
  <c r="O860" i="5"/>
  <c r="V862" i="5"/>
  <c r="T862" i="5"/>
  <c r="P862" i="5"/>
  <c r="R862" i="5" s="1"/>
  <c r="W862" i="5"/>
  <c r="U862" i="5"/>
  <c r="S862" i="5"/>
  <c r="O862" i="5"/>
  <c r="V864" i="5"/>
  <c r="T864" i="5"/>
  <c r="P864" i="5"/>
  <c r="R864" i="5" s="1"/>
  <c r="W864" i="5"/>
  <c r="U864" i="5"/>
  <c r="S864" i="5"/>
  <c r="O864" i="5"/>
  <c r="V866" i="5"/>
  <c r="T866" i="5"/>
  <c r="P866" i="5"/>
  <c r="R866" i="5" s="1"/>
  <c r="W866" i="5"/>
  <c r="U866" i="5"/>
  <c r="S866" i="5"/>
  <c r="O866" i="5"/>
  <c r="V868" i="5"/>
  <c r="T868" i="5"/>
  <c r="P868" i="5"/>
  <c r="R868" i="5" s="1"/>
  <c r="W868" i="5"/>
  <c r="U868" i="5"/>
  <c r="S868" i="5"/>
  <c r="O868" i="5"/>
  <c r="V870" i="5"/>
  <c r="T870" i="5"/>
  <c r="P870" i="5"/>
  <c r="R870" i="5" s="1"/>
  <c r="W870" i="5"/>
  <c r="U870" i="5"/>
  <c r="S870" i="5"/>
  <c r="O870" i="5"/>
  <c r="V872" i="5"/>
  <c r="T872" i="5"/>
  <c r="P872" i="5"/>
  <c r="R872" i="5" s="1"/>
  <c r="W872" i="5"/>
  <c r="U872" i="5"/>
  <c r="S872" i="5"/>
  <c r="O872" i="5"/>
  <c r="V874" i="5"/>
  <c r="T874" i="5"/>
  <c r="P874" i="5"/>
  <c r="R874" i="5" s="1"/>
  <c r="W874" i="5"/>
  <c r="U874" i="5"/>
  <c r="S874" i="5"/>
  <c r="O874" i="5"/>
  <c r="V876" i="5"/>
  <c r="T876" i="5"/>
  <c r="P876" i="5"/>
  <c r="R876" i="5" s="1"/>
  <c r="W876" i="5"/>
  <c r="U876" i="5"/>
  <c r="S876" i="5"/>
  <c r="O876" i="5"/>
  <c r="V878" i="5"/>
  <c r="T878" i="5"/>
  <c r="P878" i="5"/>
  <c r="R878" i="5" s="1"/>
  <c r="W878" i="5"/>
  <c r="U878" i="5"/>
  <c r="S878" i="5"/>
  <c r="O878" i="5"/>
  <c r="V880" i="5"/>
  <c r="T880" i="5"/>
  <c r="P880" i="5"/>
  <c r="R880" i="5" s="1"/>
  <c r="W880" i="5"/>
  <c r="U880" i="5"/>
  <c r="S880" i="5"/>
  <c r="O880" i="5"/>
  <c r="V882" i="5"/>
  <c r="T882" i="5"/>
  <c r="P882" i="5"/>
  <c r="R882" i="5" s="1"/>
  <c r="W882" i="5"/>
  <c r="U882" i="5"/>
  <c r="S882" i="5"/>
  <c r="O882" i="5"/>
  <c r="V884" i="5"/>
  <c r="T884" i="5"/>
  <c r="P884" i="5"/>
  <c r="R884" i="5" s="1"/>
  <c r="W884" i="5"/>
  <c r="U884" i="5"/>
  <c r="S884" i="5"/>
  <c r="O884" i="5"/>
  <c r="V886" i="5"/>
  <c r="T886" i="5"/>
  <c r="P886" i="5"/>
  <c r="R886" i="5" s="1"/>
  <c r="W886" i="5"/>
  <c r="U886" i="5"/>
  <c r="S886" i="5"/>
  <c r="O886" i="5"/>
  <c r="V888" i="5"/>
  <c r="T888" i="5"/>
  <c r="P888" i="5"/>
  <c r="R888" i="5" s="1"/>
  <c r="W888" i="5"/>
  <c r="U888" i="5"/>
  <c r="S888" i="5"/>
  <c r="O888" i="5"/>
  <c r="V890" i="5"/>
  <c r="T890" i="5"/>
  <c r="P890" i="5"/>
  <c r="R890" i="5" s="1"/>
  <c r="W890" i="5"/>
  <c r="U890" i="5"/>
  <c r="S890" i="5"/>
  <c r="O890" i="5"/>
  <c r="V892" i="5"/>
  <c r="T892" i="5"/>
  <c r="P892" i="5"/>
  <c r="R892" i="5" s="1"/>
  <c r="W892" i="5"/>
  <c r="U892" i="5"/>
  <c r="S892" i="5"/>
  <c r="O892" i="5"/>
  <c r="V894" i="5"/>
  <c r="T894" i="5"/>
  <c r="P894" i="5"/>
  <c r="R894" i="5" s="1"/>
  <c r="W894" i="5"/>
  <c r="U894" i="5"/>
  <c r="S894" i="5"/>
  <c r="O894" i="5"/>
  <c r="V896" i="5"/>
  <c r="T896" i="5"/>
  <c r="P896" i="5"/>
  <c r="R896" i="5" s="1"/>
  <c r="W896" i="5"/>
  <c r="U896" i="5"/>
  <c r="S896" i="5"/>
  <c r="O896" i="5"/>
  <c r="V898" i="5"/>
  <c r="T898" i="5"/>
  <c r="P898" i="5"/>
  <c r="R898" i="5" s="1"/>
  <c r="W898" i="5"/>
  <c r="U898" i="5"/>
  <c r="S898" i="5"/>
  <c r="O898" i="5"/>
  <c r="V900" i="5"/>
  <c r="T900" i="5"/>
  <c r="P900" i="5"/>
  <c r="R900" i="5" s="1"/>
  <c r="W900" i="5"/>
  <c r="U900" i="5"/>
  <c r="S900" i="5"/>
  <c r="O900" i="5"/>
  <c r="V902" i="5"/>
  <c r="T902" i="5"/>
  <c r="P902" i="5"/>
  <c r="R902" i="5" s="1"/>
  <c r="W902" i="5"/>
  <c r="U902" i="5"/>
  <c r="S902" i="5"/>
  <c r="O902" i="5"/>
  <c r="V904" i="5"/>
  <c r="T904" i="5"/>
  <c r="P904" i="5"/>
  <c r="R904" i="5" s="1"/>
  <c r="W904" i="5"/>
  <c r="U904" i="5"/>
  <c r="S904" i="5"/>
  <c r="O904" i="5"/>
  <c r="V906" i="5"/>
  <c r="T906" i="5"/>
  <c r="P906" i="5"/>
  <c r="R906" i="5" s="1"/>
  <c r="W906" i="5"/>
  <c r="U906" i="5"/>
  <c r="S906" i="5"/>
  <c r="O906" i="5"/>
  <c r="V908" i="5"/>
  <c r="T908" i="5"/>
  <c r="P908" i="5"/>
  <c r="R908" i="5" s="1"/>
  <c r="W908" i="5"/>
  <c r="U908" i="5"/>
  <c r="S908" i="5"/>
  <c r="O908" i="5"/>
  <c r="V910" i="5"/>
  <c r="T910" i="5"/>
  <c r="P910" i="5"/>
  <c r="R910" i="5" s="1"/>
  <c r="W910" i="5"/>
  <c r="U910" i="5"/>
  <c r="S910" i="5"/>
  <c r="O910" i="5"/>
  <c r="V912" i="5"/>
  <c r="T912" i="5"/>
  <c r="P912" i="5"/>
  <c r="R912" i="5" s="1"/>
  <c r="W912" i="5"/>
  <c r="U912" i="5"/>
  <c r="S912" i="5"/>
  <c r="O912" i="5"/>
  <c r="V914" i="5"/>
  <c r="T914" i="5"/>
  <c r="P914" i="5"/>
  <c r="R914" i="5" s="1"/>
  <c r="W914" i="5"/>
  <c r="U914" i="5"/>
  <c r="S914" i="5"/>
  <c r="O914" i="5"/>
  <c r="V916" i="5"/>
  <c r="T916" i="5"/>
  <c r="P916" i="5"/>
  <c r="R916" i="5" s="1"/>
  <c r="W916" i="5"/>
  <c r="U916" i="5"/>
  <c r="S916" i="5"/>
  <c r="O916" i="5"/>
  <c r="V918" i="5"/>
  <c r="T918" i="5"/>
  <c r="P918" i="5"/>
  <c r="R918" i="5" s="1"/>
  <c r="W918" i="5"/>
  <c r="U918" i="5"/>
  <c r="S918" i="5"/>
  <c r="O918" i="5"/>
  <c r="V920" i="5"/>
  <c r="T920" i="5"/>
  <c r="P920" i="5"/>
  <c r="R920" i="5" s="1"/>
  <c r="W920" i="5"/>
  <c r="U920" i="5"/>
  <c r="S920" i="5"/>
  <c r="O920" i="5"/>
  <c r="V922" i="5"/>
  <c r="T922" i="5"/>
  <c r="P922" i="5"/>
  <c r="R922" i="5" s="1"/>
  <c r="W922" i="5"/>
  <c r="U922" i="5"/>
  <c r="S922" i="5"/>
  <c r="O922" i="5"/>
  <c r="V924" i="5"/>
  <c r="T924" i="5"/>
  <c r="P924" i="5"/>
  <c r="R924" i="5" s="1"/>
  <c r="W924" i="5"/>
  <c r="U924" i="5"/>
  <c r="S924" i="5"/>
  <c r="O924" i="5"/>
  <c r="V926" i="5"/>
  <c r="T926" i="5"/>
  <c r="P926" i="5"/>
  <c r="R926" i="5" s="1"/>
  <c r="W926" i="5"/>
  <c r="U926" i="5"/>
  <c r="S926" i="5"/>
  <c r="O926" i="5"/>
  <c r="V928" i="5"/>
  <c r="T928" i="5"/>
  <c r="P928" i="5"/>
  <c r="R928" i="5" s="1"/>
  <c r="W928" i="5"/>
  <c r="U928" i="5"/>
  <c r="S928" i="5"/>
  <c r="O928" i="5"/>
  <c r="V930" i="5"/>
  <c r="T930" i="5"/>
  <c r="P930" i="5"/>
  <c r="R930" i="5" s="1"/>
  <c r="W930" i="5"/>
  <c r="U930" i="5"/>
  <c r="S930" i="5"/>
  <c r="O930" i="5"/>
  <c r="V932" i="5"/>
  <c r="T932" i="5"/>
  <c r="P932" i="5"/>
  <c r="R932" i="5" s="1"/>
  <c r="W932" i="5"/>
  <c r="U932" i="5"/>
  <c r="S932" i="5"/>
  <c r="O932" i="5"/>
  <c r="V934" i="5"/>
  <c r="T934" i="5"/>
  <c r="P934" i="5"/>
  <c r="R934" i="5" s="1"/>
  <c r="W934" i="5"/>
  <c r="U934" i="5"/>
  <c r="S934" i="5"/>
  <c r="O934" i="5"/>
  <c r="V936" i="5"/>
  <c r="T936" i="5"/>
  <c r="P936" i="5"/>
  <c r="R936" i="5" s="1"/>
  <c r="W936" i="5"/>
  <c r="U936" i="5"/>
  <c r="S936" i="5"/>
  <c r="O936" i="5"/>
  <c r="V938" i="5"/>
  <c r="T938" i="5"/>
  <c r="P938" i="5"/>
  <c r="R938" i="5" s="1"/>
  <c r="W938" i="5"/>
  <c r="U938" i="5"/>
  <c r="S938" i="5"/>
  <c r="O938" i="5"/>
  <c r="V940" i="5"/>
  <c r="T940" i="5"/>
  <c r="P940" i="5"/>
  <c r="R940" i="5" s="1"/>
  <c r="W940" i="5"/>
  <c r="U940" i="5"/>
  <c r="S940" i="5"/>
  <c r="O940" i="5"/>
  <c r="V942" i="5"/>
  <c r="T942" i="5"/>
  <c r="P942" i="5"/>
  <c r="R942" i="5" s="1"/>
  <c r="W942" i="5"/>
  <c r="U942" i="5"/>
  <c r="S942" i="5"/>
  <c r="O942" i="5"/>
  <c r="V944" i="5"/>
  <c r="T944" i="5"/>
  <c r="P944" i="5"/>
  <c r="R944" i="5" s="1"/>
  <c r="W944" i="5"/>
  <c r="U944" i="5"/>
  <c r="S944" i="5"/>
  <c r="O944" i="5"/>
  <c r="V946" i="5"/>
  <c r="T946" i="5"/>
  <c r="P946" i="5"/>
  <c r="R946" i="5" s="1"/>
  <c r="W946" i="5"/>
  <c r="U946" i="5"/>
  <c r="S946" i="5"/>
  <c r="O946" i="5"/>
  <c r="V948" i="5"/>
  <c r="T948" i="5"/>
  <c r="P948" i="5"/>
  <c r="R948" i="5" s="1"/>
  <c r="W948" i="5"/>
  <c r="U948" i="5"/>
  <c r="S948" i="5"/>
  <c r="O948" i="5"/>
  <c r="V950" i="5"/>
  <c r="T950" i="5"/>
  <c r="P950" i="5"/>
  <c r="R950" i="5" s="1"/>
  <c r="W950" i="5"/>
  <c r="U950" i="5"/>
  <c r="S950" i="5"/>
  <c r="O950" i="5"/>
  <c r="V952" i="5"/>
  <c r="T952" i="5"/>
  <c r="P952" i="5"/>
  <c r="R952" i="5" s="1"/>
  <c r="W952" i="5"/>
  <c r="U952" i="5"/>
  <c r="S952" i="5"/>
  <c r="O952" i="5"/>
  <c r="V954" i="5"/>
  <c r="T954" i="5"/>
  <c r="P954" i="5"/>
  <c r="R954" i="5" s="1"/>
  <c r="W954" i="5"/>
  <c r="U954" i="5"/>
  <c r="S954" i="5"/>
  <c r="O954" i="5"/>
  <c r="V956" i="5"/>
  <c r="T956" i="5"/>
  <c r="P956" i="5"/>
  <c r="R956" i="5" s="1"/>
  <c r="W956" i="5"/>
  <c r="U956" i="5"/>
  <c r="S956" i="5"/>
  <c r="O956" i="5"/>
  <c r="V958" i="5"/>
  <c r="T958" i="5"/>
  <c r="P958" i="5"/>
  <c r="R958" i="5" s="1"/>
  <c r="W958" i="5"/>
  <c r="U958" i="5"/>
  <c r="S958" i="5"/>
  <c r="O958" i="5"/>
  <c r="V960" i="5"/>
  <c r="T960" i="5"/>
  <c r="P960" i="5"/>
  <c r="R960" i="5" s="1"/>
  <c r="W960" i="5"/>
  <c r="U960" i="5"/>
  <c r="S960" i="5"/>
  <c r="O960" i="5"/>
  <c r="V962" i="5"/>
  <c r="T962" i="5"/>
  <c r="P962" i="5"/>
  <c r="R962" i="5" s="1"/>
  <c r="W962" i="5"/>
  <c r="U962" i="5"/>
  <c r="S962" i="5"/>
  <c r="O962" i="5"/>
  <c r="V964" i="5"/>
  <c r="T964" i="5"/>
  <c r="P964" i="5"/>
  <c r="R964" i="5" s="1"/>
  <c r="W964" i="5"/>
  <c r="U964" i="5"/>
  <c r="S964" i="5"/>
  <c r="O964" i="5"/>
  <c r="V966" i="5"/>
  <c r="T966" i="5"/>
  <c r="P966" i="5"/>
  <c r="R966" i="5" s="1"/>
  <c r="W966" i="5"/>
  <c r="U966" i="5"/>
  <c r="S966" i="5"/>
  <c r="O966" i="5"/>
  <c r="V968" i="5"/>
  <c r="T968" i="5"/>
  <c r="P968" i="5"/>
  <c r="R968" i="5" s="1"/>
  <c r="W968" i="5"/>
  <c r="U968" i="5"/>
  <c r="S968" i="5"/>
  <c r="O968" i="5"/>
  <c r="V970" i="5"/>
  <c r="T970" i="5"/>
  <c r="P970" i="5"/>
  <c r="R970" i="5" s="1"/>
  <c r="U970" i="5"/>
  <c r="W970" i="5"/>
  <c r="S970" i="5"/>
  <c r="O970" i="5"/>
  <c r="V972" i="5"/>
  <c r="T972" i="5"/>
  <c r="P972" i="5"/>
  <c r="R972" i="5" s="1"/>
  <c r="U972" i="5"/>
  <c r="W972" i="5"/>
  <c r="S972" i="5"/>
  <c r="O972" i="5"/>
  <c r="V974" i="5"/>
  <c r="T974" i="5"/>
  <c r="P974" i="5"/>
  <c r="R974" i="5" s="1"/>
  <c r="W974" i="5"/>
  <c r="S974" i="5"/>
  <c r="O974" i="5"/>
  <c r="U974" i="5"/>
  <c r="V976" i="5"/>
  <c r="T976" i="5"/>
  <c r="P976" i="5"/>
  <c r="R976" i="5" s="1"/>
  <c r="W976" i="5"/>
  <c r="S976" i="5"/>
  <c r="O976" i="5"/>
  <c r="U976" i="5"/>
  <c r="V978" i="5"/>
  <c r="T978" i="5"/>
  <c r="P978" i="5"/>
  <c r="R978" i="5" s="1"/>
  <c r="W978" i="5"/>
  <c r="S978" i="5"/>
  <c r="O978" i="5"/>
  <c r="U978" i="5"/>
  <c r="V980" i="5"/>
  <c r="T980" i="5"/>
  <c r="P980" i="5"/>
  <c r="R980" i="5" s="1"/>
  <c r="W980" i="5"/>
  <c r="S980" i="5"/>
  <c r="O980" i="5"/>
  <c r="U980" i="5"/>
  <c r="V982" i="5"/>
  <c r="T982" i="5"/>
  <c r="P982" i="5"/>
  <c r="R982" i="5" s="1"/>
  <c r="W982" i="5"/>
  <c r="S982" i="5"/>
  <c r="O982" i="5"/>
  <c r="U982" i="5"/>
  <c r="V984" i="5"/>
  <c r="T984" i="5"/>
  <c r="P984" i="5"/>
  <c r="R984" i="5" s="1"/>
  <c r="W984" i="5"/>
  <c r="S984" i="5"/>
  <c r="O984" i="5"/>
  <c r="U984" i="5"/>
  <c r="V986" i="5"/>
  <c r="T986" i="5"/>
  <c r="P986" i="5"/>
  <c r="R986" i="5" s="1"/>
  <c r="W986" i="5"/>
  <c r="S986" i="5"/>
  <c r="O986" i="5"/>
  <c r="U986" i="5"/>
  <c r="V988" i="5"/>
  <c r="T988" i="5"/>
  <c r="P988" i="5"/>
  <c r="R988" i="5" s="1"/>
  <c r="W988" i="5"/>
  <c r="S988" i="5"/>
  <c r="O988" i="5"/>
  <c r="U988" i="5"/>
  <c r="V990" i="5"/>
  <c r="T990" i="5"/>
  <c r="P990" i="5"/>
  <c r="R990" i="5" s="1"/>
  <c r="W990" i="5"/>
  <c r="S990" i="5"/>
  <c r="O990" i="5"/>
  <c r="U990" i="5"/>
  <c r="V992" i="5"/>
  <c r="T992" i="5"/>
  <c r="P992" i="5"/>
  <c r="R992" i="5" s="1"/>
  <c r="W992" i="5"/>
  <c r="S992" i="5"/>
  <c r="O992" i="5"/>
  <c r="U992" i="5"/>
  <c r="V994" i="5"/>
  <c r="T994" i="5"/>
  <c r="P994" i="5"/>
  <c r="R994" i="5" s="1"/>
  <c r="W994" i="5"/>
  <c r="S994" i="5"/>
  <c r="O994" i="5"/>
  <c r="U994" i="5"/>
  <c r="V996" i="5"/>
  <c r="T996" i="5"/>
  <c r="P996" i="5"/>
  <c r="R996" i="5" s="1"/>
  <c r="W996" i="5"/>
  <c r="S996" i="5"/>
  <c r="O996" i="5"/>
  <c r="U996" i="5"/>
  <c r="V998" i="5"/>
  <c r="T998" i="5"/>
  <c r="P998" i="5"/>
  <c r="R998" i="5" s="1"/>
  <c r="W998" i="5"/>
  <c r="S998" i="5"/>
  <c r="O998" i="5"/>
  <c r="U998" i="5"/>
  <c r="V1000" i="5"/>
  <c r="T1000" i="5"/>
  <c r="P1000" i="5"/>
  <c r="R1000" i="5" s="1"/>
  <c r="W1000" i="5"/>
  <c r="S1000" i="5"/>
  <c r="O1000" i="5"/>
  <c r="U1000" i="5"/>
  <c r="V1002" i="5"/>
  <c r="T1002" i="5"/>
  <c r="P1002" i="5"/>
  <c r="R1002" i="5" s="1"/>
  <c r="W1002" i="5"/>
  <c r="S1002" i="5"/>
  <c r="O1002" i="5"/>
  <c r="U1002" i="5"/>
  <c r="V1004" i="5"/>
  <c r="T1004" i="5"/>
  <c r="P1004" i="5"/>
  <c r="R1004" i="5" s="1"/>
  <c r="W1004" i="5"/>
  <c r="S1004" i="5"/>
  <c r="O1004" i="5"/>
  <c r="U1004" i="5"/>
  <c r="V1006" i="5"/>
  <c r="T1006" i="5"/>
  <c r="P1006" i="5"/>
  <c r="R1006" i="5" s="1"/>
  <c r="W1006" i="5"/>
  <c r="S1006" i="5"/>
  <c r="O1006" i="5"/>
  <c r="U1006" i="5"/>
  <c r="V1008" i="5"/>
  <c r="T1008" i="5"/>
  <c r="P1008" i="5"/>
  <c r="R1008" i="5" s="1"/>
  <c r="W1008" i="5"/>
  <c r="S1008" i="5"/>
  <c r="O1008" i="5"/>
  <c r="U1008" i="5"/>
  <c r="V1010" i="5"/>
  <c r="T1010" i="5"/>
  <c r="P1010" i="5"/>
  <c r="R1010" i="5" s="1"/>
  <c r="W1010" i="5"/>
  <c r="S1010" i="5"/>
  <c r="O1010" i="5"/>
  <c r="U1010" i="5"/>
  <c r="V1012" i="5"/>
  <c r="T1012" i="5"/>
  <c r="P1012" i="5"/>
  <c r="R1012" i="5" s="1"/>
  <c r="W1012" i="5"/>
  <c r="S1012" i="5"/>
  <c r="O1012" i="5"/>
  <c r="U1012" i="5"/>
  <c r="V1014" i="5"/>
  <c r="T1014" i="5"/>
  <c r="P1014" i="5"/>
  <c r="R1014" i="5" s="1"/>
  <c r="W1014" i="5"/>
  <c r="S1014" i="5"/>
  <c r="O1014" i="5"/>
  <c r="U1014" i="5"/>
  <c r="V1016" i="5"/>
  <c r="T1016" i="5"/>
  <c r="P1016" i="5"/>
  <c r="R1016" i="5" s="1"/>
  <c r="W1016" i="5"/>
  <c r="S1016" i="5"/>
  <c r="O1016" i="5"/>
  <c r="U1016" i="5"/>
  <c r="V1018" i="5"/>
  <c r="T1018" i="5"/>
  <c r="P1018" i="5"/>
  <c r="R1018" i="5" s="1"/>
  <c r="W1018" i="5"/>
  <c r="S1018" i="5"/>
  <c r="O1018" i="5"/>
  <c r="U1018" i="5"/>
  <c r="V1020" i="5"/>
  <c r="T1020" i="5"/>
  <c r="P1020" i="5"/>
  <c r="R1020" i="5" s="1"/>
  <c r="W1020" i="5"/>
  <c r="S1020" i="5"/>
  <c r="O1020" i="5"/>
  <c r="U1020" i="5"/>
  <c r="V1022" i="5"/>
  <c r="T1022" i="5"/>
  <c r="P1022" i="5"/>
  <c r="R1022" i="5" s="1"/>
  <c r="W1022" i="5"/>
  <c r="S1022" i="5"/>
  <c r="O1022" i="5"/>
  <c r="U1022" i="5"/>
  <c r="V1024" i="5"/>
  <c r="T1024" i="5"/>
  <c r="P1024" i="5"/>
  <c r="R1024" i="5" s="1"/>
  <c r="W1024" i="5"/>
  <c r="S1024" i="5"/>
  <c r="O1024" i="5"/>
  <c r="U1024" i="5"/>
  <c r="V1026" i="5"/>
  <c r="T1026" i="5"/>
  <c r="P1026" i="5"/>
  <c r="R1026" i="5" s="1"/>
  <c r="W1026" i="5"/>
  <c r="S1026" i="5"/>
  <c r="O1026" i="5"/>
  <c r="U1026" i="5"/>
  <c r="V1028" i="5"/>
  <c r="T1028" i="5"/>
  <c r="P1028" i="5"/>
  <c r="R1028" i="5" s="1"/>
  <c r="W1028" i="5"/>
  <c r="S1028" i="5"/>
  <c r="O1028" i="5"/>
  <c r="U1028" i="5"/>
  <c r="V1030" i="5"/>
  <c r="T1030" i="5"/>
  <c r="P1030" i="5"/>
  <c r="R1030" i="5" s="1"/>
  <c r="W1030" i="5"/>
  <c r="S1030" i="5"/>
  <c r="O1030" i="5"/>
  <c r="U1030" i="5"/>
  <c r="V1032" i="5"/>
  <c r="T1032" i="5"/>
  <c r="P1032" i="5"/>
  <c r="R1032" i="5" s="1"/>
  <c r="W1032" i="5"/>
  <c r="S1032" i="5"/>
  <c r="O1032" i="5"/>
  <c r="U1032" i="5"/>
  <c r="V1034" i="5"/>
  <c r="T1034" i="5"/>
  <c r="P1034" i="5"/>
  <c r="R1034" i="5" s="1"/>
  <c r="W1034" i="5"/>
  <c r="S1034" i="5"/>
  <c r="O1034" i="5"/>
  <c r="U1034" i="5"/>
  <c r="V1036" i="5"/>
  <c r="T1036" i="5"/>
  <c r="P1036" i="5"/>
  <c r="R1036" i="5" s="1"/>
  <c r="W1036" i="5"/>
  <c r="S1036" i="5"/>
  <c r="O1036" i="5"/>
  <c r="U1036" i="5"/>
  <c r="V1038" i="5"/>
  <c r="T1038" i="5"/>
  <c r="P1038" i="5"/>
  <c r="R1038" i="5" s="1"/>
  <c r="W1038" i="5"/>
  <c r="S1038" i="5"/>
  <c r="O1038" i="5"/>
  <c r="U1038" i="5"/>
  <c r="V1040" i="5"/>
  <c r="T1040" i="5"/>
  <c r="P1040" i="5"/>
  <c r="R1040" i="5" s="1"/>
  <c r="W1040" i="5"/>
  <c r="S1040" i="5"/>
  <c r="O1040" i="5"/>
  <c r="U1040" i="5"/>
  <c r="V1042" i="5"/>
  <c r="T1042" i="5"/>
  <c r="P1042" i="5"/>
  <c r="R1042" i="5" s="1"/>
  <c r="W1042" i="5"/>
  <c r="S1042" i="5"/>
  <c r="O1042" i="5"/>
  <c r="U1042" i="5"/>
  <c r="V1044" i="5"/>
  <c r="T1044" i="5"/>
  <c r="P1044" i="5"/>
  <c r="R1044" i="5" s="1"/>
  <c r="W1044" i="5"/>
  <c r="S1044" i="5"/>
  <c r="O1044" i="5"/>
  <c r="U1044" i="5"/>
  <c r="V1046" i="5"/>
  <c r="T1046" i="5"/>
  <c r="P1046" i="5"/>
  <c r="R1046" i="5" s="1"/>
  <c r="W1046" i="5"/>
  <c r="S1046" i="5"/>
  <c r="O1046" i="5"/>
  <c r="U1046" i="5"/>
  <c r="V1048" i="5"/>
  <c r="T1048" i="5"/>
  <c r="P1048" i="5"/>
  <c r="R1048" i="5" s="1"/>
  <c r="W1048" i="5"/>
  <c r="S1048" i="5"/>
  <c r="O1048" i="5"/>
  <c r="U1048" i="5"/>
  <c r="V1050" i="5"/>
  <c r="T1050" i="5"/>
  <c r="P1050" i="5"/>
  <c r="R1050" i="5" s="1"/>
  <c r="W1050" i="5"/>
  <c r="S1050" i="5"/>
  <c r="O1050" i="5"/>
  <c r="U1050" i="5"/>
  <c r="V1052" i="5"/>
  <c r="T1052" i="5"/>
  <c r="P1052" i="5"/>
  <c r="R1052" i="5" s="1"/>
  <c r="W1052" i="5"/>
  <c r="S1052" i="5"/>
  <c r="O1052" i="5"/>
  <c r="U1052" i="5"/>
  <c r="V1054" i="5"/>
  <c r="T1054" i="5"/>
  <c r="P1054" i="5"/>
  <c r="R1054" i="5" s="1"/>
  <c r="W1054" i="5"/>
  <c r="S1054" i="5"/>
  <c r="O1054" i="5"/>
  <c r="U1054" i="5"/>
  <c r="V1056" i="5"/>
  <c r="T1056" i="5"/>
  <c r="P1056" i="5"/>
  <c r="R1056" i="5" s="1"/>
  <c r="W1056" i="5"/>
  <c r="S1056" i="5"/>
  <c r="O1056" i="5"/>
  <c r="U1056" i="5"/>
  <c r="V1058" i="5"/>
  <c r="T1058" i="5"/>
  <c r="P1058" i="5"/>
  <c r="R1058" i="5" s="1"/>
  <c r="W1058" i="5"/>
  <c r="S1058" i="5"/>
  <c r="O1058" i="5"/>
  <c r="U1058" i="5"/>
  <c r="V1060" i="5"/>
  <c r="T1060" i="5"/>
  <c r="P1060" i="5"/>
  <c r="R1060" i="5" s="1"/>
  <c r="W1060" i="5"/>
  <c r="S1060" i="5"/>
  <c r="O1060" i="5"/>
  <c r="U1060" i="5"/>
  <c r="V1062" i="5"/>
  <c r="T1062" i="5"/>
  <c r="P1062" i="5"/>
  <c r="R1062" i="5" s="1"/>
  <c r="W1062" i="5"/>
  <c r="S1062" i="5"/>
  <c r="O1062" i="5"/>
  <c r="U1062" i="5"/>
  <c r="V1064" i="5"/>
  <c r="T1064" i="5"/>
  <c r="P1064" i="5"/>
  <c r="R1064" i="5" s="1"/>
  <c r="W1064" i="5"/>
  <c r="S1064" i="5"/>
  <c r="O1064" i="5"/>
  <c r="U1064" i="5"/>
  <c r="V1066" i="5"/>
  <c r="T1066" i="5"/>
  <c r="P1066" i="5"/>
  <c r="R1066" i="5" s="1"/>
  <c r="W1066" i="5"/>
  <c r="S1066" i="5"/>
  <c r="O1066" i="5"/>
  <c r="U1066" i="5"/>
  <c r="V1068" i="5"/>
  <c r="T1068" i="5"/>
  <c r="P1068" i="5"/>
  <c r="R1068" i="5" s="1"/>
  <c r="W1068" i="5"/>
  <c r="S1068" i="5"/>
  <c r="O1068" i="5"/>
  <c r="U1068" i="5"/>
  <c r="V1070" i="5"/>
  <c r="T1070" i="5"/>
  <c r="P1070" i="5"/>
  <c r="R1070" i="5" s="1"/>
  <c r="W1070" i="5"/>
  <c r="S1070" i="5"/>
  <c r="O1070" i="5"/>
  <c r="U1070" i="5"/>
  <c r="V1072" i="5"/>
  <c r="T1072" i="5"/>
  <c r="P1072" i="5"/>
  <c r="R1072" i="5" s="1"/>
  <c r="W1072" i="5"/>
  <c r="S1072" i="5"/>
  <c r="O1072" i="5"/>
  <c r="U1072" i="5"/>
  <c r="V1074" i="5"/>
  <c r="T1074" i="5"/>
  <c r="P1074" i="5"/>
  <c r="R1074" i="5" s="1"/>
  <c r="W1074" i="5"/>
  <c r="S1074" i="5"/>
  <c r="O1074" i="5"/>
  <c r="U1074" i="5"/>
  <c r="V1076" i="5"/>
  <c r="T1076" i="5"/>
  <c r="P1076" i="5"/>
  <c r="R1076" i="5" s="1"/>
  <c r="W1076" i="5"/>
  <c r="S1076" i="5"/>
  <c r="O1076" i="5"/>
  <c r="U1076" i="5"/>
  <c r="V1078" i="5"/>
  <c r="T1078" i="5"/>
  <c r="P1078" i="5"/>
  <c r="R1078" i="5" s="1"/>
  <c r="W1078" i="5"/>
  <c r="S1078" i="5"/>
  <c r="O1078" i="5"/>
  <c r="U1078" i="5"/>
  <c r="V1080" i="5"/>
  <c r="T1080" i="5"/>
  <c r="P1080" i="5"/>
  <c r="R1080" i="5" s="1"/>
  <c r="W1080" i="5"/>
  <c r="S1080" i="5"/>
  <c r="O1080" i="5"/>
  <c r="U1080" i="5"/>
  <c r="V1082" i="5"/>
  <c r="T1082" i="5"/>
  <c r="P1082" i="5"/>
  <c r="R1082" i="5" s="1"/>
  <c r="W1082" i="5"/>
  <c r="S1082" i="5"/>
  <c r="O1082" i="5"/>
  <c r="U1082" i="5"/>
  <c r="V1084" i="5"/>
  <c r="T1084" i="5"/>
  <c r="P1084" i="5"/>
  <c r="R1084" i="5" s="1"/>
  <c r="W1084" i="5"/>
  <c r="S1084" i="5"/>
  <c r="O1084" i="5"/>
  <c r="U1084" i="5"/>
  <c r="V1086" i="5"/>
  <c r="T1086" i="5"/>
  <c r="P1086" i="5"/>
  <c r="R1086" i="5" s="1"/>
  <c r="W1086" i="5"/>
  <c r="S1086" i="5"/>
  <c r="O1086" i="5"/>
  <c r="U1086" i="5"/>
  <c r="V1088" i="5"/>
  <c r="T1088" i="5"/>
  <c r="P1088" i="5"/>
  <c r="R1088" i="5" s="1"/>
  <c r="W1088" i="5"/>
  <c r="S1088" i="5"/>
  <c r="O1088" i="5"/>
  <c r="U1088" i="5"/>
  <c r="V1090" i="5"/>
  <c r="T1090" i="5"/>
  <c r="P1090" i="5"/>
  <c r="R1090" i="5" s="1"/>
  <c r="W1090" i="5"/>
  <c r="S1090" i="5"/>
  <c r="O1090" i="5"/>
  <c r="U1090" i="5"/>
  <c r="V1092" i="5"/>
  <c r="T1092" i="5"/>
  <c r="P1092" i="5"/>
  <c r="R1092" i="5" s="1"/>
  <c r="W1092" i="5"/>
  <c r="S1092" i="5"/>
  <c r="O1092" i="5"/>
  <c r="U1092" i="5"/>
  <c r="V1094" i="5"/>
  <c r="T1094" i="5"/>
  <c r="P1094" i="5"/>
  <c r="R1094" i="5" s="1"/>
  <c r="W1094" i="5"/>
  <c r="S1094" i="5"/>
  <c r="O1094" i="5"/>
  <c r="U1094" i="5"/>
  <c r="V1096" i="5"/>
  <c r="T1096" i="5"/>
  <c r="P1096" i="5"/>
  <c r="R1096" i="5" s="1"/>
  <c r="W1096" i="5"/>
  <c r="S1096" i="5"/>
  <c r="O1096" i="5"/>
  <c r="U1096" i="5"/>
  <c r="V1098" i="5"/>
  <c r="T1098" i="5"/>
  <c r="P1098" i="5"/>
  <c r="R1098" i="5" s="1"/>
  <c r="W1098" i="5"/>
  <c r="S1098" i="5"/>
  <c r="O1098" i="5"/>
  <c r="U1098" i="5"/>
  <c r="V1100" i="5"/>
  <c r="T1100" i="5"/>
  <c r="P1100" i="5"/>
  <c r="R1100" i="5" s="1"/>
  <c r="W1100" i="5"/>
  <c r="S1100" i="5"/>
  <c r="O1100" i="5"/>
  <c r="U1100" i="5"/>
  <c r="V1102" i="5"/>
  <c r="T1102" i="5"/>
  <c r="P1102" i="5"/>
  <c r="R1102" i="5" s="1"/>
  <c r="W1102" i="5"/>
  <c r="S1102" i="5"/>
  <c r="O1102" i="5"/>
  <c r="U1102" i="5"/>
  <c r="V1104" i="5"/>
  <c r="T1104" i="5"/>
  <c r="P1104" i="5"/>
  <c r="R1104" i="5" s="1"/>
  <c r="W1104" i="5"/>
  <c r="S1104" i="5"/>
  <c r="O1104" i="5"/>
  <c r="U1104" i="5"/>
  <c r="V1106" i="5"/>
  <c r="T1106" i="5"/>
  <c r="P1106" i="5"/>
  <c r="R1106" i="5" s="1"/>
  <c r="W1106" i="5"/>
  <c r="S1106" i="5"/>
  <c r="O1106" i="5"/>
  <c r="U1106" i="5"/>
  <c r="V1108" i="5"/>
  <c r="T1108" i="5"/>
  <c r="P1108" i="5"/>
  <c r="R1108" i="5" s="1"/>
  <c r="W1108" i="5"/>
  <c r="S1108" i="5"/>
  <c r="O1108" i="5"/>
  <c r="U1108" i="5"/>
  <c r="V1110" i="5"/>
  <c r="T1110" i="5"/>
  <c r="P1110" i="5"/>
  <c r="R1110" i="5" s="1"/>
  <c r="W1110" i="5"/>
  <c r="S1110" i="5"/>
  <c r="O1110" i="5"/>
  <c r="U1110" i="5"/>
  <c r="V1112" i="5"/>
  <c r="T1112" i="5"/>
  <c r="P1112" i="5"/>
  <c r="R1112" i="5" s="1"/>
  <c r="W1112" i="5"/>
  <c r="S1112" i="5"/>
  <c r="O1112" i="5"/>
  <c r="U1112" i="5"/>
  <c r="V1114" i="5"/>
  <c r="T1114" i="5"/>
  <c r="P1114" i="5"/>
  <c r="R1114" i="5" s="1"/>
  <c r="W1114" i="5"/>
  <c r="S1114" i="5"/>
  <c r="O1114" i="5"/>
  <c r="U1114" i="5"/>
  <c r="V1116" i="5"/>
  <c r="T1116" i="5"/>
  <c r="P1116" i="5"/>
  <c r="R1116" i="5" s="1"/>
  <c r="W1116" i="5"/>
  <c r="S1116" i="5"/>
  <c r="O1116" i="5"/>
  <c r="U1116" i="5"/>
  <c r="V1118" i="5"/>
  <c r="T1118" i="5"/>
  <c r="P1118" i="5"/>
  <c r="R1118" i="5" s="1"/>
  <c r="W1118" i="5"/>
  <c r="S1118" i="5"/>
  <c r="O1118" i="5"/>
  <c r="U1118" i="5"/>
  <c r="V1120" i="5"/>
  <c r="T1120" i="5"/>
  <c r="P1120" i="5"/>
  <c r="R1120" i="5" s="1"/>
  <c r="W1120" i="5"/>
  <c r="S1120" i="5"/>
  <c r="O1120" i="5"/>
  <c r="U1120" i="5"/>
  <c r="V1122" i="5"/>
  <c r="T1122" i="5"/>
  <c r="P1122" i="5"/>
  <c r="R1122" i="5" s="1"/>
  <c r="W1122" i="5"/>
  <c r="S1122" i="5"/>
  <c r="O1122" i="5"/>
  <c r="U1122" i="5"/>
  <c r="V1124" i="5"/>
  <c r="T1124" i="5"/>
  <c r="P1124" i="5"/>
  <c r="R1124" i="5" s="1"/>
  <c r="W1124" i="5"/>
  <c r="S1124" i="5"/>
  <c r="O1124" i="5"/>
  <c r="U1124" i="5"/>
  <c r="V1126" i="5"/>
  <c r="T1126" i="5"/>
  <c r="P1126" i="5"/>
  <c r="R1126" i="5" s="1"/>
  <c r="W1126" i="5"/>
  <c r="S1126" i="5"/>
  <c r="O1126" i="5"/>
  <c r="U1126" i="5"/>
  <c r="V1128" i="5"/>
  <c r="T1128" i="5"/>
  <c r="P1128" i="5"/>
  <c r="R1128" i="5" s="1"/>
  <c r="W1128" i="5"/>
  <c r="S1128" i="5"/>
  <c r="O1128" i="5"/>
  <c r="U1128" i="5"/>
  <c r="V1130" i="5"/>
  <c r="T1130" i="5"/>
  <c r="P1130" i="5"/>
  <c r="R1130" i="5" s="1"/>
  <c r="W1130" i="5"/>
  <c r="S1130" i="5"/>
  <c r="O1130" i="5"/>
  <c r="U1130" i="5"/>
  <c r="V1132" i="5"/>
  <c r="T1132" i="5"/>
  <c r="P1132" i="5"/>
  <c r="R1132" i="5" s="1"/>
  <c r="W1132" i="5"/>
  <c r="S1132" i="5"/>
  <c r="O1132" i="5"/>
  <c r="U1132" i="5"/>
  <c r="V1134" i="5"/>
  <c r="T1134" i="5"/>
  <c r="P1134" i="5"/>
  <c r="R1134" i="5" s="1"/>
  <c r="W1134" i="5"/>
  <c r="S1134" i="5"/>
  <c r="O1134" i="5"/>
  <c r="U1134" i="5"/>
  <c r="V1136" i="5"/>
  <c r="T1136" i="5"/>
  <c r="P1136" i="5"/>
  <c r="R1136" i="5" s="1"/>
  <c r="W1136" i="5"/>
  <c r="S1136" i="5"/>
  <c r="O1136" i="5"/>
  <c r="U1136" i="5"/>
  <c r="V1138" i="5"/>
  <c r="T1138" i="5"/>
  <c r="P1138" i="5"/>
  <c r="R1138" i="5" s="1"/>
  <c r="W1138" i="5"/>
  <c r="S1138" i="5"/>
  <c r="O1138" i="5"/>
  <c r="U1138" i="5"/>
  <c r="V1140" i="5"/>
  <c r="T1140" i="5"/>
  <c r="P1140" i="5"/>
  <c r="R1140" i="5" s="1"/>
  <c r="W1140" i="5"/>
  <c r="S1140" i="5"/>
  <c r="O1140" i="5"/>
  <c r="U1140" i="5"/>
  <c r="V1142" i="5"/>
  <c r="T1142" i="5"/>
  <c r="P1142" i="5"/>
  <c r="R1142" i="5" s="1"/>
  <c r="W1142" i="5"/>
  <c r="S1142" i="5"/>
  <c r="O1142" i="5"/>
  <c r="U1142" i="5"/>
  <c r="V1144" i="5"/>
  <c r="T1144" i="5"/>
  <c r="P1144" i="5"/>
  <c r="R1144" i="5" s="1"/>
  <c r="W1144" i="5"/>
  <c r="S1144" i="5"/>
  <c r="O1144" i="5"/>
  <c r="U1144" i="5"/>
  <c r="V1146" i="5"/>
  <c r="T1146" i="5"/>
  <c r="P1146" i="5"/>
  <c r="R1146" i="5" s="1"/>
  <c r="W1146" i="5"/>
  <c r="S1146" i="5"/>
  <c r="O1146" i="5"/>
  <c r="U1146" i="5"/>
  <c r="V1148" i="5"/>
  <c r="T1148" i="5"/>
  <c r="P1148" i="5"/>
  <c r="R1148" i="5" s="1"/>
  <c r="W1148" i="5"/>
  <c r="S1148" i="5"/>
  <c r="O1148" i="5"/>
  <c r="U1148" i="5"/>
  <c r="V1150" i="5"/>
  <c r="T1150" i="5"/>
  <c r="P1150" i="5"/>
  <c r="R1150" i="5" s="1"/>
  <c r="W1150" i="5"/>
  <c r="S1150" i="5"/>
  <c r="O1150" i="5"/>
  <c r="U1150" i="5"/>
  <c r="V1152" i="5"/>
  <c r="T1152" i="5"/>
  <c r="P1152" i="5"/>
  <c r="R1152" i="5" s="1"/>
  <c r="W1152" i="5"/>
  <c r="S1152" i="5"/>
  <c r="O1152" i="5"/>
  <c r="U1152" i="5"/>
  <c r="V1154" i="5"/>
  <c r="T1154" i="5"/>
  <c r="P1154" i="5"/>
  <c r="R1154" i="5" s="1"/>
  <c r="W1154" i="5"/>
  <c r="S1154" i="5"/>
  <c r="O1154" i="5"/>
  <c r="U1154" i="5"/>
  <c r="V1156" i="5"/>
  <c r="T1156" i="5"/>
  <c r="P1156" i="5"/>
  <c r="R1156" i="5" s="1"/>
  <c r="W1156" i="5"/>
  <c r="S1156" i="5"/>
  <c r="O1156" i="5"/>
  <c r="U1156" i="5"/>
  <c r="V1158" i="5"/>
  <c r="T1158" i="5"/>
  <c r="P1158" i="5"/>
  <c r="R1158" i="5" s="1"/>
  <c r="W1158" i="5"/>
  <c r="S1158" i="5"/>
  <c r="O1158" i="5"/>
  <c r="U1158" i="5"/>
  <c r="V1160" i="5"/>
  <c r="T1160" i="5"/>
  <c r="P1160" i="5"/>
  <c r="R1160" i="5" s="1"/>
  <c r="W1160" i="5"/>
  <c r="S1160" i="5"/>
  <c r="O1160" i="5"/>
  <c r="U1160" i="5"/>
  <c r="V1162" i="5"/>
  <c r="T1162" i="5"/>
  <c r="P1162" i="5"/>
  <c r="R1162" i="5" s="1"/>
  <c r="W1162" i="5"/>
  <c r="S1162" i="5"/>
  <c r="O1162" i="5"/>
  <c r="U1162" i="5"/>
  <c r="V1164" i="5"/>
  <c r="T1164" i="5"/>
  <c r="P1164" i="5"/>
  <c r="R1164" i="5" s="1"/>
  <c r="W1164" i="5"/>
  <c r="S1164" i="5"/>
  <c r="O1164" i="5"/>
  <c r="U1164" i="5"/>
  <c r="V1166" i="5"/>
  <c r="T1166" i="5"/>
  <c r="P1166" i="5"/>
  <c r="R1166" i="5" s="1"/>
  <c r="W1166" i="5"/>
  <c r="S1166" i="5"/>
  <c r="O1166" i="5"/>
  <c r="U1166" i="5"/>
  <c r="V1168" i="5"/>
  <c r="T1168" i="5"/>
  <c r="P1168" i="5"/>
  <c r="R1168" i="5" s="1"/>
  <c r="W1168" i="5"/>
  <c r="S1168" i="5"/>
  <c r="O1168" i="5"/>
  <c r="U1168" i="5"/>
  <c r="V1170" i="5"/>
  <c r="T1170" i="5"/>
  <c r="P1170" i="5"/>
  <c r="R1170" i="5" s="1"/>
  <c r="W1170" i="5"/>
  <c r="S1170" i="5"/>
  <c r="O1170" i="5"/>
  <c r="U1170" i="5"/>
  <c r="V1172" i="5"/>
  <c r="T1172" i="5"/>
  <c r="P1172" i="5"/>
  <c r="R1172" i="5" s="1"/>
  <c r="W1172" i="5"/>
  <c r="S1172" i="5"/>
  <c r="O1172" i="5"/>
  <c r="U1172" i="5"/>
  <c r="V1174" i="5"/>
  <c r="T1174" i="5"/>
  <c r="P1174" i="5"/>
  <c r="R1174" i="5" s="1"/>
  <c r="W1174" i="5"/>
  <c r="S1174" i="5"/>
  <c r="O1174" i="5"/>
  <c r="U1174" i="5"/>
  <c r="V1176" i="5"/>
  <c r="T1176" i="5"/>
  <c r="P1176" i="5"/>
  <c r="R1176" i="5" s="1"/>
  <c r="W1176" i="5"/>
  <c r="S1176" i="5"/>
  <c r="O1176" i="5"/>
  <c r="U1176" i="5"/>
  <c r="V1178" i="5"/>
  <c r="T1178" i="5"/>
  <c r="P1178" i="5"/>
  <c r="R1178" i="5" s="1"/>
  <c r="W1178" i="5"/>
  <c r="S1178" i="5"/>
  <c r="O1178" i="5"/>
  <c r="U1178" i="5"/>
  <c r="V1180" i="5"/>
  <c r="T1180" i="5"/>
  <c r="P1180" i="5"/>
  <c r="R1180" i="5" s="1"/>
  <c r="W1180" i="5"/>
  <c r="S1180" i="5"/>
  <c r="O1180" i="5"/>
  <c r="U1180" i="5"/>
  <c r="V1182" i="5"/>
  <c r="T1182" i="5"/>
  <c r="P1182" i="5"/>
  <c r="R1182" i="5" s="1"/>
  <c r="U1182" i="5"/>
  <c r="S1182" i="5"/>
  <c r="O1182" i="5"/>
  <c r="W1182" i="5"/>
  <c r="V1184" i="5"/>
  <c r="T1184" i="5"/>
  <c r="P1184" i="5"/>
  <c r="R1184" i="5" s="1"/>
  <c r="U1184" i="5"/>
  <c r="W1184" i="5"/>
  <c r="O1184" i="5"/>
  <c r="S1184" i="5"/>
  <c r="V1186" i="5"/>
  <c r="T1186" i="5"/>
  <c r="P1186" i="5"/>
  <c r="R1186" i="5" s="1"/>
  <c r="U1186" i="5"/>
  <c r="S1186" i="5"/>
  <c r="W1186" i="5"/>
  <c r="O1186" i="5"/>
  <c r="V1188" i="5"/>
  <c r="T1188" i="5"/>
  <c r="P1188" i="5"/>
  <c r="R1188" i="5" s="1"/>
  <c r="U1188" i="5"/>
  <c r="W1188" i="5"/>
  <c r="O1188" i="5"/>
  <c r="S1188" i="5"/>
  <c r="V1190" i="5"/>
  <c r="T1190" i="5"/>
  <c r="P1190" i="5"/>
  <c r="R1190" i="5" s="1"/>
  <c r="U1190" i="5"/>
  <c r="S1190" i="5"/>
  <c r="W1190" i="5"/>
  <c r="O1190" i="5"/>
  <c r="V1192" i="5"/>
  <c r="T1192" i="5"/>
  <c r="P1192" i="5"/>
  <c r="R1192" i="5" s="1"/>
  <c r="U1192" i="5"/>
  <c r="W1192" i="5"/>
  <c r="O1192" i="5"/>
  <c r="S1192" i="5"/>
  <c r="V1194" i="5"/>
  <c r="T1194" i="5"/>
  <c r="P1194" i="5"/>
  <c r="R1194" i="5" s="1"/>
  <c r="U1194" i="5"/>
  <c r="S1194" i="5"/>
  <c r="W1194" i="5"/>
  <c r="O1194" i="5"/>
  <c r="V1196" i="5"/>
  <c r="T1196" i="5"/>
  <c r="P1196" i="5"/>
  <c r="R1196" i="5" s="1"/>
  <c r="U1196" i="5"/>
  <c r="W1196" i="5"/>
  <c r="O1196" i="5"/>
  <c r="S1196" i="5"/>
  <c r="V1198" i="5"/>
  <c r="T1198" i="5"/>
  <c r="P1198" i="5"/>
  <c r="R1198" i="5" s="1"/>
  <c r="U1198" i="5"/>
  <c r="S1198" i="5"/>
  <c r="W1198" i="5"/>
  <c r="O1198" i="5"/>
  <c r="V1200" i="5"/>
  <c r="T1200" i="5"/>
  <c r="P1200" i="5"/>
  <c r="R1200" i="5" s="1"/>
  <c r="U1200" i="5"/>
  <c r="W1200" i="5"/>
  <c r="O1200" i="5"/>
  <c r="S1200" i="5"/>
  <c r="V1202" i="5"/>
  <c r="T1202" i="5"/>
  <c r="P1202" i="5"/>
  <c r="R1202" i="5" s="1"/>
  <c r="U1202" i="5"/>
  <c r="S1202" i="5"/>
  <c r="W1202" i="5"/>
  <c r="O1202" i="5"/>
  <c r="V1204" i="5"/>
  <c r="T1204" i="5"/>
  <c r="P1204" i="5"/>
  <c r="R1204" i="5" s="1"/>
  <c r="U1204" i="5"/>
  <c r="S1204" i="5"/>
  <c r="O1204" i="5"/>
  <c r="W1204" i="5"/>
  <c r="V1206" i="5"/>
  <c r="T1206" i="5"/>
  <c r="P1206" i="5"/>
  <c r="R1206" i="5" s="1"/>
  <c r="U1206" i="5"/>
  <c r="W1206" i="5"/>
  <c r="O1206" i="5"/>
  <c r="S1206" i="5"/>
  <c r="V1208" i="5"/>
  <c r="T1208" i="5"/>
  <c r="P1208" i="5"/>
  <c r="R1208" i="5" s="1"/>
  <c r="U1208" i="5"/>
  <c r="S1208" i="5"/>
  <c r="W1208" i="5"/>
  <c r="O1208" i="5"/>
  <c r="V1210" i="5"/>
  <c r="T1210" i="5"/>
  <c r="P1210" i="5"/>
  <c r="R1210" i="5" s="1"/>
  <c r="U1210" i="5"/>
  <c r="W1210" i="5"/>
  <c r="O1210" i="5"/>
  <c r="S1210" i="5"/>
  <c r="V1212" i="5"/>
  <c r="T1212" i="5"/>
  <c r="P1212" i="5"/>
  <c r="R1212" i="5" s="1"/>
  <c r="U1212" i="5"/>
  <c r="S1212" i="5"/>
  <c r="O1212" i="5"/>
  <c r="W1212" i="5"/>
  <c r="V1214" i="5"/>
  <c r="T1214" i="5"/>
  <c r="P1214" i="5"/>
  <c r="R1214" i="5" s="1"/>
  <c r="U1214" i="5"/>
  <c r="W1214" i="5"/>
  <c r="O1214" i="5"/>
  <c r="S1214" i="5"/>
  <c r="V1216" i="5"/>
  <c r="T1216" i="5"/>
  <c r="P1216" i="5"/>
  <c r="R1216" i="5" s="1"/>
  <c r="U1216" i="5"/>
  <c r="S1216" i="5"/>
  <c r="W1216" i="5"/>
  <c r="O1216" i="5"/>
  <c r="V1218" i="5"/>
  <c r="T1218" i="5"/>
  <c r="P1218" i="5"/>
  <c r="R1218" i="5" s="1"/>
  <c r="U1218" i="5"/>
  <c r="W1218" i="5"/>
  <c r="O1218" i="5"/>
  <c r="S1218" i="5"/>
  <c r="V1220" i="5"/>
  <c r="T1220" i="5"/>
  <c r="P1220" i="5"/>
  <c r="R1220" i="5" s="1"/>
  <c r="U1220" i="5"/>
  <c r="S1220" i="5"/>
  <c r="O1220" i="5"/>
  <c r="W1220" i="5"/>
  <c r="V1222" i="5"/>
  <c r="T1222" i="5"/>
  <c r="P1222" i="5"/>
  <c r="R1222" i="5" s="1"/>
  <c r="U1222" i="5"/>
  <c r="W1222" i="5"/>
  <c r="O1222" i="5"/>
  <c r="S1222" i="5"/>
  <c r="V1224" i="5"/>
  <c r="T1224" i="5"/>
  <c r="P1224" i="5"/>
  <c r="R1224" i="5" s="1"/>
  <c r="U1224" i="5"/>
  <c r="S1224" i="5"/>
  <c r="W1224" i="5"/>
  <c r="O1224" i="5"/>
  <c r="V1226" i="5"/>
  <c r="T1226" i="5"/>
  <c r="P1226" i="5"/>
  <c r="R1226" i="5" s="1"/>
  <c r="U1226" i="5"/>
  <c r="W1226" i="5"/>
  <c r="O1226" i="5"/>
  <c r="S1226" i="5"/>
  <c r="V1228" i="5"/>
  <c r="T1228" i="5"/>
  <c r="P1228" i="5"/>
  <c r="R1228" i="5" s="1"/>
  <c r="U1228" i="5"/>
  <c r="S1228" i="5"/>
  <c r="O1228" i="5"/>
  <c r="W1228" i="5"/>
  <c r="V1230" i="5"/>
  <c r="T1230" i="5"/>
  <c r="P1230" i="5"/>
  <c r="R1230" i="5" s="1"/>
  <c r="U1230" i="5"/>
  <c r="W1230" i="5"/>
  <c r="O1230" i="5"/>
  <c r="S1230" i="5"/>
  <c r="V1232" i="5"/>
  <c r="T1232" i="5"/>
  <c r="P1232" i="5"/>
  <c r="R1232" i="5" s="1"/>
  <c r="U1232" i="5"/>
  <c r="S1232" i="5"/>
  <c r="W1232" i="5"/>
  <c r="O1232" i="5"/>
  <c r="V1234" i="5"/>
  <c r="T1234" i="5"/>
  <c r="P1234" i="5"/>
  <c r="R1234" i="5" s="1"/>
  <c r="U1234" i="5"/>
  <c r="W1234" i="5"/>
  <c r="O1234" i="5"/>
  <c r="S1234" i="5"/>
  <c r="V1236" i="5"/>
  <c r="T1236" i="5"/>
  <c r="P1236" i="5"/>
  <c r="R1236" i="5" s="1"/>
  <c r="U1236" i="5"/>
  <c r="W1236" i="5"/>
  <c r="O1236" i="5"/>
  <c r="S1236" i="5"/>
  <c r="V1238" i="5"/>
  <c r="T1238" i="5"/>
  <c r="P1238" i="5"/>
  <c r="R1238" i="5" s="1"/>
  <c r="U1238" i="5"/>
  <c r="S1238" i="5"/>
  <c r="W1238" i="5"/>
  <c r="O1238" i="5"/>
  <c r="V1240" i="5"/>
  <c r="T1240" i="5"/>
  <c r="P1240" i="5"/>
  <c r="R1240" i="5" s="1"/>
  <c r="U1240" i="5"/>
  <c r="W1240" i="5"/>
  <c r="O1240" i="5"/>
  <c r="S1240" i="5"/>
  <c r="V1242" i="5"/>
  <c r="T1242" i="5"/>
  <c r="P1242" i="5"/>
  <c r="R1242" i="5" s="1"/>
  <c r="U1242" i="5"/>
  <c r="S1242" i="5"/>
  <c r="W1242" i="5"/>
  <c r="O1242" i="5"/>
  <c r="V1244" i="5"/>
  <c r="T1244" i="5"/>
  <c r="P1244" i="5"/>
  <c r="R1244" i="5" s="1"/>
  <c r="U1244" i="5"/>
  <c r="W1244" i="5"/>
  <c r="O1244" i="5"/>
  <c r="S1244" i="5"/>
  <c r="V1246" i="5"/>
  <c r="T1246" i="5"/>
  <c r="P1246" i="5"/>
  <c r="R1246" i="5" s="1"/>
  <c r="U1246" i="5"/>
  <c r="S1246" i="5"/>
  <c r="W1246" i="5"/>
  <c r="O1246" i="5"/>
  <c r="V1248" i="5"/>
  <c r="T1248" i="5"/>
  <c r="P1248" i="5"/>
  <c r="R1248" i="5" s="1"/>
  <c r="U1248" i="5"/>
  <c r="W1248" i="5"/>
  <c r="O1248" i="5"/>
  <c r="S1248" i="5"/>
  <c r="V1250" i="5"/>
  <c r="T1250" i="5"/>
  <c r="P1250" i="5"/>
  <c r="R1250" i="5" s="1"/>
  <c r="U1250" i="5"/>
  <c r="S1250" i="5"/>
  <c r="W1250" i="5"/>
  <c r="O1250" i="5"/>
  <c r="V1252" i="5"/>
  <c r="T1252" i="5"/>
  <c r="P1252" i="5"/>
  <c r="R1252" i="5" s="1"/>
  <c r="U1252" i="5"/>
  <c r="W1252" i="5"/>
  <c r="O1252" i="5"/>
  <c r="S1252" i="5"/>
  <c r="V1254" i="5"/>
  <c r="T1254" i="5"/>
  <c r="P1254" i="5"/>
  <c r="R1254" i="5" s="1"/>
  <c r="U1254" i="5"/>
  <c r="S1254" i="5"/>
  <c r="W1254" i="5"/>
  <c r="O1254" i="5"/>
  <c r="V1256" i="5"/>
  <c r="T1256" i="5"/>
  <c r="P1256" i="5"/>
  <c r="R1256" i="5" s="1"/>
  <c r="U1256" i="5"/>
  <c r="W1256" i="5"/>
  <c r="O1256" i="5"/>
  <c r="S1256" i="5"/>
  <c r="V1258" i="5"/>
  <c r="T1258" i="5"/>
  <c r="P1258" i="5"/>
  <c r="R1258" i="5" s="1"/>
  <c r="U1258" i="5"/>
  <c r="S1258" i="5"/>
  <c r="W1258" i="5"/>
  <c r="O1258" i="5"/>
  <c r="V1260" i="5"/>
  <c r="T1260" i="5"/>
  <c r="P1260" i="5"/>
  <c r="R1260" i="5" s="1"/>
  <c r="U1260" i="5"/>
  <c r="W1260" i="5"/>
  <c r="O1260" i="5"/>
  <c r="S1260" i="5"/>
  <c r="V1262" i="5"/>
  <c r="T1262" i="5"/>
  <c r="P1262" i="5"/>
  <c r="R1262" i="5" s="1"/>
  <c r="U1262" i="5"/>
  <c r="S1262" i="5"/>
  <c r="W1262" i="5"/>
  <c r="O1262" i="5"/>
  <c r="V1264" i="5"/>
  <c r="T1264" i="5"/>
  <c r="P1264" i="5"/>
  <c r="R1264" i="5" s="1"/>
  <c r="U1264" i="5"/>
  <c r="W1264" i="5"/>
  <c r="O1264" i="5"/>
  <c r="S1264" i="5"/>
  <c r="V1266" i="5"/>
  <c r="T1266" i="5"/>
  <c r="P1266" i="5"/>
  <c r="R1266" i="5" s="1"/>
  <c r="U1266" i="5"/>
  <c r="S1266" i="5"/>
  <c r="W1266" i="5"/>
  <c r="O1266" i="5"/>
  <c r="V1268" i="5"/>
  <c r="T1268" i="5"/>
  <c r="P1268" i="5"/>
  <c r="R1268" i="5" s="1"/>
  <c r="U1268" i="5"/>
  <c r="W1268" i="5"/>
  <c r="O1268" i="5"/>
  <c r="S1268" i="5"/>
  <c r="V1270" i="5"/>
  <c r="T1270" i="5"/>
  <c r="P1270" i="5"/>
  <c r="R1270" i="5" s="1"/>
  <c r="U1270" i="5"/>
  <c r="S1270" i="5"/>
  <c r="W1270" i="5"/>
  <c r="O1270" i="5"/>
  <c r="V1272" i="5"/>
  <c r="T1272" i="5"/>
  <c r="P1272" i="5"/>
  <c r="R1272" i="5" s="1"/>
  <c r="U1272" i="5"/>
  <c r="W1272" i="5"/>
  <c r="O1272" i="5"/>
  <c r="S1272" i="5"/>
  <c r="V1274" i="5"/>
  <c r="T1274" i="5"/>
  <c r="P1274" i="5"/>
  <c r="R1274" i="5" s="1"/>
  <c r="U1274" i="5"/>
  <c r="S1274" i="5"/>
  <c r="W1274" i="5"/>
  <c r="O1274" i="5"/>
  <c r="V1276" i="5"/>
  <c r="T1276" i="5"/>
  <c r="P1276" i="5"/>
  <c r="R1276" i="5" s="1"/>
  <c r="U1276" i="5"/>
  <c r="W1276" i="5"/>
  <c r="O1276" i="5"/>
  <c r="S1276" i="5"/>
  <c r="V1278" i="5"/>
  <c r="T1278" i="5"/>
  <c r="P1278" i="5"/>
  <c r="R1278" i="5" s="1"/>
  <c r="U1278" i="5"/>
  <c r="S1278" i="5"/>
  <c r="W1278" i="5"/>
  <c r="O1278" i="5"/>
  <c r="V1280" i="5"/>
  <c r="T1280" i="5"/>
  <c r="P1280" i="5"/>
  <c r="R1280" i="5" s="1"/>
  <c r="U1280" i="5"/>
  <c r="W1280" i="5"/>
  <c r="O1280" i="5"/>
  <c r="S1280" i="5"/>
  <c r="V1282" i="5"/>
  <c r="T1282" i="5"/>
  <c r="P1282" i="5"/>
  <c r="R1282" i="5" s="1"/>
  <c r="U1282" i="5"/>
  <c r="S1282" i="5"/>
  <c r="W1282" i="5"/>
  <c r="O1282" i="5"/>
  <c r="V1284" i="5"/>
  <c r="T1284" i="5"/>
  <c r="P1284" i="5"/>
  <c r="R1284" i="5" s="1"/>
  <c r="U1284" i="5"/>
  <c r="W1284" i="5"/>
  <c r="O1284" i="5"/>
  <c r="S1284" i="5"/>
  <c r="V1286" i="5"/>
  <c r="T1286" i="5"/>
  <c r="P1286" i="5"/>
  <c r="R1286" i="5" s="1"/>
  <c r="U1286" i="5"/>
  <c r="S1286" i="5"/>
  <c r="W1286" i="5"/>
  <c r="O1286" i="5"/>
  <c r="V1288" i="5"/>
  <c r="T1288" i="5"/>
  <c r="P1288" i="5"/>
  <c r="R1288" i="5" s="1"/>
  <c r="U1288" i="5"/>
  <c r="W1288" i="5"/>
  <c r="O1288" i="5"/>
  <c r="S1288" i="5"/>
  <c r="V1290" i="5"/>
  <c r="T1290" i="5"/>
  <c r="P1290" i="5"/>
  <c r="R1290" i="5" s="1"/>
  <c r="U1290" i="5"/>
  <c r="S1290" i="5"/>
  <c r="W1290" i="5"/>
  <c r="O1290" i="5"/>
  <c r="V1292" i="5"/>
  <c r="T1292" i="5"/>
  <c r="P1292" i="5"/>
  <c r="R1292" i="5" s="1"/>
  <c r="U1292" i="5"/>
  <c r="W1292" i="5"/>
  <c r="O1292" i="5"/>
  <c r="S1292" i="5"/>
  <c r="V1294" i="5"/>
  <c r="T1294" i="5"/>
  <c r="P1294" i="5"/>
  <c r="R1294" i="5" s="1"/>
  <c r="U1294" i="5"/>
  <c r="S1294" i="5"/>
  <c r="W1294" i="5"/>
  <c r="O1294" i="5"/>
  <c r="V1296" i="5"/>
  <c r="T1296" i="5"/>
  <c r="P1296" i="5"/>
  <c r="R1296" i="5" s="1"/>
  <c r="U1296" i="5"/>
  <c r="W1296" i="5"/>
  <c r="O1296" i="5"/>
  <c r="S1296" i="5"/>
  <c r="V1298" i="5"/>
  <c r="T1298" i="5"/>
  <c r="P1298" i="5"/>
  <c r="R1298" i="5" s="1"/>
  <c r="U1298" i="5"/>
  <c r="S1298" i="5"/>
  <c r="W1298" i="5"/>
  <c r="O1298" i="5"/>
  <c r="V1300" i="5"/>
  <c r="T1300" i="5"/>
  <c r="P1300" i="5"/>
  <c r="R1300" i="5" s="1"/>
  <c r="U1300" i="5"/>
  <c r="W1300" i="5"/>
  <c r="O1300" i="5"/>
  <c r="S1300" i="5"/>
  <c r="V1302" i="5"/>
  <c r="T1302" i="5"/>
  <c r="P1302" i="5"/>
  <c r="R1302" i="5" s="1"/>
  <c r="U1302" i="5"/>
  <c r="S1302" i="5"/>
  <c r="W1302" i="5"/>
  <c r="O1302" i="5"/>
  <c r="V1304" i="5"/>
  <c r="T1304" i="5"/>
  <c r="P1304" i="5"/>
  <c r="R1304" i="5" s="1"/>
  <c r="U1304" i="5"/>
  <c r="W1304" i="5"/>
  <c r="O1304" i="5"/>
  <c r="S1304" i="5"/>
  <c r="V1306" i="5"/>
  <c r="T1306" i="5"/>
  <c r="P1306" i="5"/>
  <c r="R1306" i="5" s="1"/>
  <c r="U1306" i="5"/>
  <c r="S1306" i="5"/>
  <c r="W1306" i="5"/>
  <c r="O1306" i="5"/>
  <c r="V1308" i="5"/>
  <c r="T1308" i="5"/>
  <c r="P1308" i="5"/>
  <c r="R1308" i="5" s="1"/>
  <c r="U1308" i="5"/>
  <c r="W1308" i="5"/>
  <c r="O1308" i="5"/>
  <c r="S1308" i="5"/>
  <c r="V1310" i="5"/>
  <c r="T1310" i="5"/>
  <c r="P1310" i="5"/>
  <c r="R1310" i="5" s="1"/>
  <c r="U1310" i="5"/>
  <c r="S1310" i="5"/>
  <c r="W1310" i="5"/>
  <c r="O1310" i="5"/>
  <c r="V1312" i="5"/>
  <c r="T1312" i="5"/>
  <c r="P1312" i="5"/>
  <c r="R1312" i="5" s="1"/>
  <c r="U1312" i="5"/>
  <c r="W1312" i="5"/>
  <c r="O1312" i="5"/>
  <c r="S1312" i="5"/>
  <c r="V1314" i="5"/>
  <c r="T1314" i="5"/>
  <c r="P1314" i="5"/>
  <c r="R1314" i="5" s="1"/>
  <c r="U1314" i="5"/>
  <c r="S1314" i="5"/>
  <c r="W1314" i="5"/>
  <c r="O1314" i="5"/>
  <c r="V1316" i="5"/>
  <c r="T1316" i="5"/>
  <c r="P1316" i="5"/>
  <c r="R1316" i="5" s="1"/>
  <c r="U1316" i="5"/>
  <c r="W1316" i="5"/>
  <c r="O1316" i="5"/>
  <c r="S1316" i="5"/>
  <c r="V1318" i="5"/>
  <c r="T1318" i="5"/>
  <c r="P1318" i="5"/>
  <c r="R1318" i="5" s="1"/>
  <c r="U1318" i="5"/>
  <c r="S1318" i="5"/>
  <c r="W1318" i="5"/>
  <c r="O1318" i="5"/>
  <c r="V1320" i="5"/>
  <c r="T1320" i="5"/>
  <c r="P1320" i="5"/>
  <c r="R1320" i="5" s="1"/>
  <c r="U1320" i="5"/>
  <c r="W1320" i="5"/>
  <c r="O1320" i="5"/>
  <c r="S1320" i="5"/>
  <c r="V1322" i="5"/>
  <c r="T1322" i="5"/>
  <c r="P1322" i="5"/>
  <c r="R1322" i="5" s="1"/>
  <c r="U1322" i="5"/>
  <c r="S1322" i="5"/>
  <c r="W1322" i="5"/>
  <c r="O1322" i="5"/>
  <c r="V1324" i="5"/>
  <c r="T1324" i="5"/>
  <c r="P1324" i="5"/>
  <c r="R1324" i="5" s="1"/>
  <c r="U1324" i="5"/>
  <c r="W1324" i="5"/>
  <c r="O1324" i="5"/>
  <c r="S1324" i="5"/>
  <c r="V1326" i="5"/>
  <c r="T1326" i="5"/>
  <c r="P1326" i="5"/>
  <c r="R1326" i="5" s="1"/>
  <c r="U1326" i="5"/>
  <c r="S1326" i="5"/>
  <c r="W1326" i="5"/>
  <c r="O1326" i="5"/>
  <c r="V1328" i="5"/>
  <c r="T1328" i="5"/>
  <c r="P1328" i="5"/>
  <c r="R1328" i="5" s="1"/>
  <c r="U1328" i="5"/>
  <c r="W1328" i="5"/>
  <c r="O1328" i="5"/>
  <c r="S1328" i="5"/>
  <c r="V1330" i="5"/>
  <c r="T1330" i="5"/>
  <c r="P1330" i="5"/>
  <c r="R1330" i="5" s="1"/>
  <c r="U1330" i="5"/>
  <c r="S1330" i="5"/>
  <c r="W1330" i="5"/>
  <c r="O1330" i="5"/>
  <c r="V1332" i="5"/>
  <c r="T1332" i="5"/>
  <c r="P1332" i="5"/>
  <c r="R1332" i="5" s="1"/>
  <c r="U1332" i="5"/>
  <c r="W1332" i="5"/>
  <c r="O1332" i="5"/>
  <c r="S1332" i="5"/>
  <c r="V1334" i="5"/>
  <c r="T1334" i="5"/>
  <c r="P1334" i="5"/>
  <c r="R1334" i="5" s="1"/>
  <c r="U1334" i="5"/>
  <c r="S1334" i="5"/>
  <c r="W1334" i="5"/>
  <c r="O1334" i="5"/>
  <c r="V1336" i="5"/>
  <c r="T1336" i="5"/>
  <c r="P1336" i="5"/>
  <c r="R1336" i="5" s="1"/>
  <c r="U1336" i="5"/>
  <c r="W1336" i="5"/>
  <c r="O1336" i="5"/>
  <c r="S1336" i="5"/>
  <c r="V1338" i="5"/>
  <c r="T1338" i="5"/>
  <c r="P1338" i="5"/>
  <c r="R1338" i="5" s="1"/>
  <c r="U1338" i="5"/>
  <c r="S1338" i="5"/>
  <c r="W1338" i="5"/>
  <c r="O1338" i="5"/>
  <c r="V1340" i="5"/>
  <c r="T1340" i="5"/>
  <c r="P1340" i="5"/>
  <c r="R1340" i="5" s="1"/>
  <c r="U1340" i="5"/>
  <c r="W1340" i="5"/>
  <c r="O1340" i="5"/>
  <c r="S1340" i="5"/>
  <c r="V1342" i="5"/>
  <c r="T1342" i="5"/>
  <c r="P1342" i="5"/>
  <c r="R1342" i="5" s="1"/>
  <c r="U1342" i="5"/>
  <c r="S1342" i="5"/>
  <c r="W1342" i="5"/>
  <c r="O1342" i="5"/>
  <c r="V1344" i="5"/>
  <c r="T1344" i="5"/>
  <c r="P1344" i="5"/>
  <c r="R1344" i="5" s="1"/>
  <c r="U1344" i="5"/>
  <c r="W1344" i="5"/>
  <c r="O1344" i="5"/>
  <c r="S1344" i="5"/>
  <c r="V1346" i="5"/>
  <c r="T1346" i="5"/>
  <c r="P1346" i="5"/>
  <c r="R1346" i="5" s="1"/>
  <c r="U1346" i="5"/>
  <c r="S1346" i="5"/>
  <c r="W1346" i="5"/>
  <c r="O1346" i="5"/>
  <c r="V1348" i="5"/>
  <c r="T1348" i="5"/>
  <c r="P1348" i="5"/>
  <c r="R1348" i="5" s="1"/>
  <c r="U1348" i="5"/>
  <c r="W1348" i="5"/>
  <c r="O1348" i="5"/>
  <c r="S1348" i="5"/>
  <c r="V1350" i="5"/>
  <c r="T1350" i="5"/>
  <c r="P1350" i="5"/>
  <c r="R1350" i="5" s="1"/>
  <c r="U1350" i="5"/>
  <c r="S1350" i="5"/>
  <c r="W1350" i="5"/>
  <c r="O1350" i="5"/>
  <c r="V1352" i="5"/>
  <c r="T1352" i="5"/>
  <c r="P1352" i="5"/>
  <c r="R1352" i="5" s="1"/>
  <c r="U1352" i="5"/>
  <c r="W1352" i="5"/>
  <c r="O1352" i="5"/>
  <c r="S1352" i="5"/>
  <c r="V1354" i="5"/>
  <c r="T1354" i="5"/>
  <c r="P1354" i="5"/>
  <c r="R1354" i="5" s="1"/>
  <c r="U1354" i="5"/>
  <c r="S1354" i="5"/>
  <c r="W1354" i="5"/>
  <c r="O1354" i="5"/>
  <c r="V1356" i="5"/>
  <c r="T1356" i="5"/>
  <c r="P1356" i="5"/>
  <c r="R1356" i="5" s="1"/>
  <c r="U1356" i="5"/>
  <c r="W1356" i="5"/>
  <c r="O1356" i="5"/>
  <c r="S1356" i="5"/>
  <c r="V1358" i="5"/>
  <c r="T1358" i="5"/>
  <c r="P1358" i="5"/>
  <c r="R1358" i="5" s="1"/>
  <c r="U1358" i="5"/>
  <c r="S1358" i="5"/>
  <c r="W1358" i="5"/>
  <c r="O1358" i="5"/>
  <c r="V1360" i="5"/>
  <c r="T1360" i="5"/>
  <c r="P1360" i="5"/>
  <c r="R1360" i="5" s="1"/>
  <c r="U1360" i="5"/>
  <c r="W1360" i="5"/>
  <c r="O1360" i="5"/>
  <c r="S1360" i="5"/>
  <c r="V1362" i="5"/>
  <c r="T1362" i="5"/>
  <c r="P1362" i="5"/>
  <c r="R1362" i="5" s="1"/>
  <c r="U1362" i="5"/>
  <c r="S1362" i="5"/>
  <c r="W1362" i="5"/>
  <c r="O1362" i="5"/>
  <c r="V1364" i="5"/>
  <c r="T1364" i="5"/>
  <c r="P1364" i="5"/>
  <c r="R1364" i="5" s="1"/>
  <c r="U1364" i="5"/>
  <c r="W1364" i="5"/>
  <c r="O1364" i="5"/>
  <c r="S1364" i="5"/>
  <c r="V1366" i="5"/>
  <c r="T1366" i="5"/>
  <c r="P1366" i="5"/>
  <c r="R1366" i="5" s="1"/>
  <c r="U1366" i="5"/>
  <c r="S1366" i="5"/>
  <c r="W1366" i="5"/>
  <c r="O1366" i="5"/>
  <c r="V1368" i="5"/>
  <c r="T1368" i="5"/>
  <c r="P1368" i="5"/>
  <c r="R1368" i="5" s="1"/>
  <c r="U1368" i="5"/>
  <c r="W1368" i="5"/>
  <c r="O1368" i="5"/>
  <c r="S1368" i="5"/>
  <c r="V1370" i="5"/>
  <c r="T1370" i="5"/>
  <c r="P1370" i="5"/>
  <c r="R1370" i="5" s="1"/>
  <c r="U1370" i="5"/>
  <c r="S1370" i="5"/>
  <c r="W1370" i="5"/>
  <c r="O1370" i="5"/>
  <c r="V1372" i="5"/>
  <c r="T1372" i="5"/>
  <c r="P1372" i="5"/>
  <c r="R1372" i="5" s="1"/>
  <c r="U1372" i="5"/>
  <c r="W1372" i="5"/>
  <c r="O1372" i="5"/>
  <c r="S1372" i="5"/>
  <c r="V1374" i="5"/>
  <c r="T1374" i="5"/>
  <c r="P1374" i="5"/>
  <c r="R1374" i="5" s="1"/>
  <c r="U1374" i="5"/>
  <c r="S1374" i="5"/>
  <c r="W1374" i="5"/>
  <c r="O1374" i="5"/>
  <c r="V1376" i="5"/>
  <c r="T1376" i="5"/>
  <c r="P1376" i="5"/>
  <c r="R1376" i="5" s="1"/>
  <c r="U1376" i="5"/>
  <c r="W1376" i="5"/>
  <c r="O1376" i="5"/>
  <c r="S1376" i="5"/>
  <c r="V1378" i="5"/>
  <c r="T1378" i="5"/>
  <c r="P1378" i="5"/>
  <c r="R1378" i="5" s="1"/>
  <c r="U1378" i="5"/>
  <c r="S1378" i="5"/>
  <c r="W1378" i="5"/>
  <c r="O1378" i="5"/>
  <c r="V1380" i="5"/>
  <c r="T1380" i="5"/>
  <c r="P1380" i="5"/>
  <c r="R1380" i="5" s="1"/>
  <c r="U1380" i="5"/>
  <c r="W1380" i="5"/>
  <c r="O1380" i="5"/>
  <c r="S1380" i="5"/>
  <c r="V1382" i="5"/>
  <c r="T1382" i="5"/>
  <c r="P1382" i="5"/>
  <c r="R1382" i="5" s="1"/>
  <c r="U1382" i="5"/>
  <c r="S1382" i="5"/>
  <c r="W1382" i="5"/>
  <c r="O1382" i="5"/>
  <c r="V1384" i="5"/>
  <c r="T1384" i="5"/>
  <c r="P1384" i="5"/>
  <c r="R1384" i="5" s="1"/>
  <c r="U1384" i="5"/>
  <c r="W1384" i="5"/>
  <c r="O1384" i="5"/>
  <c r="S1384" i="5"/>
  <c r="V1386" i="5"/>
  <c r="T1386" i="5"/>
  <c r="P1386" i="5"/>
  <c r="R1386" i="5" s="1"/>
  <c r="U1386" i="5"/>
  <c r="S1386" i="5"/>
  <c r="W1386" i="5"/>
  <c r="O1386" i="5"/>
  <c r="V1388" i="5"/>
  <c r="T1388" i="5"/>
  <c r="P1388" i="5"/>
  <c r="R1388" i="5" s="1"/>
  <c r="U1388" i="5"/>
  <c r="W1388" i="5"/>
  <c r="O1388" i="5"/>
  <c r="S1388" i="5"/>
  <c r="V1390" i="5"/>
  <c r="T1390" i="5"/>
  <c r="P1390" i="5"/>
  <c r="R1390" i="5" s="1"/>
  <c r="U1390" i="5"/>
  <c r="S1390" i="5"/>
  <c r="W1390" i="5"/>
  <c r="O1390" i="5"/>
  <c r="V1392" i="5"/>
  <c r="T1392" i="5"/>
  <c r="P1392" i="5"/>
  <c r="R1392" i="5" s="1"/>
  <c r="U1392" i="5"/>
  <c r="W1392" i="5"/>
  <c r="O1392" i="5"/>
  <c r="S1392" i="5"/>
  <c r="V1394" i="5"/>
  <c r="T1394" i="5"/>
  <c r="P1394" i="5"/>
  <c r="R1394" i="5" s="1"/>
  <c r="U1394" i="5"/>
  <c r="S1394" i="5"/>
  <c r="W1394" i="5"/>
  <c r="O1394" i="5"/>
  <c r="V1396" i="5"/>
  <c r="T1396" i="5"/>
  <c r="P1396" i="5"/>
  <c r="R1396" i="5" s="1"/>
  <c r="U1396" i="5"/>
  <c r="W1396" i="5"/>
  <c r="O1396" i="5"/>
  <c r="S1396" i="5"/>
  <c r="V1398" i="5"/>
  <c r="T1398" i="5"/>
  <c r="P1398" i="5"/>
  <c r="R1398" i="5" s="1"/>
  <c r="U1398" i="5"/>
  <c r="S1398" i="5"/>
  <c r="W1398" i="5"/>
  <c r="O1398" i="5"/>
  <c r="V1400" i="5"/>
  <c r="T1400" i="5"/>
  <c r="P1400" i="5"/>
  <c r="R1400" i="5" s="1"/>
  <c r="U1400" i="5"/>
  <c r="W1400" i="5"/>
  <c r="O1400" i="5"/>
  <c r="S1400" i="5"/>
  <c r="V1402" i="5"/>
  <c r="T1402" i="5"/>
  <c r="P1402" i="5"/>
  <c r="R1402" i="5" s="1"/>
  <c r="U1402" i="5"/>
  <c r="S1402" i="5"/>
  <c r="W1402" i="5"/>
  <c r="O1402" i="5"/>
  <c r="V1404" i="5"/>
  <c r="T1404" i="5"/>
  <c r="P1404" i="5"/>
  <c r="R1404" i="5" s="1"/>
  <c r="U1404" i="5"/>
  <c r="W1404" i="5"/>
  <c r="O1404" i="5"/>
  <c r="S1404" i="5"/>
  <c r="V1406" i="5"/>
  <c r="T1406" i="5"/>
  <c r="P1406" i="5"/>
  <c r="R1406" i="5" s="1"/>
  <c r="U1406" i="5"/>
  <c r="S1406" i="5"/>
  <c r="W1406" i="5"/>
  <c r="O1406" i="5"/>
  <c r="V1408" i="5"/>
  <c r="T1408" i="5"/>
  <c r="P1408" i="5"/>
  <c r="R1408" i="5" s="1"/>
  <c r="U1408" i="5"/>
  <c r="W1408" i="5"/>
  <c r="O1408" i="5"/>
  <c r="S1408" i="5"/>
  <c r="V1410" i="5"/>
  <c r="T1410" i="5"/>
  <c r="P1410" i="5"/>
  <c r="R1410" i="5" s="1"/>
  <c r="U1410" i="5"/>
  <c r="S1410" i="5"/>
  <c r="W1410" i="5"/>
  <c r="O1410" i="5"/>
  <c r="V1412" i="5"/>
  <c r="T1412" i="5"/>
  <c r="P1412" i="5"/>
  <c r="R1412" i="5" s="1"/>
  <c r="U1412" i="5"/>
  <c r="W1412" i="5"/>
  <c r="O1412" i="5"/>
  <c r="S1412" i="5"/>
  <c r="V1414" i="5"/>
  <c r="T1414" i="5"/>
  <c r="P1414" i="5"/>
  <c r="R1414" i="5" s="1"/>
  <c r="U1414" i="5"/>
  <c r="S1414" i="5"/>
  <c r="W1414" i="5"/>
  <c r="O1414" i="5"/>
  <c r="V1416" i="5"/>
  <c r="T1416" i="5"/>
  <c r="P1416" i="5"/>
  <c r="R1416" i="5" s="1"/>
  <c r="U1416" i="5"/>
  <c r="W1416" i="5"/>
  <c r="O1416" i="5"/>
  <c r="S1416" i="5"/>
  <c r="V1418" i="5"/>
  <c r="T1418" i="5"/>
  <c r="P1418" i="5"/>
  <c r="R1418" i="5" s="1"/>
  <c r="U1418" i="5"/>
  <c r="S1418" i="5"/>
  <c r="W1418" i="5"/>
  <c r="O1418" i="5"/>
  <c r="V1420" i="5"/>
  <c r="T1420" i="5"/>
  <c r="P1420" i="5"/>
  <c r="R1420" i="5" s="1"/>
  <c r="U1420" i="5"/>
  <c r="W1420" i="5"/>
  <c r="O1420" i="5"/>
  <c r="S1420" i="5"/>
  <c r="V1422" i="5"/>
  <c r="T1422" i="5"/>
  <c r="P1422" i="5"/>
  <c r="R1422" i="5" s="1"/>
  <c r="U1422" i="5"/>
  <c r="S1422" i="5"/>
  <c r="W1422" i="5"/>
  <c r="O1422" i="5"/>
  <c r="V1424" i="5"/>
  <c r="T1424" i="5"/>
  <c r="P1424" i="5"/>
  <c r="R1424" i="5" s="1"/>
  <c r="U1424" i="5"/>
  <c r="W1424" i="5"/>
  <c r="O1424" i="5"/>
  <c r="S1424" i="5"/>
  <c r="V1426" i="5"/>
  <c r="T1426" i="5"/>
  <c r="P1426" i="5"/>
  <c r="R1426" i="5" s="1"/>
  <c r="U1426" i="5"/>
  <c r="S1426" i="5"/>
  <c r="W1426" i="5"/>
  <c r="O1426" i="5"/>
  <c r="V1428" i="5"/>
  <c r="T1428" i="5"/>
  <c r="P1428" i="5"/>
  <c r="R1428" i="5" s="1"/>
  <c r="U1428" i="5"/>
  <c r="W1428" i="5"/>
  <c r="O1428" i="5"/>
  <c r="S1428" i="5"/>
  <c r="V1430" i="5"/>
  <c r="T1430" i="5"/>
  <c r="P1430" i="5"/>
  <c r="R1430" i="5" s="1"/>
  <c r="U1430" i="5"/>
  <c r="S1430" i="5"/>
  <c r="W1430" i="5"/>
  <c r="O1430" i="5"/>
  <c r="V1432" i="5"/>
  <c r="T1432" i="5"/>
  <c r="P1432" i="5"/>
  <c r="R1432" i="5" s="1"/>
  <c r="U1432" i="5"/>
  <c r="W1432" i="5"/>
  <c r="O1432" i="5"/>
  <c r="S1432" i="5"/>
  <c r="V1434" i="5"/>
  <c r="T1434" i="5"/>
  <c r="P1434" i="5"/>
  <c r="R1434" i="5" s="1"/>
  <c r="U1434" i="5"/>
  <c r="W1434" i="5"/>
  <c r="S1434" i="5"/>
  <c r="O1434" i="5"/>
  <c r="V1436" i="5"/>
  <c r="T1436" i="5"/>
  <c r="P1436" i="5"/>
  <c r="R1436" i="5" s="1"/>
  <c r="U1436" i="5"/>
  <c r="S1436" i="5"/>
  <c r="O1436" i="5"/>
  <c r="W1436" i="5"/>
  <c r="V1438" i="5"/>
  <c r="T1438" i="5"/>
  <c r="P1438" i="5"/>
  <c r="R1438" i="5" s="1"/>
  <c r="U1438" i="5"/>
  <c r="W1438" i="5"/>
  <c r="O1438" i="5"/>
  <c r="S1438" i="5"/>
  <c r="V1440" i="5"/>
  <c r="T1440" i="5"/>
  <c r="P1440" i="5"/>
  <c r="R1440" i="5" s="1"/>
  <c r="U1440" i="5"/>
  <c r="S1440" i="5"/>
  <c r="W1440" i="5"/>
  <c r="O1440" i="5"/>
  <c r="V1442" i="5"/>
  <c r="T1442" i="5"/>
  <c r="P1442" i="5"/>
  <c r="R1442" i="5" s="1"/>
  <c r="U1442" i="5"/>
  <c r="W1442" i="5"/>
  <c r="O1442" i="5"/>
  <c r="S1442" i="5"/>
  <c r="V1444" i="5"/>
  <c r="T1444" i="5"/>
  <c r="P1444" i="5"/>
  <c r="R1444" i="5" s="1"/>
  <c r="U1444" i="5"/>
  <c r="S1444" i="5"/>
  <c r="O1444" i="5"/>
  <c r="W1444" i="5"/>
  <c r="V1446" i="5"/>
  <c r="T1446" i="5"/>
  <c r="P1446" i="5"/>
  <c r="R1446" i="5" s="1"/>
  <c r="U1446" i="5"/>
  <c r="W1446" i="5"/>
  <c r="O1446" i="5"/>
  <c r="S1446" i="5"/>
  <c r="V1448" i="5"/>
  <c r="T1448" i="5"/>
  <c r="P1448" i="5"/>
  <c r="R1448" i="5" s="1"/>
  <c r="U1448" i="5"/>
  <c r="S1448" i="5"/>
  <c r="W1448" i="5"/>
  <c r="O1448" i="5"/>
  <c r="V1450" i="5"/>
  <c r="T1450" i="5"/>
  <c r="P1450" i="5"/>
  <c r="R1450" i="5" s="1"/>
  <c r="U1450" i="5"/>
  <c r="W1450" i="5"/>
  <c r="O1450" i="5"/>
  <c r="S1450" i="5"/>
  <c r="V1452" i="5"/>
  <c r="T1452" i="5"/>
  <c r="P1452" i="5"/>
  <c r="R1452" i="5" s="1"/>
  <c r="U1452" i="5"/>
  <c r="S1452" i="5"/>
  <c r="O1452" i="5"/>
  <c r="W1452" i="5"/>
  <c r="V1454" i="5"/>
  <c r="T1454" i="5"/>
  <c r="P1454" i="5"/>
  <c r="R1454" i="5" s="1"/>
  <c r="U1454" i="5"/>
  <c r="W1454" i="5"/>
  <c r="O1454" i="5"/>
  <c r="S1454" i="5"/>
  <c r="V1456" i="5"/>
  <c r="T1456" i="5"/>
  <c r="P1456" i="5"/>
  <c r="R1456" i="5" s="1"/>
  <c r="U1456" i="5"/>
  <c r="S1456" i="5"/>
  <c r="W1456" i="5"/>
  <c r="O1456" i="5"/>
  <c r="V1458" i="5"/>
  <c r="T1458" i="5"/>
  <c r="P1458" i="5"/>
  <c r="R1458" i="5" s="1"/>
  <c r="U1458" i="5"/>
  <c r="W1458" i="5"/>
  <c r="O1458" i="5"/>
  <c r="S1458" i="5"/>
  <c r="V1460" i="5"/>
  <c r="T1460" i="5"/>
  <c r="P1460" i="5"/>
  <c r="R1460" i="5" s="1"/>
  <c r="U1460" i="5"/>
  <c r="S1460" i="5"/>
  <c r="O1460" i="5"/>
  <c r="W1460" i="5"/>
  <c r="V1462" i="5"/>
  <c r="T1462" i="5"/>
  <c r="P1462" i="5"/>
  <c r="R1462" i="5" s="1"/>
  <c r="U1462" i="5"/>
  <c r="W1462" i="5"/>
  <c r="O1462" i="5"/>
  <c r="S1462" i="5"/>
  <c r="V1464" i="5"/>
  <c r="T1464" i="5"/>
  <c r="P1464" i="5"/>
  <c r="R1464" i="5" s="1"/>
  <c r="U1464" i="5"/>
  <c r="S1464" i="5"/>
  <c r="W1464" i="5"/>
  <c r="O1464" i="5"/>
  <c r="V1466" i="5"/>
  <c r="T1466" i="5"/>
  <c r="P1466" i="5"/>
  <c r="R1466" i="5" s="1"/>
  <c r="U1466" i="5"/>
  <c r="W1466" i="5"/>
  <c r="O1466" i="5"/>
  <c r="S1466" i="5"/>
  <c r="V1468" i="5"/>
  <c r="T1468" i="5"/>
  <c r="P1468" i="5"/>
  <c r="R1468" i="5" s="1"/>
  <c r="U1468" i="5"/>
  <c r="S1468" i="5"/>
  <c r="O1468" i="5"/>
  <c r="W1468" i="5"/>
  <c r="V1470" i="5"/>
  <c r="T1470" i="5"/>
  <c r="P1470" i="5"/>
  <c r="R1470" i="5" s="1"/>
  <c r="U1470" i="5"/>
  <c r="W1470" i="5"/>
  <c r="O1470" i="5"/>
  <c r="S1470" i="5"/>
  <c r="V1472" i="5"/>
  <c r="T1472" i="5"/>
  <c r="P1472" i="5"/>
  <c r="R1472" i="5" s="1"/>
  <c r="U1472" i="5"/>
  <c r="S1472" i="5"/>
  <c r="W1472" i="5"/>
  <c r="O1472" i="5"/>
  <c r="V1474" i="5"/>
  <c r="T1474" i="5"/>
  <c r="P1474" i="5"/>
  <c r="R1474" i="5" s="1"/>
  <c r="U1474" i="5"/>
  <c r="W1474" i="5"/>
  <c r="O1474" i="5"/>
  <c r="S1474" i="5"/>
  <c r="V1476" i="5"/>
  <c r="T1476" i="5"/>
  <c r="P1476" i="5"/>
  <c r="R1476" i="5" s="1"/>
  <c r="U1476" i="5"/>
  <c r="S1476" i="5"/>
  <c r="O1476" i="5"/>
  <c r="W1476" i="5"/>
  <c r="V1478" i="5"/>
  <c r="T1478" i="5"/>
  <c r="P1478" i="5"/>
  <c r="R1478" i="5" s="1"/>
  <c r="U1478" i="5"/>
  <c r="W1478" i="5"/>
  <c r="O1478" i="5"/>
  <c r="S1478" i="5"/>
  <c r="V1480" i="5"/>
  <c r="T1480" i="5"/>
  <c r="P1480" i="5"/>
  <c r="R1480" i="5" s="1"/>
  <c r="U1480" i="5"/>
  <c r="S1480" i="5"/>
  <c r="W1480" i="5"/>
  <c r="O1480" i="5"/>
  <c r="V1482" i="5"/>
  <c r="T1482" i="5"/>
  <c r="P1482" i="5"/>
  <c r="R1482" i="5" s="1"/>
  <c r="U1482" i="5"/>
  <c r="W1482" i="5"/>
  <c r="O1482" i="5"/>
  <c r="S1482" i="5"/>
  <c r="V1484" i="5"/>
  <c r="T1484" i="5"/>
  <c r="P1484" i="5"/>
  <c r="R1484" i="5" s="1"/>
  <c r="U1484" i="5"/>
  <c r="S1484" i="5"/>
  <c r="O1484" i="5"/>
  <c r="W1484" i="5"/>
  <c r="V1486" i="5"/>
  <c r="T1486" i="5"/>
  <c r="P1486" i="5"/>
  <c r="R1486" i="5" s="1"/>
  <c r="U1486" i="5"/>
  <c r="W1486" i="5"/>
  <c r="O1486" i="5"/>
  <c r="S1486" i="5"/>
  <c r="V1488" i="5"/>
  <c r="T1488" i="5"/>
  <c r="P1488" i="5"/>
  <c r="R1488" i="5" s="1"/>
  <c r="U1488" i="5"/>
  <c r="S1488" i="5"/>
  <c r="W1488" i="5"/>
  <c r="O1488" i="5"/>
  <c r="V1490" i="5"/>
  <c r="T1490" i="5"/>
  <c r="P1490" i="5"/>
  <c r="R1490" i="5" s="1"/>
  <c r="U1490" i="5"/>
  <c r="W1490" i="5"/>
  <c r="O1490" i="5"/>
  <c r="S1490" i="5"/>
  <c r="V1492" i="5"/>
  <c r="T1492" i="5"/>
  <c r="P1492" i="5"/>
  <c r="R1492" i="5" s="1"/>
  <c r="U1492" i="5"/>
  <c r="S1492" i="5"/>
  <c r="O1492" i="5"/>
  <c r="W1492" i="5"/>
  <c r="V1494" i="5"/>
  <c r="T1494" i="5"/>
  <c r="P1494" i="5"/>
  <c r="R1494" i="5" s="1"/>
  <c r="U1494" i="5"/>
  <c r="W1494" i="5"/>
  <c r="O1494" i="5"/>
  <c r="S1494" i="5"/>
  <c r="V1496" i="5"/>
  <c r="T1496" i="5"/>
  <c r="P1496" i="5"/>
  <c r="R1496" i="5" s="1"/>
  <c r="U1496" i="5"/>
  <c r="S1496" i="5"/>
  <c r="W1496" i="5"/>
  <c r="O1496" i="5"/>
  <c r="V1498" i="5"/>
  <c r="T1498" i="5"/>
  <c r="P1498" i="5"/>
  <c r="R1498" i="5" s="1"/>
  <c r="U1498" i="5"/>
  <c r="W1498" i="5"/>
  <c r="O1498" i="5"/>
  <c r="S1498" i="5"/>
  <c r="V1500" i="5"/>
  <c r="T1500" i="5"/>
  <c r="P1500" i="5"/>
  <c r="R1500" i="5" s="1"/>
  <c r="U1500" i="5"/>
  <c r="S1500" i="5"/>
  <c r="O1500" i="5"/>
  <c r="W1500" i="5"/>
  <c r="V1502" i="5"/>
  <c r="T1502" i="5"/>
  <c r="P1502" i="5"/>
  <c r="R1502" i="5" s="1"/>
  <c r="U1502" i="5"/>
  <c r="W1502" i="5"/>
  <c r="O1502" i="5"/>
  <c r="S1502" i="5"/>
  <c r="V1504" i="5"/>
  <c r="T1504" i="5"/>
  <c r="P1504" i="5"/>
  <c r="R1504" i="5" s="1"/>
  <c r="U1504" i="5"/>
  <c r="S1504" i="5"/>
  <c r="W1504" i="5"/>
  <c r="O1504" i="5"/>
  <c r="V1506" i="5"/>
  <c r="T1506" i="5"/>
  <c r="P1506" i="5"/>
  <c r="R1506" i="5" s="1"/>
  <c r="U1506" i="5"/>
  <c r="W1506" i="5"/>
  <c r="O1506" i="5"/>
  <c r="S1506" i="5"/>
  <c r="V1508" i="5"/>
  <c r="T1508" i="5"/>
  <c r="P1508" i="5"/>
  <c r="R1508" i="5" s="1"/>
  <c r="U1508" i="5"/>
  <c r="S1508" i="5"/>
  <c r="O1508" i="5"/>
  <c r="W1508" i="5"/>
  <c r="V1510" i="5"/>
  <c r="T1510" i="5"/>
  <c r="P1510" i="5"/>
  <c r="R1510" i="5" s="1"/>
  <c r="U1510" i="5"/>
  <c r="W1510" i="5"/>
  <c r="O1510" i="5"/>
  <c r="S1510" i="5"/>
  <c r="V1512" i="5"/>
  <c r="T1512" i="5"/>
  <c r="P1512" i="5"/>
  <c r="R1512" i="5" s="1"/>
  <c r="U1512" i="5"/>
  <c r="S1512" i="5"/>
  <c r="W1512" i="5"/>
  <c r="O1512" i="5"/>
  <c r="V1514" i="5"/>
  <c r="T1514" i="5"/>
  <c r="P1514" i="5"/>
  <c r="R1514" i="5" s="1"/>
  <c r="U1514" i="5"/>
  <c r="W1514" i="5"/>
  <c r="O1514" i="5"/>
  <c r="S1514" i="5"/>
  <c r="V1516" i="5"/>
  <c r="T1516" i="5"/>
  <c r="P1516" i="5"/>
  <c r="R1516" i="5" s="1"/>
  <c r="U1516" i="5"/>
  <c r="S1516" i="5"/>
  <c r="O1516" i="5"/>
  <c r="W1516" i="5"/>
  <c r="V1518" i="5"/>
  <c r="T1518" i="5"/>
  <c r="P1518" i="5"/>
  <c r="R1518" i="5" s="1"/>
  <c r="U1518" i="5"/>
  <c r="W1518" i="5"/>
  <c r="O1518" i="5"/>
  <c r="S1518" i="5"/>
  <c r="V1520" i="5"/>
  <c r="T1520" i="5"/>
  <c r="P1520" i="5"/>
  <c r="R1520" i="5" s="1"/>
  <c r="U1520" i="5"/>
  <c r="S1520" i="5"/>
  <c r="W1520" i="5"/>
  <c r="O1520" i="5"/>
  <c r="V1522" i="5"/>
  <c r="T1522" i="5"/>
  <c r="P1522" i="5"/>
  <c r="R1522" i="5" s="1"/>
  <c r="U1522" i="5"/>
  <c r="W1522" i="5"/>
  <c r="O1522" i="5"/>
  <c r="S1522" i="5"/>
  <c r="V1524" i="5"/>
  <c r="T1524" i="5"/>
  <c r="P1524" i="5"/>
  <c r="R1524" i="5" s="1"/>
  <c r="U1524" i="5"/>
  <c r="S1524" i="5"/>
  <c r="O1524" i="5"/>
  <c r="W1524" i="5"/>
  <c r="V1526" i="5"/>
  <c r="T1526" i="5"/>
  <c r="P1526" i="5"/>
  <c r="R1526" i="5" s="1"/>
  <c r="U1526" i="5"/>
  <c r="W1526" i="5"/>
  <c r="O1526" i="5"/>
  <c r="S1526" i="5"/>
  <c r="V1528" i="5"/>
  <c r="T1528" i="5"/>
  <c r="P1528" i="5"/>
  <c r="R1528" i="5" s="1"/>
  <c r="U1528" i="5"/>
  <c r="S1528" i="5"/>
  <c r="W1528" i="5"/>
  <c r="O1528" i="5"/>
  <c r="V1530" i="5"/>
  <c r="T1530" i="5"/>
  <c r="P1530" i="5"/>
  <c r="R1530" i="5" s="1"/>
  <c r="U1530" i="5"/>
  <c r="W1530" i="5"/>
  <c r="O1530" i="5"/>
  <c r="S1530" i="5"/>
  <c r="V1532" i="5"/>
  <c r="T1532" i="5"/>
  <c r="P1532" i="5"/>
  <c r="R1532" i="5" s="1"/>
  <c r="U1532" i="5"/>
  <c r="S1532" i="5"/>
  <c r="O1532" i="5"/>
  <c r="W1532" i="5"/>
  <c r="V1534" i="5"/>
  <c r="T1534" i="5"/>
  <c r="P1534" i="5"/>
  <c r="R1534" i="5" s="1"/>
  <c r="U1534" i="5"/>
  <c r="W1534" i="5"/>
  <c r="O1534" i="5"/>
  <c r="S1534" i="5"/>
  <c r="V1536" i="5"/>
  <c r="T1536" i="5"/>
  <c r="P1536" i="5"/>
  <c r="R1536" i="5" s="1"/>
  <c r="U1536" i="5"/>
  <c r="S1536" i="5"/>
  <c r="W1536" i="5"/>
  <c r="O1536" i="5"/>
  <c r="V1538" i="5"/>
  <c r="T1538" i="5"/>
  <c r="P1538" i="5"/>
  <c r="R1538" i="5" s="1"/>
  <c r="U1538" i="5"/>
  <c r="W1538" i="5"/>
  <c r="O1538" i="5"/>
  <c r="S1538" i="5"/>
  <c r="V1540" i="5"/>
  <c r="T1540" i="5"/>
  <c r="P1540" i="5"/>
  <c r="R1540" i="5" s="1"/>
  <c r="U1540" i="5"/>
  <c r="S1540" i="5"/>
  <c r="O1540" i="5"/>
  <c r="W1540" i="5"/>
  <c r="V1542" i="5"/>
  <c r="T1542" i="5"/>
  <c r="P1542" i="5"/>
  <c r="R1542" i="5" s="1"/>
  <c r="U1542" i="5"/>
  <c r="W1542" i="5"/>
  <c r="O1542" i="5"/>
  <c r="S1542" i="5"/>
  <c r="V1544" i="5"/>
  <c r="T1544" i="5"/>
  <c r="P1544" i="5"/>
  <c r="R1544" i="5" s="1"/>
  <c r="U1544" i="5"/>
  <c r="S1544" i="5"/>
  <c r="W1544" i="5"/>
  <c r="O1544" i="5"/>
  <c r="V1546" i="5"/>
  <c r="T1546" i="5"/>
  <c r="P1546" i="5"/>
  <c r="R1546" i="5" s="1"/>
  <c r="U1546" i="5"/>
  <c r="W1546" i="5"/>
  <c r="O1546" i="5"/>
  <c r="S1546" i="5"/>
  <c r="V1548" i="5"/>
  <c r="T1548" i="5"/>
  <c r="P1548" i="5"/>
  <c r="R1548" i="5" s="1"/>
  <c r="U1548" i="5"/>
  <c r="S1548" i="5"/>
  <c r="O1548" i="5"/>
  <c r="W1548" i="5"/>
  <c r="V1550" i="5"/>
  <c r="T1550" i="5"/>
  <c r="P1550" i="5"/>
  <c r="R1550" i="5" s="1"/>
  <c r="U1550" i="5"/>
  <c r="W1550" i="5"/>
  <c r="O1550" i="5"/>
  <c r="S1550" i="5"/>
  <c r="V1552" i="5"/>
  <c r="T1552" i="5"/>
  <c r="P1552" i="5"/>
  <c r="R1552" i="5" s="1"/>
  <c r="U1552" i="5"/>
  <c r="S1552" i="5"/>
  <c r="W1552" i="5"/>
  <c r="O1552" i="5"/>
  <c r="V1554" i="5"/>
  <c r="T1554" i="5"/>
  <c r="P1554" i="5"/>
  <c r="R1554" i="5" s="1"/>
  <c r="U1554" i="5"/>
  <c r="W1554" i="5"/>
  <c r="O1554" i="5"/>
  <c r="S1554" i="5"/>
  <c r="V1556" i="5"/>
  <c r="T1556" i="5"/>
  <c r="P1556" i="5"/>
  <c r="R1556" i="5" s="1"/>
  <c r="U1556" i="5"/>
  <c r="S1556" i="5"/>
  <c r="O1556" i="5"/>
  <c r="W1556" i="5"/>
  <c r="V1558" i="5"/>
  <c r="T1558" i="5"/>
  <c r="P1558" i="5"/>
  <c r="R1558" i="5" s="1"/>
  <c r="U1558" i="5"/>
  <c r="W1558" i="5"/>
  <c r="O1558" i="5"/>
  <c r="S1558" i="5"/>
  <c r="V1560" i="5"/>
  <c r="T1560" i="5"/>
  <c r="P1560" i="5"/>
  <c r="R1560" i="5" s="1"/>
  <c r="U1560" i="5"/>
  <c r="S1560" i="5"/>
  <c r="W1560" i="5"/>
  <c r="O1560" i="5"/>
  <c r="V1562" i="5"/>
  <c r="T1562" i="5"/>
  <c r="P1562" i="5"/>
  <c r="R1562" i="5" s="1"/>
  <c r="U1562" i="5"/>
  <c r="W1562" i="5"/>
  <c r="O1562" i="5"/>
  <c r="S1562" i="5"/>
  <c r="V1564" i="5"/>
  <c r="T1564" i="5"/>
  <c r="P1564" i="5"/>
  <c r="R1564" i="5" s="1"/>
  <c r="U1564" i="5"/>
  <c r="S1564" i="5"/>
  <c r="O1564" i="5"/>
  <c r="W1564" i="5"/>
  <c r="V1566" i="5"/>
  <c r="T1566" i="5"/>
  <c r="P1566" i="5"/>
  <c r="R1566" i="5" s="1"/>
  <c r="U1566" i="5"/>
  <c r="W1566" i="5"/>
  <c r="O1566" i="5"/>
  <c r="S1566" i="5"/>
  <c r="V1568" i="5"/>
  <c r="T1568" i="5"/>
  <c r="P1568" i="5"/>
  <c r="R1568" i="5" s="1"/>
  <c r="U1568" i="5"/>
  <c r="S1568" i="5"/>
  <c r="W1568" i="5"/>
  <c r="O1568" i="5"/>
  <c r="V1570" i="5"/>
  <c r="T1570" i="5"/>
  <c r="P1570" i="5"/>
  <c r="R1570" i="5" s="1"/>
  <c r="U1570" i="5"/>
  <c r="W1570" i="5"/>
  <c r="O1570" i="5"/>
  <c r="S1570" i="5"/>
  <c r="V1572" i="5"/>
  <c r="T1572" i="5"/>
  <c r="P1572" i="5"/>
  <c r="R1572" i="5" s="1"/>
  <c r="U1572" i="5"/>
  <c r="S1572" i="5"/>
  <c r="O1572" i="5"/>
  <c r="W1572" i="5"/>
  <c r="V1574" i="5"/>
  <c r="T1574" i="5"/>
  <c r="P1574" i="5"/>
  <c r="R1574" i="5" s="1"/>
  <c r="U1574" i="5"/>
  <c r="W1574" i="5"/>
  <c r="O1574" i="5"/>
  <c r="S1574" i="5"/>
  <c r="V1576" i="5"/>
  <c r="T1576" i="5"/>
  <c r="P1576" i="5"/>
  <c r="R1576" i="5" s="1"/>
  <c r="U1576" i="5"/>
  <c r="S1576" i="5"/>
  <c r="W1576" i="5"/>
  <c r="O1576" i="5"/>
  <c r="V1578" i="5"/>
  <c r="T1578" i="5"/>
  <c r="P1578" i="5"/>
  <c r="R1578" i="5" s="1"/>
  <c r="U1578" i="5"/>
  <c r="W1578" i="5"/>
  <c r="O1578" i="5"/>
  <c r="S1578" i="5"/>
  <c r="V1580" i="5"/>
  <c r="T1580" i="5"/>
  <c r="P1580" i="5"/>
  <c r="R1580" i="5" s="1"/>
  <c r="U1580" i="5"/>
  <c r="W1580" i="5"/>
  <c r="S1580" i="5"/>
  <c r="O1580" i="5"/>
  <c r="V1582" i="5"/>
  <c r="T1582" i="5"/>
  <c r="P1582" i="5"/>
  <c r="R1582" i="5" s="1"/>
  <c r="U1582" i="5"/>
  <c r="S1582" i="5"/>
  <c r="W1582" i="5"/>
  <c r="O1582" i="5"/>
  <c r="V1584" i="5"/>
  <c r="T1584" i="5"/>
  <c r="P1584" i="5"/>
  <c r="R1584" i="5" s="1"/>
  <c r="U1584" i="5"/>
  <c r="W1584" i="5"/>
  <c r="O1584" i="5"/>
  <c r="S1584" i="5"/>
  <c r="V1586" i="5"/>
  <c r="T1586" i="5"/>
  <c r="P1586" i="5"/>
  <c r="R1586" i="5" s="1"/>
  <c r="U1586" i="5"/>
  <c r="S1586" i="5"/>
  <c r="W1586" i="5"/>
  <c r="O1586" i="5"/>
  <c r="V1588" i="5"/>
  <c r="T1588" i="5"/>
  <c r="P1588" i="5"/>
  <c r="R1588" i="5" s="1"/>
  <c r="U1588" i="5"/>
  <c r="W1588" i="5"/>
  <c r="O1588" i="5"/>
  <c r="S1588" i="5"/>
  <c r="V1590" i="5"/>
  <c r="T1590" i="5"/>
  <c r="P1590" i="5"/>
  <c r="R1590" i="5" s="1"/>
  <c r="U1590" i="5"/>
  <c r="S1590" i="5"/>
  <c r="W1590" i="5"/>
  <c r="O1590" i="5"/>
  <c r="V1592" i="5"/>
  <c r="T1592" i="5"/>
  <c r="P1592" i="5"/>
  <c r="R1592" i="5" s="1"/>
  <c r="U1592" i="5"/>
  <c r="W1592" i="5"/>
  <c r="O1592" i="5"/>
  <c r="S1592" i="5"/>
  <c r="V1594" i="5"/>
  <c r="T1594" i="5"/>
  <c r="P1594" i="5"/>
  <c r="R1594" i="5" s="1"/>
  <c r="U1594" i="5"/>
  <c r="S1594" i="5"/>
  <c r="W1594" i="5"/>
  <c r="O1594" i="5"/>
  <c r="V1596" i="5"/>
  <c r="T1596" i="5"/>
  <c r="P1596" i="5"/>
  <c r="R1596" i="5" s="1"/>
  <c r="U1596" i="5"/>
  <c r="W1596" i="5"/>
  <c r="O1596" i="5"/>
  <c r="S1596" i="5"/>
  <c r="V1598" i="5"/>
  <c r="T1598" i="5"/>
  <c r="P1598" i="5"/>
  <c r="R1598" i="5" s="1"/>
  <c r="U1598" i="5"/>
  <c r="S1598" i="5"/>
  <c r="W1598" i="5"/>
  <c r="O1598" i="5"/>
  <c r="V1600" i="5"/>
  <c r="T1600" i="5"/>
  <c r="P1600" i="5"/>
  <c r="R1600" i="5" s="1"/>
  <c r="U1600" i="5"/>
  <c r="W1600" i="5"/>
  <c r="O1600" i="5"/>
  <c r="S1600" i="5"/>
  <c r="V1602" i="5"/>
  <c r="T1602" i="5"/>
  <c r="P1602" i="5"/>
  <c r="R1602" i="5" s="1"/>
  <c r="U1602" i="5"/>
  <c r="S1602" i="5"/>
  <c r="W1602" i="5"/>
  <c r="O1602" i="5"/>
  <c r="V1604" i="5"/>
  <c r="T1604" i="5"/>
  <c r="P1604" i="5"/>
  <c r="R1604" i="5" s="1"/>
  <c r="U1604" i="5"/>
  <c r="W1604" i="5"/>
  <c r="O1604" i="5"/>
  <c r="S1604" i="5"/>
  <c r="V1606" i="5"/>
  <c r="T1606" i="5"/>
  <c r="P1606" i="5"/>
  <c r="R1606" i="5" s="1"/>
  <c r="U1606" i="5"/>
  <c r="S1606" i="5"/>
  <c r="W1606" i="5"/>
  <c r="O1606" i="5"/>
  <c r="V1608" i="5"/>
  <c r="T1608" i="5"/>
  <c r="P1608" i="5"/>
  <c r="R1608" i="5" s="1"/>
  <c r="U1608" i="5"/>
  <c r="W1608" i="5"/>
  <c r="O1608" i="5"/>
  <c r="S1608" i="5"/>
  <c r="V1610" i="5"/>
  <c r="T1610" i="5"/>
  <c r="P1610" i="5"/>
  <c r="R1610" i="5" s="1"/>
  <c r="U1610" i="5"/>
  <c r="S1610" i="5"/>
  <c r="W1610" i="5"/>
  <c r="O1610" i="5"/>
  <c r="V1612" i="5"/>
  <c r="T1612" i="5"/>
  <c r="P1612" i="5"/>
  <c r="R1612" i="5" s="1"/>
  <c r="U1612" i="5"/>
  <c r="W1612" i="5"/>
  <c r="O1612" i="5"/>
  <c r="S1612" i="5"/>
  <c r="W1614" i="5"/>
  <c r="U1614" i="5"/>
  <c r="S1614" i="5"/>
  <c r="O1614" i="5"/>
  <c r="V1614" i="5"/>
  <c r="P1614" i="5"/>
  <c r="R1614" i="5" s="1"/>
  <c r="T1614" i="5"/>
  <c r="W1616" i="5"/>
  <c r="U1616" i="5"/>
  <c r="S1616" i="5"/>
  <c r="O1616" i="5"/>
  <c r="V1616" i="5"/>
  <c r="T1616" i="5"/>
  <c r="P1616" i="5"/>
  <c r="R1616" i="5" s="1"/>
  <c r="W1618" i="5"/>
  <c r="U1618" i="5"/>
  <c r="S1618" i="5"/>
  <c r="O1618" i="5"/>
  <c r="V1618" i="5"/>
  <c r="P1618" i="5"/>
  <c r="R1618" i="5" s="1"/>
  <c r="T1618" i="5"/>
  <c r="W1620" i="5"/>
  <c r="U1620" i="5"/>
  <c r="S1620" i="5"/>
  <c r="O1620" i="5"/>
  <c r="V1620" i="5"/>
  <c r="T1620" i="5"/>
  <c r="P1620" i="5"/>
  <c r="R1620" i="5" s="1"/>
  <c r="W1622" i="5"/>
  <c r="U1622" i="5"/>
  <c r="S1622" i="5"/>
  <c r="O1622" i="5"/>
  <c r="V1622" i="5"/>
  <c r="P1622" i="5"/>
  <c r="R1622" i="5" s="1"/>
  <c r="T1622" i="5"/>
  <c r="W1624" i="5"/>
  <c r="U1624" i="5"/>
  <c r="S1624" i="5"/>
  <c r="O1624" i="5"/>
  <c r="V1624" i="5"/>
  <c r="T1624" i="5"/>
  <c r="P1624" i="5"/>
  <c r="R1624" i="5" s="1"/>
  <c r="W1626" i="5"/>
  <c r="U1626" i="5"/>
  <c r="S1626" i="5"/>
  <c r="O1626" i="5"/>
  <c r="V1626" i="5"/>
  <c r="P1626" i="5"/>
  <c r="R1626" i="5" s="1"/>
  <c r="T1626" i="5"/>
  <c r="W1628" i="5"/>
  <c r="U1628" i="5"/>
  <c r="S1628" i="5"/>
  <c r="O1628" i="5"/>
  <c r="V1628" i="5"/>
  <c r="T1628" i="5"/>
  <c r="P1628" i="5"/>
  <c r="R1628" i="5" s="1"/>
  <c r="W1630" i="5"/>
  <c r="U1630" i="5"/>
  <c r="S1630" i="5"/>
  <c r="O1630" i="5"/>
  <c r="V1630" i="5"/>
  <c r="P1630" i="5"/>
  <c r="R1630" i="5" s="1"/>
  <c r="T1630" i="5"/>
  <c r="W1632" i="5"/>
  <c r="U1632" i="5"/>
  <c r="S1632" i="5"/>
  <c r="O1632" i="5"/>
  <c r="V1632" i="5"/>
  <c r="T1632" i="5"/>
  <c r="P1632" i="5"/>
  <c r="R1632" i="5" s="1"/>
  <c r="W1634" i="5"/>
  <c r="U1634" i="5"/>
  <c r="S1634" i="5"/>
  <c r="O1634" i="5"/>
  <c r="V1634" i="5"/>
  <c r="P1634" i="5"/>
  <c r="R1634" i="5" s="1"/>
  <c r="T1634" i="5"/>
  <c r="W1636" i="5"/>
  <c r="U1636" i="5"/>
  <c r="S1636" i="5"/>
  <c r="O1636" i="5"/>
  <c r="V1636" i="5"/>
  <c r="T1636" i="5"/>
  <c r="P1636" i="5"/>
  <c r="R1636" i="5" s="1"/>
  <c r="W1638" i="5"/>
  <c r="U1638" i="5"/>
  <c r="S1638" i="5"/>
  <c r="O1638" i="5"/>
  <c r="V1638" i="5"/>
  <c r="P1638" i="5"/>
  <c r="R1638" i="5" s="1"/>
  <c r="T1638" i="5"/>
  <c r="W1640" i="5"/>
  <c r="U1640" i="5"/>
  <c r="S1640" i="5"/>
  <c r="O1640" i="5"/>
  <c r="V1640" i="5"/>
  <c r="T1640" i="5"/>
  <c r="P1640" i="5"/>
  <c r="R1640" i="5" s="1"/>
  <c r="W1642" i="5"/>
  <c r="U1642" i="5"/>
  <c r="S1642" i="5"/>
  <c r="O1642" i="5"/>
  <c r="V1642" i="5"/>
  <c r="P1642" i="5"/>
  <c r="R1642" i="5" s="1"/>
  <c r="T1642" i="5"/>
  <c r="W1644" i="5"/>
  <c r="U1644" i="5"/>
  <c r="S1644" i="5"/>
  <c r="O1644" i="5"/>
  <c r="V1644" i="5"/>
  <c r="T1644" i="5"/>
  <c r="P1644" i="5"/>
  <c r="R1644" i="5" s="1"/>
  <c r="W1646" i="5"/>
  <c r="U1646" i="5"/>
  <c r="S1646" i="5"/>
  <c r="O1646" i="5"/>
  <c r="V1646" i="5"/>
  <c r="P1646" i="5"/>
  <c r="R1646" i="5" s="1"/>
  <c r="T1646" i="5"/>
  <c r="W1648" i="5"/>
  <c r="U1648" i="5"/>
  <c r="S1648" i="5"/>
  <c r="O1648" i="5"/>
  <c r="V1648" i="5"/>
  <c r="T1648" i="5"/>
  <c r="P1648" i="5"/>
  <c r="R1648" i="5" s="1"/>
  <c r="W1650" i="5"/>
  <c r="U1650" i="5"/>
  <c r="S1650" i="5"/>
  <c r="O1650" i="5"/>
  <c r="V1650" i="5"/>
  <c r="P1650" i="5"/>
  <c r="R1650" i="5" s="1"/>
  <c r="T1650" i="5"/>
  <c r="W1652" i="5"/>
  <c r="U1652" i="5"/>
  <c r="S1652" i="5"/>
  <c r="O1652" i="5"/>
  <c r="V1652" i="5"/>
  <c r="T1652" i="5"/>
  <c r="P1652" i="5"/>
  <c r="R1652" i="5" s="1"/>
  <c r="W1654" i="5"/>
  <c r="U1654" i="5"/>
  <c r="S1654" i="5"/>
  <c r="O1654" i="5"/>
  <c r="V1654" i="5"/>
  <c r="P1654" i="5"/>
  <c r="R1654" i="5" s="1"/>
  <c r="T1654" i="5"/>
  <c r="W1656" i="5"/>
  <c r="U1656" i="5"/>
  <c r="S1656" i="5"/>
  <c r="O1656" i="5"/>
  <c r="V1656" i="5"/>
  <c r="T1656" i="5"/>
  <c r="P1656" i="5"/>
  <c r="R1656" i="5" s="1"/>
  <c r="W1658" i="5"/>
  <c r="U1658" i="5"/>
  <c r="S1658" i="5"/>
  <c r="O1658" i="5"/>
  <c r="V1658" i="5"/>
  <c r="P1658" i="5"/>
  <c r="R1658" i="5" s="1"/>
  <c r="T1658" i="5"/>
  <c r="W1660" i="5"/>
  <c r="U1660" i="5"/>
  <c r="S1660" i="5"/>
  <c r="O1660" i="5"/>
  <c r="V1660" i="5"/>
  <c r="T1660" i="5"/>
  <c r="P1660" i="5"/>
  <c r="R1660" i="5" s="1"/>
  <c r="W1662" i="5"/>
  <c r="U1662" i="5"/>
  <c r="S1662" i="5"/>
  <c r="O1662" i="5"/>
  <c r="V1662" i="5"/>
  <c r="P1662" i="5"/>
  <c r="R1662" i="5" s="1"/>
  <c r="T1662" i="5"/>
  <c r="W1664" i="5"/>
  <c r="U1664" i="5"/>
  <c r="S1664" i="5"/>
  <c r="O1664" i="5"/>
  <c r="V1664" i="5"/>
  <c r="T1664" i="5"/>
  <c r="P1664" i="5"/>
  <c r="R1664" i="5" s="1"/>
  <c r="W1666" i="5"/>
  <c r="U1666" i="5"/>
  <c r="S1666" i="5"/>
  <c r="O1666" i="5"/>
  <c r="V1666" i="5"/>
  <c r="P1666" i="5"/>
  <c r="R1666" i="5" s="1"/>
  <c r="T1666" i="5"/>
  <c r="W1668" i="5"/>
  <c r="U1668" i="5"/>
  <c r="S1668" i="5"/>
  <c r="O1668" i="5"/>
  <c r="V1668" i="5"/>
  <c r="T1668" i="5"/>
  <c r="P1668" i="5"/>
  <c r="R1668" i="5" s="1"/>
  <c r="W1670" i="5"/>
  <c r="U1670" i="5"/>
  <c r="S1670" i="5"/>
  <c r="O1670" i="5"/>
  <c r="V1670" i="5"/>
  <c r="P1670" i="5"/>
  <c r="R1670" i="5" s="1"/>
  <c r="T1670" i="5"/>
  <c r="W1672" i="5"/>
  <c r="U1672" i="5"/>
  <c r="S1672" i="5"/>
  <c r="O1672" i="5"/>
  <c r="V1672" i="5"/>
  <c r="T1672" i="5"/>
  <c r="P1672" i="5"/>
  <c r="R1672" i="5" s="1"/>
  <c r="W1674" i="5"/>
  <c r="U1674" i="5"/>
  <c r="S1674" i="5"/>
  <c r="O1674" i="5"/>
  <c r="V1674" i="5"/>
  <c r="P1674" i="5"/>
  <c r="R1674" i="5" s="1"/>
  <c r="T1674" i="5"/>
  <c r="W1676" i="5"/>
  <c r="U1676" i="5"/>
  <c r="S1676" i="5"/>
  <c r="O1676" i="5"/>
  <c r="V1676" i="5"/>
  <c r="T1676" i="5"/>
  <c r="P1676" i="5"/>
  <c r="R1676" i="5" s="1"/>
  <c r="W1678" i="5"/>
  <c r="U1678" i="5"/>
  <c r="S1678" i="5"/>
  <c r="O1678" i="5"/>
  <c r="V1678" i="5"/>
  <c r="P1678" i="5"/>
  <c r="R1678" i="5" s="1"/>
  <c r="T1678" i="5"/>
  <c r="W1680" i="5"/>
  <c r="U1680" i="5"/>
  <c r="S1680" i="5"/>
  <c r="O1680" i="5"/>
  <c r="V1680" i="5"/>
  <c r="T1680" i="5"/>
  <c r="P1680" i="5"/>
  <c r="R1680" i="5" s="1"/>
  <c r="W1682" i="5"/>
  <c r="U1682" i="5"/>
  <c r="S1682" i="5"/>
  <c r="O1682" i="5"/>
  <c r="V1682" i="5"/>
  <c r="P1682" i="5"/>
  <c r="R1682" i="5" s="1"/>
  <c r="T1682" i="5"/>
  <c r="W1684" i="5"/>
  <c r="U1684" i="5"/>
  <c r="S1684" i="5"/>
  <c r="O1684" i="5"/>
  <c r="V1684" i="5"/>
  <c r="T1684" i="5"/>
  <c r="P1684" i="5"/>
  <c r="R1684" i="5" s="1"/>
  <c r="W1686" i="5"/>
  <c r="U1686" i="5"/>
  <c r="S1686" i="5"/>
  <c r="O1686" i="5"/>
  <c r="V1686" i="5"/>
  <c r="P1686" i="5"/>
  <c r="R1686" i="5" s="1"/>
  <c r="T1686" i="5"/>
  <c r="W1688" i="5"/>
  <c r="U1688" i="5"/>
  <c r="S1688" i="5"/>
  <c r="O1688" i="5"/>
  <c r="V1688" i="5"/>
  <c r="T1688" i="5"/>
  <c r="P1688" i="5"/>
  <c r="R1688" i="5" s="1"/>
  <c r="W1690" i="5"/>
  <c r="U1690" i="5"/>
  <c r="S1690" i="5"/>
  <c r="O1690" i="5"/>
  <c r="V1690" i="5"/>
  <c r="P1690" i="5"/>
  <c r="R1690" i="5" s="1"/>
  <c r="T1690" i="5"/>
  <c r="W1692" i="5"/>
  <c r="U1692" i="5"/>
  <c r="S1692" i="5"/>
  <c r="O1692" i="5"/>
  <c r="V1692" i="5"/>
  <c r="T1692" i="5"/>
  <c r="P1692" i="5"/>
  <c r="R1692" i="5" s="1"/>
  <c r="W1694" i="5"/>
  <c r="U1694" i="5"/>
  <c r="S1694" i="5"/>
  <c r="O1694" i="5"/>
  <c r="V1694" i="5"/>
  <c r="P1694" i="5"/>
  <c r="R1694" i="5" s="1"/>
  <c r="T1694" i="5"/>
  <c r="W1696" i="5"/>
  <c r="U1696" i="5"/>
  <c r="S1696" i="5"/>
  <c r="O1696" i="5"/>
  <c r="V1696" i="5"/>
  <c r="T1696" i="5"/>
  <c r="P1696" i="5"/>
  <c r="R1696" i="5" s="1"/>
  <c r="W1698" i="5"/>
  <c r="U1698" i="5"/>
  <c r="S1698" i="5"/>
  <c r="O1698" i="5"/>
  <c r="V1698" i="5"/>
  <c r="P1698" i="5"/>
  <c r="R1698" i="5" s="1"/>
  <c r="T1698" i="5"/>
  <c r="W1700" i="5"/>
  <c r="U1700" i="5"/>
  <c r="S1700" i="5"/>
  <c r="O1700" i="5"/>
  <c r="V1700" i="5"/>
  <c r="T1700" i="5"/>
  <c r="P1700" i="5"/>
  <c r="R1700" i="5" s="1"/>
  <c r="W1702" i="5"/>
  <c r="U1702" i="5"/>
  <c r="S1702" i="5"/>
  <c r="O1702" i="5"/>
  <c r="V1702" i="5"/>
  <c r="P1702" i="5"/>
  <c r="R1702" i="5" s="1"/>
  <c r="T1702" i="5"/>
  <c r="W1704" i="5"/>
  <c r="U1704" i="5"/>
  <c r="S1704" i="5"/>
  <c r="O1704" i="5"/>
  <c r="V1704" i="5"/>
  <c r="T1704" i="5"/>
  <c r="P1704" i="5"/>
  <c r="R1704" i="5" s="1"/>
  <c r="W1706" i="5"/>
  <c r="U1706" i="5"/>
  <c r="S1706" i="5"/>
  <c r="O1706" i="5"/>
  <c r="V1706" i="5"/>
  <c r="P1706" i="5"/>
  <c r="R1706" i="5" s="1"/>
  <c r="T1706" i="5"/>
  <c r="W1708" i="5"/>
  <c r="U1708" i="5"/>
  <c r="S1708" i="5"/>
  <c r="O1708" i="5"/>
  <c r="V1708" i="5"/>
  <c r="T1708" i="5"/>
  <c r="P1708" i="5"/>
  <c r="R1708" i="5" s="1"/>
  <c r="W1710" i="5"/>
  <c r="U1710" i="5"/>
  <c r="S1710" i="5"/>
  <c r="O1710" i="5"/>
  <c r="V1710" i="5"/>
  <c r="P1710" i="5"/>
  <c r="R1710" i="5" s="1"/>
  <c r="T1710" i="5"/>
  <c r="W1712" i="5"/>
  <c r="U1712" i="5"/>
  <c r="S1712" i="5"/>
  <c r="O1712" i="5"/>
  <c r="V1712" i="5"/>
  <c r="T1712" i="5"/>
  <c r="P1712" i="5"/>
  <c r="R1712" i="5" s="1"/>
  <c r="W1714" i="5"/>
  <c r="U1714" i="5"/>
  <c r="S1714" i="5"/>
  <c r="O1714" i="5"/>
  <c r="V1714" i="5"/>
  <c r="P1714" i="5"/>
  <c r="R1714" i="5" s="1"/>
  <c r="T1714" i="5"/>
  <c r="W1716" i="5"/>
  <c r="U1716" i="5"/>
  <c r="S1716" i="5"/>
  <c r="O1716" i="5"/>
  <c r="V1716" i="5"/>
  <c r="T1716" i="5"/>
  <c r="P1716" i="5"/>
  <c r="R1716" i="5" s="1"/>
  <c r="W1718" i="5"/>
  <c r="U1718" i="5"/>
  <c r="S1718" i="5"/>
  <c r="O1718" i="5"/>
  <c r="V1718" i="5"/>
  <c r="P1718" i="5"/>
  <c r="R1718" i="5" s="1"/>
  <c r="T1718" i="5"/>
  <c r="W1720" i="5"/>
  <c r="U1720" i="5"/>
  <c r="S1720" i="5"/>
  <c r="O1720" i="5"/>
  <c r="V1720" i="5"/>
  <c r="T1720" i="5"/>
  <c r="P1720" i="5"/>
  <c r="R1720" i="5" s="1"/>
  <c r="W1722" i="5"/>
  <c r="U1722" i="5"/>
  <c r="S1722" i="5"/>
  <c r="O1722" i="5"/>
  <c r="V1722" i="5"/>
  <c r="P1722" i="5"/>
  <c r="R1722" i="5" s="1"/>
  <c r="T1722" i="5"/>
  <c r="W1724" i="5"/>
  <c r="U1724" i="5"/>
  <c r="S1724" i="5"/>
  <c r="O1724" i="5"/>
  <c r="V1724" i="5"/>
  <c r="T1724" i="5"/>
  <c r="P1724" i="5"/>
  <c r="R1724" i="5" s="1"/>
  <c r="W1726" i="5"/>
  <c r="U1726" i="5"/>
  <c r="S1726" i="5"/>
  <c r="O1726" i="5"/>
  <c r="V1726" i="5"/>
  <c r="P1726" i="5"/>
  <c r="R1726" i="5" s="1"/>
  <c r="T1726" i="5"/>
  <c r="W1728" i="5"/>
  <c r="U1728" i="5"/>
  <c r="S1728" i="5"/>
  <c r="O1728" i="5"/>
  <c r="V1728" i="5"/>
  <c r="T1728" i="5"/>
  <c r="P1728" i="5"/>
  <c r="R1728" i="5" s="1"/>
  <c r="W1730" i="5"/>
  <c r="U1730" i="5"/>
  <c r="S1730" i="5"/>
  <c r="O1730" i="5"/>
  <c r="V1730" i="5"/>
  <c r="P1730" i="5"/>
  <c r="R1730" i="5" s="1"/>
  <c r="T1730" i="5"/>
  <c r="W1732" i="5"/>
  <c r="U1732" i="5"/>
  <c r="S1732" i="5"/>
  <c r="O1732" i="5"/>
  <c r="V1732" i="5"/>
  <c r="T1732" i="5"/>
  <c r="P1732" i="5"/>
  <c r="R1732" i="5" s="1"/>
  <c r="W1734" i="5"/>
  <c r="U1734" i="5"/>
  <c r="S1734" i="5"/>
  <c r="O1734" i="5"/>
  <c r="V1734" i="5"/>
  <c r="P1734" i="5"/>
  <c r="R1734" i="5" s="1"/>
  <c r="T1734" i="5"/>
  <c r="W1736" i="5"/>
  <c r="U1736" i="5"/>
  <c r="S1736" i="5"/>
  <c r="O1736" i="5"/>
  <c r="V1736" i="5"/>
  <c r="T1736" i="5"/>
  <c r="P1736" i="5"/>
  <c r="R1736" i="5" s="1"/>
  <c r="W1738" i="5"/>
  <c r="U1738" i="5"/>
  <c r="S1738" i="5"/>
  <c r="O1738" i="5"/>
  <c r="V1738" i="5"/>
  <c r="P1738" i="5"/>
  <c r="R1738" i="5" s="1"/>
  <c r="T1738" i="5"/>
  <c r="W1740" i="5"/>
  <c r="U1740" i="5"/>
  <c r="S1740" i="5"/>
  <c r="O1740" i="5"/>
  <c r="V1740" i="5"/>
  <c r="T1740" i="5"/>
  <c r="P1740" i="5"/>
  <c r="R1740" i="5" s="1"/>
  <c r="W1742" i="5"/>
  <c r="U1742" i="5"/>
  <c r="S1742" i="5"/>
  <c r="O1742" i="5"/>
  <c r="V1742" i="5"/>
  <c r="P1742" i="5"/>
  <c r="R1742" i="5" s="1"/>
  <c r="T1742" i="5"/>
  <c r="W1744" i="5"/>
  <c r="U1744" i="5"/>
  <c r="S1744" i="5"/>
  <c r="O1744" i="5"/>
  <c r="V1744" i="5"/>
  <c r="T1744" i="5"/>
  <c r="P1744" i="5"/>
  <c r="R1744" i="5" s="1"/>
  <c r="W1746" i="5"/>
  <c r="U1746" i="5"/>
  <c r="S1746" i="5"/>
  <c r="O1746" i="5"/>
  <c r="V1746" i="5"/>
  <c r="P1746" i="5"/>
  <c r="R1746" i="5" s="1"/>
  <c r="T1746" i="5"/>
  <c r="W1748" i="5"/>
  <c r="U1748" i="5"/>
  <c r="S1748" i="5"/>
  <c r="O1748" i="5"/>
  <c r="V1748" i="5"/>
  <c r="T1748" i="5"/>
  <c r="P1748" i="5"/>
  <c r="R1748" i="5" s="1"/>
  <c r="W1750" i="5"/>
  <c r="U1750" i="5"/>
  <c r="S1750" i="5"/>
  <c r="O1750" i="5"/>
  <c r="V1750" i="5"/>
  <c r="P1750" i="5"/>
  <c r="R1750" i="5" s="1"/>
  <c r="T1750" i="5"/>
  <c r="W1752" i="5"/>
  <c r="U1752" i="5"/>
  <c r="S1752" i="5"/>
  <c r="O1752" i="5"/>
  <c r="V1752" i="5"/>
  <c r="T1752" i="5"/>
  <c r="P1752" i="5"/>
  <c r="R1752" i="5" s="1"/>
  <c r="W1754" i="5"/>
  <c r="U1754" i="5"/>
  <c r="S1754" i="5"/>
  <c r="O1754" i="5"/>
  <c r="V1754" i="5"/>
  <c r="P1754" i="5"/>
  <c r="R1754" i="5" s="1"/>
  <c r="T1754" i="5"/>
  <c r="W1756" i="5"/>
  <c r="U1756" i="5"/>
  <c r="S1756" i="5"/>
  <c r="O1756" i="5"/>
  <c r="V1756" i="5"/>
  <c r="T1756" i="5"/>
  <c r="P1756" i="5"/>
  <c r="R1756" i="5" s="1"/>
  <c r="W1758" i="5"/>
  <c r="U1758" i="5"/>
  <c r="S1758" i="5"/>
  <c r="O1758" i="5"/>
  <c r="V1758" i="5"/>
  <c r="P1758" i="5"/>
  <c r="R1758" i="5" s="1"/>
  <c r="T1758" i="5"/>
  <c r="W1760" i="5"/>
  <c r="U1760" i="5"/>
  <c r="S1760" i="5"/>
  <c r="O1760" i="5"/>
  <c r="V1760" i="5"/>
  <c r="T1760" i="5"/>
  <c r="P1760" i="5"/>
  <c r="R1760" i="5" s="1"/>
  <c r="W1762" i="5"/>
  <c r="U1762" i="5"/>
  <c r="S1762" i="5"/>
  <c r="O1762" i="5"/>
  <c r="V1762" i="5"/>
  <c r="P1762" i="5"/>
  <c r="R1762" i="5" s="1"/>
  <c r="T1762" i="5"/>
  <c r="W1764" i="5"/>
  <c r="U1764" i="5"/>
  <c r="S1764" i="5"/>
  <c r="O1764" i="5"/>
  <c r="V1764" i="5"/>
  <c r="T1764" i="5"/>
  <c r="P1764" i="5"/>
  <c r="R1764" i="5" s="1"/>
  <c r="W1766" i="5"/>
  <c r="U1766" i="5"/>
  <c r="S1766" i="5"/>
  <c r="O1766" i="5"/>
  <c r="V1766" i="5"/>
  <c r="P1766" i="5"/>
  <c r="R1766" i="5" s="1"/>
  <c r="T1766" i="5"/>
  <c r="W1768" i="5"/>
  <c r="U1768" i="5"/>
  <c r="S1768" i="5"/>
  <c r="O1768" i="5"/>
  <c r="V1768" i="5"/>
  <c r="T1768" i="5"/>
  <c r="P1768" i="5"/>
  <c r="R1768" i="5" s="1"/>
  <c r="W1770" i="5"/>
  <c r="U1770" i="5"/>
  <c r="S1770" i="5"/>
  <c r="O1770" i="5"/>
  <c r="V1770" i="5"/>
  <c r="P1770" i="5"/>
  <c r="R1770" i="5" s="1"/>
  <c r="T1770" i="5"/>
  <c r="W1772" i="5"/>
  <c r="U1772" i="5"/>
  <c r="S1772" i="5"/>
  <c r="O1772" i="5"/>
  <c r="V1772" i="5"/>
  <c r="T1772" i="5"/>
  <c r="P1772" i="5"/>
  <c r="R1772" i="5" s="1"/>
  <c r="W1774" i="5"/>
  <c r="U1774" i="5"/>
  <c r="S1774" i="5"/>
  <c r="O1774" i="5"/>
  <c r="V1774" i="5"/>
  <c r="P1774" i="5"/>
  <c r="R1774" i="5" s="1"/>
  <c r="T1774" i="5"/>
  <c r="W1776" i="5"/>
  <c r="U1776" i="5"/>
  <c r="S1776" i="5"/>
  <c r="O1776" i="5"/>
  <c r="V1776" i="5"/>
  <c r="T1776" i="5"/>
  <c r="P1776" i="5"/>
  <c r="R1776" i="5" s="1"/>
  <c r="W1778" i="5"/>
  <c r="U1778" i="5"/>
  <c r="S1778" i="5"/>
  <c r="O1778" i="5"/>
  <c r="V1778" i="5"/>
  <c r="P1778" i="5"/>
  <c r="R1778" i="5" s="1"/>
  <c r="T1778" i="5"/>
  <c r="W1780" i="5"/>
  <c r="U1780" i="5"/>
  <c r="S1780" i="5"/>
  <c r="O1780" i="5"/>
  <c r="V1780" i="5"/>
  <c r="T1780" i="5"/>
  <c r="P1780" i="5"/>
  <c r="R1780" i="5" s="1"/>
  <c r="W1782" i="5"/>
  <c r="U1782" i="5"/>
  <c r="S1782" i="5"/>
  <c r="O1782" i="5"/>
  <c r="V1782" i="5"/>
  <c r="P1782" i="5"/>
  <c r="R1782" i="5" s="1"/>
  <c r="T1782" i="5"/>
  <c r="W1784" i="5"/>
  <c r="U1784" i="5"/>
  <c r="S1784" i="5"/>
  <c r="O1784" i="5"/>
  <c r="V1784" i="5"/>
  <c r="T1784" i="5"/>
  <c r="P1784" i="5"/>
  <c r="R1784" i="5" s="1"/>
  <c r="W1786" i="5"/>
  <c r="U1786" i="5"/>
  <c r="S1786" i="5"/>
  <c r="O1786" i="5"/>
  <c r="V1786" i="5"/>
  <c r="P1786" i="5"/>
  <c r="R1786" i="5" s="1"/>
  <c r="T1786" i="5"/>
  <c r="W1788" i="5"/>
  <c r="U1788" i="5"/>
  <c r="S1788" i="5"/>
  <c r="O1788" i="5"/>
  <c r="V1788" i="5"/>
  <c r="T1788" i="5"/>
  <c r="P1788" i="5"/>
  <c r="R1788" i="5" s="1"/>
  <c r="W1790" i="5"/>
  <c r="U1790" i="5"/>
  <c r="S1790" i="5"/>
  <c r="O1790" i="5"/>
  <c r="V1790" i="5"/>
  <c r="P1790" i="5"/>
  <c r="R1790" i="5" s="1"/>
  <c r="T1790" i="5"/>
  <c r="W1792" i="5"/>
  <c r="U1792" i="5"/>
  <c r="S1792" i="5"/>
  <c r="O1792" i="5"/>
  <c r="V1792" i="5"/>
  <c r="T1792" i="5"/>
  <c r="P1792" i="5"/>
  <c r="R1792" i="5" s="1"/>
  <c r="W1794" i="5"/>
  <c r="U1794" i="5"/>
  <c r="S1794" i="5"/>
  <c r="O1794" i="5"/>
  <c r="V1794" i="5"/>
  <c r="P1794" i="5"/>
  <c r="R1794" i="5" s="1"/>
  <c r="T1794" i="5"/>
  <c r="W1796" i="5"/>
  <c r="U1796" i="5"/>
  <c r="S1796" i="5"/>
  <c r="O1796" i="5"/>
  <c r="V1796" i="5"/>
  <c r="T1796" i="5"/>
  <c r="P1796" i="5"/>
  <c r="R1796" i="5" s="1"/>
  <c r="W1798" i="5"/>
  <c r="U1798" i="5"/>
  <c r="S1798" i="5"/>
  <c r="O1798" i="5"/>
  <c r="V1798" i="5"/>
  <c r="P1798" i="5"/>
  <c r="R1798" i="5" s="1"/>
  <c r="T1798" i="5"/>
  <c r="W1800" i="5"/>
  <c r="U1800" i="5"/>
  <c r="S1800" i="5"/>
  <c r="O1800" i="5"/>
  <c r="V1800" i="5"/>
  <c r="T1800" i="5"/>
  <c r="P1800" i="5"/>
  <c r="R1800" i="5" s="1"/>
  <c r="W1802" i="5"/>
  <c r="U1802" i="5"/>
  <c r="S1802" i="5"/>
  <c r="O1802" i="5"/>
  <c r="V1802" i="5"/>
  <c r="P1802" i="5"/>
  <c r="R1802" i="5" s="1"/>
  <c r="T1802" i="5"/>
  <c r="W1804" i="5"/>
  <c r="U1804" i="5"/>
  <c r="S1804" i="5"/>
  <c r="O1804" i="5"/>
  <c r="V1804" i="5"/>
  <c r="T1804" i="5"/>
  <c r="P1804" i="5"/>
  <c r="R1804" i="5" s="1"/>
  <c r="W1806" i="5"/>
  <c r="U1806" i="5"/>
  <c r="S1806" i="5"/>
  <c r="O1806" i="5"/>
  <c r="V1806" i="5"/>
  <c r="P1806" i="5"/>
  <c r="R1806" i="5" s="1"/>
  <c r="T1806" i="5"/>
  <c r="W1808" i="5"/>
  <c r="U1808" i="5"/>
  <c r="S1808" i="5"/>
  <c r="O1808" i="5"/>
  <c r="V1808" i="5"/>
  <c r="T1808" i="5"/>
  <c r="P1808" i="5"/>
  <c r="R1808" i="5" s="1"/>
  <c r="W1810" i="5"/>
  <c r="U1810" i="5"/>
  <c r="S1810" i="5"/>
  <c r="O1810" i="5"/>
  <c r="V1810" i="5"/>
  <c r="P1810" i="5"/>
  <c r="R1810" i="5" s="1"/>
  <c r="T1810" i="5"/>
  <c r="W1812" i="5"/>
  <c r="U1812" i="5"/>
  <c r="S1812" i="5"/>
  <c r="O1812" i="5"/>
  <c r="V1812" i="5"/>
  <c r="T1812" i="5"/>
  <c r="P1812" i="5"/>
  <c r="R1812" i="5" s="1"/>
  <c r="W1814" i="5"/>
  <c r="U1814" i="5"/>
  <c r="S1814" i="5"/>
  <c r="O1814" i="5"/>
  <c r="V1814" i="5"/>
  <c r="P1814" i="5"/>
  <c r="R1814" i="5" s="1"/>
  <c r="T1814" i="5"/>
  <c r="W1816" i="5"/>
  <c r="U1816" i="5"/>
  <c r="S1816" i="5"/>
  <c r="O1816" i="5"/>
  <c r="V1816" i="5"/>
  <c r="T1816" i="5"/>
  <c r="P1816" i="5"/>
  <c r="R1816" i="5" s="1"/>
  <c r="W1818" i="5"/>
  <c r="U1818" i="5"/>
  <c r="S1818" i="5"/>
  <c r="T1818" i="5"/>
  <c r="O1818" i="5"/>
  <c r="P1818" i="5"/>
  <c r="R1818" i="5" s="1"/>
  <c r="V1818" i="5"/>
  <c r="W1820" i="5"/>
  <c r="U1820" i="5"/>
  <c r="S1820" i="5"/>
  <c r="O1820" i="5"/>
  <c r="T1820" i="5"/>
  <c r="P1820" i="5"/>
  <c r="R1820" i="5" s="1"/>
  <c r="V1820" i="5"/>
  <c r="W1822" i="5"/>
  <c r="U1822" i="5"/>
  <c r="S1822" i="5"/>
  <c r="O1822" i="5"/>
  <c r="T1822" i="5"/>
  <c r="P1822" i="5"/>
  <c r="R1822" i="5" s="1"/>
  <c r="V1822" i="5"/>
  <c r="W1824" i="5"/>
  <c r="U1824" i="5"/>
  <c r="S1824" i="5"/>
  <c r="O1824" i="5"/>
  <c r="T1824" i="5"/>
  <c r="P1824" i="5"/>
  <c r="R1824" i="5" s="1"/>
  <c r="V1824" i="5"/>
  <c r="W1826" i="5"/>
  <c r="U1826" i="5"/>
  <c r="S1826" i="5"/>
  <c r="O1826" i="5"/>
  <c r="T1826" i="5"/>
  <c r="P1826" i="5"/>
  <c r="R1826" i="5" s="1"/>
  <c r="V1826" i="5"/>
  <c r="W1828" i="5"/>
  <c r="U1828" i="5"/>
  <c r="S1828" i="5"/>
  <c r="O1828" i="5"/>
  <c r="T1828" i="5"/>
  <c r="P1828" i="5"/>
  <c r="R1828" i="5" s="1"/>
  <c r="V1828" i="5"/>
  <c r="W1830" i="5"/>
  <c r="U1830" i="5"/>
  <c r="S1830" i="5"/>
  <c r="O1830" i="5"/>
  <c r="T1830" i="5"/>
  <c r="P1830" i="5"/>
  <c r="R1830" i="5" s="1"/>
  <c r="V1830" i="5"/>
  <c r="W1832" i="5"/>
  <c r="U1832" i="5"/>
  <c r="S1832" i="5"/>
  <c r="O1832" i="5"/>
  <c r="T1832" i="5"/>
  <c r="P1832" i="5"/>
  <c r="R1832" i="5" s="1"/>
  <c r="V1832" i="5"/>
  <c r="W1834" i="5"/>
  <c r="U1834" i="5"/>
  <c r="S1834" i="5"/>
  <c r="O1834" i="5"/>
  <c r="T1834" i="5"/>
  <c r="P1834" i="5"/>
  <c r="R1834" i="5" s="1"/>
  <c r="V1834" i="5"/>
  <c r="W1836" i="5"/>
  <c r="U1836" i="5"/>
  <c r="S1836" i="5"/>
  <c r="O1836" i="5"/>
  <c r="T1836" i="5"/>
  <c r="P1836" i="5"/>
  <c r="R1836" i="5" s="1"/>
  <c r="V1836" i="5"/>
  <c r="W1838" i="5"/>
  <c r="U1838" i="5"/>
  <c r="S1838" i="5"/>
  <c r="O1838" i="5"/>
  <c r="T1838" i="5"/>
  <c r="P1838" i="5"/>
  <c r="R1838" i="5" s="1"/>
  <c r="V1838" i="5"/>
  <c r="W1840" i="5"/>
  <c r="U1840" i="5"/>
  <c r="S1840" i="5"/>
  <c r="O1840" i="5"/>
  <c r="T1840" i="5"/>
  <c r="P1840" i="5"/>
  <c r="R1840" i="5" s="1"/>
  <c r="V1840" i="5"/>
  <c r="W1842" i="5"/>
  <c r="U1842" i="5"/>
  <c r="S1842" i="5"/>
  <c r="O1842" i="5"/>
  <c r="T1842" i="5"/>
  <c r="P1842" i="5"/>
  <c r="R1842" i="5" s="1"/>
  <c r="V1842" i="5"/>
  <c r="W1844" i="5"/>
  <c r="U1844" i="5"/>
  <c r="S1844" i="5"/>
  <c r="O1844" i="5"/>
  <c r="T1844" i="5"/>
  <c r="P1844" i="5"/>
  <c r="R1844" i="5" s="1"/>
  <c r="V1844" i="5"/>
  <c r="W1846" i="5"/>
  <c r="U1846" i="5"/>
  <c r="S1846" i="5"/>
  <c r="O1846" i="5"/>
  <c r="T1846" i="5"/>
  <c r="P1846" i="5"/>
  <c r="R1846" i="5" s="1"/>
  <c r="V1846" i="5"/>
  <c r="W1848" i="5"/>
  <c r="U1848" i="5"/>
  <c r="S1848" i="5"/>
  <c r="O1848" i="5"/>
  <c r="T1848" i="5"/>
  <c r="P1848" i="5"/>
  <c r="R1848" i="5" s="1"/>
  <c r="V1848" i="5"/>
  <c r="W1850" i="5"/>
  <c r="U1850" i="5"/>
  <c r="S1850" i="5"/>
  <c r="O1850" i="5"/>
  <c r="T1850" i="5"/>
  <c r="P1850" i="5"/>
  <c r="R1850" i="5" s="1"/>
  <c r="V1850" i="5"/>
  <c r="W1852" i="5"/>
  <c r="U1852" i="5"/>
  <c r="S1852" i="5"/>
  <c r="O1852" i="5"/>
  <c r="T1852" i="5"/>
  <c r="P1852" i="5"/>
  <c r="R1852" i="5" s="1"/>
  <c r="V1852" i="5"/>
  <c r="W1854" i="5"/>
  <c r="U1854" i="5"/>
  <c r="S1854" i="5"/>
  <c r="O1854" i="5"/>
  <c r="T1854" i="5"/>
  <c r="P1854" i="5"/>
  <c r="R1854" i="5" s="1"/>
  <c r="V1854" i="5"/>
  <c r="W1856" i="5"/>
  <c r="U1856" i="5"/>
  <c r="S1856" i="5"/>
  <c r="O1856" i="5"/>
  <c r="T1856" i="5"/>
  <c r="P1856" i="5"/>
  <c r="R1856" i="5" s="1"/>
  <c r="V1856" i="5"/>
  <c r="W1858" i="5"/>
  <c r="U1858" i="5"/>
  <c r="S1858" i="5"/>
  <c r="O1858" i="5"/>
  <c r="T1858" i="5"/>
  <c r="P1858" i="5"/>
  <c r="R1858" i="5" s="1"/>
  <c r="V1858" i="5"/>
  <c r="W1860" i="5"/>
  <c r="U1860" i="5"/>
  <c r="S1860" i="5"/>
  <c r="O1860" i="5"/>
  <c r="T1860" i="5"/>
  <c r="P1860" i="5"/>
  <c r="R1860" i="5" s="1"/>
  <c r="V1860" i="5"/>
  <c r="W1862" i="5"/>
  <c r="U1862" i="5"/>
  <c r="S1862" i="5"/>
  <c r="O1862" i="5"/>
  <c r="T1862" i="5"/>
  <c r="P1862" i="5"/>
  <c r="R1862" i="5" s="1"/>
  <c r="V1862" i="5"/>
  <c r="W1864" i="5"/>
  <c r="U1864" i="5"/>
  <c r="S1864" i="5"/>
  <c r="O1864" i="5"/>
  <c r="T1864" i="5"/>
  <c r="P1864" i="5"/>
  <c r="R1864" i="5" s="1"/>
  <c r="V1864" i="5"/>
  <c r="W1866" i="5"/>
  <c r="U1866" i="5"/>
  <c r="S1866" i="5"/>
  <c r="O1866" i="5"/>
  <c r="T1866" i="5"/>
  <c r="P1866" i="5"/>
  <c r="R1866" i="5" s="1"/>
  <c r="V1866" i="5"/>
  <c r="W1868" i="5"/>
  <c r="U1868" i="5"/>
  <c r="S1868" i="5"/>
  <c r="O1868" i="5"/>
  <c r="T1868" i="5"/>
  <c r="P1868" i="5"/>
  <c r="R1868" i="5" s="1"/>
  <c r="V1868" i="5"/>
  <c r="W1870" i="5"/>
  <c r="U1870" i="5"/>
  <c r="S1870" i="5"/>
  <c r="O1870" i="5"/>
  <c r="T1870" i="5"/>
  <c r="P1870" i="5"/>
  <c r="R1870" i="5" s="1"/>
  <c r="V1870" i="5"/>
  <c r="W1872" i="5"/>
  <c r="U1872" i="5"/>
  <c r="S1872" i="5"/>
  <c r="O1872" i="5"/>
  <c r="T1872" i="5"/>
  <c r="P1872" i="5"/>
  <c r="R1872" i="5" s="1"/>
  <c r="V1872" i="5"/>
  <c r="W1874" i="5"/>
  <c r="U1874" i="5"/>
  <c r="S1874" i="5"/>
  <c r="O1874" i="5"/>
  <c r="T1874" i="5"/>
  <c r="P1874" i="5"/>
  <c r="R1874" i="5" s="1"/>
  <c r="V1874" i="5"/>
  <c r="W1876" i="5"/>
  <c r="U1876" i="5"/>
  <c r="S1876" i="5"/>
  <c r="O1876" i="5"/>
  <c r="T1876" i="5"/>
  <c r="P1876" i="5"/>
  <c r="R1876" i="5" s="1"/>
  <c r="V1876" i="5"/>
  <c r="W1878" i="5"/>
  <c r="U1878" i="5"/>
  <c r="S1878" i="5"/>
  <c r="O1878" i="5"/>
  <c r="T1878" i="5"/>
  <c r="P1878" i="5"/>
  <c r="R1878" i="5" s="1"/>
  <c r="V1878" i="5"/>
  <c r="W1880" i="5"/>
  <c r="U1880" i="5"/>
  <c r="S1880" i="5"/>
  <c r="O1880" i="5"/>
  <c r="T1880" i="5"/>
  <c r="P1880" i="5"/>
  <c r="R1880" i="5" s="1"/>
  <c r="V1880" i="5"/>
  <c r="W1882" i="5"/>
  <c r="U1882" i="5"/>
  <c r="S1882" i="5"/>
  <c r="O1882" i="5"/>
  <c r="T1882" i="5"/>
  <c r="P1882" i="5"/>
  <c r="R1882" i="5" s="1"/>
  <c r="V1882" i="5"/>
  <c r="W1884" i="5"/>
  <c r="U1884" i="5"/>
  <c r="S1884" i="5"/>
  <c r="O1884" i="5"/>
  <c r="T1884" i="5"/>
  <c r="P1884" i="5"/>
  <c r="R1884" i="5" s="1"/>
  <c r="V1884" i="5"/>
  <c r="W1886" i="5"/>
  <c r="U1886" i="5"/>
  <c r="S1886" i="5"/>
  <c r="O1886" i="5"/>
  <c r="T1886" i="5"/>
  <c r="P1886" i="5"/>
  <c r="R1886" i="5" s="1"/>
  <c r="V1886" i="5"/>
  <c r="W1888" i="5"/>
  <c r="U1888" i="5"/>
  <c r="S1888" i="5"/>
  <c r="O1888" i="5"/>
  <c r="T1888" i="5"/>
  <c r="P1888" i="5"/>
  <c r="R1888" i="5" s="1"/>
  <c r="V1888" i="5"/>
  <c r="W1890" i="5"/>
  <c r="U1890" i="5"/>
  <c r="S1890" i="5"/>
  <c r="O1890" i="5"/>
  <c r="T1890" i="5"/>
  <c r="P1890" i="5"/>
  <c r="R1890" i="5" s="1"/>
  <c r="V1890" i="5"/>
  <c r="W1892" i="5"/>
  <c r="U1892" i="5"/>
  <c r="S1892" i="5"/>
  <c r="O1892" i="5"/>
  <c r="T1892" i="5"/>
  <c r="P1892" i="5"/>
  <c r="R1892" i="5" s="1"/>
  <c r="V1892" i="5"/>
  <c r="W1894" i="5"/>
  <c r="U1894" i="5"/>
  <c r="S1894" i="5"/>
  <c r="O1894" i="5"/>
  <c r="T1894" i="5"/>
  <c r="P1894" i="5"/>
  <c r="R1894" i="5" s="1"/>
  <c r="V1894" i="5"/>
  <c r="W1896" i="5"/>
  <c r="U1896" i="5"/>
  <c r="S1896" i="5"/>
  <c r="O1896" i="5"/>
  <c r="T1896" i="5"/>
  <c r="P1896" i="5"/>
  <c r="R1896" i="5" s="1"/>
  <c r="V1896" i="5"/>
  <c r="W1898" i="5"/>
  <c r="U1898" i="5"/>
  <c r="S1898" i="5"/>
  <c r="O1898" i="5"/>
  <c r="T1898" i="5"/>
  <c r="P1898" i="5"/>
  <c r="R1898" i="5" s="1"/>
  <c r="V1898" i="5"/>
  <c r="W1900" i="5"/>
  <c r="U1900" i="5"/>
  <c r="S1900" i="5"/>
  <c r="O1900" i="5"/>
  <c r="T1900" i="5"/>
  <c r="P1900" i="5"/>
  <c r="R1900" i="5" s="1"/>
  <c r="V1900" i="5"/>
  <c r="W1902" i="5"/>
  <c r="U1902" i="5"/>
  <c r="S1902" i="5"/>
  <c r="O1902" i="5"/>
  <c r="T1902" i="5"/>
  <c r="P1902" i="5"/>
  <c r="R1902" i="5" s="1"/>
  <c r="V1902" i="5"/>
  <c r="W1904" i="5"/>
  <c r="U1904" i="5"/>
  <c r="S1904" i="5"/>
  <c r="O1904" i="5"/>
  <c r="T1904" i="5"/>
  <c r="P1904" i="5"/>
  <c r="R1904" i="5" s="1"/>
  <c r="V1904" i="5"/>
  <c r="W1906" i="5"/>
  <c r="U1906" i="5"/>
  <c r="S1906" i="5"/>
  <c r="O1906" i="5"/>
  <c r="T1906" i="5"/>
  <c r="P1906" i="5"/>
  <c r="R1906" i="5" s="1"/>
  <c r="V1906" i="5"/>
  <c r="W1908" i="5"/>
  <c r="U1908" i="5"/>
  <c r="S1908" i="5"/>
  <c r="O1908" i="5"/>
  <c r="T1908" i="5"/>
  <c r="P1908" i="5"/>
  <c r="R1908" i="5" s="1"/>
  <c r="V1908" i="5"/>
  <c r="W1910" i="5"/>
  <c r="U1910" i="5"/>
  <c r="S1910" i="5"/>
  <c r="O1910" i="5"/>
  <c r="T1910" i="5"/>
  <c r="P1910" i="5"/>
  <c r="R1910" i="5" s="1"/>
  <c r="V1910" i="5"/>
  <c r="W1912" i="5"/>
  <c r="U1912" i="5"/>
  <c r="S1912" i="5"/>
  <c r="O1912" i="5"/>
  <c r="T1912" i="5"/>
  <c r="P1912" i="5"/>
  <c r="R1912" i="5" s="1"/>
  <c r="V1912" i="5"/>
  <c r="W1914" i="5"/>
  <c r="U1914" i="5"/>
  <c r="S1914" i="5"/>
  <c r="O1914" i="5"/>
  <c r="T1914" i="5"/>
  <c r="P1914" i="5"/>
  <c r="R1914" i="5" s="1"/>
  <c r="V1914" i="5"/>
  <c r="W1916" i="5"/>
  <c r="U1916" i="5"/>
  <c r="S1916" i="5"/>
  <c r="O1916" i="5"/>
  <c r="T1916" i="5"/>
  <c r="P1916" i="5"/>
  <c r="R1916" i="5" s="1"/>
  <c r="V1916" i="5"/>
  <c r="W1918" i="5"/>
  <c r="U1918" i="5"/>
  <c r="S1918" i="5"/>
  <c r="O1918" i="5"/>
  <c r="T1918" i="5"/>
  <c r="P1918" i="5"/>
  <c r="R1918" i="5" s="1"/>
  <c r="V1918" i="5"/>
  <c r="V1920" i="5"/>
  <c r="U1920" i="5"/>
  <c r="S1920" i="5"/>
  <c r="O1920" i="5"/>
  <c r="T1920" i="5"/>
  <c r="P1920" i="5"/>
  <c r="R1920" i="5" s="1"/>
  <c r="W1920" i="5"/>
  <c r="V1922" i="5"/>
  <c r="T1922" i="5"/>
  <c r="P1922" i="5"/>
  <c r="R1922" i="5" s="1"/>
  <c r="U1922" i="5"/>
  <c r="W1922" i="5"/>
  <c r="O1922" i="5"/>
  <c r="S1922" i="5"/>
  <c r="V1924" i="5"/>
  <c r="T1924" i="5"/>
  <c r="P1924" i="5"/>
  <c r="R1924" i="5" s="1"/>
  <c r="U1924" i="5"/>
  <c r="S1924" i="5"/>
  <c r="O1924" i="5"/>
  <c r="W1924" i="5"/>
  <c r="V1926" i="5"/>
  <c r="T1926" i="5"/>
  <c r="P1926" i="5"/>
  <c r="R1926" i="5" s="1"/>
  <c r="U1926" i="5"/>
  <c r="W1926" i="5"/>
  <c r="O1926" i="5"/>
  <c r="S1926" i="5"/>
  <c r="V1928" i="5"/>
  <c r="T1928" i="5"/>
  <c r="P1928" i="5"/>
  <c r="R1928" i="5" s="1"/>
  <c r="U1928" i="5"/>
  <c r="S1928" i="5"/>
  <c r="W1928" i="5"/>
  <c r="O1928" i="5"/>
  <c r="V1930" i="5"/>
  <c r="T1930" i="5"/>
  <c r="P1930" i="5"/>
  <c r="R1930" i="5" s="1"/>
  <c r="U1930" i="5"/>
  <c r="W1930" i="5"/>
  <c r="O1930" i="5"/>
  <c r="S1930" i="5"/>
  <c r="V1932" i="5"/>
  <c r="T1932" i="5"/>
  <c r="P1932" i="5"/>
  <c r="R1932" i="5" s="1"/>
  <c r="U1932" i="5"/>
  <c r="S1932" i="5"/>
  <c r="O1932" i="5"/>
  <c r="W1932" i="5"/>
  <c r="V1934" i="5"/>
  <c r="T1934" i="5"/>
  <c r="P1934" i="5"/>
  <c r="R1934" i="5" s="1"/>
  <c r="U1934" i="5"/>
  <c r="W1934" i="5"/>
  <c r="O1934" i="5"/>
  <c r="S1934" i="5"/>
  <c r="V1936" i="5"/>
  <c r="T1936" i="5"/>
  <c r="P1936" i="5"/>
  <c r="R1936" i="5" s="1"/>
  <c r="U1936" i="5"/>
  <c r="S1936" i="5"/>
  <c r="W1936" i="5"/>
  <c r="O1936" i="5"/>
  <c r="V1938" i="5"/>
  <c r="T1938" i="5"/>
  <c r="P1938" i="5"/>
  <c r="R1938" i="5" s="1"/>
  <c r="U1938" i="5"/>
  <c r="W1938" i="5"/>
  <c r="O1938" i="5"/>
  <c r="S1938" i="5"/>
  <c r="V1940" i="5"/>
  <c r="T1940" i="5"/>
  <c r="P1940" i="5"/>
  <c r="R1940" i="5" s="1"/>
  <c r="U1940" i="5"/>
  <c r="S1940" i="5"/>
  <c r="O1940" i="5"/>
  <c r="W1940" i="5"/>
  <c r="V1942" i="5"/>
  <c r="T1942" i="5"/>
  <c r="P1942" i="5"/>
  <c r="R1942" i="5" s="1"/>
  <c r="U1942" i="5"/>
  <c r="W1942" i="5"/>
  <c r="O1942" i="5"/>
  <c r="S1942" i="5"/>
  <c r="V1944" i="5"/>
  <c r="T1944" i="5"/>
  <c r="P1944" i="5"/>
  <c r="R1944" i="5" s="1"/>
  <c r="U1944" i="5"/>
  <c r="S1944" i="5"/>
  <c r="W1944" i="5"/>
  <c r="O1944" i="5"/>
  <c r="V1946" i="5"/>
  <c r="T1946" i="5"/>
  <c r="P1946" i="5"/>
  <c r="R1946" i="5" s="1"/>
  <c r="U1946" i="5"/>
  <c r="W1946" i="5"/>
  <c r="O1946" i="5"/>
  <c r="S1946" i="5"/>
  <c r="V1948" i="5"/>
  <c r="T1948" i="5"/>
  <c r="P1948" i="5"/>
  <c r="R1948" i="5" s="1"/>
  <c r="U1948" i="5"/>
  <c r="S1948" i="5"/>
  <c r="O1948" i="5"/>
  <c r="W1948" i="5"/>
  <c r="V1950" i="5"/>
  <c r="T1950" i="5"/>
  <c r="P1950" i="5"/>
  <c r="R1950" i="5" s="1"/>
  <c r="U1950" i="5"/>
  <c r="W1950" i="5"/>
  <c r="O1950" i="5"/>
  <c r="S1950" i="5"/>
  <c r="V1952" i="5"/>
  <c r="T1952" i="5"/>
  <c r="P1952" i="5"/>
  <c r="R1952" i="5" s="1"/>
  <c r="U1952" i="5"/>
  <c r="S1952" i="5"/>
  <c r="W1952" i="5"/>
  <c r="O1952" i="5"/>
  <c r="V1954" i="5"/>
  <c r="T1954" i="5"/>
  <c r="P1954" i="5"/>
  <c r="R1954" i="5" s="1"/>
  <c r="U1954" i="5"/>
  <c r="W1954" i="5"/>
  <c r="O1954" i="5"/>
  <c r="S1954" i="5"/>
  <c r="V1956" i="5"/>
  <c r="T1956" i="5"/>
  <c r="P1956" i="5"/>
  <c r="R1956" i="5" s="1"/>
  <c r="U1956" i="5"/>
  <c r="S1956" i="5"/>
  <c r="O1956" i="5"/>
  <c r="W1956" i="5"/>
  <c r="V1958" i="5"/>
  <c r="T1958" i="5"/>
  <c r="P1958" i="5"/>
  <c r="R1958" i="5" s="1"/>
  <c r="U1958" i="5"/>
  <c r="W1958" i="5"/>
  <c r="O1958" i="5"/>
  <c r="S1958" i="5"/>
  <c r="V1960" i="5"/>
  <c r="T1960" i="5"/>
  <c r="P1960" i="5"/>
  <c r="R1960" i="5" s="1"/>
  <c r="U1960" i="5"/>
  <c r="S1960" i="5"/>
  <c r="W1960" i="5"/>
  <c r="O1960" i="5"/>
  <c r="V1962" i="5"/>
  <c r="T1962" i="5"/>
  <c r="P1962" i="5"/>
  <c r="R1962" i="5" s="1"/>
  <c r="U1962" i="5"/>
  <c r="W1962" i="5"/>
  <c r="O1962" i="5"/>
  <c r="S1962" i="5"/>
  <c r="V1964" i="5"/>
  <c r="T1964" i="5"/>
  <c r="P1964" i="5"/>
  <c r="R1964" i="5" s="1"/>
  <c r="U1964" i="5"/>
  <c r="S1964" i="5"/>
  <c r="O1964" i="5"/>
  <c r="W1964" i="5"/>
  <c r="V1966" i="5"/>
  <c r="T1966" i="5"/>
  <c r="P1966" i="5"/>
  <c r="R1966" i="5" s="1"/>
  <c r="U1966" i="5"/>
  <c r="W1966" i="5"/>
  <c r="O1966" i="5"/>
  <c r="S1966" i="5"/>
  <c r="V1968" i="5"/>
  <c r="T1968" i="5"/>
  <c r="P1968" i="5"/>
  <c r="R1968" i="5" s="1"/>
  <c r="U1968" i="5"/>
  <c r="S1968" i="5"/>
  <c r="W1968" i="5"/>
  <c r="O1968" i="5"/>
  <c r="V1970" i="5"/>
  <c r="T1970" i="5"/>
  <c r="P1970" i="5"/>
  <c r="R1970" i="5" s="1"/>
  <c r="U1970" i="5"/>
  <c r="W1970" i="5"/>
  <c r="O1970" i="5"/>
  <c r="S1970" i="5"/>
  <c r="V1972" i="5"/>
  <c r="T1972" i="5"/>
  <c r="P1972" i="5"/>
  <c r="R1972" i="5" s="1"/>
  <c r="W1972" i="5"/>
  <c r="S1972" i="5"/>
  <c r="O1972" i="5"/>
  <c r="U1972" i="5"/>
  <c r="V1974" i="5"/>
  <c r="T1974" i="5"/>
  <c r="P1974" i="5"/>
  <c r="R1974" i="5" s="1"/>
  <c r="W1974" i="5"/>
  <c r="S1974" i="5"/>
  <c r="O1974" i="5"/>
  <c r="U1974" i="5"/>
  <c r="V1976" i="5"/>
  <c r="T1976" i="5"/>
  <c r="P1976" i="5"/>
  <c r="R1976" i="5" s="1"/>
  <c r="W1976" i="5"/>
  <c r="S1976" i="5"/>
  <c r="O1976" i="5"/>
  <c r="U1976" i="5"/>
  <c r="V1978" i="5"/>
  <c r="T1978" i="5"/>
  <c r="P1978" i="5"/>
  <c r="R1978" i="5" s="1"/>
  <c r="W1978" i="5"/>
  <c r="S1978" i="5"/>
  <c r="O1978" i="5"/>
  <c r="U1978" i="5"/>
  <c r="V1980" i="5"/>
  <c r="T1980" i="5"/>
  <c r="P1980" i="5"/>
  <c r="R1980" i="5" s="1"/>
  <c r="W1980" i="5"/>
  <c r="S1980" i="5"/>
  <c r="O1980" i="5"/>
  <c r="U1980" i="5"/>
  <c r="V1982" i="5"/>
  <c r="T1982" i="5"/>
  <c r="P1982" i="5"/>
  <c r="R1982" i="5" s="1"/>
  <c r="W1982" i="5"/>
  <c r="S1982" i="5"/>
  <c r="O1982" i="5"/>
  <c r="U1982" i="5"/>
  <c r="V1984" i="5"/>
  <c r="T1984" i="5"/>
  <c r="P1984" i="5"/>
  <c r="R1984" i="5" s="1"/>
  <c r="W1984" i="5"/>
  <c r="S1984" i="5"/>
  <c r="O1984" i="5"/>
  <c r="U1984" i="5"/>
  <c r="V1986" i="5"/>
  <c r="T1986" i="5"/>
  <c r="P1986" i="5"/>
  <c r="R1986" i="5" s="1"/>
  <c r="W1986" i="5"/>
  <c r="S1986" i="5"/>
  <c r="O1986" i="5"/>
  <c r="U1986" i="5"/>
  <c r="V1988" i="5"/>
  <c r="T1988" i="5"/>
  <c r="P1988" i="5"/>
  <c r="R1988" i="5" s="1"/>
  <c r="W1988" i="5"/>
  <c r="S1988" i="5"/>
  <c r="O1988" i="5"/>
  <c r="U1988" i="5"/>
  <c r="V1990" i="5"/>
  <c r="T1990" i="5"/>
  <c r="P1990" i="5"/>
  <c r="R1990" i="5" s="1"/>
  <c r="W1990" i="5"/>
  <c r="S1990" i="5"/>
  <c r="O1990" i="5"/>
  <c r="U1990" i="5"/>
  <c r="V1992" i="5"/>
  <c r="T1992" i="5"/>
  <c r="P1992" i="5"/>
  <c r="R1992" i="5" s="1"/>
  <c r="W1992" i="5"/>
  <c r="S1992" i="5"/>
  <c r="O1992" i="5"/>
  <c r="U1992" i="5"/>
  <c r="V1994" i="5"/>
  <c r="T1994" i="5"/>
  <c r="P1994" i="5"/>
  <c r="R1994" i="5" s="1"/>
  <c r="W1994" i="5"/>
  <c r="S1994" i="5"/>
  <c r="O1994" i="5"/>
  <c r="U1994" i="5"/>
  <c r="V1996" i="5"/>
  <c r="T1996" i="5"/>
  <c r="P1996" i="5"/>
  <c r="R1996" i="5" s="1"/>
  <c r="W1996" i="5"/>
  <c r="S1996" i="5"/>
  <c r="O1996" i="5"/>
  <c r="U1996" i="5"/>
  <c r="V1998" i="5"/>
  <c r="T1998" i="5"/>
  <c r="P1998" i="5"/>
  <c r="R1998" i="5" s="1"/>
  <c r="W1998" i="5"/>
  <c r="S1998" i="5"/>
  <c r="O1998" i="5"/>
  <c r="U1998" i="5"/>
  <c r="V2000" i="5"/>
  <c r="T2000" i="5"/>
  <c r="P2000" i="5"/>
  <c r="R2000" i="5" s="1"/>
  <c r="W2000" i="5"/>
  <c r="S2000" i="5"/>
  <c r="O2000" i="5"/>
  <c r="U2000" i="5"/>
  <c r="V2002" i="5"/>
  <c r="T2002" i="5"/>
  <c r="P2002" i="5"/>
  <c r="R2002" i="5" s="1"/>
  <c r="W2002" i="5"/>
  <c r="S2002" i="5"/>
  <c r="O2002" i="5"/>
  <c r="U2002" i="5"/>
  <c r="V2004" i="5"/>
  <c r="T2004" i="5"/>
  <c r="P2004" i="5"/>
  <c r="R2004" i="5" s="1"/>
  <c r="W2004" i="5"/>
  <c r="S2004" i="5"/>
  <c r="O2004" i="5"/>
  <c r="U2004" i="5"/>
  <c r="G7" i="5"/>
  <c r="I7" i="5"/>
  <c r="K7" i="5"/>
  <c r="AA7" i="5"/>
  <c r="G9" i="5"/>
  <c r="I9" i="5"/>
  <c r="K9" i="5"/>
  <c r="AA9" i="5"/>
  <c r="G11" i="5"/>
  <c r="I11" i="5"/>
  <c r="K11" i="5"/>
  <c r="AA11" i="5"/>
  <c r="G13" i="5"/>
  <c r="I13" i="5"/>
  <c r="K13" i="5"/>
  <c r="AA13" i="5"/>
  <c r="G15" i="5"/>
  <c r="I15" i="5"/>
  <c r="K15" i="5"/>
  <c r="AA15" i="5"/>
  <c r="G17" i="5"/>
  <c r="I17" i="5"/>
  <c r="K17" i="5"/>
  <c r="AA17" i="5"/>
  <c r="G19" i="5"/>
  <c r="I19" i="5"/>
  <c r="K19" i="5"/>
  <c r="AA19" i="5"/>
  <c r="G21" i="5"/>
  <c r="I21" i="5"/>
  <c r="K21" i="5"/>
  <c r="AA21" i="5"/>
  <c r="G23" i="5"/>
  <c r="I23" i="5"/>
  <c r="K23" i="5"/>
  <c r="AA23" i="5"/>
  <c r="G25" i="5"/>
  <c r="I25" i="5"/>
  <c r="K25" i="5"/>
  <c r="AA25" i="5"/>
  <c r="G27" i="5"/>
  <c r="I27" i="5"/>
  <c r="K27" i="5"/>
  <c r="AA27" i="5"/>
  <c r="G29" i="5"/>
  <c r="I29" i="5"/>
  <c r="K29" i="5"/>
  <c r="AA29" i="5"/>
  <c r="G31" i="5"/>
  <c r="I31" i="5"/>
  <c r="K31" i="5"/>
  <c r="AA31" i="5"/>
  <c r="G33" i="5"/>
  <c r="I33" i="5"/>
  <c r="K33" i="5"/>
  <c r="AA33" i="5"/>
  <c r="G35" i="5"/>
  <c r="I35" i="5"/>
  <c r="K35" i="5"/>
  <c r="AA35" i="5"/>
  <c r="G37" i="5"/>
  <c r="I37" i="5"/>
  <c r="K37" i="5"/>
  <c r="AA37" i="5"/>
  <c r="G39" i="5"/>
  <c r="I39" i="5"/>
  <c r="K39" i="5"/>
  <c r="AA39" i="5"/>
  <c r="G41" i="5"/>
  <c r="I41" i="5"/>
  <c r="K41" i="5"/>
  <c r="AA41" i="5"/>
  <c r="G43" i="5"/>
  <c r="I43" i="5"/>
  <c r="K43" i="5"/>
  <c r="AA43" i="5"/>
  <c r="G45" i="5"/>
  <c r="I45" i="5"/>
  <c r="K45" i="5"/>
  <c r="AA45" i="5"/>
  <c r="G47" i="5"/>
  <c r="I47" i="5"/>
  <c r="K47" i="5"/>
  <c r="AA47" i="5"/>
  <c r="G49" i="5"/>
  <c r="I49" i="5"/>
  <c r="K49" i="5"/>
  <c r="AA49" i="5"/>
  <c r="G51" i="5"/>
  <c r="I51" i="5"/>
  <c r="K51" i="5"/>
  <c r="AA51" i="5"/>
  <c r="G53" i="5"/>
  <c r="I53" i="5"/>
  <c r="K53" i="5"/>
  <c r="AA53" i="5"/>
  <c r="G55" i="5"/>
  <c r="I55" i="5"/>
  <c r="K55" i="5"/>
  <c r="AA55" i="5"/>
  <c r="G57" i="5"/>
  <c r="I57" i="5"/>
  <c r="K57" i="5"/>
  <c r="AA57" i="5"/>
  <c r="G59" i="5"/>
  <c r="I59" i="5"/>
  <c r="K59" i="5"/>
  <c r="AA59" i="5"/>
  <c r="G61" i="5"/>
  <c r="I61" i="5"/>
  <c r="K61" i="5"/>
  <c r="AA61" i="5"/>
  <c r="G63" i="5"/>
  <c r="I63" i="5"/>
  <c r="K63" i="5"/>
  <c r="AA63" i="5"/>
  <c r="G65" i="5"/>
  <c r="I65" i="5"/>
  <c r="K65" i="5"/>
  <c r="AA65" i="5"/>
  <c r="G67" i="5"/>
  <c r="I67" i="5"/>
  <c r="K67" i="5"/>
  <c r="AA67" i="5"/>
  <c r="G69" i="5"/>
  <c r="I69" i="5"/>
  <c r="K69" i="5"/>
  <c r="AA69" i="5"/>
  <c r="G71" i="5"/>
  <c r="I71" i="5"/>
  <c r="K71" i="5"/>
  <c r="AA71" i="5"/>
  <c r="G73" i="5"/>
  <c r="I73" i="5"/>
  <c r="K73" i="5"/>
  <c r="AA73" i="5"/>
  <c r="G75" i="5"/>
  <c r="I75" i="5"/>
  <c r="K75" i="5"/>
  <c r="AA75" i="5"/>
  <c r="G77" i="5"/>
  <c r="I77" i="5"/>
  <c r="K77" i="5"/>
  <c r="AA77" i="5"/>
  <c r="G79" i="5"/>
  <c r="I79" i="5"/>
  <c r="K79" i="5"/>
  <c r="AA79" i="5"/>
  <c r="G81" i="5"/>
  <c r="I81" i="5"/>
  <c r="K81" i="5"/>
  <c r="AA81" i="5"/>
  <c r="G83" i="5"/>
  <c r="I83" i="5"/>
  <c r="K83" i="5"/>
  <c r="AA83" i="5"/>
  <c r="G85" i="5"/>
  <c r="I85" i="5"/>
  <c r="K85" i="5"/>
  <c r="AA85" i="5"/>
  <c r="G87" i="5"/>
  <c r="I87" i="5"/>
  <c r="K87" i="5"/>
  <c r="AA87" i="5"/>
  <c r="G89" i="5"/>
  <c r="I89" i="5"/>
  <c r="K89" i="5"/>
  <c r="AA89" i="5"/>
  <c r="G91" i="5"/>
  <c r="I91" i="5"/>
  <c r="K91" i="5"/>
  <c r="AA91" i="5"/>
  <c r="G93" i="5"/>
  <c r="I93" i="5"/>
  <c r="K93" i="5"/>
  <c r="AA93" i="5"/>
  <c r="G95" i="5"/>
  <c r="I95" i="5"/>
  <c r="K95" i="5"/>
  <c r="AA95" i="5"/>
  <c r="G97" i="5"/>
  <c r="I97" i="5"/>
  <c r="K97" i="5"/>
  <c r="AA97" i="5"/>
  <c r="G99" i="5"/>
  <c r="I99" i="5"/>
  <c r="K99" i="5"/>
  <c r="AA99" i="5"/>
  <c r="G101" i="5"/>
  <c r="I101" i="5"/>
  <c r="K101" i="5"/>
  <c r="AA101" i="5"/>
  <c r="G103" i="5"/>
  <c r="I103" i="5"/>
  <c r="K103" i="5"/>
  <c r="AA103" i="5"/>
  <c r="G105" i="5"/>
  <c r="I105" i="5"/>
  <c r="K105" i="5"/>
  <c r="AA105" i="5"/>
  <c r="G107" i="5"/>
  <c r="I107" i="5"/>
  <c r="K107" i="5"/>
  <c r="AA107" i="5"/>
  <c r="G109" i="5"/>
  <c r="I109" i="5"/>
  <c r="K109" i="5"/>
  <c r="AA109" i="5"/>
  <c r="G111" i="5"/>
  <c r="I111" i="5"/>
  <c r="K111" i="5"/>
  <c r="AA111" i="5"/>
  <c r="G113" i="5"/>
  <c r="I113" i="5"/>
  <c r="K113" i="5"/>
  <c r="AA113" i="5"/>
  <c r="G115" i="5"/>
  <c r="I115" i="5"/>
  <c r="K115" i="5"/>
  <c r="AA115" i="5"/>
  <c r="G117" i="5"/>
  <c r="I117" i="5"/>
  <c r="K117" i="5"/>
  <c r="AA117" i="5"/>
  <c r="G119" i="5"/>
  <c r="I119" i="5"/>
  <c r="K119" i="5"/>
  <c r="AA119" i="5"/>
  <c r="G121" i="5"/>
  <c r="I121" i="5"/>
  <c r="K121" i="5"/>
  <c r="AA121" i="5"/>
  <c r="G123" i="5"/>
  <c r="I123" i="5"/>
  <c r="K123" i="5"/>
  <c r="AA123" i="5"/>
  <c r="G125" i="5"/>
  <c r="I125" i="5"/>
  <c r="K125" i="5"/>
  <c r="AA125" i="5"/>
  <c r="G127" i="5"/>
  <c r="I127" i="5"/>
  <c r="K127" i="5"/>
  <c r="AA127" i="5"/>
  <c r="G129" i="5"/>
  <c r="I129" i="5"/>
  <c r="K129" i="5"/>
  <c r="AA129" i="5"/>
  <c r="G131" i="5"/>
  <c r="I131" i="5"/>
  <c r="K131" i="5"/>
  <c r="AA131" i="5"/>
  <c r="G133" i="5"/>
  <c r="I133" i="5"/>
  <c r="K133" i="5"/>
  <c r="AA133" i="5"/>
  <c r="G135" i="5"/>
  <c r="I135" i="5"/>
  <c r="K135" i="5"/>
  <c r="AA135" i="5"/>
  <c r="G137" i="5"/>
  <c r="I137" i="5"/>
  <c r="K137" i="5"/>
  <c r="AA137" i="5"/>
  <c r="G139" i="5"/>
  <c r="I139" i="5"/>
  <c r="K139" i="5"/>
  <c r="AA139" i="5"/>
  <c r="G141" i="5"/>
  <c r="I141" i="5"/>
  <c r="K141" i="5"/>
  <c r="AA141" i="5"/>
  <c r="G143" i="5"/>
  <c r="I143" i="5"/>
  <c r="K143" i="5"/>
  <c r="AA143" i="5"/>
  <c r="G145" i="5"/>
  <c r="I145" i="5"/>
  <c r="K145" i="5"/>
  <c r="AA145" i="5"/>
  <c r="G147" i="5"/>
  <c r="I147" i="5"/>
  <c r="K147" i="5"/>
  <c r="AA147" i="5"/>
  <c r="G149" i="5"/>
  <c r="I149" i="5"/>
  <c r="K149" i="5"/>
  <c r="AA149" i="5"/>
  <c r="G151" i="5"/>
  <c r="I151" i="5"/>
  <c r="K151" i="5"/>
  <c r="AA151" i="5"/>
  <c r="G153" i="5"/>
  <c r="I153" i="5"/>
  <c r="K153" i="5"/>
  <c r="AA153" i="5"/>
  <c r="G155" i="5"/>
  <c r="I155" i="5"/>
  <c r="K155" i="5"/>
  <c r="AA155" i="5"/>
  <c r="G157" i="5"/>
  <c r="I157" i="5"/>
  <c r="K157" i="5"/>
  <c r="AA157" i="5"/>
  <c r="G159" i="5"/>
  <c r="I159" i="5"/>
  <c r="K159" i="5"/>
  <c r="AA159" i="5"/>
  <c r="G161" i="5"/>
  <c r="I161" i="5"/>
  <c r="K161" i="5"/>
  <c r="AA161" i="5"/>
  <c r="G163" i="5"/>
  <c r="I163" i="5"/>
  <c r="K163" i="5"/>
  <c r="AA163" i="5"/>
  <c r="G165" i="5"/>
  <c r="I165" i="5"/>
  <c r="K165" i="5"/>
  <c r="AA165" i="5"/>
  <c r="G167" i="5"/>
  <c r="I167" i="5"/>
  <c r="K167" i="5"/>
  <c r="AA167" i="5"/>
  <c r="G169" i="5"/>
  <c r="I169" i="5"/>
  <c r="K169" i="5"/>
  <c r="AA169" i="5"/>
  <c r="G171" i="5"/>
  <c r="I171" i="5"/>
  <c r="K171" i="5"/>
  <c r="AA171" i="5"/>
  <c r="G173" i="5"/>
  <c r="I173" i="5"/>
  <c r="K173" i="5"/>
  <c r="AA173" i="5"/>
  <c r="G175" i="5"/>
  <c r="I175" i="5"/>
  <c r="K175" i="5"/>
  <c r="AA175" i="5"/>
  <c r="G177" i="5"/>
  <c r="I177" i="5"/>
  <c r="K177" i="5"/>
  <c r="AA177" i="5"/>
  <c r="G179" i="5"/>
  <c r="I179" i="5"/>
  <c r="K179" i="5"/>
  <c r="AA179" i="5"/>
  <c r="G181" i="5"/>
  <c r="I181" i="5"/>
  <c r="K181" i="5"/>
  <c r="AA181" i="5"/>
  <c r="G183" i="5"/>
  <c r="I183" i="5"/>
  <c r="K183" i="5"/>
  <c r="AA183" i="5"/>
  <c r="G185" i="5"/>
  <c r="I185" i="5"/>
  <c r="K185" i="5"/>
  <c r="AA185" i="5"/>
  <c r="G187" i="5"/>
  <c r="I187" i="5"/>
  <c r="K187" i="5"/>
  <c r="AA187" i="5"/>
  <c r="G189" i="5"/>
  <c r="I189" i="5"/>
  <c r="K189" i="5"/>
  <c r="AA189" i="5"/>
  <c r="G191" i="5"/>
  <c r="I191" i="5"/>
  <c r="K191" i="5"/>
  <c r="AA191" i="5"/>
  <c r="G193" i="5"/>
  <c r="I193" i="5"/>
  <c r="K193" i="5"/>
  <c r="AA193" i="5"/>
  <c r="G195" i="5"/>
  <c r="I195" i="5"/>
  <c r="K195" i="5"/>
  <c r="AA195" i="5"/>
  <c r="G197" i="5"/>
  <c r="I197" i="5"/>
  <c r="K197" i="5"/>
  <c r="AA197" i="5"/>
  <c r="G199" i="5"/>
  <c r="I199" i="5"/>
  <c r="K199" i="5"/>
  <c r="AA199" i="5"/>
  <c r="G201" i="5"/>
  <c r="I201" i="5"/>
  <c r="K201" i="5"/>
  <c r="AA201" i="5"/>
  <c r="G203" i="5"/>
  <c r="I203" i="5"/>
  <c r="K203" i="5"/>
  <c r="AA203" i="5"/>
  <c r="G205" i="5"/>
  <c r="I205" i="5"/>
  <c r="K205" i="5"/>
  <c r="AA205" i="5"/>
  <c r="G207" i="5"/>
  <c r="I207" i="5"/>
  <c r="K207" i="5"/>
  <c r="AA207" i="5"/>
  <c r="G209" i="5"/>
  <c r="I209" i="5"/>
  <c r="K209" i="5"/>
  <c r="AA209" i="5"/>
  <c r="G211" i="5"/>
  <c r="I211" i="5"/>
  <c r="K211" i="5"/>
  <c r="AA211" i="5"/>
  <c r="G213" i="5"/>
  <c r="I213" i="5"/>
  <c r="K213" i="5"/>
  <c r="AA213" i="5"/>
  <c r="G215" i="5"/>
  <c r="I215" i="5"/>
  <c r="K215" i="5"/>
  <c r="AA215" i="5"/>
  <c r="G217" i="5"/>
  <c r="I217" i="5"/>
  <c r="K217" i="5"/>
  <c r="AA217" i="5"/>
  <c r="G219" i="5"/>
  <c r="I219" i="5"/>
  <c r="K219" i="5"/>
  <c r="AA219" i="5"/>
  <c r="G221" i="5"/>
  <c r="I221" i="5"/>
  <c r="K221" i="5"/>
  <c r="AA221" i="5"/>
  <c r="G223" i="5"/>
  <c r="I223" i="5"/>
  <c r="K223" i="5"/>
  <c r="AA223" i="5"/>
  <c r="G225" i="5"/>
  <c r="I225" i="5"/>
  <c r="K225" i="5"/>
  <c r="AA225" i="5"/>
  <c r="G227" i="5"/>
  <c r="I227" i="5"/>
  <c r="K227" i="5"/>
  <c r="AA227" i="5"/>
  <c r="G229" i="5"/>
  <c r="I229" i="5"/>
  <c r="K229" i="5"/>
  <c r="AA229" i="5"/>
  <c r="G231" i="5"/>
  <c r="I231" i="5"/>
  <c r="K231" i="5"/>
  <c r="AA231" i="5"/>
  <c r="G233" i="5"/>
  <c r="I233" i="5"/>
  <c r="K233" i="5"/>
  <c r="AA233" i="5"/>
  <c r="G235" i="5"/>
  <c r="I235" i="5"/>
  <c r="K235" i="5"/>
  <c r="AA235" i="5"/>
  <c r="G237" i="5"/>
  <c r="I237" i="5"/>
  <c r="K237" i="5"/>
  <c r="AA237" i="5"/>
  <c r="G239" i="5"/>
  <c r="I239" i="5"/>
  <c r="K239" i="5"/>
  <c r="AA239" i="5"/>
  <c r="G241" i="5"/>
  <c r="I241" i="5"/>
  <c r="K241" i="5"/>
  <c r="AA241" i="5"/>
  <c r="G243" i="5"/>
  <c r="I243" i="5"/>
  <c r="K243" i="5"/>
  <c r="AA243" i="5"/>
  <c r="G245" i="5"/>
  <c r="I245" i="5"/>
  <c r="K245" i="5"/>
  <c r="AA245" i="5"/>
  <c r="G247" i="5"/>
  <c r="I247" i="5"/>
  <c r="K247" i="5"/>
  <c r="AA247" i="5"/>
  <c r="G249" i="5"/>
  <c r="I249" i="5"/>
  <c r="K249" i="5"/>
  <c r="AA249" i="5"/>
  <c r="G251" i="5"/>
  <c r="I251" i="5"/>
  <c r="K251" i="5"/>
  <c r="AA251" i="5"/>
  <c r="G253" i="5"/>
  <c r="I253" i="5"/>
  <c r="K253" i="5"/>
  <c r="AA253" i="5"/>
  <c r="G255" i="5"/>
  <c r="I255" i="5"/>
  <c r="K255" i="5"/>
  <c r="AA255" i="5"/>
  <c r="G257" i="5"/>
  <c r="I257" i="5"/>
  <c r="K257" i="5"/>
  <c r="AA257" i="5"/>
  <c r="G259" i="5"/>
  <c r="I259" i="5"/>
  <c r="K259" i="5"/>
  <c r="AA259" i="5"/>
  <c r="G261" i="5"/>
  <c r="I261" i="5"/>
  <c r="K261" i="5"/>
  <c r="AA261" i="5"/>
  <c r="G263" i="5"/>
  <c r="I263" i="5"/>
  <c r="K263" i="5"/>
  <c r="AA263" i="5"/>
  <c r="G265" i="5"/>
  <c r="I265" i="5"/>
  <c r="K265" i="5"/>
  <c r="AA265" i="5"/>
  <c r="G267" i="5"/>
  <c r="I267" i="5"/>
  <c r="K267" i="5"/>
  <c r="AA267" i="5"/>
  <c r="G269" i="5"/>
  <c r="I269" i="5"/>
  <c r="K269" i="5"/>
  <c r="AA269" i="5"/>
  <c r="G271" i="5"/>
  <c r="I271" i="5"/>
  <c r="K271" i="5"/>
  <c r="AA271" i="5"/>
  <c r="G273" i="5"/>
  <c r="I273" i="5"/>
  <c r="K273" i="5"/>
  <c r="AA273" i="5"/>
  <c r="G275" i="5"/>
  <c r="I275" i="5"/>
  <c r="K275" i="5"/>
  <c r="AA275" i="5"/>
  <c r="G277" i="5"/>
  <c r="I277" i="5"/>
  <c r="K277" i="5"/>
  <c r="AA277" i="5"/>
  <c r="G279" i="5"/>
  <c r="I279" i="5"/>
  <c r="K279" i="5"/>
  <c r="AA279" i="5"/>
  <c r="G281" i="5"/>
  <c r="I281" i="5"/>
  <c r="K281" i="5"/>
  <c r="AA281" i="5"/>
  <c r="G283" i="5"/>
  <c r="I283" i="5"/>
  <c r="K283" i="5"/>
  <c r="AA283" i="5"/>
  <c r="G285" i="5"/>
  <c r="I285" i="5"/>
  <c r="K285" i="5"/>
  <c r="AA285" i="5"/>
  <c r="G287" i="5"/>
  <c r="I287" i="5"/>
  <c r="K287" i="5"/>
  <c r="AA287" i="5"/>
  <c r="G289" i="5"/>
  <c r="I289" i="5"/>
  <c r="K289" i="5"/>
  <c r="AA289" i="5"/>
  <c r="G291" i="5"/>
  <c r="I291" i="5"/>
  <c r="K291" i="5"/>
  <c r="AA291" i="5"/>
  <c r="G293" i="5"/>
  <c r="I293" i="5"/>
  <c r="K293" i="5"/>
  <c r="AA293" i="5"/>
  <c r="G295" i="5"/>
  <c r="I295" i="5"/>
  <c r="K295" i="5"/>
  <c r="AA295" i="5"/>
  <c r="G297" i="5"/>
  <c r="I297" i="5"/>
  <c r="K297" i="5"/>
  <c r="AA297" i="5"/>
  <c r="G299" i="5"/>
  <c r="I299" i="5"/>
  <c r="K299" i="5"/>
  <c r="AA299" i="5"/>
  <c r="G301" i="5"/>
  <c r="I301" i="5"/>
  <c r="K301" i="5"/>
  <c r="AA301" i="5"/>
  <c r="G303" i="5"/>
  <c r="I303" i="5"/>
  <c r="K303" i="5"/>
  <c r="AA303" i="5"/>
  <c r="G305" i="5"/>
  <c r="I305" i="5"/>
  <c r="K305" i="5"/>
  <c r="AA305" i="5"/>
  <c r="G307" i="5"/>
  <c r="I307" i="5"/>
  <c r="K307" i="5"/>
  <c r="AA307" i="5"/>
  <c r="G309" i="5"/>
  <c r="I309" i="5"/>
  <c r="K309" i="5"/>
  <c r="AA309" i="5"/>
  <c r="G311" i="5"/>
  <c r="I311" i="5"/>
  <c r="K311" i="5"/>
  <c r="AA311" i="5"/>
  <c r="G313" i="5"/>
  <c r="I313" i="5"/>
  <c r="K313" i="5"/>
  <c r="AA313" i="5"/>
  <c r="G315" i="5"/>
  <c r="I315" i="5"/>
  <c r="K315" i="5"/>
  <c r="AA315" i="5"/>
  <c r="G317" i="5"/>
  <c r="I317" i="5"/>
  <c r="K317" i="5"/>
  <c r="AA317" i="5"/>
  <c r="G319" i="5"/>
  <c r="I319" i="5"/>
  <c r="K319" i="5"/>
  <c r="AA319" i="5"/>
  <c r="G321" i="5"/>
  <c r="I321" i="5"/>
  <c r="K321" i="5"/>
  <c r="AA321" i="5"/>
  <c r="G323" i="5"/>
  <c r="I323" i="5"/>
  <c r="K323" i="5"/>
  <c r="AA323" i="5"/>
  <c r="G325" i="5"/>
  <c r="I325" i="5"/>
  <c r="K325" i="5"/>
  <c r="AA325" i="5"/>
  <c r="G327" i="5"/>
  <c r="I327" i="5"/>
  <c r="K327" i="5"/>
  <c r="AA327" i="5"/>
  <c r="G329" i="5"/>
  <c r="I329" i="5"/>
  <c r="K329" i="5"/>
  <c r="AA329" i="5"/>
  <c r="G331" i="5"/>
  <c r="I331" i="5"/>
  <c r="K331" i="5"/>
  <c r="AA331" i="5"/>
  <c r="G333" i="5"/>
  <c r="I333" i="5"/>
  <c r="K333" i="5"/>
  <c r="AA333" i="5"/>
  <c r="G335" i="5"/>
  <c r="I335" i="5"/>
  <c r="K335" i="5"/>
  <c r="AA335" i="5"/>
  <c r="G337" i="5"/>
  <c r="I337" i="5"/>
  <c r="K337" i="5"/>
  <c r="AA337" i="5"/>
  <c r="G339" i="5"/>
  <c r="I339" i="5"/>
  <c r="K339" i="5"/>
  <c r="AA339" i="5"/>
  <c r="G341" i="5"/>
  <c r="I341" i="5"/>
  <c r="K341" i="5"/>
  <c r="AA341" i="5"/>
  <c r="G343" i="5"/>
  <c r="I343" i="5"/>
  <c r="K343" i="5"/>
  <c r="AA343" i="5"/>
  <c r="G345" i="5"/>
  <c r="I345" i="5"/>
  <c r="K345" i="5"/>
  <c r="AA345" i="5"/>
  <c r="G347" i="5"/>
  <c r="I347" i="5"/>
  <c r="K347" i="5"/>
  <c r="AA347" i="5"/>
  <c r="G349" i="5"/>
  <c r="I349" i="5"/>
  <c r="K349" i="5"/>
  <c r="AA349" i="5"/>
  <c r="G351" i="5"/>
  <c r="I351" i="5"/>
  <c r="K351" i="5"/>
  <c r="AA351" i="5"/>
  <c r="G353" i="5"/>
  <c r="I353" i="5"/>
  <c r="K353" i="5"/>
  <c r="AA353" i="5"/>
  <c r="G355" i="5"/>
  <c r="I355" i="5"/>
  <c r="K355" i="5"/>
  <c r="AA355" i="5"/>
  <c r="G357" i="5"/>
  <c r="I357" i="5"/>
  <c r="K357" i="5"/>
  <c r="AA357" i="5"/>
  <c r="G359" i="5"/>
  <c r="I359" i="5"/>
  <c r="K359" i="5"/>
  <c r="AA359" i="5"/>
  <c r="G361" i="5"/>
  <c r="I361" i="5"/>
  <c r="K361" i="5"/>
  <c r="AA361" i="5"/>
  <c r="G363" i="5"/>
  <c r="I363" i="5"/>
  <c r="K363" i="5"/>
  <c r="AA363" i="5"/>
  <c r="G365" i="5"/>
  <c r="I365" i="5"/>
  <c r="K365" i="5"/>
  <c r="AA365" i="5"/>
  <c r="G367" i="5"/>
  <c r="I367" i="5"/>
  <c r="K367" i="5"/>
  <c r="AA367" i="5"/>
  <c r="G369" i="5"/>
  <c r="I369" i="5"/>
  <c r="K369" i="5"/>
  <c r="AA369" i="5"/>
  <c r="G371" i="5"/>
  <c r="I371" i="5"/>
  <c r="K371" i="5"/>
  <c r="AA371" i="5"/>
  <c r="G373" i="5"/>
  <c r="I373" i="5"/>
  <c r="K373" i="5"/>
  <c r="AA373" i="5"/>
  <c r="G375" i="5"/>
  <c r="I375" i="5"/>
  <c r="K375" i="5"/>
  <c r="AA375" i="5"/>
  <c r="G377" i="5"/>
  <c r="I377" i="5"/>
  <c r="K377" i="5"/>
  <c r="AA377" i="5"/>
  <c r="G379" i="5"/>
  <c r="I379" i="5"/>
  <c r="K379" i="5"/>
  <c r="AA379" i="5"/>
  <c r="G381" i="5"/>
  <c r="I381" i="5"/>
  <c r="K381" i="5"/>
  <c r="AA381" i="5"/>
  <c r="G383" i="5"/>
  <c r="I383" i="5"/>
  <c r="K383" i="5"/>
  <c r="AA383" i="5"/>
  <c r="G385" i="5"/>
  <c r="I385" i="5"/>
  <c r="K385" i="5"/>
  <c r="AA385" i="5"/>
  <c r="G387" i="5"/>
  <c r="I387" i="5"/>
  <c r="K387" i="5"/>
  <c r="AA387" i="5"/>
  <c r="L389" i="5"/>
  <c r="J389" i="5"/>
  <c r="H389" i="5"/>
  <c r="B389" i="5"/>
  <c r="G389" i="5"/>
  <c r="K389" i="5"/>
  <c r="AA389" i="5"/>
  <c r="L391" i="5"/>
  <c r="J391" i="5"/>
  <c r="H391" i="5"/>
  <c r="B391" i="5"/>
  <c r="G391" i="5"/>
  <c r="K391" i="5"/>
  <c r="AA391" i="5"/>
  <c r="L393" i="5"/>
  <c r="J393" i="5"/>
  <c r="H393" i="5"/>
  <c r="B393" i="5"/>
  <c r="G393" i="5"/>
  <c r="K393" i="5"/>
  <c r="AA393" i="5"/>
  <c r="L395" i="5"/>
  <c r="J395" i="5"/>
  <c r="H395" i="5"/>
  <c r="B395" i="5"/>
  <c r="G395" i="5"/>
  <c r="K395" i="5"/>
  <c r="AA395" i="5"/>
  <c r="L397" i="5"/>
  <c r="J397" i="5"/>
  <c r="H397" i="5"/>
  <c r="B397" i="5"/>
  <c r="G397" i="5"/>
  <c r="K397" i="5"/>
  <c r="AA397" i="5"/>
  <c r="L399" i="5"/>
  <c r="J399" i="5"/>
  <c r="H399" i="5"/>
  <c r="B399" i="5"/>
  <c r="G399" i="5"/>
  <c r="K399" i="5"/>
  <c r="AA399" i="5"/>
  <c r="L401" i="5"/>
  <c r="J401" i="5"/>
  <c r="H401" i="5"/>
  <c r="B401" i="5"/>
  <c r="G401" i="5"/>
  <c r="K401" i="5"/>
  <c r="AA401" i="5"/>
  <c r="L403" i="5"/>
  <c r="J403" i="5"/>
  <c r="H403" i="5"/>
  <c r="B403" i="5"/>
  <c r="G403" i="5"/>
  <c r="K403" i="5"/>
  <c r="AA403" i="5"/>
  <c r="L405" i="5"/>
  <c r="J405" i="5"/>
  <c r="H405" i="5"/>
  <c r="B405" i="5"/>
  <c r="G405" i="5"/>
  <c r="K405" i="5"/>
  <c r="AA405" i="5"/>
  <c r="L407" i="5"/>
  <c r="J407" i="5"/>
  <c r="H407" i="5"/>
  <c r="B407" i="5"/>
  <c r="G407" i="5"/>
  <c r="K407" i="5"/>
  <c r="AA407" i="5"/>
  <c r="L409" i="5"/>
  <c r="J409" i="5"/>
  <c r="H409" i="5"/>
  <c r="B409" i="5"/>
  <c r="G409" i="5"/>
  <c r="K409" i="5"/>
  <c r="AA409" i="5"/>
  <c r="L411" i="5"/>
  <c r="J411" i="5"/>
  <c r="H411" i="5"/>
  <c r="B411" i="5"/>
  <c r="G411" i="5"/>
  <c r="K411" i="5"/>
  <c r="AA411" i="5"/>
  <c r="L413" i="5"/>
  <c r="J413" i="5"/>
  <c r="H413" i="5"/>
  <c r="B413" i="5"/>
  <c r="G413" i="5"/>
  <c r="K413" i="5"/>
  <c r="AA413" i="5"/>
  <c r="L415" i="5"/>
  <c r="J415" i="5"/>
  <c r="H415" i="5"/>
  <c r="B415" i="5"/>
  <c r="G415" i="5"/>
  <c r="K415" i="5"/>
  <c r="AA415" i="5"/>
  <c r="L417" i="5"/>
  <c r="J417" i="5"/>
  <c r="H417" i="5"/>
  <c r="B417" i="5"/>
  <c r="G417" i="5"/>
  <c r="K417" i="5"/>
  <c r="AA417" i="5"/>
  <c r="L419" i="5"/>
  <c r="J419" i="5"/>
  <c r="H419" i="5"/>
  <c r="B419" i="5"/>
  <c r="G419" i="5"/>
  <c r="K419" i="5"/>
  <c r="AA419" i="5"/>
  <c r="L421" i="5"/>
  <c r="J421" i="5"/>
  <c r="H421" i="5"/>
  <c r="B421" i="5"/>
  <c r="G421" i="5"/>
  <c r="K421" i="5"/>
  <c r="AA421" i="5"/>
  <c r="L423" i="5"/>
  <c r="J423" i="5"/>
  <c r="H423" i="5"/>
  <c r="B423" i="5"/>
  <c r="G423" i="5"/>
  <c r="K423" i="5"/>
  <c r="AA423" i="5"/>
  <c r="L425" i="5"/>
  <c r="J425" i="5"/>
  <c r="H425" i="5"/>
  <c r="B425" i="5"/>
  <c r="G425" i="5"/>
  <c r="K425" i="5"/>
  <c r="AA425" i="5"/>
  <c r="L427" i="5"/>
  <c r="J427" i="5"/>
  <c r="H427" i="5"/>
  <c r="B427" i="5"/>
  <c r="G427" i="5"/>
  <c r="K427" i="5"/>
  <c r="AA427" i="5"/>
  <c r="L429" i="5"/>
  <c r="J429" i="5"/>
  <c r="H429" i="5"/>
  <c r="B429" i="5"/>
  <c r="G429" i="5"/>
  <c r="K429" i="5"/>
  <c r="AA429" i="5"/>
  <c r="L431" i="5"/>
  <c r="J431" i="5"/>
  <c r="H431" i="5"/>
  <c r="B431" i="5"/>
  <c r="G431" i="5"/>
  <c r="K431" i="5"/>
  <c r="AA431" i="5"/>
  <c r="L433" i="5"/>
  <c r="J433" i="5"/>
  <c r="H433" i="5"/>
  <c r="B433" i="5"/>
  <c r="G433" i="5"/>
  <c r="K433" i="5"/>
  <c r="AA433" i="5"/>
  <c r="L435" i="5"/>
  <c r="J435" i="5"/>
  <c r="H435" i="5"/>
  <c r="B435" i="5"/>
  <c r="G435" i="5"/>
  <c r="K435" i="5"/>
  <c r="AA435" i="5"/>
  <c r="L437" i="5"/>
  <c r="J437" i="5"/>
  <c r="H437" i="5"/>
  <c r="B437" i="5"/>
  <c r="G437" i="5"/>
  <c r="K437" i="5"/>
  <c r="AA437" i="5"/>
  <c r="L439" i="5"/>
  <c r="J439" i="5"/>
  <c r="H439" i="5"/>
  <c r="B439" i="5"/>
  <c r="G439" i="5"/>
  <c r="K439" i="5"/>
  <c r="AA439" i="5"/>
  <c r="L441" i="5"/>
  <c r="J441" i="5"/>
  <c r="H441" i="5"/>
  <c r="B441" i="5"/>
  <c r="G441" i="5"/>
  <c r="K441" i="5"/>
  <c r="AA441" i="5"/>
  <c r="L443" i="5"/>
  <c r="J443" i="5"/>
  <c r="H443" i="5"/>
  <c r="B443" i="5"/>
  <c r="G443" i="5"/>
  <c r="K443" i="5"/>
  <c r="AA443" i="5"/>
  <c r="L445" i="5"/>
  <c r="J445" i="5"/>
  <c r="H445" i="5"/>
  <c r="B445" i="5"/>
  <c r="G445" i="5"/>
  <c r="K445" i="5"/>
  <c r="AA445" i="5"/>
  <c r="L447" i="5"/>
  <c r="J447" i="5"/>
  <c r="H447" i="5"/>
  <c r="B447" i="5"/>
  <c r="G447" i="5"/>
  <c r="K447" i="5"/>
  <c r="AA447" i="5"/>
  <c r="L449" i="5"/>
  <c r="J449" i="5"/>
  <c r="H449" i="5"/>
  <c r="B449" i="5"/>
  <c r="G449" i="5"/>
  <c r="K449" i="5"/>
  <c r="AA449" i="5"/>
  <c r="L451" i="5"/>
  <c r="J451" i="5"/>
  <c r="H451" i="5"/>
  <c r="B451" i="5"/>
  <c r="G451" i="5"/>
  <c r="K451" i="5"/>
  <c r="AA451" i="5"/>
  <c r="L453" i="5"/>
  <c r="J453" i="5"/>
  <c r="H453" i="5"/>
  <c r="B453" i="5"/>
  <c r="G453" i="5"/>
  <c r="K453" i="5"/>
  <c r="AA453" i="5"/>
  <c r="L455" i="5"/>
  <c r="J455" i="5"/>
  <c r="H455" i="5"/>
  <c r="B455" i="5"/>
  <c r="G455" i="5"/>
  <c r="K455" i="5"/>
  <c r="AA455" i="5"/>
  <c r="L457" i="5"/>
  <c r="J457" i="5"/>
  <c r="H457" i="5"/>
  <c r="B457" i="5"/>
  <c r="G457" i="5"/>
  <c r="K457" i="5"/>
  <c r="AA457" i="5"/>
  <c r="L459" i="5"/>
  <c r="J459" i="5"/>
  <c r="H459" i="5"/>
  <c r="B459" i="5"/>
  <c r="G459" i="5"/>
  <c r="K459" i="5"/>
  <c r="AA459" i="5"/>
  <c r="L461" i="5"/>
  <c r="J461" i="5"/>
  <c r="H461" i="5"/>
  <c r="B461" i="5"/>
  <c r="G461" i="5"/>
  <c r="K461" i="5"/>
  <c r="AA461" i="5"/>
  <c r="L463" i="5"/>
  <c r="J463" i="5"/>
  <c r="H463" i="5"/>
  <c r="B463" i="5"/>
  <c r="G463" i="5"/>
  <c r="K463" i="5"/>
  <c r="AA463" i="5"/>
  <c r="L465" i="5"/>
  <c r="J465" i="5"/>
  <c r="H465" i="5"/>
  <c r="B465" i="5"/>
  <c r="G465" i="5"/>
  <c r="K465" i="5"/>
  <c r="AA465" i="5"/>
  <c r="N467" i="5"/>
  <c r="N469" i="5"/>
  <c r="N471" i="5"/>
  <c r="N473" i="5"/>
  <c r="N475" i="5"/>
  <c r="N477" i="5"/>
  <c r="N479" i="5"/>
  <c r="N481" i="5"/>
  <c r="N483" i="5"/>
  <c r="N485" i="5"/>
  <c r="N487" i="5"/>
  <c r="N489" i="5"/>
  <c r="N491" i="5"/>
  <c r="N493" i="5"/>
  <c r="N495" i="5"/>
  <c r="N497" i="5"/>
  <c r="N499" i="5"/>
  <c r="N501" i="5"/>
  <c r="N503" i="5"/>
  <c r="N505" i="5"/>
  <c r="N507" i="5"/>
  <c r="N509" i="5"/>
  <c r="N511" i="5"/>
  <c r="N513" i="5"/>
  <c r="N515" i="5"/>
  <c r="N517" i="5"/>
  <c r="N519" i="5"/>
  <c r="N521" i="5"/>
  <c r="N523" i="5"/>
  <c r="N525" i="5"/>
  <c r="N527" i="5"/>
  <c r="N529" i="5"/>
  <c r="N531" i="5"/>
  <c r="N533" i="5"/>
  <c r="N535" i="5"/>
  <c r="N537" i="5"/>
  <c r="N539" i="5"/>
  <c r="N541" i="5"/>
  <c r="N543" i="5"/>
  <c r="N545" i="5"/>
  <c r="N547" i="5"/>
  <c r="N549" i="5"/>
  <c r="N551" i="5"/>
  <c r="N553" i="5"/>
  <c r="N555" i="5"/>
  <c r="N557" i="5"/>
  <c r="N559" i="5"/>
  <c r="N561" i="5"/>
  <c r="N563" i="5"/>
  <c r="N565" i="5"/>
  <c r="N567" i="5"/>
  <c r="N569" i="5"/>
  <c r="N571" i="5"/>
  <c r="N573" i="5"/>
  <c r="N575" i="5"/>
  <c r="N577" i="5"/>
  <c r="N579" i="5"/>
  <c r="N581" i="5"/>
  <c r="N583" i="5"/>
  <c r="N585" i="5"/>
  <c r="N587" i="5"/>
  <c r="N589" i="5"/>
  <c r="N591" i="5"/>
  <c r="N593" i="5"/>
  <c r="N595" i="5"/>
  <c r="N597" i="5"/>
  <c r="N599" i="5"/>
  <c r="N601" i="5"/>
  <c r="N603" i="5"/>
  <c r="N605" i="5"/>
  <c r="N607" i="5"/>
  <c r="N609" i="5"/>
  <c r="N611" i="5"/>
  <c r="N613" i="5"/>
  <c r="N615" i="5"/>
  <c r="N617" i="5"/>
  <c r="N619" i="5"/>
  <c r="N621" i="5"/>
  <c r="N623" i="5"/>
  <c r="N625" i="5"/>
  <c r="N627" i="5"/>
  <c r="N629" i="5"/>
  <c r="N631" i="5"/>
  <c r="N633" i="5"/>
  <c r="N635" i="5"/>
  <c r="N637" i="5"/>
  <c r="N639" i="5"/>
  <c r="N641" i="5"/>
  <c r="N643" i="5"/>
  <c r="N645" i="5"/>
  <c r="N647" i="5"/>
  <c r="N649" i="5"/>
  <c r="N651" i="5"/>
  <c r="N653" i="5"/>
  <c r="N655" i="5"/>
  <c r="N657" i="5"/>
  <c r="N659" i="5"/>
  <c r="N661" i="5"/>
  <c r="N663" i="5"/>
  <c r="N665" i="5"/>
  <c r="N667" i="5"/>
  <c r="N669" i="5"/>
  <c r="N671" i="5"/>
  <c r="N673" i="5"/>
  <c r="N675" i="5"/>
  <c r="N677" i="5"/>
  <c r="N679" i="5"/>
  <c r="N681" i="5"/>
  <c r="N683" i="5"/>
  <c r="N685" i="5"/>
  <c r="N687" i="5"/>
  <c r="N689" i="5"/>
  <c r="N691" i="5"/>
  <c r="N693" i="5"/>
  <c r="N695" i="5"/>
  <c r="N697" i="5"/>
  <c r="N699" i="5"/>
  <c r="N701" i="5"/>
  <c r="N703" i="5"/>
  <c r="N705" i="5"/>
  <c r="N707" i="5"/>
  <c r="N709" i="5"/>
  <c r="N711" i="5"/>
  <c r="N713" i="5"/>
  <c r="N715" i="5"/>
  <c r="N717" i="5"/>
  <c r="N719" i="5"/>
  <c r="N721" i="5"/>
  <c r="N723" i="5"/>
  <c r="N725" i="5"/>
  <c r="N727" i="5"/>
  <c r="N729" i="5"/>
  <c r="N731" i="5"/>
  <c r="N733" i="5"/>
  <c r="N735" i="5"/>
  <c r="N737" i="5"/>
  <c r="N739" i="5"/>
  <c r="N741" i="5"/>
  <c r="N743" i="5"/>
  <c r="N745" i="5"/>
  <c r="N747" i="5"/>
  <c r="N749" i="5"/>
  <c r="N751" i="5"/>
  <c r="N753" i="5"/>
  <c r="N755" i="5"/>
  <c r="N757" i="5"/>
  <c r="N759" i="5"/>
  <c r="N761" i="5"/>
  <c r="N763" i="5"/>
  <c r="N765" i="5"/>
  <c r="N767" i="5"/>
  <c r="N769" i="5"/>
  <c r="N771" i="5"/>
  <c r="N773" i="5"/>
  <c r="N775" i="5"/>
  <c r="N777" i="5"/>
  <c r="N779" i="5"/>
  <c r="N781" i="5"/>
  <c r="N783" i="5"/>
  <c r="N785" i="5"/>
  <c r="N787" i="5"/>
  <c r="N789" i="5"/>
  <c r="N791" i="5"/>
  <c r="N793" i="5"/>
  <c r="N795" i="5"/>
  <c r="N797" i="5"/>
  <c r="N799" i="5"/>
  <c r="N801" i="5"/>
  <c r="N803" i="5"/>
  <c r="N805" i="5"/>
  <c r="N807" i="5"/>
  <c r="N809" i="5"/>
  <c r="N811" i="5"/>
  <c r="N813" i="5"/>
  <c r="N815" i="5"/>
  <c r="N817" i="5"/>
  <c r="N819" i="5"/>
  <c r="N821" i="5"/>
  <c r="N823" i="5"/>
  <c r="N825" i="5"/>
  <c r="N827" i="5"/>
  <c r="N829" i="5"/>
  <c r="N831" i="5"/>
  <c r="N833" i="5"/>
  <c r="N835" i="5"/>
  <c r="N837" i="5"/>
  <c r="N839" i="5"/>
  <c r="N841" i="5"/>
  <c r="N843" i="5"/>
  <c r="N845" i="5"/>
  <c r="N847" i="5"/>
  <c r="N849" i="5"/>
  <c r="N851" i="5"/>
  <c r="N853" i="5"/>
  <c r="N855" i="5"/>
  <c r="N857" i="5"/>
  <c r="N859" i="5"/>
  <c r="N861" i="5"/>
  <c r="N863" i="5"/>
  <c r="N865" i="5"/>
  <c r="N867" i="5"/>
  <c r="N869" i="5"/>
  <c r="N871" i="5"/>
  <c r="N873" i="5"/>
  <c r="N875" i="5"/>
  <c r="N877" i="5"/>
  <c r="N879" i="5"/>
  <c r="N881" i="5"/>
  <c r="N883" i="5"/>
  <c r="N885" i="5"/>
  <c r="N887" i="5"/>
  <c r="N889" i="5"/>
  <c r="N891" i="5"/>
  <c r="N893" i="5"/>
  <c r="N895" i="5"/>
  <c r="N897" i="5"/>
  <c r="N899" i="5"/>
  <c r="N901" i="5"/>
  <c r="N903" i="5"/>
  <c r="N905" i="5"/>
  <c r="N907" i="5"/>
  <c r="N909" i="5"/>
  <c r="N911" i="5"/>
  <c r="N913" i="5"/>
  <c r="N915" i="5"/>
  <c r="N917" i="5"/>
  <c r="N919" i="5"/>
  <c r="N921" i="5"/>
  <c r="N923" i="5"/>
  <c r="N925" i="5"/>
  <c r="N927" i="5"/>
  <c r="N929" i="5"/>
  <c r="N931" i="5"/>
  <c r="N933" i="5"/>
  <c r="N935" i="5"/>
  <c r="N937" i="5"/>
  <c r="N939" i="5"/>
  <c r="N941" i="5"/>
  <c r="N943" i="5"/>
  <c r="N945" i="5"/>
  <c r="N947" i="5"/>
  <c r="N949" i="5"/>
  <c r="N951" i="5"/>
  <c r="N953" i="5"/>
  <c r="N955" i="5"/>
  <c r="N957" i="5"/>
  <c r="N959" i="5"/>
  <c r="N961" i="5"/>
  <c r="N963" i="5"/>
  <c r="N965" i="5"/>
  <c r="N967" i="5"/>
  <c r="N969" i="5"/>
  <c r="N971" i="5"/>
  <c r="N973" i="5"/>
  <c r="N975" i="5"/>
  <c r="N977" i="5"/>
  <c r="N979" i="5"/>
  <c r="N981" i="5"/>
  <c r="N983" i="5"/>
  <c r="N985" i="5"/>
  <c r="N987" i="5"/>
  <c r="N989" i="5"/>
  <c r="N991" i="5"/>
  <c r="N993" i="5"/>
  <c r="N995" i="5"/>
  <c r="N997" i="5"/>
  <c r="N999" i="5"/>
  <c r="N1001" i="5"/>
  <c r="N1003" i="5"/>
  <c r="N1005" i="5"/>
  <c r="N1007" i="5"/>
  <c r="N1009" i="5"/>
  <c r="N1011" i="5"/>
  <c r="N1013" i="5"/>
  <c r="N1015" i="5"/>
  <c r="N1017" i="5"/>
  <c r="N1019" i="5"/>
  <c r="N1021" i="5"/>
  <c r="N1023" i="5"/>
  <c r="N1025" i="5"/>
  <c r="N1027" i="5"/>
  <c r="N1029" i="5"/>
  <c r="N1031" i="5"/>
  <c r="N1033" i="5"/>
  <c r="N1035" i="5"/>
  <c r="N1037" i="5"/>
  <c r="N1039" i="5"/>
  <c r="N1041" i="5"/>
  <c r="N1043" i="5"/>
  <c r="N1045" i="5"/>
  <c r="N1047" i="5"/>
  <c r="N1049" i="5"/>
  <c r="N1051" i="5"/>
  <c r="N1053" i="5"/>
  <c r="N1055" i="5"/>
  <c r="N1057" i="5"/>
  <c r="N1059" i="5"/>
  <c r="N1061" i="5"/>
  <c r="N1063" i="5"/>
  <c r="N1065" i="5"/>
  <c r="N1067" i="5"/>
  <c r="N1069" i="5"/>
  <c r="N1071" i="5"/>
  <c r="N1073" i="5"/>
  <c r="N1075" i="5"/>
  <c r="N1077" i="5"/>
  <c r="N1079" i="5"/>
  <c r="N1081" i="5"/>
  <c r="N1083" i="5"/>
  <c r="N1085" i="5"/>
  <c r="N1087" i="5"/>
  <c r="N1089" i="5"/>
  <c r="N1091" i="5"/>
  <c r="N1093" i="5"/>
  <c r="N1095" i="5"/>
  <c r="N1097" i="5"/>
  <c r="N1099" i="5"/>
  <c r="N1101" i="5"/>
  <c r="N1103" i="5"/>
  <c r="N1105" i="5"/>
  <c r="N1107" i="5"/>
  <c r="N1109" i="5"/>
  <c r="N1111" i="5"/>
  <c r="N1113" i="5"/>
  <c r="N1115" i="5"/>
  <c r="N1117" i="5"/>
  <c r="N1119" i="5"/>
  <c r="N1121" i="5"/>
  <c r="N1123" i="5"/>
  <c r="N1125" i="5"/>
  <c r="N1127" i="5"/>
  <c r="N1129" i="5"/>
  <c r="N1131" i="5"/>
  <c r="N1133" i="5"/>
  <c r="N1135" i="5"/>
  <c r="N1137" i="5"/>
  <c r="N1139" i="5"/>
  <c r="N1141" i="5"/>
  <c r="N1143" i="5"/>
  <c r="N1145" i="5"/>
  <c r="N1147" i="5"/>
  <c r="N1149" i="5"/>
  <c r="N1151" i="5"/>
  <c r="N1153" i="5"/>
  <c r="N1155" i="5"/>
  <c r="N1157" i="5"/>
  <c r="N1159" i="5"/>
  <c r="N1161" i="5"/>
  <c r="N1163" i="5"/>
  <c r="N1165" i="5"/>
  <c r="N1167" i="5"/>
  <c r="N1169" i="5"/>
  <c r="N1171" i="5"/>
  <c r="N1173" i="5"/>
  <c r="N1175" i="5"/>
  <c r="N1177" i="5"/>
  <c r="N1179" i="5"/>
  <c r="N1181" i="5"/>
  <c r="N1183" i="5"/>
  <c r="N1185" i="5"/>
  <c r="N1187" i="5"/>
  <c r="N1189" i="5"/>
  <c r="N1191" i="5"/>
  <c r="N1193" i="5"/>
  <c r="N1195" i="5"/>
  <c r="N1197" i="5"/>
  <c r="N1199" i="5"/>
  <c r="N1201" i="5"/>
  <c r="N1203" i="5"/>
  <c r="N1205" i="5"/>
  <c r="N1207" i="5"/>
  <c r="N1209" i="5"/>
  <c r="N1211" i="5"/>
  <c r="N1213" i="5"/>
  <c r="N1215" i="5"/>
  <c r="N1217" i="5"/>
  <c r="N1219" i="5"/>
  <c r="N1221" i="5"/>
  <c r="N1223" i="5"/>
  <c r="N1225" i="5"/>
  <c r="N1227" i="5"/>
  <c r="N1229" i="5"/>
  <c r="N1231" i="5"/>
  <c r="N1233" i="5"/>
  <c r="N1235" i="5"/>
  <c r="N1237" i="5"/>
  <c r="N1239" i="5"/>
  <c r="N1241" i="5"/>
  <c r="N1243" i="5"/>
  <c r="N1245" i="5"/>
  <c r="N1247" i="5"/>
  <c r="N1249" i="5"/>
  <c r="N1251" i="5"/>
  <c r="N1253" i="5"/>
  <c r="N1255" i="5"/>
  <c r="N1257" i="5"/>
  <c r="N1259" i="5"/>
  <c r="N1261" i="5"/>
  <c r="N1263" i="5"/>
  <c r="N1265" i="5"/>
  <c r="N1267" i="5"/>
  <c r="N1269" i="5"/>
  <c r="N1271" i="5"/>
  <c r="N1273" i="5"/>
  <c r="N1275" i="5"/>
  <c r="N1277" i="5"/>
  <c r="N1279" i="5"/>
  <c r="N1281" i="5"/>
  <c r="N1283" i="5"/>
  <c r="N1285" i="5"/>
  <c r="N1287" i="5"/>
  <c r="N1289" i="5"/>
  <c r="N1291" i="5"/>
  <c r="N1293" i="5"/>
  <c r="N1295" i="5"/>
  <c r="N1297" i="5"/>
  <c r="N1299" i="5"/>
  <c r="N1301" i="5"/>
  <c r="N1303" i="5"/>
  <c r="N1305" i="5"/>
  <c r="N1307" i="5"/>
  <c r="N1309" i="5"/>
  <c r="N1311" i="5"/>
  <c r="N1313" i="5"/>
  <c r="N1315" i="5"/>
  <c r="N1317" i="5"/>
  <c r="N1319" i="5"/>
  <c r="N1321" i="5"/>
  <c r="N1323" i="5"/>
  <c r="N1325" i="5"/>
  <c r="N1327" i="5"/>
  <c r="N1329" i="5"/>
  <c r="N1331" i="5"/>
  <c r="N1333" i="5"/>
  <c r="N1335" i="5"/>
  <c r="N1337" i="5"/>
  <c r="N1339" i="5"/>
  <c r="N1341" i="5"/>
  <c r="N1343" i="5"/>
  <c r="N1345" i="5"/>
  <c r="N1347" i="5"/>
  <c r="N1349" i="5"/>
  <c r="N1351" i="5"/>
  <c r="N1353" i="5"/>
  <c r="N1355" i="5"/>
  <c r="N1357" i="5"/>
  <c r="N1359" i="5"/>
  <c r="N1361" i="5"/>
  <c r="N1363" i="5"/>
  <c r="N1365" i="5"/>
  <c r="N1367" i="5"/>
  <c r="N1369" i="5"/>
  <c r="N1371" i="5"/>
  <c r="N1373" i="5"/>
  <c r="N1375" i="5"/>
  <c r="N1377" i="5"/>
  <c r="N1379" i="5"/>
  <c r="N1381" i="5"/>
  <c r="N1383" i="5"/>
  <c r="N1385" i="5"/>
  <c r="N1387" i="5"/>
  <c r="N1389" i="5"/>
  <c r="N1391" i="5"/>
  <c r="N1393" i="5"/>
  <c r="N1395" i="5"/>
  <c r="N1397" i="5"/>
  <c r="N1399" i="5"/>
  <c r="N1401" i="5"/>
  <c r="N1403" i="5"/>
  <c r="N1405" i="5"/>
  <c r="N1407" i="5"/>
  <c r="N1409" i="5"/>
  <c r="N1411" i="5"/>
  <c r="N1413" i="5"/>
  <c r="N1415" i="5"/>
  <c r="N1417" i="5"/>
  <c r="N1419" i="5"/>
  <c r="N1421" i="5"/>
  <c r="N1423" i="5"/>
  <c r="N1425" i="5"/>
  <c r="N1427" i="5"/>
  <c r="N1429" i="5"/>
  <c r="N1431" i="5"/>
  <c r="N1433" i="5"/>
  <c r="N1435" i="5"/>
  <c r="N1437" i="5"/>
  <c r="N1439" i="5"/>
  <c r="N1441" i="5"/>
  <c r="N1443" i="5"/>
  <c r="N1445" i="5"/>
  <c r="N1447" i="5"/>
  <c r="N1449" i="5"/>
  <c r="N1451" i="5"/>
  <c r="N1453" i="5"/>
  <c r="N1455" i="5"/>
  <c r="N1457" i="5"/>
  <c r="N1459" i="5"/>
  <c r="N1461" i="5"/>
  <c r="N1463" i="5"/>
  <c r="N1465" i="5"/>
  <c r="N1467" i="5"/>
  <c r="N1469" i="5"/>
  <c r="N1471" i="5"/>
  <c r="N1473" i="5"/>
  <c r="N1475" i="5"/>
  <c r="N1477" i="5"/>
  <c r="N1479" i="5"/>
  <c r="N1481" i="5"/>
  <c r="N1483" i="5"/>
  <c r="N1485" i="5"/>
  <c r="N1487" i="5"/>
  <c r="N1489" i="5"/>
  <c r="N1491" i="5"/>
  <c r="N1493" i="5"/>
  <c r="N1495" i="5"/>
  <c r="N1497" i="5"/>
  <c r="N1499" i="5"/>
  <c r="N1501" i="5"/>
  <c r="N1503" i="5"/>
  <c r="N1505" i="5"/>
  <c r="N1507" i="5"/>
  <c r="N1509" i="5"/>
  <c r="N1511" i="5"/>
  <c r="N1513" i="5"/>
  <c r="N1515" i="5"/>
  <c r="N1517" i="5"/>
  <c r="N1519" i="5"/>
  <c r="N1521" i="5"/>
  <c r="N1523" i="5"/>
  <c r="N1525" i="5"/>
  <c r="N1527" i="5"/>
  <c r="N1529" i="5"/>
  <c r="N1531" i="5"/>
  <c r="N1533" i="5"/>
  <c r="N1535" i="5"/>
  <c r="N1537" i="5"/>
  <c r="N1539" i="5"/>
  <c r="N1541" i="5"/>
  <c r="N1543" i="5"/>
  <c r="N1545" i="5"/>
  <c r="N1547" i="5"/>
  <c r="N1549" i="5"/>
  <c r="N1551" i="5"/>
  <c r="N1553" i="5"/>
  <c r="N1555" i="5"/>
  <c r="N1557" i="5"/>
  <c r="N1559" i="5"/>
  <c r="N1561" i="5"/>
  <c r="N1563" i="5"/>
  <c r="N1565" i="5"/>
  <c r="N1567" i="5"/>
  <c r="N1569" i="5"/>
  <c r="N1571" i="5"/>
  <c r="N1573" i="5"/>
  <c r="N1575" i="5"/>
  <c r="N1577" i="5"/>
  <c r="N1579" i="5"/>
  <c r="N1581" i="5"/>
  <c r="N1583" i="5"/>
  <c r="N1585" i="5"/>
  <c r="N1587" i="5"/>
  <c r="N1589" i="5"/>
  <c r="N1591" i="5"/>
  <c r="N1593" i="5"/>
  <c r="N1595" i="5"/>
  <c r="N1597" i="5"/>
  <c r="N1599" i="5"/>
  <c r="N1601" i="5"/>
  <c r="N1603" i="5"/>
  <c r="N1605" i="5"/>
  <c r="N1607" i="5"/>
  <c r="N1609" i="5"/>
  <c r="N1611" i="5"/>
  <c r="N1613" i="5"/>
  <c r="N1615" i="5"/>
  <c r="N1617" i="5"/>
  <c r="N1619" i="5"/>
  <c r="N1621" i="5"/>
  <c r="N1623" i="5"/>
  <c r="N1625" i="5"/>
  <c r="N1627" i="5"/>
  <c r="N1629" i="5"/>
  <c r="N1631" i="5"/>
  <c r="N1633" i="5"/>
  <c r="N1635" i="5"/>
  <c r="N1637" i="5"/>
  <c r="N1639" i="5"/>
  <c r="N1641" i="5"/>
  <c r="N1643" i="5"/>
  <c r="N1645" i="5"/>
  <c r="N1647" i="5"/>
  <c r="N1649" i="5"/>
  <c r="N1651" i="5"/>
  <c r="N1653" i="5"/>
  <c r="N1655" i="5"/>
  <c r="N1657" i="5"/>
  <c r="N1659" i="5"/>
  <c r="N1661" i="5"/>
  <c r="N1663" i="5"/>
  <c r="N1665" i="5"/>
  <c r="N1667" i="5"/>
  <c r="N1669" i="5"/>
  <c r="N1671" i="5"/>
  <c r="N1673" i="5"/>
  <c r="N1675" i="5"/>
  <c r="N1677" i="5"/>
  <c r="N1679" i="5"/>
  <c r="N1681" i="5"/>
  <c r="N1683" i="5"/>
  <c r="N1685" i="5"/>
  <c r="N1687" i="5"/>
  <c r="N1689" i="5"/>
  <c r="N1691" i="5"/>
  <c r="N1693" i="5"/>
  <c r="N1695" i="5"/>
  <c r="N1697" i="5"/>
  <c r="N1699" i="5"/>
  <c r="N1701" i="5"/>
  <c r="N1703" i="5"/>
  <c r="N1705" i="5"/>
  <c r="N1707" i="5"/>
  <c r="N1709" i="5"/>
  <c r="N1711" i="5"/>
  <c r="N1713" i="5"/>
  <c r="N1715" i="5"/>
  <c r="N1717" i="5"/>
  <c r="N1719" i="5"/>
  <c r="N1721" i="5"/>
  <c r="N1723" i="5"/>
  <c r="N1725" i="5"/>
  <c r="N1727" i="5"/>
  <c r="N1729" i="5"/>
  <c r="N1731" i="5"/>
  <c r="N1733" i="5"/>
  <c r="N1735" i="5"/>
  <c r="N1737" i="5"/>
  <c r="N1739" i="5"/>
  <c r="N1741" i="5"/>
  <c r="N1743" i="5"/>
  <c r="N1745" i="5"/>
  <c r="N1747" i="5"/>
  <c r="N1749" i="5"/>
  <c r="N1751" i="5"/>
  <c r="N1753" i="5"/>
  <c r="N1755" i="5"/>
  <c r="N1757" i="5"/>
  <c r="N1759" i="5"/>
  <c r="N1761" i="5"/>
  <c r="N1763" i="5"/>
  <c r="N1765" i="5"/>
  <c r="N1767" i="5"/>
  <c r="N1769" i="5"/>
  <c r="N1771" i="5"/>
  <c r="N1773" i="5"/>
  <c r="N1775" i="5"/>
  <c r="N1777" i="5"/>
  <c r="N1779" i="5"/>
  <c r="N1781" i="5"/>
  <c r="N1783" i="5"/>
  <c r="N1785" i="5"/>
  <c r="N1787" i="5"/>
  <c r="N1789" i="5"/>
  <c r="N1791" i="5"/>
  <c r="N1793" i="5"/>
  <c r="N1795" i="5"/>
  <c r="N1797" i="5"/>
  <c r="N1799" i="5"/>
  <c r="N1801" i="5"/>
  <c r="N1803" i="5"/>
  <c r="N1805" i="5"/>
  <c r="N1807" i="5"/>
  <c r="N1809" i="5"/>
  <c r="N1811" i="5"/>
  <c r="N1813" i="5"/>
  <c r="N1815" i="5"/>
  <c r="N1817" i="5"/>
  <c r="N1819" i="5"/>
  <c r="N1821" i="5"/>
  <c r="N1823" i="5"/>
  <c r="N1825" i="5"/>
  <c r="N1827" i="5"/>
  <c r="N1829" i="5"/>
  <c r="N1831" i="5"/>
  <c r="N1833" i="5"/>
  <c r="N1835" i="5"/>
  <c r="N1837" i="5"/>
  <c r="N1839" i="5"/>
  <c r="N1841" i="5"/>
  <c r="N1843" i="5"/>
  <c r="N1845" i="5"/>
  <c r="N1847" i="5"/>
  <c r="N1849" i="5"/>
  <c r="N1851" i="5"/>
  <c r="N1853" i="5"/>
  <c r="N1855" i="5"/>
  <c r="N1857" i="5"/>
  <c r="N1859" i="5"/>
  <c r="N1861" i="5"/>
  <c r="N1863" i="5"/>
  <c r="N1865" i="5"/>
  <c r="N1867" i="5"/>
  <c r="N1869" i="5"/>
  <c r="N1871" i="5"/>
  <c r="N1873" i="5"/>
  <c r="N1875" i="5"/>
  <c r="N1877" i="5"/>
  <c r="N1879" i="5"/>
  <c r="N1881" i="5"/>
  <c r="N1883" i="5"/>
  <c r="N1885" i="5"/>
  <c r="N1887" i="5"/>
  <c r="N1889" i="5"/>
  <c r="N1891" i="5"/>
  <c r="N1893" i="5"/>
  <c r="N1895" i="5"/>
  <c r="N1897" i="5"/>
  <c r="N1899" i="5"/>
  <c r="N1901" i="5"/>
  <c r="N1903" i="5"/>
  <c r="N1905" i="5"/>
  <c r="N1907" i="5"/>
  <c r="N1909" i="5"/>
  <c r="N1911" i="5"/>
  <c r="N1913" i="5"/>
  <c r="N1915" i="5"/>
  <c r="N1917" i="5"/>
  <c r="N1919" i="5"/>
  <c r="N1921" i="5"/>
  <c r="N1923" i="5"/>
  <c r="N1925" i="5"/>
  <c r="N1927" i="5"/>
  <c r="N1929" i="5"/>
  <c r="N1931" i="5"/>
  <c r="N1933" i="5"/>
  <c r="N1935" i="5"/>
  <c r="N1937" i="5"/>
  <c r="N1939" i="5"/>
  <c r="N1941" i="5"/>
  <c r="N1943" i="5"/>
  <c r="N1945" i="5"/>
  <c r="N1947" i="5"/>
  <c r="N1949" i="5"/>
  <c r="N1951" i="5"/>
  <c r="N1953" i="5"/>
  <c r="N1955" i="5"/>
  <c r="N1957" i="5"/>
  <c r="N1959" i="5"/>
  <c r="N1961" i="5"/>
  <c r="N1963" i="5"/>
  <c r="N1965" i="5"/>
  <c r="N1967" i="5"/>
  <c r="N1969" i="5"/>
  <c r="N1971" i="5"/>
  <c r="N1973" i="5"/>
  <c r="N1975" i="5"/>
  <c r="N1977" i="5"/>
  <c r="N1979" i="5"/>
  <c r="N1981" i="5"/>
  <c r="N1983" i="5"/>
  <c r="N1985" i="5"/>
  <c r="N1987" i="5"/>
  <c r="N1989" i="5"/>
  <c r="N1991" i="5"/>
  <c r="N1993" i="5"/>
  <c r="N1995" i="5"/>
  <c r="N1997" i="5"/>
  <c r="N1999" i="5"/>
  <c r="N2001" i="5"/>
  <c r="N2003" i="5"/>
  <c r="N2005" i="5"/>
  <c r="G6" i="5"/>
  <c r="I6" i="5"/>
  <c r="J6" i="5" s="1"/>
  <c r="K6" i="5"/>
  <c r="B7" i="5"/>
  <c r="H7" i="5"/>
  <c r="J7" i="5" s="1"/>
  <c r="G8" i="5"/>
  <c r="I8" i="5"/>
  <c r="J8" i="5" s="1"/>
  <c r="K8" i="5"/>
  <c r="B9" i="5"/>
  <c r="H9" i="5"/>
  <c r="J9" i="5" s="1"/>
  <c r="G10" i="5"/>
  <c r="I10" i="5"/>
  <c r="K10" i="5"/>
  <c r="B11" i="5"/>
  <c r="H11" i="5"/>
  <c r="J11" i="5" s="1"/>
  <c r="G12" i="5"/>
  <c r="I12" i="5"/>
  <c r="K12" i="5"/>
  <c r="B13" i="5"/>
  <c r="H13" i="5"/>
  <c r="J13" i="5" s="1"/>
  <c r="G14" i="5"/>
  <c r="I14" i="5"/>
  <c r="K14" i="5"/>
  <c r="B15" i="5"/>
  <c r="H15" i="5"/>
  <c r="J15" i="5" s="1"/>
  <c r="G16" i="5"/>
  <c r="I16" i="5"/>
  <c r="K16" i="5"/>
  <c r="B17" i="5"/>
  <c r="H17" i="5"/>
  <c r="J17" i="5" s="1"/>
  <c r="G18" i="5"/>
  <c r="I18" i="5"/>
  <c r="K18" i="5"/>
  <c r="B19" i="5"/>
  <c r="H19" i="5"/>
  <c r="J19" i="5" s="1"/>
  <c r="G20" i="5"/>
  <c r="I20" i="5"/>
  <c r="K20" i="5"/>
  <c r="B21" i="5"/>
  <c r="H21" i="5"/>
  <c r="J21" i="5" s="1"/>
  <c r="G22" i="5"/>
  <c r="I22" i="5"/>
  <c r="K22" i="5"/>
  <c r="B23" i="5"/>
  <c r="H23" i="5"/>
  <c r="J23" i="5" s="1"/>
  <c r="G24" i="5"/>
  <c r="I24" i="5"/>
  <c r="K24" i="5"/>
  <c r="B25" i="5"/>
  <c r="H25" i="5"/>
  <c r="J25" i="5" s="1"/>
  <c r="G26" i="5"/>
  <c r="I26" i="5"/>
  <c r="K26" i="5"/>
  <c r="B27" i="5"/>
  <c r="H27" i="5"/>
  <c r="J27" i="5" s="1"/>
  <c r="G28" i="5"/>
  <c r="I28" i="5"/>
  <c r="K28" i="5"/>
  <c r="B29" i="5"/>
  <c r="H29" i="5"/>
  <c r="J29" i="5" s="1"/>
  <c r="G30" i="5"/>
  <c r="I30" i="5"/>
  <c r="K30" i="5"/>
  <c r="B31" i="5"/>
  <c r="H31" i="5"/>
  <c r="J31" i="5"/>
  <c r="G32" i="5"/>
  <c r="I32" i="5"/>
  <c r="K32" i="5"/>
  <c r="B33" i="5"/>
  <c r="H33" i="5"/>
  <c r="J33" i="5" s="1"/>
  <c r="G34" i="5"/>
  <c r="I34" i="5"/>
  <c r="K34" i="5"/>
  <c r="B35" i="5"/>
  <c r="H35" i="5"/>
  <c r="J35" i="5"/>
  <c r="G36" i="5"/>
  <c r="I36" i="5"/>
  <c r="K36" i="5"/>
  <c r="B37" i="5"/>
  <c r="H37" i="5"/>
  <c r="J37" i="5"/>
  <c r="G38" i="5"/>
  <c r="I38" i="5"/>
  <c r="K38" i="5"/>
  <c r="B39" i="5"/>
  <c r="H39" i="5"/>
  <c r="J39" i="5" s="1"/>
  <c r="G40" i="5"/>
  <c r="I40" i="5"/>
  <c r="K40" i="5"/>
  <c r="B41" i="5"/>
  <c r="H41" i="5"/>
  <c r="J41" i="5" s="1"/>
  <c r="G42" i="5"/>
  <c r="I42" i="5"/>
  <c r="K42" i="5"/>
  <c r="B43" i="5"/>
  <c r="H43" i="5"/>
  <c r="J43" i="5" s="1"/>
  <c r="G44" i="5"/>
  <c r="I44" i="5"/>
  <c r="K44" i="5"/>
  <c r="B45" i="5"/>
  <c r="H45" i="5"/>
  <c r="J45" i="5" s="1"/>
  <c r="G46" i="5"/>
  <c r="I46" i="5"/>
  <c r="K46" i="5"/>
  <c r="B47" i="5"/>
  <c r="H47" i="5"/>
  <c r="J47" i="5" s="1"/>
  <c r="G48" i="5"/>
  <c r="I48" i="5"/>
  <c r="K48" i="5"/>
  <c r="B49" i="5"/>
  <c r="H49" i="5"/>
  <c r="J49" i="5"/>
  <c r="G50" i="5"/>
  <c r="I50" i="5"/>
  <c r="K50" i="5"/>
  <c r="B51" i="5"/>
  <c r="H51" i="5"/>
  <c r="J51" i="5"/>
  <c r="G52" i="5"/>
  <c r="I52" i="5"/>
  <c r="K52" i="5"/>
  <c r="B53" i="5"/>
  <c r="H53" i="5"/>
  <c r="J53" i="5"/>
  <c r="G54" i="5"/>
  <c r="I54" i="5"/>
  <c r="K54" i="5"/>
  <c r="B55" i="5"/>
  <c r="H55" i="5"/>
  <c r="J55" i="5"/>
  <c r="G56" i="5"/>
  <c r="I56" i="5"/>
  <c r="K56" i="5"/>
  <c r="B57" i="5"/>
  <c r="H57" i="5"/>
  <c r="J57" i="5"/>
  <c r="G58" i="5"/>
  <c r="I58" i="5"/>
  <c r="K58" i="5"/>
  <c r="B59" i="5"/>
  <c r="H59" i="5"/>
  <c r="J59" i="5"/>
  <c r="G60" i="5"/>
  <c r="I60" i="5"/>
  <c r="K60" i="5"/>
  <c r="B61" i="5"/>
  <c r="H61" i="5"/>
  <c r="J61" i="5"/>
  <c r="G62" i="5"/>
  <c r="I62" i="5"/>
  <c r="K62" i="5"/>
  <c r="B63" i="5"/>
  <c r="H63" i="5"/>
  <c r="J63" i="5"/>
  <c r="G64" i="5"/>
  <c r="I64" i="5"/>
  <c r="K64" i="5"/>
  <c r="B65" i="5"/>
  <c r="H65" i="5"/>
  <c r="J65" i="5"/>
  <c r="G66" i="5"/>
  <c r="I66" i="5"/>
  <c r="K66" i="5"/>
  <c r="B67" i="5"/>
  <c r="H67" i="5"/>
  <c r="J67" i="5"/>
  <c r="G68" i="5"/>
  <c r="I68" i="5"/>
  <c r="K68" i="5"/>
  <c r="B69" i="5"/>
  <c r="H69" i="5"/>
  <c r="J69" i="5"/>
  <c r="G70" i="5"/>
  <c r="I70" i="5"/>
  <c r="K70" i="5"/>
  <c r="B71" i="5"/>
  <c r="H71" i="5"/>
  <c r="J71" i="5"/>
  <c r="G72" i="5"/>
  <c r="I72" i="5"/>
  <c r="K72" i="5"/>
  <c r="B73" i="5"/>
  <c r="H73" i="5"/>
  <c r="J73" i="5"/>
  <c r="G74" i="5"/>
  <c r="I74" i="5"/>
  <c r="K74" i="5"/>
  <c r="B75" i="5"/>
  <c r="H75" i="5"/>
  <c r="J75" i="5"/>
  <c r="G76" i="5"/>
  <c r="I76" i="5"/>
  <c r="K76" i="5"/>
  <c r="B77" i="5"/>
  <c r="H77" i="5"/>
  <c r="J77" i="5"/>
  <c r="G78" i="5"/>
  <c r="I78" i="5"/>
  <c r="K78" i="5"/>
  <c r="B79" i="5"/>
  <c r="H79" i="5"/>
  <c r="J79" i="5"/>
  <c r="G80" i="5"/>
  <c r="I80" i="5"/>
  <c r="K80" i="5"/>
  <c r="B81" i="5"/>
  <c r="H81" i="5"/>
  <c r="J81" i="5"/>
  <c r="G82" i="5"/>
  <c r="I82" i="5"/>
  <c r="K82" i="5"/>
  <c r="B83" i="5"/>
  <c r="H83" i="5"/>
  <c r="J83" i="5"/>
  <c r="G84" i="5"/>
  <c r="I84" i="5"/>
  <c r="K84" i="5"/>
  <c r="B85" i="5"/>
  <c r="H85" i="5"/>
  <c r="J85" i="5"/>
  <c r="G86" i="5"/>
  <c r="I86" i="5"/>
  <c r="K86" i="5"/>
  <c r="B87" i="5"/>
  <c r="H87" i="5"/>
  <c r="J87" i="5"/>
  <c r="G88" i="5"/>
  <c r="I88" i="5"/>
  <c r="K88" i="5"/>
  <c r="B89" i="5"/>
  <c r="H89" i="5"/>
  <c r="J89" i="5"/>
  <c r="G90" i="5"/>
  <c r="I90" i="5"/>
  <c r="K90" i="5"/>
  <c r="B91" i="5"/>
  <c r="H91" i="5"/>
  <c r="J91" i="5"/>
  <c r="G92" i="5"/>
  <c r="I92" i="5"/>
  <c r="K92" i="5"/>
  <c r="B93" i="5"/>
  <c r="H93" i="5"/>
  <c r="J93" i="5"/>
  <c r="G94" i="5"/>
  <c r="I94" i="5"/>
  <c r="K94" i="5"/>
  <c r="B95" i="5"/>
  <c r="H95" i="5"/>
  <c r="J95" i="5"/>
  <c r="G96" i="5"/>
  <c r="I96" i="5"/>
  <c r="K96" i="5"/>
  <c r="B97" i="5"/>
  <c r="H97" i="5"/>
  <c r="J97" i="5"/>
  <c r="G98" i="5"/>
  <c r="I98" i="5"/>
  <c r="K98" i="5"/>
  <c r="B99" i="5"/>
  <c r="H99" i="5"/>
  <c r="J99" i="5"/>
  <c r="G100" i="5"/>
  <c r="I100" i="5"/>
  <c r="K100" i="5"/>
  <c r="B101" i="5"/>
  <c r="H101" i="5"/>
  <c r="J101" i="5"/>
  <c r="G102" i="5"/>
  <c r="I102" i="5"/>
  <c r="K102" i="5"/>
  <c r="B103" i="5"/>
  <c r="H103" i="5"/>
  <c r="J103" i="5"/>
  <c r="G104" i="5"/>
  <c r="I104" i="5"/>
  <c r="K104" i="5"/>
  <c r="B105" i="5"/>
  <c r="H105" i="5"/>
  <c r="J105" i="5"/>
  <c r="G106" i="5"/>
  <c r="I106" i="5"/>
  <c r="K106" i="5"/>
  <c r="B107" i="5"/>
  <c r="H107" i="5"/>
  <c r="J107" i="5"/>
  <c r="G108" i="5"/>
  <c r="I108" i="5"/>
  <c r="K108" i="5"/>
  <c r="B109" i="5"/>
  <c r="H109" i="5"/>
  <c r="J109" i="5"/>
  <c r="G110" i="5"/>
  <c r="I110" i="5"/>
  <c r="K110" i="5"/>
  <c r="B111" i="5"/>
  <c r="H111" i="5"/>
  <c r="J111" i="5"/>
  <c r="G112" i="5"/>
  <c r="I112" i="5"/>
  <c r="K112" i="5"/>
  <c r="B113" i="5"/>
  <c r="H113" i="5"/>
  <c r="J113" i="5"/>
  <c r="G114" i="5"/>
  <c r="I114" i="5"/>
  <c r="K114" i="5"/>
  <c r="B115" i="5"/>
  <c r="H115" i="5"/>
  <c r="J115" i="5"/>
  <c r="G116" i="5"/>
  <c r="I116" i="5"/>
  <c r="K116" i="5"/>
  <c r="B117" i="5"/>
  <c r="H117" i="5"/>
  <c r="J117" i="5"/>
  <c r="G118" i="5"/>
  <c r="I118" i="5"/>
  <c r="K118" i="5"/>
  <c r="B119" i="5"/>
  <c r="H119" i="5"/>
  <c r="J119" i="5"/>
  <c r="G120" i="5"/>
  <c r="I120" i="5"/>
  <c r="K120" i="5"/>
  <c r="B121" i="5"/>
  <c r="H121" i="5"/>
  <c r="J121" i="5"/>
  <c r="G122" i="5"/>
  <c r="I122" i="5"/>
  <c r="K122" i="5"/>
  <c r="B123" i="5"/>
  <c r="H123" i="5"/>
  <c r="J123" i="5"/>
  <c r="G124" i="5"/>
  <c r="I124" i="5"/>
  <c r="K124" i="5"/>
  <c r="B125" i="5"/>
  <c r="H125" i="5"/>
  <c r="J125" i="5"/>
  <c r="G126" i="5"/>
  <c r="I126" i="5"/>
  <c r="K126" i="5"/>
  <c r="B127" i="5"/>
  <c r="H127" i="5"/>
  <c r="J127" i="5"/>
  <c r="G128" i="5"/>
  <c r="I128" i="5"/>
  <c r="K128" i="5"/>
  <c r="B129" i="5"/>
  <c r="H129" i="5"/>
  <c r="J129" i="5"/>
  <c r="G130" i="5"/>
  <c r="I130" i="5"/>
  <c r="K130" i="5"/>
  <c r="B131" i="5"/>
  <c r="H131" i="5"/>
  <c r="J131" i="5"/>
  <c r="G132" i="5"/>
  <c r="I132" i="5"/>
  <c r="K132" i="5"/>
  <c r="B133" i="5"/>
  <c r="H133" i="5"/>
  <c r="J133" i="5"/>
  <c r="G134" i="5"/>
  <c r="I134" i="5"/>
  <c r="K134" i="5"/>
  <c r="B135" i="5"/>
  <c r="H135" i="5"/>
  <c r="J135" i="5"/>
  <c r="G136" i="5"/>
  <c r="I136" i="5"/>
  <c r="K136" i="5"/>
  <c r="B137" i="5"/>
  <c r="H137" i="5"/>
  <c r="J137" i="5"/>
  <c r="G138" i="5"/>
  <c r="I138" i="5"/>
  <c r="K138" i="5"/>
  <c r="B139" i="5"/>
  <c r="H139" i="5"/>
  <c r="J139" i="5"/>
  <c r="G140" i="5"/>
  <c r="I140" i="5"/>
  <c r="K140" i="5"/>
  <c r="B141" i="5"/>
  <c r="H141" i="5"/>
  <c r="J141" i="5"/>
  <c r="G142" i="5"/>
  <c r="I142" i="5"/>
  <c r="K142" i="5"/>
  <c r="B143" i="5"/>
  <c r="H143" i="5"/>
  <c r="J143" i="5"/>
  <c r="G144" i="5"/>
  <c r="I144" i="5"/>
  <c r="K144" i="5"/>
  <c r="B145" i="5"/>
  <c r="H145" i="5"/>
  <c r="J145" i="5"/>
  <c r="G146" i="5"/>
  <c r="I146" i="5"/>
  <c r="K146" i="5"/>
  <c r="B147" i="5"/>
  <c r="H147" i="5"/>
  <c r="J147" i="5"/>
  <c r="G148" i="5"/>
  <c r="I148" i="5"/>
  <c r="K148" i="5"/>
  <c r="B149" i="5"/>
  <c r="H149" i="5"/>
  <c r="J149" i="5"/>
  <c r="G150" i="5"/>
  <c r="I150" i="5"/>
  <c r="K150" i="5"/>
  <c r="B151" i="5"/>
  <c r="H151" i="5"/>
  <c r="J151" i="5"/>
  <c r="G152" i="5"/>
  <c r="I152" i="5"/>
  <c r="K152" i="5"/>
  <c r="B153" i="5"/>
  <c r="H153" i="5"/>
  <c r="J153" i="5"/>
  <c r="G154" i="5"/>
  <c r="I154" i="5"/>
  <c r="K154" i="5"/>
  <c r="B155" i="5"/>
  <c r="H155" i="5"/>
  <c r="J155" i="5"/>
  <c r="G156" i="5"/>
  <c r="I156" i="5"/>
  <c r="K156" i="5"/>
  <c r="B157" i="5"/>
  <c r="H157" i="5"/>
  <c r="J157" i="5"/>
  <c r="G158" i="5"/>
  <c r="I158" i="5"/>
  <c r="K158" i="5"/>
  <c r="B159" i="5"/>
  <c r="H159" i="5"/>
  <c r="J159" i="5"/>
  <c r="G160" i="5"/>
  <c r="I160" i="5"/>
  <c r="K160" i="5"/>
  <c r="B161" i="5"/>
  <c r="H161" i="5"/>
  <c r="J161" i="5"/>
  <c r="G162" i="5"/>
  <c r="I162" i="5"/>
  <c r="K162" i="5"/>
  <c r="B163" i="5"/>
  <c r="H163" i="5"/>
  <c r="J163" i="5"/>
  <c r="G164" i="5"/>
  <c r="I164" i="5"/>
  <c r="K164" i="5"/>
  <c r="B165" i="5"/>
  <c r="H165" i="5"/>
  <c r="J165" i="5"/>
  <c r="G166" i="5"/>
  <c r="I166" i="5"/>
  <c r="K166" i="5"/>
  <c r="B167" i="5"/>
  <c r="H167" i="5"/>
  <c r="J167" i="5"/>
  <c r="G168" i="5"/>
  <c r="I168" i="5"/>
  <c r="K168" i="5"/>
  <c r="B169" i="5"/>
  <c r="H169" i="5"/>
  <c r="J169" i="5"/>
  <c r="G170" i="5"/>
  <c r="I170" i="5"/>
  <c r="K170" i="5"/>
  <c r="B171" i="5"/>
  <c r="H171" i="5"/>
  <c r="J171" i="5"/>
  <c r="G172" i="5"/>
  <c r="I172" i="5"/>
  <c r="K172" i="5"/>
  <c r="B173" i="5"/>
  <c r="H173" i="5"/>
  <c r="J173" i="5"/>
  <c r="G174" i="5"/>
  <c r="I174" i="5"/>
  <c r="K174" i="5"/>
  <c r="B175" i="5"/>
  <c r="H175" i="5"/>
  <c r="J175" i="5"/>
  <c r="G176" i="5"/>
  <c r="I176" i="5"/>
  <c r="K176" i="5"/>
  <c r="B177" i="5"/>
  <c r="H177" i="5"/>
  <c r="J177" i="5"/>
  <c r="G178" i="5"/>
  <c r="I178" i="5"/>
  <c r="K178" i="5"/>
  <c r="B179" i="5"/>
  <c r="H179" i="5"/>
  <c r="J179" i="5"/>
  <c r="G180" i="5"/>
  <c r="I180" i="5"/>
  <c r="K180" i="5"/>
  <c r="B181" i="5"/>
  <c r="H181" i="5"/>
  <c r="J181" i="5"/>
  <c r="G182" i="5"/>
  <c r="I182" i="5"/>
  <c r="K182" i="5"/>
  <c r="B183" i="5"/>
  <c r="H183" i="5"/>
  <c r="J183" i="5"/>
  <c r="G184" i="5"/>
  <c r="I184" i="5"/>
  <c r="K184" i="5"/>
  <c r="B185" i="5"/>
  <c r="H185" i="5"/>
  <c r="J185" i="5"/>
  <c r="G186" i="5"/>
  <c r="I186" i="5"/>
  <c r="K186" i="5"/>
  <c r="B187" i="5"/>
  <c r="H187" i="5"/>
  <c r="J187" i="5"/>
  <c r="G188" i="5"/>
  <c r="I188" i="5"/>
  <c r="K188" i="5"/>
  <c r="B189" i="5"/>
  <c r="H189" i="5"/>
  <c r="J189" i="5"/>
  <c r="G190" i="5"/>
  <c r="I190" i="5"/>
  <c r="K190" i="5"/>
  <c r="B191" i="5"/>
  <c r="H191" i="5"/>
  <c r="J191" i="5"/>
  <c r="G192" i="5"/>
  <c r="I192" i="5"/>
  <c r="K192" i="5"/>
  <c r="B193" i="5"/>
  <c r="H193" i="5"/>
  <c r="J193" i="5"/>
  <c r="G194" i="5"/>
  <c r="I194" i="5"/>
  <c r="K194" i="5"/>
  <c r="B195" i="5"/>
  <c r="H195" i="5"/>
  <c r="J195" i="5"/>
  <c r="G196" i="5"/>
  <c r="I196" i="5"/>
  <c r="K196" i="5"/>
  <c r="B197" i="5"/>
  <c r="H197" i="5"/>
  <c r="J197" i="5"/>
  <c r="G198" i="5"/>
  <c r="I198" i="5"/>
  <c r="K198" i="5"/>
  <c r="B199" i="5"/>
  <c r="H199" i="5"/>
  <c r="J199" i="5"/>
  <c r="G200" i="5"/>
  <c r="I200" i="5"/>
  <c r="K200" i="5"/>
  <c r="B201" i="5"/>
  <c r="H201" i="5"/>
  <c r="J201" i="5"/>
  <c r="G202" i="5"/>
  <c r="I202" i="5"/>
  <c r="K202" i="5"/>
  <c r="B203" i="5"/>
  <c r="H203" i="5"/>
  <c r="J203" i="5"/>
  <c r="G204" i="5"/>
  <c r="I204" i="5"/>
  <c r="K204" i="5"/>
  <c r="B205" i="5"/>
  <c r="H205" i="5"/>
  <c r="J205" i="5"/>
  <c r="G206" i="5"/>
  <c r="I206" i="5"/>
  <c r="K206" i="5"/>
  <c r="B207" i="5"/>
  <c r="H207" i="5"/>
  <c r="J207" i="5"/>
  <c r="G208" i="5"/>
  <c r="I208" i="5"/>
  <c r="K208" i="5"/>
  <c r="B209" i="5"/>
  <c r="H209" i="5"/>
  <c r="J209" i="5"/>
  <c r="G210" i="5"/>
  <c r="I210" i="5"/>
  <c r="K210" i="5"/>
  <c r="B211" i="5"/>
  <c r="H211" i="5"/>
  <c r="J211" i="5"/>
  <c r="G212" i="5"/>
  <c r="I212" i="5"/>
  <c r="K212" i="5"/>
  <c r="B213" i="5"/>
  <c r="H213" i="5"/>
  <c r="J213" i="5"/>
  <c r="G214" i="5"/>
  <c r="I214" i="5"/>
  <c r="K214" i="5"/>
  <c r="B215" i="5"/>
  <c r="H215" i="5"/>
  <c r="J215" i="5"/>
  <c r="G216" i="5"/>
  <c r="I216" i="5"/>
  <c r="K216" i="5"/>
  <c r="B217" i="5"/>
  <c r="H217" i="5"/>
  <c r="J217" i="5"/>
  <c r="G218" i="5"/>
  <c r="I218" i="5"/>
  <c r="K218" i="5"/>
  <c r="B219" i="5"/>
  <c r="H219" i="5"/>
  <c r="J219" i="5"/>
  <c r="G220" i="5"/>
  <c r="I220" i="5"/>
  <c r="K220" i="5"/>
  <c r="B221" i="5"/>
  <c r="H221" i="5"/>
  <c r="J221" i="5"/>
  <c r="G222" i="5"/>
  <c r="I222" i="5"/>
  <c r="K222" i="5"/>
  <c r="B223" i="5"/>
  <c r="H223" i="5"/>
  <c r="J223" i="5"/>
  <c r="G224" i="5"/>
  <c r="I224" i="5"/>
  <c r="K224" i="5"/>
  <c r="B225" i="5"/>
  <c r="H225" i="5"/>
  <c r="J225" i="5"/>
  <c r="G226" i="5"/>
  <c r="I226" i="5"/>
  <c r="K226" i="5"/>
  <c r="B227" i="5"/>
  <c r="H227" i="5"/>
  <c r="J227" i="5"/>
  <c r="G228" i="5"/>
  <c r="I228" i="5"/>
  <c r="K228" i="5"/>
  <c r="B229" i="5"/>
  <c r="H229" i="5"/>
  <c r="J229" i="5"/>
  <c r="G230" i="5"/>
  <c r="I230" i="5"/>
  <c r="K230" i="5"/>
  <c r="B231" i="5"/>
  <c r="H231" i="5"/>
  <c r="J231" i="5"/>
  <c r="G232" i="5"/>
  <c r="I232" i="5"/>
  <c r="K232" i="5"/>
  <c r="B233" i="5"/>
  <c r="H233" i="5"/>
  <c r="J233" i="5"/>
  <c r="G234" i="5"/>
  <c r="I234" i="5"/>
  <c r="K234" i="5"/>
  <c r="B235" i="5"/>
  <c r="H235" i="5"/>
  <c r="J235" i="5"/>
  <c r="G236" i="5"/>
  <c r="I236" i="5"/>
  <c r="K236" i="5"/>
  <c r="B237" i="5"/>
  <c r="H237" i="5"/>
  <c r="J237" i="5"/>
  <c r="G238" i="5"/>
  <c r="I238" i="5"/>
  <c r="K238" i="5"/>
  <c r="B239" i="5"/>
  <c r="H239" i="5"/>
  <c r="J239" i="5"/>
  <c r="G240" i="5"/>
  <c r="I240" i="5"/>
  <c r="K240" i="5"/>
  <c r="B241" i="5"/>
  <c r="H241" i="5"/>
  <c r="J241" i="5"/>
  <c r="G242" i="5"/>
  <c r="I242" i="5"/>
  <c r="K242" i="5"/>
  <c r="B243" i="5"/>
  <c r="H243" i="5"/>
  <c r="J243" i="5"/>
  <c r="G244" i="5"/>
  <c r="I244" i="5"/>
  <c r="K244" i="5"/>
  <c r="B245" i="5"/>
  <c r="H245" i="5"/>
  <c r="J245" i="5"/>
  <c r="G246" i="5"/>
  <c r="I246" i="5"/>
  <c r="K246" i="5"/>
  <c r="B247" i="5"/>
  <c r="H247" i="5"/>
  <c r="J247" i="5"/>
  <c r="G248" i="5"/>
  <c r="I248" i="5"/>
  <c r="K248" i="5"/>
  <c r="B249" i="5"/>
  <c r="H249" i="5"/>
  <c r="J249" i="5"/>
  <c r="G250" i="5"/>
  <c r="I250" i="5"/>
  <c r="K250" i="5"/>
  <c r="B251" i="5"/>
  <c r="H251" i="5"/>
  <c r="J251" i="5"/>
  <c r="G252" i="5"/>
  <c r="I252" i="5"/>
  <c r="K252" i="5"/>
  <c r="B253" i="5"/>
  <c r="H253" i="5"/>
  <c r="J253" i="5"/>
  <c r="G254" i="5"/>
  <c r="I254" i="5"/>
  <c r="K254" i="5"/>
  <c r="B255" i="5"/>
  <c r="H255" i="5"/>
  <c r="J255" i="5"/>
  <c r="G256" i="5"/>
  <c r="I256" i="5"/>
  <c r="K256" i="5"/>
  <c r="B257" i="5"/>
  <c r="H257" i="5"/>
  <c r="J257" i="5"/>
  <c r="G258" i="5"/>
  <c r="I258" i="5"/>
  <c r="K258" i="5"/>
  <c r="B259" i="5"/>
  <c r="H259" i="5"/>
  <c r="J259" i="5"/>
  <c r="G260" i="5"/>
  <c r="I260" i="5"/>
  <c r="K260" i="5"/>
  <c r="B261" i="5"/>
  <c r="H261" i="5"/>
  <c r="J261" i="5"/>
  <c r="G262" i="5"/>
  <c r="I262" i="5"/>
  <c r="K262" i="5"/>
  <c r="B263" i="5"/>
  <c r="H263" i="5"/>
  <c r="J263" i="5"/>
  <c r="G264" i="5"/>
  <c r="I264" i="5"/>
  <c r="K264" i="5"/>
  <c r="B265" i="5"/>
  <c r="H265" i="5"/>
  <c r="J265" i="5"/>
  <c r="G266" i="5"/>
  <c r="I266" i="5"/>
  <c r="K266" i="5"/>
  <c r="B267" i="5"/>
  <c r="H267" i="5"/>
  <c r="J267" i="5"/>
  <c r="G268" i="5"/>
  <c r="I268" i="5"/>
  <c r="K268" i="5"/>
  <c r="B269" i="5"/>
  <c r="H269" i="5"/>
  <c r="J269" i="5"/>
  <c r="G270" i="5"/>
  <c r="I270" i="5"/>
  <c r="K270" i="5"/>
  <c r="B271" i="5"/>
  <c r="H271" i="5"/>
  <c r="J271" i="5"/>
  <c r="G272" i="5"/>
  <c r="I272" i="5"/>
  <c r="K272" i="5"/>
  <c r="B273" i="5"/>
  <c r="H273" i="5"/>
  <c r="J273" i="5"/>
  <c r="G274" i="5"/>
  <c r="I274" i="5"/>
  <c r="K274" i="5"/>
  <c r="B275" i="5"/>
  <c r="H275" i="5"/>
  <c r="J275" i="5"/>
  <c r="G276" i="5"/>
  <c r="I276" i="5"/>
  <c r="K276" i="5"/>
  <c r="B277" i="5"/>
  <c r="H277" i="5"/>
  <c r="J277" i="5"/>
  <c r="G278" i="5"/>
  <c r="I278" i="5"/>
  <c r="K278" i="5"/>
  <c r="B279" i="5"/>
  <c r="H279" i="5"/>
  <c r="J279" i="5"/>
  <c r="G280" i="5"/>
  <c r="I280" i="5"/>
  <c r="K280" i="5"/>
  <c r="B281" i="5"/>
  <c r="H281" i="5"/>
  <c r="J281" i="5"/>
  <c r="G282" i="5"/>
  <c r="I282" i="5"/>
  <c r="K282" i="5"/>
  <c r="B283" i="5"/>
  <c r="H283" i="5"/>
  <c r="J283" i="5"/>
  <c r="G284" i="5"/>
  <c r="I284" i="5"/>
  <c r="K284" i="5"/>
  <c r="B285" i="5"/>
  <c r="H285" i="5"/>
  <c r="J285" i="5"/>
  <c r="G286" i="5"/>
  <c r="I286" i="5"/>
  <c r="K286" i="5"/>
  <c r="B287" i="5"/>
  <c r="H287" i="5"/>
  <c r="J287" i="5"/>
  <c r="G288" i="5"/>
  <c r="I288" i="5"/>
  <c r="K288" i="5"/>
  <c r="B289" i="5"/>
  <c r="H289" i="5"/>
  <c r="J289" i="5"/>
  <c r="G290" i="5"/>
  <c r="I290" i="5"/>
  <c r="K290" i="5"/>
  <c r="B291" i="5"/>
  <c r="H291" i="5"/>
  <c r="J291" i="5"/>
  <c r="G292" i="5"/>
  <c r="I292" i="5"/>
  <c r="K292" i="5"/>
  <c r="B293" i="5"/>
  <c r="H293" i="5"/>
  <c r="J293" i="5"/>
  <c r="G294" i="5"/>
  <c r="I294" i="5"/>
  <c r="K294" i="5"/>
  <c r="B295" i="5"/>
  <c r="H295" i="5"/>
  <c r="J295" i="5"/>
  <c r="G296" i="5"/>
  <c r="I296" i="5"/>
  <c r="K296" i="5"/>
  <c r="B297" i="5"/>
  <c r="H297" i="5"/>
  <c r="J297" i="5"/>
  <c r="G298" i="5"/>
  <c r="I298" i="5"/>
  <c r="K298" i="5"/>
  <c r="B299" i="5"/>
  <c r="H299" i="5"/>
  <c r="J299" i="5"/>
  <c r="G300" i="5"/>
  <c r="I300" i="5"/>
  <c r="K300" i="5"/>
  <c r="B301" i="5"/>
  <c r="H301" i="5"/>
  <c r="J301" i="5"/>
  <c r="G302" i="5"/>
  <c r="I302" i="5"/>
  <c r="K302" i="5"/>
  <c r="B303" i="5"/>
  <c r="H303" i="5"/>
  <c r="J303" i="5"/>
  <c r="G304" i="5"/>
  <c r="I304" i="5"/>
  <c r="K304" i="5"/>
  <c r="B305" i="5"/>
  <c r="H305" i="5"/>
  <c r="J305" i="5"/>
  <c r="G306" i="5"/>
  <c r="I306" i="5"/>
  <c r="K306" i="5"/>
  <c r="B307" i="5"/>
  <c r="H307" i="5"/>
  <c r="J307" i="5"/>
  <c r="G308" i="5"/>
  <c r="I308" i="5"/>
  <c r="K308" i="5"/>
  <c r="B309" i="5"/>
  <c r="H309" i="5"/>
  <c r="J309" i="5"/>
  <c r="G310" i="5"/>
  <c r="I310" i="5"/>
  <c r="K310" i="5"/>
  <c r="B311" i="5"/>
  <c r="H311" i="5"/>
  <c r="J311" i="5"/>
  <c r="G312" i="5"/>
  <c r="I312" i="5"/>
  <c r="K312" i="5"/>
  <c r="B313" i="5"/>
  <c r="H313" i="5"/>
  <c r="J313" i="5"/>
  <c r="G314" i="5"/>
  <c r="I314" i="5"/>
  <c r="K314" i="5"/>
  <c r="B315" i="5"/>
  <c r="H315" i="5"/>
  <c r="J315" i="5"/>
  <c r="G316" i="5"/>
  <c r="I316" i="5"/>
  <c r="K316" i="5"/>
  <c r="B317" i="5"/>
  <c r="H317" i="5"/>
  <c r="J317" i="5"/>
  <c r="G318" i="5"/>
  <c r="I318" i="5"/>
  <c r="K318" i="5"/>
  <c r="B319" i="5"/>
  <c r="H319" i="5"/>
  <c r="J319" i="5"/>
  <c r="G320" i="5"/>
  <c r="I320" i="5"/>
  <c r="K320" i="5"/>
  <c r="B321" i="5"/>
  <c r="H321" i="5"/>
  <c r="J321" i="5"/>
  <c r="G322" i="5"/>
  <c r="I322" i="5"/>
  <c r="K322" i="5"/>
  <c r="B323" i="5"/>
  <c r="H323" i="5"/>
  <c r="J323" i="5"/>
  <c r="G324" i="5"/>
  <c r="I324" i="5"/>
  <c r="K324" i="5"/>
  <c r="B325" i="5"/>
  <c r="H325" i="5"/>
  <c r="J325" i="5"/>
  <c r="G326" i="5"/>
  <c r="I326" i="5"/>
  <c r="K326" i="5"/>
  <c r="B327" i="5"/>
  <c r="H327" i="5"/>
  <c r="J327" i="5"/>
  <c r="G328" i="5"/>
  <c r="I328" i="5"/>
  <c r="K328" i="5"/>
  <c r="B329" i="5"/>
  <c r="H329" i="5"/>
  <c r="J329" i="5"/>
  <c r="G330" i="5"/>
  <c r="I330" i="5"/>
  <c r="K330" i="5"/>
  <c r="B331" i="5"/>
  <c r="H331" i="5"/>
  <c r="J331" i="5"/>
  <c r="G332" i="5"/>
  <c r="I332" i="5"/>
  <c r="K332" i="5"/>
  <c r="B333" i="5"/>
  <c r="H333" i="5"/>
  <c r="J333" i="5"/>
  <c r="G334" i="5"/>
  <c r="I334" i="5"/>
  <c r="K334" i="5"/>
  <c r="B335" i="5"/>
  <c r="H335" i="5"/>
  <c r="J335" i="5"/>
  <c r="G336" i="5"/>
  <c r="I336" i="5"/>
  <c r="K336" i="5"/>
  <c r="B337" i="5"/>
  <c r="H337" i="5"/>
  <c r="J337" i="5"/>
  <c r="G338" i="5"/>
  <c r="I338" i="5"/>
  <c r="K338" i="5"/>
  <c r="B339" i="5"/>
  <c r="H339" i="5"/>
  <c r="J339" i="5"/>
  <c r="G340" i="5"/>
  <c r="I340" i="5"/>
  <c r="K340" i="5"/>
  <c r="B341" i="5"/>
  <c r="H341" i="5"/>
  <c r="J341" i="5"/>
  <c r="G342" i="5"/>
  <c r="I342" i="5"/>
  <c r="K342" i="5"/>
  <c r="B343" i="5"/>
  <c r="H343" i="5"/>
  <c r="J343" i="5"/>
  <c r="G344" i="5"/>
  <c r="I344" i="5"/>
  <c r="K344" i="5"/>
  <c r="B345" i="5"/>
  <c r="H345" i="5"/>
  <c r="J345" i="5"/>
  <c r="G346" i="5"/>
  <c r="I346" i="5"/>
  <c r="K346" i="5"/>
  <c r="B347" i="5"/>
  <c r="H347" i="5"/>
  <c r="J347" i="5"/>
  <c r="G348" i="5"/>
  <c r="I348" i="5"/>
  <c r="K348" i="5"/>
  <c r="B349" i="5"/>
  <c r="H349" i="5"/>
  <c r="J349" i="5"/>
  <c r="G350" i="5"/>
  <c r="I350" i="5"/>
  <c r="K350" i="5"/>
  <c r="B351" i="5"/>
  <c r="H351" i="5"/>
  <c r="J351" i="5"/>
  <c r="G352" i="5"/>
  <c r="I352" i="5"/>
  <c r="K352" i="5"/>
  <c r="B353" i="5"/>
  <c r="H353" i="5"/>
  <c r="J353" i="5"/>
  <c r="G354" i="5"/>
  <c r="I354" i="5"/>
  <c r="K354" i="5"/>
  <c r="B355" i="5"/>
  <c r="H355" i="5"/>
  <c r="J355" i="5"/>
  <c r="G356" i="5"/>
  <c r="I356" i="5"/>
  <c r="K356" i="5"/>
  <c r="B357" i="5"/>
  <c r="H357" i="5"/>
  <c r="J357" i="5"/>
  <c r="G358" i="5"/>
  <c r="I358" i="5"/>
  <c r="K358" i="5"/>
  <c r="B359" i="5"/>
  <c r="H359" i="5"/>
  <c r="J359" i="5"/>
  <c r="G360" i="5"/>
  <c r="I360" i="5"/>
  <c r="K360" i="5"/>
  <c r="B361" i="5"/>
  <c r="H361" i="5"/>
  <c r="J361" i="5"/>
  <c r="G362" i="5"/>
  <c r="I362" i="5"/>
  <c r="K362" i="5"/>
  <c r="B363" i="5"/>
  <c r="H363" i="5"/>
  <c r="J363" i="5"/>
  <c r="G364" i="5"/>
  <c r="I364" i="5"/>
  <c r="K364" i="5"/>
  <c r="B365" i="5"/>
  <c r="H365" i="5"/>
  <c r="J365" i="5"/>
  <c r="G366" i="5"/>
  <c r="I366" i="5"/>
  <c r="K366" i="5"/>
  <c r="B367" i="5"/>
  <c r="H367" i="5"/>
  <c r="J367" i="5"/>
  <c r="G368" i="5"/>
  <c r="I368" i="5"/>
  <c r="K368" i="5"/>
  <c r="B369" i="5"/>
  <c r="H369" i="5"/>
  <c r="J369" i="5"/>
  <c r="G370" i="5"/>
  <c r="I370" i="5"/>
  <c r="K370" i="5"/>
  <c r="B371" i="5"/>
  <c r="H371" i="5"/>
  <c r="J371" i="5"/>
  <c r="G372" i="5"/>
  <c r="I372" i="5"/>
  <c r="K372" i="5"/>
  <c r="B373" i="5"/>
  <c r="H373" i="5"/>
  <c r="J373" i="5"/>
  <c r="G374" i="5"/>
  <c r="I374" i="5"/>
  <c r="K374" i="5"/>
  <c r="B375" i="5"/>
  <c r="H375" i="5"/>
  <c r="J375" i="5"/>
  <c r="G376" i="5"/>
  <c r="I376" i="5"/>
  <c r="K376" i="5"/>
  <c r="B377" i="5"/>
  <c r="H377" i="5"/>
  <c r="J377" i="5"/>
  <c r="G378" i="5"/>
  <c r="I378" i="5"/>
  <c r="K378" i="5"/>
  <c r="B379" i="5"/>
  <c r="H379" i="5"/>
  <c r="J379" i="5"/>
  <c r="G380" i="5"/>
  <c r="I380" i="5"/>
  <c r="K380" i="5"/>
  <c r="B381" i="5"/>
  <c r="H381" i="5"/>
  <c r="J381" i="5"/>
  <c r="G382" i="5"/>
  <c r="I382" i="5"/>
  <c r="K382" i="5"/>
  <c r="B383" i="5"/>
  <c r="H383" i="5"/>
  <c r="J383" i="5"/>
  <c r="G384" i="5"/>
  <c r="I384" i="5"/>
  <c r="K384" i="5"/>
  <c r="B385" i="5"/>
  <c r="H385" i="5"/>
  <c r="J385" i="5"/>
  <c r="G386" i="5"/>
  <c r="I386" i="5"/>
  <c r="K386" i="5"/>
  <c r="B387" i="5"/>
  <c r="H387" i="5"/>
  <c r="J387" i="5"/>
  <c r="G388" i="5"/>
  <c r="I388" i="5"/>
  <c r="K388" i="5"/>
  <c r="I389" i="5"/>
  <c r="I391" i="5"/>
  <c r="I393" i="5"/>
  <c r="I395" i="5"/>
  <c r="I397" i="5"/>
  <c r="I399" i="5"/>
  <c r="I401" i="5"/>
  <c r="I403" i="5"/>
  <c r="I405" i="5"/>
  <c r="I407" i="5"/>
  <c r="I409" i="5"/>
  <c r="I411" i="5"/>
  <c r="I413" i="5"/>
  <c r="I415" i="5"/>
  <c r="I417" i="5"/>
  <c r="I419" i="5"/>
  <c r="I421" i="5"/>
  <c r="I423" i="5"/>
  <c r="I425" i="5"/>
  <c r="I427" i="5"/>
  <c r="I429" i="5"/>
  <c r="I431" i="5"/>
  <c r="I433" i="5"/>
  <c r="I435" i="5"/>
  <c r="I437" i="5"/>
  <c r="I439" i="5"/>
  <c r="I441" i="5"/>
  <c r="I443" i="5"/>
  <c r="I445" i="5"/>
  <c r="I447" i="5"/>
  <c r="I449" i="5"/>
  <c r="I451" i="5"/>
  <c r="I453" i="5"/>
  <c r="I455" i="5"/>
  <c r="I457" i="5"/>
  <c r="I459" i="5"/>
  <c r="I461" i="5"/>
  <c r="I463" i="5"/>
  <c r="I465" i="5"/>
  <c r="G390" i="5"/>
  <c r="I390" i="5"/>
  <c r="K390" i="5"/>
  <c r="G392" i="5"/>
  <c r="I392" i="5"/>
  <c r="K392" i="5"/>
  <c r="G394" i="5"/>
  <c r="I394" i="5"/>
  <c r="K394" i="5"/>
  <c r="G396" i="5"/>
  <c r="I396" i="5"/>
  <c r="K396" i="5"/>
  <c r="G398" i="5"/>
  <c r="I398" i="5"/>
  <c r="K398" i="5"/>
  <c r="G400" i="5"/>
  <c r="I400" i="5"/>
  <c r="K400" i="5"/>
  <c r="G402" i="5"/>
  <c r="I402" i="5"/>
  <c r="K402" i="5"/>
  <c r="G404" i="5"/>
  <c r="I404" i="5"/>
  <c r="K404" i="5"/>
  <c r="G406" i="5"/>
  <c r="I406" i="5"/>
  <c r="K406" i="5"/>
  <c r="G408" i="5"/>
  <c r="I408" i="5"/>
  <c r="K408" i="5"/>
  <c r="G410" i="5"/>
  <c r="I410" i="5"/>
  <c r="K410" i="5"/>
  <c r="G412" i="5"/>
  <c r="I412" i="5"/>
  <c r="K412" i="5"/>
  <c r="G414" i="5"/>
  <c r="I414" i="5"/>
  <c r="K414" i="5"/>
  <c r="G416" i="5"/>
  <c r="I416" i="5"/>
  <c r="K416" i="5"/>
  <c r="G418" i="5"/>
  <c r="I418" i="5"/>
  <c r="K418" i="5"/>
  <c r="G420" i="5"/>
  <c r="I420" i="5"/>
  <c r="K420" i="5"/>
  <c r="G422" i="5"/>
  <c r="I422" i="5"/>
  <c r="K422" i="5"/>
  <c r="G424" i="5"/>
  <c r="I424" i="5"/>
  <c r="K424" i="5"/>
  <c r="G426" i="5"/>
  <c r="I426" i="5"/>
  <c r="K426" i="5"/>
  <c r="G428" i="5"/>
  <c r="I428" i="5"/>
  <c r="K428" i="5"/>
  <c r="G430" i="5"/>
  <c r="I430" i="5"/>
  <c r="K430" i="5"/>
  <c r="G432" i="5"/>
  <c r="I432" i="5"/>
  <c r="K432" i="5"/>
  <c r="G434" i="5"/>
  <c r="I434" i="5"/>
  <c r="K434" i="5"/>
  <c r="G436" i="5"/>
  <c r="I436" i="5"/>
  <c r="K436" i="5"/>
  <c r="G438" i="5"/>
  <c r="I438" i="5"/>
  <c r="K438" i="5"/>
  <c r="G440" i="5"/>
  <c r="I440" i="5"/>
  <c r="K440" i="5"/>
  <c r="G442" i="5"/>
  <c r="I442" i="5"/>
  <c r="K442" i="5"/>
  <c r="G444" i="5"/>
  <c r="I444" i="5"/>
  <c r="K444" i="5"/>
  <c r="G446" i="5"/>
  <c r="I446" i="5"/>
  <c r="K446" i="5"/>
  <c r="G448" i="5"/>
  <c r="I448" i="5"/>
  <c r="K448" i="5"/>
  <c r="G450" i="5"/>
  <c r="I450" i="5"/>
  <c r="K450" i="5"/>
  <c r="G452" i="5"/>
  <c r="I452" i="5"/>
  <c r="K452" i="5"/>
  <c r="G454" i="5"/>
  <c r="I454" i="5"/>
  <c r="K454" i="5"/>
  <c r="G456" i="5"/>
  <c r="I456" i="5"/>
  <c r="K456" i="5"/>
  <c r="G458" i="5"/>
  <c r="I458" i="5"/>
  <c r="K458" i="5"/>
  <c r="G460" i="5"/>
  <c r="I460" i="5"/>
  <c r="K460" i="5"/>
  <c r="G462" i="5"/>
  <c r="I462" i="5"/>
  <c r="K462" i="5"/>
  <c r="G464" i="5"/>
  <c r="I464" i="5"/>
  <c r="K464" i="5"/>
  <c r="G466" i="5"/>
  <c r="I466" i="5"/>
  <c r="K466" i="5"/>
  <c r="B467" i="5"/>
  <c r="H467" i="5"/>
  <c r="J467" i="5"/>
  <c r="L467" i="5"/>
  <c r="G468" i="5"/>
  <c r="I468" i="5"/>
  <c r="K468" i="5"/>
  <c r="B469" i="5"/>
  <c r="H469" i="5"/>
  <c r="J469" i="5"/>
  <c r="L469" i="5"/>
  <c r="G470" i="5"/>
  <c r="I470" i="5"/>
  <c r="K470" i="5"/>
  <c r="B471" i="5"/>
  <c r="H471" i="5"/>
  <c r="J471" i="5"/>
  <c r="L471" i="5"/>
  <c r="G472" i="5"/>
  <c r="I472" i="5"/>
  <c r="K472" i="5"/>
  <c r="B473" i="5"/>
  <c r="H473" i="5"/>
  <c r="J473" i="5"/>
  <c r="L473" i="5"/>
  <c r="G474" i="5"/>
  <c r="I474" i="5"/>
  <c r="K474" i="5"/>
  <c r="B475" i="5"/>
  <c r="H475" i="5"/>
  <c r="J475" i="5"/>
  <c r="L475" i="5"/>
  <c r="G476" i="5"/>
  <c r="I476" i="5"/>
  <c r="K476" i="5"/>
  <c r="B477" i="5"/>
  <c r="H477" i="5"/>
  <c r="J477" i="5"/>
  <c r="L477" i="5"/>
  <c r="G478" i="5"/>
  <c r="I478" i="5"/>
  <c r="K478" i="5"/>
  <c r="B479" i="5"/>
  <c r="H479" i="5"/>
  <c r="J479" i="5"/>
  <c r="L479" i="5"/>
  <c r="G480" i="5"/>
  <c r="I480" i="5"/>
  <c r="K480" i="5"/>
  <c r="B481" i="5"/>
  <c r="H481" i="5"/>
  <c r="J481" i="5"/>
  <c r="L481" i="5"/>
  <c r="G482" i="5"/>
  <c r="I482" i="5"/>
  <c r="K482" i="5"/>
  <c r="B483" i="5"/>
  <c r="H483" i="5"/>
  <c r="J483" i="5"/>
  <c r="L483" i="5"/>
  <c r="G484" i="5"/>
  <c r="I484" i="5"/>
  <c r="K484" i="5"/>
  <c r="B485" i="5"/>
  <c r="H485" i="5"/>
  <c r="J485" i="5"/>
  <c r="L485" i="5"/>
  <c r="G486" i="5"/>
  <c r="I486" i="5"/>
  <c r="K486" i="5"/>
  <c r="B487" i="5"/>
  <c r="H487" i="5"/>
  <c r="J487" i="5"/>
  <c r="L487" i="5"/>
  <c r="G488" i="5"/>
  <c r="I488" i="5"/>
  <c r="K488" i="5"/>
  <c r="B489" i="5"/>
  <c r="H489" i="5"/>
  <c r="J489" i="5"/>
  <c r="L489" i="5"/>
  <c r="G490" i="5"/>
  <c r="I490" i="5"/>
  <c r="K490" i="5"/>
  <c r="B491" i="5"/>
  <c r="H491" i="5"/>
  <c r="J491" i="5"/>
  <c r="L491" i="5"/>
  <c r="G492" i="5"/>
  <c r="I492" i="5"/>
  <c r="K492" i="5"/>
  <c r="B493" i="5"/>
  <c r="H493" i="5"/>
  <c r="J493" i="5"/>
  <c r="L493" i="5"/>
  <c r="G494" i="5"/>
  <c r="I494" i="5"/>
  <c r="K494" i="5"/>
  <c r="B495" i="5"/>
  <c r="H495" i="5"/>
  <c r="J495" i="5"/>
  <c r="L495" i="5"/>
  <c r="G496" i="5"/>
  <c r="I496" i="5"/>
  <c r="K496" i="5"/>
  <c r="B497" i="5"/>
  <c r="H497" i="5"/>
  <c r="J497" i="5"/>
  <c r="L497" i="5"/>
  <c r="G498" i="5"/>
  <c r="I498" i="5"/>
  <c r="K498" i="5"/>
  <c r="B499" i="5"/>
  <c r="H499" i="5"/>
  <c r="J499" i="5"/>
  <c r="L499" i="5"/>
  <c r="G500" i="5"/>
  <c r="I500" i="5"/>
  <c r="K500" i="5"/>
  <c r="B501" i="5"/>
  <c r="H501" i="5"/>
  <c r="J501" i="5"/>
  <c r="L501" i="5"/>
  <c r="G502" i="5"/>
  <c r="I502" i="5"/>
  <c r="K502" i="5"/>
  <c r="B503" i="5"/>
  <c r="H503" i="5"/>
  <c r="J503" i="5"/>
  <c r="L503" i="5"/>
  <c r="G504" i="5"/>
  <c r="I504" i="5"/>
  <c r="K504" i="5"/>
  <c r="B505" i="5"/>
  <c r="H505" i="5"/>
  <c r="J505" i="5"/>
  <c r="L505" i="5"/>
  <c r="G506" i="5"/>
  <c r="I506" i="5"/>
  <c r="K506" i="5"/>
  <c r="B507" i="5"/>
  <c r="H507" i="5"/>
  <c r="J507" i="5"/>
  <c r="L507" i="5"/>
  <c r="G508" i="5"/>
  <c r="I508" i="5"/>
  <c r="K508" i="5"/>
  <c r="B509" i="5"/>
  <c r="H509" i="5"/>
  <c r="J509" i="5"/>
  <c r="L509" i="5"/>
  <c r="G510" i="5"/>
  <c r="I510" i="5"/>
  <c r="K510" i="5"/>
  <c r="B511" i="5"/>
  <c r="H511" i="5"/>
  <c r="J511" i="5"/>
  <c r="L511" i="5"/>
  <c r="G512" i="5"/>
  <c r="I512" i="5"/>
  <c r="K512" i="5"/>
  <c r="B513" i="5"/>
  <c r="H513" i="5"/>
  <c r="J513" i="5"/>
  <c r="L513" i="5"/>
  <c r="G514" i="5"/>
  <c r="I514" i="5"/>
  <c r="K514" i="5"/>
  <c r="B515" i="5"/>
  <c r="H515" i="5"/>
  <c r="J515" i="5"/>
  <c r="L515" i="5"/>
  <c r="G516" i="5"/>
  <c r="I516" i="5"/>
  <c r="K516" i="5"/>
  <c r="B517" i="5"/>
  <c r="H517" i="5"/>
  <c r="J517" i="5"/>
  <c r="L517" i="5"/>
  <c r="G518" i="5"/>
  <c r="I518" i="5"/>
  <c r="K518" i="5"/>
  <c r="B519" i="5"/>
  <c r="H519" i="5"/>
  <c r="J519" i="5"/>
  <c r="L519" i="5"/>
  <c r="G520" i="5"/>
  <c r="I520" i="5"/>
  <c r="K520" i="5"/>
  <c r="B521" i="5"/>
  <c r="H521" i="5"/>
  <c r="J521" i="5"/>
  <c r="L521" i="5"/>
  <c r="G522" i="5"/>
  <c r="I522" i="5"/>
  <c r="K522" i="5"/>
  <c r="B523" i="5"/>
  <c r="H523" i="5"/>
  <c r="J523" i="5"/>
  <c r="L523" i="5"/>
  <c r="G524" i="5"/>
  <c r="I524" i="5"/>
  <c r="K524" i="5"/>
  <c r="B525" i="5"/>
  <c r="H525" i="5"/>
  <c r="J525" i="5"/>
  <c r="L525" i="5"/>
  <c r="G526" i="5"/>
  <c r="I526" i="5"/>
  <c r="K526" i="5"/>
  <c r="B527" i="5"/>
  <c r="H527" i="5"/>
  <c r="J527" i="5"/>
  <c r="L527" i="5"/>
  <c r="G528" i="5"/>
  <c r="I528" i="5"/>
  <c r="K528" i="5"/>
  <c r="B529" i="5"/>
  <c r="H529" i="5"/>
  <c r="J529" i="5"/>
  <c r="L529" i="5"/>
  <c r="G530" i="5"/>
  <c r="I530" i="5"/>
  <c r="K530" i="5"/>
  <c r="B531" i="5"/>
  <c r="H531" i="5"/>
  <c r="J531" i="5"/>
  <c r="L531" i="5"/>
  <c r="G532" i="5"/>
  <c r="I532" i="5"/>
  <c r="K532" i="5"/>
  <c r="B533" i="5"/>
  <c r="H533" i="5"/>
  <c r="J533" i="5"/>
  <c r="L533" i="5"/>
  <c r="G534" i="5"/>
  <c r="I534" i="5"/>
  <c r="K534" i="5"/>
  <c r="B535" i="5"/>
  <c r="H535" i="5"/>
  <c r="J535" i="5"/>
  <c r="L535" i="5"/>
  <c r="G536" i="5"/>
  <c r="I536" i="5"/>
  <c r="K536" i="5"/>
  <c r="B537" i="5"/>
  <c r="H537" i="5"/>
  <c r="J537" i="5"/>
  <c r="L537" i="5"/>
  <c r="G538" i="5"/>
  <c r="I538" i="5"/>
  <c r="K538" i="5"/>
  <c r="B539" i="5"/>
  <c r="H539" i="5"/>
  <c r="J539" i="5"/>
  <c r="L539" i="5"/>
  <c r="G540" i="5"/>
  <c r="I540" i="5"/>
  <c r="K540" i="5"/>
  <c r="B541" i="5"/>
  <c r="H541" i="5"/>
  <c r="J541" i="5"/>
  <c r="L541" i="5"/>
  <c r="G542" i="5"/>
  <c r="I542" i="5"/>
  <c r="K542" i="5"/>
  <c r="B543" i="5"/>
  <c r="H543" i="5"/>
  <c r="J543" i="5"/>
  <c r="L543" i="5"/>
  <c r="G544" i="5"/>
  <c r="I544" i="5"/>
  <c r="K544" i="5"/>
  <c r="B545" i="5"/>
  <c r="H545" i="5"/>
  <c r="J545" i="5"/>
  <c r="L545" i="5"/>
  <c r="G546" i="5"/>
  <c r="I546" i="5"/>
  <c r="K546" i="5"/>
  <c r="B547" i="5"/>
  <c r="H547" i="5"/>
  <c r="J547" i="5"/>
  <c r="L547" i="5"/>
  <c r="G548" i="5"/>
  <c r="I548" i="5"/>
  <c r="K548" i="5"/>
  <c r="B549" i="5"/>
  <c r="H549" i="5"/>
  <c r="J549" i="5"/>
  <c r="L549" i="5"/>
  <c r="G550" i="5"/>
  <c r="I550" i="5"/>
  <c r="K550" i="5"/>
  <c r="B551" i="5"/>
  <c r="H551" i="5"/>
  <c r="J551" i="5"/>
  <c r="L551" i="5"/>
  <c r="G552" i="5"/>
  <c r="I552" i="5"/>
  <c r="K552" i="5"/>
  <c r="B553" i="5"/>
  <c r="H553" i="5"/>
  <c r="J553" i="5"/>
  <c r="L553" i="5"/>
  <c r="G554" i="5"/>
  <c r="I554" i="5"/>
  <c r="K554" i="5"/>
  <c r="B555" i="5"/>
  <c r="H555" i="5"/>
  <c r="J555" i="5"/>
  <c r="L555" i="5"/>
  <c r="G556" i="5"/>
  <c r="I556" i="5"/>
  <c r="K556" i="5"/>
  <c r="B557" i="5"/>
  <c r="H557" i="5"/>
  <c r="J557" i="5"/>
  <c r="L557" i="5"/>
  <c r="G558" i="5"/>
  <c r="I558" i="5"/>
  <c r="K558" i="5"/>
  <c r="B559" i="5"/>
  <c r="H559" i="5"/>
  <c r="J559" i="5"/>
  <c r="L559" i="5"/>
  <c r="G560" i="5"/>
  <c r="I560" i="5"/>
  <c r="K560" i="5"/>
  <c r="B561" i="5"/>
  <c r="H561" i="5"/>
  <c r="J561" i="5"/>
  <c r="L561" i="5"/>
  <c r="G562" i="5"/>
  <c r="I562" i="5"/>
  <c r="K562" i="5"/>
  <c r="B563" i="5"/>
  <c r="H563" i="5"/>
  <c r="J563" i="5"/>
  <c r="L563" i="5"/>
  <c r="G564" i="5"/>
  <c r="I564" i="5"/>
  <c r="K564" i="5"/>
  <c r="B565" i="5"/>
  <c r="H565" i="5"/>
  <c r="J565" i="5"/>
  <c r="L565" i="5"/>
  <c r="G566" i="5"/>
  <c r="I566" i="5"/>
  <c r="K566" i="5"/>
  <c r="B567" i="5"/>
  <c r="H567" i="5"/>
  <c r="J567" i="5"/>
  <c r="L567" i="5"/>
  <c r="G568" i="5"/>
  <c r="I568" i="5"/>
  <c r="K568" i="5"/>
  <c r="B569" i="5"/>
  <c r="H569" i="5"/>
  <c r="J569" i="5"/>
  <c r="L569" i="5"/>
  <c r="G570" i="5"/>
  <c r="I570" i="5"/>
  <c r="K570" i="5"/>
  <c r="B571" i="5"/>
  <c r="H571" i="5"/>
  <c r="J571" i="5"/>
  <c r="L571" i="5"/>
  <c r="G572" i="5"/>
  <c r="I572" i="5"/>
  <c r="K572" i="5"/>
  <c r="B573" i="5"/>
  <c r="H573" i="5"/>
  <c r="J573" i="5"/>
  <c r="L573" i="5"/>
  <c r="G574" i="5"/>
  <c r="I574" i="5"/>
  <c r="K574" i="5"/>
  <c r="B575" i="5"/>
  <c r="H575" i="5"/>
  <c r="J575" i="5"/>
  <c r="L575" i="5"/>
  <c r="G576" i="5"/>
  <c r="I576" i="5"/>
  <c r="K576" i="5"/>
  <c r="B577" i="5"/>
  <c r="H577" i="5"/>
  <c r="J577" i="5"/>
  <c r="L577" i="5"/>
  <c r="G578" i="5"/>
  <c r="I578" i="5"/>
  <c r="K578" i="5"/>
  <c r="B579" i="5"/>
  <c r="H579" i="5"/>
  <c r="J579" i="5"/>
  <c r="L579" i="5"/>
  <c r="G580" i="5"/>
  <c r="I580" i="5"/>
  <c r="K580" i="5"/>
  <c r="B581" i="5"/>
  <c r="H581" i="5"/>
  <c r="J581" i="5"/>
  <c r="L581" i="5"/>
  <c r="G582" i="5"/>
  <c r="I582" i="5"/>
  <c r="K582" i="5"/>
  <c r="B583" i="5"/>
  <c r="H583" i="5"/>
  <c r="J583" i="5"/>
  <c r="L583" i="5"/>
  <c r="G584" i="5"/>
  <c r="I584" i="5"/>
  <c r="K584" i="5"/>
  <c r="B585" i="5"/>
  <c r="H585" i="5"/>
  <c r="J585" i="5"/>
  <c r="L585" i="5"/>
  <c r="G586" i="5"/>
  <c r="I586" i="5"/>
  <c r="K586" i="5"/>
  <c r="B587" i="5"/>
  <c r="H587" i="5"/>
  <c r="J587" i="5"/>
  <c r="L587" i="5"/>
  <c r="G588" i="5"/>
  <c r="I588" i="5"/>
  <c r="K588" i="5"/>
  <c r="B589" i="5"/>
  <c r="H589" i="5"/>
  <c r="J589" i="5"/>
  <c r="L589" i="5"/>
  <c r="G590" i="5"/>
  <c r="I590" i="5"/>
  <c r="K590" i="5"/>
  <c r="B591" i="5"/>
  <c r="H591" i="5"/>
  <c r="J591" i="5"/>
  <c r="L591" i="5"/>
  <c r="G592" i="5"/>
  <c r="I592" i="5"/>
  <c r="K592" i="5"/>
  <c r="B593" i="5"/>
  <c r="H593" i="5"/>
  <c r="J593" i="5"/>
  <c r="L593" i="5"/>
  <c r="G594" i="5"/>
  <c r="I594" i="5"/>
  <c r="K594" i="5"/>
  <c r="B595" i="5"/>
  <c r="H595" i="5"/>
  <c r="J595" i="5"/>
  <c r="L595" i="5"/>
  <c r="G596" i="5"/>
  <c r="I596" i="5"/>
  <c r="K596" i="5"/>
  <c r="B597" i="5"/>
  <c r="H597" i="5"/>
  <c r="J597" i="5"/>
  <c r="L597" i="5"/>
  <c r="G598" i="5"/>
  <c r="I598" i="5"/>
  <c r="K598" i="5"/>
  <c r="B599" i="5"/>
  <c r="H599" i="5"/>
  <c r="J599" i="5"/>
  <c r="L599" i="5"/>
  <c r="G600" i="5"/>
  <c r="I600" i="5"/>
  <c r="K600" i="5"/>
  <c r="B601" i="5"/>
  <c r="H601" i="5"/>
  <c r="J601" i="5"/>
  <c r="L601" i="5"/>
  <c r="G602" i="5"/>
  <c r="I602" i="5"/>
  <c r="K602" i="5"/>
  <c r="B603" i="5"/>
  <c r="H603" i="5"/>
  <c r="J603" i="5"/>
  <c r="L603" i="5"/>
  <c r="G604" i="5"/>
  <c r="I604" i="5"/>
  <c r="K604" i="5"/>
  <c r="B605" i="5"/>
  <c r="H605" i="5"/>
  <c r="J605" i="5"/>
  <c r="L605" i="5"/>
  <c r="G606" i="5"/>
  <c r="I606" i="5"/>
  <c r="K606" i="5"/>
  <c r="B607" i="5"/>
  <c r="H607" i="5"/>
  <c r="J607" i="5"/>
  <c r="L607" i="5"/>
  <c r="G608" i="5"/>
  <c r="I608" i="5"/>
  <c r="K608" i="5"/>
  <c r="B609" i="5"/>
  <c r="H609" i="5"/>
  <c r="J609" i="5"/>
  <c r="L609" i="5"/>
  <c r="G610" i="5"/>
  <c r="I610" i="5"/>
  <c r="K610" i="5"/>
  <c r="B611" i="5"/>
  <c r="H611" i="5"/>
  <c r="J611" i="5"/>
  <c r="L611" i="5"/>
  <c r="G612" i="5"/>
  <c r="I612" i="5"/>
  <c r="K612" i="5"/>
  <c r="B613" i="5"/>
  <c r="H613" i="5"/>
  <c r="J613" i="5"/>
  <c r="L613" i="5"/>
  <c r="G614" i="5"/>
  <c r="I614" i="5"/>
  <c r="K614" i="5"/>
  <c r="B615" i="5"/>
  <c r="H615" i="5"/>
  <c r="J615" i="5"/>
  <c r="L615" i="5"/>
  <c r="G616" i="5"/>
  <c r="I616" i="5"/>
  <c r="K616" i="5"/>
  <c r="B617" i="5"/>
  <c r="H617" i="5"/>
  <c r="J617" i="5"/>
  <c r="L617" i="5"/>
  <c r="G618" i="5"/>
  <c r="I618" i="5"/>
  <c r="K618" i="5"/>
  <c r="B619" i="5"/>
  <c r="H619" i="5"/>
  <c r="J619" i="5"/>
  <c r="L619" i="5"/>
  <c r="G620" i="5"/>
  <c r="I620" i="5"/>
  <c r="K620" i="5"/>
  <c r="B621" i="5"/>
  <c r="H621" i="5"/>
  <c r="J621" i="5"/>
  <c r="L621" i="5"/>
  <c r="G622" i="5"/>
  <c r="I622" i="5"/>
  <c r="K622" i="5"/>
  <c r="B623" i="5"/>
  <c r="H623" i="5"/>
  <c r="J623" i="5"/>
  <c r="L623" i="5"/>
  <c r="G624" i="5"/>
  <c r="I624" i="5"/>
  <c r="K624" i="5"/>
  <c r="B625" i="5"/>
  <c r="H625" i="5"/>
  <c r="J625" i="5"/>
  <c r="L625" i="5"/>
  <c r="G626" i="5"/>
  <c r="I626" i="5"/>
  <c r="K626" i="5"/>
  <c r="B627" i="5"/>
  <c r="H627" i="5"/>
  <c r="J627" i="5"/>
  <c r="L627" i="5"/>
  <c r="G628" i="5"/>
  <c r="I628" i="5"/>
  <c r="K628" i="5"/>
  <c r="B629" i="5"/>
  <c r="H629" i="5"/>
  <c r="J629" i="5"/>
  <c r="L629" i="5"/>
  <c r="G630" i="5"/>
  <c r="I630" i="5"/>
  <c r="K630" i="5"/>
  <c r="B631" i="5"/>
  <c r="H631" i="5"/>
  <c r="J631" i="5"/>
  <c r="L631" i="5"/>
  <c r="G632" i="5"/>
  <c r="I632" i="5"/>
  <c r="K632" i="5"/>
  <c r="B633" i="5"/>
  <c r="H633" i="5"/>
  <c r="J633" i="5"/>
  <c r="L633" i="5"/>
  <c r="G634" i="5"/>
  <c r="I634" i="5"/>
  <c r="K634" i="5"/>
  <c r="B635" i="5"/>
  <c r="H635" i="5"/>
  <c r="J635" i="5"/>
  <c r="L635" i="5"/>
  <c r="G636" i="5"/>
  <c r="I636" i="5"/>
  <c r="K636" i="5"/>
  <c r="B637" i="5"/>
  <c r="H637" i="5"/>
  <c r="J637" i="5"/>
  <c r="L637" i="5"/>
  <c r="G638" i="5"/>
  <c r="I638" i="5"/>
  <c r="K638" i="5"/>
  <c r="B639" i="5"/>
  <c r="H639" i="5"/>
  <c r="J639" i="5"/>
  <c r="L639" i="5"/>
  <c r="G640" i="5"/>
  <c r="I640" i="5"/>
  <c r="K640" i="5"/>
  <c r="B641" i="5"/>
  <c r="H641" i="5"/>
  <c r="J641" i="5"/>
  <c r="L641" i="5"/>
  <c r="G642" i="5"/>
  <c r="I642" i="5"/>
  <c r="K642" i="5"/>
  <c r="B643" i="5"/>
  <c r="H643" i="5"/>
  <c r="J643" i="5"/>
  <c r="L643" i="5"/>
  <c r="G644" i="5"/>
  <c r="I644" i="5"/>
  <c r="K644" i="5"/>
  <c r="B645" i="5"/>
  <c r="H645" i="5"/>
  <c r="J645" i="5"/>
  <c r="L645" i="5"/>
  <c r="G646" i="5"/>
  <c r="I646" i="5"/>
  <c r="K646" i="5"/>
  <c r="B647" i="5"/>
  <c r="H647" i="5"/>
  <c r="J647" i="5"/>
  <c r="L647" i="5"/>
  <c r="G648" i="5"/>
  <c r="I648" i="5"/>
  <c r="K648" i="5"/>
  <c r="B649" i="5"/>
  <c r="H649" i="5"/>
  <c r="J649" i="5"/>
  <c r="L649" i="5"/>
  <c r="G650" i="5"/>
  <c r="I650" i="5"/>
  <c r="K650" i="5"/>
  <c r="B651" i="5"/>
  <c r="H651" i="5"/>
  <c r="J651" i="5"/>
  <c r="L651" i="5"/>
  <c r="G652" i="5"/>
  <c r="I652" i="5"/>
  <c r="K652" i="5"/>
  <c r="B653" i="5"/>
  <c r="H653" i="5"/>
  <c r="J653" i="5"/>
  <c r="L653" i="5"/>
  <c r="G654" i="5"/>
  <c r="I654" i="5"/>
  <c r="K654" i="5"/>
  <c r="B655" i="5"/>
  <c r="H655" i="5"/>
  <c r="J655" i="5"/>
  <c r="L655" i="5"/>
  <c r="G656" i="5"/>
  <c r="I656" i="5"/>
  <c r="K656" i="5"/>
  <c r="B657" i="5"/>
  <c r="H657" i="5"/>
  <c r="J657" i="5"/>
  <c r="L657" i="5"/>
  <c r="G658" i="5"/>
  <c r="I658" i="5"/>
  <c r="K658" i="5"/>
  <c r="B659" i="5"/>
  <c r="H659" i="5"/>
  <c r="J659" i="5"/>
  <c r="L659" i="5"/>
  <c r="G660" i="5"/>
  <c r="I660" i="5"/>
  <c r="K660" i="5"/>
  <c r="B661" i="5"/>
  <c r="H661" i="5"/>
  <c r="J661" i="5"/>
  <c r="L661" i="5"/>
  <c r="G662" i="5"/>
  <c r="I662" i="5"/>
  <c r="K662" i="5"/>
  <c r="B663" i="5"/>
  <c r="H663" i="5"/>
  <c r="J663" i="5"/>
  <c r="L663" i="5"/>
  <c r="G664" i="5"/>
  <c r="I664" i="5"/>
  <c r="K664" i="5"/>
  <c r="B665" i="5"/>
  <c r="H665" i="5"/>
  <c r="J665" i="5"/>
  <c r="L665" i="5"/>
  <c r="G666" i="5"/>
  <c r="I666" i="5"/>
  <c r="K666" i="5"/>
  <c r="B667" i="5"/>
  <c r="H667" i="5"/>
  <c r="J667" i="5"/>
  <c r="L667" i="5"/>
  <c r="G668" i="5"/>
  <c r="I668" i="5"/>
  <c r="K668" i="5"/>
  <c r="B669" i="5"/>
  <c r="H669" i="5"/>
  <c r="J669" i="5"/>
  <c r="L669" i="5"/>
  <c r="G670" i="5"/>
  <c r="I670" i="5"/>
  <c r="K670" i="5"/>
  <c r="B671" i="5"/>
  <c r="H671" i="5"/>
  <c r="J671" i="5"/>
  <c r="L671" i="5"/>
  <c r="G672" i="5"/>
  <c r="I672" i="5"/>
  <c r="K672" i="5"/>
  <c r="B673" i="5"/>
  <c r="H673" i="5"/>
  <c r="J673" i="5"/>
  <c r="L673" i="5"/>
  <c r="G674" i="5"/>
  <c r="I674" i="5"/>
  <c r="K674" i="5"/>
  <c r="B675" i="5"/>
  <c r="H675" i="5"/>
  <c r="J675" i="5"/>
  <c r="L675" i="5"/>
  <c r="G676" i="5"/>
  <c r="I676" i="5"/>
  <c r="K676" i="5"/>
  <c r="B677" i="5"/>
  <c r="H677" i="5"/>
  <c r="J677" i="5"/>
  <c r="L677" i="5"/>
  <c r="G678" i="5"/>
  <c r="I678" i="5"/>
  <c r="K678" i="5"/>
  <c r="B679" i="5"/>
  <c r="H679" i="5"/>
  <c r="J679" i="5"/>
  <c r="L679" i="5"/>
  <c r="G680" i="5"/>
  <c r="I680" i="5"/>
  <c r="K680" i="5"/>
  <c r="B681" i="5"/>
  <c r="H681" i="5"/>
  <c r="J681" i="5"/>
  <c r="L681" i="5"/>
  <c r="G682" i="5"/>
  <c r="I682" i="5"/>
  <c r="K682" i="5"/>
  <c r="B683" i="5"/>
  <c r="H683" i="5"/>
  <c r="J683" i="5"/>
  <c r="L683" i="5"/>
  <c r="G684" i="5"/>
  <c r="I684" i="5"/>
  <c r="K684" i="5"/>
  <c r="B685" i="5"/>
  <c r="H685" i="5"/>
  <c r="J685" i="5"/>
  <c r="L685" i="5"/>
  <c r="G686" i="5"/>
  <c r="I686" i="5"/>
  <c r="K686" i="5"/>
  <c r="B687" i="5"/>
  <c r="H687" i="5"/>
  <c r="J687" i="5"/>
  <c r="L687" i="5"/>
  <c r="G688" i="5"/>
  <c r="I688" i="5"/>
  <c r="K688" i="5"/>
  <c r="B689" i="5"/>
  <c r="H689" i="5"/>
  <c r="J689" i="5"/>
  <c r="L689" i="5"/>
  <c r="G690" i="5"/>
  <c r="I690" i="5"/>
  <c r="K690" i="5"/>
  <c r="B691" i="5"/>
  <c r="H691" i="5"/>
  <c r="J691" i="5"/>
  <c r="L691" i="5"/>
  <c r="G692" i="5"/>
  <c r="I692" i="5"/>
  <c r="K692" i="5"/>
  <c r="B693" i="5"/>
  <c r="H693" i="5"/>
  <c r="J693" i="5"/>
  <c r="L693" i="5"/>
  <c r="G694" i="5"/>
  <c r="I694" i="5"/>
  <c r="K694" i="5"/>
  <c r="B695" i="5"/>
  <c r="H695" i="5"/>
  <c r="J695" i="5"/>
  <c r="L695" i="5"/>
  <c r="G696" i="5"/>
  <c r="I696" i="5"/>
  <c r="K696" i="5"/>
  <c r="B697" i="5"/>
  <c r="H697" i="5"/>
  <c r="J697" i="5"/>
  <c r="L697" i="5"/>
  <c r="G698" i="5"/>
  <c r="I698" i="5"/>
  <c r="K698" i="5"/>
  <c r="B699" i="5"/>
  <c r="H699" i="5"/>
  <c r="J699" i="5"/>
  <c r="L699" i="5"/>
  <c r="G700" i="5"/>
  <c r="I700" i="5"/>
  <c r="K700" i="5"/>
  <c r="B701" i="5"/>
  <c r="H701" i="5"/>
  <c r="J701" i="5"/>
  <c r="L701" i="5"/>
  <c r="G702" i="5"/>
  <c r="I702" i="5"/>
  <c r="K702" i="5"/>
  <c r="B703" i="5"/>
  <c r="H703" i="5"/>
  <c r="J703" i="5"/>
  <c r="L703" i="5"/>
  <c r="G704" i="5"/>
  <c r="I704" i="5"/>
  <c r="K704" i="5"/>
  <c r="B705" i="5"/>
  <c r="H705" i="5"/>
  <c r="J705" i="5"/>
  <c r="L705" i="5"/>
  <c r="G706" i="5"/>
  <c r="I706" i="5"/>
  <c r="K706" i="5"/>
  <c r="B707" i="5"/>
  <c r="H707" i="5"/>
  <c r="J707" i="5"/>
  <c r="L707" i="5"/>
  <c r="G708" i="5"/>
  <c r="I708" i="5"/>
  <c r="K708" i="5"/>
  <c r="B709" i="5"/>
  <c r="H709" i="5"/>
  <c r="J709" i="5"/>
  <c r="L709" i="5"/>
  <c r="G710" i="5"/>
  <c r="I710" i="5"/>
  <c r="K710" i="5"/>
  <c r="B711" i="5"/>
  <c r="H711" i="5"/>
  <c r="J711" i="5"/>
  <c r="L711" i="5"/>
  <c r="G712" i="5"/>
  <c r="I712" i="5"/>
  <c r="K712" i="5"/>
  <c r="B713" i="5"/>
  <c r="H713" i="5"/>
  <c r="J713" i="5"/>
  <c r="L713" i="5"/>
  <c r="G714" i="5"/>
  <c r="I714" i="5"/>
  <c r="K714" i="5"/>
  <c r="B715" i="5"/>
  <c r="H715" i="5"/>
  <c r="J715" i="5"/>
  <c r="L715" i="5"/>
  <c r="G716" i="5"/>
  <c r="I716" i="5"/>
  <c r="K716" i="5"/>
  <c r="B717" i="5"/>
  <c r="H717" i="5"/>
  <c r="J717" i="5"/>
  <c r="L717" i="5"/>
  <c r="G718" i="5"/>
  <c r="I718" i="5"/>
  <c r="K718" i="5"/>
  <c r="B719" i="5"/>
  <c r="H719" i="5"/>
  <c r="J719" i="5"/>
  <c r="L719" i="5"/>
  <c r="G467" i="5"/>
  <c r="I467" i="5"/>
  <c r="K467" i="5"/>
  <c r="G469" i="5"/>
  <c r="I469" i="5"/>
  <c r="K469" i="5"/>
  <c r="G471" i="5"/>
  <c r="I471" i="5"/>
  <c r="K471" i="5"/>
  <c r="G473" i="5"/>
  <c r="I473" i="5"/>
  <c r="K473" i="5"/>
  <c r="G475" i="5"/>
  <c r="I475" i="5"/>
  <c r="K475" i="5"/>
  <c r="G477" i="5"/>
  <c r="I477" i="5"/>
  <c r="K477" i="5"/>
  <c r="G479" i="5"/>
  <c r="I479" i="5"/>
  <c r="K479" i="5"/>
  <c r="G481" i="5"/>
  <c r="I481" i="5"/>
  <c r="K481" i="5"/>
  <c r="G483" i="5"/>
  <c r="I483" i="5"/>
  <c r="K483" i="5"/>
  <c r="G485" i="5"/>
  <c r="I485" i="5"/>
  <c r="K485" i="5"/>
  <c r="G487" i="5"/>
  <c r="I487" i="5"/>
  <c r="K487" i="5"/>
  <c r="G489" i="5"/>
  <c r="I489" i="5"/>
  <c r="K489" i="5"/>
  <c r="G491" i="5"/>
  <c r="I491" i="5"/>
  <c r="K491" i="5"/>
  <c r="G493" i="5"/>
  <c r="I493" i="5"/>
  <c r="K493" i="5"/>
  <c r="G495" i="5"/>
  <c r="I495" i="5"/>
  <c r="K495" i="5"/>
  <c r="G497" i="5"/>
  <c r="I497" i="5"/>
  <c r="K497" i="5"/>
  <c r="G499" i="5"/>
  <c r="I499" i="5"/>
  <c r="K499" i="5"/>
  <c r="G501" i="5"/>
  <c r="I501" i="5"/>
  <c r="K501" i="5"/>
  <c r="G503" i="5"/>
  <c r="I503" i="5"/>
  <c r="K503" i="5"/>
  <c r="G505" i="5"/>
  <c r="I505" i="5"/>
  <c r="K505" i="5"/>
  <c r="G507" i="5"/>
  <c r="I507" i="5"/>
  <c r="K507" i="5"/>
  <c r="G509" i="5"/>
  <c r="I509" i="5"/>
  <c r="K509" i="5"/>
  <c r="G511" i="5"/>
  <c r="I511" i="5"/>
  <c r="K511" i="5"/>
  <c r="G513" i="5"/>
  <c r="I513" i="5"/>
  <c r="K513" i="5"/>
  <c r="G515" i="5"/>
  <c r="I515" i="5"/>
  <c r="K515" i="5"/>
  <c r="G517" i="5"/>
  <c r="I517" i="5"/>
  <c r="K517" i="5"/>
  <c r="G519" i="5"/>
  <c r="I519" i="5"/>
  <c r="K519" i="5"/>
  <c r="G521" i="5"/>
  <c r="I521" i="5"/>
  <c r="K521" i="5"/>
  <c r="G523" i="5"/>
  <c r="I523" i="5"/>
  <c r="K523" i="5"/>
  <c r="G525" i="5"/>
  <c r="I525" i="5"/>
  <c r="K525" i="5"/>
  <c r="G527" i="5"/>
  <c r="I527" i="5"/>
  <c r="K527" i="5"/>
  <c r="G529" i="5"/>
  <c r="I529" i="5"/>
  <c r="K529" i="5"/>
  <c r="G531" i="5"/>
  <c r="I531" i="5"/>
  <c r="K531" i="5"/>
  <c r="G533" i="5"/>
  <c r="I533" i="5"/>
  <c r="K533" i="5"/>
  <c r="G535" i="5"/>
  <c r="I535" i="5"/>
  <c r="K535" i="5"/>
  <c r="G537" i="5"/>
  <c r="I537" i="5"/>
  <c r="K537" i="5"/>
  <c r="G539" i="5"/>
  <c r="I539" i="5"/>
  <c r="K539" i="5"/>
  <c r="G541" i="5"/>
  <c r="I541" i="5"/>
  <c r="K541" i="5"/>
  <c r="G543" i="5"/>
  <c r="I543" i="5"/>
  <c r="K543" i="5"/>
  <c r="G545" i="5"/>
  <c r="I545" i="5"/>
  <c r="K545" i="5"/>
  <c r="G547" i="5"/>
  <c r="I547" i="5"/>
  <c r="K547" i="5"/>
  <c r="G549" i="5"/>
  <c r="I549" i="5"/>
  <c r="K549" i="5"/>
  <c r="G551" i="5"/>
  <c r="I551" i="5"/>
  <c r="K551" i="5"/>
  <c r="G553" i="5"/>
  <c r="I553" i="5"/>
  <c r="K553" i="5"/>
  <c r="G555" i="5"/>
  <c r="I555" i="5"/>
  <c r="K555" i="5"/>
  <c r="G557" i="5"/>
  <c r="I557" i="5"/>
  <c r="K557" i="5"/>
  <c r="G559" i="5"/>
  <c r="I559" i="5"/>
  <c r="K559" i="5"/>
  <c r="G561" i="5"/>
  <c r="I561" i="5"/>
  <c r="K561" i="5"/>
  <c r="G563" i="5"/>
  <c r="I563" i="5"/>
  <c r="K563" i="5"/>
  <c r="G565" i="5"/>
  <c r="I565" i="5"/>
  <c r="K565" i="5"/>
  <c r="G567" i="5"/>
  <c r="I567" i="5"/>
  <c r="K567" i="5"/>
  <c r="G569" i="5"/>
  <c r="I569" i="5"/>
  <c r="K569" i="5"/>
  <c r="G571" i="5"/>
  <c r="I571" i="5"/>
  <c r="K571" i="5"/>
  <c r="G573" i="5"/>
  <c r="I573" i="5"/>
  <c r="K573" i="5"/>
  <c r="G575" i="5"/>
  <c r="I575" i="5"/>
  <c r="K575" i="5"/>
  <c r="G577" i="5"/>
  <c r="I577" i="5"/>
  <c r="K577" i="5"/>
  <c r="G579" i="5"/>
  <c r="I579" i="5"/>
  <c r="K579" i="5"/>
  <c r="G581" i="5"/>
  <c r="I581" i="5"/>
  <c r="K581" i="5"/>
  <c r="G583" i="5"/>
  <c r="I583" i="5"/>
  <c r="K583" i="5"/>
  <c r="G585" i="5"/>
  <c r="I585" i="5"/>
  <c r="K585" i="5"/>
  <c r="G587" i="5"/>
  <c r="I587" i="5"/>
  <c r="K587" i="5"/>
  <c r="G589" i="5"/>
  <c r="I589" i="5"/>
  <c r="K589" i="5"/>
  <c r="G591" i="5"/>
  <c r="I591" i="5"/>
  <c r="K591" i="5"/>
  <c r="G593" i="5"/>
  <c r="I593" i="5"/>
  <c r="K593" i="5"/>
  <c r="G595" i="5"/>
  <c r="I595" i="5"/>
  <c r="K595" i="5"/>
  <c r="G597" i="5"/>
  <c r="I597" i="5"/>
  <c r="K597" i="5"/>
  <c r="G599" i="5"/>
  <c r="I599" i="5"/>
  <c r="K599" i="5"/>
  <c r="G601" i="5"/>
  <c r="I601" i="5"/>
  <c r="K601" i="5"/>
  <c r="G603" i="5"/>
  <c r="I603" i="5"/>
  <c r="K603" i="5"/>
  <c r="G605" i="5"/>
  <c r="I605" i="5"/>
  <c r="K605" i="5"/>
  <c r="G607" i="5"/>
  <c r="I607" i="5"/>
  <c r="K607" i="5"/>
  <c r="G609" i="5"/>
  <c r="I609" i="5"/>
  <c r="K609" i="5"/>
  <c r="G611" i="5"/>
  <c r="I611" i="5"/>
  <c r="K611" i="5"/>
  <c r="G613" i="5"/>
  <c r="I613" i="5"/>
  <c r="K613" i="5"/>
  <c r="G615" i="5"/>
  <c r="I615" i="5"/>
  <c r="K615" i="5"/>
  <c r="G617" i="5"/>
  <c r="I617" i="5"/>
  <c r="K617" i="5"/>
  <c r="G619" i="5"/>
  <c r="I619" i="5"/>
  <c r="K619" i="5"/>
  <c r="G621" i="5"/>
  <c r="I621" i="5"/>
  <c r="K621" i="5"/>
  <c r="G623" i="5"/>
  <c r="I623" i="5"/>
  <c r="K623" i="5"/>
  <c r="G625" i="5"/>
  <c r="I625" i="5"/>
  <c r="K625" i="5"/>
  <c r="G627" i="5"/>
  <c r="I627" i="5"/>
  <c r="K627" i="5"/>
  <c r="G629" i="5"/>
  <c r="I629" i="5"/>
  <c r="K629" i="5"/>
  <c r="G631" i="5"/>
  <c r="I631" i="5"/>
  <c r="K631" i="5"/>
  <c r="G633" i="5"/>
  <c r="I633" i="5"/>
  <c r="K633" i="5"/>
  <c r="G635" i="5"/>
  <c r="I635" i="5"/>
  <c r="K635" i="5"/>
  <c r="G637" i="5"/>
  <c r="I637" i="5"/>
  <c r="K637" i="5"/>
  <c r="G639" i="5"/>
  <c r="I639" i="5"/>
  <c r="K639" i="5"/>
  <c r="G641" i="5"/>
  <c r="I641" i="5"/>
  <c r="K641" i="5"/>
  <c r="G643" i="5"/>
  <c r="I643" i="5"/>
  <c r="K643" i="5"/>
  <c r="G645" i="5"/>
  <c r="I645" i="5"/>
  <c r="K645" i="5"/>
  <c r="G647" i="5"/>
  <c r="I647" i="5"/>
  <c r="K647" i="5"/>
  <c r="G649" i="5"/>
  <c r="I649" i="5"/>
  <c r="K649" i="5"/>
  <c r="G651" i="5"/>
  <c r="I651" i="5"/>
  <c r="K651" i="5"/>
  <c r="G653" i="5"/>
  <c r="I653" i="5"/>
  <c r="K653" i="5"/>
  <c r="G655" i="5"/>
  <c r="I655" i="5"/>
  <c r="K655" i="5"/>
  <c r="G657" i="5"/>
  <c r="I657" i="5"/>
  <c r="K657" i="5"/>
  <c r="G659" i="5"/>
  <c r="I659" i="5"/>
  <c r="K659" i="5"/>
  <c r="G661" i="5"/>
  <c r="I661" i="5"/>
  <c r="K661" i="5"/>
  <c r="G663" i="5"/>
  <c r="I663" i="5"/>
  <c r="K663" i="5"/>
  <c r="G665" i="5"/>
  <c r="I665" i="5"/>
  <c r="K665" i="5"/>
  <c r="G667" i="5"/>
  <c r="I667" i="5"/>
  <c r="K667" i="5"/>
  <c r="G669" i="5"/>
  <c r="I669" i="5"/>
  <c r="K669" i="5"/>
  <c r="G671" i="5"/>
  <c r="I671" i="5"/>
  <c r="K671" i="5"/>
  <c r="G673" i="5"/>
  <c r="I673" i="5"/>
  <c r="K673" i="5"/>
  <c r="G675" i="5"/>
  <c r="I675" i="5"/>
  <c r="K675" i="5"/>
  <c r="G677" i="5"/>
  <c r="I677" i="5"/>
  <c r="K677" i="5"/>
  <c r="G679" i="5"/>
  <c r="I679" i="5"/>
  <c r="K679" i="5"/>
  <c r="G681" i="5"/>
  <c r="I681" i="5"/>
  <c r="K681" i="5"/>
  <c r="G683" i="5"/>
  <c r="I683" i="5"/>
  <c r="K683" i="5"/>
  <c r="G685" i="5"/>
  <c r="I685" i="5"/>
  <c r="K685" i="5"/>
  <c r="G687" i="5"/>
  <c r="I687" i="5"/>
  <c r="K687" i="5"/>
  <c r="G689" i="5"/>
  <c r="I689" i="5"/>
  <c r="K689" i="5"/>
  <c r="G691" i="5"/>
  <c r="I691" i="5"/>
  <c r="K691" i="5"/>
  <c r="G693" i="5"/>
  <c r="I693" i="5"/>
  <c r="K693" i="5"/>
  <c r="G695" i="5"/>
  <c r="I695" i="5"/>
  <c r="K695" i="5"/>
  <c r="G697" i="5"/>
  <c r="I697" i="5"/>
  <c r="K697" i="5"/>
  <c r="G699" i="5"/>
  <c r="I699" i="5"/>
  <c r="K699" i="5"/>
  <c r="G701" i="5"/>
  <c r="I701" i="5"/>
  <c r="K701" i="5"/>
  <c r="G703" i="5"/>
  <c r="I703" i="5"/>
  <c r="K703" i="5"/>
  <c r="G705" i="5"/>
  <c r="I705" i="5"/>
  <c r="K705" i="5"/>
  <c r="G707" i="5"/>
  <c r="I707" i="5"/>
  <c r="K707" i="5"/>
  <c r="G709" i="5"/>
  <c r="I709" i="5"/>
  <c r="K709" i="5"/>
  <c r="G711" i="5"/>
  <c r="I711" i="5"/>
  <c r="K711" i="5"/>
  <c r="G713" i="5"/>
  <c r="I713" i="5"/>
  <c r="K713" i="5"/>
  <c r="G715" i="5"/>
  <c r="I715" i="5"/>
  <c r="K715" i="5"/>
  <c r="G717" i="5"/>
  <c r="I717" i="5"/>
  <c r="K717" i="5"/>
  <c r="G719" i="5"/>
  <c r="I719" i="5"/>
  <c r="K719" i="5"/>
  <c r="L720" i="5"/>
  <c r="J720" i="5"/>
  <c r="H720" i="5"/>
  <c r="B720" i="5"/>
  <c r="G720" i="5"/>
  <c r="K720" i="5"/>
  <c r="AA720" i="5"/>
  <c r="L722" i="5"/>
  <c r="J722" i="5"/>
  <c r="H722" i="5"/>
  <c r="B722" i="5"/>
  <c r="G722" i="5"/>
  <c r="K722" i="5"/>
  <c r="AA722" i="5"/>
  <c r="L724" i="5"/>
  <c r="J724" i="5"/>
  <c r="H724" i="5"/>
  <c r="B724" i="5"/>
  <c r="G724" i="5"/>
  <c r="K724" i="5"/>
  <c r="AA724" i="5"/>
  <c r="L726" i="5"/>
  <c r="J726" i="5"/>
  <c r="H726" i="5"/>
  <c r="B726" i="5"/>
  <c r="G726" i="5"/>
  <c r="K726" i="5"/>
  <c r="AA726" i="5"/>
  <c r="L728" i="5"/>
  <c r="J728" i="5"/>
  <c r="H728" i="5"/>
  <c r="B728" i="5"/>
  <c r="G728" i="5"/>
  <c r="K728" i="5"/>
  <c r="AA728" i="5"/>
  <c r="L730" i="5"/>
  <c r="J730" i="5"/>
  <c r="H730" i="5"/>
  <c r="B730" i="5"/>
  <c r="G730" i="5"/>
  <c r="K730" i="5"/>
  <c r="AA730" i="5"/>
  <c r="L732" i="5"/>
  <c r="J732" i="5"/>
  <c r="H732" i="5"/>
  <c r="B732" i="5"/>
  <c r="G732" i="5"/>
  <c r="K732" i="5"/>
  <c r="AA732" i="5"/>
  <c r="L734" i="5"/>
  <c r="J734" i="5"/>
  <c r="H734" i="5"/>
  <c r="B734" i="5"/>
  <c r="G734" i="5"/>
  <c r="K734" i="5"/>
  <c r="AA734" i="5"/>
  <c r="L736" i="5"/>
  <c r="J736" i="5"/>
  <c r="H736" i="5"/>
  <c r="B736" i="5"/>
  <c r="G736" i="5"/>
  <c r="K736" i="5"/>
  <c r="AA736" i="5"/>
  <c r="L738" i="5"/>
  <c r="J738" i="5"/>
  <c r="H738" i="5"/>
  <c r="B738" i="5"/>
  <c r="G738" i="5"/>
  <c r="K738" i="5"/>
  <c r="AA738" i="5"/>
  <c r="L740" i="5"/>
  <c r="J740" i="5"/>
  <c r="H740" i="5"/>
  <c r="B740" i="5"/>
  <c r="G740" i="5"/>
  <c r="K740" i="5"/>
  <c r="AA740" i="5"/>
  <c r="L742" i="5"/>
  <c r="J742" i="5"/>
  <c r="H742" i="5"/>
  <c r="B742" i="5"/>
  <c r="G742" i="5"/>
  <c r="K742" i="5"/>
  <c r="AA742" i="5"/>
  <c r="L744" i="5"/>
  <c r="J744" i="5"/>
  <c r="H744" i="5"/>
  <c r="B744" i="5"/>
  <c r="G744" i="5"/>
  <c r="K744" i="5"/>
  <c r="AA744" i="5"/>
  <c r="L746" i="5"/>
  <c r="J746" i="5"/>
  <c r="H746" i="5"/>
  <c r="B746" i="5"/>
  <c r="G746" i="5"/>
  <c r="K746" i="5"/>
  <c r="AA746" i="5"/>
  <c r="L748" i="5"/>
  <c r="J748" i="5"/>
  <c r="H748" i="5"/>
  <c r="B748" i="5"/>
  <c r="G748" i="5"/>
  <c r="K748" i="5"/>
  <c r="AA748" i="5"/>
  <c r="L750" i="5"/>
  <c r="J750" i="5"/>
  <c r="H750" i="5"/>
  <c r="B750" i="5"/>
  <c r="G750" i="5"/>
  <c r="K750" i="5"/>
  <c r="AA750" i="5"/>
  <c r="L752" i="5"/>
  <c r="J752" i="5"/>
  <c r="H752" i="5"/>
  <c r="B752" i="5"/>
  <c r="G752" i="5"/>
  <c r="K752" i="5"/>
  <c r="AA752" i="5"/>
  <c r="L754" i="5"/>
  <c r="J754" i="5"/>
  <c r="H754" i="5"/>
  <c r="B754" i="5"/>
  <c r="G754" i="5"/>
  <c r="K754" i="5"/>
  <c r="AA754" i="5"/>
  <c r="L756" i="5"/>
  <c r="J756" i="5"/>
  <c r="H756" i="5"/>
  <c r="B756" i="5"/>
  <c r="G756" i="5"/>
  <c r="K756" i="5"/>
  <c r="AA756" i="5"/>
  <c r="L758" i="5"/>
  <c r="J758" i="5"/>
  <c r="H758" i="5"/>
  <c r="B758" i="5"/>
  <c r="G758" i="5"/>
  <c r="K758" i="5"/>
  <c r="AA758" i="5"/>
  <c r="L760" i="5"/>
  <c r="J760" i="5"/>
  <c r="H760" i="5"/>
  <c r="B760" i="5"/>
  <c r="G760" i="5"/>
  <c r="K760" i="5"/>
  <c r="AA760" i="5"/>
  <c r="L762" i="5"/>
  <c r="J762" i="5"/>
  <c r="H762" i="5"/>
  <c r="B762" i="5"/>
  <c r="G762" i="5"/>
  <c r="K762" i="5"/>
  <c r="AA762" i="5"/>
  <c r="L764" i="5"/>
  <c r="J764" i="5"/>
  <c r="H764" i="5"/>
  <c r="B764" i="5"/>
  <c r="G764" i="5"/>
  <c r="K764" i="5"/>
  <c r="AA764" i="5"/>
  <c r="L766" i="5"/>
  <c r="J766" i="5"/>
  <c r="H766" i="5"/>
  <c r="B766" i="5"/>
  <c r="G766" i="5"/>
  <c r="K766" i="5"/>
  <c r="AA766" i="5"/>
  <c r="L768" i="5"/>
  <c r="J768" i="5"/>
  <c r="H768" i="5"/>
  <c r="B768" i="5"/>
  <c r="G768" i="5"/>
  <c r="K768" i="5"/>
  <c r="AA768" i="5"/>
  <c r="L770" i="5"/>
  <c r="J770" i="5"/>
  <c r="H770" i="5"/>
  <c r="B770" i="5"/>
  <c r="G770" i="5"/>
  <c r="K770" i="5"/>
  <c r="AA770" i="5"/>
  <c r="L772" i="5"/>
  <c r="J772" i="5"/>
  <c r="H772" i="5"/>
  <c r="B772" i="5"/>
  <c r="G772" i="5"/>
  <c r="K772" i="5"/>
  <c r="AA772" i="5"/>
  <c r="L774" i="5"/>
  <c r="J774" i="5"/>
  <c r="H774" i="5"/>
  <c r="B774" i="5"/>
  <c r="G774" i="5"/>
  <c r="K774" i="5"/>
  <c r="AA774" i="5"/>
  <c r="L776" i="5"/>
  <c r="J776" i="5"/>
  <c r="H776" i="5"/>
  <c r="B776" i="5"/>
  <c r="G776" i="5"/>
  <c r="K776" i="5"/>
  <c r="AA776" i="5"/>
  <c r="L778" i="5"/>
  <c r="J778" i="5"/>
  <c r="H778" i="5"/>
  <c r="B778" i="5"/>
  <c r="G778" i="5"/>
  <c r="K778" i="5"/>
  <c r="AA778" i="5"/>
  <c r="L780" i="5"/>
  <c r="J780" i="5"/>
  <c r="H780" i="5"/>
  <c r="B780" i="5"/>
  <c r="G780" i="5"/>
  <c r="K780" i="5"/>
  <c r="AA780" i="5"/>
  <c r="L782" i="5"/>
  <c r="J782" i="5"/>
  <c r="H782" i="5"/>
  <c r="B782" i="5"/>
  <c r="G782" i="5"/>
  <c r="K782" i="5"/>
  <c r="AA782" i="5"/>
  <c r="L784" i="5"/>
  <c r="J784" i="5"/>
  <c r="H784" i="5"/>
  <c r="B784" i="5"/>
  <c r="G784" i="5"/>
  <c r="K784" i="5"/>
  <c r="AA784" i="5"/>
  <c r="L786" i="5"/>
  <c r="J786" i="5"/>
  <c r="H786" i="5"/>
  <c r="B786" i="5"/>
  <c r="G786" i="5"/>
  <c r="K786" i="5"/>
  <c r="AA786" i="5"/>
  <c r="L788" i="5"/>
  <c r="J788" i="5"/>
  <c r="H788" i="5"/>
  <c r="B788" i="5"/>
  <c r="G788" i="5"/>
  <c r="K788" i="5"/>
  <c r="AA788" i="5"/>
  <c r="L790" i="5"/>
  <c r="J790" i="5"/>
  <c r="H790" i="5"/>
  <c r="B790" i="5"/>
  <c r="G790" i="5"/>
  <c r="K790" i="5"/>
  <c r="AA790" i="5"/>
  <c r="L792" i="5"/>
  <c r="J792" i="5"/>
  <c r="H792" i="5"/>
  <c r="B792" i="5"/>
  <c r="G792" i="5"/>
  <c r="K792" i="5"/>
  <c r="AA792" i="5"/>
  <c r="L794" i="5"/>
  <c r="J794" i="5"/>
  <c r="H794" i="5"/>
  <c r="B794" i="5"/>
  <c r="G794" i="5"/>
  <c r="K794" i="5"/>
  <c r="AA794" i="5"/>
  <c r="L796" i="5"/>
  <c r="J796" i="5"/>
  <c r="H796" i="5"/>
  <c r="B796" i="5"/>
  <c r="G796" i="5"/>
  <c r="K796" i="5"/>
  <c r="AA796" i="5"/>
  <c r="L798" i="5"/>
  <c r="J798" i="5"/>
  <c r="H798" i="5"/>
  <c r="B798" i="5"/>
  <c r="G798" i="5"/>
  <c r="K798" i="5"/>
  <c r="AA798" i="5"/>
  <c r="L800" i="5"/>
  <c r="J800" i="5"/>
  <c r="H800" i="5"/>
  <c r="B800" i="5"/>
  <c r="G800" i="5"/>
  <c r="K800" i="5"/>
  <c r="AA800" i="5"/>
  <c r="L802" i="5"/>
  <c r="J802" i="5"/>
  <c r="H802" i="5"/>
  <c r="B802" i="5"/>
  <c r="G802" i="5"/>
  <c r="K802" i="5"/>
  <c r="AA802" i="5"/>
  <c r="L804" i="5"/>
  <c r="J804" i="5"/>
  <c r="H804" i="5"/>
  <c r="B804" i="5"/>
  <c r="G804" i="5"/>
  <c r="K804" i="5"/>
  <c r="AA804" i="5"/>
  <c r="L806" i="5"/>
  <c r="J806" i="5"/>
  <c r="H806" i="5"/>
  <c r="B806" i="5"/>
  <c r="G806" i="5"/>
  <c r="K806" i="5"/>
  <c r="AA806" i="5"/>
  <c r="L808" i="5"/>
  <c r="J808" i="5"/>
  <c r="H808" i="5"/>
  <c r="B808" i="5"/>
  <c r="G808" i="5"/>
  <c r="K808" i="5"/>
  <c r="AA808" i="5"/>
  <c r="L810" i="5"/>
  <c r="J810" i="5"/>
  <c r="H810" i="5"/>
  <c r="B810" i="5"/>
  <c r="G810" i="5"/>
  <c r="K810" i="5"/>
  <c r="AA810" i="5"/>
  <c r="L812" i="5"/>
  <c r="J812" i="5"/>
  <c r="H812" i="5"/>
  <c r="B812" i="5"/>
  <c r="G812" i="5"/>
  <c r="K812" i="5"/>
  <c r="AA812" i="5"/>
  <c r="L814" i="5"/>
  <c r="J814" i="5"/>
  <c r="H814" i="5"/>
  <c r="B814" i="5"/>
  <c r="G814" i="5"/>
  <c r="K814" i="5"/>
  <c r="AA814" i="5"/>
  <c r="L816" i="5"/>
  <c r="J816" i="5"/>
  <c r="H816" i="5"/>
  <c r="B816" i="5"/>
  <c r="G816" i="5"/>
  <c r="K816" i="5"/>
  <c r="AA816" i="5"/>
  <c r="L818" i="5"/>
  <c r="J818" i="5"/>
  <c r="H818" i="5"/>
  <c r="B818" i="5"/>
  <c r="G818" i="5"/>
  <c r="K818" i="5"/>
  <c r="AA818" i="5"/>
  <c r="L820" i="5"/>
  <c r="J820" i="5"/>
  <c r="H820" i="5"/>
  <c r="B820" i="5"/>
  <c r="G820" i="5"/>
  <c r="K820" i="5"/>
  <c r="AA820" i="5"/>
  <c r="L822" i="5"/>
  <c r="J822" i="5"/>
  <c r="H822" i="5"/>
  <c r="B822" i="5"/>
  <c r="G822" i="5"/>
  <c r="K822" i="5"/>
  <c r="AA822" i="5"/>
  <c r="L824" i="5"/>
  <c r="J824" i="5"/>
  <c r="H824" i="5"/>
  <c r="B824" i="5"/>
  <c r="G824" i="5"/>
  <c r="K824" i="5"/>
  <c r="AA824" i="5"/>
  <c r="L826" i="5"/>
  <c r="J826" i="5"/>
  <c r="H826" i="5"/>
  <c r="B826" i="5"/>
  <c r="G826" i="5"/>
  <c r="K826" i="5"/>
  <c r="AA826" i="5"/>
  <c r="AA828" i="5"/>
  <c r="K828" i="5"/>
  <c r="I828" i="5"/>
  <c r="L828" i="5"/>
  <c r="J828" i="5"/>
  <c r="H828" i="5"/>
  <c r="B828" i="5"/>
  <c r="G828" i="5"/>
  <c r="G721" i="5"/>
  <c r="I721" i="5"/>
  <c r="K721" i="5"/>
  <c r="G723" i="5"/>
  <c r="I723" i="5"/>
  <c r="K723" i="5"/>
  <c r="G725" i="5"/>
  <c r="I725" i="5"/>
  <c r="K725" i="5"/>
  <c r="G727" i="5"/>
  <c r="I727" i="5"/>
  <c r="K727" i="5"/>
  <c r="G729" i="5"/>
  <c r="I729" i="5"/>
  <c r="K729" i="5"/>
  <c r="G731" i="5"/>
  <c r="I731" i="5"/>
  <c r="K731" i="5"/>
  <c r="G733" i="5"/>
  <c r="I733" i="5"/>
  <c r="K733" i="5"/>
  <c r="G735" i="5"/>
  <c r="I735" i="5"/>
  <c r="K735" i="5"/>
  <c r="G737" i="5"/>
  <c r="I737" i="5"/>
  <c r="K737" i="5"/>
  <c r="G739" i="5"/>
  <c r="I739" i="5"/>
  <c r="K739" i="5"/>
  <c r="G741" i="5"/>
  <c r="I741" i="5"/>
  <c r="K741" i="5"/>
  <c r="G743" i="5"/>
  <c r="I743" i="5"/>
  <c r="K743" i="5"/>
  <c r="G745" i="5"/>
  <c r="I745" i="5"/>
  <c r="K745" i="5"/>
  <c r="G747" i="5"/>
  <c r="I747" i="5"/>
  <c r="K747" i="5"/>
  <c r="G749" i="5"/>
  <c r="I749" i="5"/>
  <c r="K749" i="5"/>
  <c r="G751" i="5"/>
  <c r="I751" i="5"/>
  <c r="K751" i="5"/>
  <c r="G753" i="5"/>
  <c r="I753" i="5"/>
  <c r="K753" i="5"/>
  <c r="G755" i="5"/>
  <c r="I755" i="5"/>
  <c r="K755" i="5"/>
  <c r="G757" i="5"/>
  <c r="I757" i="5"/>
  <c r="K757" i="5"/>
  <c r="G759" i="5"/>
  <c r="I759" i="5"/>
  <c r="K759" i="5"/>
  <c r="G761" i="5"/>
  <c r="I761" i="5"/>
  <c r="K761" i="5"/>
  <c r="G763" i="5"/>
  <c r="I763" i="5"/>
  <c r="K763" i="5"/>
  <c r="G765" i="5"/>
  <c r="I765" i="5"/>
  <c r="K765" i="5"/>
  <c r="G767" i="5"/>
  <c r="I767" i="5"/>
  <c r="K767" i="5"/>
  <c r="G769" i="5"/>
  <c r="I769" i="5"/>
  <c r="K769" i="5"/>
  <c r="G771" i="5"/>
  <c r="I771" i="5"/>
  <c r="K771" i="5"/>
  <c r="G773" i="5"/>
  <c r="I773" i="5"/>
  <c r="K773" i="5"/>
  <c r="G775" i="5"/>
  <c r="I775" i="5"/>
  <c r="K775" i="5"/>
  <c r="G777" i="5"/>
  <c r="I777" i="5"/>
  <c r="K777" i="5"/>
  <c r="G779" i="5"/>
  <c r="I779" i="5"/>
  <c r="K779" i="5"/>
  <c r="G781" i="5"/>
  <c r="I781" i="5"/>
  <c r="K781" i="5"/>
  <c r="G783" i="5"/>
  <c r="I783" i="5"/>
  <c r="K783" i="5"/>
  <c r="G785" i="5"/>
  <c r="I785" i="5"/>
  <c r="K785" i="5"/>
  <c r="G787" i="5"/>
  <c r="I787" i="5"/>
  <c r="K787" i="5"/>
  <c r="G789" i="5"/>
  <c r="I789" i="5"/>
  <c r="K789" i="5"/>
  <c r="G791" i="5"/>
  <c r="I791" i="5"/>
  <c r="K791" i="5"/>
  <c r="G793" i="5"/>
  <c r="I793" i="5"/>
  <c r="K793" i="5"/>
  <c r="G795" i="5"/>
  <c r="I795" i="5"/>
  <c r="K795" i="5"/>
  <c r="G797" i="5"/>
  <c r="I797" i="5"/>
  <c r="K797" i="5"/>
  <c r="G799" i="5"/>
  <c r="I799" i="5"/>
  <c r="K799" i="5"/>
  <c r="G801" i="5"/>
  <c r="I801" i="5"/>
  <c r="K801" i="5"/>
  <c r="G803" i="5"/>
  <c r="I803" i="5"/>
  <c r="K803" i="5"/>
  <c r="G805" i="5"/>
  <c r="I805" i="5"/>
  <c r="K805" i="5"/>
  <c r="G807" i="5"/>
  <c r="I807" i="5"/>
  <c r="K807" i="5"/>
  <c r="G809" i="5"/>
  <c r="I809" i="5"/>
  <c r="K809" i="5"/>
  <c r="G811" i="5"/>
  <c r="I811" i="5"/>
  <c r="K811" i="5"/>
  <c r="G813" i="5"/>
  <c r="I813" i="5"/>
  <c r="K813" i="5"/>
  <c r="G815" i="5"/>
  <c r="I815" i="5"/>
  <c r="K815" i="5"/>
  <c r="G817" i="5"/>
  <c r="I817" i="5"/>
  <c r="K817" i="5"/>
  <c r="G819" i="5"/>
  <c r="I819" i="5"/>
  <c r="K819" i="5"/>
  <c r="G821" i="5"/>
  <c r="I821" i="5"/>
  <c r="K821" i="5"/>
  <c r="G823" i="5"/>
  <c r="I823" i="5"/>
  <c r="K823" i="5"/>
  <c r="G825" i="5"/>
  <c r="I825" i="5"/>
  <c r="K825" i="5"/>
  <c r="G827" i="5"/>
  <c r="I827" i="5"/>
  <c r="K827" i="5"/>
  <c r="G829" i="5"/>
  <c r="I829" i="5"/>
  <c r="K829" i="5"/>
  <c r="B830" i="5"/>
  <c r="H830" i="5"/>
  <c r="J830" i="5"/>
  <c r="L830" i="5"/>
  <c r="G831" i="5"/>
  <c r="I831" i="5"/>
  <c r="K831" i="5"/>
  <c r="B832" i="5"/>
  <c r="H832" i="5"/>
  <c r="J832" i="5"/>
  <c r="L832" i="5"/>
  <c r="G833" i="5"/>
  <c r="I833" i="5"/>
  <c r="K833" i="5"/>
  <c r="B834" i="5"/>
  <c r="H834" i="5"/>
  <c r="J834" i="5"/>
  <c r="L834" i="5"/>
  <c r="G835" i="5"/>
  <c r="I835" i="5"/>
  <c r="K835" i="5"/>
  <c r="B836" i="5"/>
  <c r="H836" i="5"/>
  <c r="J836" i="5"/>
  <c r="L836" i="5"/>
  <c r="G837" i="5"/>
  <c r="I837" i="5"/>
  <c r="K837" i="5"/>
  <c r="B838" i="5"/>
  <c r="H838" i="5"/>
  <c r="J838" i="5"/>
  <c r="L838" i="5"/>
  <c r="G839" i="5"/>
  <c r="I839" i="5"/>
  <c r="K839" i="5"/>
  <c r="B840" i="5"/>
  <c r="H840" i="5"/>
  <c r="J840" i="5"/>
  <c r="L840" i="5"/>
  <c r="G841" i="5"/>
  <c r="I841" i="5"/>
  <c r="K841" i="5"/>
  <c r="B842" i="5"/>
  <c r="H842" i="5"/>
  <c r="J842" i="5"/>
  <c r="L842" i="5"/>
  <c r="G843" i="5"/>
  <c r="I843" i="5"/>
  <c r="K843" i="5"/>
  <c r="B844" i="5"/>
  <c r="H844" i="5"/>
  <c r="J844" i="5"/>
  <c r="L844" i="5"/>
  <c r="G845" i="5"/>
  <c r="I845" i="5"/>
  <c r="K845" i="5"/>
  <c r="B846" i="5"/>
  <c r="H846" i="5"/>
  <c r="J846" i="5"/>
  <c r="L846" i="5"/>
  <c r="G847" i="5"/>
  <c r="I847" i="5"/>
  <c r="K847" i="5"/>
  <c r="B848" i="5"/>
  <c r="H848" i="5"/>
  <c r="J848" i="5"/>
  <c r="L848" i="5"/>
  <c r="G849" i="5"/>
  <c r="I849" i="5"/>
  <c r="K849" i="5"/>
  <c r="B850" i="5"/>
  <c r="H850" i="5"/>
  <c r="J850" i="5"/>
  <c r="L850" i="5"/>
  <c r="G851" i="5"/>
  <c r="I851" i="5"/>
  <c r="K851" i="5"/>
  <c r="B852" i="5"/>
  <c r="H852" i="5"/>
  <c r="J852" i="5"/>
  <c r="L852" i="5"/>
  <c r="G853" i="5"/>
  <c r="I853" i="5"/>
  <c r="K853" i="5"/>
  <c r="B854" i="5"/>
  <c r="H854" i="5"/>
  <c r="J854" i="5"/>
  <c r="L854" i="5"/>
  <c r="G855" i="5"/>
  <c r="I855" i="5"/>
  <c r="K855" i="5"/>
  <c r="B856" i="5"/>
  <c r="H856" i="5"/>
  <c r="J856" i="5"/>
  <c r="L856" i="5"/>
  <c r="G857" i="5"/>
  <c r="I857" i="5"/>
  <c r="K857" i="5"/>
  <c r="B858" i="5"/>
  <c r="H858" i="5"/>
  <c r="J858" i="5"/>
  <c r="L858" i="5"/>
  <c r="G859" i="5"/>
  <c r="I859" i="5"/>
  <c r="K859" i="5"/>
  <c r="B860" i="5"/>
  <c r="H860" i="5"/>
  <c r="J860" i="5"/>
  <c r="L860" i="5"/>
  <c r="G861" i="5"/>
  <c r="I861" i="5"/>
  <c r="K861" i="5"/>
  <c r="B862" i="5"/>
  <c r="H862" i="5"/>
  <c r="J862" i="5"/>
  <c r="L862" i="5"/>
  <c r="G863" i="5"/>
  <c r="I863" i="5"/>
  <c r="K863" i="5"/>
  <c r="B864" i="5"/>
  <c r="H864" i="5"/>
  <c r="J864" i="5"/>
  <c r="L864" i="5"/>
  <c r="G865" i="5"/>
  <c r="I865" i="5"/>
  <c r="K865" i="5"/>
  <c r="B866" i="5"/>
  <c r="H866" i="5"/>
  <c r="J866" i="5"/>
  <c r="L866" i="5"/>
  <c r="G867" i="5"/>
  <c r="I867" i="5"/>
  <c r="K867" i="5"/>
  <c r="B868" i="5"/>
  <c r="H868" i="5"/>
  <c r="J868" i="5"/>
  <c r="L868" i="5"/>
  <c r="G869" i="5"/>
  <c r="I869" i="5"/>
  <c r="K869" i="5"/>
  <c r="B870" i="5"/>
  <c r="H870" i="5"/>
  <c r="J870" i="5"/>
  <c r="L870" i="5"/>
  <c r="G871" i="5"/>
  <c r="I871" i="5"/>
  <c r="K871" i="5"/>
  <c r="B872" i="5"/>
  <c r="H872" i="5"/>
  <c r="J872" i="5"/>
  <c r="L872" i="5"/>
  <c r="G873" i="5"/>
  <c r="I873" i="5"/>
  <c r="K873" i="5"/>
  <c r="B874" i="5"/>
  <c r="H874" i="5"/>
  <c r="J874" i="5"/>
  <c r="L874" i="5"/>
  <c r="G875" i="5"/>
  <c r="I875" i="5"/>
  <c r="K875" i="5"/>
  <c r="B876" i="5"/>
  <c r="H876" i="5"/>
  <c r="J876" i="5"/>
  <c r="L876" i="5"/>
  <c r="G877" i="5"/>
  <c r="I877" i="5"/>
  <c r="K877" i="5"/>
  <c r="B878" i="5"/>
  <c r="H878" i="5"/>
  <c r="J878" i="5"/>
  <c r="L878" i="5"/>
  <c r="G879" i="5"/>
  <c r="I879" i="5"/>
  <c r="K879" i="5"/>
  <c r="B880" i="5"/>
  <c r="H880" i="5"/>
  <c r="J880" i="5"/>
  <c r="L880" i="5"/>
  <c r="G881" i="5"/>
  <c r="I881" i="5"/>
  <c r="K881" i="5"/>
  <c r="B882" i="5"/>
  <c r="H882" i="5"/>
  <c r="J882" i="5"/>
  <c r="L882" i="5"/>
  <c r="G883" i="5"/>
  <c r="I883" i="5"/>
  <c r="K883" i="5"/>
  <c r="B884" i="5"/>
  <c r="H884" i="5"/>
  <c r="J884" i="5"/>
  <c r="L884" i="5"/>
  <c r="G885" i="5"/>
  <c r="I885" i="5"/>
  <c r="K885" i="5"/>
  <c r="B886" i="5"/>
  <c r="H886" i="5"/>
  <c r="J886" i="5"/>
  <c r="L886" i="5"/>
  <c r="G887" i="5"/>
  <c r="I887" i="5"/>
  <c r="K887" i="5"/>
  <c r="B888" i="5"/>
  <c r="H888" i="5"/>
  <c r="J888" i="5"/>
  <c r="L888" i="5"/>
  <c r="G889" i="5"/>
  <c r="I889" i="5"/>
  <c r="K889" i="5"/>
  <c r="B890" i="5"/>
  <c r="H890" i="5"/>
  <c r="J890" i="5"/>
  <c r="L890" i="5"/>
  <c r="G891" i="5"/>
  <c r="I891" i="5"/>
  <c r="K891" i="5"/>
  <c r="B892" i="5"/>
  <c r="H892" i="5"/>
  <c r="J892" i="5"/>
  <c r="L892" i="5"/>
  <c r="G893" i="5"/>
  <c r="I893" i="5"/>
  <c r="K893" i="5"/>
  <c r="B894" i="5"/>
  <c r="H894" i="5"/>
  <c r="J894" i="5"/>
  <c r="L894" i="5"/>
  <c r="G895" i="5"/>
  <c r="I895" i="5"/>
  <c r="K895" i="5"/>
  <c r="B896" i="5"/>
  <c r="H896" i="5"/>
  <c r="J896" i="5"/>
  <c r="L896" i="5"/>
  <c r="G897" i="5"/>
  <c r="I897" i="5"/>
  <c r="K897" i="5"/>
  <c r="B898" i="5"/>
  <c r="H898" i="5"/>
  <c r="J898" i="5"/>
  <c r="L898" i="5"/>
  <c r="G899" i="5"/>
  <c r="I899" i="5"/>
  <c r="K899" i="5"/>
  <c r="B900" i="5"/>
  <c r="H900" i="5"/>
  <c r="J900" i="5"/>
  <c r="L900" i="5"/>
  <c r="G901" i="5"/>
  <c r="I901" i="5"/>
  <c r="K901" i="5"/>
  <c r="B902" i="5"/>
  <c r="H902" i="5"/>
  <c r="J902" i="5"/>
  <c r="L902" i="5"/>
  <c r="G903" i="5"/>
  <c r="I903" i="5"/>
  <c r="K903" i="5"/>
  <c r="B904" i="5"/>
  <c r="H904" i="5"/>
  <c r="J904" i="5"/>
  <c r="L904" i="5"/>
  <c r="G905" i="5"/>
  <c r="I905" i="5"/>
  <c r="K905" i="5"/>
  <c r="B906" i="5"/>
  <c r="H906" i="5"/>
  <c r="J906" i="5"/>
  <c r="L906" i="5"/>
  <c r="G907" i="5"/>
  <c r="I907" i="5"/>
  <c r="K907" i="5"/>
  <c r="B908" i="5"/>
  <c r="H908" i="5"/>
  <c r="J908" i="5"/>
  <c r="L908" i="5"/>
  <c r="G909" i="5"/>
  <c r="I909" i="5"/>
  <c r="K909" i="5"/>
  <c r="B910" i="5"/>
  <c r="H910" i="5"/>
  <c r="J910" i="5"/>
  <c r="L910" i="5"/>
  <c r="G911" i="5"/>
  <c r="I911" i="5"/>
  <c r="K911" i="5"/>
  <c r="B912" i="5"/>
  <c r="H912" i="5"/>
  <c r="J912" i="5"/>
  <c r="L912" i="5"/>
  <c r="G913" i="5"/>
  <c r="I913" i="5"/>
  <c r="K913" i="5"/>
  <c r="B914" i="5"/>
  <c r="H914" i="5"/>
  <c r="J914" i="5"/>
  <c r="L914" i="5"/>
  <c r="G915" i="5"/>
  <c r="I915" i="5"/>
  <c r="K915" i="5"/>
  <c r="B916" i="5"/>
  <c r="H916" i="5"/>
  <c r="J916" i="5"/>
  <c r="L916" i="5"/>
  <c r="G917" i="5"/>
  <c r="I917" i="5"/>
  <c r="K917" i="5"/>
  <c r="B918" i="5"/>
  <c r="H918" i="5"/>
  <c r="J918" i="5"/>
  <c r="L918" i="5"/>
  <c r="G919" i="5"/>
  <c r="I919" i="5"/>
  <c r="K919" i="5"/>
  <c r="B920" i="5"/>
  <c r="H920" i="5"/>
  <c r="J920" i="5"/>
  <c r="L920" i="5"/>
  <c r="G921" i="5"/>
  <c r="I921" i="5"/>
  <c r="K921" i="5"/>
  <c r="B922" i="5"/>
  <c r="H922" i="5"/>
  <c r="J922" i="5"/>
  <c r="L922" i="5"/>
  <c r="G923" i="5"/>
  <c r="I923" i="5"/>
  <c r="K923" i="5"/>
  <c r="B924" i="5"/>
  <c r="H924" i="5"/>
  <c r="J924" i="5"/>
  <c r="L924" i="5"/>
  <c r="G925" i="5"/>
  <c r="I925" i="5"/>
  <c r="K925" i="5"/>
  <c r="B926" i="5"/>
  <c r="H926" i="5"/>
  <c r="J926" i="5"/>
  <c r="L926" i="5"/>
  <c r="G927" i="5"/>
  <c r="I927" i="5"/>
  <c r="K927" i="5"/>
  <c r="B928" i="5"/>
  <c r="H928" i="5"/>
  <c r="J928" i="5"/>
  <c r="L928" i="5"/>
  <c r="G929" i="5"/>
  <c r="I929" i="5"/>
  <c r="K929" i="5"/>
  <c r="B930" i="5"/>
  <c r="H930" i="5"/>
  <c r="J930" i="5"/>
  <c r="L930" i="5"/>
  <c r="G931" i="5"/>
  <c r="I931" i="5"/>
  <c r="K931" i="5"/>
  <c r="B932" i="5"/>
  <c r="H932" i="5"/>
  <c r="J932" i="5"/>
  <c r="L932" i="5"/>
  <c r="G933" i="5"/>
  <c r="I933" i="5"/>
  <c r="K933" i="5"/>
  <c r="B934" i="5"/>
  <c r="H934" i="5"/>
  <c r="J934" i="5"/>
  <c r="L934" i="5"/>
  <c r="G935" i="5"/>
  <c r="I935" i="5"/>
  <c r="K935" i="5"/>
  <c r="AA935" i="5"/>
  <c r="G937" i="5"/>
  <c r="I937" i="5"/>
  <c r="K937" i="5"/>
  <c r="AA937" i="5"/>
  <c r="G939" i="5"/>
  <c r="I939" i="5"/>
  <c r="K939" i="5"/>
  <c r="AA939" i="5"/>
  <c r="G941" i="5"/>
  <c r="I941" i="5"/>
  <c r="K941" i="5"/>
  <c r="AA941" i="5"/>
  <c r="G943" i="5"/>
  <c r="I943" i="5"/>
  <c r="K943" i="5"/>
  <c r="AA943" i="5"/>
  <c r="G945" i="5"/>
  <c r="I945" i="5"/>
  <c r="K945" i="5"/>
  <c r="AA945" i="5"/>
  <c r="G947" i="5"/>
  <c r="I947" i="5"/>
  <c r="K947" i="5"/>
  <c r="AA947" i="5"/>
  <c r="G949" i="5"/>
  <c r="I949" i="5"/>
  <c r="K949" i="5"/>
  <c r="AA949" i="5"/>
  <c r="G951" i="5"/>
  <c r="I951" i="5"/>
  <c r="K951" i="5"/>
  <c r="AA951" i="5"/>
  <c r="G953" i="5"/>
  <c r="I953" i="5"/>
  <c r="K953" i="5"/>
  <c r="AA953" i="5"/>
  <c r="G955" i="5"/>
  <c r="I955" i="5"/>
  <c r="K955" i="5"/>
  <c r="AA955" i="5"/>
  <c r="G957" i="5"/>
  <c r="I957" i="5"/>
  <c r="K957" i="5"/>
  <c r="AA957" i="5"/>
  <c r="G959" i="5"/>
  <c r="I959" i="5"/>
  <c r="K959" i="5"/>
  <c r="AA959" i="5"/>
  <c r="G961" i="5"/>
  <c r="I961" i="5"/>
  <c r="K961" i="5"/>
  <c r="AA961" i="5"/>
  <c r="G963" i="5"/>
  <c r="I963" i="5"/>
  <c r="K963" i="5"/>
  <c r="AA963" i="5"/>
  <c r="G965" i="5"/>
  <c r="I965" i="5"/>
  <c r="K965" i="5"/>
  <c r="AA965" i="5"/>
  <c r="G967" i="5"/>
  <c r="I967" i="5"/>
  <c r="K967" i="5"/>
  <c r="AA967" i="5"/>
  <c r="G969" i="5"/>
  <c r="I969" i="5"/>
  <c r="K969" i="5"/>
  <c r="AA969" i="5"/>
  <c r="L971" i="5"/>
  <c r="J971" i="5"/>
  <c r="H971" i="5"/>
  <c r="B971" i="5"/>
  <c r="G971" i="5"/>
  <c r="K971" i="5"/>
  <c r="AA971" i="5"/>
  <c r="L973" i="5"/>
  <c r="J973" i="5"/>
  <c r="H973" i="5"/>
  <c r="B973" i="5"/>
  <c r="G973" i="5"/>
  <c r="K973" i="5"/>
  <c r="AA973" i="5"/>
  <c r="G830" i="5"/>
  <c r="I830" i="5"/>
  <c r="K830" i="5"/>
  <c r="G832" i="5"/>
  <c r="I832" i="5"/>
  <c r="K832" i="5"/>
  <c r="G834" i="5"/>
  <c r="I834" i="5"/>
  <c r="K834" i="5"/>
  <c r="G836" i="5"/>
  <c r="I836" i="5"/>
  <c r="K836" i="5"/>
  <c r="G838" i="5"/>
  <c r="I838" i="5"/>
  <c r="K838" i="5"/>
  <c r="G840" i="5"/>
  <c r="I840" i="5"/>
  <c r="K840" i="5"/>
  <c r="G842" i="5"/>
  <c r="I842" i="5"/>
  <c r="K842" i="5"/>
  <c r="G844" i="5"/>
  <c r="I844" i="5"/>
  <c r="K844" i="5"/>
  <c r="G846" i="5"/>
  <c r="I846" i="5"/>
  <c r="K846" i="5"/>
  <c r="G848" i="5"/>
  <c r="I848" i="5"/>
  <c r="K848" i="5"/>
  <c r="G850" i="5"/>
  <c r="I850" i="5"/>
  <c r="K850" i="5"/>
  <c r="G852" i="5"/>
  <c r="I852" i="5"/>
  <c r="K852" i="5"/>
  <c r="G854" i="5"/>
  <c r="I854" i="5"/>
  <c r="K854" i="5"/>
  <c r="G856" i="5"/>
  <c r="I856" i="5"/>
  <c r="K856" i="5"/>
  <c r="G858" i="5"/>
  <c r="I858" i="5"/>
  <c r="K858" i="5"/>
  <c r="G860" i="5"/>
  <c r="I860" i="5"/>
  <c r="K860" i="5"/>
  <c r="G862" i="5"/>
  <c r="I862" i="5"/>
  <c r="K862" i="5"/>
  <c r="G864" i="5"/>
  <c r="I864" i="5"/>
  <c r="K864" i="5"/>
  <c r="G866" i="5"/>
  <c r="I866" i="5"/>
  <c r="K866" i="5"/>
  <c r="G868" i="5"/>
  <c r="I868" i="5"/>
  <c r="K868" i="5"/>
  <c r="G870" i="5"/>
  <c r="I870" i="5"/>
  <c r="K870" i="5"/>
  <c r="G872" i="5"/>
  <c r="I872" i="5"/>
  <c r="K872" i="5"/>
  <c r="G874" i="5"/>
  <c r="I874" i="5"/>
  <c r="K874" i="5"/>
  <c r="G876" i="5"/>
  <c r="I876" i="5"/>
  <c r="K876" i="5"/>
  <c r="G878" i="5"/>
  <c r="I878" i="5"/>
  <c r="K878" i="5"/>
  <c r="G880" i="5"/>
  <c r="I880" i="5"/>
  <c r="K880" i="5"/>
  <c r="G882" i="5"/>
  <c r="I882" i="5"/>
  <c r="K882" i="5"/>
  <c r="G884" i="5"/>
  <c r="I884" i="5"/>
  <c r="K884" i="5"/>
  <c r="G886" i="5"/>
  <c r="I886" i="5"/>
  <c r="K886" i="5"/>
  <c r="G888" i="5"/>
  <c r="I888" i="5"/>
  <c r="K888" i="5"/>
  <c r="G890" i="5"/>
  <c r="I890" i="5"/>
  <c r="K890" i="5"/>
  <c r="G892" i="5"/>
  <c r="I892" i="5"/>
  <c r="K892" i="5"/>
  <c r="G894" i="5"/>
  <c r="I894" i="5"/>
  <c r="K894" i="5"/>
  <c r="G896" i="5"/>
  <c r="I896" i="5"/>
  <c r="K896" i="5"/>
  <c r="G898" i="5"/>
  <c r="I898" i="5"/>
  <c r="K898" i="5"/>
  <c r="G900" i="5"/>
  <c r="I900" i="5"/>
  <c r="K900" i="5"/>
  <c r="G902" i="5"/>
  <c r="I902" i="5"/>
  <c r="K902" i="5"/>
  <c r="G904" i="5"/>
  <c r="I904" i="5"/>
  <c r="K904" i="5"/>
  <c r="G906" i="5"/>
  <c r="I906" i="5"/>
  <c r="K906" i="5"/>
  <c r="G908" i="5"/>
  <c r="I908" i="5"/>
  <c r="K908" i="5"/>
  <c r="G910" i="5"/>
  <c r="I910" i="5"/>
  <c r="K910" i="5"/>
  <c r="G912" i="5"/>
  <c r="I912" i="5"/>
  <c r="K912" i="5"/>
  <c r="G914" i="5"/>
  <c r="I914" i="5"/>
  <c r="K914" i="5"/>
  <c r="G916" i="5"/>
  <c r="I916" i="5"/>
  <c r="K916" i="5"/>
  <c r="G918" i="5"/>
  <c r="I918" i="5"/>
  <c r="K918" i="5"/>
  <c r="G920" i="5"/>
  <c r="I920" i="5"/>
  <c r="K920" i="5"/>
  <c r="G922" i="5"/>
  <c r="I922" i="5"/>
  <c r="K922" i="5"/>
  <c r="G924" i="5"/>
  <c r="I924" i="5"/>
  <c r="K924" i="5"/>
  <c r="G926" i="5"/>
  <c r="I926" i="5"/>
  <c r="K926" i="5"/>
  <c r="G928" i="5"/>
  <c r="I928" i="5"/>
  <c r="K928" i="5"/>
  <c r="G930" i="5"/>
  <c r="I930" i="5"/>
  <c r="K930" i="5"/>
  <c r="G932" i="5"/>
  <c r="I932" i="5"/>
  <c r="K932" i="5"/>
  <c r="G934" i="5"/>
  <c r="I934" i="5"/>
  <c r="K934" i="5"/>
  <c r="H935" i="5"/>
  <c r="J935" i="5"/>
  <c r="G936" i="5"/>
  <c r="I936" i="5"/>
  <c r="K936" i="5"/>
  <c r="B937" i="5"/>
  <c r="H937" i="5"/>
  <c r="J937" i="5"/>
  <c r="G938" i="5"/>
  <c r="I938" i="5"/>
  <c r="K938" i="5"/>
  <c r="B939" i="5"/>
  <c r="H939" i="5"/>
  <c r="J939" i="5"/>
  <c r="G940" i="5"/>
  <c r="I940" i="5"/>
  <c r="K940" i="5"/>
  <c r="B941" i="5"/>
  <c r="H941" i="5"/>
  <c r="J941" i="5"/>
  <c r="G942" i="5"/>
  <c r="I942" i="5"/>
  <c r="K942" i="5"/>
  <c r="B943" i="5"/>
  <c r="H943" i="5"/>
  <c r="J943" i="5"/>
  <c r="G944" i="5"/>
  <c r="I944" i="5"/>
  <c r="K944" i="5"/>
  <c r="B945" i="5"/>
  <c r="H945" i="5"/>
  <c r="J945" i="5"/>
  <c r="G946" i="5"/>
  <c r="I946" i="5"/>
  <c r="K946" i="5"/>
  <c r="B947" i="5"/>
  <c r="H947" i="5"/>
  <c r="J947" i="5"/>
  <c r="G948" i="5"/>
  <c r="I948" i="5"/>
  <c r="K948" i="5"/>
  <c r="B949" i="5"/>
  <c r="H949" i="5"/>
  <c r="J949" i="5"/>
  <c r="G950" i="5"/>
  <c r="I950" i="5"/>
  <c r="K950" i="5"/>
  <c r="B951" i="5"/>
  <c r="H951" i="5"/>
  <c r="J951" i="5"/>
  <c r="G952" i="5"/>
  <c r="I952" i="5"/>
  <c r="K952" i="5"/>
  <c r="B953" i="5"/>
  <c r="H953" i="5"/>
  <c r="J953" i="5"/>
  <c r="G954" i="5"/>
  <c r="I954" i="5"/>
  <c r="K954" i="5"/>
  <c r="B955" i="5"/>
  <c r="H955" i="5"/>
  <c r="J955" i="5"/>
  <c r="G956" i="5"/>
  <c r="I956" i="5"/>
  <c r="K956" i="5"/>
  <c r="B957" i="5"/>
  <c r="H957" i="5"/>
  <c r="J957" i="5"/>
  <c r="G958" i="5"/>
  <c r="I958" i="5"/>
  <c r="K958" i="5"/>
  <c r="B959" i="5"/>
  <c r="H959" i="5"/>
  <c r="J959" i="5"/>
  <c r="G960" i="5"/>
  <c r="I960" i="5"/>
  <c r="K960" i="5"/>
  <c r="B961" i="5"/>
  <c r="H961" i="5"/>
  <c r="J961" i="5"/>
  <c r="G962" i="5"/>
  <c r="I962" i="5"/>
  <c r="K962" i="5"/>
  <c r="B963" i="5"/>
  <c r="H963" i="5"/>
  <c r="J963" i="5"/>
  <c r="G964" i="5"/>
  <c r="I964" i="5"/>
  <c r="K964" i="5"/>
  <c r="B965" i="5"/>
  <c r="H965" i="5"/>
  <c r="J965" i="5"/>
  <c r="G966" i="5"/>
  <c r="I966" i="5"/>
  <c r="K966" i="5"/>
  <c r="B967" i="5"/>
  <c r="H967" i="5"/>
  <c r="J967" i="5"/>
  <c r="G968" i="5"/>
  <c r="I968" i="5"/>
  <c r="K968" i="5"/>
  <c r="B969" i="5"/>
  <c r="H969" i="5"/>
  <c r="J969" i="5"/>
  <c r="I971" i="5"/>
  <c r="I973" i="5"/>
  <c r="G970" i="5"/>
  <c r="I970" i="5"/>
  <c r="K970" i="5"/>
  <c r="G972" i="5"/>
  <c r="I972" i="5"/>
  <c r="K972" i="5"/>
  <c r="L975" i="5"/>
  <c r="J975" i="5"/>
  <c r="H975" i="5"/>
  <c r="B975" i="5"/>
  <c r="G975" i="5"/>
  <c r="K975" i="5"/>
  <c r="AA975" i="5"/>
  <c r="L977" i="5"/>
  <c r="J977" i="5"/>
  <c r="H977" i="5"/>
  <c r="B977" i="5"/>
  <c r="G977" i="5"/>
  <c r="K977" i="5"/>
  <c r="AA977" i="5"/>
  <c r="L979" i="5"/>
  <c r="J979" i="5"/>
  <c r="H979" i="5"/>
  <c r="B979" i="5"/>
  <c r="G979" i="5"/>
  <c r="K979" i="5"/>
  <c r="AA979" i="5"/>
  <c r="L981" i="5"/>
  <c r="J981" i="5"/>
  <c r="H981" i="5"/>
  <c r="B981" i="5"/>
  <c r="G981" i="5"/>
  <c r="K981" i="5"/>
  <c r="AA981" i="5"/>
  <c r="L983" i="5"/>
  <c r="J983" i="5"/>
  <c r="H983" i="5"/>
  <c r="B983" i="5"/>
  <c r="G983" i="5"/>
  <c r="K983" i="5"/>
  <c r="AA983" i="5"/>
  <c r="L985" i="5"/>
  <c r="J985" i="5"/>
  <c r="H985" i="5"/>
  <c r="B985" i="5"/>
  <c r="G985" i="5"/>
  <c r="K985" i="5"/>
  <c r="AA985" i="5"/>
  <c r="L987" i="5"/>
  <c r="J987" i="5"/>
  <c r="H987" i="5"/>
  <c r="B987" i="5"/>
  <c r="G987" i="5"/>
  <c r="K987" i="5"/>
  <c r="AA987" i="5"/>
  <c r="L989" i="5"/>
  <c r="J989" i="5"/>
  <c r="H989" i="5"/>
  <c r="B989" i="5"/>
  <c r="G989" i="5"/>
  <c r="K989" i="5"/>
  <c r="AA989" i="5"/>
  <c r="L991" i="5"/>
  <c r="J991" i="5"/>
  <c r="H991" i="5"/>
  <c r="B991" i="5"/>
  <c r="G991" i="5"/>
  <c r="K991" i="5"/>
  <c r="AA991" i="5"/>
  <c r="L993" i="5"/>
  <c r="J993" i="5"/>
  <c r="H993" i="5"/>
  <c r="B993" i="5"/>
  <c r="G993" i="5"/>
  <c r="K993" i="5"/>
  <c r="AA993" i="5"/>
  <c r="L995" i="5"/>
  <c r="J995" i="5"/>
  <c r="H995" i="5"/>
  <c r="B995" i="5"/>
  <c r="G995" i="5"/>
  <c r="K995" i="5"/>
  <c r="AA995" i="5"/>
  <c r="L997" i="5"/>
  <c r="J997" i="5"/>
  <c r="H997" i="5"/>
  <c r="B997" i="5"/>
  <c r="G997" i="5"/>
  <c r="K997" i="5"/>
  <c r="AA997" i="5"/>
  <c r="L999" i="5"/>
  <c r="J999" i="5"/>
  <c r="H999" i="5"/>
  <c r="B999" i="5"/>
  <c r="G999" i="5"/>
  <c r="K999" i="5"/>
  <c r="AA999" i="5"/>
  <c r="L1001" i="5"/>
  <c r="J1001" i="5"/>
  <c r="H1001" i="5"/>
  <c r="B1001" i="5"/>
  <c r="G1001" i="5"/>
  <c r="K1001" i="5"/>
  <c r="AA1001" i="5"/>
  <c r="L1003" i="5"/>
  <c r="J1003" i="5"/>
  <c r="H1003" i="5"/>
  <c r="B1003" i="5"/>
  <c r="G1003" i="5"/>
  <c r="K1003" i="5"/>
  <c r="AA1003" i="5"/>
  <c r="L1005" i="5"/>
  <c r="J1005" i="5"/>
  <c r="H1005" i="5"/>
  <c r="B1005" i="5"/>
  <c r="G1005" i="5"/>
  <c r="K1005" i="5"/>
  <c r="AA1005" i="5"/>
  <c r="G974" i="5"/>
  <c r="I974" i="5"/>
  <c r="K974" i="5"/>
  <c r="G976" i="5"/>
  <c r="I976" i="5"/>
  <c r="K976" i="5"/>
  <c r="G978" i="5"/>
  <c r="I978" i="5"/>
  <c r="K978" i="5"/>
  <c r="G980" i="5"/>
  <c r="I980" i="5"/>
  <c r="K980" i="5"/>
  <c r="G982" i="5"/>
  <c r="I982" i="5"/>
  <c r="K982" i="5"/>
  <c r="G984" i="5"/>
  <c r="I984" i="5"/>
  <c r="K984" i="5"/>
  <c r="G986" i="5"/>
  <c r="I986" i="5"/>
  <c r="K986" i="5"/>
  <c r="G988" i="5"/>
  <c r="I988" i="5"/>
  <c r="K988" i="5"/>
  <c r="G990" i="5"/>
  <c r="I990" i="5"/>
  <c r="K990" i="5"/>
  <c r="G992" i="5"/>
  <c r="I992" i="5"/>
  <c r="K992" i="5"/>
  <c r="G994" i="5"/>
  <c r="I994" i="5"/>
  <c r="K994" i="5"/>
  <c r="G996" i="5"/>
  <c r="I996" i="5"/>
  <c r="K996" i="5"/>
  <c r="G998" i="5"/>
  <c r="I998" i="5"/>
  <c r="K998" i="5"/>
  <c r="G1000" i="5"/>
  <c r="I1000" i="5"/>
  <c r="K1000" i="5"/>
  <c r="G1002" i="5"/>
  <c r="I1002" i="5"/>
  <c r="K1002" i="5"/>
  <c r="G1004" i="5"/>
  <c r="I1004" i="5"/>
  <c r="K1004" i="5"/>
  <c r="W69" i="5" l="1"/>
  <c r="S69" i="5"/>
  <c r="V69" i="5"/>
  <c r="P69" i="5"/>
  <c r="R69" i="5" s="1"/>
  <c r="W65" i="5"/>
  <c r="S65" i="5"/>
  <c r="V65" i="5"/>
  <c r="P65" i="5"/>
  <c r="R65" i="5" s="1"/>
  <c r="W61" i="5"/>
  <c r="S61" i="5"/>
  <c r="V61" i="5"/>
  <c r="P61" i="5"/>
  <c r="R61" i="5" s="1"/>
  <c r="W57" i="5"/>
  <c r="S57" i="5"/>
  <c r="V57" i="5"/>
  <c r="P57" i="5"/>
  <c r="R57" i="5" s="1"/>
  <c r="W53" i="5"/>
  <c r="S53" i="5"/>
  <c r="V53" i="5"/>
  <c r="P53" i="5"/>
  <c r="R53" i="5" s="1"/>
  <c r="W49" i="5"/>
  <c r="S49" i="5"/>
  <c r="V49" i="5"/>
  <c r="P49" i="5"/>
  <c r="R49" i="5" s="1"/>
  <c r="W45" i="5"/>
  <c r="S45" i="5"/>
  <c r="V45" i="5"/>
  <c r="P45" i="5"/>
  <c r="R45" i="5" s="1"/>
  <c r="W41" i="5"/>
  <c r="S41" i="5"/>
  <c r="V41" i="5"/>
  <c r="P41" i="5"/>
  <c r="R41" i="5" s="1"/>
  <c r="W37" i="5"/>
  <c r="S37" i="5"/>
  <c r="V37" i="5"/>
  <c r="P37" i="5"/>
  <c r="R37" i="5" s="1"/>
  <c r="V34" i="5"/>
  <c r="P34" i="5"/>
  <c r="R34" i="5" s="1"/>
  <c r="U34" i="5"/>
  <c r="O34" i="5"/>
  <c r="V32" i="5"/>
  <c r="P32" i="5"/>
  <c r="R32" i="5" s="1"/>
  <c r="U32" i="5"/>
  <c r="O32" i="5"/>
  <c r="V30" i="5"/>
  <c r="P30" i="5"/>
  <c r="R30" i="5" s="1"/>
  <c r="U30" i="5"/>
  <c r="O30" i="5"/>
  <c r="V28" i="5"/>
  <c r="P28" i="5"/>
  <c r="R28" i="5" s="1"/>
  <c r="U28" i="5"/>
  <c r="O28" i="5"/>
  <c r="V26" i="5"/>
  <c r="P26" i="5"/>
  <c r="U26" i="5"/>
  <c r="V24" i="5"/>
  <c r="P24" i="5"/>
  <c r="U24" i="5"/>
  <c r="V22" i="5"/>
  <c r="P22" i="5"/>
  <c r="U22" i="5"/>
  <c r="V20" i="5"/>
  <c r="P20" i="5"/>
  <c r="U20" i="5"/>
  <c r="V18" i="5"/>
  <c r="P18" i="5"/>
  <c r="U18" i="5"/>
  <c r="V16" i="5"/>
  <c r="P16" i="5"/>
  <c r="U16" i="5"/>
  <c r="V14" i="5"/>
  <c r="P14" i="5"/>
  <c r="U14" i="5"/>
  <c r="V12" i="5"/>
  <c r="P12" i="5"/>
  <c r="U12" i="5"/>
  <c r="V10" i="5"/>
  <c r="P10" i="5"/>
  <c r="U10" i="5"/>
  <c r="V8" i="5"/>
  <c r="P8" i="5"/>
  <c r="U8" i="5"/>
  <c r="K20" i="1"/>
  <c r="V6" i="5"/>
  <c r="P6" i="5"/>
  <c r="U6" i="5"/>
  <c r="J46" i="5"/>
  <c r="J44" i="5"/>
  <c r="J42" i="5"/>
  <c r="J40" i="5"/>
  <c r="J38" i="5"/>
  <c r="J36" i="5"/>
  <c r="K21" i="1"/>
  <c r="J30" i="5"/>
  <c r="D1021" i="3"/>
  <c r="C1021" i="3"/>
  <c r="J28" i="5"/>
  <c r="J26" i="5"/>
  <c r="C1004" i="5"/>
  <c r="D1004" i="5" s="1"/>
  <c r="K1007" i="1"/>
  <c r="C988" i="5"/>
  <c r="D988" i="5" s="1"/>
  <c r="K991" i="1"/>
  <c r="C1000" i="5"/>
  <c r="D1000" i="5" s="1"/>
  <c r="K1003" i="1"/>
  <c r="C992" i="5"/>
  <c r="D992" i="5" s="1"/>
  <c r="K995" i="1"/>
  <c r="C984" i="5"/>
  <c r="D984" i="5" s="1"/>
  <c r="K987" i="1"/>
  <c r="C976" i="5"/>
  <c r="D976" i="5" s="1"/>
  <c r="K979" i="1"/>
  <c r="C946" i="5"/>
  <c r="D946" i="5" s="1"/>
  <c r="K949" i="1"/>
  <c r="C942" i="5"/>
  <c r="D942" i="5" s="1"/>
  <c r="K945" i="1"/>
  <c r="C938" i="5"/>
  <c r="D938" i="5" s="1"/>
  <c r="K941" i="1"/>
  <c r="C935" i="5"/>
  <c r="D935" i="5" s="1"/>
  <c r="K938" i="1"/>
  <c r="C931" i="5"/>
  <c r="D931" i="5" s="1"/>
  <c r="K934" i="1"/>
  <c r="C927" i="5"/>
  <c r="D927" i="5" s="1"/>
  <c r="K930" i="1"/>
  <c r="C923" i="5"/>
  <c r="D923" i="5" s="1"/>
  <c r="K926" i="1"/>
  <c r="C919" i="5"/>
  <c r="D919" i="5" s="1"/>
  <c r="K922" i="1"/>
  <c r="C915" i="5"/>
  <c r="D915" i="5" s="1"/>
  <c r="K918" i="1"/>
  <c r="C881" i="5"/>
  <c r="D881" i="5" s="1"/>
  <c r="K884" i="1"/>
  <c r="C877" i="5"/>
  <c r="D877" i="5" s="1"/>
  <c r="K880" i="1"/>
  <c r="C873" i="5"/>
  <c r="D873" i="5" s="1"/>
  <c r="K876" i="1"/>
  <c r="C869" i="5"/>
  <c r="D869" i="5" s="1"/>
  <c r="K872" i="1"/>
  <c r="C865" i="5"/>
  <c r="D865" i="5" s="1"/>
  <c r="K868" i="1"/>
  <c r="C861" i="5"/>
  <c r="D861" i="5" s="1"/>
  <c r="K864" i="1"/>
  <c r="C857" i="5"/>
  <c r="D857" i="5" s="1"/>
  <c r="K860" i="1"/>
  <c r="C853" i="5"/>
  <c r="D853" i="5" s="1"/>
  <c r="K856" i="1"/>
  <c r="C849" i="5"/>
  <c r="D849" i="5" s="1"/>
  <c r="K852" i="1"/>
  <c r="C845" i="5"/>
  <c r="D845" i="5" s="1"/>
  <c r="K848" i="1"/>
  <c r="C841" i="5"/>
  <c r="D841" i="5" s="1"/>
  <c r="K844" i="1"/>
  <c r="C837" i="5"/>
  <c r="D837" i="5" s="1"/>
  <c r="K840" i="1"/>
  <c r="C913" i="5"/>
  <c r="D913" i="5" s="1"/>
  <c r="K916" i="1"/>
  <c r="C911" i="5"/>
  <c r="D911" i="5" s="1"/>
  <c r="K914" i="1"/>
  <c r="C907" i="5"/>
  <c r="D907" i="5" s="1"/>
  <c r="K910" i="1"/>
  <c r="C903" i="5"/>
  <c r="D903" i="5" s="1"/>
  <c r="K906" i="1"/>
  <c r="C899" i="5"/>
  <c r="D899" i="5" s="1"/>
  <c r="K902" i="1"/>
  <c r="C807" i="5"/>
  <c r="D807" i="5" s="1"/>
  <c r="K810" i="1"/>
  <c r="C803" i="5"/>
  <c r="D803" i="5" s="1"/>
  <c r="K806" i="1"/>
  <c r="C799" i="5"/>
  <c r="D799" i="5" s="1"/>
  <c r="K802" i="1"/>
  <c r="C795" i="5"/>
  <c r="D795" i="5" s="1"/>
  <c r="K798" i="1"/>
  <c r="C791" i="5"/>
  <c r="D791" i="5" s="1"/>
  <c r="K794" i="1"/>
  <c r="C787" i="5"/>
  <c r="D787" i="5" s="1"/>
  <c r="K790" i="1"/>
  <c r="C783" i="5"/>
  <c r="D783" i="5" s="1"/>
  <c r="K786" i="1"/>
  <c r="C779" i="5"/>
  <c r="D779" i="5" s="1"/>
  <c r="K782" i="1"/>
  <c r="C775" i="5"/>
  <c r="D775" i="5" s="1"/>
  <c r="K778" i="1"/>
  <c r="C771" i="5"/>
  <c r="D771" i="5" s="1"/>
  <c r="K774" i="1"/>
  <c r="C767" i="5"/>
  <c r="D767" i="5" s="1"/>
  <c r="K770" i="1"/>
  <c r="C763" i="5"/>
  <c r="D763" i="5" s="1"/>
  <c r="K766" i="1"/>
  <c r="C759" i="5"/>
  <c r="D759" i="5" s="1"/>
  <c r="K762" i="1"/>
  <c r="C755" i="5"/>
  <c r="D755" i="5" s="1"/>
  <c r="K758" i="1"/>
  <c r="C751" i="5"/>
  <c r="D751" i="5" s="1"/>
  <c r="K754" i="1"/>
  <c r="C747" i="5"/>
  <c r="D747" i="5" s="1"/>
  <c r="K750" i="1"/>
  <c r="C743" i="5"/>
  <c r="D743" i="5" s="1"/>
  <c r="K746" i="1"/>
  <c r="C739" i="5"/>
  <c r="D739" i="5" s="1"/>
  <c r="K742" i="1"/>
  <c r="C735" i="5"/>
  <c r="D735" i="5" s="1"/>
  <c r="K738" i="1"/>
  <c r="C731" i="5"/>
  <c r="D731" i="5" s="1"/>
  <c r="K734" i="1"/>
  <c r="C727" i="5"/>
  <c r="D727" i="5" s="1"/>
  <c r="K730" i="1"/>
  <c r="C723" i="5"/>
  <c r="D723" i="5" s="1"/>
  <c r="K726" i="1"/>
  <c r="C450" i="5"/>
  <c r="D450" i="5" s="1"/>
  <c r="K453" i="1"/>
  <c r="C448" i="5"/>
  <c r="D448" i="5" s="1"/>
  <c r="K451" i="1"/>
  <c r="C446" i="5"/>
  <c r="D446" i="5" s="1"/>
  <c r="K449" i="1"/>
  <c r="C444" i="5"/>
  <c r="D444" i="5" s="1"/>
  <c r="K447" i="1"/>
  <c r="C442" i="5"/>
  <c r="D442" i="5" s="1"/>
  <c r="K445" i="1"/>
  <c r="C440" i="5"/>
  <c r="D440" i="5" s="1"/>
  <c r="K443" i="1"/>
  <c r="C438" i="5"/>
  <c r="D438" i="5" s="1"/>
  <c r="K441" i="1"/>
  <c r="C436" i="5"/>
  <c r="D436" i="5" s="1"/>
  <c r="K439" i="1"/>
  <c r="C831" i="5"/>
  <c r="D831" i="5" s="1"/>
  <c r="K834" i="1"/>
  <c r="C827" i="5"/>
  <c r="D827" i="5" s="1"/>
  <c r="K830" i="1"/>
  <c r="C823" i="5"/>
  <c r="D823" i="5" s="1"/>
  <c r="K826" i="1"/>
  <c r="C819" i="5"/>
  <c r="D819" i="5" s="1"/>
  <c r="K822" i="1"/>
  <c r="C815" i="5"/>
  <c r="D815" i="5" s="1"/>
  <c r="K818" i="1"/>
  <c r="J24" i="5"/>
  <c r="C948" i="5"/>
  <c r="D948" i="5" s="1"/>
  <c r="K951" i="1"/>
  <c r="C944" i="5"/>
  <c r="D944" i="5" s="1"/>
  <c r="K947" i="1"/>
  <c r="C940" i="5"/>
  <c r="D940" i="5" s="1"/>
  <c r="K943" i="1"/>
  <c r="C936" i="5"/>
  <c r="D936" i="5" s="1"/>
  <c r="K939" i="1"/>
  <c r="C933" i="5"/>
  <c r="D933" i="5" s="1"/>
  <c r="K936" i="1"/>
  <c r="C929" i="5"/>
  <c r="D929" i="5" s="1"/>
  <c r="K932" i="1"/>
  <c r="C925" i="5"/>
  <c r="D925" i="5" s="1"/>
  <c r="K928" i="1"/>
  <c r="C921" i="5"/>
  <c r="D921" i="5" s="1"/>
  <c r="K924" i="1"/>
  <c r="C917" i="5"/>
  <c r="D917" i="5" s="1"/>
  <c r="K920" i="1"/>
  <c r="C879" i="5"/>
  <c r="D879" i="5" s="1"/>
  <c r="K882" i="1"/>
  <c r="C875" i="5"/>
  <c r="D875" i="5" s="1"/>
  <c r="K878" i="1"/>
  <c r="C871" i="5"/>
  <c r="D871" i="5" s="1"/>
  <c r="K874" i="1"/>
  <c r="C867" i="5"/>
  <c r="D867" i="5" s="1"/>
  <c r="K870" i="1"/>
  <c r="C863" i="5"/>
  <c r="D863" i="5" s="1"/>
  <c r="K866" i="1"/>
  <c r="C859" i="5"/>
  <c r="D859" i="5" s="1"/>
  <c r="K862" i="1"/>
  <c r="C855" i="5"/>
  <c r="D855" i="5" s="1"/>
  <c r="K858" i="1"/>
  <c r="C851" i="5"/>
  <c r="D851" i="5" s="1"/>
  <c r="K854" i="1"/>
  <c r="C847" i="5"/>
  <c r="D847" i="5" s="1"/>
  <c r="K850" i="1"/>
  <c r="C843" i="5"/>
  <c r="D843" i="5" s="1"/>
  <c r="K846" i="1"/>
  <c r="C839" i="5"/>
  <c r="D839" i="5" s="1"/>
  <c r="K842" i="1"/>
  <c r="C895" i="5"/>
  <c r="D895" i="5" s="1"/>
  <c r="K898" i="1"/>
  <c r="C893" i="5"/>
  <c r="D893" i="5" s="1"/>
  <c r="K896" i="1"/>
  <c r="C891" i="5"/>
  <c r="D891" i="5" s="1"/>
  <c r="K894" i="1"/>
  <c r="C889" i="5"/>
  <c r="D889" i="5" s="1"/>
  <c r="K892" i="1"/>
  <c r="C887" i="5"/>
  <c r="D887" i="5" s="1"/>
  <c r="K890" i="1"/>
  <c r="C885" i="5"/>
  <c r="D885" i="5" s="1"/>
  <c r="K888" i="1"/>
  <c r="C883" i="5"/>
  <c r="D883" i="5" s="1"/>
  <c r="K886" i="1"/>
  <c r="C909" i="5"/>
  <c r="D909" i="5" s="1"/>
  <c r="K912" i="1"/>
  <c r="C905" i="5"/>
  <c r="D905" i="5" s="1"/>
  <c r="K908" i="1"/>
  <c r="C901" i="5"/>
  <c r="D901" i="5" s="1"/>
  <c r="K904" i="1"/>
  <c r="C897" i="5"/>
  <c r="D897" i="5" s="1"/>
  <c r="K900" i="1"/>
  <c r="C835" i="5"/>
  <c r="D835" i="5" s="1"/>
  <c r="K838" i="1"/>
  <c r="C809" i="5"/>
  <c r="D809" i="5" s="1"/>
  <c r="K812" i="1"/>
  <c r="C805" i="5"/>
  <c r="D805" i="5" s="1"/>
  <c r="K808" i="1"/>
  <c r="C801" i="5"/>
  <c r="D801" i="5" s="1"/>
  <c r="K804" i="1"/>
  <c r="C797" i="5"/>
  <c r="D797" i="5" s="1"/>
  <c r="K800" i="1"/>
  <c r="C793" i="5"/>
  <c r="D793" i="5" s="1"/>
  <c r="K796" i="1"/>
  <c r="C789" i="5"/>
  <c r="D789" i="5" s="1"/>
  <c r="K792" i="1"/>
  <c r="C785" i="5"/>
  <c r="D785" i="5" s="1"/>
  <c r="K788" i="1"/>
  <c r="C781" i="5"/>
  <c r="D781" i="5" s="1"/>
  <c r="K784" i="1"/>
  <c r="C777" i="5"/>
  <c r="D777" i="5" s="1"/>
  <c r="K780" i="1"/>
  <c r="C773" i="5"/>
  <c r="D773" i="5" s="1"/>
  <c r="K776" i="1"/>
  <c r="C769" i="5"/>
  <c r="D769" i="5" s="1"/>
  <c r="K772" i="1"/>
  <c r="C765" i="5"/>
  <c r="D765" i="5" s="1"/>
  <c r="K768" i="1"/>
  <c r="C761" i="5"/>
  <c r="D761" i="5" s="1"/>
  <c r="K764" i="1"/>
  <c r="C757" i="5"/>
  <c r="D757" i="5" s="1"/>
  <c r="K760" i="1"/>
  <c r="C753" i="5"/>
  <c r="D753" i="5" s="1"/>
  <c r="K756" i="1"/>
  <c r="C749" i="5"/>
  <c r="D749" i="5" s="1"/>
  <c r="K752" i="1"/>
  <c r="C745" i="5"/>
  <c r="D745" i="5" s="1"/>
  <c r="K748" i="1"/>
  <c r="C741" i="5"/>
  <c r="D741" i="5" s="1"/>
  <c r="K744" i="1"/>
  <c r="C737" i="5"/>
  <c r="D737" i="5" s="1"/>
  <c r="K740" i="1"/>
  <c r="C733" i="5"/>
  <c r="D733" i="5" s="1"/>
  <c r="K736" i="1"/>
  <c r="C729" i="5"/>
  <c r="D729" i="5" s="1"/>
  <c r="K732" i="1"/>
  <c r="C725" i="5"/>
  <c r="D725" i="5" s="1"/>
  <c r="K728" i="1"/>
  <c r="C721" i="5"/>
  <c r="D721" i="5" s="1"/>
  <c r="K724" i="1"/>
  <c r="C833" i="5"/>
  <c r="D833" i="5" s="1"/>
  <c r="K836" i="1"/>
  <c r="C829" i="5"/>
  <c r="D829" i="5" s="1"/>
  <c r="K832" i="1"/>
  <c r="C825" i="5"/>
  <c r="D825" i="5" s="1"/>
  <c r="K828" i="1"/>
  <c r="C821" i="5"/>
  <c r="D821" i="5" s="1"/>
  <c r="K824" i="1"/>
  <c r="C817" i="5"/>
  <c r="D817" i="5" s="1"/>
  <c r="K820" i="1"/>
  <c r="J22" i="5"/>
  <c r="J20" i="5"/>
  <c r="J16" i="5"/>
  <c r="J14" i="5"/>
  <c r="J12" i="5"/>
  <c r="J10" i="5"/>
  <c r="C1002" i="5"/>
  <c r="D1002" i="5" s="1"/>
  <c r="K1005" i="1"/>
  <c r="C998" i="5"/>
  <c r="D998" i="5" s="1"/>
  <c r="K1001" i="1"/>
  <c r="C994" i="5"/>
  <c r="D994" i="5" s="1"/>
  <c r="K997" i="1"/>
  <c r="C990" i="5"/>
  <c r="D990" i="5" s="1"/>
  <c r="K993" i="1"/>
  <c r="C986" i="5"/>
  <c r="D986" i="5" s="1"/>
  <c r="K989" i="1"/>
  <c r="C982" i="5"/>
  <c r="D982" i="5" s="1"/>
  <c r="K985" i="1"/>
  <c r="C978" i="5"/>
  <c r="D978" i="5" s="1"/>
  <c r="K981" i="1"/>
  <c r="C974" i="5"/>
  <c r="D974" i="5" s="1"/>
  <c r="K977" i="1"/>
  <c r="C970" i="5"/>
  <c r="D970" i="5" s="1"/>
  <c r="K973" i="1"/>
  <c r="C966" i="5"/>
  <c r="D966" i="5" s="1"/>
  <c r="K969" i="1"/>
  <c r="C962" i="5"/>
  <c r="D962" i="5" s="1"/>
  <c r="K965" i="1"/>
  <c r="C958" i="5"/>
  <c r="D958" i="5" s="1"/>
  <c r="K961" i="1"/>
  <c r="C954" i="5"/>
  <c r="D954" i="5" s="1"/>
  <c r="K957" i="1"/>
  <c r="C950" i="5"/>
  <c r="D950" i="5" s="1"/>
  <c r="K953" i="1"/>
  <c r="C960" i="5"/>
  <c r="D960" i="5" s="1"/>
  <c r="K963" i="1"/>
  <c r="C972" i="5"/>
  <c r="D972" i="5" s="1"/>
  <c r="K975" i="1"/>
  <c r="C956" i="5"/>
  <c r="D956" i="5" s="1"/>
  <c r="K959" i="1"/>
  <c r="C668" i="5"/>
  <c r="D668" i="5" s="1"/>
  <c r="K671" i="1"/>
  <c r="C664" i="5"/>
  <c r="D664" i="5" s="1"/>
  <c r="K667" i="1"/>
  <c r="C660" i="5"/>
  <c r="D660" i="5" s="1"/>
  <c r="K663" i="1"/>
  <c r="C656" i="5"/>
  <c r="D656" i="5" s="1"/>
  <c r="K659" i="1"/>
  <c r="C652" i="5"/>
  <c r="D652" i="5" s="1"/>
  <c r="K655" i="1"/>
  <c r="C648" i="5"/>
  <c r="D648" i="5" s="1"/>
  <c r="K651" i="1"/>
  <c r="C644" i="5"/>
  <c r="D644" i="5" s="1"/>
  <c r="K647" i="1"/>
  <c r="C640" i="5"/>
  <c r="D640" i="5" s="1"/>
  <c r="K643" i="1"/>
  <c r="C636" i="5"/>
  <c r="D636" i="5" s="1"/>
  <c r="K639" i="1"/>
  <c r="C632" i="5"/>
  <c r="D632" i="5" s="1"/>
  <c r="K635" i="1"/>
  <c r="C628" i="5"/>
  <c r="D628" i="5" s="1"/>
  <c r="K631" i="1"/>
  <c r="C624" i="5"/>
  <c r="D624" i="5" s="1"/>
  <c r="K627" i="1"/>
  <c r="C620" i="5"/>
  <c r="D620" i="5" s="1"/>
  <c r="K623" i="1"/>
  <c r="C616" i="5"/>
  <c r="D616" i="5" s="1"/>
  <c r="K619" i="1"/>
  <c r="C612" i="5"/>
  <c r="D612" i="5" s="1"/>
  <c r="K615" i="1"/>
  <c r="C608" i="5"/>
  <c r="D608" i="5" s="1"/>
  <c r="K611" i="1"/>
  <c r="C604" i="5"/>
  <c r="D604" i="5" s="1"/>
  <c r="K607" i="1"/>
  <c r="C600" i="5"/>
  <c r="D600" i="5" s="1"/>
  <c r="K603" i="1"/>
  <c r="C596" i="5"/>
  <c r="D596" i="5" s="1"/>
  <c r="K599" i="1"/>
  <c r="C592" i="5"/>
  <c r="D592" i="5" s="1"/>
  <c r="K595" i="1"/>
  <c r="C588" i="5"/>
  <c r="D588" i="5" s="1"/>
  <c r="K591" i="1"/>
  <c r="C662" i="5"/>
  <c r="D662" i="5" s="1"/>
  <c r="K665" i="1"/>
  <c r="C646" i="5"/>
  <c r="D646" i="5" s="1"/>
  <c r="K649" i="1"/>
  <c r="C630" i="5"/>
  <c r="D630" i="5" s="1"/>
  <c r="K633" i="1"/>
  <c r="C614" i="5"/>
  <c r="D614" i="5" s="1"/>
  <c r="K617" i="1"/>
  <c r="C598" i="5"/>
  <c r="D598" i="5" s="1"/>
  <c r="K601" i="1"/>
  <c r="C584" i="5"/>
  <c r="D584" i="5" s="1"/>
  <c r="K587" i="1"/>
  <c r="C570" i="5"/>
  <c r="D570" i="5" s="1"/>
  <c r="K573" i="1"/>
  <c r="C568" i="5"/>
  <c r="D568" i="5" s="1"/>
  <c r="K571" i="1"/>
  <c r="C666" i="5"/>
  <c r="D666" i="5" s="1"/>
  <c r="K669" i="1"/>
  <c r="C650" i="5"/>
  <c r="D650" i="5" s="1"/>
  <c r="K653" i="1"/>
  <c r="C634" i="5"/>
  <c r="D634" i="5" s="1"/>
  <c r="K637" i="1"/>
  <c r="C618" i="5"/>
  <c r="D618" i="5" s="1"/>
  <c r="K621" i="1"/>
  <c r="C602" i="5"/>
  <c r="D602" i="5" s="1"/>
  <c r="K605" i="1"/>
  <c r="C586" i="5"/>
  <c r="D586" i="5" s="1"/>
  <c r="K589" i="1"/>
  <c r="C574" i="5"/>
  <c r="D574" i="5" s="1"/>
  <c r="K577" i="1"/>
  <c r="C572" i="5"/>
  <c r="D572" i="5" s="1"/>
  <c r="K575" i="1"/>
  <c r="C556" i="5"/>
  <c r="D556" i="5" s="1"/>
  <c r="K559" i="1"/>
  <c r="C480" i="5"/>
  <c r="D480" i="5" s="1"/>
  <c r="K483" i="1"/>
  <c r="C476" i="5"/>
  <c r="D476" i="5" s="1"/>
  <c r="K479" i="1"/>
  <c r="C472" i="5"/>
  <c r="D472" i="5" s="1"/>
  <c r="K475" i="1"/>
  <c r="C468" i="5"/>
  <c r="D468" i="5" s="1"/>
  <c r="K471" i="1"/>
  <c r="C464" i="5"/>
  <c r="D464" i="5" s="1"/>
  <c r="K467" i="1"/>
  <c r="C460" i="5"/>
  <c r="D460" i="5" s="1"/>
  <c r="K463" i="1"/>
  <c r="C456" i="5"/>
  <c r="D456" i="5" s="1"/>
  <c r="K459" i="1"/>
  <c r="C452" i="5"/>
  <c r="D452" i="5" s="1"/>
  <c r="K455" i="1"/>
  <c r="C434" i="5"/>
  <c r="D434" i="5" s="1"/>
  <c r="K437" i="1"/>
  <c r="C432" i="5"/>
  <c r="D432" i="5" s="1"/>
  <c r="K435" i="1"/>
  <c r="C430" i="5"/>
  <c r="D430" i="5" s="1"/>
  <c r="K433" i="1"/>
  <c r="C428" i="5"/>
  <c r="D428" i="5" s="1"/>
  <c r="K431" i="1"/>
  <c r="C426" i="5"/>
  <c r="D426" i="5" s="1"/>
  <c r="K429" i="1"/>
  <c r="C424" i="5"/>
  <c r="D424" i="5" s="1"/>
  <c r="K427" i="1"/>
  <c r="C422" i="5"/>
  <c r="D422" i="5" s="1"/>
  <c r="K425" i="1"/>
  <c r="C420" i="5"/>
  <c r="D420" i="5" s="1"/>
  <c r="K423" i="1"/>
  <c r="C418" i="5"/>
  <c r="D418" i="5" s="1"/>
  <c r="K421" i="1"/>
  <c r="C416" i="5"/>
  <c r="D416" i="5" s="1"/>
  <c r="K419" i="1"/>
  <c r="C414" i="5"/>
  <c r="D414" i="5" s="1"/>
  <c r="K417" i="1"/>
  <c r="C412" i="5"/>
  <c r="D412" i="5" s="1"/>
  <c r="K415" i="1"/>
  <c r="C410" i="5"/>
  <c r="D410" i="5" s="1"/>
  <c r="K413" i="1"/>
  <c r="C408" i="5"/>
  <c r="D408" i="5" s="1"/>
  <c r="K411" i="1"/>
  <c r="C406" i="5"/>
  <c r="D406" i="5" s="1"/>
  <c r="K409" i="1"/>
  <c r="C404" i="5"/>
  <c r="D404" i="5" s="1"/>
  <c r="K407" i="1"/>
  <c r="C402" i="5"/>
  <c r="D402" i="5" s="1"/>
  <c r="K405" i="1"/>
  <c r="C400" i="5"/>
  <c r="D400" i="5" s="1"/>
  <c r="K403" i="1"/>
  <c r="C398" i="5"/>
  <c r="D398" i="5" s="1"/>
  <c r="K401" i="1"/>
  <c r="C396" i="5"/>
  <c r="D396" i="5" s="1"/>
  <c r="K399" i="1"/>
  <c r="C394" i="5"/>
  <c r="D394" i="5" s="1"/>
  <c r="K397" i="1"/>
  <c r="C392" i="5"/>
  <c r="D392" i="5" s="1"/>
  <c r="K395" i="1"/>
  <c r="C390" i="5"/>
  <c r="D390" i="5" s="1"/>
  <c r="K393" i="1"/>
  <c r="C388" i="5"/>
  <c r="D388" i="5" s="1"/>
  <c r="K391" i="1"/>
  <c r="C386" i="5"/>
  <c r="D386" i="5" s="1"/>
  <c r="K389" i="1"/>
  <c r="C384" i="5"/>
  <c r="D384" i="5" s="1"/>
  <c r="K387" i="1"/>
  <c r="C382" i="5"/>
  <c r="D382" i="5" s="1"/>
  <c r="K385" i="1"/>
  <c r="C380" i="5"/>
  <c r="D380" i="5" s="1"/>
  <c r="K383" i="1"/>
  <c r="C378" i="5"/>
  <c r="D378" i="5" s="1"/>
  <c r="K381" i="1"/>
  <c r="C474" i="5"/>
  <c r="D474" i="5" s="1"/>
  <c r="K477" i="1"/>
  <c r="C458" i="5"/>
  <c r="D458" i="5" s="1"/>
  <c r="K461" i="1"/>
  <c r="C374" i="5"/>
  <c r="D374" i="5" s="1"/>
  <c r="K377" i="1"/>
  <c r="C370" i="5"/>
  <c r="D370" i="5" s="1"/>
  <c r="K373" i="1"/>
  <c r="C366" i="5"/>
  <c r="D366" i="5" s="1"/>
  <c r="K369" i="1"/>
  <c r="C362" i="5"/>
  <c r="D362" i="5" s="1"/>
  <c r="K365" i="1"/>
  <c r="C358" i="5"/>
  <c r="D358" i="5" s="1"/>
  <c r="K361" i="1"/>
  <c r="C354" i="5"/>
  <c r="D354" i="5" s="1"/>
  <c r="K357" i="1"/>
  <c r="C350" i="5"/>
  <c r="D350" i="5" s="1"/>
  <c r="K353" i="1"/>
  <c r="C346" i="5"/>
  <c r="D346" i="5" s="1"/>
  <c r="K349" i="1"/>
  <c r="C342" i="5"/>
  <c r="D342" i="5" s="1"/>
  <c r="K345" i="1"/>
  <c r="C338" i="5"/>
  <c r="D338" i="5" s="1"/>
  <c r="K341" i="1"/>
  <c r="C334" i="5"/>
  <c r="D334" i="5" s="1"/>
  <c r="K337" i="1"/>
  <c r="C330" i="5"/>
  <c r="D330" i="5" s="1"/>
  <c r="K333" i="1"/>
  <c r="C326" i="5"/>
  <c r="D326" i="5" s="1"/>
  <c r="K329" i="1"/>
  <c r="C322" i="5"/>
  <c r="D322" i="5" s="1"/>
  <c r="K325" i="1"/>
  <c r="C318" i="5"/>
  <c r="D318" i="5" s="1"/>
  <c r="K321" i="1"/>
  <c r="C314" i="5"/>
  <c r="D314" i="5" s="1"/>
  <c r="K317" i="1"/>
  <c r="C310" i="5"/>
  <c r="D310" i="5" s="1"/>
  <c r="K313" i="1"/>
  <c r="C306" i="5"/>
  <c r="D306" i="5" s="1"/>
  <c r="K309" i="1"/>
  <c r="C302" i="5"/>
  <c r="D302" i="5" s="1"/>
  <c r="K305" i="1"/>
  <c r="C298" i="5"/>
  <c r="D298" i="5" s="1"/>
  <c r="K301" i="1"/>
  <c r="C294" i="5"/>
  <c r="D294" i="5" s="1"/>
  <c r="K297" i="1"/>
  <c r="C290" i="5"/>
  <c r="D290" i="5" s="1"/>
  <c r="K293" i="1"/>
  <c r="C286" i="5"/>
  <c r="D286" i="5" s="1"/>
  <c r="K289" i="1"/>
  <c r="C282" i="5"/>
  <c r="D282" i="5" s="1"/>
  <c r="K285" i="1"/>
  <c r="C278" i="5"/>
  <c r="D278" i="5" s="1"/>
  <c r="K281" i="1"/>
  <c r="C274" i="5"/>
  <c r="D274" i="5" s="1"/>
  <c r="K277" i="1"/>
  <c r="C270" i="5"/>
  <c r="D270" i="5" s="1"/>
  <c r="K273" i="1"/>
  <c r="C266" i="5"/>
  <c r="D266" i="5" s="1"/>
  <c r="K269" i="1"/>
  <c r="C262" i="5"/>
  <c r="D262" i="5" s="1"/>
  <c r="K265" i="1"/>
  <c r="C258" i="5"/>
  <c r="D258" i="5" s="1"/>
  <c r="K261" i="1"/>
  <c r="C254" i="5"/>
  <c r="D254" i="5" s="1"/>
  <c r="K257" i="1"/>
  <c r="C250" i="5"/>
  <c r="D250" i="5" s="1"/>
  <c r="K253" i="1"/>
  <c r="C246" i="5"/>
  <c r="D246" i="5" s="1"/>
  <c r="K249" i="1"/>
  <c r="C242" i="5"/>
  <c r="D242" i="5" s="1"/>
  <c r="K245" i="1"/>
  <c r="C238" i="5"/>
  <c r="D238" i="5" s="1"/>
  <c r="K241" i="1"/>
  <c r="C470" i="5"/>
  <c r="D470" i="5" s="1"/>
  <c r="K473" i="1"/>
  <c r="C454" i="5"/>
  <c r="D454" i="5" s="1"/>
  <c r="K457" i="1"/>
  <c r="C234" i="5"/>
  <c r="D234" i="5" s="1"/>
  <c r="K237" i="1"/>
  <c r="C232" i="5"/>
  <c r="D232" i="5" s="1"/>
  <c r="K235" i="1"/>
  <c r="C230" i="5"/>
  <c r="D230" i="5" s="1"/>
  <c r="K233" i="1"/>
  <c r="C228" i="5"/>
  <c r="D228" i="5" s="1"/>
  <c r="K231" i="1"/>
  <c r="C226" i="5"/>
  <c r="D226" i="5" s="1"/>
  <c r="K229" i="1"/>
  <c r="C224" i="5"/>
  <c r="D224" i="5" s="1"/>
  <c r="K227" i="1"/>
  <c r="C222" i="5"/>
  <c r="D222" i="5" s="1"/>
  <c r="K225" i="1"/>
  <c r="C220" i="5"/>
  <c r="D220" i="5" s="1"/>
  <c r="K223" i="1"/>
  <c r="C218" i="5"/>
  <c r="D218" i="5" s="1"/>
  <c r="K221" i="1"/>
  <c r="C216" i="5"/>
  <c r="D216" i="5" s="1"/>
  <c r="K219" i="1"/>
  <c r="C214" i="5"/>
  <c r="D214" i="5" s="1"/>
  <c r="K217" i="1"/>
  <c r="C212" i="5"/>
  <c r="D212" i="5" s="1"/>
  <c r="K215" i="1"/>
  <c r="C210" i="5"/>
  <c r="D210" i="5" s="1"/>
  <c r="K213" i="1"/>
  <c r="C208" i="5"/>
  <c r="D208" i="5" s="1"/>
  <c r="K211" i="1"/>
  <c r="C206" i="5"/>
  <c r="D206" i="5" s="1"/>
  <c r="K209" i="1"/>
  <c r="C204" i="5"/>
  <c r="D204" i="5" s="1"/>
  <c r="K207" i="1"/>
  <c r="C202" i="5"/>
  <c r="D202" i="5" s="1"/>
  <c r="K205" i="1"/>
  <c r="C200" i="5"/>
  <c r="D200" i="5" s="1"/>
  <c r="K203" i="1"/>
  <c r="C198" i="5"/>
  <c r="D198" i="5" s="1"/>
  <c r="K201" i="1"/>
  <c r="C196" i="5"/>
  <c r="D196" i="5" s="1"/>
  <c r="K199" i="1"/>
  <c r="C194" i="5"/>
  <c r="D194" i="5" s="1"/>
  <c r="K197" i="1"/>
  <c r="C192" i="5"/>
  <c r="D192" i="5" s="1"/>
  <c r="K195" i="1"/>
  <c r="C190" i="5"/>
  <c r="D190" i="5" s="1"/>
  <c r="K193" i="1"/>
  <c r="C188" i="5"/>
  <c r="D188" i="5" s="1"/>
  <c r="K191" i="1"/>
  <c r="C186" i="5"/>
  <c r="D186" i="5" s="1"/>
  <c r="K189" i="1"/>
  <c r="C184" i="5"/>
  <c r="D184" i="5" s="1"/>
  <c r="K187" i="1"/>
  <c r="C182" i="5"/>
  <c r="D182" i="5" s="1"/>
  <c r="K185" i="1"/>
  <c r="C180" i="5"/>
  <c r="D180" i="5" s="1"/>
  <c r="K183" i="1"/>
  <c r="C178" i="5"/>
  <c r="D178" i="5" s="1"/>
  <c r="K181" i="1"/>
  <c r="C176" i="5"/>
  <c r="D176" i="5" s="1"/>
  <c r="K179" i="1"/>
  <c r="C174" i="5"/>
  <c r="D174" i="5" s="1"/>
  <c r="K177" i="1"/>
  <c r="C172" i="5"/>
  <c r="D172" i="5" s="1"/>
  <c r="K175" i="1"/>
  <c r="C170" i="5"/>
  <c r="D170" i="5" s="1"/>
  <c r="K173" i="1"/>
  <c r="C168" i="5"/>
  <c r="D168" i="5" s="1"/>
  <c r="K171" i="1"/>
  <c r="C166" i="5"/>
  <c r="D166" i="5" s="1"/>
  <c r="K169" i="1"/>
  <c r="C164" i="5"/>
  <c r="D164" i="5" s="1"/>
  <c r="K167" i="1"/>
  <c r="C162" i="5"/>
  <c r="D162" i="5" s="1"/>
  <c r="K165" i="1"/>
  <c r="C160" i="5"/>
  <c r="D160" i="5" s="1"/>
  <c r="K163" i="1"/>
  <c r="C158" i="5"/>
  <c r="D158" i="5" s="1"/>
  <c r="K161" i="1"/>
  <c r="C156" i="5"/>
  <c r="D156" i="5" s="1"/>
  <c r="K159" i="1"/>
  <c r="C154" i="5"/>
  <c r="D154" i="5" s="1"/>
  <c r="K157" i="1"/>
  <c r="C152" i="5"/>
  <c r="D152" i="5" s="1"/>
  <c r="K155" i="1"/>
  <c r="C150" i="5"/>
  <c r="D150" i="5" s="1"/>
  <c r="K153" i="1"/>
  <c r="C148" i="5"/>
  <c r="D148" i="5" s="1"/>
  <c r="K151" i="1"/>
  <c r="C146" i="5"/>
  <c r="D146" i="5" s="1"/>
  <c r="K149" i="1"/>
  <c r="C144" i="5"/>
  <c r="D144" i="5" s="1"/>
  <c r="K147" i="1"/>
  <c r="C142" i="5"/>
  <c r="D142" i="5" s="1"/>
  <c r="K145" i="1"/>
  <c r="C140" i="5"/>
  <c r="D140" i="5" s="1"/>
  <c r="K143" i="1"/>
  <c r="C138" i="5"/>
  <c r="D138" i="5" s="1"/>
  <c r="K141" i="1"/>
  <c r="C136" i="5"/>
  <c r="D136" i="5" s="1"/>
  <c r="K139" i="1"/>
  <c r="C134" i="5"/>
  <c r="D134" i="5" s="1"/>
  <c r="K137" i="1"/>
  <c r="C132" i="5"/>
  <c r="D132" i="5" s="1"/>
  <c r="K135" i="1"/>
  <c r="C130" i="5"/>
  <c r="D130" i="5" s="1"/>
  <c r="K133" i="1"/>
  <c r="C128" i="5"/>
  <c r="D128" i="5" s="1"/>
  <c r="K131" i="1"/>
  <c r="C126" i="5"/>
  <c r="D126" i="5" s="1"/>
  <c r="K129" i="1"/>
  <c r="C124" i="5"/>
  <c r="D124" i="5" s="1"/>
  <c r="K127" i="1"/>
  <c r="C122" i="5"/>
  <c r="D122" i="5" s="1"/>
  <c r="K125" i="1"/>
  <c r="C120" i="5"/>
  <c r="D120" i="5" s="1"/>
  <c r="K123" i="1"/>
  <c r="C118" i="5"/>
  <c r="D118" i="5" s="1"/>
  <c r="K121" i="1"/>
  <c r="C116" i="5"/>
  <c r="D116" i="5" s="1"/>
  <c r="K119" i="1"/>
  <c r="C114" i="5"/>
  <c r="D114" i="5" s="1"/>
  <c r="K117" i="1"/>
  <c r="C112" i="5"/>
  <c r="D112" i="5" s="1"/>
  <c r="K115" i="1"/>
  <c r="C110" i="5"/>
  <c r="D110" i="5" s="1"/>
  <c r="K113" i="1"/>
  <c r="C108" i="5"/>
  <c r="D108" i="5" s="1"/>
  <c r="K111" i="1"/>
  <c r="C106" i="5"/>
  <c r="D106" i="5" s="1"/>
  <c r="K109" i="1"/>
  <c r="C104" i="5"/>
  <c r="D104" i="5" s="1"/>
  <c r="K107" i="1"/>
  <c r="C102" i="5"/>
  <c r="D102" i="5" s="1"/>
  <c r="K105" i="1"/>
  <c r="C100" i="5"/>
  <c r="D100" i="5" s="1"/>
  <c r="K103" i="1"/>
  <c r="C98" i="5"/>
  <c r="D98" i="5" s="1"/>
  <c r="K101" i="1"/>
  <c r="C96" i="5"/>
  <c r="D96" i="5" s="1"/>
  <c r="K99" i="1"/>
  <c r="C94" i="5"/>
  <c r="D94" i="5" s="1"/>
  <c r="K97" i="1"/>
  <c r="C92" i="5"/>
  <c r="D92" i="5" s="1"/>
  <c r="K95" i="1"/>
  <c r="C90" i="5"/>
  <c r="D90" i="5" s="1"/>
  <c r="K93" i="1"/>
  <c r="C88" i="5"/>
  <c r="D88" i="5" s="1"/>
  <c r="K91" i="1"/>
  <c r="C86" i="5"/>
  <c r="D86" i="5" s="1"/>
  <c r="K89" i="1"/>
  <c r="C84" i="5"/>
  <c r="D84" i="5" s="1"/>
  <c r="K87" i="1"/>
  <c r="C82" i="5"/>
  <c r="D82" i="5" s="1"/>
  <c r="K85" i="1"/>
  <c r="C80" i="5"/>
  <c r="D80" i="5" s="1"/>
  <c r="K83" i="1"/>
  <c r="C78" i="5"/>
  <c r="D78" i="5" s="1"/>
  <c r="K81" i="1"/>
  <c r="C76" i="5"/>
  <c r="D76" i="5" s="1"/>
  <c r="K79" i="1"/>
  <c r="C74" i="5"/>
  <c r="D74" i="5" s="1"/>
  <c r="K77" i="1"/>
  <c r="C72" i="5"/>
  <c r="D72" i="5" s="1"/>
  <c r="K75" i="1"/>
  <c r="C70" i="5"/>
  <c r="D70" i="5" s="1"/>
  <c r="K73" i="1"/>
  <c r="C68" i="5"/>
  <c r="D68" i="5" s="1"/>
  <c r="K71" i="1"/>
  <c r="C66" i="5"/>
  <c r="D66" i="5" s="1"/>
  <c r="K69" i="1"/>
  <c r="C64" i="5"/>
  <c r="D64" i="5" s="1"/>
  <c r="K67" i="1"/>
  <c r="C62" i="5"/>
  <c r="D62" i="5" s="1"/>
  <c r="K65" i="1"/>
  <c r="C60" i="5"/>
  <c r="D60" i="5" s="1"/>
  <c r="K63" i="1"/>
  <c r="C58" i="5"/>
  <c r="D58" i="5" s="1"/>
  <c r="K61" i="1"/>
  <c r="C56" i="5"/>
  <c r="D56" i="5" s="1"/>
  <c r="K59" i="1"/>
  <c r="C54" i="5"/>
  <c r="D54" i="5" s="1"/>
  <c r="K57" i="1"/>
  <c r="C52" i="5"/>
  <c r="D52" i="5" s="1"/>
  <c r="K55" i="1"/>
  <c r="C50" i="5"/>
  <c r="D50" i="5" s="1"/>
  <c r="K53" i="1"/>
  <c r="C48" i="5"/>
  <c r="D48" i="5" s="1"/>
  <c r="K51" i="1"/>
  <c r="C46" i="5"/>
  <c r="D46" i="5" s="1"/>
  <c r="K49" i="1"/>
  <c r="C44" i="5"/>
  <c r="D44" i="5" s="1"/>
  <c r="K47" i="1"/>
  <c r="C42" i="5"/>
  <c r="D42" i="5" s="1"/>
  <c r="K45" i="1"/>
  <c r="C40" i="5"/>
  <c r="D40" i="5" s="1"/>
  <c r="K43" i="1"/>
  <c r="C38" i="5"/>
  <c r="D38" i="5" s="1"/>
  <c r="K41" i="1"/>
  <c r="C36" i="5"/>
  <c r="D36" i="5" s="1"/>
  <c r="K39" i="1"/>
  <c r="C34" i="5"/>
  <c r="D34" i="5" s="1"/>
  <c r="K37" i="1"/>
  <c r="C32" i="5"/>
  <c r="D32" i="5" s="1"/>
  <c r="K35" i="1"/>
  <c r="C30" i="5"/>
  <c r="D30" i="5" s="1"/>
  <c r="K33" i="1"/>
  <c r="C28" i="5"/>
  <c r="D28" i="5" s="1"/>
  <c r="K31" i="1"/>
  <c r="C26" i="5"/>
  <c r="D26" i="5" s="1"/>
  <c r="K29" i="1"/>
  <c r="C24" i="5"/>
  <c r="D24" i="5" s="1"/>
  <c r="K27" i="1"/>
  <c r="C22" i="5"/>
  <c r="D22" i="5" s="1"/>
  <c r="K25" i="1"/>
  <c r="C20" i="5"/>
  <c r="D20" i="5" s="1"/>
  <c r="K23" i="1"/>
  <c r="C18" i="5"/>
  <c r="D18" i="5" s="1"/>
  <c r="C16" i="5"/>
  <c r="D16" i="5" s="1"/>
  <c r="K19" i="1"/>
  <c r="C14" i="5"/>
  <c r="D14" i="5" s="1"/>
  <c r="K17" i="1"/>
  <c r="C12" i="5"/>
  <c r="D12" i="5" s="1"/>
  <c r="K15" i="1"/>
  <c r="C10" i="5"/>
  <c r="D10" i="5" s="1"/>
  <c r="K13" i="1"/>
  <c r="C372" i="5"/>
  <c r="D372" i="5" s="1"/>
  <c r="K375" i="1"/>
  <c r="C356" i="5"/>
  <c r="D356" i="5" s="1"/>
  <c r="K359" i="1"/>
  <c r="C340" i="5"/>
  <c r="D340" i="5" s="1"/>
  <c r="K343" i="1"/>
  <c r="C324" i="5"/>
  <c r="D324" i="5" s="1"/>
  <c r="K327" i="1"/>
  <c r="C308" i="5"/>
  <c r="D308" i="5" s="1"/>
  <c r="K311" i="1"/>
  <c r="C292" i="5"/>
  <c r="D292" i="5" s="1"/>
  <c r="K295" i="1"/>
  <c r="C276" i="5"/>
  <c r="D276" i="5" s="1"/>
  <c r="K279" i="1"/>
  <c r="C260" i="5"/>
  <c r="D260" i="5" s="1"/>
  <c r="K263" i="1"/>
  <c r="C244" i="5"/>
  <c r="D244" i="5" s="1"/>
  <c r="K247" i="1"/>
  <c r="C360" i="5"/>
  <c r="D360" i="5" s="1"/>
  <c r="K363" i="1"/>
  <c r="C344" i="5"/>
  <c r="D344" i="5" s="1"/>
  <c r="K347" i="1"/>
  <c r="C328" i="5"/>
  <c r="D328" i="5" s="1"/>
  <c r="K331" i="1"/>
  <c r="C312" i="5"/>
  <c r="D312" i="5" s="1"/>
  <c r="K315" i="1"/>
  <c r="C296" i="5"/>
  <c r="D296" i="5" s="1"/>
  <c r="K299" i="1"/>
  <c r="C280" i="5"/>
  <c r="D280" i="5" s="1"/>
  <c r="K283" i="1"/>
  <c r="C264" i="5"/>
  <c r="D264" i="5" s="1"/>
  <c r="K267" i="1"/>
  <c r="C248" i="5"/>
  <c r="D248" i="5" s="1"/>
  <c r="K251" i="1"/>
  <c r="D1019" i="3"/>
  <c r="C968" i="5"/>
  <c r="D968" i="5" s="1"/>
  <c r="K971" i="1"/>
  <c r="C952" i="5"/>
  <c r="D952" i="5" s="1"/>
  <c r="K955" i="1"/>
  <c r="C718" i="5"/>
  <c r="D718" i="5" s="1"/>
  <c r="K721" i="1"/>
  <c r="C716" i="5"/>
  <c r="D716" i="5" s="1"/>
  <c r="K719" i="1"/>
  <c r="C714" i="5"/>
  <c r="D714" i="5" s="1"/>
  <c r="K717" i="1"/>
  <c r="C712" i="5"/>
  <c r="D712" i="5" s="1"/>
  <c r="K715" i="1"/>
  <c r="C710" i="5"/>
  <c r="D710" i="5" s="1"/>
  <c r="K713" i="1"/>
  <c r="C708" i="5"/>
  <c r="D708" i="5" s="1"/>
  <c r="K711" i="1"/>
  <c r="C706" i="5"/>
  <c r="D706" i="5" s="1"/>
  <c r="K709" i="1"/>
  <c r="C704" i="5"/>
  <c r="D704" i="5" s="1"/>
  <c r="K707" i="1"/>
  <c r="C702" i="5"/>
  <c r="D702" i="5" s="1"/>
  <c r="K705" i="1"/>
  <c r="C700" i="5"/>
  <c r="D700" i="5" s="1"/>
  <c r="K703" i="1"/>
  <c r="C698" i="5"/>
  <c r="D698" i="5" s="1"/>
  <c r="K701" i="1"/>
  <c r="C696" i="5"/>
  <c r="D696" i="5" s="1"/>
  <c r="K699" i="1"/>
  <c r="C694" i="5"/>
  <c r="D694" i="5" s="1"/>
  <c r="K697" i="1"/>
  <c r="C692" i="5"/>
  <c r="D692" i="5" s="1"/>
  <c r="K695" i="1"/>
  <c r="C690" i="5"/>
  <c r="D690" i="5" s="1"/>
  <c r="K693" i="1"/>
  <c r="C688" i="5"/>
  <c r="D688" i="5" s="1"/>
  <c r="K691" i="1"/>
  <c r="C686" i="5"/>
  <c r="D686" i="5" s="1"/>
  <c r="K689" i="1"/>
  <c r="C684" i="5"/>
  <c r="D684" i="5" s="1"/>
  <c r="K687" i="1"/>
  <c r="C682" i="5"/>
  <c r="D682" i="5" s="1"/>
  <c r="K685" i="1"/>
  <c r="C680" i="5"/>
  <c r="D680" i="5" s="1"/>
  <c r="K683" i="1"/>
  <c r="C678" i="5"/>
  <c r="D678" i="5" s="1"/>
  <c r="K681" i="1"/>
  <c r="C676" i="5"/>
  <c r="D676" i="5" s="1"/>
  <c r="K679" i="1"/>
  <c r="C674" i="5"/>
  <c r="D674" i="5" s="1"/>
  <c r="K677" i="1"/>
  <c r="C672" i="5"/>
  <c r="D672" i="5" s="1"/>
  <c r="K675" i="1"/>
  <c r="C964" i="5"/>
  <c r="D964" i="5" s="1"/>
  <c r="K967" i="1"/>
  <c r="C670" i="5"/>
  <c r="D670" i="5" s="1"/>
  <c r="K673" i="1"/>
  <c r="C654" i="5"/>
  <c r="D654" i="5" s="1"/>
  <c r="K657" i="1"/>
  <c r="C638" i="5"/>
  <c r="D638" i="5" s="1"/>
  <c r="K641" i="1"/>
  <c r="C622" i="5"/>
  <c r="D622" i="5" s="1"/>
  <c r="K625" i="1"/>
  <c r="C606" i="5"/>
  <c r="D606" i="5" s="1"/>
  <c r="K609" i="1"/>
  <c r="C590" i="5"/>
  <c r="D590" i="5" s="1"/>
  <c r="K593" i="1"/>
  <c r="C578" i="5"/>
  <c r="D578" i="5" s="1"/>
  <c r="K581" i="1"/>
  <c r="C576" i="5"/>
  <c r="D576" i="5" s="1"/>
  <c r="K579" i="1"/>
  <c r="C562" i="5"/>
  <c r="D562" i="5" s="1"/>
  <c r="K565" i="1"/>
  <c r="C560" i="5"/>
  <c r="D560" i="5" s="1"/>
  <c r="K563" i="1"/>
  <c r="C558" i="5"/>
  <c r="D558" i="5" s="1"/>
  <c r="K561" i="1"/>
  <c r="C658" i="5"/>
  <c r="D658" i="5" s="1"/>
  <c r="K661" i="1"/>
  <c r="C642" i="5"/>
  <c r="D642" i="5" s="1"/>
  <c r="K645" i="1"/>
  <c r="C626" i="5"/>
  <c r="D626" i="5" s="1"/>
  <c r="K629" i="1"/>
  <c r="C610" i="5"/>
  <c r="D610" i="5" s="1"/>
  <c r="K613" i="1"/>
  <c r="C594" i="5"/>
  <c r="D594" i="5" s="1"/>
  <c r="K597" i="1"/>
  <c r="C582" i="5"/>
  <c r="D582" i="5" s="1"/>
  <c r="K585" i="1"/>
  <c r="C580" i="5"/>
  <c r="D580" i="5" s="1"/>
  <c r="K583" i="1"/>
  <c r="C566" i="5"/>
  <c r="D566" i="5" s="1"/>
  <c r="K569" i="1"/>
  <c r="C564" i="5"/>
  <c r="D564" i="5" s="1"/>
  <c r="K567" i="1"/>
  <c r="C554" i="5"/>
  <c r="D554" i="5" s="1"/>
  <c r="K557" i="1"/>
  <c r="C552" i="5"/>
  <c r="D552" i="5" s="1"/>
  <c r="K555" i="1"/>
  <c r="C550" i="5"/>
  <c r="D550" i="5" s="1"/>
  <c r="K553" i="1"/>
  <c r="C548" i="5"/>
  <c r="D548" i="5" s="1"/>
  <c r="K551" i="1"/>
  <c r="C546" i="5"/>
  <c r="D546" i="5" s="1"/>
  <c r="K549" i="1"/>
  <c r="C544" i="5"/>
  <c r="D544" i="5" s="1"/>
  <c r="K547" i="1"/>
  <c r="C542" i="5"/>
  <c r="D542" i="5" s="1"/>
  <c r="K545" i="1"/>
  <c r="C540" i="5"/>
  <c r="D540" i="5" s="1"/>
  <c r="K543" i="1"/>
  <c r="C538" i="5"/>
  <c r="D538" i="5" s="1"/>
  <c r="K541" i="1"/>
  <c r="C536" i="5"/>
  <c r="D536" i="5" s="1"/>
  <c r="K539" i="1"/>
  <c r="C534" i="5"/>
  <c r="D534" i="5" s="1"/>
  <c r="K537" i="1"/>
  <c r="C532" i="5"/>
  <c r="D532" i="5" s="1"/>
  <c r="K535" i="1"/>
  <c r="C530" i="5"/>
  <c r="D530" i="5" s="1"/>
  <c r="K533" i="1"/>
  <c r="C528" i="5"/>
  <c r="D528" i="5" s="1"/>
  <c r="K531" i="1"/>
  <c r="C526" i="5"/>
  <c r="D526" i="5" s="1"/>
  <c r="K529" i="1"/>
  <c r="C524" i="5"/>
  <c r="D524" i="5" s="1"/>
  <c r="K527" i="1"/>
  <c r="C522" i="5"/>
  <c r="D522" i="5" s="1"/>
  <c r="K525" i="1"/>
  <c r="C520" i="5"/>
  <c r="D520" i="5" s="1"/>
  <c r="K523" i="1"/>
  <c r="C518" i="5"/>
  <c r="D518" i="5" s="1"/>
  <c r="K521" i="1"/>
  <c r="C516" i="5"/>
  <c r="D516" i="5" s="1"/>
  <c r="K519" i="1"/>
  <c r="C514" i="5"/>
  <c r="D514" i="5" s="1"/>
  <c r="K517" i="1"/>
  <c r="C512" i="5"/>
  <c r="D512" i="5" s="1"/>
  <c r="K515" i="1"/>
  <c r="C510" i="5"/>
  <c r="D510" i="5" s="1"/>
  <c r="K513" i="1"/>
  <c r="C508" i="5"/>
  <c r="D508" i="5" s="1"/>
  <c r="K511" i="1"/>
  <c r="C506" i="5"/>
  <c r="D506" i="5" s="1"/>
  <c r="K509" i="1"/>
  <c r="C504" i="5"/>
  <c r="D504" i="5" s="1"/>
  <c r="K507" i="1"/>
  <c r="C502" i="5"/>
  <c r="D502" i="5" s="1"/>
  <c r="K505" i="1"/>
  <c r="C500" i="5"/>
  <c r="D500" i="5" s="1"/>
  <c r="K503" i="1"/>
  <c r="C498" i="5"/>
  <c r="D498" i="5" s="1"/>
  <c r="K501" i="1"/>
  <c r="C496" i="5"/>
  <c r="D496" i="5" s="1"/>
  <c r="K499" i="1"/>
  <c r="C494" i="5"/>
  <c r="D494" i="5" s="1"/>
  <c r="K497" i="1"/>
  <c r="C492" i="5"/>
  <c r="D492" i="5" s="1"/>
  <c r="K495" i="1"/>
  <c r="C490" i="5"/>
  <c r="D490" i="5" s="1"/>
  <c r="K493" i="1"/>
  <c r="C488" i="5"/>
  <c r="D488" i="5" s="1"/>
  <c r="K491" i="1"/>
  <c r="C486" i="5"/>
  <c r="D486" i="5" s="1"/>
  <c r="K489" i="1"/>
  <c r="C484" i="5"/>
  <c r="D484" i="5" s="1"/>
  <c r="K487" i="1"/>
  <c r="C482" i="5"/>
  <c r="D482" i="5" s="1"/>
  <c r="K485" i="1"/>
  <c r="C466" i="5"/>
  <c r="D466" i="5" s="1"/>
  <c r="K469" i="1"/>
  <c r="C478" i="5"/>
  <c r="D478" i="5" s="1"/>
  <c r="K481" i="1"/>
  <c r="C462" i="5"/>
  <c r="D462" i="5" s="1"/>
  <c r="K465" i="1"/>
  <c r="C364" i="5"/>
  <c r="D364" i="5" s="1"/>
  <c r="K367" i="1"/>
  <c r="C348" i="5"/>
  <c r="D348" i="5" s="1"/>
  <c r="K351" i="1"/>
  <c r="C332" i="5"/>
  <c r="D332" i="5" s="1"/>
  <c r="K335" i="1"/>
  <c r="C316" i="5"/>
  <c r="D316" i="5" s="1"/>
  <c r="K319" i="1"/>
  <c r="C300" i="5"/>
  <c r="D300" i="5" s="1"/>
  <c r="K303" i="1"/>
  <c r="C284" i="5"/>
  <c r="D284" i="5" s="1"/>
  <c r="K287" i="1"/>
  <c r="C268" i="5"/>
  <c r="D268" i="5" s="1"/>
  <c r="K271" i="1"/>
  <c r="C252" i="5"/>
  <c r="D252" i="5" s="1"/>
  <c r="K255" i="1"/>
  <c r="C236" i="5"/>
  <c r="D236" i="5" s="1"/>
  <c r="K239" i="1"/>
  <c r="C376" i="5"/>
  <c r="D376" i="5" s="1"/>
  <c r="K379" i="1"/>
  <c r="C368" i="5"/>
  <c r="D368" i="5" s="1"/>
  <c r="K371" i="1"/>
  <c r="C352" i="5"/>
  <c r="D352" i="5" s="1"/>
  <c r="K355" i="1"/>
  <c r="C336" i="5"/>
  <c r="D336" i="5" s="1"/>
  <c r="K339" i="1"/>
  <c r="C320" i="5"/>
  <c r="D320" i="5" s="1"/>
  <c r="K323" i="1"/>
  <c r="C304" i="5"/>
  <c r="D304" i="5" s="1"/>
  <c r="K307" i="1"/>
  <c r="C288" i="5"/>
  <c r="D288" i="5" s="1"/>
  <c r="K291" i="1"/>
  <c r="C272" i="5"/>
  <c r="D272" i="5" s="1"/>
  <c r="K275" i="1"/>
  <c r="C256" i="5"/>
  <c r="D256" i="5" s="1"/>
  <c r="K259" i="1"/>
  <c r="C240" i="5"/>
  <c r="D240" i="5" s="1"/>
  <c r="K243" i="1"/>
  <c r="C1019" i="3"/>
  <c r="C1018" i="3"/>
  <c r="C1020" i="3"/>
  <c r="AB1005" i="5"/>
  <c r="B990" i="3" s="1"/>
  <c r="D1020" i="3"/>
  <c r="D1018" i="3"/>
  <c r="A6" i="3"/>
  <c r="K11" i="1"/>
  <c r="K9" i="1"/>
  <c r="D1017" i="3"/>
  <c r="C1003" i="5"/>
  <c r="D1003" i="5" s="1"/>
  <c r="K1006" i="1"/>
  <c r="C999" i="5"/>
  <c r="D999" i="5" s="1"/>
  <c r="K1002" i="1"/>
  <c r="C995" i="5"/>
  <c r="D995" i="5" s="1"/>
  <c r="K998" i="1"/>
  <c r="C991" i="5"/>
  <c r="D991" i="5" s="1"/>
  <c r="K994" i="1"/>
  <c r="C987" i="5"/>
  <c r="D987" i="5" s="1"/>
  <c r="K990" i="1"/>
  <c r="C983" i="5"/>
  <c r="D983" i="5" s="1"/>
  <c r="K986" i="1"/>
  <c r="C979" i="5"/>
  <c r="D979" i="5" s="1"/>
  <c r="K982" i="1"/>
  <c r="C975" i="5"/>
  <c r="D975" i="5" s="1"/>
  <c r="K978" i="1"/>
  <c r="C969" i="5"/>
  <c r="D969" i="5" s="1"/>
  <c r="K972" i="1"/>
  <c r="C967" i="5"/>
  <c r="D967" i="5" s="1"/>
  <c r="K970" i="1"/>
  <c r="C965" i="5"/>
  <c r="D965" i="5" s="1"/>
  <c r="K968" i="1"/>
  <c r="C963" i="5"/>
  <c r="D963" i="5" s="1"/>
  <c r="K966" i="1"/>
  <c r="C961" i="5"/>
  <c r="D961" i="5" s="1"/>
  <c r="K964" i="1"/>
  <c r="C959" i="5"/>
  <c r="D959" i="5" s="1"/>
  <c r="K962" i="1"/>
  <c r="C957" i="5"/>
  <c r="D957" i="5" s="1"/>
  <c r="K960" i="1"/>
  <c r="C955" i="5"/>
  <c r="D955" i="5" s="1"/>
  <c r="K958" i="1"/>
  <c r="C953" i="5"/>
  <c r="D953" i="5" s="1"/>
  <c r="K956" i="1"/>
  <c r="C951" i="5"/>
  <c r="D951" i="5" s="1"/>
  <c r="K954" i="1"/>
  <c r="C949" i="5"/>
  <c r="D949" i="5" s="1"/>
  <c r="K952" i="1"/>
  <c r="C947" i="5"/>
  <c r="D947" i="5" s="1"/>
  <c r="K950" i="1"/>
  <c r="C945" i="5"/>
  <c r="D945" i="5" s="1"/>
  <c r="K948" i="1"/>
  <c r="C943" i="5"/>
  <c r="D943" i="5" s="1"/>
  <c r="K946" i="1"/>
  <c r="C941" i="5"/>
  <c r="D941" i="5" s="1"/>
  <c r="K944" i="1"/>
  <c r="C939" i="5"/>
  <c r="D939" i="5" s="1"/>
  <c r="K942" i="1"/>
  <c r="C937" i="5"/>
  <c r="D937" i="5" s="1"/>
  <c r="K940" i="1"/>
  <c r="C973" i="5"/>
  <c r="D973" i="5" s="1"/>
  <c r="K976" i="1"/>
  <c r="C934" i="5"/>
  <c r="D934" i="5" s="1"/>
  <c r="K937" i="1"/>
  <c r="C930" i="5"/>
  <c r="D930" i="5" s="1"/>
  <c r="K933" i="1"/>
  <c r="C926" i="5"/>
  <c r="D926" i="5" s="1"/>
  <c r="K929" i="1"/>
  <c r="C922" i="5"/>
  <c r="D922" i="5" s="1"/>
  <c r="K925" i="1"/>
  <c r="C918" i="5"/>
  <c r="D918" i="5" s="1"/>
  <c r="K921" i="1"/>
  <c r="C914" i="5"/>
  <c r="D914" i="5" s="1"/>
  <c r="K917" i="1"/>
  <c r="C910" i="5"/>
  <c r="D910" i="5" s="1"/>
  <c r="K913" i="1"/>
  <c r="C906" i="5"/>
  <c r="D906" i="5" s="1"/>
  <c r="K909" i="1"/>
  <c r="C902" i="5"/>
  <c r="D902" i="5" s="1"/>
  <c r="K905" i="1"/>
  <c r="C898" i="5"/>
  <c r="D898" i="5" s="1"/>
  <c r="K901" i="1"/>
  <c r="C894" i="5"/>
  <c r="D894" i="5" s="1"/>
  <c r="K897" i="1"/>
  <c r="C890" i="5"/>
  <c r="D890" i="5" s="1"/>
  <c r="K893" i="1"/>
  <c r="C886" i="5"/>
  <c r="D886" i="5" s="1"/>
  <c r="K889" i="1"/>
  <c r="C882" i="5"/>
  <c r="D882" i="5" s="1"/>
  <c r="K885" i="1"/>
  <c r="C878" i="5"/>
  <c r="D878" i="5" s="1"/>
  <c r="K881" i="1"/>
  <c r="C874" i="5"/>
  <c r="D874" i="5" s="1"/>
  <c r="K877" i="1"/>
  <c r="C870" i="5"/>
  <c r="D870" i="5" s="1"/>
  <c r="K873" i="1"/>
  <c r="C866" i="5"/>
  <c r="D866" i="5" s="1"/>
  <c r="K869" i="1"/>
  <c r="C862" i="5"/>
  <c r="D862" i="5" s="1"/>
  <c r="K865" i="1"/>
  <c r="C858" i="5"/>
  <c r="D858" i="5" s="1"/>
  <c r="K861" i="1"/>
  <c r="C854" i="5"/>
  <c r="D854" i="5" s="1"/>
  <c r="K857" i="1"/>
  <c r="C850" i="5"/>
  <c r="D850" i="5" s="1"/>
  <c r="K853" i="1"/>
  <c r="C846" i="5"/>
  <c r="D846" i="5" s="1"/>
  <c r="K849" i="1"/>
  <c r="C842" i="5"/>
  <c r="D842" i="5" s="1"/>
  <c r="K845" i="1"/>
  <c r="C838" i="5"/>
  <c r="D838" i="5" s="1"/>
  <c r="K841" i="1"/>
  <c r="C834" i="5"/>
  <c r="D834" i="5" s="1"/>
  <c r="K837" i="1"/>
  <c r="C830" i="5"/>
  <c r="D830" i="5" s="1"/>
  <c r="K833" i="1"/>
  <c r="C824" i="5"/>
  <c r="D824" i="5" s="1"/>
  <c r="K827" i="1"/>
  <c r="C820" i="5"/>
  <c r="D820" i="5" s="1"/>
  <c r="K823" i="1"/>
  <c r="C816" i="5"/>
  <c r="D816" i="5" s="1"/>
  <c r="K819" i="1"/>
  <c r="C812" i="5"/>
  <c r="D812" i="5" s="1"/>
  <c r="K815" i="1"/>
  <c r="C808" i="5"/>
  <c r="D808" i="5" s="1"/>
  <c r="K811" i="1"/>
  <c r="C804" i="5"/>
  <c r="D804" i="5" s="1"/>
  <c r="K807" i="1"/>
  <c r="C800" i="5"/>
  <c r="D800" i="5" s="1"/>
  <c r="K803" i="1"/>
  <c r="C796" i="5"/>
  <c r="D796" i="5" s="1"/>
  <c r="K799" i="1"/>
  <c r="C792" i="5"/>
  <c r="D792" i="5" s="1"/>
  <c r="K795" i="1"/>
  <c r="C788" i="5"/>
  <c r="D788" i="5" s="1"/>
  <c r="K791" i="1"/>
  <c r="C784" i="5"/>
  <c r="D784" i="5" s="1"/>
  <c r="K787" i="1"/>
  <c r="C780" i="5"/>
  <c r="D780" i="5" s="1"/>
  <c r="K783" i="1"/>
  <c r="C776" i="5"/>
  <c r="D776" i="5" s="1"/>
  <c r="K779" i="1"/>
  <c r="C772" i="5"/>
  <c r="D772" i="5" s="1"/>
  <c r="K775" i="1"/>
  <c r="C768" i="5"/>
  <c r="D768" i="5" s="1"/>
  <c r="K771" i="1"/>
  <c r="C764" i="5"/>
  <c r="D764" i="5" s="1"/>
  <c r="K767" i="1"/>
  <c r="C760" i="5"/>
  <c r="D760" i="5" s="1"/>
  <c r="K763" i="1"/>
  <c r="C756" i="5"/>
  <c r="D756" i="5" s="1"/>
  <c r="K759" i="1"/>
  <c r="C752" i="5"/>
  <c r="D752" i="5" s="1"/>
  <c r="K755" i="1"/>
  <c r="C748" i="5"/>
  <c r="D748" i="5" s="1"/>
  <c r="K751" i="1"/>
  <c r="C744" i="5"/>
  <c r="D744" i="5" s="1"/>
  <c r="K747" i="1"/>
  <c r="C740" i="5"/>
  <c r="D740" i="5" s="1"/>
  <c r="K743" i="1"/>
  <c r="C736" i="5"/>
  <c r="D736" i="5" s="1"/>
  <c r="K739" i="1"/>
  <c r="C732" i="5"/>
  <c r="D732" i="5" s="1"/>
  <c r="K735" i="1"/>
  <c r="C728" i="5"/>
  <c r="D728" i="5" s="1"/>
  <c r="K731" i="1"/>
  <c r="C724" i="5"/>
  <c r="D724" i="5" s="1"/>
  <c r="K727" i="1"/>
  <c r="C720" i="5"/>
  <c r="D720" i="5" s="1"/>
  <c r="K723" i="1"/>
  <c r="C719" i="5"/>
  <c r="D719" i="5" s="1"/>
  <c r="K722" i="1"/>
  <c r="C715" i="5"/>
  <c r="D715" i="5" s="1"/>
  <c r="K718" i="1"/>
  <c r="C711" i="5"/>
  <c r="D711" i="5" s="1"/>
  <c r="K714" i="1"/>
  <c r="C707" i="5"/>
  <c r="D707" i="5" s="1"/>
  <c r="K710" i="1"/>
  <c r="C703" i="5"/>
  <c r="D703" i="5" s="1"/>
  <c r="K706" i="1"/>
  <c r="C699" i="5"/>
  <c r="D699" i="5" s="1"/>
  <c r="K702" i="1"/>
  <c r="C695" i="5"/>
  <c r="D695" i="5" s="1"/>
  <c r="K698" i="1"/>
  <c r="C691" i="5"/>
  <c r="D691" i="5" s="1"/>
  <c r="K694" i="1"/>
  <c r="C687" i="5"/>
  <c r="D687" i="5" s="1"/>
  <c r="K690" i="1"/>
  <c r="C683" i="5"/>
  <c r="D683" i="5" s="1"/>
  <c r="K686" i="1"/>
  <c r="C679" i="5"/>
  <c r="D679" i="5" s="1"/>
  <c r="K682" i="1"/>
  <c r="C675" i="5"/>
  <c r="D675" i="5" s="1"/>
  <c r="K678" i="1"/>
  <c r="C671" i="5"/>
  <c r="D671" i="5" s="1"/>
  <c r="K674" i="1"/>
  <c r="C667" i="5"/>
  <c r="D667" i="5" s="1"/>
  <c r="K670" i="1"/>
  <c r="C663" i="5"/>
  <c r="D663" i="5" s="1"/>
  <c r="K666" i="1"/>
  <c r="C659" i="5"/>
  <c r="D659" i="5" s="1"/>
  <c r="K662" i="1"/>
  <c r="C655" i="5"/>
  <c r="D655" i="5" s="1"/>
  <c r="K658" i="1"/>
  <c r="C651" i="5"/>
  <c r="D651" i="5" s="1"/>
  <c r="K654" i="1"/>
  <c r="C647" i="5"/>
  <c r="D647" i="5" s="1"/>
  <c r="K650" i="1"/>
  <c r="C643" i="5"/>
  <c r="D643" i="5" s="1"/>
  <c r="K646" i="1"/>
  <c r="C639" i="5"/>
  <c r="D639" i="5" s="1"/>
  <c r="K642" i="1"/>
  <c r="C635" i="5"/>
  <c r="D635" i="5" s="1"/>
  <c r="K638" i="1"/>
  <c r="C631" i="5"/>
  <c r="D631" i="5" s="1"/>
  <c r="K634" i="1"/>
  <c r="C627" i="5"/>
  <c r="D627" i="5" s="1"/>
  <c r="K630" i="1"/>
  <c r="C623" i="5"/>
  <c r="D623" i="5" s="1"/>
  <c r="K626" i="1"/>
  <c r="C619" i="5"/>
  <c r="D619" i="5" s="1"/>
  <c r="K622" i="1"/>
  <c r="C615" i="5"/>
  <c r="D615" i="5" s="1"/>
  <c r="K618" i="1"/>
  <c r="C611" i="5"/>
  <c r="D611" i="5" s="1"/>
  <c r="K614" i="1"/>
  <c r="C607" i="5"/>
  <c r="D607" i="5" s="1"/>
  <c r="K610" i="1"/>
  <c r="C603" i="5"/>
  <c r="D603" i="5" s="1"/>
  <c r="K606" i="1"/>
  <c r="C599" i="5"/>
  <c r="D599" i="5" s="1"/>
  <c r="K602" i="1"/>
  <c r="C595" i="5"/>
  <c r="D595" i="5" s="1"/>
  <c r="K598" i="1"/>
  <c r="C591" i="5"/>
  <c r="D591" i="5" s="1"/>
  <c r="K594" i="1"/>
  <c r="C587" i="5"/>
  <c r="D587" i="5" s="1"/>
  <c r="K590" i="1"/>
  <c r="C583" i="5"/>
  <c r="D583" i="5" s="1"/>
  <c r="K586" i="1"/>
  <c r="C579" i="5"/>
  <c r="D579" i="5" s="1"/>
  <c r="K582" i="1"/>
  <c r="C575" i="5"/>
  <c r="D575" i="5" s="1"/>
  <c r="K578" i="1"/>
  <c r="C571" i="5"/>
  <c r="D571" i="5" s="1"/>
  <c r="K574" i="1"/>
  <c r="C567" i="5"/>
  <c r="D567" i="5" s="1"/>
  <c r="K570" i="1"/>
  <c r="C563" i="5"/>
  <c r="D563" i="5" s="1"/>
  <c r="K566" i="1"/>
  <c r="C559" i="5"/>
  <c r="D559" i="5" s="1"/>
  <c r="K562" i="1"/>
  <c r="C555" i="5"/>
  <c r="D555" i="5" s="1"/>
  <c r="K558" i="1"/>
  <c r="C551" i="5"/>
  <c r="D551" i="5" s="1"/>
  <c r="K554" i="1"/>
  <c r="C547" i="5"/>
  <c r="D547" i="5" s="1"/>
  <c r="K550" i="1"/>
  <c r="C543" i="5"/>
  <c r="D543" i="5" s="1"/>
  <c r="K546" i="1"/>
  <c r="C539" i="5"/>
  <c r="D539" i="5" s="1"/>
  <c r="K542" i="1"/>
  <c r="C535" i="5"/>
  <c r="D535" i="5" s="1"/>
  <c r="K538" i="1"/>
  <c r="C531" i="5"/>
  <c r="D531" i="5" s="1"/>
  <c r="K534" i="1"/>
  <c r="C527" i="5"/>
  <c r="D527" i="5" s="1"/>
  <c r="K530" i="1"/>
  <c r="C523" i="5"/>
  <c r="D523" i="5" s="1"/>
  <c r="K526" i="1"/>
  <c r="C519" i="5"/>
  <c r="D519" i="5" s="1"/>
  <c r="K522" i="1"/>
  <c r="C515" i="5"/>
  <c r="D515" i="5" s="1"/>
  <c r="K518" i="1"/>
  <c r="C511" i="5"/>
  <c r="D511" i="5" s="1"/>
  <c r="K514" i="1"/>
  <c r="C507" i="5"/>
  <c r="D507" i="5" s="1"/>
  <c r="K510" i="1"/>
  <c r="C503" i="5"/>
  <c r="D503" i="5" s="1"/>
  <c r="K506" i="1"/>
  <c r="C499" i="5"/>
  <c r="D499" i="5" s="1"/>
  <c r="K502" i="1"/>
  <c r="C495" i="5"/>
  <c r="D495" i="5" s="1"/>
  <c r="K498" i="1"/>
  <c r="C491" i="5"/>
  <c r="D491" i="5" s="1"/>
  <c r="K494" i="1"/>
  <c r="C487" i="5"/>
  <c r="D487" i="5" s="1"/>
  <c r="K490" i="1"/>
  <c r="C483" i="5"/>
  <c r="D483" i="5" s="1"/>
  <c r="K486" i="1"/>
  <c r="C479" i="5"/>
  <c r="D479" i="5" s="1"/>
  <c r="K482" i="1"/>
  <c r="C475" i="5"/>
  <c r="D475" i="5" s="1"/>
  <c r="K478" i="1"/>
  <c r="C471" i="5"/>
  <c r="D471" i="5" s="1"/>
  <c r="K474" i="1"/>
  <c r="C467" i="5"/>
  <c r="D467" i="5" s="1"/>
  <c r="K470" i="1"/>
  <c r="C387" i="5"/>
  <c r="D387" i="5" s="1"/>
  <c r="K390" i="1"/>
  <c r="C385" i="5"/>
  <c r="D385" i="5" s="1"/>
  <c r="K388" i="1"/>
  <c r="C383" i="5"/>
  <c r="D383" i="5" s="1"/>
  <c r="K386" i="1"/>
  <c r="C381" i="5"/>
  <c r="D381" i="5" s="1"/>
  <c r="K384" i="1"/>
  <c r="C379" i="5"/>
  <c r="D379" i="5" s="1"/>
  <c r="K382" i="1"/>
  <c r="C377" i="5"/>
  <c r="D377" i="5" s="1"/>
  <c r="K380" i="1"/>
  <c r="C375" i="5"/>
  <c r="D375" i="5" s="1"/>
  <c r="K378" i="1"/>
  <c r="C373" i="5"/>
  <c r="D373" i="5" s="1"/>
  <c r="K376" i="1"/>
  <c r="C371" i="5"/>
  <c r="D371" i="5" s="1"/>
  <c r="K374" i="1"/>
  <c r="C369" i="5"/>
  <c r="D369" i="5" s="1"/>
  <c r="K372" i="1"/>
  <c r="C367" i="5"/>
  <c r="D367" i="5" s="1"/>
  <c r="K370" i="1"/>
  <c r="C365" i="5"/>
  <c r="D365" i="5" s="1"/>
  <c r="K368" i="1"/>
  <c r="C363" i="5"/>
  <c r="D363" i="5" s="1"/>
  <c r="K366" i="1"/>
  <c r="C361" i="5"/>
  <c r="D361" i="5" s="1"/>
  <c r="K364" i="1"/>
  <c r="C359" i="5"/>
  <c r="D359" i="5" s="1"/>
  <c r="K362" i="1"/>
  <c r="C357" i="5"/>
  <c r="D357" i="5" s="1"/>
  <c r="K360" i="1"/>
  <c r="C355" i="5"/>
  <c r="D355" i="5" s="1"/>
  <c r="K358" i="1"/>
  <c r="C353" i="5"/>
  <c r="D353" i="5" s="1"/>
  <c r="K356" i="1"/>
  <c r="C351" i="5"/>
  <c r="D351" i="5" s="1"/>
  <c r="K354" i="1"/>
  <c r="C349" i="5"/>
  <c r="D349" i="5" s="1"/>
  <c r="K352" i="1"/>
  <c r="C347" i="5"/>
  <c r="D347" i="5" s="1"/>
  <c r="K350" i="1"/>
  <c r="C345" i="5"/>
  <c r="D345" i="5" s="1"/>
  <c r="K348" i="1"/>
  <c r="C343" i="5"/>
  <c r="D343" i="5" s="1"/>
  <c r="K346" i="1"/>
  <c r="C341" i="5"/>
  <c r="D341" i="5" s="1"/>
  <c r="K344" i="1"/>
  <c r="C339" i="5"/>
  <c r="D339" i="5" s="1"/>
  <c r="K342" i="1"/>
  <c r="C337" i="5"/>
  <c r="D337" i="5" s="1"/>
  <c r="K340" i="1"/>
  <c r="C335" i="5"/>
  <c r="D335" i="5" s="1"/>
  <c r="K338" i="1"/>
  <c r="C333" i="5"/>
  <c r="D333" i="5" s="1"/>
  <c r="K336" i="1"/>
  <c r="C331" i="5"/>
  <c r="D331" i="5" s="1"/>
  <c r="K334" i="1"/>
  <c r="C329" i="5"/>
  <c r="D329" i="5" s="1"/>
  <c r="K332" i="1"/>
  <c r="C327" i="5"/>
  <c r="D327" i="5" s="1"/>
  <c r="K330" i="1"/>
  <c r="C325" i="5"/>
  <c r="D325" i="5" s="1"/>
  <c r="K328" i="1"/>
  <c r="C323" i="5"/>
  <c r="D323" i="5" s="1"/>
  <c r="K326" i="1"/>
  <c r="C321" i="5"/>
  <c r="D321" i="5" s="1"/>
  <c r="K324" i="1"/>
  <c r="C319" i="5"/>
  <c r="D319" i="5" s="1"/>
  <c r="K322" i="1"/>
  <c r="C317" i="5"/>
  <c r="D317" i="5" s="1"/>
  <c r="K320" i="1"/>
  <c r="C315" i="5"/>
  <c r="D315" i="5" s="1"/>
  <c r="K318" i="1"/>
  <c r="C313" i="5"/>
  <c r="D313" i="5" s="1"/>
  <c r="K316" i="1"/>
  <c r="C311" i="5"/>
  <c r="D311" i="5" s="1"/>
  <c r="K314" i="1"/>
  <c r="C309" i="5"/>
  <c r="D309" i="5" s="1"/>
  <c r="K312" i="1"/>
  <c r="C307" i="5"/>
  <c r="D307" i="5" s="1"/>
  <c r="K310" i="1"/>
  <c r="C305" i="5"/>
  <c r="D305" i="5" s="1"/>
  <c r="K308" i="1"/>
  <c r="C303" i="5"/>
  <c r="D303" i="5" s="1"/>
  <c r="K306" i="1"/>
  <c r="C301" i="5"/>
  <c r="D301" i="5" s="1"/>
  <c r="K304" i="1"/>
  <c r="C299" i="5"/>
  <c r="D299" i="5" s="1"/>
  <c r="K302" i="1"/>
  <c r="C297" i="5"/>
  <c r="D297" i="5" s="1"/>
  <c r="K300" i="1"/>
  <c r="C295" i="5"/>
  <c r="D295" i="5" s="1"/>
  <c r="K298" i="1"/>
  <c r="C293" i="5"/>
  <c r="D293" i="5" s="1"/>
  <c r="K296" i="1"/>
  <c r="C291" i="5"/>
  <c r="D291" i="5" s="1"/>
  <c r="K294" i="1"/>
  <c r="C289" i="5"/>
  <c r="D289" i="5" s="1"/>
  <c r="K292" i="1"/>
  <c r="C287" i="5"/>
  <c r="D287" i="5" s="1"/>
  <c r="K290" i="1"/>
  <c r="C285" i="5"/>
  <c r="D285" i="5" s="1"/>
  <c r="K288" i="1"/>
  <c r="C283" i="5"/>
  <c r="D283" i="5" s="1"/>
  <c r="K286" i="1"/>
  <c r="C281" i="5"/>
  <c r="D281" i="5" s="1"/>
  <c r="K284" i="1"/>
  <c r="C279" i="5"/>
  <c r="D279" i="5" s="1"/>
  <c r="K282" i="1"/>
  <c r="C277" i="5"/>
  <c r="D277" i="5" s="1"/>
  <c r="K280" i="1"/>
  <c r="C275" i="5"/>
  <c r="D275" i="5" s="1"/>
  <c r="K278" i="1"/>
  <c r="C273" i="5"/>
  <c r="D273" i="5" s="1"/>
  <c r="K276" i="1"/>
  <c r="C271" i="5"/>
  <c r="D271" i="5" s="1"/>
  <c r="K274" i="1"/>
  <c r="C269" i="5"/>
  <c r="D269" i="5" s="1"/>
  <c r="K272" i="1"/>
  <c r="C267" i="5"/>
  <c r="D267" i="5" s="1"/>
  <c r="K270" i="1"/>
  <c r="C265" i="5"/>
  <c r="D265" i="5" s="1"/>
  <c r="K268" i="1"/>
  <c r="C263" i="5"/>
  <c r="D263" i="5" s="1"/>
  <c r="K266" i="1"/>
  <c r="C261" i="5"/>
  <c r="D261" i="5" s="1"/>
  <c r="K264" i="1"/>
  <c r="C259" i="5"/>
  <c r="D259" i="5" s="1"/>
  <c r="K262" i="1"/>
  <c r="C257" i="5"/>
  <c r="D257" i="5" s="1"/>
  <c r="K260" i="1"/>
  <c r="C255" i="5"/>
  <c r="D255" i="5" s="1"/>
  <c r="K258" i="1"/>
  <c r="C253" i="5"/>
  <c r="D253" i="5" s="1"/>
  <c r="K256" i="1"/>
  <c r="C251" i="5"/>
  <c r="D251" i="5" s="1"/>
  <c r="K254" i="1"/>
  <c r="C249" i="5"/>
  <c r="D249" i="5" s="1"/>
  <c r="K252" i="1"/>
  <c r="C247" i="5"/>
  <c r="D247" i="5" s="1"/>
  <c r="K250" i="1"/>
  <c r="C245" i="5"/>
  <c r="D245" i="5" s="1"/>
  <c r="K248" i="1"/>
  <c r="C243" i="5"/>
  <c r="D243" i="5" s="1"/>
  <c r="K246" i="1"/>
  <c r="C241" i="5"/>
  <c r="D241" i="5" s="1"/>
  <c r="K244" i="1"/>
  <c r="C239" i="5"/>
  <c r="D239" i="5" s="1"/>
  <c r="K242" i="1"/>
  <c r="C237" i="5"/>
  <c r="D237" i="5" s="1"/>
  <c r="K240" i="1"/>
  <c r="C235" i="5"/>
  <c r="D235" i="5" s="1"/>
  <c r="K238" i="1"/>
  <c r="C233" i="5"/>
  <c r="D233" i="5" s="1"/>
  <c r="K236" i="1"/>
  <c r="C231" i="5"/>
  <c r="D231" i="5" s="1"/>
  <c r="K234" i="1"/>
  <c r="C229" i="5"/>
  <c r="D229" i="5" s="1"/>
  <c r="K232" i="1"/>
  <c r="C227" i="5"/>
  <c r="D227" i="5" s="1"/>
  <c r="K230" i="1"/>
  <c r="C225" i="5"/>
  <c r="D225" i="5" s="1"/>
  <c r="K228" i="1"/>
  <c r="C223" i="5"/>
  <c r="D223" i="5" s="1"/>
  <c r="K226" i="1"/>
  <c r="C221" i="5"/>
  <c r="D221" i="5" s="1"/>
  <c r="K224" i="1"/>
  <c r="C219" i="5"/>
  <c r="D219" i="5" s="1"/>
  <c r="K222" i="1"/>
  <c r="C217" i="5"/>
  <c r="D217" i="5" s="1"/>
  <c r="K220" i="1"/>
  <c r="C215" i="5"/>
  <c r="D215" i="5" s="1"/>
  <c r="K218" i="1"/>
  <c r="C213" i="5"/>
  <c r="D213" i="5" s="1"/>
  <c r="K216" i="1"/>
  <c r="C211" i="5"/>
  <c r="D211" i="5" s="1"/>
  <c r="K214" i="1"/>
  <c r="C209" i="5"/>
  <c r="D209" i="5" s="1"/>
  <c r="K212" i="1"/>
  <c r="C207" i="5"/>
  <c r="D207" i="5" s="1"/>
  <c r="K210" i="1"/>
  <c r="C205" i="5"/>
  <c r="D205" i="5" s="1"/>
  <c r="K208" i="1"/>
  <c r="C203" i="5"/>
  <c r="D203" i="5" s="1"/>
  <c r="K206" i="1"/>
  <c r="C201" i="5"/>
  <c r="D201" i="5" s="1"/>
  <c r="K204" i="1"/>
  <c r="C199" i="5"/>
  <c r="D199" i="5" s="1"/>
  <c r="K202" i="1"/>
  <c r="C197" i="5"/>
  <c r="D197" i="5" s="1"/>
  <c r="K200" i="1"/>
  <c r="C195" i="5"/>
  <c r="D195" i="5" s="1"/>
  <c r="K198" i="1"/>
  <c r="C193" i="5"/>
  <c r="D193" i="5" s="1"/>
  <c r="K196" i="1"/>
  <c r="C191" i="5"/>
  <c r="D191" i="5" s="1"/>
  <c r="K194" i="1"/>
  <c r="C189" i="5"/>
  <c r="D189" i="5" s="1"/>
  <c r="K192" i="1"/>
  <c r="C187" i="5"/>
  <c r="D187" i="5" s="1"/>
  <c r="K190" i="1"/>
  <c r="C185" i="5"/>
  <c r="D185" i="5" s="1"/>
  <c r="K188" i="1"/>
  <c r="C183" i="5"/>
  <c r="D183" i="5" s="1"/>
  <c r="K186" i="1"/>
  <c r="C181" i="5"/>
  <c r="D181" i="5" s="1"/>
  <c r="K184" i="1"/>
  <c r="C179" i="5"/>
  <c r="D179" i="5" s="1"/>
  <c r="K182" i="1"/>
  <c r="C177" i="5"/>
  <c r="D177" i="5" s="1"/>
  <c r="K180" i="1"/>
  <c r="C175" i="5"/>
  <c r="D175" i="5" s="1"/>
  <c r="K178" i="1"/>
  <c r="C173" i="5"/>
  <c r="D173" i="5" s="1"/>
  <c r="K176" i="1"/>
  <c r="C171" i="5"/>
  <c r="D171" i="5" s="1"/>
  <c r="K174" i="1"/>
  <c r="C169" i="5"/>
  <c r="D169" i="5" s="1"/>
  <c r="K172" i="1"/>
  <c r="C167" i="5"/>
  <c r="D167" i="5" s="1"/>
  <c r="K170" i="1"/>
  <c r="C165" i="5"/>
  <c r="D165" i="5" s="1"/>
  <c r="K168" i="1"/>
  <c r="C163" i="5"/>
  <c r="D163" i="5" s="1"/>
  <c r="K166" i="1"/>
  <c r="C161" i="5"/>
  <c r="D161" i="5" s="1"/>
  <c r="K164" i="1"/>
  <c r="C159" i="5"/>
  <c r="D159" i="5" s="1"/>
  <c r="K162" i="1"/>
  <c r="C157" i="5"/>
  <c r="D157" i="5" s="1"/>
  <c r="K160" i="1"/>
  <c r="C155" i="5"/>
  <c r="D155" i="5" s="1"/>
  <c r="K158" i="1"/>
  <c r="C153" i="5"/>
  <c r="D153" i="5" s="1"/>
  <c r="K156" i="1"/>
  <c r="C151" i="5"/>
  <c r="D151" i="5" s="1"/>
  <c r="K154" i="1"/>
  <c r="C149" i="5"/>
  <c r="D149" i="5" s="1"/>
  <c r="K152" i="1"/>
  <c r="C147" i="5"/>
  <c r="D147" i="5" s="1"/>
  <c r="K150" i="1"/>
  <c r="C145" i="5"/>
  <c r="D145" i="5" s="1"/>
  <c r="K148" i="1"/>
  <c r="C143" i="5"/>
  <c r="D143" i="5" s="1"/>
  <c r="K146" i="1"/>
  <c r="C141" i="5"/>
  <c r="D141" i="5" s="1"/>
  <c r="K144" i="1"/>
  <c r="C139" i="5"/>
  <c r="D139" i="5" s="1"/>
  <c r="K142" i="1"/>
  <c r="C137" i="5"/>
  <c r="D137" i="5" s="1"/>
  <c r="K140" i="1"/>
  <c r="C135" i="5"/>
  <c r="D135" i="5" s="1"/>
  <c r="K138" i="1"/>
  <c r="C133" i="5"/>
  <c r="D133" i="5" s="1"/>
  <c r="K136" i="1"/>
  <c r="C131" i="5"/>
  <c r="D131" i="5" s="1"/>
  <c r="K134" i="1"/>
  <c r="C129" i="5"/>
  <c r="D129" i="5" s="1"/>
  <c r="K132" i="1"/>
  <c r="C127" i="5"/>
  <c r="D127" i="5" s="1"/>
  <c r="K130" i="1"/>
  <c r="C125" i="5"/>
  <c r="D125" i="5" s="1"/>
  <c r="K128" i="1"/>
  <c r="C123" i="5"/>
  <c r="D123" i="5" s="1"/>
  <c r="K126" i="1"/>
  <c r="C121" i="5"/>
  <c r="D121" i="5" s="1"/>
  <c r="K124" i="1"/>
  <c r="C119" i="5"/>
  <c r="D119" i="5" s="1"/>
  <c r="K122" i="1"/>
  <c r="C117" i="5"/>
  <c r="D117" i="5" s="1"/>
  <c r="K120" i="1"/>
  <c r="C115" i="5"/>
  <c r="D115" i="5" s="1"/>
  <c r="K118" i="1"/>
  <c r="C113" i="5"/>
  <c r="D113" i="5" s="1"/>
  <c r="K116" i="1"/>
  <c r="C111" i="5"/>
  <c r="D111" i="5" s="1"/>
  <c r="K114" i="1"/>
  <c r="C109" i="5"/>
  <c r="D109" i="5" s="1"/>
  <c r="K112" i="1"/>
  <c r="C107" i="5"/>
  <c r="D107" i="5" s="1"/>
  <c r="K110" i="1"/>
  <c r="C105" i="5"/>
  <c r="D105" i="5" s="1"/>
  <c r="K108" i="1"/>
  <c r="C103" i="5"/>
  <c r="D103" i="5" s="1"/>
  <c r="K106" i="1"/>
  <c r="C101" i="5"/>
  <c r="D101" i="5" s="1"/>
  <c r="K104" i="1"/>
  <c r="C99" i="5"/>
  <c r="D99" i="5" s="1"/>
  <c r="K102" i="1"/>
  <c r="C97" i="5"/>
  <c r="D97" i="5" s="1"/>
  <c r="K100" i="1"/>
  <c r="C95" i="5"/>
  <c r="D95" i="5" s="1"/>
  <c r="K98" i="1"/>
  <c r="C93" i="5"/>
  <c r="D93" i="5" s="1"/>
  <c r="K96" i="1"/>
  <c r="C91" i="5"/>
  <c r="D91" i="5" s="1"/>
  <c r="K94" i="1"/>
  <c r="C89" i="5"/>
  <c r="D89" i="5" s="1"/>
  <c r="K92" i="1"/>
  <c r="C87" i="5"/>
  <c r="D87" i="5" s="1"/>
  <c r="K90" i="1"/>
  <c r="C85" i="5"/>
  <c r="D85" i="5" s="1"/>
  <c r="K88" i="1"/>
  <c r="C83" i="5"/>
  <c r="D83" i="5" s="1"/>
  <c r="K86" i="1"/>
  <c r="C81" i="5"/>
  <c r="D81" i="5" s="1"/>
  <c r="K84" i="1"/>
  <c r="C79" i="5"/>
  <c r="D79" i="5" s="1"/>
  <c r="K82" i="1"/>
  <c r="C77" i="5"/>
  <c r="D77" i="5" s="1"/>
  <c r="K80" i="1"/>
  <c r="C75" i="5"/>
  <c r="D75" i="5" s="1"/>
  <c r="K78" i="1"/>
  <c r="C73" i="5"/>
  <c r="D73" i="5" s="1"/>
  <c r="K76" i="1"/>
  <c r="C71" i="5"/>
  <c r="D71" i="5" s="1"/>
  <c r="K74" i="1"/>
  <c r="C69" i="5"/>
  <c r="D69" i="5" s="1"/>
  <c r="K72" i="1"/>
  <c r="C67" i="5"/>
  <c r="D67" i="5" s="1"/>
  <c r="K70" i="1"/>
  <c r="C65" i="5"/>
  <c r="D65" i="5" s="1"/>
  <c r="K68" i="1"/>
  <c r="C63" i="5"/>
  <c r="D63" i="5" s="1"/>
  <c r="K66" i="1"/>
  <c r="C61" i="5"/>
  <c r="D61" i="5" s="1"/>
  <c r="K64" i="1"/>
  <c r="C59" i="5"/>
  <c r="D59" i="5" s="1"/>
  <c r="K62" i="1"/>
  <c r="C57" i="5"/>
  <c r="D57" i="5" s="1"/>
  <c r="K60" i="1"/>
  <c r="C55" i="5"/>
  <c r="D55" i="5" s="1"/>
  <c r="K58" i="1"/>
  <c r="C53" i="5"/>
  <c r="D53" i="5" s="1"/>
  <c r="K56" i="1"/>
  <c r="C51" i="5"/>
  <c r="D51" i="5" s="1"/>
  <c r="K54" i="1"/>
  <c r="C49" i="5"/>
  <c r="D49" i="5" s="1"/>
  <c r="K52" i="1"/>
  <c r="C47" i="5"/>
  <c r="D47" i="5" s="1"/>
  <c r="K50" i="1"/>
  <c r="C45" i="5"/>
  <c r="D45" i="5" s="1"/>
  <c r="K48" i="1"/>
  <c r="C43" i="5"/>
  <c r="D43" i="5" s="1"/>
  <c r="K46" i="1"/>
  <c r="C41" i="5"/>
  <c r="D41" i="5" s="1"/>
  <c r="K44" i="1"/>
  <c r="C39" i="5"/>
  <c r="D39" i="5" s="1"/>
  <c r="K42" i="1"/>
  <c r="C37" i="5"/>
  <c r="D37" i="5" s="1"/>
  <c r="K40" i="1"/>
  <c r="C35" i="5"/>
  <c r="D35" i="5" s="1"/>
  <c r="K38" i="1"/>
  <c r="C33" i="5"/>
  <c r="D33" i="5" s="1"/>
  <c r="K36" i="1"/>
  <c r="C31" i="5"/>
  <c r="D31" i="5" s="1"/>
  <c r="K34" i="1"/>
  <c r="C29" i="5"/>
  <c r="D29" i="5" s="1"/>
  <c r="K32" i="1"/>
  <c r="C27" i="5"/>
  <c r="D27" i="5" s="1"/>
  <c r="K30" i="1"/>
  <c r="C25" i="5"/>
  <c r="D25" i="5" s="1"/>
  <c r="K28" i="1"/>
  <c r="C23" i="5"/>
  <c r="D23" i="5" s="1"/>
  <c r="K26" i="1"/>
  <c r="C21" i="5"/>
  <c r="D21" i="5" s="1"/>
  <c r="K24" i="1"/>
  <c r="C19" i="5"/>
  <c r="D19" i="5" s="1"/>
  <c r="K22" i="1"/>
  <c r="C17" i="5"/>
  <c r="D17" i="5" s="1"/>
  <c r="C15" i="5"/>
  <c r="D15" i="5" s="1"/>
  <c r="K18" i="1"/>
  <c r="C13" i="5"/>
  <c r="D13" i="5" s="1"/>
  <c r="K16" i="1"/>
  <c r="C11" i="5"/>
  <c r="D11" i="5" s="1"/>
  <c r="K14" i="1"/>
  <c r="C9" i="5"/>
  <c r="D9" i="5" s="1"/>
  <c r="K12" i="1"/>
  <c r="C7" i="5"/>
  <c r="D7" i="5" s="1"/>
  <c r="K10" i="1"/>
  <c r="V2005" i="5"/>
  <c r="T2005" i="5"/>
  <c r="P2005" i="5"/>
  <c r="R2005" i="5" s="1"/>
  <c r="U2005" i="5"/>
  <c r="S2005" i="5"/>
  <c r="O2005" i="5"/>
  <c r="W2005" i="5"/>
  <c r="V2001" i="5"/>
  <c r="T2001" i="5"/>
  <c r="P2001" i="5"/>
  <c r="R2001" i="5" s="1"/>
  <c r="U2001" i="5"/>
  <c r="S2001" i="5"/>
  <c r="W2001" i="5"/>
  <c r="O2001" i="5"/>
  <c r="V1997" i="5"/>
  <c r="T1997" i="5"/>
  <c r="P1997" i="5"/>
  <c r="R1997" i="5" s="1"/>
  <c r="U1997" i="5"/>
  <c r="S1997" i="5"/>
  <c r="O1997" i="5"/>
  <c r="W1997" i="5"/>
  <c r="V1993" i="5"/>
  <c r="T1993" i="5"/>
  <c r="P1993" i="5"/>
  <c r="R1993" i="5" s="1"/>
  <c r="U1993" i="5"/>
  <c r="S1993" i="5"/>
  <c r="W1993" i="5"/>
  <c r="O1993" i="5"/>
  <c r="V1989" i="5"/>
  <c r="T1989" i="5"/>
  <c r="P1989" i="5"/>
  <c r="R1989" i="5" s="1"/>
  <c r="U1989" i="5"/>
  <c r="S1989" i="5"/>
  <c r="O1989" i="5"/>
  <c r="W1989" i="5"/>
  <c r="V1985" i="5"/>
  <c r="T1985" i="5"/>
  <c r="P1985" i="5"/>
  <c r="R1985" i="5" s="1"/>
  <c r="U1985" i="5"/>
  <c r="S1985" i="5"/>
  <c r="W1985" i="5"/>
  <c r="O1985" i="5"/>
  <c r="V1981" i="5"/>
  <c r="T1981" i="5"/>
  <c r="P1981" i="5"/>
  <c r="R1981" i="5" s="1"/>
  <c r="U1981" i="5"/>
  <c r="S1981" i="5"/>
  <c r="O1981" i="5"/>
  <c r="W1981" i="5"/>
  <c r="V1977" i="5"/>
  <c r="T1977" i="5"/>
  <c r="P1977" i="5"/>
  <c r="R1977" i="5" s="1"/>
  <c r="U1977" i="5"/>
  <c r="S1977" i="5"/>
  <c r="W1977" i="5"/>
  <c r="O1977" i="5"/>
  <c r="V1973" i="5"/>
  <c r="T1973" i="5"/>
  <c r="P1973" i="5"/>
  <c r="R1973" i="5" s="1"/>
  <c r="U1973" i="5"/>
  <c r="S1973" i="5"/>
  <c r="O1973" i="5"/>
  <c r="W1973" i="5"/>
  <c r="V1969" i="5"/>
  <c r="T1969" i="5"/>
  <c r="P1969" i="5"/>
  <c r="R1969" i="5" s="1"/>
  <c r="W1969" i="5"/>
  <c r="S1969" i="5"/>
  <c r="O1969" i="5"/>
  <c r="U1969" i="5"/>
  <c r="V1965" i="5"/>
  <c r="T1965" i="5"/>
  <c r="P1965" i="5"/>
  <c r="R1965" i="5" s="1"/>
  <c r="W1965" i="5"/>
  <c r="S1965" i="5"/>
  <c r="O1965" i="5"/>
  <c r="U1965" i="5"/>
  <c r="V1961" i="5"/>
  <c r="T1961" i="5"/>
  <c r="P1961" i="5"/>
  <c r="R1961" i="5" s="1"/>
  <c r="W1961" i="5"/>
  <c r="S1961" i="5"/>
  <c r="O1961" i="5"/>
  <c r="U1961" i="5"/>
  <c r="V1957" i="5"/>
  <c r="T1957" i="5"/>
  <c r="P1957" i="5"/>
  <c r="R1957" i="5" s="1"/>
  <c r="W1957" i="5"/>
  <c r="S1957" i="5"/>
  <c r="O1957" i="5"/>
  <c r="U1957" i="5"/>
  <c r="V1953" i="5"/>
  <c r="T1953" i="5"/>
  <c r="P1953" i="5"/>
  <c r="R1953" i="5" s="1"/>
  <c r="W1953" i="5"/>
  <c r="S1953" i="5"/>
  <c r="O1953" i="5"/>
  <c r="U1953" i="5"/>
  <c r="V1949" i="5"/>
  <c r="T1949" i="5"/>
  <c r="P1949" i="5"/>
  <c r="R1949" i="5" s="1"/>
  <c r="W1949" i="5"/>
  <c r="S1949" i="5"/>
  <c r="O1949" i="5"/>
  <c r="U1949" i="5"/>
  <c r="V1945" i="5"/>
  <c r="T1945" i="5"/>
  <c r="P1945" i="5"/>
  <c r="R1945" i="5" s="1"/>
  <c r="W1945" i="5"/>
  <c r="S1945" i="5"/>
  <c r="O1945" i="5"/>
  <c r="U1945" i="5"/>
  <c r="V1941" i="5"/>
  <c r="T1941" i="5"/>
  <c r="P1941" i="5"/>
  <c r="R1941" i="5" s="1"/>
  <c r="W1941" i="5"/>
  <c r="S1941" i="5"/>
  <c r="O1941" i="5"/>
  <c r="U1941" i="5"/>
  <c r="V1937" i="5"/>
  <c r="T1937" i="5"/>
  <c r="P1937" i="5"/>
  <c r="R1937" i="5" s="1"/>
  <c r="W1937" i="5"/>
  <c r="S1937" i="5"/>
  <c r="O1937" i="5"/>
  <c r="U1937" i="5"/>
  <c r="V1933" i="5"/>
  <c r="T1933" i="5"/>
  <c r="P1933" i="5"/>
  <c r="R1933" i="5" s="1"/>
  <c r="W1933" i="5"/>
  <c r="S1933" i="5"/>
  <c r="O1933" i="5"/>
  <c r="U1933" i="5"/>
  <c r="V1929" i="5"/>
  <c r="T1929" i="5"/>
  <c r="P1929" i="5"/>
  <c r="R1929" i="5" s="1"/>
  <c r="W1929" i="5"/>
  <c r="S1929" i="5"/>
  <c r="O1929" i="5"/>
  <c r="U1929" i="5"/>
  <c r="V1925" i="5"/>
  <c r="T1925" i="5"/>
  <c r="P1925" i="5"/>
  <c r="R1925" i="5" s="1"/>
  <c r="W1925" i="5"/>
  <c r="S1925" i="5"/>
  <c r="O1925" i="5"/>
  <c r="U1925" i="5"/>
  <c r="V1921" i="5"/>
  <c r="T1921" i="5"/>
  <c r="P1921" i="5"/>
  <c r="R1921" i="5" s="1"/>
  <c r="W1921" i="5"/>
  <c r="S1921" i="5"/>
  <c r="O1921" i="5"/>
  <c r="U1921" i="5"/>
  <c r="W1917" i="5"/>
  <c r="U1917" i="5"/>
  <c r="S1917" i="5"/>
  <c r="O1917" i="5"/>
  <c r="V1917" i="5"/>
  <c r="T1917" i="5"/>
  <c r="P1917" i="5"/>
  <c r="R1917" i="5" s="1"/>
  <c r="W1913" i="5"/>
  <c r="U1913" i="5"/>
  <c r="S1913" i="5"/>
  <c r="O1913" i="5"/>
  <c r="V1913" i="5"/>
  <c r="T1913" i="5"/>
  <c r="P1913" i="5"/>
  <c r="R1913" i="5" s="1"/>
  <c r="W1909" i="5"/>
  <c r="U1909" i="5"/>
  <c r="S1909" i="5"/>
  <c r="O1909" i="5"/>
  <c r="V1909" i="5"/>
  <c r="T1909" i="5"/>
  <c r="P1909" i="5"/>
  <c r="R1909" i="5" s="1"/>
  <c r="W1905" i="5"/>
  <c r="U1905" i="5"/>
  <c r="S1905" i="5"/>
  <c r="O1905" i="5"/>
  <c r="V1905" i="5"/>
  <c r="T1905" i="5"/>
  <c r="P1905" i="5"/>
  <c r="R1905" i="5" s="1"/>
  <c r="W1901" i="5"/>
  <c r="U1901" i="5"/>
  <c r="S1901" i="5"/>
  <c r="O1901" i="5"/>
  <c r="V1901" i="5"/>
  <c r="T1901" i="5"/>
  <c r="P1901" i="5"/>
  <c r="R1901" i="5" s="1"/>
  <c r="W1897" i="5"/>
  <c r="U1897" i="5"/>
  <c r="S1897" i="5"/>
  <c r="O1897" i="5"/>
  <c r="V1897" i="5"/>
  <c r="T1897" i="5"/>
  <c r="P1897" i="5"/>
  <c r="R1897" i="5" s="1"/>
  <c r="W1893" i="5"/>
  <c r="U1893" i="5"/>
  <c r="S1893" i="5"/>
  <c r="O1893" i="5"/>
  <c r="V1893" i="5"/>
  <c r="T1893" i="5"/>
  <c r="P1893" i="5"/>
  <c r="R1893" i="5" s="1"/>
  <c r="W1889" i="5"/>
  <c r="U1889" i="5"/>
  <c r="S1889" i="5"/>
  <c r="O1889" i="5"/>
  <c r="V1889" i="5"/>
  <c r="T1889" i="5"/>
  <c r="P1889" i="5"/>
  <c r="R1889" i="5" s="1"/>
  <c r="W1885" i="5"/>
  <c r="U1885" i="5"/>
  <c r="S1885" i="5"/>
  <c r="O1885" i="5"/>
  <c r="V1885" i="5"/>
  <c r="T1885" i="5"/>
  <c r="P1885" i="5"/>
  <c r="R1885" i="5" s="1"/>
  <c r="W1881" i="5"/>
  <c r="U1881" i="5"/>
  <c r="S1881" i="5"/>
  <c r="O1881" i="5"/>
  <c r="V1881" i="5"/>
  <c r="T1881" i="5"/>
  <c r="P1881" i="5"/>
  <c r="R1881" i="5" s="1"/>
  <c r="W1877" i="5"/>
  <c r="U1877" i="5"/>
  <c r="S1877" i="5"/>
  <c r="O1877" i="5"/>
  <c r="V1877" i="5"/>
  <c r="T1877" i="5"/>
  <c r="P1877" i="5"/>
  <c r="R1877" i="5" s="1"/>
  <c r="W1873" i="5"/>
  <c r="U1873" i="5"/>
  <c r="S1873" i="5"/>
  <c r="O1873" i="5"/>
  <c r="V1873" i="5"/>
  <c r="T1873" i="5"/>
  <c r="P1873" i="5"/>
  <c r="R1873" i="5" s="1"/>
  <c r="W1869" i="5"/>
  <c r="U1869" i="5"/>
  <c r="S1869" i="5"/>
  <c r="O1869" i="5"/>
  <c r="V1869" i="5"/>
  <c r="T1869" i="5"/>
  <c r="P1869" i="5"/>
  <c r="R1869" i="5" s="1"/>
  <c r="W1865" i="5"/>
  <c r="U1865" i="5"/>
  <c r="S1865" i="5"/>
  <c r="O1865" i="5"/>
  <c r="V1865" i="5"/>
  <c r="T1865" i="5"/>
  <c r="P1865" i="5"/>
  <c r="R1865" i="5" s="1"/>
  <c r="W1861" i="5"/>
  <c r="U1861" i="5"/>
  <c r="S1861" i="5"/>
  <c r="O1861" i="5"/>
  <c r="V1861" i="5"/>
  <c r="T1861" i="5"/>
  <c r="P1861" i="5"/>
  <c r="R1861" i="5" s="1"/>
  <c r="W1857" i="5"/>
  <c r="U1857" i="5"/>
  <c r="S1857" i="5"/>
  <c r="O1857" i="5"/>
  <c r="V1857" i="5"/>
  <c r="T1857" i="5"/>
  <c r="P1857" i="5"/>
  <c r="R1857" i="5" s="1"/>
  <c r="W1853" i="5"/>
  <c r="U1853" i="5"/>
  <c r="S1853" i="5"/>
  <c r="O1853" i="5"/>
  <c r="V1853" i="5"/>
  <c r="T1853" i="5"/>
  <c r="P1853" i="5"/>
  <c r="R1853" i="5" s="1"/>
  <c r="W1849" i="5"/>
  <c r="U1849" i="5"/>
  <c r="S1849" i="5"/>
  <c r="O1849" i="5"/>
  <c r="V1849" i="5"/>
  <c r="T1849" i="5"/>
  <c r="P1849" i="5"/>
  <c r="R1849" i="5" s="1"/>
  <c r="W1845" i="5"/>
  <c r="U1845" i="5"/>
  <c r="S1845" i="5"/>
  <c r="O1845" i="5"/>
  <c r="V1845" i="5"/>
  <c r="T1845" i="5"/>
  <c r="P1845" i="5"/>
  <c r="R1845" i="5" s="1"/>
  <c r="W1841" i="5"/>
  <c r="U1841" i="5"/>
  <c r="S1841" i="5"/>
  <c r="O1841" i="5"/>
  <c r="V1841" i="5"/>
  <c r="T1841" i="5"/>
  <c r="P1841" i="5"/>
  <c r="R1841" i="5" s="1"/>
  <c r="W1837" i="5"/>
  <c r="U1837" i="5"/>
  <c r="S1837" i="5"/>
  <c r="O1837" i="5"/>
  <c r="V1837" i="5"/>
  <c r="T1837" i="5"/>
  <c r="P1837" i="5"/>
  <c r="R1837" i="5" s="1"/>
  <c r="W1833" i="5"/>
  <c r="U1833" i="5"/>
  <c r="S1833" i="5"/>
  <c r="O1833" i="5"/>
  <c r="V1833" i="5"/>
  <c r="T1833" i="5"/>
  <c r="P1833" i="5"/>
  <c r="R1833" i="5" s="1"/>
  <c r="W1829" i="5"/>
  <c r="U1829" i="5"/>
  <c r="S1829" i="5"/>
  <c r="O1829" i="5"/>
  <c r="V1829" i="5"/>
  <c r="T1829" i="5"/>
  <c r="P1829" i="5"/>
  <c r="R1829" i="5" s="1"/>
  <c r="W1825" i="5"/>
  <c r="U1825" i="5"/>
  <c r="S1825" i="5"/>
  <c r="O1825" i="5"/>
  <c r="V1825" i="5"/>
  <c r="T1825" i="5"/>
  <c r="P1825" i="5"/>
  <c r="R1825" i="5" s="1"/>
  <c r="W1821" i="5"/>
  <c r="U1821" i="5"/>
  <c r="S1821" i="5"/>
  <c r="O1821" i="5"/>
  <c r="V1821" i="5"/>
  <c r="T1821" i="5"/>
  <c r="P1821" i="5"/>
  <c r="R1821" i="5" s="1"/>
  <c r="W1817" i="5"/>
  <c r="U1817" i="5"/>
  <c r="S1817" i="5"/>
  <c r="O1817" i="5"/>
  <c r="T1817" i="5"/>
  <c r="P1817" i="5"/>
  <c r="R1817" i="5" s="1"/>
  <c r="V1817" i="5"/>
  <c r="W1813" i="5"/>
  <c r="U1813" i="5"/>
  <c r="S1813" i="5"/>
  <c r="O1813" i="5"/>
  <c r="T1813" i="5"/>
  <c r="P1813" i="5"/>
  <c r="R1813" i="5" s="1"/>
  <c r="V1813" i="5"/>
  <c r="W1809" i="5"/>
  <c r="U1809" i="5"/>
  <c r="S1809" i="5"/>
  <c r="O1809" i="5"/>
  <c r="T1809" i="5"/>
  <c r="P1809" i="5"/>
  <c r="R1809" i="5" s="1"/>
  <c r="V1809" i="5"/>
  <c r="W1805" i="5"/>
  <c r="U1805" i="5"/>
  <c r="S1805" i="5"/>
  <c r="O1805" i="5"/>
  <c r="T1805" i="5"/>
  <c r="P1805" i="5"/>
  <c r="R1805" i="5" s="1"/>
  <c r="V1805" i="5"/>
  <c r="W1801" i="5"/>
  <c r="U1801" i="5"/>
  <c r="S1801" i="5"/>
  <c r="O1801" i="5"/>
  <c r="T1801" i="5"/>
  <c r="P1801" i="5"/>
  <c r="R1801" i="5" s="1"/>
  <c r="V1801" i="5"/>
  <c r="W1797" i="5"/>
  <c r="U1797" i="5"/>
  <c r="S1797" i="5"/>
  <c r="O1797" i="5"/>
  <c r="T1797" i="5"/>
  <c r="P1797" i="5"/>
  <c r="R1797" i="5" s="1"/>
  <c r="V1797" i="5"/>
  <c r="W1793" i="5"/>
  <c r="U1793" i="5"/>
  <c r="S1793" i="5"/>
  <c r="O1793" i="5"/>
  <c r="T1793" i="5"/>
  <c r="P1793" i="5"/>
  <c r="R1793" i="5" s="1"/>
  <c r="V1793" i="5"/>
  <c r="W1789" i="5"/>
  <c r="U1789" i="5"/>
  <c r="S1789" i="5"/>
  <c r="O1789" i="5"/>
  <c r="T1789" i="5"/>
  <c r="P1789" i="5"/>
  <c r="R1789" i="5" s="1"/>
  <c r="V1789" i="5"/>
  <c r="W1785" i="5"/>
  <c r="U1785" i="5"/>
  <c r="S1785" i="5"/>
  <c r="O1785" i="5"/>
  <c r="T1785" i="5"/>
  <c r="P1785" i="5"/>
  <c r="R1785" i="5" s="1"/>
  <c r="V1785" i="5"/>
  <c r="W1781" i="5"/>
  <c r="U1781" i="5"/>
  <c r="S1781" i="5"/>
  <c r="O1781" i="5"/>
  <c r="T1781" i="5"/>
  <c r="P1781" i="5"/>
  <c r="R1781" i="5" s="1"/>
  <c r="V1781" i="5"/>
  <c r="W1777" i="5"/>
  <c r="U1777" i="5"/>
  <c r="S1777" i="5"/>
  <c r="O1777" i="5"/>
  <c r="T1777" i="5"/>
  <c r="P1777" i="5"/>
  <c r="R1777" i="5" s="1"/>
  <c r="V1777" i="5"/>
  <c r="W1773" i="5"/>
  <c r="U1773" i="5"/>
  <c r="S1773" i="5"/>
  <c r="O1773" i="5"/>
  <c r="T1773" i="5"/>
  <c r="P1773" i="5"/>
  <c r="R1773" i="5" s="1"/>
  <c r="V1773" i="5"/>
  <c r="W1769" i="5"/>
  <c r="U1769" i="5"/>
  <c r="S1769" i="5"/>
  <c r="O1769" i="5"/>
  <c r="T1769" i="5"/>
  <c r="P1769" i="5"/>
  <c r="R1769" i="5" s="1"/>
  <c r="V1769" i="5"/>
  <c r="W1765" i="5"/>
  <c r="U1765" i="5"/>
  <c r="S1765" i="5"/>
  <c r="O1765" i="5"/>
  <c r="T1765" i="5"/>
  <c r="P1765" i="5"/>
  <c r="R1765" i="5" s="1"/>
  <c r="V1765" i="5"/>
  <c r="W1761" i="5"/>
  <c r="U1761" i="5"/>
  <c r="S1761" i="5"/>
  <c r="O1761" i="5"/>
  <c r="T1761" i="5"/>
  <c r="P1761" i="5"/>
  <c r="R1761" i="5" s="1"/>
  <c r="V1761" i="5"/>
  <c r="W1757" i="5"/>
  <c r="U1757" i="5"/>
  <c r="S1757" i="5"/>
  <c r="O1757" i="5"/>
  <c r="T1757" i="5"/>
  <c r="P1757" i="5"/>
  <c r="R1757" i="5" s="1"/>
  <c r="V1757" i="5"/>
  <c r="W1753" i="5"/>
  <c r="U1753" i="5"/>
  <c r="S1753" i="5"/>
  <c r="O1753" i="5"/>
  <c r="T1753" i="5"/>
  <c r="P1753" i="5"/>
  <c r="R1753" i="5" s="1"/>
  <c r="V1753" i="5"/>
  <c r="W1749" i="5"/>
  <c r="U1749" i="5"/>
  <c r="S1749" i="5"/>
  <c r="O1749" i="5"/>
  <c r="T1749" i="5"/>
  <c r="P1749" i="5"/>
  <c r="R1749" i="5" s="1"/>
  <c r="V1749" i="5"/>
  <c r="W1745" i="5"/>
  <c r="U1745" i="5"/>
  <c r="S1745" i="5"/>
  <c r="O1745" i="5"/>
  <c r="T1745" i="5"/>
  <c r="P1745" i="5"/>
  <c r="R1745" i="5" s="1"/>
  <c r="V1745" i="5"/>
  <c r="W1741" i="5"/>
  <c r="U1741" i="5"/>
  <c r="S1741" i="5"/>
  <c r="O1741" i="5"/>
  <c r="T1741" i="5"/>
  <c r="P1741" i="5"/>
  <c r="R1741" i="5" s="1"/>
  <c r="V1741" i="5"/>
  <c r="W1737" i="5"/>
  <c r="U1737" i="5"/>
  <c r="S1737" i="5"/>
  <c r="O1737" i="5"/>
  <c r="T1737" i="5"/>
  <c r="P1737" i="5"/>
  <c r="R1737" i="5" s="1"/>
  <c r="V1737" i="5"/>
  <c r="W1733" i="5"/>
  <c r="U1733" i="5"/>
  <c r="S1733" i="5"/>
  <c r="O1733" i="5"/>
  <c r="T1733" i="5"/>
  <c r="P1733" i="5"/>
  <c r="R1733" i="5" s="1"/>
  <c r="V1733" i="5"/>
  <c r="W1729" i="5"/>
  <c r="U1729" i="5"/>
  <c r="S1729" i="5"/>
  <c r="O1729" i="5"/>
  <c r="T1729" i="5"/>
  <c r="P1729" i="5"/>
  <c r="R1729" i="5" s="1"/>
  <c r="V1729" i="5"/>
  <c r="W1725" i="5"/>
  <c r="U1725" i="5"/>
  <c r="S1725" i="5"/>
  <c r="O1725" i="5"/>
  <c r="T1725" i="5"/>
  <c r="P1725" i="5"/>
  <c r="R1725" i="5" s="1"/>
  <c r="V1725" i="5"/>
  <c r="W1721" i="5"/>
  <c r="U1721" i="5"/>
  <c r="S1721" i="5"/>
  <c r="O1721" i="5"/>
  <c r="T1721" i="5"/>
  <c r="P1721" i="5"/>
  <c r="R1721" i="5" s="1"/>
  <c r="V1721" i="5"/>
  <c r="W1717" i="5"/>
  <c r="U1717" i="5"/>
  <c r="S1717" i="5"/>
  <c r="O1717" i="5"/>
  <c r="T1717" i="5"/>
  <c r="P1717" i="5"/>
  <c r="R1717" i="5" s="1"/>
  <c r="V1717" i="5"/>
  <c r="W1713" i="5"/>
  <c r="U1713" i="5"/>
  <c r="S1713" i="5"/>
  <c r="O1713" i="5"/>
  <c r="T1713" i="5"/>
  <c r="P1713" i="5"/>
  <c r="R1713" i="5" s="1"/>
  <c r="V1713" i="5"/>
  <c r="W1709" i="5"/>
  <c r="U1709" i="5"/>
  <c r="S1709" i="5"/>
  <c r="O1709" i="5"/>
  <c r="T1709" i="5"/>
  <c r="P1709" i="5"/>
  <c r="R1709" i="5" s="1"/>
  <c r="V1709" i="5"/>
  <c r="W1705" i="5"/>
  <c r="U1705" i="5"/>
  <c r="S1705" i="5"/>
  <c r="O1705" i="5"/>
  <c r="T1705" i="5"/>
  <c r="P1705" i="5"/>
  <c r="R1705" i="5" s="1"/>
  <c r="V1705" i="5"/>
  <c r="W1701" i="5"/>
  <c r="U1701" i="5"/>
  <c r="S1701" i="5"/>
  <c r="O1701" i="5"/>
  <c r="T1701" i="5"/>
  <c r="P1701" i="5"/>
  <c r="R1701" i="5" s="1"/>
  <c r="V1701" i="5"/>
  <c r="W1697" i="5"/>
  <c r="U1697" i="5"/>
  <c r="S1697" i="5"/>
  <c r="O1697" i="5"/>
  <c r="T1697" i="5"/>
  <c r="P1697" i="5"/>
  <c r="R1697" i="5" s="1"/>
  <c r="V1697" i="5"/>
  <c r="W1693" i="5"/>
  <c r="U1693" i="5"/>
  <c r="S1693" i="5"/>
  <c r="O1693" i="5"/>
  <c r="T1693" i="5"/>
  <c r="P1693" i="5"/>
  <c r="R1693" i="5" s="1"/>
  <c r="V1693" i="5"/>
  <c r="W1689" i="5"/>
  <c r="U1689" i="5"/>
  <c r="S1689" i="5"/>
  <c r="O1689" i="5"/>
  <c r="T1689" i="5"/>
  <c r="P1689" i="5"/>
  <c r="R1689" i="5" s="1"/>
  <c r="V1689" i="5"/>
  <c r="W1685" i="5"/>
  <c r="U1685" i="5"/>
  <c r="S1685" i="5"/>
  <c r="O1685" i="5"/>
  <c r="T1685" i="5"/>
  <c r="P1685" i="5"/>
  <c r="R1685" i="5" s="1"/>
  <c r="V1685" i="5"/>
  <c r="W1681" i="5"/>
  <c r="U1681" i="5"/>
  <c r="S1681" i="5"/>
  <c r="O1681" i="5"/>
  <c r="T1681" i="5"/>
  <c r="P1681" i="5"/>
  <c r="R1681" i="5" s="1"/>
  <c r="V1681" i="5"/>
  <c r="W1677" i="5"/>
  <c r="U1677" i="5"/>
  <c r="S1677" i="5"/>
  <c r="O1677" i="5"/>
  <c r="T1677" i="5"/>
  <c r="P1677" i="5"/>
  <c r="R1677" i="5" s="1"/>
  <c r="V1677" i="5"/>
  <c r="W1673" i="5"/>
  <c r="U1673" i="5"/>
  <c r="S1673" i="5"/>
  <c r="O1673" i="5"/>
  <c r="T1673" i="5"/>
  <c r="P1673" i="5"/>
  <c r="R1673" i="5" s="1"/>
  <c r="V1673" i="5"/>
  <c r="W1669" i="5"/>
  <c r="U1669" i="5"/>
  <c r="S1669" i="5"/>
  <c r="O1669" i="5"/>
  <c r="T1669" i="5"/>
  <c r="P1669" i="5"/>
  <c r="R1669" i="5" s="1"/>
  <c r="V1669" i="5"/>
  <c r="W1665" i="5"/>
  <c r="U1665" i="5"/>
  <c r="S1665" i="5"/>
  <c r="O1665" i="5"/>
  <c r="T1665" i="5"/>
  <c r="P1665" i="5"/>
  <c r="R1665" i="5" s="1"/>
  <c r="V1665" i="5"/>
  <c r="W1661" i="5"/>
  <c r="U1661" i="5"/>
  <c r="S1661" i="5"/>
  <c r="O1661" i="5"/>
  <c r="T1661" i="5"/>
  <c r="P1661" i="5"/>
  <c r="R1661" i="5" s="1"/>
  <c r="V1661" i="5"/>
  <c r="W1657" i="5"/>
  <c r="U1657" i="5"/>
  <c r="S1657" i="5"/>
  <c r="O1657" i="5"/>
  <c r="T1657" i="5"/>
  <c r="P1657" i="5"/>
  <c r="R1657" i="5" s="1"/>
  <c r="V1657" i="5"/>
  <c r="W1653" i="5"/>
  <c r="U1653" i="5"/>
  <c r="S1653" i="5"/>
  <c r="O1653" i="5"/>
  <c r="T1653" i="5"/>
  <c r="P1653" i="5"/>
  <c r="R1653" i="5" s="1"/>
  <c r="V1653" i="5"/>
  <c r="W1649" i="5"/>
  <c r="U1649" i="5"/>
  <c r="S1649" i="5"/>
  <c r="O1649" i="5"/>
  <c r="T1649" i="5"/>
  <c r="P1649" i="5"/>
  <c r="R1649" i="5" s="1"/>
  <c r="V1649" i="5"/>
  <c r="W1645" i="5"/>
  <c r="U1645" i="5"/>
  <c r="S1645" i="5"/>
  <c r="O1645" i="5"/>
  <c r="T1645" i="5"/>
  <c r="P1645" i="5"/>
  <c r="R1645" i="5" s="1"/>
  <c r="V1645" i="5"/>
  <c r="W1641" i="5"/>
  <c r="U1641" i="5"/>
  <c r="S1641" i="5"/>
  <c r="O1641" i="5"/>
  <c r="T1641" i="5"/>
  <c r="P1641" i="5"/>
  <c r="R1641" i="5" s="1"/>
  <c r="V1641" i="5"/>
  <c r="W1637" i="5"/>
  <c r="U1637" i="5"/>
  <c r="S1637" i="5"/>
  <c r="O1637" i="5"/>
  <c r="T1637" i="5"/>
  <c r="P1637" i="5"/>
  <c r="R1637" i="5" s="1"/>
  <c r="V1637" i="5"/>
  <c r="W1633" i="5"/>
  <c r="U1633" i="5"/>
  <c r="S1633" i="5"/>
  <c r="O1633" i="5"/>
  <c r="T1633" i="5"/>
  <c r="P1633" i="5"/>
  <c r="R1633" i="5" s="1"/>
  <c r="V1633" i="5"/>
  <c r="W1629" i="5"/>
  <c r="U1629" i="5"/>
  <c r="S1629" i="5"/>
  <c r="O1629" i="5"/>
  <c r="T1629" i="5"/>
  <c r="P1629" i="5"/>
  <c r="R1629" i="5" s="1"/>
  <c r="V1629" i="5"/>
  <c r="W1625" i="5"/>
  <c r="U1625" i="5"/>
  <c r="S1625" i="5"/>
  <c r="O1625" i="5"/>
  <c r="T1625" i="5"/>
  <c r="P1625" i="5"/>
  <c r="R1625" i="5" s="1"/>
  <c r="V1625" i="5"/>
  <c r="W1621" i="5"/>
  <c r="U1621" i="5"/>
  <c r="S1621" i="5"/>
  <c r="O1621" i="5"/>
  <c r="T1621" i="5"/>
  <c r="P1621" i="5"/>
  <c r="R1621" i="5" s="1"/>
  <c r="V1621" i="5"/>
  <c r="W1617" i="5"/>
  <c r="U1617" i="5"/>
  <c r="S1617" i="5"/>
  <c r="O1617" i="5"/>
  <c r="T1617" i="5"/>
  <c r="P1617" i="5"/>
  <c r="R1617" i="5" s="1"/>
  <c r="V1617" i="5"/>
  <c r="W1613" i="5"/>
  <c r="U1613" i="5"/>
  <c r="T1613" i="5"/>
  <c r="P1613" i="5"/>
  <c r="R1613" i="5" s="1"/>
  <c r="S1613" i="5"/>
  <c r="O1613" i="5"/>
  <c r="V1613" i="5"/>
  <c r="V1609" i="5"/>
  <c r="T1609" i="5"/>
  <c r="P1609" i="5"/>
  <c r="R1609" i="5" s="1"/>
  <c r="W1609" i="5"/>
  <c r="S1609" i="5"/>
  <c r="O1609" i="5"/>
  <c r="U1609" i="5"/>
  <c r="V1605" i="5"/>
  <c r="T1605" i="5"/>
  <c r="P1605" i="5"/>
  <c r="R1605" i="5" s="1"/>
  <c r="W1605" i="5"/>
  <c r="S1605" i="5"/>
  <c r="O1605" i="5"/>
  <c r="U1605" i="5"/>
  <c r="V1601" i="5"/>
  <c r="T1601" i="5"/>
  <c r="P1601" i="5"/>
  <c r="R1601" i="5" s="1"/>
  <c r="W1601" i="5"/>
  <c r="S1601" i="5"/>
  <c r="O1601" i="5"/>
  <c r="U1601" i="5"/>
  <c r="V1597" i="5"/>
  <c r="T1597" i="5"/>
  <c r="P1597" i="5"/>
  <c r="R1597" i="5" s="1"/>
  <c r="W1597" i="5"/>
  <c r="S1597" i="5"/>
  <c r="O1597" i="5"/>
  <c r="U1597" i="5"/>
  <c r="V1593" i="5"/>
  <c r="T1593" i="5"/>
  <c r="P1593" i="5"/>
  <c r="R1593" i="5" s="1"/>
  <c r="W1593" i="5"/>
  <c r="S1593" i="5"/>
  <c r="O1593" i="5"/>
  <c r="U1593" i="5"/>
  <c r="V1589" i="5"/>
  <c r="T1589" i="5"/>
  <c r="P1589" i="5"/>
  <c r="R1589" i="5" s="1"/>
  <c r="W1589" i="5"/>
  <c r="S1589" i="5"/>
  <c r="O1589" i="5"/>
  <c r="U1589" i="5"/>
  <c r="V1585" i="5"/>
  <c r="T1585" i="5"/>
  <c r="P1585" i="5"/>
  <c r="R1585" i="5" s="1"/>
  <c r="W1585" i="5"/>
  <c r="S1585" i="5"/>
  <c r="O1585" i="5"/>
  <c r="U1585" i="5"/>
  <c r="V1581" i="5"/>
  <c r="T1581" i="5"/>
  <c r="P1581" i="5"/>
  <c r="R1581" i="5" s="1"/>
  <c r="W1581" i="5"/>
  <c r="S1581" i="5"/>
  <c r="O1581" i="5"/>
  <c r="U1581" i="5"/>
  <c r="V1577" i="5"/>
  <c r="T1577" i="5"/>
  <c r="P1577" i="5"/>
  <c r="R1577" i="5" s="1"/>
  <c r="W1577" i="5"/>
  <c r="S1577" i="5"/>
  <c r="O1577" i="5"/>
  <c r="U1577" i="5"/>
  <c r="V1573" i="5"/>
  <c r="T1573" i="5"/>
  <c r="P1573" i="5"/>
  <c r="R1573" i="5" s="1"/>
  <c r="W1573" i="5"/>
  <c r="S1573" i="5"/>
  <c r="O1573" i="5"/>
  <c r="U1573" i="5"/>
  <c r="V1569" i="5"/>
  <c r="T1569" i="5"/>
  <c r="P1569" i="5"/>
  <c r="R1569" i="5" s="1"/>
  <c r="W1569" i="5"/>
  <c r="S1569" i="5"/>
  <c r="O1569" i="5"/>
  <c r="U1569" i="5"/>
  <c r="V1565" i="5"/>
  <c r="T1565" i="5"/>
  <c r="P1565" i="5"/>
  <c r="R1565" i="5" s="1"/>
  <c r="W1565" i="5"/>
  <c r="S1565" i="5"/>
  <c r="O1565" i="5"/>
  <c r="U1565" i="5"/>
  <c r="V1561" i="5"/>
  <c r="T1561" i="5"/>
  <c r="P1561" i="5"/>
  <c r="R1561" i="5" s="1"/>
  <c r="W1561" i="5"/>
  <c r="S1561" i="5"/>
  <c r="O1561" i="5"/>
  <c r="U1561" i="5"/>
  <c r="V1557" i="5"/>
  <c r="T1557" i="5"/>
  <c r="P1557" i="5"/>
  <c r="R1557" i="5" s="1"/>
  <c r="W1557" i="5"/>
  <c r="S1557" i="5"/>
  <c r="O1557" i="5"/>
  <c r="U1557" i="5"/>
  <c r="V1553" i="5"/>
  <c r="T1553" i="5"/>
  <c r="P1553" i="5"/>
  <c r="R1553" i="5" s="1"/>
  <c r="W1553" i="5"/>
  <c r="S1553" i="5"/>
  <c r="O1553" i="5"/>
  <c r="U1553" i="5"/>
  <c r="V1549" i="5"/>
  <c r="T1549" i="5"/>
  <c r="P1549" i="5"/>
  <c r="R1549" i="5" s="1"/>
  <c r="W1549" i="5"/>
  <c r="S1549" i="5"/>
  <c r="O1549" i="5"/>
  <c r="U1549" i="5"/>
  <c r="V1545" i="5"/>
  <c r="T1545" i="5"/>
  <c r="P1545" i="5"/>
  <c r="R1545" i="5" s="1"/>
  <c r="W1545" i="5"/>
  <c r="S1545" i="5"/>
  <c r="O1545" i="5"/>
  <c r="U1545" i="5"/>
  <c r="V1541" i="5"/>
  <c r="T1541" i="5"/>
  <c r="P1541" i="5"/>
  <c r="R1541" i="5" s="1"/>
  <c r="W1541" i="5"/>
  <c r="S1541" i="5"/>
  <c r="O1541" i="5"/>
  <c r="U1541" i="5"/>
  <c r="V1537" i="5"/>
  <c r="T1537" i="5"/>
  <c r="P1537" i="5"/>
  <c r="R1537" i="5" s="1"/>
  <c r="W1537" i="5"/>
  <c r="S1537" i="5"/>
  <c r="O1537" i="5"/>
  <c r="U1537" i="5"/>
  <c r="V1533" i="5"/>
  <c r="T1533" i="5"/>
  <c r="P1533" i="5"/>
  <c r="R1533" i="5" s="1"/>
  <c r="W1533" i="5"/>
  <c r="S1533" i="5"/>
  <c r="O1533" i="5"/>
  <c r="U1533" i="5"/>
  <c r="V1529" i="5"/>
  <c r="T1529" i="5"/>
  <c r="P1529" i="5"/>
  <c r="R1529" i="5" s="1"/>
  <c r="W1529" i="5"/>
  <c r="S1529" i="5"/>
  <c r="O1529" i="5"/>
  <c r="U1529" i="5"/>
  <c r="V1525" i="5"/>
  <c r="T1525" i="5"/>
  <c r="P1525" i="5"/>
  <c r="R1525" i="5" s="1"/>
  <c r="W1525" i="5"/>
  <c r="S1525" i="5"/>
  <c r="O1525" i="5"/>
  <c r="U1525" i="5"/>
  <c r="V1521" i="5"/>
  <c r="T1521" i="5"/>
  <c r="P1521" i="5"/>
  <c r="R1521" i="5" s="1"/>
  <c r="W1521" i="5"/>
  <c r="S1521" i="5"/>
  <c r="O1521" i="5"/>
  <c r="U1521" i="5"/>
  <c r="V1517" i="5"/>
  <c r="T1517" i="5"/>
  <c r="P1517" i="5"/>
  <c r="R1517" i="5" s="1"/>
  <c r="W1517" i="5"/>
  <c r="S1517" i="5"/>
  <c r="O1517" i="5"/>
  <c r="U1517" i="5"/>
  <c r="V1513" i="5"/>
  <c r="T1513" i="5"/>
  <c r="P1513" i="5"/>
  <c r="R1513" i="5" s="1"/>
  <c r="W1513" i="5"/>
  <c r="S1513" i="5"/>
  <c r="O1513" i="5"/>
  <c r="U1513" i="5"/>
  <c r="V1509" i="5"/>
  <c r="T1509" i="5"/>
  <c r="P1509" i="5"/>
  <c r="R1509" i="5" s="1"/>
  <c r="W1509" i="5"/>
  <c r="S1509" i="5"/>
  <c r="O1509" i="5"/>
  <c r="U1509" i="5"/>
  <c r="V1505" i="5"/>
  <c r="T1505" i="5"/>
  <c r="P1505" i="5"/>
  <c r="R1505" i="5" s="1"/>
  <c r="W1505" i="5"/>
  <c r="S1505" i="5"/>
  <c r="O1505" i="5"/>
  <c r="U1505" i="5"/>
  <c r="V1501" i="5"/>
  <c r="T1501" i="5"/>
  <c r="P1501" i="5"/>
  <c r="R1501" i="5" s="1"/>
  <c r="W1501" i="5"/>
  <c r="S1501" i="5"/>
  <c r="O1501" i="5"/>
  <c r="U1501" i="5"/>
  <c r="V1497" i="5"/>
  <c r="T1497" i="5"/>
  <c r="P1497" i="5"/>
  <c r="R1497" i="5" s="1"/>
  <c r="W1497" i="5"/>
  <c r="S1497" i="5"/>
  <c r="O1497" i="5"/>
  <c r="U1497" i="5"/>
  <c r="V1493" i="5"/>
  <c r="T1493" i="5"/>
  <c r="P1493" i="5"/>
  <c r="R1493" i="5" s="1"/>
  <c r="W1493" i="5"/>
  <c r="S1493" i="5"/>
  <c r="O1493" i="5"/>
  <c r="U1493" i="5"/>
  <c r="V1489" i="5"/>
  <c r="T1489" i="5"/>
  <c r="P1489" i="5"/>
  <c r="R1489" i="5" s="1"/>
  <c r="W1489" i="5"/>
  <c r="S1489" i="5"/>
  <c r="O1489" i="5"/>
  <c r="U1489" i="5"/>
  <c r="V1485" i="5"/>
  <c r="T1485" i="5"/>
  <c r="P1485" i="5"/>
  <c r="R1485" i="5" s="1"/>
  <c r="W1485" i="5"/>
  <c r="S1485" i="5"/>
  <c r="O1485" i="5"/>
  <c r="U1485" i="5"/>
  <c r="V1481" i="5"/>
  <c r="T1481" i="5"/>
  <c r="P1481" i="5"/>
  <c r="R1481" i="5" s="1"/>
  <c r="W1481" i="5"/>
  <c r="S1481" i="5"/>
  <c r="O1481" i="5"/>
  <c r="U1481" i="5"/>
  <c r="V1477" i="5"/>
  <c r="T1477" i="5"/>
  <c r="P1477" i="5"/>
  <c r="R1477" i="5" s="1"/>
  <c r="W1477" i="5"/>
  <c r="S1477" i="5"/>
  <c r="O1477" i="5"/>
  <c r="U1477" i="5"/>
  <c r="V1473" i="5"/>
  <c r="T1473" i="5"/>
  <c r="P1473" i="5"/>
  <c r="R1473" i="5" s="1"/>
  <c r="W1473" i="5"/>
  <c r="S1473" i="5"/>
  <c r="O1473" i="5"/>
  <c r="U1473" i="5"/>
  <c r="V1469" i="5"/>
  <c r="T1469" i="5"/>
  <c r="P1469" i="5"/>
  <c r="R1469" i="5" s="1"/>
  <c r="W1469" i="5"/>
  <c r="S1469" i="5"/>
  <c r="O1469" i="5"/>
  <c r="U1469" i="5"/>
  <c r="V1465" i="5"/>
  <c r="T1465" i="5"/>
  <c r="P1465" i="5"/>
  <c r="R1465" i="5" s="1"/>
  <c r="W1465" i="5"/>
  <c r="S1465" i="5"/>
  <c r="O1465" i="5"/>
  <c r="U1465" i="5"/>
  <c r="V1461" i="5"/>
  <c r="T1461" i="5"/>
  <c r="P1461" i="5"/>
  <c r="R1461" i="5" s="1"/>
  <c r="W1461" i="5"/>
  <c r="S1461" i="5"/>
  <c r="O1461" i="5"/>
  <c r="U1461" i="5"/>
  <c r="V1457" i="5"/>
  <c r="T1457" i="5"/>
  <c r="P1457" i="5"/>
  <c r="R1457" i="5" s="1"/>
  <c r="W1457" i="5"/>
  <c r="S1457" i="5"/>
  <c r="O1457" i="5"/>
  <c r="U1457" i="5"/>
  <c r="V1453" i="5"/>
  <c r="T1453" i="5"/>
  <c r="P1453" i="5"/>
  <c r="R1453" i="5" s="1"/>
  <c r="W1453" i="5"/>
  <c r="S1453" i="5"/>
  <c r="O1453" i="5"/>
  <c r="U1453" i="5"/>
  <c r="V1449" i="5"/>
  <c r="T1449" i="5"/>
  <c r="P1449" i="5"/>
  <c r="R1449" i="5" s="1"/>
  <c r="W1449" i="5"/>
  <c r="S1449" i="5"/>
  <c r="O1449" i="5"/>
  <c r="U1449" i="5"/>
  <c r="V1445" i="5"/>
  <c r="T1445" i="5"/>
  <c r="P1445" i="5"/>
  <c r="R1445" i="5" s="1"/>
  <c r="W1445" i="5"/>
  <c r="S1445" i="5"/>
  <c r="O1445" i="5"/>
  <c r="U1445" i="5"/>
  <c r="V1441" i="5"/>
  <c r="T1441" i="5"/>
  <c r="P1441" i="5"/>
  <c r="R1441" i="5" s="1"/>
  <c r="W1441" i="5"/>
  <c r="S1441" i="5"/>
  <c r="O1441" i="5"/>
  <c r="U1441" i="5"/>
  <c r="V1437" i="5"/>
  <c r="T1437" i="5"/>
  <c r="P1437" i="5"/>
  <c r="R1437" i="5" s="1"/>
  <c r="W1437" i="5"/>
  <c r="S1437" i="5"/>
  <c r="O1437" i="5"/>
  <c r="U1437" i="5"/>
  <c r="V1433" i="5"/>
  <c r="T1433" i="5"/>
  <c r="P1433" i="5"/>
  <c r="R1433" i="5" s="1"/>
  <c r="W1433" i="5"/>
  <c r="S1433" i="5"/>
  <c r="O1433" i="5"/>
  <c r="U1433" i="5"/>
  <c r="V1429" i="5"/>
  <c r="T1429" i="5"/>
  <c r="P1429" i="5"/>
  <c r="R1429" i="5" s="1"/>
  <c r="W1429" i="5"/>
  <c r="S1429" i="5"/>
  <c r="O1429" i="5"/>
  <c r="U1429" i="5"/>
  <c r="V1425" i="5"/>
  <c r="T1425" i="5"/>
  <c r="P1425" i="5"/>
  <c r="R1425" i="5" s="1"/>
  <c r="W1425" i="5"/>
  <c r="S1425" i="5"/>
  <c r="O1425" i="5"/>
  <c r="U1425" i="5"/>
  <c r="V1421" i="5"/>
  <c r="T1421" i="5"/>
  <c r="P1421" i="5"/>
  <c r="R1421" i="5" s="1"/>
  <c r="W1421" i="5"/>
  <c r="S1421" i="5"/>
  <c r="O1421" i="5"/>
  <c r="U1421" i="5"/>
  <c r="V1417" i="5"/>
  <c r="T1417" i="5"/>
  <c r="P1417" i="5"/>
  <c r="R1417" i="5" s="1"/>
  <c r="W1417" i="5"/>
  <c r="S1417" i="5"/>
  <c r="O1417" i="5"/>
  <c r="U1417" i="5"/>
  <c r="V1413" i="5"/>
  <c r="T1413" i="5"/>
  <c r="P1413" i="5"/>
  <c r="R1413" i="5" s="1"/>
  <c r="W1413" i="5"/>
  <c r="S1413" i="5"/>
  <c r="O1413" i="5"/>
  <c r="U1413" i="5"/>
  <c r="V1409" i="5"/>
  <c r="T1409" i="5"/>
  <c r="P1409" i="5"/>
  <c r="R1409" i="5" s="1"/>
  <c r="W1409" i="5"/>
  <c r="S1409" i="5"/>
  <c r="O1409" i="5"/>
  <c r="U1409" i="5"/>
  <c r="V1405" i="5"/>
  <c r="T1405" i="5"/>
  <c r="P1405" i="5"/>
  <c r="R1405" i="5" s="1"/>
  <c r="W1405" i="5"/>
  <c r="S1405" i="5"/>
  <c r="O1405" i="5"/>
  <c r="U1405" i="5"/>
  <c r="V1401" i="5"/>
  <c r="T1401" i="5"/>
  <c r="P1401" i="5"/>
  <c r="R1401" i="5" s="1"/>
  <c r="W1401" i="5"/>
  <c r="S1401" i="5"/>
  <c r="O1401" i="5"/>
  <c r="U1401" i="5"/>
  <c r="V1397" i="5"/>
  <c r="T1397" i="5"/>
  <c r="P1397" i="5"/>
  <c r="R1397" i="5" s="1"/>
  <c r="W1397" i="5"/>
  <c r="S1397" i="5"/>
  <c r="O1397" i="5"/>
  <c r="U1397" i="5"/>
  <c r="V1393" i="5"/>
  <c r="T1393" i="5"/>
  <c r="P1393" i="5"/>
  <c r="R1393" i="5" s="1"/>
  <c r="W1393" i="5"/>
  <c r="S1393" i="5"/>
  <c r="O1393" i="5"/>
  <c r="U1393" i="5"/>
  <c r="V1389" i="5"/>
  <c r="T1389" i="5"/>
  <c r="P1389" i="5"/>
  <c r="R1389" i="5" s="1"/>
  <c r="W1389" i="5"/>
  <c r="S1389" i="5"/>
  <c r="O1389" i="5"/>
  <c r="U1389" i="5"/>
  <c r="V1385" i="5"/>
  <c r="T1385" i="5"/>
  <c r="P1385" i="5"/>
  <c r="R1385" i="5" s="1"/>
  <c r="W1385" i="5"/>
  <c r="S1385" i="5"/>
  <c r="O1385" i="5"/>
  <c r="U1385" i="5"/>
  <c r="V1381" i="5"/>
  <c r="T1381" i="5"/>
  <c r="P1381" i="5"/>
  <c r="R1381" i="5" s="1"/>
  <c r="W1381" i="5"/>
  <c r="S1381" i="5"/>
  <c r="O1381" i="5"/>
  <c r="U1381" i="5"/>
  <c r="V1377" i="5"/>
  <c r="T1377" i="5"/>
  <c r="P1377" i="5"/>
  <c r="R1377" i="5" s="1"/>
  <c r="W1377" i="5"/>
  <c r="S1377" i="5"/>
  <c r="O1377" i="5"/>
  <c r="U1377" i="5"/>
  <c r="V1373" i="5"/>
  <c r="T1373" i="5"/>
  <c r="P1373" i="5"/>
  <c r="R1373" i="5" s="1"/>
  <c r="W1373" i="5"/>
  <c r="S1373" i="5"/>
  <c r="O1373" i="5"/>
  <c r="U1373" i="5"/>
  <c r="V1369" i="5"/>
  <c r="T1369" i="5"/>
  <c r="P1369" i="5"/>
  <c r="R1369" i="5" s="1"/>
  <c r="W1369" i="5"/>
  <c r="S1369" i="5"/>
  <c r="O1369" i="5"/>
  <c r="U1369" i="5"/>
  <c r="V1365" i="5"/>
  <c r="T1365" i="5"/>
  <c r="P1365" i="5"/>
  <c r="R1365" i="5" s="1"/>
  <c r="W1365" i="5"/>
  <c r="S1365" i="5"/>
  <c r="O1365" i="5"/>
  <c r="U1365" i="5"/>
  <c r="V1361" i="5"/>
  <c r="T1361" i="5"/>
  <c r="P1361" i="5"/>
  <c r="R1361" i="5" s="1"/>
  <c r="W1361" i="5"/>
  <c r="S1361" i="5"/>
  <c r="O1361" i="5"/>
  <c r="U1361" i="5"/>
  <c r="V1357" i="5"/>
  <c r="T1357" i="5"/>
  <c r="P1357" i="5"/>
  <c r="R1357" i="5" s="1"/>
  <c r="W1357" i="5"/>
  <c r="S1357" i="5"/>
  <c r="O1357" i="5"/>
  <c r="U1357" i="5"/>
  <c r="V1353" i="5"/>
  <c r="T1353" i="5"/>
  <c r="P1353" i="5"/>
  <c r="R1353" i="5" s="1"/>
  <c r="W1353" i="5"/>
  <c r="S1353" i="5"/>
  <c r="O1353" i="5"/>
  <c r="U1353" i="5"/>
  <c r="V1349" i="5"/>
  <c r="T1349" i="5"/>
  <c r="P1349" i="5"/>
  <c r="R1349" i="5" s="1"/>
  <c r="W1349" i="5"/>
  <c r="S1349" i="5"/>
  <c r="O1349" i="5"/>
  <c r="U1349" i="5"/>
  <c r="V1345" i="5"/>
  <c r="T1345" i="5"/>
  <c r="P1345" i="5"/>
  <c r="R1345" i="5" s="1"/>
  <c r="W1345" i="5"/>
  <c r="S1345" i="5"/>
  <c r="O1345" i="5"/>
  <c r="U1345" i="5"/>
  <c r="V1341" i="5"/>
  <c r="T1341" i="5"/>
  <c r="P1341" i="5"/>
  <c r="R1341" i="5" s="1"/>
  <c r="W1341" i="5"/>
  <c r="S1341" i="5"/>
  <c r="O1341" i="5"/>
  <c r="U1341" i="5"/>
  <c r="V1337" i="5"/>
  <c r="T1337" i="5"/>
  <c r="P1337" i="5"/>
  <c r="R1337" i="5" s="1"/>
  <c r="W1337" i="5"/>
  <c r="S1337" i="5"/>
  <c r="O1337" i="5"/>
  <c r="U1337" i="5"/>
  <c r="V1333" i="5"/>
  <c r="T1333" i="5"/>
  <c r="P1333" i="5"/>
  <c r="R1333" i="5" s="1"/>
  <c r="W1333" i="5"/>
  <c r="S1333" i="5"/>
  <c r="O1333" i="5"/>
  <c r="U1333" i="5"/>
  <c r="V1329" i="5"/>
  <c r="T1329" i="5"/>
  <c r="P1329" i="5"/>
  <c r="R1329" i="5" s="1"/>
  <c r="W1329" i="5"/>
  <c r="S1329" i="5"/>
  <c r="O1329" i="5"/>
  <c r="U1329" i="5"/>
  <c r="V1325" i="5"/>
  <c r="T1325" i="5"/>
  <c r="P1325" i="5"/>
  <c r="R1325" i="5" s="1"/>
  <c r="W1325" i="5"/>
  <c r="S1325" i="5"/>
  <c r="O1325" i="5"/>
  <c r="U1325" i="5"/>
  <c r="V1321" i="5"/>
  <c r="T1321" i="5"/>
  <c r="P1321" i="5"/>
  <c r="R1321" i="5" s="1"/>
  <c r="W1321" i="5"/>
  <c r="S1321" i="5"/>
  <c r="O1321" i="5"/>
  <c r="U1321" i="5"/>
  <c r="V1317" i="5"/>
  <c r="T1317" i="5"/>
  <c r="P1317" i="5"/>
  <c r="R1317" i="5" s="1"/>
  <c r="W1317" i="5"/>
  <c r="S1317" i="5"/>
  <c r="O1317" i="5"/>
  <c r="U1317" i="5"/>
  <c r="V1313" i="5"/>
  <c r="T1313" i="5"/>
  <c r="P1313" i="5"/>
  <c r="R1313" i="5" s="1"/>
  <c r="W1313" i="5"/>
  <c r="S1313" i="5"/>
  <c r="O1313" i="5"/>
  <c r="U1313" i="5"/>
  <c r="V1309" i="5"/>
  <c r="T1309" i="5"/>
  <c r="P1309" i="5"/>
  <c r="R1309" i="5" s="1"/>
  <c r="W1309" i="5"/>
  <c r="S1309" i="5"/>
  <c r="O1309" i="5"/>
  <c r="U1309" i="5"/>
  <c r="V1305" i="5"/>
  <c r="T1305" i="5"/>
  <c r="P1305" i="5"/>
  <c r="R1305" i="5" s="1"/>
  <c r="W1305" i="5"/>
  <c r="S1305" i="5"/>
  <c r="O1305" i="5"/>
  <c r="U1305" i="5"/>
  <c r="V1301" i="5"/>
  <c r="T1301" i="5"/>
  <c r="P1301" i="5"/>
  <c r="R1301" i="5" s="1"/>
  <c r="W1301" i="5"/>
  <c r="S1301" i="5"/>
  <c r="O1301" i="5"/>
  <c r="U1301" i="5"/>
  <c r="V1297" i="5"/>
  <c r="T1297" i="5"/>
  <c r="P1297" i="5"/>
  <c r="R1297" i="5" s="1"/>
  <c r="W1297" i="5"/>
  <c r="S1297" i="5"/>
  <c r="O1297" i="5"/>
  <c r="U1297" i="5"/>
  <c r="V1293" i="5"/>
  <c r="T1293" i="5"/>
  <c r="P1293" i="5"/>
  <c r="R1293" i="5" s="1"/>
  <c r="W1293" i="5"/>
  <c r="S1293" i="5"/>
  <c r="O1293" i="5"/>
  <c r="U1293" i="5"/>
  <c r="V1289" i="5"/>
  <c r="T1289" i="5"/>
  <c r="P1289" i="5"/>
  <c r="R1289" i="5" s="1"/>
  <c r="W1289" i="5"/>
  <c r="S1289" i="5"/>
  <c r="O1289" i="5"/>
  <c r="U1289" i="5"/>
  <c r="V1285" i="5"/>
  <c r="T1285" i="5"/>
  <c r="P1285" i="5"/>
  <c r="R1285" i="5" s="1"/>
  <c r="W1285" i="5"/>
  <c r="S1285" i="5"/>
  <c r="O1285" i="5"/>
  <c r="U1285" i="5"/>
  <c r="V1281" i="5"/>
  <c r="T1281" i="5"/>
  <c r="P1281" i="5"/>
  <c r="R1281" i="5" s="1"/>
  <c r="W1281" i="5"/>
  <c r="S1281" i="5"/>
  <c r="O1281" i="5"/>
  <c r="U1281" i="5"/>
  <c r="V1277" i="5"/>
  <c r="T1277" i="5"/>
  <c r="P1277" i="5"/>
  <c r="R1277" i="5" s="1"/>
  <c r="W1277" i="5"/>
  <c r="S1277" i="5"/>
  <c r="O1277" i="5"/>
  <c r="U1277" i="5"/>
  <c r="V1273" i="5"/>
  <c r="T1273" i="5"/>
  <c r="P1273" i="5"/>
  <c r="R1273" i="5" s="1"/>
  <c r="W1273" i="5"/>
  <c r="S1273" i="5"/>
  <c r="O1273" i="5"/>
  <c r="U1273" i="5"/>
  <c r="V1269" i="5"/>
  <c r="T1269" i="5"/>
  <c r="P1269" i="5"/>
  <c r="R1269" i="5" s="1"/>
  <c r="W1269" i="5"/>
  <c r="S1269" i="5"/>
  <c r="O1269" i="5"/>
  <c r="U1269" i="5"/>
  <c r="V1265" i="5"/>
  <c r="T1265" i="5"/>
  <c r="P1265" i="5"/>
  <c r="R1265" i="5" s="1"/>
  <c r="W1265" i="5"/>
  <c r="S1265" i="5"/>
  <c r="O1265" i="5"/>
  <c r="U1265" i="5"/>
  <c r="V1261" i="5"/>
  <c r="T1261" i="5"/>
  <c r="P1261" i="5"/>
  <c r="R1261" i="5" s="1"/>
  <c r="W1261" i="5"/>
  <c r="S1261" i="5"/>
  <c r="O1261" i="5"/>
  <c r="U1261" i="5"/>
  <c r="V1257" i="5"/>
  <c r="T1257" i="5"/>
  <c r="P1257" i="5"/>
  <c r="R1257" i="5" s="1"/>
  <c r="W1257" i="5"/>
  <c r="S1257" i="5"/>
  <c r="O1257" i="5"/>
  <c r="U1257" i="5"/>
  <c r="V1253" i="5"/>
  <c r="T1253" i="5"/>
  <c r="P1253" i="5"/>
  <c r="R1253" i="5" s="1"/>
  <c r="W1253" i="5"/>
  <c r="S1253" i="5"/>
  <c r="O1253" i="5"/>
  <c r="U1253" i="5"/>
  <c r="V1249" i="5"/>
  <c r="T1249" i="5"/>
  <c r="P1249" i="5"/>
  <c r="R1249" i="5" s="1"/>
  <c r="W1249" i="5"/>
  <c r="S1249" i="5"/>
  <c r="O1249" i="5"/>
  <c r="U1249" i="5"/>
  <c r="V1245" i="5"/>
  <c r="T1245" i="5"/>
  <c r="P1245" i="5"/>
  <c r="R1245" i="5" s="1"/>
  <c r="W1245" i="5"/>
  <c r="S1245" i="5"/>
  <c r="O1245" i="5"/>
  <c r="U1245" i="5"/>
  <c r="V1241" i="5"/>
  <c r="T1241" i="5"/>
  <c r="P1241" i="5"/>
  <c r="R1241" i="5" s="1"/>
  <c r="W1241" i="5"/>
  <c r="S1241" i="5"/>
  <c r="O1241" i="5"/>
  <c r="U1241" i="5"/>
  <c r="V1237" i="5"/>
  <c r="T1237" i="5"/>
  <c r="P1237" i="5"/>
  <c r="R1237" i="5" s="1"/>
  <c r="W1237" i="5"/>
  <c r="S1237" i="5"/>
  <c r="O1237" i="5"/>
  <c r="U1237" i="5"/>
  <c r="V1233" i="5"/>
  <c r="T1233" i="5"/>
  <c r="P1233" i="5"/>
  <c r="R1233" i="5" s="1"/>
  <c r="W1233" i="5"/>
  <c r="S1233" i="5"/>
  <c r="O1233" i="5"/>
  <c r="U1233" i="5"/>
  <c r="V1229" i="5"/>
  <c r="T1229" i="5"/>
  <c r="P1229" i="5"/>
  <c r="R1229" i="5" s="1"/>
  <c r="W1229" i="5"/>
  <c r="S1229" i="5"/>
  <c r="O1229" i="5"/>
  <c r="U1229" i="5"/>
  <c r="V1225" i="5"/>
  <c r="T1225" i="5"/>
  <c r="P1225" i="5"/>
  <c r="R1225" i="5" s="1"/>
  <c r="W1225" i="5"/>
  <c r="S1225" i="5"/>
  <c r="O1225" i="5"/>
  <c r="U1225" i="5"/>
  <c r="V1221" i="5"/>
  <c r="T1221" i="5"/>
  <c r="P1221" i="5"/>
  <c r="R1221" i="5" s="1"/>
  <c r="W1221" i="5"/>
  <c r="S1221" i="5"/>
  <c r="O1221" i="5"/>
  <c r="U1221" i="5"/>
  <c r="V1217" i="5"/>
  <c r="T1217" i="5"/>
  <c r="P1217" i="5"/>
  <c r="R1217" i="5" s="1"/>
  <c r="W1217" i="5"/>
  <c r="S1217" i="5"/>
  <c r="O1217" i="5"/>
  <c r="U1217" i="5"/>
  <c r="V1213" i="5"/>
  <c r="T1213" i="5"/>
  <c r="P1213" i="5"/>
  <c r="R1213" i="5" s="1"/>
  <c r="W1213" i="5"/>
  <c r="S1213" i="5"/>
  <c r="O1213" i="5"/>
  <c r="U1213" i="5"/>
  <c r="V1209" i="5"/>
  <c r="T1209" i="5"/>
  <c r="P1209" i="5"/>
  <c r="R1209" i="5" s="1"/>
  <c r="W1209" i="5"/>
  <c r="S1209" i="5"/>
  <c r="O1209" i="5"/>
  <c r="U1209" i="5"/>
  <c r="V1205" i="5"/>
  <c r="T1205" i="5"/>
  <c r="P1205" i="5"/>
  <c r="R1205" i="5" s="1"/>
  <c r="W1205" i="5"/>
  <c r="S1205" i="5"/>
  <c r="O1205" i="5"/>
  <c r="U1205" i="5"/>
  <c r="V1201" i="5"/>
  <c r="T1201" i="5"/>
  <c r="P1201" i="5"/>
  <c r="R1201" i="5" s="1"/>
  <c r="W1201" i="5"/>
  <c r="S1201" i="5"/>
  <c r="O1201" i="5"/>
  <c r="U1201" i="5"/>
  <c r="V1197" i="5"/>
  <c r="T1197" i="5"/>
  <c r="P1197" i="5"/>
  <c r="R1197" i="5" s="1"/>
  <c r="W1197" i="5"/>
  <c r="S1197" i="5"/>
  <c r="O1197" i="5"/>
  <c r="U1197" i="5"/>
  <c r="V1193" i="5"/>
  <c r="T1193" i="5"/>
  <c r="P1193" i="5"/>
  <c r="R1193" i="5" s="1"/>
  <c r="W1193" i="5"/>
  <c r="S1193" i="5"/>
  <c r="O1193" i="5"/>
  <c r="U1193" i="5"/>
  <c r="V1189" i="5"/>
  <c r="T1189" i="5"/>
  <c r="P1189" i="5"/>
  <c r="R1189" i="5" s="1"/>
  <c r="W1189" i="5"/>
  <c r="S1189" i="5"/>
  <c r="O1189" i="5"/>
  <c r="U1189" i="5"/>
  <c r="V1185" i="5"/>
  <c r="T1185" i="5"/>
  <c r="P1185" i="5"/>
  <c r="R1185" i="5" s="1"/>
  <c r="W1185" i="5"/>
  <c r="S1185" i="5"/>
  <c r="O1185" i="5"/>
  <c r="U1185" i="5"/>
  <c r="V1181" i="5"/>
  <c r="T1181" i="5"/>
  <c r="P1181" i="5"/>
  <c r="R1181" i="5" s="1"/>
  <c r="U1181" i="5"/>
  <c r="W1181" i="5"/>
  <c r="S1181" i="5"/>
  <c r="O1181" i="5"/>
  <c r="V1177" i="5"/>
  <c r="T1177" i="5"/>
  <c r="P1177" i="5"/>
  <c r="R1177" i="5" s="1"/>
  <c r="U1177" i="5"/>
  <c r="W1177" i="5"/>
  <c r="S1177" i="5"/>
  <c r="O1177" i="5"/>
  <c r="V1173" i="5"/>
  <c r="T1173" i="5"/>
  <c r="P1173" i="5"/>
  <c r="R1173" i="5" s="1"/>
  <c r="U1173" i="5"/>
  <c r="W1173" i="5"/>
  <c r="S1173" i="5"/>
  <c r="O1173" i="5"/>
  <c r="V1169" i="5"/>
  <c r="T1169" i="5"/>
  <c r="P1169" i="5"/>
  <c r="R1169" i="5" s="1"/>
  <c r="U1169" i="5"/>
  <c r="W1169" i="5"/>
  <c r="S1169" i="5"/>
  <c r="O1169" i="5"/>
  <c r="V1165" i="5"/>
  <c r="T1165" i="5"/>
  <c r="P1165" i="5"/>
  <c r="R1165" i="5" s="1"/>
  <c r="U1165" i="5"/>
  <c r="W1165" i="5"/>
  <c r="S1165" i="5"/>
  <c r="O1165" i="5"/>
  <c r="V1161" i="5"/>
  <c r="T1161" i="5"/>
  <c r="P1161" i="5"/>
  <c r="R1161" i="5" s="1"/>
  <c r="U1161" i="5"/>
  <c r="W1161" i="5"/>
  <c r="S1161" i="5"/>
  <c r="O1161" i="5"/>
  <c r="V1157" i="5"/>
  <c r="T1157" i="5"/>
  <c r="P1157" i="5"/>
  <c r="R1157" i="5" s="1"/>
  <c r="U1157" i="5"/>
  <c r="W1157" i="5"/>
  <c r="S1157" i="5"/>
  <c r="O1157" i="5"/>
  <c r="V1153" i="5"/>
  <c r="T1153" i="5"/>
  <c r="P1153" i="5"/>
  <c r="R1153" i="5" s="1"/>
  <c r="U1153" i="5"/>
  <c r="W1153" i="5"/>
  <c r="S1153" i="5"/>
  <c r="O1153" i="5"/>
  <c r="V1149" i="5"/>
  <c r="T1149" i="5"/>
  <c r="P1149" i="5"/>
  <c r="R1149" i="5" s="1"/>
  <c r="U1149" i="5"/>
  <c r="W1149" i="5"/>
  <c r="S1149" i="5"/>
  <c r="O1149" i="5"/>
  <c r="V1145" i="5"/>
  <c r="T1145" i="5"/>
  <c r="P1145" i="5"/>
  <c r="R1145" i="5" s="1"/>
  <c r="U1145" i="5"/>
  <c r="W1145" i="5"/>
  <c r="S1145" i="5"/>
  <c r="O1145" i="5"/>
  <c r="V1141" i="5"/>
  <c r="T1141" i="5"/>
  <c r="P1141" i="5"/>
  <c r="R1141" i="5" s="1"/>
  <c r="U1141" i="5"/>
  <c r="W1141" i="5"/>
  <c r="S1141" i="5"/>
  <c r="O1141" i="5"/>
  <c r="V1137" i="5"/>
  <c r="T1137" i="5"/>
  <c r="P1137" i="5"/>
  <c r="R1137" i="5" s="1"/>
  <c r="U1137" i="5"/>
  <c r="W1137" i="5"/>
  <c r="S1137" i="5"/>
  <c r="O1137" i="5"/>
  <c r="V1133" i="5"/>
  <c r="T1133" i="5"/>
  <c r="P1133" i="5"/>
  <c r="R1133" i="5" s="1"/>
  <c r="U1133" i="5"/>
  <c r="W1133" i="5"/>
  <c r="S1133" i="5"/>
  <c r="O1133" i="5"/>
  <c r="V1129" i="5"/>
  <c r="T1129" i="5"/>
  <c r="P1129" i="5"/>
  <c r="R1129" i="5" s="1"/>
  <c r="U1129" i="5"/>
  <c r="W1129" i="5"/>
  <c r="S1129" i="5"/>
  <c r="O1129" i="5"/>
  <c r="V1125" i="5"/>
  <c r="T1125" i="5"/>
  <c r="P1125" i="5"/>
  <c r="R1125" i="5" s="1"/>
  <c r="U1125" i="5"/>
  <c r="W1125" i="5"/>
  <c r="S1125" i="5"/>
  <c r="O1125" i="5"/>
  <c r="V1121" i="5"/>
  <c r="T1121" i="5"/>
  <c r="P1121" i="5"/>
  <c r="R1121" i="5" s="1"/>
  <c r="U1121" i="5"/>
  <c r="W1121" i="5"/>
  <c r="S1121" i="5"/>
  <c r="O1121" i="5"/>
  <c r="V1117" i="5"/>
  <c r="T1117" i="5"/>
  <c r="P1117" i="5"/>
  <c r="R1117" i="5" s="1"/>
  <c r="U1117" i="5"/>
  <c r="W1117" i="5"/>
  <c r="S1117" i="5"/>
  <c r="O1117" i="5"/>
  <c r="V1113" i="5"/>
  <c r="T1113" i="5"/>
  <c r="P1113" i="5"/>
  <c r="R1113" i="5" s="1"/>
  <c r="U1113" i="5"/>
  <c r="W1113" i="5"/>
  <c r="S1113" i="5"/>
  <c r="O1113" i="5"/>
  <c r="V1109" i="5"/>
  <c r="T1109" i="5"/>
  <c r="P1109" i="5"/>
  <c r="R1109" i="5" s="1"/>
  <c r="U1109" i="5"/>
  <c r="W1109" i="5"/>
  <c r="S1109" i="5"/>
  <c r="O1109" i="5"/>
  <c r="V1105" i="5"/>
  <c r="T1105" i="5"/>
  <c r="P1105" i="5"/>
  <c r="R1105" i="5" s="1"/>
  <c r="U1105" i="5"/>
  <c r="W1105" i="5"/>
  <c r="S1105" i="5"/>
  <c r="O1105" i="5"/>
  <c r="V1101" i="5"/>
  <c r="T1101" i="5"/>
  <c r="P1101" i="5"/>
  <c r="R1101" i="5" s="1"/>
  <c r="U1101" i="5"/>
  <c r="W1101" i="5"/>
  <c r="S1101" i="5"/>
  <c r="O1101" i="5"/>
  <c r="V1097" i="5"/>
  <c r="T1097" i="5"/>
  <c r="P1097" i="5"/>
  <c r="R1097" i="5" s="1"/>
  <c r="U1097" i="5"/>
  <c r="W1097" i="5"/>
  <c r="S1097" i="5"/>
  <c r="O1097" i="5"/>
  <c r="V1093" i="5"/>
  <c r="T1093" i="5"/>
  <c r="P1093" i="5"/>
  <c r="R1093" i="5" s="1"/>
  <c r="U1093" i="5"/>
  <c r="W1093" i="5"/>
  <c r="S1093" i="5"/>
  <c r="O1093" i="5"/>
  <c r="V1089" i="5"/>
  <c r="T1089" i="5"/>
  <c r="P1089" i="5"/>
  <c r="R1089" i="5" s="1"/>
  <c r="U1089" i="5"/>
  <c r="W1089" i="5"/>
  <c r="S1089" i="5"/>
  <c r="O1089" i="5"/>
  <c r="V1085" i="5"/>
  <c r="T1085" i="5"/>
  <c r="P1085" i="5"/>
  <c r="R1085" i="5" s="1"/>
  <c r="U1085" i="5"/>
  <c r="W1085" i="5"/>
  <c r="S1085" i="5"/>
  <c r="O1085" i="5"/>
  <c r="V1081" i="5"/>
  <c r="T1081" i="5"/>
  <c r="P1081" i="5"/>
  <c r="R1081" i="5" s="1"/>
  <c r="U1081" i="5"/>
  <c r="W1081" i="5"/>
  <c r="S1081" i="5"/>
  <c r="O1081" i="5"/>
  <c r="V1077" i="5"/>
  <c r="T1077" i="5"/>
  <c r="P1077" i="5"/>
  <c r="R1077" i="5" s="1"/>
  <c r="U1077" i="5"/>
  <c r="W1077" i="5"/>
  <c r="S1077" i="5"/>
  <c r="O1077" i="5"/>
  <c r="V1073" i="5"/>
  <c r="T1073" i="5"/>
  <c r="P1073" i="5"/>
  <c r="R1073" i="5" s="1"/>
  <c r="U1073" i="5"/>
  <c r="W1073" i="5"/>
  <c r="S1073" i="5"/>
  <c r="O1073" i="5"/>
  <c r="V1069" i="5"/>
  <c r="T1069" i="5"/>
  <c r="P1069" i="5"/>
  <c r="R1069" i="5" s="1"/>
  <c r="U1069" i="5"/>
  <c r="W1069" i="5"/>
  <c r="S1069" i="5"/>
  <c r="O1069" i="5"/>
  <c r="V1065" i="5"/>
  <c r="T1065" i="5"/>
  <c r="P1065" i="5"/>
  <c r="R1065" i="5" s="1"/>
  <c r="U1065" i="5"/>
  <c r="W1065" i="5"/>
  <c r="S1065" i="5"/>
  <c r="O1065" i="5"/>
  <c r="V1061" i="5"/>
  <c r="T1061" i="5"/>
  <c r="P1061" i="5"/>
  <c r="R1061" i="5" s="1"/>
  <c r="U1061" i="5"/>
  <c r="W1061" i="5"/>
  <c r="S1061" i="5"/>
  <c r="O1061" i="5"/>
  <c r="V1057" i="5"/>
  <c r="T1057" i="5"/>
  <c r="P1057" i="5"/>
  <c r="R1057" i="5" s="1"/>
  <c r="U1057" i="5"/>
  <c r="W1057" i="5"/>
  <c r="S1057" i="5"/>
  <c r="O1057" i="5"/>
  <c r="V1053" i="5"/>
  <c r="T1053" i="5"/>
  <c r="P1053" i="5"/>
  <c r="R1053" i="5" s="1"/>
  <c r="U1053" i="5"/>
  <c r="W1053" i="5"/>
  <c r="S1053" i="5"/>
  <c r="O1053" i="5"/>
  <c r="V1049" i="5"/>
  <c r="T1049" i="5"/>
  <c r="P1049" i="5"/>
  <c r="R1049" i="5" s="1"/>
  <c r="U1049" i="5"/>
  <c r="W1049" i="5"/>
  <c r="S1049" i="5"/>
  <c r="O1049" i="5"/>
  <c r="V1045" i="5"/>
  <c r="T1045" i="5"/>
  <c r="P1045" i="5"/>
  <c r="R1045" i="5" s="1"/>
  <c r="U1045" i="5"/>
  <c r="W1045" i="5"/>
  <c r="S1045" i="5"/>
  <c r="O1045" i="5"/>
  <c r="V1041" i="5"/>
  <c r="T1041" i="5"/>
  <c r="P1041" i="5"/>
  <c r="R1041" i="5" s="1"/>
  <c r="U1041" i="5"/>
  <c r="W1041" i="5"/>
  <c r="S1041" i="5"/>
  <c r="O1041" i="5"/>
  <c r="V1037" i="5"/>
  <c r="T1037" i="5"/>
  <c r="P1037" i="5"/>
  <c r="R1037" i="5" s="1"/>
  <c r="U1037" i="5"/>
  <c r="W1037" i="5"/>
  <c r="S1037" i="5"/>
  <c r="O1037" i="5"/>
  <c r="V1033" i="5"/>
  <c r="T1033" i="5"/>
  <c r="P1033" i="5"/>
  <c r="R1033" i="5" s="1"/>
  <c r="U1033" i="5"/>
  <c r="W1033" i="5"/>
  <c r="S1033" i="5"/>
  <c r="O1033" i="5"/>
  <c r="V1029" i="5"/>
  <c r="T1029" i="5"/>
  <c r="P1029" i="5"/>
  <c r="R1029" i="5" s="1"/>
  <c r="U1029" i="5"/>
  <c r="W1029" i="5"/>
  <c r="S1029" i="5"/>
  <c r="O1029" i="5"/>
  <c r="V1025" i="5"/>
  <c r="T1025" i="5"/>
  <c r="P1025" i="5"/>
  <c r="R1025" i="5" s="1"/>
  <c r="U1025" i="5"/>
  <c r="W1025" i="5"/>
  <c r="S1025" i="5"/>
  <c r="O1025" i="5"/>
  <c r="V1021" i="5"/>
  <c r="T1021" i="5"/>
  <c r="P1021" i="5"/>
  <c r="R1021" i="5" s="1"/>
  <c r="U1021" i="5"/>
  <c r="W1021" i="5"/>
  <c r="S1021" i="5"/>
  <c r="O1021" i="5"/>
  <c r="V1017" i="5"/>
  <c r="T1017" i="5"/>
  <c r="P1017" i="5"/>
  <c r="R1017" i="5" s="1"/>
  <c r="U1017" i="5"/>
  <c r="W1017" i="5"/>
  <c r="S1017" i="5"/>
  <c r="O1017" i="5"/>
  <c r="V1013" i="5"/>
  <c r="T1013" i="5"/>
  <c r="P1013" i="5"/>
  <c r="R1013" i="5" s="1"/>
  <c r="U1013" i="5"/>
  <c r="W1013" i="5"/>
  <c r="S1013" i="5"/>
  <c r="O1013" i="5"/>
  <c r="V1009" i="5"/>
  <c r="T1009" i="5"/>
  <c r="P1009" i="5"/>
  <c r="R1009" i="5" s="1"/>
  <c r="U1009" i="5"/>
  <c r="W1009" i="5"/>
  <c r="S1009" i="5"/>
  <c r="O1009" i="5"/>
  <c r="W1005" i="5"/>
  <c r="U1005" i="5"/>
  <c r="S1005" i="5"/>
  <c r="O1005" i="5"/>
  <c r="T1005" i="5"/>
  <c r="P1005" i="5"/>
  <c r="R1005" i="5" s="1"/>
  <c r="V1005" i="5"/>
  <c r="W1001" i="5"/>
  <c r="U1001" i="5"/>
  <c r="S1001" i="5"/>
  <c r="O1001" i="5"/>
  <c r="T1001" i="5"/>
  <c r="P1001" i="5"/>
  <c r="R1001" i="5" s="1"/>
  <c r="V1001" i="5"/>
  <c r="W997" i="5"/>
  <c r="U997" i="5"/>
  <c r="S997" i="5"/>
  <c r="O997" i="5"/>
  <c r="T997" i="5"/>
  <c r="P997" i="5"/>
  <c r="R997" i="5" s="1"/>
  <c r="V997" i="5"/>
  <c r="W993" i="5"/>
  <c r="U993" i="5"/>
  <c r="S993" i="5"/>
  <c r="O993" i="5"/>
  <c r="T993" i="5"/>
  <c r="P993" i="5"/>
  <c r="R993" i="5" s="1"/>
  <c r="V993" i="5"/>
  <c r="W989" i="5"/>
  <c r="U989" i="5"/>
  <c r="S989" i="5"/>
  <c r="O989" i="5"/>
  <c r="T989" i="5"/>
  <c r="P989" i="5"/>
  <c r="R989" i="5" s="1"/>
  <c r="V989" i="5"/>
  <c r="W985" i="5"/>
  <c r="U985" i="5"/>
  <c r="S985" i="5"/>
  <c r="O985" i="5"/>
  <c r="T985" i="5"/>
  <c r="P985" i="5"/>
  <c r="R985" i="5" s="1"/>
  <c r="V985" i="5"/>
  <c r="W981" i="5"/>
  <c r="U981" i="5"/>
  <c r="S981" i="5"/>
  <c r="O981" i="5"/>
  <c r="T981" i="5"/>
  <c r="P981" i="5"/>
  <c r="R981" i="5" s="1"/>
  <c r="V981" i="5"/>
  <c r="W977" i="5"/>
  <c r="U977" i="5"/>
  <c r="S977" i="5"/>
  <c r="O977" i="5"/>
  <c r="T977" i="5"/>
  <c r="P977" i="5"/>
  <c r="R977" i="5" s="1"/>
  <c r="V977" i="5"/>
  <c r="W973" i="5"/>
  <c r="U973" i="5"/>
  <c r="S973" i="5"/>
  <c r="O973" i="5"/>
  <c r="V973" i="5"/>
  <c r="T973" i="5"/>
  <c r="P973" i="5"/>
  <c r="R973" i="5" s="1"/>
  <c r="W969" i="5"/>
  <c r="U969" i="5"/>
  <c r="S969" i="5"/>
  <c r="O969" i="5"/>
  <c r="V969" i="5"/>
  <c r="T969" i="5"/>
  <c r="P969" i="5"/>
  <c r="R969" i="5" s="1"/>
  <c r="W965" i="5"/>
  <c r="U965" i="5"/>
  <c r="S965" i="5"/>
  <c r="O965" i="5"/>
  <c r="V965" i="5"/>
  <c r="T965" i="5"/>
  <c r="P965" i="5"/>
  <c r="R965" i="5" s="1"/>
  <c r="W961" i="5"/>
  <c r="U961" i="5"/>
  <c r="S961" i="5"/>
  <c r="O961" i="5"/>
  <c r="V961" i="5"/>
  <c r="T961" i="5"/>
  <c r="P961" i="5"/>
  <c r="R961" i="5" s="1"/>
  <c r="W957" i="5"/>
  <c r="U957" i="5"/>
  <c r="S957" i="5"/>
  <c r="O957" i="5"/>
  <c r="V957" i="5"/>
  <c r="T957" i="5"/>
  <c r="P957" i="5"/>
  <c r="R957" i="5" s="1"/>
  <c r="W953" i="5"/>
  <c r="U953" i="5"/>
  <c r="S953" i="5"/>
  <c r="O953" i="5"/>
  <c r="V953" i="5"/>
  <c r="T953" i="5"/>
  <c r="P953" i="5"/>
  <c r="R953" i="5" s="1"/>
  <c r="W949" i="5"/>
  <c r="U949" i="5"/>
  <c r="S949" i="5"/>
  <c r="O949" i="5"/>
  <c r="V949" i="5"/>
  <c r="T949" i="5"/>
  <c r="P949" i="5"/>
  <c r="R949" i="5" s="1"/>
  <c r="W945" i="5"/>
  <c r="U945" i="5"/>
  <c r="S945" i="5"/>
  <c r="O945" i="5"/>
  <c r="V945" i="5"/>
  <c r="T945" i="5"/>
  <c r="P945" i="5"/>
  <c r="R945" i="5" s="1"/>
  <c r="W941" i="5"/>
  <c r="U941" i="5"/>
  <c r="S941" i="5"/>
  <c r="O941" i="5"/>
  <c r="V941" i="5"/>
  <c r="T941" i="5"/>
  <c r="P941" i="5"/>
  <c r="R941" i="5" s="1"/>
  <c r="W937" i="5"/>
  <c r="U937" i="5"/>
  <c r="S937" i="5"/>
  <c r="O937" i="5"/>
  <c r="V937" i="5"/>
  <c r="T937" i="5"/>
  <c r="P937" i="5"/>
  <c r="R937" i="5" s="1"/>
  <c r="W933" i="5"/>
  <c r="U933" i="5"/>
  <c r="S933" i="5"/>
  <c r="O933" i="5"/>
  <c r="V933" i="5"/>
  <c r="T933" i="5"/>
  <c r="P933" i="5"/>
  <c r="R933" i="5" s="1"/>
  <c r="W929" i="5"/>
  <c r="U929" i="5"/>
  <c r="S929" i="5"/>
  <c r="O929" i="5"/>
  <c r="V929" i="5"/>
  <c r="T929" i="5"/>
  <c r="P929" i="5"/>
  <c r="R929" i="5" s="1"/>
  <c r="W925" i="5"/>
  <c r="U925" i="5"/>
  <c r="S925" i="5"/>
  <c r="O925" i="5"/>
  <c r="V925" i="5"/>
  <c r="T925" i="5"/>
  <c r="P925" i="5"/>
  <c r="R925" i="5" s="1"/>
  <c r="W921" i="5"/>
  <c r="U921" i="5"/>
  <c r="S921" i="5"/>
  <c r="O921" i="5"/>
  <c r="V921" i="5"/>
  <c r="T921" i="5"/>
  <c r="P921" i="5"/>
  <c r="R921" i="5" s="1"/>
  <c r="W917" i="5"/>
  <c r="U917" i="5"/>
  <c r="S917" i="5"/>
  <c r="O917" i="5"/>
  <c r="V917" i="5"/>
  <c r="T917" i="5"/>
  <c r="P917" i="5"/>
  <c r="R917" i="5" s="1"/>
  <c r="W913" i="5"/>
  <c r="U913" i="5"/>
  <c r="S913" i="5"/>
  <c r="O913" i="5"/>
  <c r="V913" i="5"/>
  <c r="T913" i="5"/>
  <c r="P913" i="5"/>
  <c r="R913" i="5" s="1"/>
  <c r="W909" i="5"/>
  <c r="U909" i="5"/>
  <c r="S909" i="5"/>
  <c r="O909" i="5"/>
  <c r="V909" i="5"/>
  <c r="T909" i="5"/>
  <c r="P909" i="5"/>
  <c r="R909" i="5" s="1"/>
  <c r="W905" i="5"/>
  <c r="U905" i="5"/>
  <c r="S905" i="5"/>
  <c r="O905" i="5"/>
  <c r="V905" i="5"/>
  <c r="T905" i="5"/>
  <c r="P905" i="5"/>
  <c r="R905" i="5" s="1"/>
  <c r="W901" i="5"/>
  <c r="U901" i="5"/>
  <c r="S901" i="5"/>
  <c r="O901" i="5"/>
  <c r="V901" i="5"/>
  <c r="T901" i="5"/>
  <c r="P901" i="5"/>
  <c r="R901" i="5" s="1"/>
  <c r="W897" i="5"/>
  <c r="U897" i="5"/>
  <c r="S897" i="5"/>
  <c r="O897" i="5"/>
  <c r="V897" i="5"/>
  <c r="T897" i="5"/>
  <c r="P897" i="5"/>
  <c r="R897" i="5" s="1"/>
  <c r="W893" i="5"/>
  <c r="U893" i="5"/>
  <c r="S893" i="5"/>
  <c r="O893" i="5"/>
  <c r="V893" i="5"/>
  <c r="T893" i="5"/>
  <c r="P893" i="5"/>
  <c r="R893" i="5" s="1"/>
  <c r="W889" i="5"/>
  <c r="U889" i="5"/>
  <c r="S889" i="5"/>
  <c r="O889" i="5"/>
  <c r="V889" i="5"/>
  <c r="T889" i="5"/>
  <c r="P889" i="5"/>
  <c r="R889" i="5" s="1"/>
  <c r="W885" i="5"/>
  <c r="U885" i="5"/>
  <c r="S885" i="5"/>
  <c r="O885" i="5"/>
  <c r="V885" i="5"/>
  <c r="T885" i="5"/>
  <c r="P885" i="5"/>
  <c r="R885" i="5" s="1"/>
  <c r="W881" i="5"/>
  <c r="U881" i="5"/>
  <c r="S881" i="5"/>
  <c r="O881" i="5"/>
  <c r="V881" i="5"/>
  <c r="T881" i="5"/>
  <c r="P881" i="5"/>
  <c r="R881" i="5" s="1"/>
  <c r="W877" i="5"/>
  <c r="U877" i="5"/>
  <c r="S877" i="5"/>
  <c r="O877" i="5"/>
  <c r="V877" i="5"/>
  <c r="T877" i="5"/>
  <c r="P877" i="5"/>
  <c r="R877" i="5" s="1"/>
  <c r="W873" i="5"/>
  <c r="U873" i="5"/>
  <c r="S873" i="5"/>
  <c r="O873" i="5"/>
  <c r="V873" i="5"/>
  <c r="T873" i="5"/>
  <c r="P873" i="5"/>
  <c r="R873" i="5" s="1"/>
  <c r="W869" i="5"/>
  <c r="U869" i="5"/>
  <c r="S869" i="5"/>
  <c r="O869" i="5"/>
  <c r="V869" i="5"/>
  <c r="T869" i="5"/>
  <c r="P869" i="5"/>
  <c r="R869" i="5" s="1"/>
  <c r="W865" i="5"/>
  <c r="U865" i="5"/>
  <c r="S865" i="5"/>
  <c r="O865" i="5"/>
  <c r="V865" i="5"/>
  <c r="T865" i="5"/>
  <c r="P865" i="5"/>
  <c r="R865" i="5" s="1"/>
  <c r="W861" i="5"/>
  <c r="U861" i="5"/>
  <c r="S861" i="5"/>
  <c r="O861" i="5"/>
  <c r="V861" i="5"/>
  <c r="T861" i="5"/>
  <c r="P861" i="5"/>
  <c r="R861" i="5" s="1"/>
  <c r="W857" i="5"/>
  <c r="U857" i="5"/>
  <c r="S857" i="5"/>
  <c r="O857" i="5"/>
  <c r="V857" i="5"/>
  <c r="T857" i="5"/>
  <c r="P857" i="5"/>
  <c r="R857" i="5" s="1"/>
  <c r="W853" i="5"/>
  <c r="U853" i="5"/>
  <c r="S853" i="5"/>
  <c r="O853" i="5"/>
  <c r="V853" i="5"/>
  <c r="T853" i="5"/>
  <c r="P853" i="5"/>
  <c r="R853" i="5" s="1"/>
  <c r="W849" i="5"/>
  <c r="U849" i="5"/>
  <c r="S849" i="5"/>
  <c r="O849" i="5"/>
  <c r="V849" i="5"/>
  <c r="T849" i="5"/>
  <c r="P849" i="5"/>
  <c r="R849" i="5" s="1"/>
  <c r="W845" i="5"/>
  <c r="U845" i="5"/>
  <c r="S845" i="5"/>
  <c r="O845" i="5"/>
  <c r="V845" i="5"/>
  <c r="T845" i="5"/>
  <c r="P845" i="5"/>
  <c r="R845" i="5" s="1"/>
  <c r="W841" i="5"/>
  <c r="U841" i="5"/>
  <c r="S841" i="5"/>
  <c r="O841" i="5"/>
  <c r="V841" i="5"/>
  <c r="T841" i="5"/>
  <c r="P841" i="5"/>
  <c r="R841" i="5" s="1"/>
  <c r="W837" i="5"/>
  <c r="U837" i="5"/>
  <c r="S837" i="5"/>
  <c r="O837" i="5"/>
  <c r="V837" i="5"/>
  <c r="T837" i="5"/>
  <c r="P837" i="5"/>
  <c r="R837" i="5" s="1"/>
  <c r="W833" i="5"/>
  <c r="U833" i="5"/>
  <c r="S833" i="5"/>
  <c r="O833" i="5"/>
  <c r="V833" i="5"/>
  <c r="T833" i="5"/>
  <c r="P833" i="5"/>
  <c r="R833" i="5" s="1"/>
  <c r="W829" i="5"/>
  <c r="U829" i="5"/>
  <c r="S829" i="5"/>
  <c r="O829" i="5"/>
  <c r="V829" i="5"/>
  <c r="T829" i="5"/>
  <c r="P829" i="5"/>
  <c r="R829" i="5" s="1"/>
  <c r="V825" i="5"/>
  <c r="T825" i="5"/>
  <c r="P825" i="5"/>
  <c r="R825" i="5" s="1"/>
  <c r="W825" i="5"/>
  <c r="S825" i="5"/>
  <c r="O825" i="5"/>
  <c r="U825" i="5"/>
  <c r="V821" i="5"/>
  <c r="T821" i="5"/>
  <c r="P821" i="5"/>
  <c r="R821" i="5" s="1"/>
  <c r="W821" i="5"/>
  <c r="S821" i="5"/>
  <c r="O821" i="5"/>
  <c r="U821" i="5"/>
  <c r="V817" i="5"/>
  <c r="T817" i="5"/>
  <c r="P817" i="5"/>
  <c r="R817" i="5" s="1"/>
  <c r="W817" i="5"/>
  <c r="S817" i="5"/>
  <c r="O817" i="5"/>
  <c r="U817" i="5"/>
  <c r="V813" i="5"/>
  <c r="T813" i="5"/>
  <c r="P813" i="5"/>
  <c r="R813" i="5" s="1"/>
  <c r="W813" i="5"/>
  <c r="S813" i="5"/>
  <c r="O813" i="5"/>
  <c r="U813" i="5"/>
  <c r="V809" i="5"/>
  <c r="T809" i="5"/>
  <c r="P809" i="5"/>
  <c r="R809" i="5" s="1"/>
  <c r="W809" i="5"/>
  <c r="S809" i="5"/>
  <c r="O809" i="5"/>
  <c r="U809" i="5"/>
  <c r="V805" i="5"/>
  <c r="T805" i="5"/>
  <c r="P805" i="5"/>
  <c r="R805" i="5" s="1"/>
  <c r="W805" i="5"/>
  <c r="S805" i="5"/>
  <c r="O805" i="5"/>
  <c r="U805" i="5"/>
  <c r="V801" i="5"/>
  <c r="T801" i="5"/>
  <c r="P801" i="5"/>
  <c r="R801" i="5" s="1"/>
  <c r="W801" i="5"/>
  <c r="S801" i="5"/>
  <c r="O801" i="5"/>
  <c r="U801" i="5"/>
  <c r="V797" i="5"/>
  <c r="T797" i="5"/>
  <c r="P797" i="5"/>
  <c r="R797" i="5" s="1"/>
  <c r="W797" i="5"/>
  <c r="S797" i="5"/>
  <c r="O797" i="5"/>
  <c r="U797" i="5"/>
  <c r="V793" i="5"/>
  <c r="T793" i="5"/>
  <c r="P793" i="5"/>
  <c r="R793" i="5" s="1"/>
  <c r="W793" i="5"/>
  <c r="S793" i="5"/>
  <c r="O793" i="5"/>
  <c r="U793" i="5"/>
  <c r="V789" i="5"/>
  <c r="T789" i="5"/>
  <c r="P789" i="5"/>
  <c r="R789" i="5" s="1"/>
  <c r="W789" i="5"/>
  <c r="S789" i="5"/>
  <c r="O789" i="5"/>
  <c r="U789" i="5"/>
  <c r="V785" i="5"/>
  <c r="T785" i="5"/>
  <c r="P785" i="5"/>
  <c r="R785" i="5" s="1"/>
  <c r="W785" i="5"/>
  <c r="S785" i="5"/>
  <c r="O785" i="5"/>
  <c r="U785" i="5"/>
  <c r="V781" i="5"/>
  <c r="T781" i="5"/>
  <c r="P781" i="5"/>
  <c r="R781" i="5" s="1"/>
  <c r="W781" i="5"/>
  <c r="S781" i="5"/>
  <c r="O781" i="5"/>
  <c r="U781" i="5"/>
  <c r="V777" i="5"/>
  <c r="T777" i="5"/>
  <c r="P777" i="5"/>
  <c r="R777" i="5" s="1"/>
  <c r="W777" i="5"/>
  <c r="S777" i="5"/>
  <c r="O777" i="5"/>
  <c r="U777" i="5"/>
  <c r="V773" i="5"/>
  <c r="T773" i="5"/>
  <c r="P773" i="5"/>
  <c r="R773" i="5" s="1"/>
  <c r="W773" i="5"/>
  <c r="S773" i="5"/>
  <c r="O773" i="5"/>
  <c r="U773" i="5"/>
  <c r="V769" i="5"/>
  <c r="T769" i="5"/>
  <c r="P769" i="5"/>
  <c r="R769" i="5" s="1"/>
  <c r="W769" i="5"/>
  <c r="S769" i="5"/>
  <c r="O769" i="5"/>
  <c r="U769" i="5"/>
  <c r="V765" i="5"/>
  <c r="T765" i="5"/>
  <c r="P765" i="5"/>
  <c r="R765" i="5" s="1"/>
  <c r="W765" i="5"/>
  <c r="S765" i="5"/>
  <c r="O765" i="5"/>
  <c r="U765" i="5"/>
  <c r="V761" i="5"/>
  <c r="T761" i="5"/>
  <c r="P761" i="5"/>
  <c r="R761" i="5" s="1"/>
  <c r="W761" i="5"/>
  <c r="S761" i="5"/>
  <c r="O761" i="5"/>
  <c r="U761" i="5"/>
  <c r="V757" i="5"/>
  <c r="T757" i="5"/>
  <c r="P757" i="5"/>
  <c r="R757" i="5" s="1"/>
  <c r="W757" i="5"/>
  <c r="S757" i="5"/>
  <c r="O757" i="5"/>
  <c r="U757" i="5"/>
  <c r="V753" i="5"/>
  <c r="T753" i="5"/>
  <c r="P753" i="5"/>
  <c r="R753" i="5" s="1"/>
  <c r="W753" i="5"/>
  <c r="S753" i="5"/>
  <c r="O753" i="5"/>
  <c r="U753" i="5"/>
  <c r="V749" i="5"/>
  <c r="T749" i="5"/>
  <c r="P749" i="5"/>
  <c r="R749" i="5" s="1"/>
  <c r="W749" i="5"/>
  <c r="S749" i="5"/>
  <c r="O749" i="5"/>
  <c r="U749" i="5"/>
  <c r="V745" i="5"/>
  <c r="T745" i="5"/>
  <c r="P745" i="5"/>
  <c r="R745" i="5" s="1"/>
  <c r="W745" i="5"/>
  <c r="S745" i="5"/>
  <c r="O745" i="5"/>
  <c r="U745" i="5"/>
  <c r="V741" i="5"/>
  <c r="T741" i="5"/>
  <c r="P741" i="5"/>
  <c r="R741" i="5" s="1"/>
  <c r="W741" i="5"/>
  <c r="S741" i="5"/>
  <c r="O741" i="5"/>
  <c r="U741" i="5"/>
  <c r="V737" i="5"/>
  <c r="T737" i="5"/>
  <c r="P737" i="5"/>
  <c r="R737" i="5" s="1"/>
  <c r="W737" i="5"/>
  <c r="S737" i="5"/>
  <c r="O737" i="5"/>
  <c r="U737" i="5"/>
  <c r="V733" i="5"/>
  <c r="T733" i="5"/>
  <c r="P733" i="5"/>
  <c r="R733" i="5" s="1"/>
  <c r="W733" i="5"/>
  <c r="S733" i="5"/>
  <c r="O733" i="5"/>
  <c r="U733" i="5"/>
  <c r="V729" i="5"/>
  <c r="T729" i="5"/>
  <c r="P729" i="5"/>
  <c r="R729" i="5" s="1"/>
  <c r="W729" i="5"/>
  <c r="S729" i="5"/>
  <c r="O729" i="5"/>
  <c r="U729" i="5"/>
  <c r="V725" i="5"/>
  <c r="T725" i="5"/>
  <c r="P725" i="5"/>
  <c r="R725" i="5" s="1"/>
  <c r="W725" i="5"/>
  <c r="S725" i="5"/>
  <c r="O725" i="5"/>
  <c r="U725" i="5"/>
  <c r="V721" i="5"/>
  <c r="T721" i="5"/>
  <c r="P721" i="5"/>
  <c r="R721" i="5" s="1"/>
  <c r="W721" i="5"/>
  <c r="S721" i="5"/>
  <c r="O721" i="5"/>
  <c r="U721" i="5"/>
  <c r="V717" i="5"/>
  <c r="T717" i="5"/>
  <c r="P717" i="5"/>
  <c r="R717" i="5" s="1"/>
  <c r="W717" i="5"/>
  <c r="U717" i="5"/>
  <c r="S717" i="5"/>
  <c r="O717" i="5"/>
  <c r="V713" i="5"/>
  <c r="T713" i="5"/>
  <c r="P713" i="5"/>
  <c r="R713" i="5" s="1"/>
  <c r="W713" i="5"/>
  <c r="U713" i="5"/>
  <c r="S713" i="5"/>
  <c r="O713" i="5"/>
  <c r="V709" i="5"/>
  <c r="T709" i="5"/>
  <c r="P709" i="5"/>
  <c r="R709" i="5" s="1"/>
  <c r="W709" i="5"/>
  <c r="U709" i="5"/>
  <c r="S709" i="5"/>
  <c r="O709" i="5"/>
  <c r="V705" i="5"/>
  <c r="T705" i="5"/>
  <c r="P705" i="5"/>
  <c r="R705" i="5" s="1"/>
  <c r="W705" i="5"/>
  <c r="U705" i="5"/>
  <c r="S705" i="5"/>
  <c r="O705" i="5"/>
  <c r="V701" i="5"/>
  <c r="T701" i="5"/>
  <c r="P701" i="5"/>
  <c r="R701" i="5" s="1"/>
  <c r="W701" i="5"/>
  <c r="U701" i="5"/>
  <c r="S701" i="5"/>
  <c r="O701" i="5"/>
  <c r="V697" i="5"/>
  <c r="T697" i="5"/>
  <c r="P697" i="5"/>
  <c r="R697" i="5" s="1"/>
  <c r="W697" i="5"/>
  <c r="U697" i="5"/>
  <c r="S697" i="5"/>
  <c r="O697" i="5"/>
  <c r="V693" i="5"/>
  <c r="T693" i="5"/>
  <c r="P693" i="5"/>
  <c r="R693" i="5" s="1"/>
  <c r="W693" i="5"/>
  <c r="U693" i="5"/>
  <c r="S693" i="5"/>
  <c r="O693" i="5"/>
  <c r="V689" i="5"/>
  <c r="T689" i="5"/>
  <c r="P689" i="5"/>
  <c r="R689" i="5" s="1"/>
  <c r="W689" i="5"/>
  <c r="U689" i="5"/>
  <c r="S689" i="5"/>
  <c r="O689" i="5"/>
  <c r="V685" i="5"/>
  <c r="T685" i="5"/>
  <c r="P685" i="5"/>
  <c r="R685" i="5" s="1"/>
  <c r="W685" i="5"/>
  <c r="U685" i="5"/>
  <c r="S685" i="5"/>
  <c r="O685" i="5"/>
  <c r="V681" i="5"/>
  <c r="T681" i="5"/>
  <c r="P681" i="5"/>
  <c r="R681" i="5" s="1"/>
  <c r="W681" i="5"/>
  <c r="U681" i="5"/>
  <c r="S681" i="5"/>
  <c r="O681" i="5"/>
  <c r="V677" i="5"/>
  <c r="T677" i="5"/>
  <c r="P677" i="5"/>
  <c r="R677" i="5" s="1"/>
  <c r="W677" i="5"/>
  <c r="U677" i="5"/>
  <c r="S677" i="5"/>
  <c r="O677" i="5"/>
  <c r="V673" i="5"/>
  <c r="T673" i="5"/>
  <c r="P673" i="5"/>
  <c r="R673" i="5" s="1"/>
  <c r="W673" i="5"/>
  <c r="U673" i="5"/>
  <c r="S673" i="5"/>
  <c r="O673" i="5"/>
  <c r="V669" i="5"/>
  <c r="T669" i="5"/>
  <c r="P669" i="5"/>
  <c r="R669" i="5" s="1"/>
  <c r="W669" i="5"/>
  <c r="U669" i="5"/>
  <c r="S669" i="5"/>
  <c r="O669" i="5"/>
  <c r="V665" i="5"/>
  <c r="T665" i="5"/>
  <c r="P665" i="5"/>
  <c r="R665" i="5" s="1"/>
  <c r="W665" i="5"/>
  <c r="U665" i="5"/>
  <c r="S665" i="5"/>
  <c r="O665" i="5"/>
  <c r="V661" i="5"/>
  <c r="T661" i="5"/>
  <c r="P661" i="5"/>
  <c r="R661" i="5" s="1"/>
  <c r="W661" i="5"/>
  <c r="U661" i="5"/>
  <c r="S661" i="5"/>
  <c r="O661" i="5"/>
  <c r="V657" i="5"/>
  <c r="T657" i="5"/>
  <c r="P657" i="5"/>
  <c r="R657" i="5" s="1"/>
  <c r="W657" i="5"/>
  <c r="U657" i="5"/>
  <c r="S657" i="5"/>
  <c r="O657" i="5"/>
  <c r="V653" i="5"/>
  <c r="T653" i="5"/>
  <c r="P653" i="5"/>
  <c r="R653" i="5" s="1"/>
  <c r="W653" i="5"/>
  <c r="U653" i="5"/>
  <c r="S653" i="5"/>
  <c r="O653" i="5"/>
  <c r="V649" i="5"/>
  <c r="T649" i="5"/>
  <c r="P649" i="5"/>
  <c r="R649" i="5" s="1"/>
  <c r="W649" i="5"/>
  <c r="U649" i="5"/>
  <c r="S649" i="5"/>
  <c r="O649" i="5"/>
  <c r="V645" i="5"/>
  <c r="T645" i="5"/>
  <c r="P645" i="5"/>
  <c r="R645" i="5" s="1"/>
  <c r="W645" i="5"/>
  <c r="U645" i="5"/>
  <c r="S645" i="5"/>
  <c r="O645" i="5"/>
  <c r="V641" i="5"/>
  <c r="T641" i="5"/>
  <c r="P641" i="5"/>
  <c r="R641" i="5" s="1"/>
  <c r="W641" i="5"/>
  <c r="U641" i="5"/>
  <c r="S641" i="5"/>
  <c r="O641" i="5"/>
  <c r="V637" i="5"/>
  <c r="T637" i="5"/>
  <c r="P637" i="5"/>
  <c r="R637" i="5" s="1"/>
  <c r="W637" i="5"/>
  <c r="U637" i="5"/>
  <c r="S637" i="5"/>
  <c r="O637" i="5"/>
  <c r="V633" i="5"/>
  <c r="T633" i="5"/>
  <c r="P633" i="5"/>
  <c r="R633" i="5" s="1"/>
  <c r="W633" i="5"/>
  <c r="U633" i="5"/>
  <c r="S633" i="5"/>
  <c r="O633" i="5"/>
  <c r="V629" i="5"/>
  <c r="T629" i="5"/>
  <c r="P629" i="5"/>
  <c r="R629" i="5" s="1"/>
  <c r="W629" i="5"/>
  <c r="U629" i="5"/>
  <c r="S629" i="5"/>
  <c r="O629" i="5"/>
  <c r="V625" i="5"/>
  <c r="T625" i="5"/>
  <c r="P625" i="5"/>
  <c r="R625" i="5" s="1"/>
  <c r="W625" i="5"/>
  <c r="U625" i="5"/>
  <c r="S625" i="5"/>
  <c r="O625" i="5"/>
  <c r="V621" i="5"/>
  <c r="T621" i="5"/>
  <c r="P621" i="5"/>
  <c r="R621" i="5" s="1"/>
  <c r="W621" i="5"/>
  <c r="U621" i="5"/>
  <c r="S621" i="5"/>
  <c r="O621" i="5"/>
  <c r="V617" i="5"/>
  <c r="T617" i="5"/>
  <c r="P617" i="5"/>
  <c r="R617" i="5" s="1"/>
  <c r="W617" i="5"/>
  <c r="U617" i="5"/>
  <c r="S617" i="5"/>
  <c r="O617" i="5"/>
  <c r="V613" i="5"/>
  <c r="T613" i="5"/>
  <c r="P613" i="5"/>
  <c r="R613" i="5" s="1"/>
  <c r="W613" i="5"/>
  <c r="U613" i="5"/>
  <c r="S613" i="5"/>
  <c r="O613" i="5"/>
  <c r="V609" i="5"/>
  <c r="T609" i="5"/>
  <c r="P609" i="5"/>
  <c r="R609" i="5" s="1"/>
  <c r="W609" i="5"/>
  <c r="U609" i="5"/>
  <c r="S609" i="5"/>
  <c r="O609" i="5"/>
  <c r="V605" i="5"/>
  <c r="T605" i="5"/>
  <c r="P605" i="5"/>
  <c r="R605" i="5" s="1"/>
  <c r="W605" i="5"/>
  <c r="U605" i="5"/>
  <c r="S605" i="5"/>
  <c r="O605" i="5"/>
  <c r="V601" i="5"/>
  <c r="T601" i="5"/>
  <c r="P601" i="5"/>
  <c r="R601" i="5" s="1"/>
  <c r="W601" i="5"/>
  <c r="U601" i="5"/>
  <c r="S601" i="5"/>
  <c r="O601" i="5"/>
  <c r="V597" i="5"/>
  <c r="T597" i="5"/>
  <c r="P597" i="5"/>
  <c r="R597" i="5" s="1"/>
  <c r="W597" i="5"/>
  <c r="U597" i="5"/>
  <c r="S597" i="5"/>
  <c r="O597" i="5"/>
  <c r="V593" i="5"/>
  <c r="T593" i="5"/>
  <c r="P593" i="5"/>
  <c r="R593" i="5" s="1"/>
  <c r="W593" i="5"/>
  <c r="U593" i="5"/>
  <c r="S593" i="5"/>
  <c r="O593" i="5"/>
  <c r="V589" i="5"/>
  <c r="T589" i="5"/>
  <c r="P589" i="5"/>
  <c r="R589" i="5" s="1"/>
  <c r="W589" i="5"/>
  <c r="U589" i="5"/>
  <c r="S589" i="5"/>
  <c r="O589" i="5"/>
  <c r="V585" i="5"/>
  <c r="T585" i="5"/>
  <c r="P585" i="5"/>
  <c r="R585" i="5" s="1"/>
  <c r="W585" i="5"/>
  <c r="U585" i="5"/>
  <c r="S585" i="5"/>
  <c r="O585" i="5"/>
  <c r="V581" i="5"/>
  <c r="T581" i="5"/>
  <c r="P581" i="5"/>
  <c r="R581" i="5" s="1"/>
  <c r="W581" i="5"/>
  <c r="U581" i="5"/>
  <c r="S581" i="5"/>
  <c r="O581" i="5"/>
  <c r="V577" i="5"/>
  <c r="T577" i="5"/>
  <c r="P577" i="5"/>
  <c r="R577" i="5" s="1"/>
  <c r="W577" i="5"/>
  <c r="U577" i="5"/>
  <c r="S577" i="5"/>
  <c r="O577" i="5"/>
  <c r="V573" i="5"/>
  <c r="T573" i="5"/>
  <c r="P573" i="5"/>
  <c r="R573" i="5" s="1"/>
  <c r="W573" i="5"/>
  <c r="U573" i="5"/>
  <c r="S573" i="5"/>
  <c r="O573" i="5"/>
  <c r="V569" i="5"/>
  <c r="T569" i="5"/>
  <c r="P569" i="5"/>
  <c r="R569" i="5" s="1"/>
  <c r="W569" i="5"/>
  <c r="U569" i="5"/>
  <c r="S569" i="5"/>
  <c r="O569" i="5"/>
  <c r="V565" i="5"/>
  <c r="T565" i="5"/>
  <c r="P565" i="5"/>
  <c r="R565" i="5" s="1"/>
  <c r="W565" i="5"/>
  <c r="U565" i="5"/>
  <c r="S565" i="5"/>
  <c r="O565" i="5"/>
  <c r="V561" i="5"/>
  <c r="T561" i="5"/>
  <c r="P561" i="5"/>
  <c r="R561" i="5" s="1"/>
  <c r="W561" i="5"/>
  <c r="U561" i="5"/>
  <c r="S561" i="5"/>
  <c r="O561" i="5"/>
  <c r="V557" i="5"/>
  <c r="T557" i="5"/>
  <c r="P557" i="5"/>
  <c r="R557" i="5" s="1"/>
  <c r="W557" i="5"/>
  <c r="U557" i="5"/>
  <c r="S557" i="5"/>
  <c r="O557" i="5"/>
  <c r="V553" i="5"/>
  <c r="T553" i="5"/>
  <c r="P553" i="5"/>
  <c r="R553" i="5" s="1"/>
  <c r="W553" i="5"/>
  <c r="U553" i="5"/>
  <c r="S553" i="5"/>
  <c r="O553" i="5"/>
  <c r="V549" i="5"/>
  <c r="T549" i="5"/>
  <c r="P549" i="5"/>
  <c r="R549" i="5" s="1"/>
  <c r="W549" i="5"/>
  <c r="U549" i="5"/>
  <c r="S549" i="5"/>
  <c r="O549" i="5"/>
  <c r="V545" i="5"/>
  <c r="T545" i="5"/>
  <c r="P545" i="5"/>
  <c r="R545" i="5" s="1"/>
  <c r="W545" i="5"/>
  <c r="U545" i="5"/>
  <c r="S545" i="5"/>
  <c r="O545" i="5"/>
  <c r="V541" i="5"/>
  <c r="T541" i="5"/>
  <c r="P541" i="5"/>
  <c r="R541" i="5" s="1"/>
  <c r="W541" i="5"/>
  <c r="U541" i="5"/>
  <c r="S541" i="5"/>
  <c r="O541" i="5"/>
  <c r="V537" i="5"/>
  <c r="T537" i="5"/>
  <c r="P537" i="5"/>
  <c r="R537" i="5" s="1"/>
  <c r="W537" i="5"/>
  <c r="U537" i="5"/>
  <c r="S537" i="5"/>
  <c r="O537" i="5"/>
  <c r="V533" i="5"/>
  <c r="T533" i="5"/>
  <c r="P533" i="5"/>
  <c r="R533" i="5" s="1"/>
  <c r="W533" i="5"/>
  <c r="U533" i="5"/>
  <c r="S533" i="5"/>
  <c r="O533" i="5"/>
  <c r="V529" i="5"/>
  <c r="T529" i="5"/>
  <c r="P529" i="5"/>
  <c r="R529" i="5" s="1"/>
  <c r="W529" i="5"/>
  <c r="U529" i="5"/>
  <c r="S529" i="5"/>
  <c r="O529" i="5"/>
  <c r="V525" i="5"/>
  <c r="T525" i="5"/>
  <c r="P525" i="5"/>
  <c r="R525" i="5" s="1"/>
  <c r="W525" i="5"/>
  <c r="U525" i="5"/>
  <c r="S525" i="5"/>
  <c r="O525" i="5"/>
  <c r="V521" i="5"/>
  <c r="T521" i="5"/>
  <c r="P521" i="5"/>
  <c r="R521" i="5" s="1"/>
  <c r="W521" i="5"/>
  <c r="U521" i="5"/>
  <c r="S521" i="5"/>
  <c r="O521" i="5"/>
  <c r="V517" i="5"/>
  <c r="T517" i="5"/>
  <c r="P517" i="5"/>
  <c r="R517" i="5" s="1"/>
  <c r="W517" i="5"/>
  <c r="U517" i="5"/>
  <c r="S517" i="5"/>
  <c r="O517" i="5"/>
  <c r="V513" i="5"/>
  <c r="T513" i="5"/>
  <c r="P513" i="5"/>
  <c r="R513" i="5" s="1"/>
  <c r="W513" i="5"/>
  <c r="U513" i="5"/>
  <c r="S513" i="5"/>
  <c r="O513" i="5"/>
  <c r="V509" i="5"/>
  <c r="T509" i="5"/>
  <c r="P509" i="5"/>
  <c r="R509" i="5" s="1"/>
  <c r="W509" i="5"/>
  <c r="U509" i="5"/>
  <c r="S509" i="5"/>
  <c r="O509" i="5"/>
  <c r="V505" i="5"/>
  <c r="T505" i="5"/>
  <c r="P505" i="5"/>
  <c r="R505" i="5" s="1"/>
  <c r="W505" i="5"/>
  <c r="U505" i="5"/>
  <c r="S505" i="5"/>
  <c r="O505" i="5"/>
  <c r="V501" i="5"/>
  <c r="T501" i="5"/>
  <c r="P501" i="5"/>
  <c r="R501" i="5" s="1"/>
  <c r="W501" i="5"/>
  <c r="U501" i="5"/>
  <c r="S501" i="5"/>
  <c r="O501" i="5"/>
  <c r="V497" i="5"/>
  <c r="T497" i="5"/>
  <c r="P497" i="5"/>
  <c r="R497" i="5" s="1"/>
  <c r="W497" i="5"/>
  <c r="U497" i="5"/>
  <c r="S497" i="5"/>
  <c r="O497" i="5"/>
  <c r="V493" i="5"/>
  <c r="T493" i="5"/>
  <c r="P493" i="5"/>
  <c r="R493" i="5" s="1"/>
  <c r="W493" i="5"/>
  <c r="U493" i="5"/>
  <c r="S493" i="5"/>
  <c r="O493" i="5"/>
  <c r="V489" i="5"/>
  <c r="T489" i="5"/>
  <c r="P489" i="5"/>
  <c r="R489" i="5" s="1"/>
  <c r="W489" i="5"/>
  <c r="U489" i="5"/>
  <c r="S489" i="5"/>
  <c r="O489" i="5"/>
  <c r="V485" i="5"/>
  <c r="T485" i="5"/>
  <c r="P485" i="5"/>
  <c r="R485" i="5" s="1"/>
  <c r="W485" i="5"/>
  <c r="U485" i="5"/>
  <c r="S485" i="5"/>
  <c r="O485" i="5"/>
  <c r="V481" i="5"/>
  <c r="T481" i="5"/>
  <c r="P481" i="5"/>
  <c r="R481" i="5" s="1"/>
  <c r="W481" i="5"/>
  <c r="U481" i="5"/>
  <c r="S481" i="5"/>
  <c r="O481" i="5"/>
  <c r="V477" i="5"/>
  <c r="T477" i="5"/>
  <c r="P477" i="5"/>
  <c r="R477" i="5" s="1"/>
  <c r="W477" i="5"/>
  <c r="U477" i="5"/>
  <c r="S477" i="5"/>
  <c r="O477" i="5"/>
  <c r="V473" i="5"/>
  <c r="T473" i="5"/>
  <c r="P473" i="5"/>
  <c r="R473" i="5" s="1"/>
  <c r="W473" i="5"/>
  <c r="U473" i="5"/>
  <c r="S473" i="5"/>
  <c r="O473" i="5"/>
  <c r="V469" i="5"/>
  <c r="T469" i="5"/>
  <c r="P469" i="5"/>
  <c r="R469" i="5" s="1"/>
  <c r="W469" i="5"/>
  <c r="U469" i="5"/>
  <c r="S469" i="5"/>
  <c r="O469" i="5"/>
  <c r="C463" i="5"/>
  <c r="D463" i="5" s="1"/>
  <c r="K466" i="1"/>
  <c r="C459" i="5"/>
  <c r="D459" i="5" s="1"/>
  <c r="K462" i="1"/>
  <c r="C455" i="5"/>
  <c r="D455" i="5" s="1"/>
  <c r="K458" i="1"/>
  <c r="C451" i="5"/>
  <c r="D451" i="5" s="1"/>
  <c r="K454" i="1"/>
  <c r="C447" i="5"/>
  <c r="D447" i="5" s="1"/>
  <c r="K450" i="1"/>
  <c r="C443" i="5"/>
  <c r="D443" i="5" s="1"/>
  <c r="K446" i="1"/>
  <c r="C439" i="5"/>
  <c r="D439" i="5" s="1"/>
  <c r="K442" i="1"/>
  <c r="C435" i="5"/>
  <c r="D435" i="5" s="1"/>
  <c r="K438" i="1"/>
  <c r="C431" i="5"/>
  <c r="D431" i="5" s="1"/>
  <c r="K434" i="1"/>
  <c r="C427" i="5"/>
  <c r="D427" i="5" s="1"/>
  <c r="K430" i="1"/>
  <c r="C423" i="5"/>
  <c r="D423" i="5" s="1"/>
  <c r="K426" i="1"/>
  <c r="C419" i="5"/>
  <c r="D419" i="5" s="1"/>
  <c r="K422" i="1"/>
  <c r="C415" i="5"/>
  <c r="D415" i="5" s="1"/>
  <c r="K418" i="1"/>
  <c r="C411" i="5"/>
  <c r="D411" i="5" s="1"/>
  <c r="K414" i="1"/>
  <c r="C407" i="5"/>
  <c r="D407" i="5" s="1"/>
  <c r="K410" i="1"/>
  <c r="C403" i="5"/>
  <c r="D403" i="5" s="1"/>
  <c r="K406" i="1"/>
  <c r="C399" i="5"/>
  <c r="D399" i="5" s="1"/>
  <c r="K402" i="1"/>
  <c r="C395" i="5"/>
  <c r="D395" i="5" s="1"/>
  <c r="K398" i="1"/>
  <c r="C391" i="5"/>
  <c r="D391" i="5" s="1"/>
  <c r="K394" i="1"/>
  <c r="W466" i="5"/>
  <c r="V466" i="5"/>
  <c r="T466" i="5"/>
  <c r="P466" i="5"/>
  <c r="R466" i="5" s="1"/>
  <c r="U466" i="5"/>
  <c r="S466" i="5"/>
  <c r="O466" i="5"/>
  <c r="V462" i="5"/>
  <c r="T462" i="5"/>
  <c r="P462" i="5"/>
  <c r="R462" i="5" s="1"/>
  <c r="U462" i="5"/>
  <c r="W462" i="5"/>
  <c r="S462" i="5"/>
  <c r="O462" i="5"/>
  <c r="V458" i="5"/>
  <c r="T458" i="5"/>
  <c r="P458" i="5"/>
  <c r="R458" i="5" s="1"/>
  <c r="U458" i="5"/>
  <c r="W458" i="5"/>
  <c r="S458" i="5"/>
  <c r="O458" i="5"/>
  <c r="V454" i="5"/>
  <c r="T454" i="5"/>
  <c r="P454" i="5"/>
  <c r="R454" i="5" s="1"/>
  <c r="U454" i="5"/>
  <c r="W454" i="5"/>
  <c r="S454" i="5"/>
  <c r="O454" i="5"/>
  <c r="V450" i="5"/>
  <c r="T450" i="5"/>
  <c r="P450" i="5"/>
  <c r="R450" i="5" s="1"/>
  <c r="U450" i="5"/>
  <c r="W450" i="5"/>
  <c r="S450" i="5"/>
  <c r="O450" i="5"/>
  <c r="V446" i="5"/>
  <c r="T446" i="5"/>
  <c r="P446" i="5"/>
  <c r="R446" i="5" s="1"/>
  <c r="U446" i="5"/>
  <c r="W446" i="5"/>
  <c r="S446" i="5"/>
  <c r="O446" i="5"/>
  <c r="V442" i="5"/>
  <c r="T442" i="5"/>
  <c r="P442" i="5"/>
  <c r="R442" i="5" s="1"/>
  <c r="U442" i="5"/>
  <c r="W442" i="5"/>
  <c r="S442" i="5"/>
  <c r="O442" i="5"/>
  <c r="V438" i="5"/>
  <c r="T438" i="5"/>
  <c r="P438" i="5"/>
  <c r="R438" i="5" s="1"/>
  <c r="U438" i="5"/>
  <c r="W438" i="5"/>
  <c r="S438" i="5"/>
  <c r="O438" i="5"/>
  <c r="V434" i="5"/>
  <c r="T434" i="5"/>
  <c r="P434" i="5"/>
  <c r="R434" i="5" s="1"/>
  <c r="U434" i="5"/>
  <c r="W434" i="5"/>
  <c r="S434" i="5"/>
  <c r="O434" i="5"/>
  <c r="V430" i="5"/>
  <c r="T430" i="5"/>
  <c r="P430" i="5"/>
  <c r="R430" i="5" s="1"/>
  <c r="U430" i="5"/>
  <c r="W430" i="5"/>
  <c r="S430" i="5"/>
  <c r="O430" i="5"/>
  <c r="V426" i="5"/>
  <c r="T426" i="5"/>
  <c r="P426" i="5"/>
  <c r="R426" i="5" s="1"/>
  <c r="U426" i="5"/>
  <c r="W426" i="5"/>
  <c r="S426" i="5"/>
  <c r="O426" i="5"/>
  <c r="V422" i="5"/>
  <c r="T422" i="5"/>
  <c r="P422" i="5"/>
  <c r="R422" i="5" s="1"/>
  <c r="U422" i="5"/>
  <c r="W422" i="5"/>
  <c r="S422" i="5"/>
  <c r="O422" i="5"/>
  <c r="V418" i="5"/>
  <c r="T418" i="5"/>
  <c r="P418" i="5"/>
  <c r="R418" i="5" s="1"/>
  <c r="U418" i="5"/>
  <c r="W418" i="5"/>
  <c r="S418" i="5"/>
  <c r="O418" i="5"/>
  <c r="V414" i="5"/>
  <c r="T414" i="5"/>
  <c r="P414" i="5"/>
  <c r="R414" i="5" s="1"/>
  <c r="U414" i="5"/>
  <c r="W414" i="5"/>
  <c r="S414" i="5"/>
  <c r="O414" i="5"/>
  <c r="V410" i="5"/>
  <c r="T410" i="5"/>
  <c r="P410" i="5"/>
  <c r="R410" i="5" s="1"/>
  <c r="U410" i="5"/>
  <c r="W410" i="5"/>
  <c r="S410" i="5"/>
  <c r="O410" i="5"/>
  <c r="V406" i="5"/>
  <c r="T406" i="5"/>
  <c r="P406" i="5"/>
  <c r="R406" i="5" s="1"/>
  <c r="U406" i="5"/>
  <c r="W406" i="5"/>
  <c r="S406" i="5"/>
  <c r="O406" i="5"/>
  <c r="V402" i="5"/>
  <c r="T402" i="5"/>
  <c r="P402" i="5"/>
  <c r="R402" i="5" s="1"/>
  <c r="U402" i="5"/>
  <c r="W402" i="5"/>
  <c r="S402" i="5"/>
  <c r="O402" i="5"/>
  <c r="V398" i="5"/>
  <c r="T398" i="5"/>
  <c r="P398" i="5"/>
  <c r="R398" i="5" s="1"/>
  <c r="U398" i="5"/>
  <c r="W398" i="5"/>
  <c r="S398" i="5"/>
  <c r="O398" i="5"/>
  <c r="V394" i="5"/>
  <c r="T394" i="5"/>
  <c r="P394" i="5"/>
  <c r="R394" i="5" s="1"/>
  <c r="U394" i="5"/>
  <c r="W394" i="5"/>
  <c r="S394" i="5"/>
  <c r="O394" i="5"/>
  <c r="V390" i="5"/>
  <c r="T390" i="5"/>
  <c r="P390" i="5"/>
  <c r="R390" i="5" s="1"/>
  <c r="U390" i="5"/>
  <c r="W390" i="5"/>
  <c r="S390" i="5"/>
  <c r="O390" i="5"/>
  <c r="C6" i="5"/>
  <c r="D6" i="5" s="1"/>
  <c r="V386" i="5"/>
  <c r="T386" i="5"/>
  <c r="P386" i="5"/>
  <c r="R386" i="5" s="1"/>
  <c r="W386" i="5"/>
  <c r="U386" i="5"/>
  <c r="S386" i="5"/>
  <c r="O386" i="5"/>
  <c r="V382" i="5"/>
  <c r="T382" i="5"/>
  <c r="P382" i="5"/>
  <c r="R382" i="5" s="1"/>
  <c r="W382" i="5"/>
  <c r="U382" i="5"/>
  <c r="S382" i="5"/>
  <c r="O382" i="5"/>
  <c r="V378" i="5"/>
  <c r="T378" i="5"/>
  <c r="P378" i="5"/>
  <c r="R378" i="5" s="1"/>
  <c r="W378" i="5"/>
  <c r="U378" i="5"/>
  <c r="S378" i="5"/>
  <c r="O378" i="5"/>
  <c r="V374" i="5"/>
  <c r="T374" i="5"/>
  <c r="P374" i="5"/>
  <c r="R374" i="5" s="1"/>
  <c r="W374" i="5"/>
  <c r="U374" i="5"/>
  <c r="S374" i="5"/>
  <c r="O374" i="5"/>
  <c r="V370" i="5"/>
  <c r="T370" i="5"/>
  <c r="P370" i="5"/>
  <c r="R370" i="5" s="1"/>
  <c r="W370" i="5"/>
  <c r="U370" i="5"/>
  <c r="S370" i="5"/>
  <c r="O370" i="5"/>
  <c r="V366" i="5"/>
  <c r="T366" i="5"/>
  <c r="P366" i="5"/>
  <c r="R366" i="5" s="1"/>
  <c r="W366" i="5"/>
  <c r="U366" i="5"/>
  <c r="S366" i="5"/>
  <c r="O366" i="5"/>
  <c r="V362" i="5"/>
  <c r="T362" i="5"/>
  <c r="P362" i="5"/>
  <c r="R362" i="5" s="1"/>
  <c r="W362" i="5"/>
  <c r="U362" i="5"/>
  <c r="S362" i="5"/>
  <c r="O362" i="5"/>
  <c r="V358" i="5"/>
  <c r="T358" i="5"/>
  <c r="P358" i="5"/>
  <c r="R358" i="5" s="1"/>
  <c r="W358" i="5"/>
  <c r="U358" i="5"/>
  <c r="S358" i="5"/>
  <c r="O358" i="5"/>
  <c r="V354" i="5"/>
  <c r="T354" i="5"/>
  <c r="P354" i="5"/>
  <c r="R354" i="5" s="1"/>
  <c r="W354" i="5"/>
  <c r="U354" i="5"/>
  <c r="S354" i="5"/>
  <c r="O354" i="5"/>
  <c r="V350" i="5"/>
  <c r="T350" i="5"/>
  <c r="P350" i="5"/>
  <c r="R350" i="5" s="1"/>
  <c r="W350" i="5"/>
  <c r="U350" i="5"/>
  <c r="S350" i="5"/>
  <c r="O350" i="5"/>
  <c r="V346" i="5"/>
  <c r="T346" i="5"/>
  <c r="P346" i="5"/>
  <c r="R346" i="5" s="1"/>
  <c r="W346" i="5"/>
  <c r="U346" i="5"/>
  <c r="S346" i="5"/>
  <c r="O346" i="5"/>
  <c r="V342" i="5"/>
  <c r="T342" i="5"/>
  <c r="P342" i="5"/>
  <c r="R342" i="5" s="1"/>
  <c r="W342" i="5"/>
  <c r="U342" i="5"/>
  <c r="S342" i="5"/>
  <c r="O342" i="5"/>
  <c r="V338" i="5"/>
  <c r="T338" i="5"/>
  <c r="P338" i="5"/>
  <c r="R338" i="5" s="1"/>
  <c r="W338" i="5"/>
  <c r="U338" i="5"/>
  <c r="S338" i="5"/>
  <c r="O338" i="5"/>
  <c r="V334" i="5"/>
  <c r="T334" i="5"/>
  <c r="P334" i="5"/>
  <c r="R334" i="5" s="1"/>
  <c r="W334" i="5"/>
  <c r="U334" i="5"/>
  <c r="S334" i="5"/>
  <c r="O334" i="5"/>
  <c r="V330" i="5"/>
  <c r="T330" i="5"/>
  <c r="P330" i="5"/>
  <c r="R330" i="5" s="1"/>
  <c r="W330" i="5"/>
  <c r="U330" i="5"/>
  <c r="S330" i="5"/>
  <c r="O330" i="5"/>
  <c r="V326" i="5"/>
  <c r="T326" i="5"/>
  <c r="P326" i="5"/>
  <c r="R326" i="5" s="1"/>
  <c r="W326" i="5"/>
  <c r="U326" i="5"/>
  <c r="S326" i="5"/>
  <c r="O326" i="5"/>
  <c r="V322" i="5"/>
  <c r="T322" i="5"/>
  <c r="P322" i="5"/>
  <c r="R322" i="5" s="1"/>
  <c r="W322" i="5"/>
  <c r="U322" i="5"/>
  <c r="S322" i="5"/>
  <c r="O322" i="5"/>
  <c r="V318" i="5"/>
  <c r="T318" i="5"/>
  <c r="P318" i="5"/>
  <c r="R318" i="5" s="1"/>
  <c r="W318" i="5"/>
  <c r="U318" i="5"/>
  <c r="S318" i="5"/>
  <c r="O318" i="5"/>
  <c r="V314" i="5"/>
  <c r="T314" i="5"/>
  <c r="P314" i="5"/>
  <c r="R314" i="5" s="1"/>
  <c r="W314" i="5"/>
  <c r="U314" i="5"/>
  <c r="S314" i="5"/>
  <c r="O314" i="5"/>
  <c r="V310" i="5"/>
  <c r="T310" i="5"/>
  <c r="P310" i="5"/>
  <c r="R310" i="5" s="1"/>
  <c r="W310" i="5"/>
  <c r="U310" i="5"/>
  <c r="S310" i="5"/>
  <c r="O310" i="5"/>
  <c r="V306" i="5"/>
  <c r="T306" i="5"/>
  <c r="P306" i="5"/>
  <c r="R306" i="5" s="1"/>
  <c r="W306" i="5"/>
  <c r="U306" i="5"/>
  <c r="S306" i="5"/>
  <c r="O306" i="5"/>
  <c r="V302" i="5"/>
  <c r="T302" i="5"/>
  <c r="P302" i="5"/>
  <c r="R302" i="5" s="1"/>
  <c r="W302" i="5"/>
  <c r="U302" i="5"/>
  <c r="S302" i="5"/>
  <c r="O302" i="5"/>
  <c r="V298" i="5"/>
  <c r="T298" i="5"/>
  <c r="P298" i="5"/>
  <c r="R298" i="5" s="1"/>
  <c r="W298" i="5"/>
  <c r="U298" i="5"/>
  <c r="S298" i="5"/>
  <c r="O298" i="5"/>
  <c r="V294" i="5"/>
  <c r="T294" i="5"/>
  <c r="P294" i="5"/>
  <c r="R294" i="5" s="1"/>
  <c r="W294" i="5"/>
  <c r="U294" i="5"/>
  <c r="S294" i="5"/>
  <c r="O294" i="5"/>
  <c r="V290" i="5"/>
  <c r="T290" i="5"/>
  <c r="P290" i="5"/>
  <c r="R290" i="5" s="1"/>
  <c r="W290" i="5"/>
  <c r="U290" i="5"/>
  <c r="S290" i="5"/>
  <c r="O290" i="5"/>
  <c r="V286" i="5"/>
  <c r="T286" i="5"/>
  <c r="P286" i="5"/>
  <c r="R286" i="5" s="1"/>
  <c r="W286" i="5"/>
  <c r="U286" i="5"/>
  <c r="S286" i="5"/>
  <c r="O286" i="5"/>
  <c r="V282" i="5"/>
  <c r="T282" i="5"/>
  <c r="P282" i="5"/>
  <c r="R282" i="5" s="1"/>
  <c r="W282" i="5"/>
  <c r="U282" i="5"/>
  <c r="S282" i="5"/>
  <c r="O282" i="5"/>
  <c r="V278" i="5"/>
  <c r="T278" i="5"/>
  <c r="P278" i="5"/>
  <c r="R278" i="5" s="1"/>
  <c r="W278" i="5"/>
  <c r="U278" i="5"/>
  <c r="S278" i="5"/>
  <c r="O278" i="5"/>
  <c r="V274" i="5"/>
  <c r="T274" i="5"/>
  <c r="P274" i="5"/>
  <c r="R274" i="5" s="1"/>
  <c r="W274" i="5"/>
  <c r="U274" i="5"/>
  <c r="S274" i="5"/>
  <c r="O274" i="5"/>
  <c r="V270" i="5"/>
  <c r="T270" i="5"/>
  <c r="P270" i="5"/>
  <c r="R270" i="5" s="1"/>
  <c r="W270" i="5"/>
  <c r="U270" i="5"/>
  <c r="S270" i="5"/>
  <c r="O270" i="5"/>
  <c r="V266" i="5"/>
  <c r="T266" i="5"/>
  <c r="P266" i="5"/>
  <c r="R266" i="5" s="1"/>
  <c r="W266" i="5"/>
  <c r="U266" i="5"/>
  <c r="S266" i="5"/>
  <c r="O266" i="5"/>
  <c r="V262" i="5"/>
  <c r="T262" i="5"/>
  <c r="P262" i="5"/>
  <c r="R262" i="5" s="1"/>
  <c r="W262" i="5"/>
  <c r="U262" i="5"/>
  <c r="S262" i="5"/>
  <c r="O262" i="5"/>
  <c r="V258" i="5"/>
  <c r="T258" i="5"/>
  <c r="P258" i="5"/>
  <c r="R258" i="5" s="1"/>
  <c r="W258" i="5"/>
  <c r="U258" i="5"/>
  <c r="S258" i="5"/>
  <c r="O258" i="5"/>
  <c r="V254" i="5"/>
  <c r="T254" i="5"/>
  <c r="P254" i="5"/>
  <c r="R254" i="5" s="1"/>
  <c r="W254" i="5"/>
  <c r="U254" i="5"/>
  <c r="S254" i="5"/>
  <c r="O254" i="5"/>
  <c r="V250" i="5"/>
  <c r="T250" i="5"/>
  <c r="P250" i="5"/>
  <c r="R250" i="5" s="1"/>
  <c r="W250" i="5"/>
  <c r="U250" i="5"/>
  <c r="S250" i="5"/>
  <c r="O250" i="5"/>
  <c r="V246" i="5"/>
  <c r="T246" i="5"/>
  <c r="P246" i="5"/>
  <c r="R246" i="5" s="1"/>
  <c r="W246" i="5"/>
  <c r="U246" i="5"/>
  <c r="S246" i="5"/>
  <c r="O246" i="5"/>
  <c r="V242" i="5"/>
  <c r="T242" i="5"/>
  <c r="P242" i="5"/>
  <c r="R242" i="5" s="1"/>
  <c r="W242" i="5"/>
  <c r="U242" i="5"/>
  <c r="S242" i="5"/>
  <c r="O242" i="5"/>
  <c r="V238" i="5"/>
  <c r="T238" i="5"/>
  <c r="P238" i="5"/>
  <c r="R238" i="5" s="1"/>
  <c r="W238" i="5"/>
  <c r="U238" i="5"/>
  <c r="S238" i="5"/>
  <c r="O238" i="5"/>
  <c r="V234" i="5"/>
  <c r="T234" i="5"/>
  <c r="P234" i="5"/>
  <c r="R234" i="5" s="1"/>
  <c r="W234" i="5"/>
  <c r="U234" i="5"/>
  <c r="S234" i="5"/>
  <c r="O234" i="5"/>
  <c r="V230" i="5"/>
  <c r="T230" i="5"/>
  <c r="P230" i="5"/>
  <c r="R230" i="5" s="1"/>
  <c r="W230" i="5"/>
  <c r="U230" i="5"/>
  <c r="S230" i="5"/>
  <c r="O230" i="5"/>
  <c r="V226" i="5"/>
  <c r="T226" i="5"/>
  <c r="P226" i="5"/>
  <c r="R226" i="5" s="1"/>
  <c r="W226" i="5"/>
  <c r="U226" i="5"/>
  <c r="S226" i="5"/>
  <c r="O226" i="5"/>
  <c r="V222" i="5"/>
  <c r="T222" i="5"/>
  <c r="P222" i="5"/>
  <c r="R222" i="5" s="1"/>
  <c r="W222" i="5"/>
  <c r="U222" i="5"/>
  <c r="S222" i="5"/>
  <c r="O222" i="5"/>
  <c r="V218" i="5"/>
  <c r="T218" i="5"/>
  <c r="P218" i="5"/>
  <c r="R218" i="5" s="1"/>
  <c r="W218" i="5"/>
  <c r="U218" i="5"/>
  <c r="S218" i="5"/>
  <c r="O218" i="5"/>
  <c r="V214" i="5"/>
  <c r="T214" i="5"/>
  <c r="P214" i="5"/>
  <c r="R214" i="5" s="1"/>
  <c r="W214" i="5"/>
  <c r="U214" i="5"/>
  <c r="S214" i="5"/>
  <c r="O214" i="5"/>
  <c r="V210" i="5"/>
  <c r="T210" i="5"/>
  <c r="P210" i="5"/>
  <c r="R210" i="5" s="1"/>
  <c r="W210" i="5"/>
  <c r="U210" i="5"/>
  <c r="S210" i="5"/>
  <c r="O210" i="5"/>
  <c r="V206" i="5"/>
  <c r="T206" i="5"/>
  <c r="P206" i="5"/>
  <c r="R206" i="5" s="1"/>
  <c r="W206" i="5"/>
  <c r="U206" i="5"/>
  <c r="S206" i="5"/>
  <c r="O206" i="5"/>
  <c r="V202" i="5"/>
  <c r="T202" i="5"/>
  <c r="P202" i="5"/>
  <c r="R202" i="5" s="1"/>
  <c r="W202" i="5"/>
  <c r="U202" i="5"/>
  <c r="S202" i="5"/>
  <c r="O202" i="5"/>
  <c r="V198" i="5"/>
  <c r="T198" i="5"/>
  <c r="P198" i="5"/>
  <c r="R198" i="5" s="1"/>
  <c r="W198" i="5"/>
  <c r="U198" i="5"/>
  <c r="S198" i="5"/>
  <c r="O198" i="5"/>
  <c r="V194" i="5"/>
  <c r="T194" i="5"/>
  <c r="P194" i="5"/>
  <c r="R194" i="5" s="1"/>
  <c r="W194" i="5"/>
  <c r="U194" i="5"/>
  <c r="S194" i="5"/>
  <c r="O194" i="5"/>
  <c r="V190" i="5"/>
  <c r="T190" i="5"/>
  <c r="P190" i="5"/>
  <c r="R190" i="5" s="1"/>
  <c r="W190" i="5"/>
  <c r="U190" i="5"/>
  <c r="S190" i="5"/>
  <c r="O190" i="5"/>
  <c r="V186" i="5"/>
  <c r="T186" i="5"/>
  <c r="P186" i="5"/>
  <c r="R186" i="5" s="1"/>
  <c r="W186" i="5"/>
  <c r="U186" i="5"/>
  <c r="S186" i="5"/>
  <c r="O186" i="5"/>
  <c r="V182" i="5"/>
  <c r="T182" i="5"/>
  <c r="P182" i="5"/>
  <c r="R182" i="5" s="1"/>
  <c r="W182" i="5"/>
  <c r="U182" i="5"/>
  <c r="S182" i="5"/>
  <c r="O182" i="5"/>
  <c r="V178" i="5"/>
  <c r="T178" i="5"/>
  <c r="P178" i="5"/>
  <c r="R178" i="5" s="1"/>
  <c r="W178" i="5"/>
  <c r="U178" i="5"/>
  <c r="S178" i="5"/>
  <c r="O178" i="5"/>
  <c r="V174" i="5"/>
  <c r="T174" i="5"/>
  <c r="P174" i="5"/>
  <c r="R174" i="5" s="1"/>
  <c r="W174" i="5"/>
  <c r="U174" i="5"/>
  <c r="S174" i="5"/>
  <c r="O174" i="5"/>
  <c r="V170" i="5"/>
  <c r="T170" i="5"/>
  <c r="P170" i="5"/>
  <c r="R170" i="5" s="1"/>
  <c r="W170" i="5"/>
  <c r="U170" i="5"/>
  <c r="S170" i="5"/>
  <c r="O170" i="5"/>
  <c r="V166" i="5"/>
  <c r="T166" i="5"/>
  <c r="P166" i="5"/>
  <c r="R166" i="5" s="1"/>
  <c r="W166" i="5"/>
  <c r="U166" i="5"/>
  <c r="S166" i="5"/>
  <c r="O166" i="5"/>
  <c r="V162" i="5"/>
  <c r="T162" i="5"/>
  <c r="P162" i="5"/>
  <c r="R162" i="5" s="1"/>
  <c r="W162" i="5"/>
  <c r="U162" i="5"/>
  <c r="S162" i="5"/>
  <c r="O162" i="5"/>
  <c r="V158" i="5"/>
  <c r="T158" i="5"/>
  <c r="P158" i="5"/>
  <c r="R158" i="5" s="1"/>
  <c r="W158" i="5"/>
  <c r="U158" i="5"/>
  <c r="S158" i="5"/>
  <c r="O158" i="5"/>
  <c r="V154" i="5"/>
  <c r="T154" i="5"/>
  <c r="P154" i="5"/>
  <c r="R154" i="5" s="1"/>
  <c r="W154" i="5"/>
  <c r="U154" i="5"/>
  <c r="S154" i="5"/>
  <c r="O154" i="5"/>
  <c r="V150" i="5"/>
  <c r="T150" i="5"/>
  <c r="P150" i="5"/>
  <c r="R150" i="5" s="1"/>
  <c r="W150" i="5"/>
  <c r="U150" i="5"/>
  <c r="S150" i="5"/>
  <c r="O150" i="5"/>
  <c r="V146" i="5"/>
  <c r="T146" i="5"/>
  <c r="P146" i="5"/>
  <c r="R146" i="5" s="1"/>
  <c r="W146" i="5"/>
  <c r="U146" i="5"/>
  <c r="S146" i="5"/>
  <c r="O146" i="5"/>
  <c r="V142" i="5"/>
  <c r="T142" i="5"/>
  <c r="P142" i="5"/>
  <c r="R142" i="5" s="1"/>
  <c r="W142" i="5"/>
  <c r="U142" i="5"/>
  <c r="S142" i="5"/>
  <c r="O142" i="5"/>
  <c r="V138" i="5"/>
  <c r="T138" i="5"/>
  <c r="P138" i="5"/>
  <c r="R138" i="5" s="1"/>
  <c r="W138" i="5"/>
  <c r="U138" i="5"/>
  <c r="S138" i="5"/>
  <c r="O138" i="5"/>
  <c r="V134" i="5"/>
  <c r="T134" i="5"/>
  <c r="P134" i="5"/>
  <c r="R134" i="5" s="1"/>
  <c r="W134" i="5"/>
  <c r="U134" i="5"/>
  <c r="S134" i="5"/>
  <c r="O134" i="5"/>
  <c r="V130" i="5"/>
  <c r="T130" i="5"/>
  <c r="P130" i="5"/>
  <c r="R130" i="5" s="1"/>
  <c r="W130" i="5"/>
  <c r="U130" i="5"/>
  <c r="S130" i="5"/>
  <c r="O130" i="5"/>
  <c r="V126" i="5"/>
  <c r="T126" i="5"/>
  <c r="P126" i="5"/>
  <c r="R126" i="5" s="1"/>
  <c r="W126" i="5"/>
  <c r="U126" i="5"/>
  <c r="S126" i="5"/>
  <c r="O126" i="5"/>
  <c r="V122" i="5"/>
  <c r="T122" i="5"/>
  <c r="P122" i="5"/>
  <c r="R122" i="5" s="1"/>
  <c r="W122" i="5"/>
  <c r="U122" i="5"/>
  <c r="S122" i="5"/>
  <c r="O122" i="5"/>
  <c r="V118" i="5"/>
  <c r="T118" i="5"/>
  <c r="P118" i="5"/>
  <c r="R118" i="5" s="1"/>
  <c r="W118" i="5"/>
  <c r="U118" i="5"/>
  <c r="S118" i="5"/>
  <c r="O118" i="5"/>
  <c r="V114" i="5"/>
  <c r="T114" i="5"/>
  <c r="P114" i="5"/>
  <c r="R114" i="5" s="1"/>
  <c r="W114" i="5"/>
  <c r="U114" i="5"/>
  <c r="S114" i="5"/>
  <c r="O114" i="5"/>
  <c r="V110" i="5"/>
  <c r="T110" i="5"/>
  <c r="P110" i="5"/>
  <c r="R110" i="5" s="1"/>
  <c r="W110" i="5"/>
  <c r="U110" i="5"/>
  <c r="S110" i="5"/>
  <c r="O110" i="5"/>
  <c r="V106" i="5"/>
  <c r="T106" i="5"/>
  <c r="P106" i="5"/>
  <c r="R106" i="5" s="1"/>
  <c r="W106" i="5"/>
  <c r="U106" i="5"/>
  <c r="S106" i="5"/>
  <c r="O106" i="5"/>
  <c r="V102" i="5"/>
  <c r="T102" i="5"/>
  <c r="P102" i="5"/>
  <c r="R102" i="5" s="1"/>
  <c r="W102" i="5"/>
  <c r="U102" i="5"/>
  <c r="S102" i="5"/>
  <c r="O102" i="5"/>
  <c r="V98" i="5"/>
  <c r="T98" i="5"/>
  <c r="P98" i="5"/>
  <c r="R98" i="5" s="1"/>
  <c r="W98" i="5"/>
  <c r="U98" i="5"/>
  <c r="S98" i="5"/>
  <c r="O98" i="5"/>
  <c r="V94" i="5"/>
  <c r="T94" i="5"/>
  <c r="P94" i="5"/>
  <c r="R94" i="5" s="1"/>
  <c r="W94" i="5"/>
  <c r="U94" i="5"/>
  <c r="S94" i="5"/>
  <c r="O94" i="5"/>
  <c r="V90" i="5"/>
  <c r="T90" i="5"/>
  <c r="P90" i="5"/>
  <c r="R90" i="5" s="1"/>
  <c r="W90" i="5"/>
  <c r="U90" i="5"/>
  <c r="S90" i="5"/>
  <c r="O90" i="5"/>
  <c r="V86" i="5"/>
  <c r="T86" i="5"/>
  <c r="P86" i="5"/>
  <c r="R86" i="5" s="1"/>
  <c r="W86" i="5"/>
  <c r="U86" i="5"/>
  <c r="S86" i="5"/>
  <c r="O86" i="5"/>
  <c r="V82" i="5"/>
  <c r="T82" i="5"/>
  <c r="P82" i="5"/>
  <c r="R82" i="5" s="1"/>
  <c r="W82" i="5"/>
  <c r="U82" i="5"/>
  <c r="S82" i="5"/>
  <c r="O82" i="5"/>
  <c r="V78" i="5"/>
  <c r="T78" i="5"/>
  <c r="P78" i="5"/>
  <c r="R78" i="5" s="1"/>
  <c r="W78" i="5"/>
  <c r="U78" i="5"/>
  <c r="S78" i="5"/>
  <c r="O78" i="5"/>
  <c r="V74" i="5"/>
  <c r="T74" i="5"/>
  <c r="P74" i="5"/>
  <c r="R74" i="5" s="1"/>
  <c r="W74" i="5"/>
  <c r="U74" i="5"/>
  <c r="S74" i="5"/>
  <c r="O74" i="5"/>
  <c r="V70" i="5"/>
  <c r="T70" i="5"/>
  <c r="P70" i="5"/>
  <c r="R70" i="5" s="1"/>
  <c r="W70" i="5"/>
  <c r="U70" i="5"/>
  <c r="S70" i="5"/>
  <c r="O70" i="5"/>
  <c r="V66" i="5"/>
  <c r="T66" i="5"/>
  <c r="P66" i="5"/>
  <c r="R66" i="5" s="1"/>
  <c r="W66" i="5"/>
  <c r="U66" i="5"/>
  <c r="S66" i="5"/>
  <c r="O66" i="5"/>
  <c r="V62" i="5"/>
  <c r="T62" i="5"/>
  <c r="P62" i="5"/>
  <c r="R62" i="5" s="1"/>
  <c r="W62" i="5"/>
  <c r="U62" i="5"/>
  <c r="S62" i="5"/>
  <c r="O62" i="5"/>
  <c r="V58" i="5"/>
  <c r="T58" i="5"/>
  <c r="P58" i="5"/>
  <c r="R58" i="5" s="1"/>
  <c r="W58" i="5"/>
  <c r="U58" i="5"/>
  <c r="S58" i="5"/>
  <c r="O58" i="5"/>
  <c r="V54" i="5"/>
  <c r="T54" i="5"/>
  <c r="P54" i="5"/>
  <c r="R54" i="5" s="1"/>
  <c r="W54" i="5"/>
  <c r="U54" i="5"/>
  <c r="S54" i="5"/>
  <c r="O54" i="5"/>
  <c r="V50" i="5"/>
  <c r="T50" i="5"/>
  <c r="P50" i="5"/>
  <c r="R50" i="5" s="1"/>
  <c r="W50" i="5"/>
  <c r="U50" i="5"/>
  <c r="S50" i="5"/>
  <c r="O50" i="5"/>
  <c r="V46" i="5"/>
  <c r="T46" i="5"/>
  <c r="P46" i="5"/>
  <c r="R46" i="5" s="1"/>
  <c r="W46" i="5"/>
  <c r="U46" i="5"/>
  <c r="S46" i="5"/>
  <c r="O46" i="5"/>
  <c r="V42" i="5"/>
  <c r="T42" i="5"/>
  <c r="P42" i="5"/>
  <c r="R42" i="5" s="1"/>
  <c r="W42" i="5"/>
  <c r="U42" i="5"/>
  <c r="S42" i="5"/>
  <c r="O42" i="5"/>
  <c r="V38" i="5"/>
  <c r="T38" i="5"/>
  <c r="P38" i="5"/>
  <c r="R38" i="5" s="1"/>
  <c r="W38" i="5"/>
  <c r="U38" i="5"/>
  <c r="S38" i="5"/>
  <c r="O38" i="5"/>
  <c r="C8" i="5"/>
  <c r="D8" i="5" s="1"/>
  <c r="AB10" i="5"/>
  <c r="AB14" i="5"/>
  <c r="AB18" i="5"/>
  <c r="AB22" i="5"/>
  <c r="AB26" i="5"/>
  <c r="AB30" i="5"/>
  <c r="AB34" i="5"/>
  <c r="AB38" i="5"/>
  <c r="AB42" i="5"/>
  <c r="AB46" i="5"/>
  <c r="AB50" i="5"/>
  <c r="AB54" i="5"/>
  <c r="AB58" i="5"/>
  <c r="AB62" i="5"/>
  <c r="AB66" i="5"/>
  <c r="AB70" i="5"/>
  <c r="AB74" i="5"/>
  <c r="AB78" i="5"/>
  <c r="AB82" i="5"/>
  <c r="AB86" i="5"/>
  <c r="AB90" i="5"/>
  <c r="AB94" i="5"/>
  <c r="AB98" i="5"/>
  <c r="AB102" i="5"/>
  <c r="AB106" i="5"/>
  <c r="AB110" i="5"/>
  <c r="AB114" i="5"/>
  <c r="AB118" i="5"/>
  <c r="AB122" i="5"/>
  <c r="AB126" i="5"/>
  <c r="AB130" i="5"/>
  <c r="AB134" i="5"/>
  <c r="AB138" i="5"/>
  <c r="AB142" i="5"/>
  <c r="AB146" i="5"/>
  <c r="AB150" i="5"/>
  <c r="AB154" i="5"/>
  <c r="AB158" i="5"/>
  <c r="AB162" i="5"/>
  <c r="AB166" i="5"/>
  <c r="AB170" i="5"/>
  <c r="AB174" i="5"/>
  <c r="AB178" i="5"/>
  <c r="AB182" i="5"/>
  <c r="AB186" i="5"/>
  <c r="AB190" i="5"/>
  <c r="AB194" i="5"/>
  <c r="AB198" i="5"/>
  <c r="AB202" i="5"/>
  <c r="AB206" i="5"/>
  <c r="AB210" i="5"/>
  <c r="AB214" i="5"/>
  <c r="AB218" i="5"/>
  <c r="AB222" i="5"/>
  <c r="AB226" i="5"/>
  <c r="AB230" i="5"/>
  <c r="AB234" i="5"/>
  <c r="AB238" i="5"/>
  <c r="AB242" i="5"/>
  <c r="AB246" i="5"/>
  <c r="AB250" i="5"/>
  <c r="AB254" i="5"/>
  <c r="AB258" i="5"/>
  <c r="AB262" i="5"/>
  <c r="AB266" i="5"/>
  <c r="AB270" i="5"/>
  <c r="AB274" i="5"/>
  <c r="AB278" i="5"/>
  <c r="AB282" i="5"/>
  <c r="AB286" i="5"/>
  <c r="AB290" i="5"/>
  <c r="AB294" i="5"/>
  <c r="AB298" i="5"/>
  <c r="AB302" i="5"/>
  <c r="AB306" i="5"/>
  <c r="AB310" i="5"/>
  <c r="AB314" i="5"/>
  <c r="AB318" i="5"/>
  <c r="AB322" i="5"/>
  <c r="AB326" i="5"/>
  <c r="AB330" i="5"/>
  <c r="AB334" i="5"/>
  <c r="AB338" i="5"/>
  <c r="AB342" i="5"/>
  <c r="AB346" i="5"/>
  <c r="AB350" i="5"/>
  <c r="AB354" i="5"/>
  <c r="AB358" i="5"/>
  <c r="AB362" i="5"/>
  <c r="AB366" i="5"/>
  <c r="AB370" i="5"/>
  <c r="AB374" i="5"/>
  <c r="AB378" i="5"/>
  <c r="AB382" i="5"/>
  <c r="AB386" i="5"/>
  <c r="AB9" i="5"/>
  <c r="AB13" i="5"/>
  <c r="AB17" i="5"/>
  <c r="AB21" i="5"/>
  <c r="AB25" i="5"/>
  <c r="AB29" i="5"/>
  <c r="AB33" i="5"/>
  <c r="AB37" i="5"/>
  <c r="AB41" i="5"/>
  <c r="AB45" i="5"/>
  <c r="AB49" i="5"/>
  <c r="AB53" i="5"/>
  <c r="AB57" i="5"/>
  <c r="AB61" i="5"/>
  <c r="AB65" i="5"/>
  <c r="AB69" i="5"/>
  <c r="AB73" i="5"/>
  <c r="AB77" i="5"/>
  <c r="AB81" i="5"/>
  <c r="AB85" i="5"/>
  <c r="AB89" i="5"/>
  <c r="AB93" i="5"/>
  <c r="AB97" i="5"/>
  <c r="AB101" i="5"/>
  <c r="AB105" i="5"/>
  <c r="AB109" i="5"/>
  <c r="AB113" i="5"/>
  <c r="AB117" i="5"/>
  <c r="AB121" i="5"/>
  <c r="AB125" i="5"/>
  <c r="AB129" i="5"/>
  <c r="AB133" i="5"/>
  <c r="AB137" i="5"/>
  <c r="AB141" i="5"/>
  <c r="AB145" i="5"/>
  <c r="AB149" i="5"/>
  <c r="AB153" i="5"/>
  <c r="AB157" i="5"/>
  <c r="AB161" i="5"/>
  <c r="AB165" i="5"/>
  <c r="AB169" i="5"/>
  <c r="AB173" i="5"/>
  <c r="AB177" i="5"/>
  <c r="AB181" i="5"/>
  <c r="AB185" i="5"/>
  <c r="AB189" i="5"/>
  <c r="AB193" i="5"/>
  <c r="AB197" i="5"/>
  <c r="AB201" i="5"/>
  <c r="AB205" i="5"/>
  <c r="AB209" i="5"/>
  <c r="AB213" i="5"/>
  <c r="AB217" i="5"/>
  <c r="AB221" i="5"/>
  <c r="AB225" i="5"/>
  <c r="AB229" i="5"/>
  <c r="AB233" i="5"/>
  <c r="AB237" i="5"/>
  <c r="AB241" i="5"/>
  <c r="AB245" i="5"/>
  <c r="AB249" i="5"/>
  <c r="AB253" i="5"/>
  <c r="AB257" i="5"/>
  <c r="AB261" i="5"/>
  <c r="AB265" i="5"/>
  <c r="AB269" i="5"/>
  <c r="AB273" i="5"/>
  <c r="AB277" i="5"/>
  <c r="AB281" i="5"/>
  <c r="AB285" i="5"/>
  <c r="AB289" i="5"/>
  <c r="AB293" i="5"/>
  <c r="AB297" i="5"/>
  <c r="AB301" i="5"/>
  <c r="AB305" i="5"/>
  <c r="AB309" i="5"/>
  <c r="AB313" i="5"/>
  <c r="AB317" i="5"/>
  <c r="AB321" i="5"/>
  <c r="AB325" i="5"/>
  <c r="AB329" i="5"/>
  <c r="AB333" i="5"/>
  <c r="AB337" i="5"/>
  <c r="AB341" i="5"/>
  <c r="AB345" i="5"/>
  <c r="AB349" i="5"/>
  <c r="AB353" i="5"/>
  <c r="AB357" i="5"/>
  <c r="AB361" i="5"/>
  <c r="AB365" i="5"/>
  <c r="AB369" i="5"/>
  <c r="AB373" i="5"/>
  <c r="AB377" i="5"/>
  <c r="AB381" i="5"/>
  <c r="AB385" i="5"/>
  <c r="AB388" i="5"/>
  <c r="AB392" i="5"/>
  <c r="AB396" i="5"/>
  <c r="AB400" i="5"/>
  <c r="AB404" i="5"/>
  <c r="AB408" i="5"/>
  <c r="AB412" i="5"/>
  <c r="AB416" i="5"/>
  <c r="AB420" i="5"/>
  <c r="AB424" i="5"/>
  <c r="AB428" i="5"/>
  <c r="AB432" i="5"/>
  <c r="AB436" i="5"/>
  <c r="AB440" i="5"/>
  <c r="AB444" i="5"/>
  <c r="AB448" i="5"/>
  <c r="AB452" i="5"/>
  <c r="AB456" i="5"/>
  <c r="AB460" i="5"/>
  <c r="AB464" i="5"/>
  <c r="AB391" i="5"/>
  <c r="AB395" i="5"/>
  <c r="AB399" i="5"/>
  <c r="AB403" i="5"/>
  <c r="AB407" i="5"/>
  <c r="AB411" i="5"/>
  <c r="AB415" i="5"/>
  <c r="AB419" i="5"/>
  <c r="AB423" i="5"/>
  <c r="AB427" i="5"/>
  <c r="AB431" i="5"/>
  <c r="AB435" i="5"/>
  <c r="AB439" i="5"/>
  <c r="AB443" i="5"/>
  <c r="AB447" i="5"/>
  <c r="AB451" i="5"/>
  <c r="AB455" i="5"/>
  <c r="AB459" i="5"/>
  <c r="AB463" i="5"/>
  <c r="AB467" i="5"/>
  <c r="AB471" i="5"/>
  <c r="AB475" i="5"/>
  <c r="AB479" i="5"/>
  <c r="AB483" i="5"/>
  <c r="AB487" i="5"/>
  <c r="AB491" i="5"/>
  <c r="AB495" i="5"/>
  <c r="AB499" i="5"/>
  <c r="AB503" i="5"/>
  <c r="AB507" i="5"/>
  <c r="AB511" i="5"/>
  <c r="AB515" i="5"/>
  <c r="AB519" i="5"/>
  <c r="AB523" i="5"/>
  <c r="AB527" i="5"/>
  <c r="AB531" i="5"/>
  <c r="AB535" i="5"/>
  <c r="AB539" i="5"/>
  <c r="AB543" i="5"/>
  <c r="AB547" i="5"/>
  <c r="AB551" i="5"/>
  <c r="AB555" i="5"/>
  <c r="AB559" i="5"/>
  <c r="AB563" i="5"/>
  <c r="AB567" i="5"/>
  <c r="AB571" i="5"/>
  <c r="AB575" i="5"/>
  <c r="AB579" i="5"/>
  <c r="AB583" i="5"/>
  <c r="AB587" i="5"/>
  <c r="AB591" i="5"/>
  <c r="AB595" i="5"/>
  <c r="AB599" i="5"/>
  <c r="AB603" i="5"/>
  <c r="AB607" i="5"/>
  <c r="AB611" i="5"/>
  <c r="AB615" i="5"/>
  <c r="AB619" i="5"/>
  <c r="AB623" i="5"/>
  <c r="AB627" i="5"/>
  <c r="AB631" i="5"/>
  <c r="AB635" i="5"/>
  <c r="AB639" i="5"/>
  <c r="AB643" i="5"/>
  <c r="AB647" i="5"/>
  <c r="AB651" i="5"/>
  <c r="AB655" i="5"/>
  <c r="AB659" i="5"/>
  <c r="AB663" i="5"/>
  <c r="AB667" i="5"/>
  <c r="AB671" i="5"/>
  <c r="AB675" i="5"/>
  <c r="AB679" i="5"/>
  <c r="AB683" i="5"/>
  <c r="AB687" i="5"/>
  <c r="AB691" i="5"/>
  <c r="AB695" i="5"/>
  <c r="AB699" i="5"/>
  <c r="AB703" i="5"/>
  <c r="AB707" i="5"/>
  <c r="AB711" i="5"/>
  <c r="AB715" i="5"/>
  <c r="AB719" i="5"/>
  <c r="AB723" i="5"/>
  <c r="AB727" i="5"/>
  <c r="AB731" i="5"/>
  <c r="AB735" i="5"/>
  <c r="AB739" i="5"/>
  <c r="AB743" i="5"/>
  <c r="AB747" i="5"/>
  <c r="AB751" i="5"/>
  <c r="AB755" i="5"/>
  <c r="AB759" i="5"/>
  <c r="AB763" i="5"/>
  <c r="AB767" i="5"/>
  <c r="AB771" i="5"/>
  <c r="AB775" i="5"/>
  <c r="AB779" i="5"/>
  <c r="AB783" i="5"/>
  <c r="AB787" i="5"/>
  <c r="AB791" i="5"/>
  <c r="AB795" i="5"/>
  <c r="AB799" i="5"/>
  <c r="AB803" i="5"/>
  <c r="AB807" i="5"/>
  <c r="AB811" i="5"/>
  <c r="AB815" i="5"/>
  <c r="AB819" i="5"/>
  <c r="AB823" i="5"/>
  <c r="AB827" i="5"/>
  <c r="AB468" i="5"/>
  <c r="AB472" i="5"/>
  <c r="AB476" i="5"/>
  <c r="AB480" i="5"/>
  <c r="AB484" i="5"/>
  <c r="AB488" i="5"/>
  <c r="AB492" i="5"/>
  <c r="AB496" i="5"/>
  <c r="AB500" i="5"/>
  <c r="AB504" i="5"/>
  <c r="AB508" i="5"/>
  <c r="AB512" i="5"/>
  <c r="AB516" i="5"/>
  <c r="AB520" i="5"/>
  <c r="AB524" i="5"/>
  <c r="AB528" i="5"/>
  <c r="AB532" i="5"/>
  <c r="AB536" i="5"/>
  <c r="AB540" i="5"/>
  <c r="AB544" i="5"/>
  <c r="AB548" i="5"/>
  <c r="AB552" i="5"/>
  <c r="AB556" i="5"/>
  <c r="AB560" i="5"/>
  <c r="AB564" i="5"/>
  <c r="AB568" i="5"/>
  <c r="AB572" i="5"/>
  <c r="AB576" i="5"/>
  <c r="AB580" i="5"/>
  <c r="AB584" i="5"/>
  <c r="AB588" i="5"/>
  <c r="AB592" i="5"/>
  <c r="AB596" i="5"/>
  <c r="AB600" i="5"/>
  <c r="AB604" i="5"/>
  <c r="AB608" i="5"/>
  <c r="AB612" i="5"/>
  <c r="AB616" i="5"/>
  <c r="AB620" i="5"/>
  <c r="AB624" i="5"/>
  <c r="AB628" i="5"/>
  <c r="AB632" i="5"/>
  <c r="AB636" i="5"/>
  <c r="AB640" i="5"/>
  <c r="AB644" i="5"/>
  <c r="AB648" i="5"/>
  <c r="AB652" i="5"/>
  <c r="AB656" i="5"/>
  <c r="AB660" i="5"/>
  <c r="AB664" i="5"/>
  <c r="AB668" i="5"/>
  <c r="AB672" i="5"/>
  <c r="AB676" i="5"/>
  <c r="AB680" i="5"/>
  <c r="AB684" i="5"/>
  <c r="AB688" i="5"/>
  <c r="AB692" i="5"/>
  <c r="AB696" i="5"/>
  <c r="AB700" i="5"/>
  <c r="AB704" i="5"/>
  <c r="AB708" i="5"/>
  <c r="AB712" i="5"/>
  <c r="AB716" i="5"/>
  <c r="AB720" i="5"/>
  <c r="AB724" i="5"/>
  <c r="AB728" i="5"/>
  <c r="AB732" i="5"/>
  <c r="AB736" i="5"/>
  <c r="AB740" i="5"/>
  <c r="AB744" i="5"/>
  <c r="AB748" i="5"/>
  <c r="AB752" i="5"/>
  <c r="AB756" i="5"/>
  <c r="AB760" i="5"/>
  <c r="AB764" i="5"/>
  <c r="AB768" i="5"/>
  <c r="AB772" i="5"/>
  <c r="AB776" i="5"/>
  <c r="AB780" i="5"/>
  <c r="AB784" i="5"/>
  <c r="AB788" i="5"/>
  <c r="AB792" i="5"/>
  <c r="AB796" i="5"/>
  <c r="AB800" i="5"/>
  <c r="AB804" i="5"/>
  <c r="AB808" i="5"/>
  <c r="AB812" i="5"/>
  <c r="AB816" i="5"/>
  <c r="AB820" i="5"/>
  <c r="AB824" i="5"/>
  <c r="AB828" i="5"/>
  <c r="AB832" i="5"/>
  <c r="AB836" i="5"/>
  <c r="AB840" i="5"/>
  <c r="AB844" i="5"/>
  <c r="AB848" i="5"/>
  <c r="AB852" i="5"/>
  <c r="AB856" i="5"/>
  <c r="AB860" i="5"/>
  <c r="AB864" i="5"/>
  <c r="AB868" i="5"/>
  <c r="AB872" i="5"/>
  <c r="AB876" i="5"/>
  <c r="AB880" i="5"/>
  <c r="AB884" i="5"/>
  <c r="AB888" i="5"/>
  <c r="AB892" i="5"/>
  <c r="AB896" i="5"/>
  <c r="AB900" i="5"/>
  <c r="AB904" i="5"/>
  <c r="AB908" i="5"/>
  <c r="AB912" i="5"/>
  <c r="AB916" i="5"/>
  <c r="AB920" i="5"/>
  <c r="AB924" i="5"/>
  <c r="AB928" i="5"/>
  <c r="AB932" i="5"/>
  <c r="AB936" i="5"/>
  <c r="AB940" i="5"/>
  <c r="AB944" i="5"/>
  <c r="AB948" i="5"/>
  <c r="AB952" i="5"/>
  <c r="AB956" i="5"/>
  <c r="AB960" i="5"/>
  <c r="AB964" i="5"/>
  <c r="AB968" i="5"/>
  <c r="AB831" i="5"/>
  <c r="AB835" i="5"/>
  <c r="AB839" i="5"/>
  <c r="AB843" i="5"/>
  <c r="AB847" i="5"/>
  <c r="AB851" i="5"/>
  <c r="AB855" i="5"/>
  <c r="AB859" i="5"/>
  <c r="AB863" i="5"/>
  <c r="AB867" i="5"/>
  <c r="AB871" i="5"/>
  <c r="AB875" i="5"/>
  <c r="AB879" i="5"/>
  <c r="AB883" i="5"/>
  <c r="AB887" i="5"/>
  <c r="AB891" i="5"/>
  <c r="AB895" i="5"/>
  <c r="AB899" i="5"/>
  <c r="AB903" i="5"/>
  <c r="AB907" i="5"/>
  <c r="AB911" i="5"/>
  <c r="AB915" i="5"/>
  <c r="AB919" i="5"/>
  <c r="AB923" i="5"/>
  <c r="AB927" i="5"/>
  <c r="AB931" i="5"/>
  <c r="AB935" i="5"/>
  <c r="AB939" i="5"/>
  <c r="AB943" i="5"/>
  <c r="AB947" i="5"/>
  <c r="AB951" i="5"/>
  <c r="AB955" i="5"/>
  <c r="AB959" i="5"/>
  <c r="AB963" i="5"/>
  <c r="AB967" i="5"/>
  <c r="AB972" i="5"/>
  <c r="AB976" i="5"/>
  <c r="AB980" i="5"/>
  <c r="AB984" i="5"/>
  <c r="AB988" i="5"/>
  <c r="AB992" i="5"/>
  <c r="AB996" i="5"/>
  <c r="AB1000" i="5"/>
  <c r="AB1004" i="5"/>
  <c r="AB971" i="5"/>
  <c r="AB975" i="5"/>
  <c r="AB979" i="5"/>
  <c r="AB983" i="5"/>
  <c r="AB987" i="5"/>
  <c r="AB991" i="5"/>
  <c r="AB995" i="5"/>
  <c r="AB999" i="5"/>
  <c r="AB1003" i="5"/>
  <c r="R26" i="5"/>
  <c r="S26" i="5" s="1"/>
  <c r="R24" i="5"/>
  <c r="S24" i="5" s="1"/>
  <c r="R22" i="5"/>
  <c r="S22" i="5" s="1"/>
  <c r="R20" i="5"/>
  <c r="S20" i="5" s="1"/>
  <c r="R18" i="5"/>
  <c r="S18" i="5" s="1"/>
  <c r="R16" i="5"/>
  <c r="S16" i="5" s="1"/>
  <c r="R14" i="5"/>
  <c r="S14" i="5" s="1"/>
  <c r="R12" i="5"/>
  <c r="S12" i="5" s="1"/>
  <c r="R10" i="5"/>
  <c r="S10" i="5" s="1"/>
  <c r="R8" i="5"/>
  <c r="S8" i="5" s="1"/>
  <c r="R6" i="5"/>
  <c r="S6" i="5" s="1"/>
  <c r="C1005" i="5"/>
  <c r="D1005" i="5" s="1"/>
  <c r="K1008" i="1"/>
  <c r="C1001" i="5"/>
  <c r="D1001" i="5" s="1"/>
  <c r="K1004" i="1"/>
  <c r="C997" i="5"/>
  <c r="D997" i="5" s="1"/>
  <c r="K1000" i="1"/>
  <c r="C993" i="5"/>
  <c r="D993" i="5" s="1"/>
  <c r="K996" i="1"/>
  <c r="C989" i="5"/>
  <c r="D989" i="5" s="1"/>
  <c r="K992" i="1"/>
  <c r="C985" i="5"/>
  <c r="D985" i="5" s="1"/>
  <c r="K988" i="1"/>
  <c r="C981" i="5"/>
  <c r="D981" i="5" s="1"/>
  <c r="K984" i="1"/>
  <c r="C977" i="5"/>
  <c r="D977" i="5" s="1"/>
  <c r="K980" i="1"/>
  <c r="C971" i="5"/>
  <c r="D971" i="5" s="1"/>
  <c r="K974" i="1"/>
  <c r="C932" i="5"/>
  <c r="D932" i="5" s="1"/>
  <c r="K935" i="1"/>
  <c r="C928" i="5"/>
  <c r="D928" i="5" s="1"/>
  <c r="K931" i="1"/>
  <c r="C924" i="5"/>
  <c r="D924" i="5" s="1"/>
  <c r="K927" i="1"/>
  <c r="C920" i="5"/>
  <c r="D920" i="5" s="1"/>
  <c r="K923" i="1"/>
  <c r="C916" i="5"/>
  <c r="D916" i="5" s="1"/>
  <c r="K919" i="1"/>
  <c r="C912" i="5"/>
  <c r="D912" i="5" s="1"/>
  <c r="K915" i="1"/>
  <c r="C908" i="5"/>
  <c r="D908" i="5" s="1"/>
  <c r="K911" i="1"/>
  <c r="C904" i="5"/>
  <c r="D904" i="5" s="1"/>
  <c r="K907" i="1"/>
  <c r="C900" i="5"/>
  <c r="D900" i="5" s="1"/>
  <c r="K903" i="1"/>
  <c r="C896" i="5"/>
  <c r="D896" i="5" s="1"/>
  <c r="K899" i="1"/>
  <c r="C892" i="5"/>
  <c r="D892" i="5" s="1"/>
  <c r="K895" i="1"/>
  <c r="C888" i="5"/>
  <c r="D888" i="5" s="1"/>
  <c r="K891" i="1"/>
  <c r="C884" i="5"/>
  <c r="D884" i="5" s="1"/>
  <c r="K887" i="1"/>
  <c r="C880" i="5"/>
  <c r="D880" i="5" s="1"/>
  <c r="K883" i="1"/>
  <c r="C876" i="5"/>
  <c r="D876" i="5" s="1"/>
  <c r="K879" i="1"/>
  <c r="C872" i="5"/>
  <c r="D872" i="5" s="1"/>
  <c r="K875" i="1"/>
  <c r="C868" i="5"/>
  <c r="D868" i="5" s="1"/>
  <c r="K871" i="1"/>
  <c r="C864" i="5"/>
  <c r="D864" i="5" s="1"/>
  <c r="K867" i="1"/>
  <c r="C860" i="5"/>
  <c r="D860" i="5" s="1"/>
  <c r="K863" i="1"/>
  <c r="C856" i="5"/>
  <c r="D856" i="5" s="1"/>
  <c r="K859" i="1"/>
  <c r="C852" i="5"/>
  <c r="D852" i="5" s="1"/>
  <c r="K855" i="1"/>
  <c r="C848" i="5"/>
  <c r="D848" i="5" s="1"/>
  <c r="K851" i="1"/>
  <c r="C844" i="5"/>
  <c r="D844" i="5" s="1"/>
  <c r="K847" i="1"/>
  <c r="C840" i="5"/>
  <c r="D840" i="5" s="1"/>
  <c r="K843" i="1"/>
  <c r="C836" i="5"/>
  <c r="D836" i="5" s="1"/>
  <c r="K839" i="1"/>
  <c r="C832" i="5"/>
  <c r="D832" i="5" s="1"/>
  <c r="K835" i="1"/>
  <c r="C828" i="5"/>
  <c r="D828" i="5" s="1"/>
  <c r="K831" i="1"/>
  <c r="C826" i="5"/>
  <c r="D826" i="5" s="1"/>
  <c r="K829" i="1"/>
  <c r="C822" i="5"/>
  <c r="D822" i="5" s="1"/>
  <c r="K825" i="1"/>
  <c r="C818" i="5"/>
  <c r="D818" i="5" s="1"/>
  <c r="K821" i="1"/>
  <c r="C814" i="5"/>
  <c r="D814" i="5" s="1"/>
  <c r="K817" i="1"/>
  <c r="C810" i="5"/>
  <c r="D810" i="5" s="1"/>
  <c r="K813" i="1"/>
  <c r="C806" i="5"/>
  <c r="D806" i="5" s="1"/>
  <c r="K809" i="1"/>
  <c r="C802" i="5"/>
  <c r="D802" i="5" s="1"/>
  <c r="K805" i="1"/>
  <c r="C798" i="5"/>
  <c r="D798" i="5" s="1"/>
  <c r="K801" i="1"/>
  <c r="C794" i="5"/>
  <c r="D794" i="5" s="1"/>
  <c r="K797" i="1"/>
  <c r="C790" i="5"/>
  <c r="D790" i="5" s="1"/>
  <c r="K793" i="1"/>
  <c r="C786" i="5"/>
  <c r="D786" i="5" s="1"/>
  <c r="K789" i="1"/>
  <c r="C782" i="5"/>
  <c r="D782" i="5" s="1"/>
  <c r="K785" i="1"/>
  <c r="C778" i="5"/>
  <c r="D778" i="5" s="1"/>
  <c r="K781" i="1"/>
  <c r="C774" i="5"/>
  <c r="D774" i="5" s="1"/>
  <c r="K777" i="1"/>
  <c r="C770" i="5"/>
  <c r="D770" i="5" s="1"/>
  <c r="K773" i="1"/>
  <c r="C766" i="5"/>
  <c r="D766" i="5" s="1"/>
  <c r="K769" i="1"/>
  <c r="C762" i="5"/>
  <c r="D762" i="5" s="1"/>
  <c r="K765" i="1"/>
  <c r="C758" i="5"/>
  <c r="D758" i="5" s="1"/>
  <c r="K761" i="1"/>
  <c r="C754" i="5"/>
  <c r="D754" i="5" s="1"/>
  <c r="K757" i="1"/>
  <c r="C750" i="5"/>
  <c r="D750" i="5" s="1"/>
  <c r="K753" i="1"/>
  <c r="C746" i="5"/>
  <c r="D746" i="5" s="1"/>
  <c r="K749" i="1"/>
  <c r="C742" i="5"/>
  <c r="D742" i="5" s="1"/>
  <c r="K745" i="1"/>
  <c r="C738" i="5"/>
  <c r="D738" i="5" s="1"/>
  <c r="K741" i="1"/>
  <c r="C734" i="5"/>
  <c r="D734" i="5" s="1"/>
  <c r="K737" i="1"/>
  <c r="C730" i="5"/>
  <c r="D730" i="5" s="1"/>
  <c r="K733" i="1"/>
  <c r="C726" i="5"/>
  <c r="D726" i="5" s="1"/>
  <c r="K729" i="1"/>
  <c r="C722" i="5"/>
  <c r="D722" i="5" s="1"/>
  <c r="K725" i="1"/>
  <c r="C717" i="5"/>
  <c r="D717" i="5" s="1"/>
  <c r="K720" i="1"/>
  <c r="C713" i="5"/>
  <c r="D713" i="5" s="1"/>
  <c r="K716" i="1"/>
  <c r="C709" i="5"/>
  <c r="D709" i="5" s="1"/>
  <c r="K712" i="1"/>
  <c r="C705" i="5"/>
  <c r="D705" i="5" s="1"/>
  <c r="K708" i="1"/>
  <c r="C701" i="5"/>
  <c r="D701" i="5" s="1"/>
  <c r="K704" i="1"/>
  <c r="C697" i="5"/>
  <c r="D697" i="5" s="1"/>
  <c r="K700" i="1"/>
  <c r="C693" i="5"/>
  <c r="D693" i="5" s="1"/>
  <c r="K696" i="1"/>
  <c r="C689" i="5"/>
  <c r="D689" i="5" s="1"/>
  <c r="K692" i="1"/>
  <c r="C685" i="5"/>
  <c r="D685" i="5" s="1"/>
  <c r="K688" i="1"/>
  <c r="C681" i="5"/>
  <c r="D681" i="5" s="1"/>
  <c r="K684" i="1"/>
  <c r="C677" i="5"/>
  <c r="D677" i="5" s="1"/>
  <c r="K680" i="1"/>
  <c r="C673" i="5"/>
  <c r="D673" i="5" s="1"/>
  <c r="K676" i="1"/>
  <c r="C669" i="5"/>
  <c r="D669" i="5" s="1"/>
  <c r="K672" i="1"/>
  <c r="C665" i="5"/>
  <c r="D665" i="5" s="1"/>
  <c r="K668" i="1"/>
  <c r="C661" i="5"/>
  <c r="D661" i="5" s="1"/>
  <c r="K664" i="1"/>
  <c r="C657" i="5"/>
  <c r="D657" i="5" s="1"/>
  <c r="K660" i="1"/>
  <c r="C653" i="5"/>
  <c r="D653" i="5" s="1"/>
  <c r="K656" i="1"/>
  <c r="C649" i="5"/>
  <c r="D649" i="5" s="1"/>
  <c r="K652" i="1"/>
  <c r="C645" i="5"/>
  <c r="D645" i="5" s="1"/>
  <c r="K648" i="1"/>
  <c r="C641" i="5"/>
  <c r="D641" i="5" s="1"/>
  <c r="K644" i="1"/>
  <c r="C637" i="5"/>
  <c r="D637" i="5" s="1"/>
  <c r="K640" i="1"/>
  <c r="C633" i="5"/>
  <c r="D633" i="5" s="1"/>
  <c r="K636" i="1"/>
  <c r="C629" i="5"/>
  <c r="D629" i="5" s="1"/>
  <c r="K632" i="1"/>
  <c r="C625" i="5"/>
  <c r="D625" i="5" s="1"/>
  <c r="K628" i="1"/>
  <c r="C621" i="5"/>
  <c r="D621" i="5" s="1"/>
  <c r="K624" i="1"/>
  <c r="C617" i="5"/>
  <c r="D617" i="5" s="1"/>
  <c r="K620" i="1"/>
  <c r="C613" i="5"/>
  <c r="D613" i="5" s="1"/>
  <c r="K616" i="1"/>
  <c r="C609" i="5"/>
  <c r="D609" i="5" s="1"/>
  <c r="K612" i="1"/>
  <c r="C605" i="5"/>
  <c r="D605" i="5" s="1"/>
  <c r="K608" i="1"/>
  <c r="C601" i="5"/>
  <c r="D601" i="5" s="1"/>
  <c r="K604" i="1"/>
  <c r="C597" i="5"/>
  <c r="D597" i="5" s="1"/>
  <c r="K600" i="1"/>
  <c r="C593" i="5"/>
  <c r="D593" i="5" s="1"/>
  <c r="K596" i="1"/>
  <c r="C589" i="5"/>
  <c r="D589" i="5" s="1"/>
  <c r="K592" i="1"/>
  <c r="C585" i="5"/>
  <c r="D585" i="5" s="1"/>
  <c r="K588" i="1"/>
  <c r="C581" i="5"/>
  <c r="D581" i="5" s="1"/>
  <c r="K584" i="1"/>
  <c r="C577" i="5"/>
  <c r="D577" i="5" s="1"/>
  <c r="K580" i="1"/>
  <c r="C573" i="5"/>
  <c r="D573" i="5" s="1"/>
  <c r="K576" i="1"/>
  <c r="C569" i="5"/>
  <c r="D569" i="5" s="1"/>
  <c r="K572" i="1"/>
  <c r="C565" i="5"/>
  <c r="D565" i="5" s="1"/>
  <c r="K568" i="1"/>
  <c r="C561" i="5"/>
  <c r="D561" i="5" s="1"/>
  <c r="K564" i="1"/>
  <c r="C557" i="5"/>
  <c r="D557" i="5" s="1"/>
  <c r="K560" i="1"/>
  <c r="C553" i="5"/>
  <c r="D553" i="5" s="1"/>
  <c r="K556" i="1"/>
  <c r="C549" i="5"/>
  <c r="D549" i="5" s="1"/>
  <c r="K552" i="1"/>
  <c r="C545" i="5"/>
  <c r="D545" i="5" s="1"/>
  <c r="K548" i="1"/>
  <c r="C541" i="5"/>
  <c r="D541" i="5" s="1"/>
  <c r="K544" i="1"/>
  <c r="C537" i="5"/>
  <c r="D537" i="5" s="1"/>
  <c r="K540" i="1"/>
  <c r="C533" i="5"/>
  <c r="D533" i="5" s="1"/>
  <c r="K536" i="1"/>
  <c r="C529" i="5"/>
  <c r="D529" i="5" s="1"/>
  <c r="K532" i="1"/>
  <c r="C525" i="5"/>
  <c r="D525" i="5" s="1"/>
  <c r="K528" i="1"/>
  <c r="C521" i="5"/>
  <c r="D521" i="5" s="1"/>
  <c r="K524" i="1"/>
  <c r="C517" i="5"/>
  <c r="D517" i="5" s="1"/>
  <c r="K520" i="1"/>
  <c r="C513" i="5"/>
  <c r="D513" i="5" s="1"/>
  <c r="K516" i="1"/>
  <c r="C509" i="5"/>
  <c r="D509" i="5" s="1"/>
  <c r="K512" i="1"/>
  <c r="C505" i="5"/>
  <c r="D505" i="5" s="1"/>
  <c r="K508" i="1"/>
  <c r="C501" i="5"/>
  <c r="D501" i="5" s="1"/>
  <c r="K504" i="1"/>
  <c r="C497" i="5"/>
  <c r="D497" i="5" s="1"/>
  <c r="K500" i="1"/>
  <c r="C493" i="5"/>
  <c r="D493" i="5" s="1"/>
  <c r="K496" i="1"/>
  <c r="C489" i="5"/>
  <c r="D489" i="5" s="1"/>
  <c r="K492" i="1"/>
  <c r="C485" i="5"/>
  <c r="D485" i="5" s="1"/>
  <c r="K488" i="1"/>
  <c r="C481" i="5"/>
  <c r="D481" i="5" s="1"/>
  <c r="K484" i="1"/>
  <c r="C477" i="5"/>
  <c r="D477" i="5" s="1"/>
  <c r="K480" i="1"/>
  <c r="C473" i="5"/>
  <c r="D473" i="5" s="1"/>
  <c r="K476" i="1"/>
  <c r="C469" i="5"/>
  <c r="D469" i="5" s="1"/>
  <c r="K472" i="1"/>
  <c r="C1016" i="3"/>
  <c r="C1017" i="3"/>
  <c r="C1015" i="3"/>
  <c r="V2003" i="5"/>
  <c r="T2003" i="5"/>
  <c r="P2003" i="5"/>
  <c r="R2003" i="5" s="1"/>
  <c r="U2003" i="5"/>
  <c r="W2003" i="5"/>
  <c r="O2003" i="5"/>
  <c r="S2003" i="5"/>
  <c r="V1999" i="5"/>
  <c r="T1999" i="5"/>
  <c r="P1999" i="5"/>
  <c r="R1999" i="5" s="1"/>
  <c r="U1999" i="5"/>
  <c r="W1999" i="5"/>
  <c r="O1999" i="5"/>
  <c r="S1999" i="5"/>
  <c r="V1995" i="5"/>
  <c r="T1995" i="5"/>
  <c r="P1995" i="5"/>
  <c r="R1995" i="5" s="1"/>
  <c r="U1995" i="5"/>
  <c r="W1995" i="5"/>
  <c r="O1995" i="5"/>
  <c r="S1995" i="5"/>
  <c r="V1991" i="5"/>
  <c r="T1991" i="5"/>
  <c r="P1991" i="5"/>
  <c r="R1991" i="5" s="1"/>
  <c r="U1991" i="5"/>
  <c r="W1991" i="5"/>
  <c r="O1991" i="5"/>
  <c r="S1991" i="5"/>
  <c r="V1987" i="5"/>
  <c r="T1987" i="5"/>
  <c r="P1987" i="5"/>
  <c r="R1987" i="5" s="1"/>
  <c r="U1987" i="5"/>
  <c r="W1987" i="5"/>
  <c r="O1987" i="5"/>
  <c r="S1987" i="5"/>
  <c r="V1983" i="5"/>
  <c r="T1983" i="5"/>
  <c r="P1983" i="5"/>
  <c r="R1983" i="5" s="1"/>
  <c r="U1983" i="5"/>
  <c r="W1983" i="5"/>
  <c r="O1983" i="5"/>
  <c r="S1983" i="5"/>
  <c r="V1979" i="5"/>
  <c r="T1979" i="5"/>
  <c r="P1979" i="5"/>
  <c r="R1979" i="5" s="1"/>
  <c r="U1979" i="5"/>
  <c r="W1979" i="5"/>
  <c r="O1979" i="5"/>
  <c r="S1979" i="5"/>
  <c r="V1975" i="5"/>
  <c r="T1975" i="5"/>
  <c r="P1975" i="5"/>
  <c r="R1975" i="5" s="1"/>
  <c r="U1975" i="5"/>
  <c r="W1975" i="5"/>
  <c r="O1975" i="5"/>
  <c r="S1975" i="5"/>
  <c r="V1971" i="5"/>
  <c r="T1971" i="5"/>
  <c r="P1971" i="5"/>
  <c r="R1971" i="5" s="1"/>
  <c r="W1971" i="5"/>
  <c r="S1971" i="5"/>
  <c r="O1971" i="5"/>
  <c r="U1971" i="5"/>
  <c r="V1967" i="5"/>
  <c r="T1967" i="5"/>
  <c r="P1967" i="5"/>
  <c r="R1967" i="5" s="1"/>
  <c r="W1967" i="5"/>
  <c r="S1967" i="5"/>
  <c r="O1967" i="5"/>
  <c r="U1967" i="5"/>
  <c r="V1963" i="5"/>
  <c r="T1963" i="5"/>
  <c r="P1963" i="5"/>
  <c r="R1963" i="5" s="1"/>
  <c r="W1963" i="5"/>
  <c r="S1963" i="5"/>
  <c r="O1963" i="5"/>
  <c r="U1963" i="5"/>
  <c r="V1959" i="5"/>
  <c r="T1959" i="5"/>
  <c r="P1959" i="5"/>
  <c r="R1959" i="5" s="1"/>
  <c r="W1959" i="5"/>
  <c r="S1959" i="5"/>
  <c r="O1959" i="5"/>
  <c r="U1959" i="5"/>
  <c r="V1955" i="5"/>
  <c r="T1955" i="5"/>
  <c r="P1955" i="5"/>
  <c r="R1955" i="5" s="1"/>
  <c r="W1955" i="5"/>
  <c r="S1955" i="5"/>
  <c r="O1955" i="5"/>
  <c r="U1955" i="5"/>
  <c r="V1951" i="5"/>
  <c r="T1951" i="5"/>
  <c r="P1951" i="5"/>
  <c r="R1951" i="5" s="1"/>
  <c r="W1951" i="5"/>
  <c r="S1951" i="5"/>
  <c r="O1951" i="5"/>
  <c r="U1951" i="5"/>
  <c r="V1947" i="5"/>
  <c r="T1947" i="5"/>
  <c r="P1947" i="5"/>
  <c r="R1947" i="5" s="1"/>
  <c r="W1947" i="5"/>
  <c r="S1947" i="5"/>
  <c r="O1947" i="5"/>
  <c r="U1947" i="5"/>
  <c r="V1943" i="5"/>
  <c r="T1943" i="5"/>
  <c r="P1943" i="5"/>
  <c r="R1943" i="5" s="1"/>
  <c r="W1943" i="5"/>
  <c r="S1943" i="5"/>
  <c r="O1943" i="5"/>
  <c r="U1943" i="5"/>
  <c r="V1939" i="5"/>
  <c r="T1939" i="5"/>
  <c r="P1939" i="5"/>
  <c r="R1939" i="5" s="1"/>
  <c r="W1939" i="5"/>
  <c r="S1939" i="5"/>
  <c r="O1939" i="5"/>
  <c r="U1939" i="5"/>
  <c r="V1935" i="5"/>
  <c r="T1935" i="5"/>
  <c r="P1935" i="5"/>
  <c r="R1935" i="5" s="1"/>
  <c r="W1935" i="5"/>
  <c r="S1935" i="5"/>
  <c r="O1935" i="5"/>
  <c r="U1935" i="5"/>
  <c r="V1931" i="5"/>
  <c r="T1931" i="5"/>
  <c r="P1931" i="5"/>
  <c r="R1931" i="5" s="1"/>
  <c r="W1931" i="5"/>
  <c r="S1931" i="5"/>
  <c r="O1931" i="5"/>
  <c r="U1931" i="5"/>
  <c r="V1927" i="5"/>
  <c r="T1927" i="5"/>
  <c r="P1927" i="5"/>
  <c r="R1927" i="5" s="1"/>
  <c r="W1927" i="5"/>
  <c r="S1927" i="5"/>
  <c r="O1927" i="5"/>
  <c r="U1927" i="5"/>
  <c r="V1923" i="5"/>
  <c r="T1923" i="5"/>
  <c r="P1923" i="5"/>
  <c r="R1923" i="5" s="1"/>
  <c r="W1923" i="5"/>
  <c r="S1923" i="5"/>
  <c r="O1923" i="5"/>
  <c r="U1923" i="5"/>
  <c r="W1919" i="5"/>
  <c r="U1919" i="5"/>
  <c r="S1919" i="5"/>
  <c r="O1919" i="5"/>
  <c r="V1919" i="5"/>
  <c r="P1919" i="5"/>
  <c r="R1919" i="5" s="1"/>
  <c r="T1919" i="5"/>
  <c r="W1915" i="5"/>
  <c r="U1915" i="5"/>
  <c r="S1915" i="5"/>
  <c r="O1915" i="5"/>
  <c r="V1915" i="5"/>
  <c r="P1915" i="5"/>
  <c r="R1915" i="5" s="1"/>
  <c r="T1915" i="5"/>
  <c r="W1911" i="5"/>
  <c r="U1911" i="5"/>
  <c r="S1911" i="5"/>
  <c r="O1911" i="5"/>
  <c r="V1911" i="5"/>
  <c r="P1911" i="5"/>
  <c r="R1911" i="5" s="1"/>
  <c r="T1911" i="5"/>
  <c r="W1907" i="5"/>
  <c r="U1907" i="5"/>
  <c r="S1907" i="5"/>
  <c r="O1907" i="5"/>
  <c r="V1907" i="5"/>
  <c r="P1907" i="5"/>
  <c r="R1907" i="5" s="1"/>
  <c r="T1907" i="5"/>
  <c r="W1903" i="5"/>
  <c r="U1903" i="5"/>
  <c r="S1903" i="5"/>
  <c r="O1903" i="5"/>
  <c r="V1903" i="5"/>
  <c r="P1903" i="5"/>
  <c r="R1903" i="5" s="1"/>
  <c r="T1903" i="5"/>
  <c r="W1899" i="5"/>
  <c r="U1899" i="5"/>
  <c r="S1899" i="5"/>
  <c r="O1899" i="5"/>
  <c r="V1899" i="5"/>
  <c r="P1899" i="5"/>
  <c r="R1899" i="5" s="1"/>
  <c r="T1899" i="5"/>
  <c r="W1895" i="5"/>
  <c r="U1895" i="5"/>
  <c r="S1895" i="5"/>
  <c r="O1895" i="5"/>
  <c r="V1895" i="5"/>
  <c r="P1895" i="5"/>
  <c r="R1895" i="5" s="1"/>
  <c r="T1895" i="5"/>
  <c r="W1891" i="5"/>
  <c r="U1891" i="5"/>
  <c r="S1891" i="5"/>
  <c r="O1891" i="5"/>
  <c r="V1891" i="5"/>
  <c r="P1891" i="5"/>
  <c r="R1891" i="5" s="1"/>
  <c r="T1891" i="5"/>
  <c r="W1887" i="5"/>
  <c r="U1887" i="5"/>
  <c r="S1887" i="5"/>
  <c r="O1887" i="5"/>
  <c r="V1887" i="5"/>
  <c r="P1887" i="5"/>
  <c r="R1887" i="5" s="1"/>
  <c r="T1887" i="5"/>
  <c r="W1883" i="5"/>
  <c r="U1883" i="5"/>
  <c r="S1883" i="5"/>
  <c r="O1883" i="5"/>
  <c r="V1883" i="5"/>
  <c r="P1883" i="5"/>
  <c r="R1883" i="5" s="1"/>
  <c r="T1883" i="5"/>
  <c r="W1879" i="5"/>
  <c r="U1879" i="5"/>
  <c r="S1879" i="5"/>
  <c r="O1879" i="5"/>
  <c r="V1879" i="5"/>
  <c r="P1879" i="5"/>
  <c r="R1879" i="5" s="1"/>
  <c r="T1879" i="5"/>
  <c r="W1875" i="5"/>
  <c r="U1875" i="5"/>
  <c r="S1875" i="5"/>
  <c r="O1875" i="5"/>
  <c r="V1875" i="5"/>
  <c r="P1875" i="5"/>
  <c r="R1875" i="5" s="1"/>
  <c r="T1875" i="5"/>
  <c r="W1871" i="5"/>
  <c r="U1871" i="5"/>
  <c r="S1871" i="5"/>
  <c r="O1871" i="5"/>
  <c r="V1871" i="5"/>
  <c r="P1871" i="5"/>
  <c r="R1871" i="5" s="1"/>
  <c r="T1871" i="5"/>
  <c r="W1867" i="5"/>
  <c r="U1867" i="5"/>
  <c r="S1867" i="5"/>
  <c r="O1867" i="5"/>
  <c r="V1867" i="5"/>
  <c r="P1867" i="5"/>
  <c r="R1867" i="5" s="1"/>
  <c r="T1867" i="5"/>
  <c r="W1863" i="5"/>
  <c r="U1863" i="5"/>
  <c r="S1863" i="5"/>
  <c r="O1863" i="5"/>
  <c r="V1863" i="5"/>
  <c r="P1863" i="5"/>
  <c r="R1863" i="5" s="1"/>
  <c r="T1863" i="5"/>
  <c r="W1859" i="5"/>
  <c r="U1859" i="5"/>
  <c r="S1859" i="5"/>
  <c r="O1859" i="5"/>
  <c r="V1859" i="5"/>
  <c r="P1859" i="5"/>
  <c r="R1859" i="5" s="1"/>
  <c r="T1859" i="5"/>
  <c r="W1855" i="5"/>
  <c r="U1855" i="5"/>
  <c r="S1855" i="5"/>
  <c r="O1855" i="5"/>
  <c r="V1855" i="5"/>
  <c r="P1855" i="5"/>
  <c r="R1855" i="5" s="1"/>
  <c r="T1855" i="5"/>
  <c r="W1851" i="5"/>
  <c r="U1851" i="5"/>
  <c r="S1851" i="5"/>
  <c r="O1851" i="5"/>
  <c r="V1851" i="5"/>
  <c r="P1851" i="5"/>
  <c r="R1851" i="5" s="1"/>
  <c r="T1851" i="5"/>
  <c r="W1847" i="5"/>
  <c r="U1847" i="5"/>
  <c r="S1847" i="5"/>
  <c r="O1847" i="5"/>
  <c r="V1847" i="5"/>
  <c r="P1847" i="5"/>
  <c r="R1847" i="5" s="1"/>
  <c r="T1847" i="5"/>
  <c r="W1843" i="5"/>
  <c r="U1843" i="5"/>
  <c r="S1843" i="5"/>
  <c r="O1843" i="5"/>
  <c r="V1843" i="5"/>
  <c r="P1843" i="5"/>
  <c r="R1843" i="5" s="1"/>
  <c r="T1843" i="5"/>
  <c r="W1839" i="5"/>
  <c r="U1839" i="5"/>
  <c r="S1839" i="5"/>
  <c r="O1839" i="5"/>
  <c r="V1839" i="5"/>
  <c r="P1839" i="5"/>
  <c r="R1839" i="5" s="1"/>
  <c r="T1839" i="5"/>
  <c r="W1835" i="5"/>
  <c r="U1835" i="5"/>
  <c r="S1835" i="5"/>
  <c r="O1835" i="5"/>
  <c r="V1835" i="5"/>
  <c r="P1835" i="5"/>
  <c r="R1835" i="5" s="1"/>
  <c r="T1835" i="5"/>
  <c r="W1831" i="5"/>
  <c r="U1831" i="5"/>
  <c r="S1831" i="5"/>
  <c r="O1831" i="5"/>
  <c r="V1831" i="5"/>
  <c r="P1831" i="5"/>
  <c r="R1831" i="5" s="1"/>
  <c r="T1831" i="5"/>
  <c r="W1827" i="5"/>
  <c r="U1827" i="5"/>
  <c r="S1827" i="5"/>
  <c r="O1827" i="5"/>
  <c r="V1827" i="5"/>
  <c r="P1827" i="5"/>
  <c r="R1827" i="5" s="1"/>
  <c r="T1827" i="5"/>
  <c r="W1823" i="5"/>
  <c r="U1823" i="5"/>
  <c r="S1823" i="5"/>
  <c r="O1823" i="5"/>
  <c r="V1823" i="5"/>
  <c r="P1823" i="5"/>
  <c r="R1823" i="5" s="1"/>
  <c r="T1823" i="5"/>
  <c r="W1819" i="5"/>
  <c r="U1819" i="5"/>
  <c r="S1819" i="5"/>
  <c r="O1819" i="5"/>
  <c r="V1819" i="5"/>
  <c r="P1819" i="5"/>
  <c r="R1819" i="5" s="1"/>
  <c r="T1819" i="5"/>
  <c r="W1815" i="5"/>
  <c r="U1815" i="5"/>
  <c r="S1815" i="5"/>
  <c r="O1815" i="5"/>
  <c r="T1815" i="5"/>
  <c r="P1815" i="5"/>
  <c r="R1815" i="5" s="1"/>
  <c r="V1815" i="5"/>
  <c r="W1811" i="5"/>
  <c r="U1811" i="5"/>
  <c r="S1811" i="5"/>
  <c r="O1811" i="5"/>
  <c r="T1811" i="5"/>
  <c r="P1811" i="5"/>
  <c r="R1811" i="5" s="1"/>
  <c r="V1811" i="5"/>
  <c r="W1807" i="5"/>
  <c r="U1807" i="5"/>
  <c r="S1807" i="5"/>
  <c r="O1807" i="5"/>
  <c r="T1807" i="5"/>
  <c r="P1807" i="5"/>
  <c r="R1807" i="5" s="1"/>
  <c r="V1807" i="5"/>
  <c r="W1803" i="5"/>
  <c r="U1803" i="5"/>
  <c r="S1803" i="5"/>
  <c r="O1803" i="5"/>
  <c r="T1803" i="5"/>
  <c r="P1803" i="5"/>
  <c r="R1803" i="5" s="1"/>
  <c r="V1803" i="5"/>
  <c r="W1799" i="5"/>
  <c r="U1799" i="5"/>
  <c r="S1799" i="5"/>
  <c r="O1799" i="5"/>
  <c r="T1799" i="5"/>
  <c r="P1799" i="5"/>
  <c r="R1799" i="5" s="1"/>
  <c r="V1799" i="5"/>
  <c r="W1795" i="5"/>
  <c r="U1795" i="5"/>
  <c r="S1795" i="5"/>
  <c r="O1795" i="5"/>
  <c r="T1795" i="5"/>
  <c r="P1795" i="5"/>
  <c r="R1795" i="5" s="1"/>
  <c r="V1795" i="5"/>
  <c r="W1791" i="5"/>
  <c r="U1791" i="5"/>
  <c r="S1791" i="5"/>
  <c r="O1791" i="5"/>
  <c r="T1791" i="5"/>
  <c r="P1791" i="5"/>
  <c r="R1791" i="5" s="1"/>
  <c r="V1791" i="5"/>
  <c r="W1787" i="5"/>
  <c r="U1787" i="5"/>
  <c r="S1787" i="5"/>
  <c r="O1787" i="5"/>
  <c r="T1787" i="5"/>
  <c r="P1787" i="5"/>
  <c r="R1787" i="5" s="1"/>
  <c r="V1787" i="5"/>
  <c r="W1783" i="5"/>
  <c r="U1783" i="5"/>
  <c r="S1783" i="5"/>
  <c r="O1783" i="5"/>
  <c r="T1783" i="5"/>
  <c r="P1783" i="5"/>
  <c r="R1783" i="5" s="1"/>
  <c r="V1783" i="5"/>
  <c r="W1779" i="5"/>
  <c r="U1779" i="5"/>
  <c r="S1779" i="5"/>
  <c r="O1779" i="5"/>
  <c r="T1779" i="5"/>
  <c r="P1779" i="5"/>
  <c r="R1779" i="5" s="1"/>
  <c r="V1779" i="5"/>
  <c r="W1775" i="5"/>
  <c r="U1775" i="5"/>
  <c r="S1775" i="5"/>
  <c r="O1775" i="5"/>
  <c r="T1775" i="5"/>
  <c r="P1775" i="5"/>
  <c r="R1775" i="5" s="1"/>
  <c r="V1775" i="5"/>
  <c r="W1771" i="5"/>
  <c r="U1771" i="5"/>
  <c r="S1771" i="5"/>
  <c r="O1771" i="5"/>
  <c r="T1771" i="5"/>
  <c r="P1771" i="5"/>
  <c r="R1771" i="5" s="1"/>
  <c r="V1771" i="5"/>
  <c r="W1767" i="5"/>
  <c r="U1767" i="5"/>
  <c r="S1767" i="5"/>
  <c r="O1767" i="5"/>
  <c r="T1767" i="5"/>
  <c r="P1767" i="5"/>
  <c r="R1767" i="5" s="1"/>
  <c r="V1767" i="5"/>
  <c r="W1763" i="5"/>
  <c r="U1763" i="5"/>
  <c r="S1763" i="5"/>
  <c r="O1763" i="5"/>
  <c r="T1763" i="5"/>
  <c r="P1763" i="5"/>
  <c r="R1763" i="5" s="1"/>
  <c r="V1763" i="5"/>
  <c r="W1759" i="5"/>
  <c r="U1759" i="5"/>
  <c r="S1759" i="5"/>
  <c r="O1759" i="5"/>
  <c r="T1759" i="5"/>
  <c r="P1759" i="5"/>
  <c r="R1759" i="5" s="1"/>
  <c r="V1759" i="5"/>
  <c r="W1755" i="5"/>
  <c r="U1755" i="5"/>
  <c r="S1755" i="5"/>
  <c r="O1755" i="5"/>
  <c r="T1755" i="5"/>
  <c r="P1755" i="5"/>
  <c r="R1755" i="5" s="1"/>
  <c r="V1755" i="5"/>
  <c r="W1751" i="5"/>
  <c r="U1751" i="5"/>
  <c r="S1751" i="5"/>
  <c r="O1751" i="5"/>
  <c r="T1751" i="5"/>
  <c r="P1751" i="5"/>
  <c r="R1751" i="5" s="1"/>
  <c r="V1751" i="5"/>
  <c r="W1747" i="5"/>
  <c r="U1747" i="5"/>
  <c r="S1747" i="5"/>
  <c r="O1747" i="5"/>
  <c r="T1747" i="5"/>
  <c r="P1747" i="5"/>
  <c r="R1747" i="5" s="1"/>
  <c r="V1747" i="5"/>
  <c r="W1743" i="5"/>
  <c r="U1743" i="5"/>
  <c r="S1743" i="5"/>
  <c r="O1743" i="5"/>
  <c r="T1743" i="5"/>
  <c r="P1743" i="5"/>
  <c r="R1743" i="5" s="1"/>
  <c r="V1743" i="5"/>
  <c r="W1739" i="5"/>
  <c r="U1739" i="5"/>
  <c r="S1739" i="5"/>
  <c r="O1739" i="5"/>
  <c r="T1739" i="5"/>
  <c r="P1739" i="5"/>
  <c r="R1739" i="5" s="1"/>
  <c r="V1739" i="5"/>
  <c r="W1735" i="5"/>
  <c r="U1735" i="5"/>
  <c r="S1735" i="5"/>
  <c r="O1735" i="5"/>
  <c r="T1735" i="5"/>
  <c r="P1735" i="5"/>
  <c r="R1735" i="5" s="1"/>
  <c r="V1735" i="5"/>
  <c r="W1731" i="5"/>
  <c r="U1731" i="5"/>
  <c r="S1731" i="5"/>
  <c r="O1731" i="5"/>
  <c r="T1731" i="5"/>
  <c r="P1731" i="5"/>
  <c r="R1731" i="5" s="1"/>
  <c r="V1731" i="5"/>
  <c r="W1727" i="5"/>
  <c r="U1727" i="5"/>
  <c r="S1727" i="5"/>
  <c r="O1727" i="5"/>
  <c r="T1727" i="5"/>
  <c r="P1727" i="5"/>
  <c r="R1727" i="5" s="1"/>
  <c r="V1727" i="5"/>
  <c r="W1723" i="5"/>
  <c r="U1723" i="5"/>
  <c r="S1723" i="5"/>
  <c r="O1723" i="5"/>
  <c r="T1723" i="5"/>
  <c r="P1723" i="5"/>
  <c r="R1723" i="5" s="1"/>
  <c r="V1723" i="5"/>
  <c r="W1719" i="5"/>
  <c r="U1719" i="5"/>
  <c r="S1719" i="5"/>
  <c r="O1719" i="5"/>
  <c r="T1719" i="5"/>
  <c r="P1719" i="5"/>
  <c r="R1719" i="5" s="1"/>
  <c r="V1719" i="5"/>
  <c r="W1715" i="5"/>
  <c r="U1715" i="5"/>
  <c r="S1715" i="5"/>
  <c r="O1715" i="5"/>
  <c r="T1715" i="5"/>
  <c r="P1715" i="5"/>
  <c r="R1715" i="5" s="1"/>
  <c r="V1715" i="5"/>
  <c r="W1711" i="5"/>
  <c r="U1711" i="5"/>
  <c r="S1711" i="5"/>
  <c r="O1711" i="5"/>
  <c r="T1711" i="5"/>
  <c r="P1711" i="5"/>
  <c r="R1711" i="5" s="1"/>
  <c r="V1711" i="5"/>
  <c r="W1707" i="5"/>
  <c r="U1707" i="5"/>
  <c r="S1707" i="5"/>
  <c r="O1707" i="5"/>
  <c r="T1707" i="5"/>
  <c r="P1707" i="5"/>
  <c r="R1707" i="5" s="1"/>
  <c r="V1707" i="5"/>
  <c r="W1703" i="5"/>
  <c r="U1703" i="5"/>
  <c r="S1703" i="5"/>
  <c r="O1703" i="5"/>
  <c r="T1703" i="5"/>
  <c r="P1703" i="5"/>
  <c r="R1703" i="5" s="1"/>
  <c r="V1703" i="5"/>
  <c r="W1699" i="5"/>
  <c r="U1699" i="5"/>
  <c r="S1699" i="5"/>
  <c r="O1699" i="5"/>
  <c r="T1699" i="5"/>
  <c r="P1699" i="5"/>
  <c r="R1699" i="5" s="1"/>
  <c r="V1699" i="5"/>
  <c r="W1695" i="5"/>
  <c r="U1695" i="5"/>
  <c r="S1695" i="5"/>
  <c r="O1695" i="5"/>
  <c r="T1695" i="5"/>
  <c r="P1695" i="5"/>
  <c r="R1695" i="5" s="1"/>
  <c r="V1695" i="5"/>
  <c r="W1691" i="5"/>
  <c r="U1691" i="5"/>
  <c r="S1691" i="5"/>
  <c r="O1691" i="5"/>
  <c r="T1691" i="5"/>
  <c r="P1691" i="5"/>
  <c r="R1691" i="5" s="1"/>
  <c r="V1691" i="5"/>
  <c r="W1687" i="5"/>
  <c r="U1687" i="5"/>
  <c r="S1687" i="5"/>
  <c r="O1687" i="5"/>
  <c r="T1687" i="5"/>
  <c r="P1687" i="5"/>
  <c r="R1687" i="5" s="1"/>
  <c r="V1687" i="5"/>
  <c r="W1683" i="5"/>
  <c r="U1683" i="5"/>
  <c r="S1683" i="5"/>
  <c r="O1683" i="5"/>
  <c r="T1683" i="5"/>
  <c r="P1683" i="5"/>
  <c r="R1683" i="5" s="1"/>
  <c r="V1683" i="5"/>
  <c r="W1679" i="5"/>
  <c r="U1679" i="5"/>
  <c r="S1679" i="5"/>
  <c r="O1679" i="5"/>
  <c r="T1679" i="5"/>
  <c r="P1679" i="5"/>
  <c r="R1679" i="5" s="1"/>
  <c r="V1679" i="5"/>
  <c r="W1675" i="5"/>
  <c r="U1675" i="5"/>
  <c r="S1675" i="5"/>
  <c r="O1675" i="5"/>
  <c r="T1675" i="5"/>
  <c r="P1675" i="5"/>
  <c r="R1675" i="5" s="1"/>
  <c r="V1675" i="5"/>
  <c r="W1671" i="5"/>
  <c r="U1671" i="5"/>
  <c r="S1671" i="5"/>
  <c r="O1671" i="5"/>
  <c r="T1671" i="5"/>
  <c r="P1671" i="5"/>
  <c r="R1671" i="5" s="1"/>
  <c r="V1671" i="5"/>
  <c r="W1667" i="5"/>
  <c r="U1667" i="5"/>
  <c r="S1667" i="5"/>
  <c r="O1667" i="5"/>
  <c r="T1667" i="5"/>
  <c r="P1667" i="5"/>
  <c r="R1667" i="5" s="1"/>
  <c r="V1667" i="5"/>
  <c r="W1663" i="5"/>
  <c r="U1663" i="5"/>
  <c r="S1663" i="5"/>
  <c r="O1663" i="5"/>
  <c r="T1663" i="5"/>
  <c r="P1663" i="5"/>
  <c r="R1663" i="5" s="1"/>
  <c r="V1663" i="5"/>
  <c r="W1659" i="5"/>
  <c r="U1659" i="5"/>
  <c r="S1659" i="5"/>
  <c r="O1659" i="5"/>
  <c r="T1659" i="5"/>
  <c r="P1659" i="5"/>
  <c r="R1659" i="5" s="1"/>
  <c r="V1659" i="5"/>
  <c r="W1655" i="5"/>
  <c r="U1655" i="5"/>
  <c r="S1655" i="5"/>
  <c r="O1655" i="5"/>
  <c r="T1655" i="5"/>
  <c r="P1655" i="5"/>
  <c r="R1655" i="5" s="1"/>
  <c r="V1655" i="5"/>
  <c r="W1651" i="5"/>
  <c r="U1651" i="5"/>
  <c r="S1651" i="5"/>
  <c r="O1651" i="5"/>
  <c r="T1651" i="5"/>
  <c r="P1651" i="5"/>
  <c r="R1651" i="5" s="1"/>
  <c r="V1651" i="5"/>
  <c r="W1647" i="5"/>
  <c r="U1647" i="5"/>
  <c r="S1647" i="5"/>
  <c r="O1647" i="5"/>
  <c r="T1647" i="5"/>
  <c r="P1647" i="5"/>
  <c r="R1647" i="5" s="1"/>
  <c r="V1647" i="5"/>
  <c r="W1643" i="5"/>
  <c r="U1643" i="5"/>
  <c r="S1643" i="5"/>
  <c r="O1643" i="5"/>
  <c r="T1643" i="5"/>
  <c r="P1643" i="5"/>
  <c r="R1643" i="5" s="1"/>
  <c r="V1643" i="5"/>
  <c r="W1639" i="5"/>
  <c r="U1639" i="5"/>
  <c r="S1639" i="5"/>
  <c r="O1639" i="5"/>
  <c r="T1639" i="5"/>
  <c r="P1639" i="5"/>
  <c r="R1639" i="5" s="1"/>
  <c r="V1639" i="5"/>
  <c r="W1635" i="5"/>
  <c r="U1635" i="5"/>
  <c r="S1635" i="5"/>
  <c r="O1635" i="5"/>
  <c r="T1635" i="5"/>
  <c r="P1635" i="5"/>
  <c r="R1635" i="5" s="1"/>
  <c r="V1635" i="5"/>
  <c r="W1631" i="5"/>
  <c r="U1631" i="5"/>
  <c r="S1631" i="5"/>
  <c r="O1631" i="5"/>
  <c r="T1631" i="5"/>
  <c r="P1631" i="5"/>
  <c r="R1631" i="5" s="1"/>
  <c r="V1631" i="5"/>
  <c r="W1627" i="5"/>
  <c r="U1627" i="5"/>
  <c r="S1627" i="5"/>
  <c r="O1627" i="5"/>
  <c r="T1627" i="5"/>
  <c r="P1627" i="5"/>
  <c r="R1627" i="5" s="1"/>
  <c r="V1627" i="5"/>
  <c r="W1623" i="5"/>
  <c r="U1623" i="5"/>
  <c r="S1623" i="5"/>
  <c r="O1623" i="5"/>
  <c r="T1623" i="5"/>
  <c r="P1623" i="5"/>
  <c r="R1623" i="5" s="1"/>
  <c r="V1623" i="5"/>
  <c r="W1619" i="5"/>
  <c r="U1619" i="5"/>
  <c r="S1619" i="5"/>
  <c r="O1619" i="5"/>
  <c r="T1619" i="5"/>
  <c r="P1619" i="5"/>
  <c r="R1619" i="5" s="1"/>
  <c r="V1619" i="5"/>
  <c r="W1615" i="5"/>
  <c r="U1615" i="5"/>
  <c r="S1615" i="5"/>
  <c r="O1615" i="5"/>
  <c r="T1615" i="5"/>
  <c r="P1615" i="5"/>
  <c r="R1615" i="5" s="1"/>
  <c r="V1615" i="5"/>
  <c r="V1611" i="5"/>
  <c r="T1611" i="5"/>
  <c r="P1611" i="5"/>
  <c r="R1611" i="5" s="1"/>
  <c r="W1611" i="5"/>
  <c r="S1611" i="5"/>
  <c r="O1611" i="5"/>
  <c r="U1611" i="5"/>
  <c r="V1607" i="5"/>
  <c r="T1607" i="5"/>
  <c r="P1607" i="5"/>
  <c r="R1607" i="5" s="1"/>
  <c r="W1607" i="5"/>
  <c r="S1607" i="5"/>
  <c r="O1607" i="5"/>
  <c r="U1607" i="5"/>
  <c r="V1603" i="5"/>
  <c r="T1603" i="5"/>
  <c r="P1603" i="5"/>
  <c r="R1603" i="5" s="1"/>
  <c r="W1603" i="5"/>
  <c r="S1603" i="5"/>
  <c r="O1603" i="5"/>
  <c r="U1603" i="5"/>
  <c r="V1599" i="5"/>
  <c r="T1599" i="5"/>
  <c r="P1599" i="5"/>
  <c r="R1599" i="5" s="1"/>
  <c r="W1599" i="5"/>
  <c r="S1599" i="5"/>
  <c r="O1599" i="5"/>
  <c r="U1599" i="5"/>
  <c r="V1595" i="5"/>
  <c r="T1595" i="5"/>
  <c r="P1595" i="5"/>
  <c r="R1595" i="5" s="1"/>
  <c r="W1595" i="5"/>
  <c r="S1595" i="5"/>
  <c r="O1595" i="5"/>
  <c r="U1595" i="5"/>
  <c r="V1591" i="5"/>
  <c r="T1591" i="5"/>
  <c r="P1591" i="5"/>
  <c r="R1591" i="5" s="1"/>
  <c r="W1591" i="5"/>
  <c r="S1591" i="5"/>
  <c r="O1591" i="5"/>
  <c r="U1591" i="5"/>
  <c r="V1587" i="5"/>
  <c r="T1587" i="5"/>
  <c r="P1587" i="5"/>
  <c r="R1587" i="5" s="1"/>
  <c r="W1587" i="5"/>
  <c r="S1587" i="5"/>
  <c r="O1587" i="5"/>
  <c r="U1587" i="5"/>
  <c r="V1583" i="5"/>
  <c r="T1583" i="5"/>
  <c r="P1583" i="5"/>
  <c r="R1583" i="5" s="1"/>
  <c r="W1583" i="5"/>
  <c r="S1583" i="5"/>
  <c r="O1583" i="5"/>
  <c r="U1583" i="5"/>
  <c r="V1579" i="5"/>
  <c r="T1579" i="5"/>
  <c r="P1579" i="5"/>
  <c r="R1579" i="5" s="1"/>
  <c r="W1579" i="5"/>
  <c r="S1579" i="5"/>
  <c r="O1579" i="5"/>
  <c r="U1579" i="5"/>
  <c r="V1575" i="5"/>
  <c r="T1575" i="5"/>
  <c r="P1575" i="5"/>
  <c r="R1575" i="5" s="1"/>
  <c r="W1575" i="5"/>
  <c r="S1575" i="5"/>
  <c r="O1575" i="5"/>
  <c r="U1575" i="5"/>
  <c r="V1571" i="5"/>
  <c r="T1571" i="5"/>
  <c r="P1571" i="5"/>
  <c r="R1571" i="5" s="1"/>
  <c r="W1571" i="5"/>
  <c r="S1571" i="5"/>
  <c r="O1571" i="5"/>
  <c r="U1571" i="5"/>
  <c r="V1567" i="5"/>
  <c r="T1567" i="5"/>
  <c r="P1567" i="5"/>
  <c r="R1567" i="5" s="1"/>
  <c r="W1567" i="5"/>
  <c r="S1567" i="5"/>
  <c r="O1567" i="5"/>
  <c r="U1567" i="5"/>
  <c r="V1563" i="5"/>
  <c r="T1563" i="5"/>
  <c r="P1563" i="5"/>
  <c r="R1563" i="5" s="1"/>
  <c r="W1563" i="5"/>
  <c r="S1563" i="5"/>
  <c r="O1563" i="5"/>
  <c r="U1563" i="5"/>
  <c r="V1559" i="5"/>
  <c r="T1559" i="5"/>
  <c r="P1559" i="5"/>
  <c r="R1559" i="5" s="1"/>
  <c r="W1559" i="5"/>
  <c r="S1559" i="5"/>
  <c r="O1559" i="5"/>
  <c r="U1559" i="5"/>
  <c r="V1555" i="5"/>
  <c r="T1555" i="5"/>
  <c r="P1555" i="5"/>
  <c r="R1555" i="5" s="1"/>
  <c r="W1555" i="5"/>
  <c r="S1555" i="5"/>
  <c r="O1555" i="5"/>
  <c r="U1555" i="5"/>
  <c r="V1551" i="5"/>
  <c r="T1551" i="5"/>
  <c r="P1551" i="5"/>
  <c r="R1551" i="5" s="1"/>
  <c r="W1551" i="5"/>
  <c r="S1551" i="5"/>
  <c r="O1551" i="5"/>
  <c r="U1551" i="5"/>
  <c r="V1547" i="5"/>
  <c r="T1547" i="5"/>
  <c r="P1547" i="5"/>
  <c r="R1547" i="5" s="1"/>
  <c r="W1547" i="5"/>
  <c r="S1547" i="5"/>
  <c r="O1547" i="5"/>
  <c r="U1547" i="5"/>
  <c r="V1543" i="5"/>
  <c r="T1543" i="5"/>
  <c r="P1543" i="5"/>
  <c r="R1543" i="5" s="1"/>
  <c r="W1543" i="5"/>
  <c r="S1543" i="5"/>
  <c r="O1543" i="5"/>
  <c r="U1543" i="5"/>
  <c r="V1539" i="5"/>
  <c r="T1539" i="5"/>
  <c r="P1539" i="5"/>
  <c r="R1539" i="5" s="1"/>
  <c r="W1539" i="5"/>
  <c r="S1539" i="5"/>
  <c r="O1539" i="5"/>
  <c r="U1539" i="5"/>
  <c r="V1535" i="5"/>
  <c r="T1535" i="5"/>
  <c r="P1535" i="5"/>
  <c r="R1535" i="5" s="1"/>
  <c r="W1535" i="5"/>
  <c r="S1535" i="5"/>
  <c r="O1535" i="5"/>
  <c r="U1535" i="5"/>
  <c r="V1531" i="5"/>
  <c r="T1531" i="5"/>
  <c r="P1531" i="5"/>
  <c r="R1531" i="5" s="1"/>
  <c r="W1531" i="5"/>
  <c r="S1531" i="5"/>
  <c r="O1531" i="5"/>
  <c r="U1531" i="5"/>
  <c r="V1527" i="5"/>
  <c r="T1527" i="5"/>
  <c r="P1527" i="5"/>
  <c r="R1527" i="5" s="1"/>
  <c r="W1527" i="5"/>
  <c r="S1527" i="5"/>
  <c r="O1527" i="5"/>
  <c r="U1527" i="5"/>
  <c r="V1523" i="5"/>
  <c r="T1523" i="5"/>
  <c r="P1523" i="5"/>
  <c r="R1523" i="5" s="1"/>
  <c r="W1523" i="5"/>
  <c r="S1523" i="5"/>
  <c r="O1523" i="5"/>
  <c r="U1523" i="5"/>
  <c r="V1519" i="5"/>
  <c r="T1519" i="5"/>
  <c r="P1519" i="5"/>
  <c r="R1519" i="5" s="1"/>
  <c r="W1519" i="5"/>
  <c r="S1519" i="5"/>
  <c r="O1519" i="5"/>
  <c r="U1519" i="5"/>
  <c r="V1515" i="5"/>
  <c r="T1515" i="5"/>
  <c r="P1515" i="5"/>
  <c r="R1515" i="5" s="1"/>
  <c r="W1515" i="5"/>
  <c r="S1515" i="5"/>
  <c r="O1515" i="5"/>
  <c r="U1515" i="5"/>
  <c r="V1511" i="5"/>
  <c r="T1511" i="5"/>
  <c r="P1511" i="5"/>
  <c r="R1511" i="5" s="1"/>
  <c r="W1511" i="5"/>
  <c r="S1511" i="5"/>
  <c r="O1511" i="5"/>
  <c r="U1511" i="5"/>
  <c r="V1507" i="5"/>
  <c r="T1507" i="5"/>
  <c r="P1507" i="5"/>
  <c r="R1507" i="5" s="1"/>
  <c r="W1507" i="5"/>
  <c r="S1507" i="5"/>
  <c r="O1507" i="5"/>
  <c r="U1507" i="5"/>
  <c r="V1503" i="5"/>
  <c r="T1503" i="5"/>
  <c r="P1503" i="5"/>
  <c r="R1503" i="5" s="1"/>
  <c r="W1503" i="5"/>
  <c r="S1503" i="5"/>
  <c r="O1503" i="5"/>
  <c r="U1503" i="5"/>
  <c r="V1499" i="5"/>
  <c r="T1499" i="5"/>
  <c r="P1499" i="5"/>
  <c r="R1499" i="5" s="1"/>
  <c r="W1499" i="5"/>
  <c r="S1499" i="5"/>
  <c r="O1499" i="5"/>
  <c r="U1499" i="5"/>
  <c r="V1495" i="5"/>
  <c r="T1495" i="5"/>
  <c r="P1495" i="5"/>
  <c r="R1495" i="5" s="1"/>
  <c r="W1495" i="5"/>
  <c r="S1495" i="5"/>
  <c r="O1495" i="5"/>
  <c r="U1495" i="5"/>
  <c r="V1491" i="5"/>
  <c r="T1491" i="5"/>
  <c r="P1491" i="5"/>
  <c r="R1491" i="5" s="1"/>
  <c r="W1491" i="5"/>
  <c r="S1491" i="5"/>
  <c r="O1491" i="5"/>
  <c r="U1491" i="5"/>
  <c r="V1487" i="5"/>
  <c r="T1487" i="5"/>
  <c r="P1487" i="5"/>
  <c r="R1487" i="5" s="1"/>
  <c r="W1487" i="5"/>
  <c r="S1487" i="5"/>
  <c r="O1487" i="5"/>
  <c r="U1487" i="5"/>
  <c r="V1483" i="5"/>
  <c r="T1483" i="5"/>
  <c r="P1483" i="5"/>
  <c r="R1483" i="5" s="1"/>
  <c r="W1483" i="5"/>
  <c r="S1483" i="5"/>
  <c r="O1483" i="5"/>
  <c r="U1483" i="5"/>
  <c r="V1479" i="5"/>
  <c r="T1479" i="5"/>
  <c r="P1479" i="5"/>
  <c r="R1479" i="5" s="1"/>
  <c r="W1479" i="5"/>
  <c r="S1479" i="5"/>
  <c r="O1479" i="5"/>
  <c r="U1479" i="5"/>
  <c r="V1475" i="5"/>
  <c r="T1475" i="5"/>
  <c r="P1475" i="5"/>
  <c r="R1475" i="5" s="1"/>
  <c r="W1475" i="5"/>
  <c r="S1475" i="5"/>
  <c r="O1475" i="5"/>
  <c r="U1475" i="5"/>
  <c r="V1471" i="5"/>
  <c r="T1471" i="5"/>
  <c r="P1471" i="5"/>
  <c r="R1471" i="5" s="1"/>
  <c r="W1471" i="5"/>
  <c r="S1471" i="5"/>
  <c r="O1471" i="5"/>
  <c r="U1471" i="5"/>
  <c r="V1467" i="5"/>
  <c r="T1467" i="5"/>
  <c r="P1467" i="5"/>
  <c r="R1467" i="5" s="1"/>
  <c r="W1467" i="5"/>
  <c r="S1467" i="5"/>
  <c r="O1467" i="5"/>
  <c r="U1467" i="5"/>
  <c r="V1463" i="5"/>
  <c r="T1463" i="5"/>
  <c r="P1463" i="5"/>
  <c r="R1463" i="5" s="1"/>
  <c r="W1463" i="5"/>
  <c r="S1463" i="5"/>
  <c r="O1463" i="5"/>
  <c r="U1463" i="5"/>
  <c r="V1459" i="5"/>
  <c r="T1459" i="5"/>
  <c r="P1459" i="5"/>
  <c r="R1459" i="5" s="1"/>
  <c r="W1459" i="5"/>
  <c r="S1459" i="5"/>
  <c r="O1459" i="5"/>
  <c r="U1459" i="5"/>
  <c r="V1455" i="5"/>
  <c r="T1455" i="5"/>
  <c r="P1455" i="5"/>
  <c r="R1455" i="5" s="1"/>
  <c r="W1455" i="5"/>
  <c r="S1455" i="5"/>
  <c r="O1455" i="5"/>
  <c r="U1455" i="5"/>
  <c r="V1451" i="5"/>
  <c r="T1451" i="5"/>
  <c r="P1451" i="5"/>
  <c r="R1451" i="5" s="1"/>
  <c r="W1451" i="5"/>
  <c r="S1451" i="5"/>
  <c r="O1451" i="5"/>
  <c r="U1451" i="5"/>
  <c r="V1447" i="5"/>
  <c r="T1447" i="5"/>
  <c r="P1447" i="5"/>
  <c r="R1447" i="5" s="1"/>
  <c r="W1447" i="5"/>
  <c r="S1447" i="5"/>
  <c r="O1447" i="5"/>
  <c r="U1447" i="5"/>
  <c r="V1443" i="5"/>
  <c r="T1443" i="5"/>
  <c r="P1443" i="5"/>
  <c r="R1443" i="5" s="1"/>
  <c r="W1443" i="5"/>
  <c r="S1443" i="5"/>
  <c r="O1443" i="5"/>
  <c r="U1443" i="5"/>
  <c r="V1439" i="5"/>
  <c r="T1439" i="5"/>
  <c r="P1439" i="5"/>
  <c r="R1439" i="5" s="1"/>
  <c r="W1439" i="5"/>
  <c r="S1439" i="5"/>
  <c r="O1439" i="5"/>
  <c r="U1439" i="5"/>
  <c r="V1435" i="5"/>
  <c r="T1435" i="5"/>
  <c r="P1435" i="5"/>
  <c r="R1435" i="5" s="1"/>
  <c r="W1435" i="5"/>
  <c r="S1435" i="5"/>
  <c r="O1435" i="5"/>
  <c r="U1435" i="5"/>
  <c r="V1431" i="5"/>
  <c r="T1431" i="5"/>
  <c r="P1431" i="5"/>
  <c r="R1431" i="5" s="1"/>
  <c r="W1431" i="5"/>
  <c r="S1431" i="5"/>
  <c r="O1431" i="5"/>
  <c r="U1431" i="5"/>
  <c r="V1427" i="5"/>
  <c r="T1427" i="5"/>
  <c r="P1427" i="5"/>
  <c r="R1427" i="5" s="1"/>
  <c r="W1427" i="5"/>
  <c r="S1427" i="5"/>
  <c r="O1427" i="5"/>
  <c r="U1427" i="5"/>
  <c r="V1423" i="5"/>
  <c r="T1423" i="5"/>
  <c r="P1423" i="5"/>
  <c r="R1423" i="5" s="1"/>
  <c r="W1423" i="5"/>
  <c r="S1423" i="5"/>
  <c r="O1423" i="5"/>
  <c r="U1423" i="5"/>
  <c r="V1419" i="5"/>
  <c r="T1419" i="5"/>
  <c r="P1419" i="5"/>
  <c r="R1419" i="5" s="1"/>
  <c r="W1419" i="5"/>
  <c r="S1419" i="5"/>
  <c r="O1419" i="5"/>
  <c r="U1419" i="5"/>
  <c r="V1415" i="5"/>
  <c r="T1415" i="5"/>
  <c r="P1415" i="5"/>
  <c r="R1415" i="5" s="1"/>
  <c r="W1415" i="5"/>
  <c r="S1415" i="5"/>
  <c r="O1415" i="5"/>
  <c r="U1415" i="5"/>
  <c r="V1411" i="5"/>
  <c r="T1411" i="5"/>
  <c r="P1411" i="5"/>
  <c r="R1411" i="5" s="1"/>
  <c r="W1411" i="5"/>
  <c r="S1411" i="5"/>
  <c r="O1411" i="5"/>
  <c r="U1411" i="5"/>
  <c r="V1407" i="5"/>
  <c r="T1407" i="5"/>
  <c r="P1407" i="5"/>
  <c r="R1407" i="5" s="1"/>
  <c r="W1407" i="5"/>
  <c r="S1407" i="5"/>
  <c r="O1407" i="5"/>
  <c r="U1407" i="5"/>
  <c r="V1403" i="5"/>
  <c r="T1403" i="5"/>
  <c r="P1403" i="5"/>
  <c r="R1403" i="5" s="1"/>
  <c r="W1403" i="5"/>
  <c r="S1403" i="5"/>
  <c r="O1403" i="5"/>
  <c r="U1403" i="5"/>
  <c r="V1399" i="5"/>
  <c r="T1399" i="5"/>
  <c r="P1399" i="5"/>
  <c r="R1399" i="5" s="1"/>
  <c r="W1399" i="5"/>
  <c r="S1399" i="5"/>
  <c r="O1399" i="5"/>
  <c r="U1399" i="5"/>
  <c r="V1395" i="5"/>
  <c r="T1395" i="5"/>
  <c r="P1395" i="5"/>
  <c r="R1395" i="5" s="1"/>
  <c r="W1395" i="5"/>
  <c r="S1395" i="5"/>
  <c r="O1395" i="5"/>
  <c r="U1395" i="5"/>
  <c r="V1391" i="5"/>
  <c r="T1391" i="5"/>
  <c r="P1391" i="5"/>
  <c r="R1391" i="5" s="1"/>
  <c r="W1391" i="5"/>
  <c r="S1391" i="5"/>
  <c r="O1391" i="5"/>
  <c r="U1391" i="5"/>
  <c r="V1387" i="5"/>
  <c r="T1387" i="5"/>
  <c r="P1387" i="5"/>
  <c r="R1387" i="5" s="1"/>
  <c r="W1387" i="5"/>
  <c r="S1387" i="5"/>
  <c r="O1387" i="5"/>
  <c r="U1387" i="5"/>
  <c r="V1383" i="5"/>
  <c r="T1383" i="5"/>
  <c r="P1383" i="5"/>
  <c r="R1383" i="5" s="1"/>
  <c r="W1383" i="5"/>
  <c r="S1383" i="5"/>
  <c r="O1383" i="5"/>
  <c r="U1383" i="5"/>
  <c r="V1379" i="5"/>
  <c r="T1379" i="5"/>
  <c r="P1379" i="5"/>
  <c r="R1379" i="5" s="1"/>
  <c r="W1379" i="5"/>
  <c r="S1379" i="5"/>
  <c r="O1379" i="5"/>
  <c r="U1379" i="5"/>
  <c r="V1375" i="5"/>
  <c r="T1375" i="5"/>
  <c r="P1375" i="5"/>
  <c r="R1375" i="5" s="1"/>
  <c r="W1375" i="5"/>
  <c r="S1375" i="5"/>
  <c r="O1375" i="5"/>
  <c r="U1375" i="5"/>
  <c r="V1371" i="5"/>
  <c r="T1371" i="5"/>
  <c r="P1371" i="5"/>
  <c r="R1371" i="5" s="1"/>
  <c r="W1371" i="5"/>
  <c r="S1371" i="5"/>
  <c r="O1371" i="5"/>
  <c r="U1371" i="5"/>
  <c r="V1367" i="5"/>
  <c r="T1367" i="5"/>
  <c r="P1367" i="5"/>
  <c r="R1367" i="5" s="1"/>
  <c r="W1367" i="5"/>
  <c r="S1367" i="5"/>
  <c r="O1367" i="5"/>
  <c r="U1367" i="5"/>
  <c r="V1363" i="5"/>
  <c r="T1363" i="5"/>
  <c r="P1363" i="5"/>
  <c r="R1363" i="5" s="1"/>
  <c r="W1363" i="5"/>
  <c r="S1363" i="5"/>
  <c r="O1363" i="5"/>
  <c r="U1363" i="5"/>
  <c r="V1359" i="5"/>
  <c r="T1359" i="5"/>
  <c r="P1359" i="5"/>
  <c r="R1359" i="5" s="1"/>
  <c r="W1359" i="5"/>
  <c r="S1359" i="5"/>
  <c r="O1359" i="5"/>
  <c r="U1359" i="5"/>
  <c r="V1355" i="5"/>
  <c r="T1355" i="5"/>
  <c r="P1355" i="5"/>
  <c r="R1355" i="5" s="1"/>
  <c r="W1355" i="5"/>
  <c r="S1355" i="5"/>
  <c r="O1355" i="5"/>
  <c r="U1355" i="5"/>
  <c r="V1351" i="5"/>
  <c r="T1351" i="5"/>
  <c r="P1351" i="5"/>
  <c r="R1351" i="5" s="1"/>
  <c r="W1351" i="5"/>
  <c r="S1351" i="5"/>
  <c r="O1351" i="5"/>
  <c r="U1351" i="5"/>
  <c r="V1347" i="5"/>
  <c r="T1347" i="5"/>
  <c r="P1347" i="5"/>
  <c r="R1347" i="5" s="1"/>
  <c r="W1347" i="5"/>
  <c r="S1347" i="5"/>
  <c r="O1347" i="5"/>
  <c r="U1347" i="5"/>
  <c r="V1343" i="5"/>
  <c r="T1343" i="5"/>
  <c r="P1343" i="5"/>
  <c r="R1343" i="5" s="1"/>
  <c r="W1343" i="5"/>
  <c r="S1343" i="5"/>
  <c r="O1343" i="5"/>
  <c r="U1343" i="5"/>
  <c r="V1339" i="5"/>
  <c r="T1339" i="5"/>
  <c r="P1339" i="5"/>
  <c r="R1339" i="5" s="1"/>
  <c r="W1339" i="5"/>
  <c r="S1339" i="5"/>
  <c r="O1339" i="5"/>
  <c r="U1339" i="5"/>
  <c r="V1335" i="5"/>
  <c r="T1335" i="5"/>
  <c r="P1335" i="5"/>
  <c r="R1335" i="5" s="1"/>
  <c r="W1335" i="5"/>
  <c r="S1335" i="5"/>
  <c r="O1335" i="5"/>
  <c r="U1335" i="5"/>
  <c r="V1331" i="5"/>
  <c r="T1331" i="5"/>
  <c r="P1331" i="5"/>
  <c r="R1331" i="5" s="1"/>
  <c r="W1331" i="5"/>
  <c r="S1331" i="5"/>
  <c r="O1331" i="5"/>
  <c r="U1331" i="5"/>
  <c r="V1327" i="5"/>
  <c r="T1327" i="5"/>
  <c r="P1327" i="5"/>
  <c r="R1327" i="5" s="1"/>
  <c r="W1327" i="5"/>
  <c r="S1327" i="5"/>
  <c r="O1327" i="5"/>
  <c r="U1327" i="5"/>
  <c r="V1323" i="5"/>
  <c r="T1323" i="5"/>
  <c r="P1323" i="5"/>
  <c r="R1323" i="5" s="1"/>
  <c r="W1323" i="5"/>
  <c r="S1323" i="5"/>
  <c r="O1323" i="5"/>
  <c r="U1323" i="5"/>
  <c r="V1319" i="5"/>
  <c r="T1319" i="5"/>
  <c r="P1319" i="5"/>
  <c r="R1319" i="5" s="1"/>
  <c r="W1319" i="5"/>
  <c r="S1319" i="5"/>
  <c r="O1319" i="5"/>
  <c r="U1319" i="5"/>
  <c r="V1315" i="5"/>
  <c r="T1315" i="5"/>
  <c r="P1315" i="5"/>
  <c r="R1315" i="5" s="1"/>
  <c r="W1315" i="5"/>
  <c r="S1315" i="5"/>
  <c r="O1315" i="5"/>
  <c r="U1315" i="5"/>
  <c r="V1311" i="5"/>
  <c r="T1311" i="5"/>
  <c r="P1311" i="5"/>
  <c r="R1311" i="5" s="1"/>
  <c r="W1311" i="5"/>
  <c r="S1311" i="5"/>
  <c r="O1311" i="5"/>
  <c r="U1311" i="5"/>
  <c r="V1307" i="5"/>
  <c r="T1307" i="5"/>
  <c r="P1307" i="5"/>
  <c r="R1307" i="5" s="1"/>
  <c r="W1307" i="5"/>
  <c r="S1307" i="5"/>
  <c r="O1307" i="5"/>
  <c r="U1307" i="5"/>
  <c r="V1303" i="5"/>
  <c r="T1303" i="5"/>
  <c r="P1303" i="5"/>
  <c r="R1303" i="5" s="1"/>
  <c r="W1303" i="5"/>
  <c r="S1303" i="5"/>
  <c r="O1303" i="5"/>
  <c r="U1303" i="5"/>
  <c r="V1299" i="5"/>
  <c r="T1299" i="5"/>
  <c r="P1299" i="5"/>
  <c r="R1299" i="5" s="1"/>
  <c r="W1299" i="5"/>
  <c r="S1299" i="5"/>
  <c r="O1299" i="5"/>
  <c r="U1299" i="5"/>
  <c r="V1295" i="5"/>
  <c r="T1295" i="5"/>
  <c r="P1295" i="5"/>
  <c r="R1295" i="5" s="1"/>
  <c r="W1295" i="5"/>
  <c r="S1295" i="5"/>
  <c r="O1295" i="5"/>
  <c r="U1295" i="5"/>
  <c r="V1291" i="5"/>
  <c r="T1291" i="5"/>
  <c r="P1291" i="5"/>
  <c r="R1291" i="5" s="1"/>
  <c r="W1291" i="5"/>
  <c r="S1291" i="5"/>
  <c r="O1291" i="5"/>
  <c r="U1291" i="5"/>
  <c r="V1287" i="5"/>
  <c r="T1287" i="5"/>
  <c r="P1287" i="5"/>
  <c r="R1287" i="5" s="1"/>
  <c r="W1287" i="5"/>
  <c r="S1287" i="5"/>
  <c r="O1287" i="5"/>
  <c r="U1287" i="5"/>
  <c r="V1283" i="5"/>
  <c r="T1283" i="5"/>
  <c r="P1283" i="5"/>
  <c r="R1283" i="5" s="1"/>
  <c r="W1283" i="5"/>
  <c r="S1283" i="5"/>
  <c r="O1283" i="5"/>
  <c r="U1283" i="5"/>
  <c r="V1279" i="5"/>
  <c r="T1279" i="5"/>
  <c r="P1279" i="5"/>
  <c r="R1279" i="5" s="1"/>
  <c r="W1279" i="5"/>
  <c r="S1279" i="5"/>
  <c r="O1279" i="5"/>
  <c r="U1279" i="5"/>
  <c r="V1275" i="5"/>
  <c r="T1275" i="5"/>
  <c r="P1275" i="5"/>
  <c r="R1275" i="5" s="1"/>
  <c r="W1275" i="5"/>
  <c r="S1275" i="5"/>
  <c r="O1275" i="5"/>
  <c r="U1275" i="5"/>
  <c r="V1271" i="5"/>
  <c r="T1271" i="5"/>
  <c r="P1271" i="5"/>
  <c r="R1271" i="5" s="1"/>
  <c r="W1271" i="5"/>
  <c r="S1271" i="5"/>
  <c r="O1271" i="5"/>
  <c r="U1271" i="5"/>
  <c r="V1267" i="5"/>
  <c r="T1267" i="5"/>
  <c r="P1267" i="5"/>
  <c r="R1267" i="5" s="1"/>
  <c r="W1267" i="5"/>
  <c r="S1267" i="5"/>
  <c r="O1267" i="5"/>
  <c r="U1267" i="5"/>
  <c r="V1263" i="5"/>
  <c r="T1263" i="5"/>
  <c r="P1263" i="5"/>
  <c r="R1263" i="5" s="1"/>
  <c r="W1263" i="5"/>
  <c r="S1263" i="5"/>
  <c r="O1263" i="5"/>
  <c r="U1263" i="5"/>
  <c r="V1259" i="5"/>
  <c r="T1259" i="5"/>
  <c r="P1259" i="5"/>
  <c r="R1259" i="5" s="1"/>
  <c r="W1259" i="5"/>
  <c r="S1259" i="5"/>
  <c r="O1259" i="5"/>
  <c r="U1259" i="5"/>
  <c r="V1255" i="5"/>
  <c r="T1255" i="5"/>
  <c r="P1255" i="5"/>
  <c r="R1255" i="5" s="1"/>
  <c r="W1255" i="5"/>
  <c r="S1255" i="5"/>
  <c r="O1255" i="5"/>
  <c r="U1255" i="5"/>
  <c r="V1251" i="5"/>
  <c r="T1251" i="5"/>
  <c r="P1251" i="5"/>
  <c r="R1251" i="5" s="1"/>
  <c r="W1251" i="5"/>
  <c r="S1251" i="5"/>
  <c r="O1251" i="5"/>
  <c r="U1251" i="5"/>
  <c r="V1247" i="5"/>
  <c r="T1247" i="5"/>
  <c r="P1247" i="5"/>
  <c r="R1247" i="5" s="1"/>
  <c r="W1247" i="5"/>
  <c r="S1247" i="5"/>
  <c r="O1247" i="5"/>
  <c r="U1247" i="5"/>
  <c r="V1243" i="5"/>
  <c r="T1243" i="5"/>
  <c r="P1243" i="5"/>
  <c r="R1243" i="5" s="1"/>
  <c r="W1243" i="5"/>
  <c r="S1243" i="5"/>
  <c r="O1243" i="5"/>
  <c r="U1243" i="5"/>
  <c r="V1239" i="5"/>
  <c r="T1239" i="5"/>
  <c r="P1239" i="5"/>
  <c r="R1239" i="5" s="1"/>
  <c r="W1239" i="5"/>
  <c r="S1239" i="5"/>
  <c r="O1239" i="5"/>
  <c r="U1239" i="5"/>
  <c r="V1235" i="5"/>
  <c r="T1235" i="5"/>
  <c r="P1235" i="5"/>
  <c r="R1235" i="5" s="1"/>
  <c r="W1235" i="5"/>
  <c r="S1235" i="5"/>
  <c r="O1235" i="5"/>
  <c r="U1235" i="5"/>
  <c r="V1231" i="5"/>
  <c r="T1231" i="5"/>
  <c r="P1231" i="5"/>
  <c r="R1231" i="5" s="1"/>
  <c r="W1231" i="5"/>
  <c r="S1231" i="5"/>
  <c r="O1231" i="5"/>
  <c r="U1231" i="5"/>
  <c r="V1227" i="5"/>
  <c r="T1227" i="5"/>
  <c r="P1227" i="5"/>
  <c r="R1227" i="5" s="1"/>
  <c r="W1227" i="5"/>
  <c r="S1227" i="5"/>
  <c r="O1227" i="5"/>
  <c r="U1227" i="5"/>
  <c r="V1223" i="5"/>
  <c r="T1223" i="5"/>
  <c r="P1223" i="5"/>
  <c r="R1223" i="5" s="1"/>
  <c r="W1223" i="5"/>
  <c r="S1223" i="5"/>
  <c r="O1223" i="5"/>
  <c r="U1223" i="5"/>
  <c r="V1219" i="5"/>
  <c r="T1219" i="5"/>
  <c r="P1219" i="5"/>
  <c r="R1219" i="5" s="1"/>
  <c r="W1219" i="5"/>
  <c r="S1219" i="5"/>
  <c r="O1219" i="5"/>
  <c r="U1219" i="5"/>
  <c r="V1215" i="5"/>
  <c r="T1215" i="5"/>
  <c r="P1215" i="5"/>
  <c r="R1215" i="5" s="1"/>
  <c r="W1215" i="5"/>
  <c r="S1215" i="5"/>
  <c r="O1215" i="5"/>
  <c r="U1215" i="5"/>
  <c r="V1211" i="5"/>
  <c r="T1211" i="5"/>
  <c r="P1211" i="5"/>
  <c r="R1211" i="5" s="1"/>
  <c r="W1211" i="5"/>
  <c r="S1211" i="5"/>
  <c r="O1211" i="5"/>
  <c r="U1211" i="5"/>
  <c r="V1207" i="5"/>
  <c r="T1207" i="5"/>
  <c r="P1207" i="5"/>
  <c r="R1207" i="5" s="1"/>
  <c r="W1207" i="5"/>
  <c r="S1207" i="5"/>
  <c r="O1207" i="5"/>
  <c r="U1207" i="5"/>
  <c r="V1203" i="5"/>
  <c r="T1203" i="5"/>
  <c r="P1203" i="5"/>
  <c r="R1203" i="5" s="1"/>
  <c r="W1203" i="5"/>
  <c r="S1203" i="5"/>
  <c r="O1203" i="5"/>
  <c r="U1203" i="5"/>
  <c r="V1199" i="5"/>
  <c r="T1199" i="5"/>
  <c r="P1199" i="5"/>
  <c r="R1199" i="5" s="1"/>
  <c r="W1199" i="5"/>
  <c r="S1199" i="5"/>
  <c r="O1199" i="5"/>
  <c r="U1199" i="5"/>
  <c r="V1195" i="5"/>
  <c r="T1195" i="5"/>
  <c r="P1195" i="5"/>
  <c r="R1195" i="5" s="1"/>
  <c r="W1195" i="5"/>
  <c r="S1195" i="5"/>
  <c r="O1195" i="5"/>
  <c r="U1195" i="5"/>
  <c r="V1191" i="5"/>
  <c r="T1191" i="5"/>
  <c r="P1191" i="5"/>
  <c r="R1191" i="5" s="1"/>
  <c r="W1191" i="5"/>
  <c r="S1191" i="5"/>
  <c r="O1191" i="5"/>
  <c r="U1191" i="5"/>
  <c r="V1187" i="5"/>
  <c r="T1187" i="5"/>
  <c r="P1187" i="5"/>
  <c r="R1187" i="5" s="1"/>
  <c r="W1187" i="5"/>
  <c r="S1187" i="5"/>
  <c r="O1187" i="5"/>
  <c r="U1187" i="5"/>
  <c r="V1183" i="5"/>
  <c r="T1183" i="5"/>
  <c r="P1183" i="5"/>
  <c r="R1183" i="5" s="1"/>
  <c r="W1183" i="5"/>
  <c r="S1183" i="5"/>
  <c r="O1183" i="5"/>
  <c r="U1183" i="5"/>
  <c r="V1179" i="5"/>
  <c r="T1179" i="5"/>
  <c r="P1179" i="5"/>
  <c r="R1179" i="5" s="1"/>
  <c r="U1179" i="5"/>
  <c r="W1179" i="5"/>
  <c r="S1179" i="5"/>
  <c r="O1179" i="5"/>
  <c r="V1175" i="5"/>
  <c r="T1175" i="5"/>
  <c r="P1175" i="5"/>
  <c r="R1175" i="5" s="1"/>
  <c r="U1175" i="5"/>
  <c r="W1175" i="5"/>
  <c r="S1175" i="5"/>
  <c r="O1175" i="5"/>
  <c r="V1171" i="5"/>
  <c r="T1171" i="5"/>
  <c r="P1171" i="5"/>
  <c r="R1171" i="5" s="1"/>
  <c r="U1171" i="5"/>
  <c r="W1171" i="5"/>
  <c r="S1171" i="5"/>
  <c r="O1171" i="5"/>
  <c r="V1167" i="5"/>
  <c r="T1167" i="5"/>
  <c r="P1167" i="5"/>
  <c r="R1167" i="5" s="1"/>
  <c r="U1167" i="5"/>
  <c r="W1167" i="5"/>
  <c r="S1167" i="5"/>
  <c r="O1167" i="5"/>
  <c r="V1163" i="5"/>
  <c r="T1163" i="5"/>
  <c r="P1163" i="5"/>
  <c r="R1163" i="5" s="1"/>
  <c r="U1163" i="5"/>
  <c r="W1163" i="5"/>
  <c r="S1163" i="5"/>
  <c r="O1163" i="5"/>
  <c r="V1159" i="5"/>
  <c r="T1159" i="5"/>
  <c r="P1159" i="5"/>
  <c r="R1159" i="5" s="1"/>
  <c r="U1159" i="5"/>
  <c r="W1159" i="5"/>
  <c r="S1159" i="5"/>
  <c r="O1159" i="5"/>
  <c r="V1155" i="5"/>
  <c r="T1155" i="5"/>
  <c r="P1155" i="5"/>
  <c r="R1155" i="5" s="1"/>
  <c r="U1155" i="5"/>
  <c r="W1155" i="5"/>
  <c r="S1155" i="5"/>
  <c r="O1155" i="5"/>
  <c r="V1151" i="5"/>
  <c r="T1151" i="5"/>
  <c r="P1151" i="5"/>
  <c r="R1151" i="5" s="1"/>
  <c r="U1151" i="5"/>
  <c r="W1151" i="5"/>
  <c r="S1151" i="5"/>
  <c r="O1151" i="5"/>
  <c r="V1147" i="5"/>
  <c r="T1147" i="5"/>
  <c r="P1147" i="5"/>
  <c r="R1147" i="5" s="1"/>
  <c r="U1147" i="5"/>
  <c r="W1147" i="5"/>
  <c r="S1147" i="5"/>
  <c r="O1147" i="5"/>
  <c r="V1143" i="5"/>
  <c r="T1143" i="5"/>
  <c r="P1143" i="5"/>
  <c r="R1143" i="5" s="1"/>
  <c r="U1143" i="5"/>
  <c r="W1143" i="5"/>
  <c r="S1143" i="5"/>
  <c r="O1143" i="5"/>
  <c r="V1139" i="5"/>
  <c r="T1139" i="5"/>
  <c r="P1139" i="5"/>
  <c r="R1139" i="5" s="1"/>
  <c r="U1139" i="5"/>
  <c r="W1139" i="5"/>
  <c r="S1139" i="5"/>
  <c r="O1139" i="5"/>
  <c r="V1135" i="5"/>
  <c r="T1135" i="5"/>
  <c r="P1135" i="5"/>
  <c r="R1135" i="5" s="1"/>
  <c r="U1135" i="5"/>
  <c r="W1135" i="5"/>
  <c r="S1135" i="5"/>
  <c r="O1135" i="5"/>
  <c r="V1131" i="5"/>
  <c r="T1131" i="5"/>
  <c r="P1131" i="5"/>
  <c r="R1131" i="5" s="1"/>
  <c r="U1131" i="5"/>
  <c r="W1131" i="5"/>
  <c r="S1131" i="5"/>
  <c r="O1131" i="5"/>
  <c r="V1127" i="5"/>
  <c r="T1127" i="5"/>
  <c r="P1127" i="5"/>
  <c r="R1127" i="5" s="1"/>
  <c r="U1127" i="5"/>
  <c r="W1127" i="5"/>
  <c r="S1127" i="5"/>
  <c r="O1127" i="5"/>
  <c r="V1123" i="5"/>
  <c r="T1123" i="5"/>
  <c r="P1123" i="5"/>
  <c r="R1123" i="5" s="1"/>
  <c r="U1123" i="5"/>
  <c r="W1123" i="5"/>
  <c r="S1123" i="5"/>
  <c r="O1123" i="5"/>
  <c r="V1119" i="5"/>
  <c r="T1119" i="5"/>
  <c r="P1119" i="5"/>
  <c r="R1119" i="5" s="1"/>
  <c r="U1119" i="5"/>
  <c r="W1119" i="5"/>
  <c r="S1119" i="5"/>
  <c r="O1119" i="5"/>
  <c r="V1115" i="5"/>
  <c r="T1115" i="5"/>
  <c r="P1115" i="5"/>
  <c r="R1115" i="5" s="1"/>
  <c r="U1115" i="5"/>
  <c r="W1115" i="5"/>
  <c r="S1115" i="5"/>
  <c r="O1115" i="5"/>
  <c r="V1111" i="5"/>
  <c r="T1111" i="5"/>
  <c r="P1111" i="5"/>
  <c r="R1111" i="5" s="1"/>
  <c r="U1111" i="5"/>
  <c r="W1111" i="5"/>
  <c r="S1111" i="5"/>
  <c r="O1111" i="5"/>
  <c r="V1107" i="5"/>
  <c r="T1107" i="5"/>
  <c r="P1107" i="5"/>
  <c r="R1107" i="5" s="1"/>
  <c r="U1107" i="5"/>
  <c r="W1107" i="5"/>
  <c r="S1107" i="5"/>
  <c r="O1107" i="5"/>
  <c r="V1103" i="5"/>
  <c r="T1103" i="5"/>
  <c r="P1103" i="5"/>
  <c r="R1103" i="5" s="1"/>
  <c r="U1103" i="5"/>
  <c r="W1103" i="5"/>
  <c r="S1103" i="5"/>
  <c r="O1103" i="5"/>
  <c r="V1099" i="5"/>
  <c r="T1099" i="5"/>
  <c r="P1099" i="5"/>
  <c r="R1099" i="5" s="1"/>
  <c r="U1099" i="5"/>
  <c r="W1099" i="5"/>
  <c r="S1099" i="5"/>
  <c r="O1099" i="5"/>
  <c r="V1095" i="5"/>
  <c r="T1095" i="5"/>
  <c r="P1095" i="5"/>
  <c r="R1095" i="5" s="1"/>
  <c r="U1095" i="5"/>
  <c r="W1095" i="5"/>
  <c r="S1095" i="5"/>
  <c r="O1095" i="5"/>
  <c r="V1091" i="5"/>
  <c r="T1091" i="5"/>
  <c r="P1091" i="5"/>
  <c r="R1091" i="5" s="1"/>
  <c r="U1091" i="5"/>
  <c r="W1091" i="5"/>
  <c r="S1091" i="5"/>
  <c r="O1091" i="5"/>
  <c r="V1087" i="5"/>
  <c r="T1087" i="5"/>
  <c r="P1087" i="5"/>
  <c r="R1087" i="5" s="1"/>
  <c r="U1087" i="5"/>
  <c r="W1087" i="5"/>
  <c r="S1087" i="5"/>
  <c r="O1087" i="5"/>
  <c r="V1083" i="5"/>
  <c r="T1083" i="5"/>
  <c r="P1083" i="5"/>
  <c r="R1083" i="5" s="1"/>
  <c r="U1083" i="5"/>
  <c r="W1083" i="5"/>
  <c r="S1083" i="5"/>
  <c r="O1083" i="5"/>
  <c r="V1079" i="5"/>
  <c r="T1079" i="5"/>
  <c r="P1079" i="5"/>
  <c r="R1079" i="5" s="1"/>
  <c r="U1079" i="5"/>
  <c r="W1079" i="5"/>
  <c r="S1079" i="5"/>
  <c r="O1079" i="5"/>
  <c r="V1075" i="5"/>
  <c r="T1075" i="5"/>
  <c r="P1075" i="5"/>
  <c r="R1075" i="5" s="1"/>
  <c r="U1075" i="5"/>
  <c r="W1075" i="5"/>
  <c r="S1075" i="5"/>
  <c r="O1075" i="5"/>
  <c r="V1071" i="5"/>
  <c r="T1071" i="5"/>
  <c r="P1071" i="5"/>
  <c r="R1071" i="5" s="1"/>
  <c r="U1071" i="5"/>
  <c r="W1071" i="5"/>
  <c r="S1071" i="5"/>
  <c r="O1071" i="5"/>
  <c r="V1067" i="5"/>
  <c r="T1067" i="5"/>
  <c r="P1067" i="5"/>
  <c r="R1067" i="5" s="1"/>
  <c r="U1067" i="5"/>
  <c r="W1067" i="5"/>
  <c r="S1067" i="5"/>
  <c r="O1067" i="5"/>
  <c r="V1063" i="5"/>
  <c r="T1063" i="5"/>
  <c r="P1063" i="5"/>
  <c r="R1063" i="5" s="1"/>
  <c r="U1063" i="5"/>
  <c r="W1063" i="5"/>
  <c r="S1063" i="5"/>
  <c r="O1063" i="5"/>
  <c r="V1059" i="5"/>
  <c r="T1059" i="5"/>
  <c r="P1059" i="5"/>
  <c r="R1059" i="5" s="1"/>
  <c r="U1059" i="5"/>
  <c r="W1059" i="5"/>
  <c r="S1059" i="5"/>
  <c r="O1059" i="5"/>
  <c r="V1055" i="5"/>
  <c r="T1055" i="5"/>
  <c r="P1055" i="5"/>
  <c r="R1055" i="5" s="1"/>
  <c r="U1055" i="5"/>
  <c r="W1055" i="5"/>
  <c r="S1055" i="5"/>
  <c r="O1055" i="5"/>
  <c r="V1051" i="5"/>
  <c r="T1051" i="5"/>
  <c r="P1051" i="5"/>
  <c r="R1051" i="5" s="1"/>
  <c r="U1051" i="5"/>
  <c r="W1051" i="5"/>
  <c r="S1051" i="5"/>
  <c r="O1051" i="5"/>
  <c r="V1047" i="5"/>
  <c r="T1047" i="5"/>
  <c r="P1047" i="5"/>
  <c r="R1047" i="5" s="1"/>
  <c r="U1047" i="5"/>
  <c r="W1047" i="5"/>
  <c r="S1047" i="5"/>
  <c r="O1047" i="5"/>
  <c r="V1043" i="5"/>
  <c r="T1043" i="5"/>
  <c r="P1043" i="5"/>
  <c r="R1043" i="5" s="1"/>
  <c r="U1043" i="5"/>
  <c r="W1043" i="5"/>
  <c r="S1043" i="5"/>
  <c r="O1043" i="5"/>
  <c r="V1039" i="5"/>
  <c r="T1039" i="5"/>
  <c r="P1039" i="5"/>
  <c r="R1039" i="5" s="1"/>
  <c r="U1039" i="5"/>
  <c r="W1039" i="5"/>
  <c r="S1039" i="5"/>
  <c r="O1039" i="5"/>
  <c r="V1035" i="5"/>
  <c r="T1035" i="5"/>
  <c r="P1035" i="5"/>
  <c r="R1035" i="5" s="1"/>
  <c r="U1035" i="5"/>
  <c r="W1035" i="5"/>
  <c r="S1035" i="5"/>
  <c r="O1035" i="5"/>
  <c r="V1031" i="5"/>
  <c r="T1031" i="5"/>
  <c r="P1031" i="5"/>
  <c r="R1031" i="5" s="1"/>
  <c r="U1031" i="5"/>
  <c r="W1031" i="5"/>
  <c r="S1031" i="5"/>
  <c r="O1031" i="5"/>
  <c r="V1027" i="5"/>
  <c r="T1027" i="5"/>
  <c r="P1027" i="5"/>
  <c r="R1027" i="5" s="1"/>
  <c r="U1027" i="5"/>
  <c r="W1027" i="5"/>
  <c r="S1027" i="5"/>
  <c r="O1027" i="5"/>
  <c r="V1023" i="5"/>
  <c r="T1023" i="5"/>
  <c r="P1023" i="5"/>
  <c r="R1023" i="5" s="1"/>
  <c r="U1023" i="5"/>
  <c r="W1023" i="5"/>
  <c r="S1023" i="5"/>
  <c r="O1023" i="5"/>
  <c r="V1019" i="5"/>
  <c r="T1019" i="5"/>
  <c r="P1019" i="5"/>
  <c r="R1019" i="5" s="1"/>
  <c r="U1019" i="5"/>
  <c r="W1019" i="5"/>
  <c r="S1019" i="5"/>
  <c r="O1019" i="5"/>
  <c r="V1015" i="5"/>
  <c r="T1015" i="5"/>
  <c r="P1015" i="5"/>
  <c r="R1015" i="5" s="1"/>
  <c r="U1015" i="5"/>
  <c r="W1015" i="5"/>
  <c r="S1015" i="5"/>
  <c r="O1015" i="5"/>
  <c r="V1011" i="5"/>
  <c r="T1011" i="5"/>
  <c r="P1011" i="5"/>
  <c r="R1011" i="5" s="1"/>
  <c r="U1011" i="5"/>
  <c r="W1011" i="5"/>
  <c r="S1011" i="5"/>
  <c r="O1011" i="5"/>
  <c r="V1007" i="5"/>
  <c r="T1007" i="5"/>
  <c r="P1007" i="5"/>
  <c r="R1007" i="5" s="1"/>
  <c r="U1007" i="5"/>
  <c r="W1007" i="5"/>
  <c r="S1007" i="5"/>
  <c r="O1007" i="5"/>
  <c r="W1003" i="5"/>
  <c r="U1003" i="5"/>
  <c r="S1003" i="5"/>
  <c r="O1003" i="5"/>
  <c r="T1003" i="5"/>
  <c r="P1003" i="5"/>
  <c r="R1003" i="5" s="1"/>
  <c r="V1003" i="5"/>
  <c r="W999" i="5"/>
  <c r="U999" i="5"/>
  <c r="S999" i="5"/>
  <c r="O999" i="5"/>
  <c r="T999" i="5"/>
  <c r="P999" i="5"/>
  <c r="R999" i="5" s="1"/>
  <c r="V999" i="5"/>
  <c r="W995" i="5"/>
  <c r="U995" i="5"/>
  <c r="S995" i="5"/>
  <c r="O995" i="5"/>
  <c r="T995" i="5"/>
  <c r="P995" i="5"/>
  <c r="R995" i="5" s="1"/>
  <c r="V995" i="5"/>
  <c r="W991" i="5"/>
  <c r="U991" i="5"/>
  <c r="S991" i="5"/>
  <c r="O991" i="5"/>
  <c r="T991" i="5"/>
  <c r="P991" i="5"/>
  <c r="R991" i="5" s="1"/>
  <c r="V991" i="5"/>
  <c r="W987" i="5"/>
  <c r="U987" i="5"/>
  <c r="S987" i="5"/>
  <c r="O987" i="5"/>
  <c r="T987" i="5"/>
  <c r="P987" i="5"/>
  <c r="R987" i="5" s="1"/>
  <c r="V987" i="5"/>
  <c r="W983" i="5"/>
  <c r="U983" i="5"/>
  <c r="S983" i="5"/>
  <c r="O983" i="5"/>
  <c r="T983" i="5"/>
  <c r="P983" i="5"/>
  <c r="R983" i="5" s="1"/>
  <c r="V983" i="5"/>
  <c r="W979" i="5"/>
  <c r="U979" i="5"/>
  <c r="S979" i="5"/>
  <c r="O979" i="5"/>
  <c r="T979" i="5"/>
  <c r="P979" i="5"/>
  <c r="R979" i="5" s="1"/>
  <c r="V979" i="5"/>
  <c r="W975" i="5"/>
  <c r="U975" i="5"/>
  <c r="S975" i="5"/>
  <c r="O975" i="5"/>
  <c r="T975" i="5"/>
  <c r="P975" i="5"/>
  <c r="R975" i="5" s="1"/>
  <c r="V975" i="5"/>
  <c r="W971" i="5"/>
  <c r="U971" i="5"/>
  <c r="S971" i="5"/>
  <c r="O971" i="5"/>
  <c r="V971" i="5"/>
  <c r="T971" i="5"/>
  <c r="P971" i="5"/>
  <c r="R971" i="5" s="1"/>
  <c r="W967" i="5"/>
  <c r="U967" i="5"/>
  <c r="S967" i="5"/>
  <c r="O967" i="5"/>
  <c r="V967" i="5"/>
  <c r="T967" i="5"/>
  <c r="P967" i="5"/>
  <c r="R967" i="5" s="1"/>
  <c r="W963" i="5"/>
  <c r="U963" i="5"/>
  <c r="S963" i="5"/>
  <c r="O963" i="5"/>
  <c r="V963" i="5"/>
  <c r="T963" i="5"/>
  <c r="P963" i="5"/>
  <c r="R963" i="5" s="1"/>
  <c r="W959" i="5"/>
  <c r="U959" i="5"/>
  <c r="S959" i="5"/>
  <c r="O959" i="5"/>
  <c r="V959" i="5"/>
  <c r="T959" i="5"/>
  <c r="P959" i="5"/>
  <c r="R959" i="5" s="1"/>
  <c r="W955" i="5"/>
  <c r="U955" i="5"/>
  <c r="S955" i="5"/>
  <c r="O955" i="5"/>
  <c r="V955" i="5"/>
  <c r="T955" i="5"/>
  <c r="P955" i="5"/>
  <c r="R955" i="5" s="1"/>
  <c r="W951" i="5"/>
  <c r="U951" i="5"/>
  <c r="S951" i="5"/>
  <c r="O951" i="5"/>
  <c r="V951" i="5"/>
  <c r="T951" i="5"/>
  <c r="P951" i="5"/>
  <c r="R951" i="5" s="1"/>
  <c r="W947" i="5"/>
  <c r="U947" i="5"/>
  <c r="S947" i="5"/>
  <c r="O947" i="5"/>
  <c r="V947" i="5"/>
  <c r="T947" i="5"/>
  <c r="P947" i="5"/>
  <c r="R947" i="5" s="1"/>
  <c r="W943" i="5"/>
  <c r="U943" i="5"/>
  <c r="S943" i="5"/>
  <c r="O943" i="5"/>
  <c r="V943" i="5"/>
  <c r="T943" i="5"/>
  <c r="P943" i="5"/>
  <c r="R943" i="5" s="1"/>
  <c r="W939" i="5"/>
  <c r="U939" i="5"/>
  <c r="S939" i="5"/>
  <c r="O939" i="5"/>
  <c r="V939" i="5"/>
  <c r="T939" i="5"/>
  <c r="P939" i="5"/>
  <c r="R939" i="5" s="1"/>
  <c r="W935" i="5"/>
  <c r="U935" i="5"/>
  <c r="S935" i="5"/>
  <c r="O935" i="5"/>
  <c r="V935" i="5"/>
  <c r="T935" i="5"/>
  <c r="P935" i="5"/>
  <c r="R935" i="5" s="1"/>
  <c r="W931" i="5"/>
  <c r="U931" i="5"/>
  <c r="S931" i="5"/>
  <c r="O931" i="5"/>
  <c r="V931" i="5"/>
  <c r="T931" i="5"/>
  <c r="P931" i="5"/>
  <c r="R931" i="5" s="1"/>
  <c r="W927" i="5"/>
  <c r="U927" i="5"/>
  <c r="S927" i="5"/>
  <c r="O927" i="5"/>
  <c r="V927" i="5"/>
  <c r="T927" i="5"/>
  <c r="P927" i="5"/>
  <c r="R927" i="5" s="1"/>
  <c r="W923" i="5"/>
  <c r="U923" i="5"/>
  <c r="S923" i="5"/>
  <c r="O923" i="5"/>
  <c r="V923" i="5"/>
  <c r="T923" i="5"/>
  <c r="P923" i="5"/>
  <c r="R923" i="5" s="1"/>
  <c r="W919" i="5"/>
  <c r="U919" i="5"/>
  <c r="S919" i="5"/>
  <c r="O919" i="5"/>
  <c r="V919" i="5"/>
  <c r="T919" i="5"/>
  <c r="P919" i="5"/>
  <c r="R919" i="5" s="1"/>
  <c r="W915" i="5"/>
  <c r="U915" i="5"/>
  <c r="S915" i="5"/>
  <c r="O915" i="5"/>
  <c r="V915" i="5"/>
  <c r="T915" i="5"/>
  <c r="P915" i="5"/>
  <c r="R915" i="5" s="1"/>
  <c r="W911" i="5"/>
  <c r="U911" i="5"/>
  <c r="S911" i="5"/>
  <c r="O911" i="5"/>
  <c r="V911" i="5"/>
  <c r="T911" i="5"/>
  <c r="P911" i="5"/>
  <c r="R911" i="5" s="1"/>
  <c r="W907" i="5"/>
  <c r="U907" i="5"/>
  <c r="S907" i="5"/>
  <c r="O907" i="5"/>
  <c r="V907" i="5"/>
  <c r="T907" i="5"/>
  <c r="P907" i="5"/>
  <c r="R907" i="5" s="1"/>
  <c r="W903" i="5"/>
  <c r="U903" i="5"/>
  <c r="S903" i="5"/>
  <c r="O903" i="5"/>
  <c r="V903" i="5"/>
  <c r="T903" i="5"/>
  <c r="P903" i="5"/>
  <c r="R903" i="5" s="1"/>
  <c r="W899" i="5"/>
  <c r="U899" i="5"/>
  <c r="S899" i="5"/>
  <c r="O899" i="5"/>
  <c r="V899" i="5"/>
  <c r="T899" i="5"/>
  <c r="P899" i="5"/>
  <c r="R899" i="5" s="1"/>
  <c r="W895" i="5"/>
  <c r="U895" i="5"/>
  <c r="S895" i="5"/>
  <c r="O895" i="5"/>
  <c r="V895" i="5"/>
  <c r="T895" i="5"/>
  <c r="P895" i="5"/>
  <c r="R895" i="5" s="1"/>
  <c r="W891" i="5"/>
  <c r="U891" i="5"/>
  <c r="S891" i="5"/>
  <c r="O891" i="5"/>
  <c r="V891" i="5"/>
  <c r="T891" i="5"/>
  <c r="P891" i="5"/>
  <c r="R891" i="5" s="1"/>
  <c r="W887" i="5"/>
  <c r="U887" i="5"/>
  <c r="S887" i="5"/>
  <c r="O887" i="5"/>
  <c r="V887" i="5"/>
  <c r="T887" i="5"/>
  <c r="P887" i="5"/>
  <c r="R887" i="5" s="1"/>
  <c r="W883" i="5"/>
  <c r="U883" i="5"/>
  <c r="S883" i="5"/>
  <c r="O883" i="5"/>
  <c r="V883" i="5"/>
  <c r="T883" i="5"/>
  <c r="P883" i="5"/>
  <c r="R883" i="5" s="1"/>
  <c r="W879" i="5"/>
  <c r="U879" i="5"/>
  <c r="S879" i="5"/>
  <c r="O879" i="5"/>
  <c r="V879" i="5"/>
  <c r="T879" i="5"/>
  <c r="P879" i="5"/>
  <c r="R879" i="5" s="1"/>
  <c r="W875" i="5"/>
  <c r="U875" i="5"/>
  <c r="S875" i="5"/>
  <c r="O875" i="5"/>
  <c r="V875" i="5"/>
  <c r="T875" i="5"/>
  <c r="P875" i="5"/>
  <c r="R875" i="5" s="1"/>
  <c r="W871" i="5"/>
  <c r="U871" i="5"/>
  <c r="S871" i="5"/>
  <c r="O871" i="5"/>
  <c r="V871" i="5"/>
  <c r="T871" i="5"/>
  <c r="P871" i="5"/>
  <c r="R871" i="5" s="1"/>
  <c r="W867" i="5"/>
  <c r="U867" i="5"/>
  <c r="S867" i="5"/>
  <c r="O867" i="5"/>
  <c r="V867" i="5"/>
  <c r="T867" i="5"/>
  <c r="P867" i="5"/>
  <c r="R867" i="5" s="1"/>
  <c r="W863" i="5"/>
  <c r="U863" i="5"/>
  <c r="S863" i="5"/>
  <c r="O863" i="5"/>
  <c r="V863" i="5"/>
  <c r="T863" i="5"/>
  <c r="P863" i="5"/>
  <c r="R863" i="5" s="1"/>
  <c r="W859" i="5"/>
  <c r="U859" i="5"/>
  <c r="S859" i="5"/>
  <c r="O859" i="5"/>
  <c r="V859" i="5"/>
  <c r="T859" i="5"/>
  <c r="P859" i="5"/>
  <c r="R859" i="5" s="1"/>
  <c r="W855" i="5"/>
  <c r="U855" i="5"/>
  <c r="S855" i="5"/>
  <c r="O855" i="5"/>
  <c r="V855" i="5"/>
  <c r="T855" i="5"/>
  <c r="P855" i="5"/>
  <c r="R855" i="5" s="1"/>
  <c r="W851" i="5"/>
  <c r="U851" i="5"/>
  <c r="S851" i="5"/>
  <c r="O851" i="5"/>
  <c r="V851" i="5"/>
  <c r="T851" i="5"/>
  <c r="P851" i="5"/>
  <c r="R851" i="5" s="1"/>
  <c r="W847" i="5"/>
  <c r="U847" i="5"/>
  <c r="S847" i="5"/>
  <c r="O847" i="5"/>
  <c r="V847" i="5"/>
  <c r="T847" i="5"/>
  <c r="P847" i="5"/>
  <c r="R847" i="5" s="1"/>
  <c r="W843" i="5"/>
  <c r="U843" i="5"/>
  <c r="S843" i="5"/>
  <c r="O843" i="5"/>
  <c r="V843" i="5"/>
  <c r="T843" i="5"/>
  <c r="P843" i="5"/>
  <c r="R843" i="5" s="1"/>
  <c r="W839" i="5"/>
  <c r="U839" i="5"/>
  <c r="S839" i="5"/>
  <c r="O839" i="5"/>
  <c r="V839" i="5"/>
  <c r="T839" i="5"/>
  <c r="P839" i="5"/>
  <c r="R839" i="5" s="1"/>
  <c r="W835" i="5"/>
  <c r="U835" i="5"/>
  <c r="S835" i="5"/>
  <c r="O835" i="5"/>
  <c r="V835" i="5"/>
  <c r="T835" i="5"/>
  <c r="P835" i="5"/>
  <c r="R835" i="5" s="1"/>
  <c r="W831" i="5"/>
  <c r="U831" i="5"/>
  <c r="S831" i="5"/>
  <c r="O831" i="5"/>
  <c r="V831" i="5"/>
  <c r="T831" i="5"/>
  <c r="P831" i="5"/>
  <c r="R831" i="5" s="1"/>
  <c r="V827" i="5"/>
  <c r="T827" i="5"/>
  <c r="P827" i="5"/>
  <c r="R827" i="5" s="1"/>
  <c r="W827" i="5"/>
  <c r="S827" i="5"/>
  <c r="O827" i="5"/>
  <c r="U827" i="5"/>
  <c r="V823" i="5"/>
  <c r="T823" i="5"/>
  <c r="P823" i="5"/>
  <c r="R823" i="5" s="1"/>
  <c r="W823" i="5"/>
  <c r="S823" i="5"/>
  <c r="O823" i="5"/>
  <c r="U823" i="5"/>
  <c r="V819" i="5"/>
  <c r="T819" i="5"/>
  <c r="P819" i="5"/>
  <c r="R819" i="5" s="1"/>
  <c r="W819" i="5"/>
  <c r="S819" i="5"/>
  <c r="O819" i="5"/>
  <c r="U819" i="5"/>
  <c r="V815" i="5"/>
  <c r="T815" i="5"/>
  <c r="P815" i="5"/>
  <c r="R815" i="5" s="1"/>
  <c r="W815" i="5"/>
  <c r="S815" i="5"/>
  <c r="O815" i="5"/>
  <c r="U815" i="5"/>
  <c r="V811" i="5"/>
  <c r="T811" i="5"/>
  <c r="P811" i="5"/>
  <c r="R811" i="5" s="1"/>
  <c r="W811" i="5"/>
  <c r="S811" i="5"/>
  <c r="O811" i="5"/>
  <c r="U811" i="5"/>
  <c r="V807" i="5"/>
  <c r="T807" i="5"/>
  <c r="P807" i="5"/>
  <c r="R807" i="5" s="1"/>
  <c r="W807" i="5"/>
  <c r="S807" i="5"/>
  <c r="O807" i="5"/>
  <c r="U807" i="5"/>
  <c r="V803" i="5"/>
  <c r="T803" i="5"/>
  <c r="P803" i="5"/>
  <c r="R803" i="5" s="1"/>
  <c r="W803" i="5"/>
  <c r="S803" i="5"/>
  <c r="O803" i="5"/>
  <c r="U803" i="5"/>
  <c r="V799" i="5"/>
  <c r="T799" i="5"/>
  <c r="P799" i="5"/>
  <c r="R799" i="5" s="1"/>
  <c r="W799" i="5"/>
  <c r="S799" i="5"/>
  <c r="O799" i="5"/>
  <c r="U799" i="5"/>
  <c r="V795" i="5"/>
  <c r="T795" i="5"/>
  <c r="P795" i="5"/>
  <c r="R795" i="5" s="1"/>
  <c r="W795" i="5"/>
  <c r="S795" i="5"/>
  <c r="O795" i="5"/>
  <c r="U795" i="5"/>
  <c r="V791" i="5"/>
  <c r="T791" i="5"/>
  <c r="P791" i="5"/>
  <c r="R791" i="5" s="1"/>
  <c r="W791" i="5"/>
  <c r="S791" i="5"/>
  <c r="O791" i="5"/>
  <c r="U791" i="5"/>
  <c r="V787" i="5"/>
  <c r="T787" i="5"/>
  <c r="P787" i="5"/>
  <c r="R787" i="5" s="1"/>
  <c r="W787" i="5"/>
  <c r="S787" i="5"/>
  <c r="O787" i="5"/>
  <c r="U787" i="5"/>
  <c r="V783" i="5"/>
  <c r="T783" i="5"/>
  <c r="P783" i="5"/>
  <c r="R783" i="5" s="1"/>
  <c r="W783" i="5"/>
  <c r="S783" i="5"/>
  <c r="O783" i="5"/>
  <c r="U783" i="5"/>
  <c r="V779" i="5"/>
  <c r="T779" i="5"/>
  <c r="P779" i="5"/>
  <c r="R779" i="5" s="1"/>
  <c r="W779" i="5"/>
  <c r="S779" i="5"/>
  <c r="O779" i="5"/>
  <c r="U779" i="5"/>
  <c r="V775" i="5"/>
  <c r="T775" i="5"/>
  <c r="P775" i="5"/>
  <c r="R775" i="5" s="1"/>
  <c r="W775" i="5"/>
  <c r="S775" i="5"/>
  <c r="O775" i="5"/>
  <c r="U775" i="5"/>
  <c r="V771" i="5"/>
  <c r="T771" i="5"/>
  <c r="P771" i="5"/>
  <c r="R771" i="5" s="1"/>
  <c r="W771" i="5"/>
  <c r="S771" i="5"/>
  <c r="O771" i="5"/>
  <c r="U771" i="5"/>
  <c r="V767" i="5"/>
  <c r="T767" i="5"/>
  <c r="P767" i="5"/>
  <c r="R767" i="5" s="1"/>
  <c r="W767" i="5"/>
  <c r="S767" i="5"/>
  <c r="O767" i="5"/>
  <c r="U767" i="5"/>
  <c r="V763" i="5"/>
  <c r="T763" i="5"/>
  <c r="P763" i="5"/>
  <c r="R763" i="5" s="1"/>
  <c r="W763" i="5"/>
  <c r="S763" i="5"/>
  <c r="O763" i="5"/>
  <c r="U763" i="5"/>
  <c r="V759" i="5"/>
  <c r="T759" i="5"/>
  <c r="P759" i="5"/>
  <c r="R759" i="5" s="1"/>
  <c r="W759" i="5"/>
  <c r="S759" i="5"/>
  <c r="O759" i="5"/>
  <c r="U759" i="5"/>
  <c r="V755" i="5"/>
  <c r="T755" i="5"/>
  <c r="P755" i="5"/>
  <c r="R755" i="5" s="1"/>
  <c r="W755" i="5"/>
  <c r="S755" i="5"/>
  <c r="O755" i="5"/>
  <c r="U755" i="5"/>
  <c r="V751" i="5"/>
  <c r="T751" i="5"/>
  <c r="P751" i="5"/>
  <c r="R751" i="5" s="1"/>
  <c r="W751" i="5"/>
  <c r="S751" i="5"/>
  <c r="O751" i="5"/>
  <c r="U751" i="5"/>
  <c r="V747" i="5"/>
  <c r="T747" i="5"/>
  <c r="P747" i="5"/>
  <c r="R747" i="5" s="1"/>
  <c r="W747" i="5"/>
  <c r="S747" i="5"/>
  <c r="O747" i="5"/>
  <c r="U747" i="5"/>
  <c r="V743" i="5"/>
  <c r="T743" i="5"/>
  <c r="P743" i="5"/>
  <c r="R743" i="5" s="1"/>
  <c r="W743" i="5"/>
  <c r="S743" i="5"/>
  <c r="O743" i="5"/>
  <c r="U743" i="5"/>
  <c r="V739" i="5"/>
  <c r="T739" i="5"/>
  <c r="P739" i="5"/>
  <c r="R739" i="5" s="1"/>
  <c r="W739" i="5"/>
  <c r="S739" i="5"/>
  <c r="O739" i="5"/>
  <c r="U739" i="5"/>
  <c r="V735" i="5"/>
  <c r="T735" i="5"/>
  <c r="P735" i="5"/>
  <c r="R735" i="5" s="1"/>
  <c r="W735" i="5"/>
  <c r="S735" i="5"/>
  <c r="O735" i="5"/>
  <c r="U735" i="5"/>
  <c r="V731" i="5"/>
  <c r="T731" i="5"/>
  <c r="P731" i="5"/>
  <c r="R731" i="5" s="1"/>
  <c r="W731" i="5"/>
  <c r="S731" i="5"/>
  <c r="O731" i="5"/>
  <c r="U731" i="5"/>
  <c r="V727" i="5"/>
  <c r="T727" i="5"/>
  <c r="P727" i="5"/>
  <c r="R727" i="5" s="1"/>
  <c r="W727" i="5"/>
  <c r="S727" i="5"/>
  <c r="O727" i="5"/>
  <c r="U727" i="5"/>
  <c r="V723" i="5"/>
  <c r="T723" i="5"/>
  <c r="P723" i="5"/>
  <c r="R723" i="5" s="1"/>
  <c r="W723" i="5"/>
  <c r="S723" i="5"/>
  <c r="O723" i="5"/>
  <c r="U723" i="5"/>
  <c r="V719" i="5"/>
  <c r="W719" i="5"/>
  <c r="T719" i="5"/>
  <c r="P719" i="5"/>
  <c r="R719" i="5" s="1"/>
  <c r="U719" i="5"/>
  <c r="S719" i="5"/>
  <c r="O719" i="5"/>
  <c r="V715" i="5"/>
  <c r="T715" i="5"/>
  <c r="P715" i="5"/>
  <c r="R715" i="5" s="1"/>
  <c r="W715" i="5"/>
  <c r="U715" i="5"/>
  <c r="S715" i="5"/>
  <c r="O715" i="5"/>
  <c r="V711" i="5"/>
  <c r="T711" i="5"/>
  <c r="P711" i="5"/>
  <c r="R711" i="5" s="1"/>
  <c r="W711" i="5"/>
  <c r="U711" i="5"/>
  <c r="S711" i="5"/>
  <c r="O711" i="5"/>
  <c r="V707" i="5"/>
  <c r="T707" i="5"/>
  <c r="P707" i="5"/>
  <c r="R707" i="5" s="1"/>
  <c r="W707" i="5"/>
  <c r="U707" i="5"/>
  <c r="S707" i="5"/>
  <c r="O707" i="5"/>
  <c r="V703" i="5"/>
  <c r="T703" i="5"/>
  <c r="P703" i="5"/>
  <c r="R703" i="5" s="1"/>
  <c r="W703" i="5"/>
  <c r="U703" i="5"/>
  <c r="S703" i="5"/>
  <c r="O703" i="5"/>
  <c r="V699" i="5"/>
  <c r="T699" i="5"/>
  <c r="P699" i="5"/>
  <c r="R699" i="5" s="1"/>
  <c r="W699" i="5"/>
  <c r="U699" i="5"/>
  <c r="S699" i="5"/>
  <c r="O699" i="5"/>
  <c r="V695" i="5"/>
  <c r="T695" i="5"/>
  <c r="P695" i="5"/>
  <c r="R695" i="5" s="1"/>
  <c r="W695" i="5"/>
  <c r="U695" i="5"/>
  <c r="S695" i="5"/>
  <c r="O695" i="5"/>
  <c r="V691" i="5"/>
  <c r="T691" i="5"/>
  <c r="P691" i="5"/>
  <c r="R691" i="5" s="1"/>
  <c r="W691" i="5"/>
  <c r="U691" i="5"/>
  <c r="S691" i="5"/>
  <c r="O691" i="5"/>
  <c r="V687" i="5"/>
  <c r="T687" i="5"/>
  <c r="P687" i="5"/>
  <c r="R687" i="5" s="1"/>
  <c r="W687" i="5"/>
  <c r="U687" i="5"/>
  <c r="S687" i="5"/>
  <c r="O687" i="5"/>
  <c r="V683" i="5"/>
  <c r="T683" i="5"/>
  <c r="P683" i="5"/>
  <c r="R683" i="5" s="1"/>
  <c r="W683" i="5"/>
  <c r="U683" i="5"/>
  <c r="S683" i="5"/>
  <c r="O683" i="5"/>
  <c r="V679" i="5"/>
  <c r="T679" i="5"/>
  <c r="P679" i="5"/>
  <c r="R679" i="5" s="1"/>
  <c r="W679" i="5"/>
  <c r="U679" i="5"/>
  <c r="S679" i="5"/>
  <c r="O679" i="5"/>
  <c r="V675" i="5"/>
  <c r="T675" i="5"/>
  <c r="P675" i="5"/>
  <c r="R675" i="5" s="1"/>
  <c r="W675" i="5"/>
  <c r="U675" i="5"/>
  <c r="S675" i="5"/>
  <c r="O675" i="5"/>
  <c r="V671" i="5"/>
  <c r="T671" i="5"/>
  <c r="P671" i="5"/>
  <c r="R671" i="5" s="1"/>
  <c r="W671" i="5"/>
  <c r="U671" i="5"/>
  <c r="S671" i="5"/>
  <c r="O671" i="5"/>
  <c r="V667" i="5"/>
  <c r="T667" i="5"/>
  <c r="P667" i="5"/>
  <c r="R667" i="5" s="1"/>
  <c r="W667" i="5"/>
  <c r="U667" i="5"/>
  <c r="S667" i="5"/>
  <c r="O667" i="5"/>
  <c r="V663" i="5"/>
  <c r="T663" i="5"/>
  <c r="P663" i="5"/>
  <c r="R663" i="5" s="1"/>
  <c r="W663" i="5"/>
  <c r="U663" i="5"/>
  <c r="S663" i="5"/>
  <c r="O663" i="5"/>
  <c r="V659" i="5"/>
  <c r="T659" i="5"/>
  <c r="P659" i="5"/>
  <c r="R659" i="5" s="1"/>
  <c r="W659" i="5"/>
  <c r="U659" i="5"/>
  <c r="S659" i="5"/>
  <c r="O659" i="5"/>
  <c r="V655" i="5"/>
  <c r="T655" i="5"/>
  <c r="P655" i="5"/>
  <c r="R655" i="5" s="1"/>
  <c r="W655" i="5"/>
  <c r="U655" i="5"/>
  <c r="S655" i="5"/>
  <c r="O655" i="5"/>
  <c r="V651" i="5"/>
  <c r="T651" i="5"/>
  <c r="P651" i="5"/>
  <c r="R651" i="5" s="1"/>
  <c r="W651" i="5"/>
  <c r="U651" i="5"/>
  <c r="S651" i="5"/>
  <c r="O651" i="5"/>
  <c r="V647" i="5"/>
  <c r="T647" i="5"/>
  <c r="P647" i="5"/>
  <c r="R647" i="5" s="1"/>
  <c r="W647" i="5"/>
  <c r="U647" i="5"/>
  <c r="S647" i="5"/>
  <c r="O647" i="5"/>
  <c r="V643" i="5"/>
  <c r="T643" i="5"/>
  <c r="P643" i="5"/>
  <c r="R643" i="5" s="1"/>
  <c r="W643" i="5"/>
  <c r="U643" i="5"/>
  <c r="S643" i="5"/>
  <c r="O643" i="5"/>
  <c r="V639" i="5"/>
  <c r="T639" i="5"/>
  <c r="P639" i="5"/>
  <c r="R639" i="5" s="1"/>
  <c r="W639" i="5"/>
  <c r="U639" i="5"/>
  <c r="S639" i="5"/>
  <c r="O639" i="5"/>
  <c r="V635" i="5"/>
  <c r="T635" i="5"/>
  <c r="P635" i="5"/>
  <c r="R635" i="5" s="1"/>
  <c r="W635" i="5"/>
  <c r="U635" i="5"/>
  <c r="S635" i="5"/>
  <c r="O635" i="5"/>
  <c r="V631" i="5"/>
  <c r="T631" i="5"/>
  <c r="P631" i="5"/>
  <c r="R631" i="5" s="1"/>
  <c r="W631" i="5"/>
  <c r="U631" i="5"/>
  <c r="S631" i="5"/>
  <c r="O631" i="5"/>
  <c r="V627" i="5"/>
  <c r="T627" i="5"/>
  <c r="P627" i="5"/>
  <c r="R627" i="5" s="1"/>
  <c r="W627" i="5"/>
  <c r="U627" i="5"/>
  <c r="S627" i="5"/>
  <c r="O627" i="5"/>
  <c r="V623" i="5"/>
  <c r="T623" i="5"/>
  <c r="P623" i="5"/>
  <c r="R623" i="5" s="1"/>
  <c r="W623" i="5"/>
  <c r="U623" i="5"/>
  <c r="S623" i="5"/>
  <c r="O623" i="5"/>
  <c r="V619" i="5"/>
  <c r="T619" i="5"/>
  <c r="P619" i="5"/>
  <c r="R619" i="5" s="1"/>
  <c r="W619" i="5"/>
  <c r="U619" i="5"/>
  <c r="S619" i="5"/>
  <c r="O619" i="5"/>
  <c r="V615" i="5"/>
  <c r="T615" i="5"/>
  <c r="P615" i="5"/>
  <c r="R615" i="5" s="1"/>
  <c r="W615" i="5"/>
  <c r="U615" i="5"/>
  <c r="S615" i="5"/>
  <c r="O615" i="5"/>
  <c r="V611" i="5"/>
  <c r="T611" i="5"/>
  <c r="P611" i="5"/>
  <c r="R611" i="5" s="1"/>
  <c r="W611" i="5"/>
  <c r="U611" i="5"/>
  <c r="S611" i="5"/>
  <c r="O611" i="5"/>
  <c r="V607" i="5"/>
  <c r="T607" i="5"/>
  <c r="P607" i="5"/>
  <c r="R607" i="5" s="1"/>
  <c r="W607" i="5"/>
  <c r="U607" i="5"/>
  <c r="S607" i="5"/>
  <c r="O607" i="5"/>
  <c r="V603" i="5"/>
  <c r="T603" i="5"/>
  <c r="P603" i="5"/>
  <c r="R603" i="5" s="1"/>
  <c r="W603" i="5"/>
  <c r="U603" i="5"/>
  <c r="S603" i="5"/>
  <c r="O603" i="5"/>
  <c r="V599" i="5"/>
  <c r="T599" i="5"/>
  <c r="P599" i="5"/>
  <c r="R599" i="5" s="1"/>
  <c r="W599" i="5"/>
  <c r="U599" i="5"/>
  <c r="S599" i="5"/>
  <c r="O599" i="5"/>
  <c r="V595" i="5"/>
  <c r="T595" i="5"/>
  <c r="P595" i="5"/>
  <c r="R595" i="5" s="1"/>
  <c r="W595" i="5"/>
  <c r="U595" i="5"/>
  <c r="S595" i="5"/>
  <c r="O595" i="5"/>
  <c r="V591" i="5"/>
  <c r="T591" i="5"/>
  <c r="P591" i="5"/>
  <c r="R591" i="5" s="1"/>
  <c r="W591" i="5"/>
  <c r="U591" i="5"/>
  <c r="S591" i="5"/>
  <c r="O591" i="5"/>
  <c r="V587" i="5"/>
  <c r="T587" i="5"/>
  <c r="P587" i="5"/>
  <c r="R587" i="5" s="1"/>
  <c r="W587" i="5"/>
  <c r="U587" i="5"/>
  <c r="S587" i="5"/>
  <c r="O587" i="5"/>
  <c r="V583" i="5"/>
  <c r="T583" i="5"/>
  <c r="P583" i="5"/>
  <c r="R583" i="5" s="1"/>
  <c r="W583" i="5"/>
  <c r="U583" i="5"/>
  <c r="S583" i="5"/>
  <c r="O583" i="5"/>
  <c r="V579" i="5"/>
  <c r="T579" i="5"/>
  <c r="P579" i="5"/>
  <c r="R579" i="5" s="1"/>
  <c r="W579" i="5"/>
  <c r="U579" i="5"/>
  <c r="S579" i="5"/>
  <c r="O579" i="5"/>
  <c r="V575" i="5"/>
  <c r="T575" i="5"/>
  <c r="P575" i="5"/>
  <c r="R575" i="5" s="1"/>
  <c r="W575" i="5"/>
  <c r="U575" i="5"/>
  <c r="S575" i="5"/>
  <c r="O575" i="5"/>
  <c r="V571" i="5"/>
  <c r="T571" i="5"/>
  <c r="P571" i="5"/>
  <c r="R571" i="5" s="1"/>
  <c r="W571" i="5"/>
  <c r="U571" i="5"/>
  <c r="S571" i="5"/>
  <c r="O571" i="5"/>
  <c r="V567" i="5"/>
  <c r="T567" i="5"/>
  <c r="P567" i="5"/>
  <c r="R567" i="5" s="1"/>
  <c r="W567" i="5"/>
  <c r="U567" i="5"/>
  <c r="S567" i="5"/>
  <c r="O567" i="5"/>
  <c r="V563" i="5"/>
  <c r="T563" i="5"/>
  <c r="P563" i="5"/>
  <c r="R563" i="5" s="1"/>
  <c r="W563" i="5"/>
  <c r="U563" i="5"/>
  <c r="S563" i="5"/>
  <c r="O563" i="5"/>
  <c r="V559" i="5"/>
  <c r="T559" i="5"/>
  <c r="P559" i="5"/>
  <c r="R559" i="5" s="1"/>
  <c r="W559" i="5"/>
  <c r="U559" i="5"/>
  <c r="S559" i="5"/>
  <c r="O559" i="5"/>
  <c r="V555" i="5"/>
  <c r="T555" i="5"/>
  <c r="P555" i="5"/>
  <c r="R555" i="5" s="1"/>
  <c r="W555" i="5"/>
  <c r="U555" i="5"/>
  <c r="S555" i="5"/>
  <c r="O555" i="5"/>
  <c r="V551" i="5"/>
  <c r="T551" i="5"/>
  <c r="P551" i="5"/>
  <c r="R551" i="5" s="1"/>
  <c r="W551" i="5"/>
  <c r="U551" i="5"/>
  <c r="S551" i="5"/>
  <c r="O551" i="5"/>
  <c r="V547" i="5"/>
  <c r="T547" i="5"/>
  <c r="P547" i="5"/>
  <c r="R547" i="5" s="1"/>
  <c r="W547" i="5"/>
  <c r="U547" i="5"/>
  <c r="S547" i="5"/>
  <c r="O547" i="5"/>
  <c r="V543" i="5"/>
  <c r="T543" i="5"/>
  <c r="P543" i="5"/>
  <c r="R543" i="5" s="1"/>
  <c r="W543" i="5"/>
  <c r="U543" i="5"/>
  <c r="S543" i="5"/>
  <c r="O543" i="5"/>
  <c r="V539" i="5"/>
  <c r="T539" i="5"/>
  <c r="P539" i="5"/>
  <c r="R539" i="5" s="1"/>
  <c r="W539" i="5"/>
  <c r="U539" i="5"/>
  <c r="S539" i="5"/>
  <c r="O539" i="5"/>
  <c r="V535" i="5"/>
  <c r="T535" i="5"/>
  <c r="P535" i="5"/>
  <c r="R535" i="5" s="1"/>
  <c r="W535" i="5"/>
  <c r="U535" i="5"/>
  <c r="S535" i="5"/>
  <c r="O535" i="5"/>
  <c r="V531" i="5"/>
  <c r="T531" i="5"/>
  <c r="P531" i="5"/>
  <c r="R531" i="5" s="1"/>
  <c r="W531" i="5"/>
  <c r="U531" i="5"/>
  <c r="S531" i="5"/>
  <c r="O531" i="5"/>
  <c r="V527" i="5"/>
  <c r="T527" i="5"/>
  <c r="P527" i="5"/>
  <c r="R527" i="5" s="1"/>
  <c r="W527" i="5"/>
  <c r="U527" i="5"/>
  <c r="S527" i="5"/>
  <c r="O527" i="5"/>
  <c r="V523" i="5"/>
  <c r="T523" i="5"/>
  <c r="P523" i="5"/>
  <c r="R523" i="5" s="1"/>
  <c r="W523" i="5"/>
  <c r="U523" i="5"/>
  <c r="S523" i="5"/>
  <c r="O523" i="5"/>
  <c r="V519" i="5"/>
  <c r="T519" i="5"/>
  <c r="P519" i="5"/>
  <c r="R519" i="5" s="1"/>
  <c r="W519" i="5"/>
  <c r="U519" i="5"/>
  <c r="S519" i="5"/>
  <c r="O519" i="5"/>
  <c r="V515" i="5"/>
  <c r="T515" i="5"/>
  <c r="P515" i="5"/>
  <c r="R515" i="5" s="1"/>
  <c r="W515" i="5"/>
  <c r="U515" i="5"/>
  <c r="S515" i="5"/>
  <c r="O515" i="5"/>
  <c r="V511" i="5"/>
  <c r="T511" i="5"/>
  <c r="P511" i="5"/>
  <c r="R511" i="5" s="1"/>
  <c r="W511" i="5"/>
  <c r="U511" i="5"/>
  <c r="S511" i="5"/>
  <c r="O511" i="5"/>
  <c r="V507" i="5"/>
  <c r="T507" i="5"/>
  <c r="P507" i="5"/>
  <c r="R507" i="5" s="1"/>
  <c r="W507" i="5"/>
  <c r="U507" i="5"/>
  <c r="S507" i="5"/>
  <c r="O507" i="5"/>
  <c r="V503" i="5"/>
  <c r="T503" i="5"/>
  <c r="P503" i="5"/>
  <c r="R503" i="5" s="1"/>
  <c r="W503" i="5"/>
  <c r="U503" i="5"/>
  <c r="S503" i="5"/>
  <c r="O503" i="5"/>
  <c r="V499" i="5"/>
  <c r="T499" i="5"/>
  <c r="P499" i="5"/>
  <c r="R499" i="5" s="1"/>
  <c r="W499" i="5"/>
  <c r="U499" i="5"/>
  <c r="S499" i="5"/>
  <c r="O499" i="5"/>
  <c r="V495" i="5"/>
  <c r="T495" i="5"/>
  <c r="P495" i="5"/>
  <c r="R495" i="5" s="1"/>
  <c r="W495" i="5"/>
  <c r="U495" i="5"/>
  <c r="S495" i="5"/>
  <c r="O495" i="5"/>
  <c r="V491" i="5"/>
  <c r="T491" i="5"/>
  <c r="P491" i="5"/>
  <c r="R491" i="5" s="1"/>
  <c r="W491" i="5"/>
  <c r="U491" i="5"/>
  <c r="S491" i="5"/>
  <c r="O491" i="5"/>
  <c r="V487" i="5"/>
  <c r="T487" i="5"/>
  <c r="P487" i="5"/>
  <c r="R487" i="5" s="1"/>
  <c r="W487" i="5"/>
  <c r="U487" i="5"/>
  <c r="S487" i="5"/>
  <c r="O487" i="5"/>
  <c r="V483" i="5"/>
  <c r="T483" i="5"/>
  <c r="P483" i="5"/>
  <c r="R483" i="5" s="1"/>
  <c r="W483" i="5"/>
  <c r="U483" i="5"/>
  <c r="S483" i="5"/>
  <c r="O483" i="5"/>
  <c r="V479" i="5"/>
  <c r="T479" i="5"/>
  <c r="P479" i="5"/>
  <c r="R479" i="5" s="1"/>
  <c r="W479" i="5"/>
  <c r="U479" i="5"/>
  <c r="S479" i="5"/>
  <c r="O479" i="5"/>
  <c r="V475" i="5"/>
  <c r="T475" i="5"/>
  <c r="P475" i="5"/>
  <c r="R475" i="5" s="1"/>
  <c r="W475" i="5"/>
  <c r="U475" i="5"/>
  <c r="S475" i="5"/>
  <c r="O475" i="5"/>
  <c r="V471" i="5"/>
  <c r="T471" i="5"/>
  <c r="P471" i="5"/>
  <c r="R471" i="5" s="1"/>
  <c r="W471" i="5"/>
  <c r="U471" i="5"/>
  <c r="S471" i="5"/>
  <c r="O471" i="5"/>
  <c r="V467" i="5"/>
  <c r="T467" i="5"/>
  <c r="P467" i="5"/>
  <c r="R467" i="5" s="1"/>
  <c r="W467" i="5"/>
  <c r="U467" i="5"/>
  <c r="S467" i="5"/>
  <c r="O467" i="5"/>
  <c r="C465" i="5"/>
  <c r="D465" i="5" s="1"/>
  <c r="K468" i="1"/>
  <c r="C461" i="5"/>
  <c r="D461" i="5" s="1"/>
  <c r="K464" i="1"/>
  <c r="C457" i="5"/>
  <c r="D457" i="5" s="1"/>
  <c r="K460" i="1"/>
  <c r="C453" i="5"/>
  <c r="D453" i="5" s="1"/>
  <c r="K456" i="1"/>
  <c r="C449" i="5"/>
  <c r="D449" i="5" s="1"/>
  <c r="K452" i="1"/>
  <c r="C445" i="5"/>
  <c r="D445" i="5" s="1"/>
  <c r="K448" i="1"/>
  <c r="C441" i="5"/>
  <c r="D441" i="5" s="1"/>
  <c r="K444" i="1"/>
  <c r="C437" i="5"/>
  <c r="D437" i="5" s="1"/>
  <c r="K440" i="1"/>
  <c r="C433" i="5"/>
  <c r="D433" i="5" s="1"/>
  <c r="K436" i="1"/>
  <c r="C429" i="5"/>
  <c r="D429" i="5" s="1"/>
  <c r="K432" i="1"/>
  <c r="C425" i="5"/>
  <c r="D425" i="5" s="1"/>
  <c r="K428" i="1"/>
  <c r="C421" i="5"/>
  <c r="D421" i="5" s="1"/>
  <c r="K424" i="1"/>
  <c r="C417" i="5"/>
  <c r="D417" i="5" s="1"/>
  <c r="K420" i="1"/>
  <c r="C413" i="5"/>
  <c r="D413" i="5" s="1"/>
  <c r="K416" i="1"/>
  <c r="C409" i="5"/>
  <c r="D409" i="5" s="1"/>
  <c r="K412" i="1"/>
  <c r="C405" i="5"/>
  <c r="D405" i="5" s="1"/>
  <c r="K408" i="1"/>
  <c r="C401" i="5"/>
  <c r="D401" i="5" s="1"/>
  <c r="K404" i="1"/>
  <c r="C397" i="5"/>
  <c r="D397" i="5" s="1"/>
  <c r="K400" i="1"/>
  <c r="C393" i="5"/>
  <c r="D393" i="5" s="1"/>
  <c r="K396" i="1"/>
  <c r="C389" i="5"/>
  <c r="D389" i="5" s="1"/>
  <c r="K392" i="1"/>
  <c r="V464" i="5"/>
  <c r="T464" i="5"/>
  <c r="P464" i="5"/>
  <c r="R464" i="5" s="1"/>
  <c r="U464" i="5"/>
  <c r="W464" i="5"/>
  <c r="S464" i="5"/>
  <c r="O464" i="5"/>
  <c r="V460" i="5"/>
  <c r="T460" i="5"/>
  <c r="P460" i="5"/>
  <c r="R460" i="5" s="1"/>
  <c r="U460" i="5"/>
  <c r="W460" i="5"/>
  <c r="S460" i="5"/>
  <c r="O460" i="5"/>
  <c r="V456" i="5"/>
  <c r="T456" i="5"/>
  <c r="P456" i="5"/>
  <c r="R456" i="5" s="1"/>
  <c r="U456" i="5"/>
  <c r="W456" i="5"/>
  <c r="S456" i="5"/>
  <c r="O456" i="5"/>
  <c r="V452" i="5"/>
  <c r="T452" i="5"/>
  <c r="P452" i="5"/>
  <c r="R452" i="5" s="1"/>
  <c r="U452" i="5"/>
  <c r="W452" i="5"/>
  <c r="S452" i="5"/>
  <c r="O452" i="5"/>
  <c r="V448" i="5"/>
  <c r="T448" i="5"/>
  <c r="P448" i="5"/>
  <c r="R448" i="5" s="1"/>
  <c r="U448" i="5"/>
  <c r="W448" i="5"/>
  <c r="S448" i="5"/>
  <c r="O448" i="5"/>
  <c r="V444" i="5"/>
  <c r="T444" i="5"/>
  <c r="P444" i="5"/>
  <c r="R444" i="5" s="1"/>
  <c r="U444" i="5"/>
  <c r="W444" i="5"/>
  <c r="S444" i="5"/>
  <c r="O444" i="5"/>
  <c r="V440" i="5"/>
  <c r="T440" i="5"/>
  <c r="P440" i="5"/>
  <c r="R440" i="5" s="1"/>
  <c r="U440" i="5"/>
  <c r="W440" i="5"/>
  <c r="S440" i="5"/>
  <c r="O440" i="5"/>
  <c r="V436" i="5"/>
  <c r="T436" i="5"/>
  <c r="P436" i="5"/>
  <c r="R436" i="5" s="1"/>
  <c r="U436" i="5"/>
  <c r="W436" i="5"/>
  <c r="S436" i="5"/>
  <c r="O436" i="5"/>
  <c r="V432" i="5"/>
  <c r="T432" i="5"/>
  <c r="P432" i="5"/>
  <c r="R432" i="5" s="1"/>
  <c r="U432" i="5"/>
  <c r="W432" i="5"/>
  <c r="S432" i="5"/>
  <c r="O432" i="5"/>
  <c r="V428" i="5"/>
  <c r="T428" i="5"/>
  <c r="P428" i="5"/>
  <c r="R428" i="5" s="1"/>
  <c r="U428" i="5"/>
  <c r="W428" i="5"/>
  <c r="S428" i="5"/>
  <c r="O428" i="5"/>
  <c r="V424" i="5"/>
  <c r="T424" i="5"/>
  <c r="P424" i="5"/>
  <c r="R424" i="5" s="1"/>
  <c r="U424" i="5"/>
  <c r="W424" i="5"/>
  <c r="S424" i="5"/>
  <c r="O424" i="5"/>
  <c r="V420" i="5"/>
  <c r="T420" i="5"/>
  <c r="P420" i="5"/>
  <c r="R420" i="5" s="1"/>
  <c r="U420" i="5"/>
  <c r="W420" i="5"/>
  <c r="S420" i="5"/>
  <c r="O420" i="5"/>
  <c r="V416" i="5"/>
  <c r="T416" i="5"/>
  <c r="P416" i="5"/>
  <c r="R416" i="5" s="1"/>
  <c r="U416" i="5"/>
  <c r="W416" i="5"/>
  <c r="S416" i="5"/>
  <c r="O416" i="5"/>
  <c r="V412" i="5"/>
  <c r="T412" i="5"/>
  <c r="P412" i="5"/>
  <c r="R412" i="5" s="1"/>
  <c r="U412" i="5"/>
  <c r="W412" i="5"/>
  <c r="S412" i="5"/>
  <c r="O412" i="5"/>
  <c r="V408" i="5"/>
  <c r="T408" i="5"/>
  <c r="P408" i="5"/>
  <c r="R408" i="5" s="1"/>
  <c r="U408" i="5"/>
  <c r="W408" i="5"/>
  <c r="S408" i="5"/>
  <c r="O408" i="5"/>
  <c r="V404" i="5"/>
  <c r="T404" i="5"/>
  <c r="P404" i="5"/>
  <c r="R404" i="5" s="1"/>
  <c r="U404" i="5"/>
  <c r="W404" i="5"/>
  <c r="S404" i="5"/>
  <c r="O404" i="5"/>
  <c r="V400" i="5"/>
  <c r="T400" i="5"/>
  <c r="P400" i="5"/>
  <c r="R400" i="5" s="1"/>
  <c r="U400" i="5"/>
  <c r="W400" i="5"/>
  <c r="S400" i="5"/>
  <c r="O400" i="5"/>
  <c r="V396" i="5"/>
  <c r="T396" i="5"/>
  <c r="P396" i="5"/>
  <c r="R396" i="5" s="1"/>
  <c r="U396" i="5"/>
  <c r="W396" i="5"/>
  <c r="S396" i="5"/>
  <c r="O396" i="5"/>
  <c r="V392" i="5"/>
  <c r="T392" i="5"/>
  <c r="P392" i="5"/>
  <c r="R392" i="5" s="1"/>
  <c r="U392" i="5"/>
  <c r="W392" i="5"/>
  <c r="S392" i="5"/>
  <c r="O392" i="5"/>
  <c r="V388" i="5"/>
  <c r="T388" i="5"/>
  <c r="P388" i="5"/>
  <c r="R388" i="5" s="1"/>
  <c r="W388" i="5"/>
  <c r="U388" i="5"/>
  <c r="S388" i="5"/>
  <c r="O388" i="5"/>
  <c r="V384" i="5"/>
  <c r="T384" i="5"/>
  <c r="P384" i="5"/>
  <c r="R384" i="5" s="1"/>
  <c r="W384" i="5"/>
  <c r="U384" i="5"/>
  <c r="S384" i="5"/>
  <c r="O384" i="5"/>
  <c r="V380" i="5"/>
  <c r="T380" i="5"/>
  <c r="P380" i="5"/>
  <c r="R380" i="5" s="1"/>
  <c r="W380" i="5"/>
  <c r="U380" i="5"/>
  <c r="S380" i="5"/>
  <c r="O380" i="5"/>
  <c r="V376" i="5"/>
  <c r="T376" i="5"/>
  <c r="P376" i="5"/>
  <c r="R376" i="5" s="1"/>
  <c r="W376" i="5"/>
  <c r="U376" i="5"/>
  <c r="S376" i="5"/>
  <c r="O376" i="5"/>
  <c r="V372" i="5"/>
  <c r="T372" i="5"/>
  <c r="P372" i="5"/>
  <c r="R372" i="5" s="1"/>
  <c r="W372" i="5"/>
  <c r="U372" i="5"/>
  <c r="S372" i="5"/>
  <c r="O372" i="5"/>
  <c r="V368" i="5"/>
  <c r="T368" i="5"/>
  <c r="P368" i="5"/>
  <c r="R368" i="5" s="1"/>
  <c r="W368" i="5"/>
  <c r="U368" i="5"/>
  <c r="S368" i="5"/>
  <c r="O368" i="5"/>
  <c r="V364" i="5"/>
  <c r="T364" i="5"/>
  <c r="P364" i="5"/>
  <c r="R364" i="5" s="1"/>
  <c r="W364" i="5"/>
  <c r="U364" i="5"/>
  <c r="S364" i="5"/>
  <c r="O364" i="5"/>
  <c r="V360" i="5"/>
  <c r="T360" i="5"/>
  <c r="P360" i="5"/>
  <c r="R360" i="5" s="1"/>
  <c r="W360" i="5"/>
  <c r="U360" i="5"/>
  <c r="S360" i="5"/>
  <c r="O360" i="5"/>
  <c r="V356" i="5"/>
  <c r="T356" i="5"/>
  <c r="P356" i="5"/>
  <c r="R356" i="5" s="1"/>
  <c r="W356" i="5"/>
  <c r="U356" i="5"/>
  <c r="S356" i="5"/>
  <c r="O356" i="5"/>
  <c r="V352" i="5"/>
  <c r="T352" i="5"/>
  <c r="P352" i="5"/>
  <c r="R352" i="5" s="1"/>
  <c r="W352" i="5"/>
  <c r="U352" i="5"/>
  <c r="S352" i="5"/>
  <c r="O352" i="5"/>
  <c r="V348" i="5"/>
  <c r="T348" i="5"/>
  <c r="P348" i="5"/>
  <c r="R348" i="5" s="1"/>
  <c r="W348" i="5"/>
  <c r="U348" i="5"/>
  <c r="S348" i="5"/>
  <c r="O348" i="5"/>
  <c r="V344" i="5"/>
  <c r="T344" i="5"/>
  <c r="P344" i="5"/>
  <c r="R344" i="5" s="1"/>
  <c r="W344" i="5"/>
  <c r="U344" i="5"/>
  <c r="S344" i="5"/>
  <c r="O344" i="5"/>
  <c r="V340" i="5"/>
  <c r="T340" i="5"/>
  <c r="P340" i="5"/>
  <c r="R340" i="5" s="1"/>
  <c r="W340" i="5"/>
  <c r="U340" i="5"/>
  <c r="S340" i="5"/>
  <c r="O340" i="5"/>
  <c r="V336" i="5"/>
  <c r="T336" i="5"/>
  <c r="P336" i="5"/>
  <c r="R336" i="5" s="1"/>
  <c r="W336" i="5"/>
  <c r="U336" i="5"/>
  <c r="S336" i="5"/>
  <c r="O336" i="5"/>
  <c r="V332" i="5"/>
  <c r="T332" i="5"/>
  <c r="P332" i="5"/>
  <c r="R332" i="5" s="1"/>
  <c r="W332" i="5"/>
  <c r="U332" i="5"/>
  <c r="S332" i="5"/>
  <c r="O332" i="5"/>
  <c r="V328" i="5"/>
  <c r="T328" i="5"/>
  <c r="P328" i="5"/>
  <c r="R328" i="5" s="1"/>
  <c r="W328" i="5"/>
  <c r="U328" i="5"/>
  <c r="S328" i="5"/>
  <c r="O328" i="5"/>
  <c r="V324" i="5"/>
  <c r="T324" i="5"/>
  <c r="P324" i="5"/>
  <c r="R324" i="5" s="1"/>
  <c r="W324" i="5"/>
  <c r="U324" i="5"/>
  <c r="S324" i="5"/>
  <c r="O324" i="5"/>
  <c r="V320" i="5"/>
  <c r="T320" i="5"/>
  <c r="P320" i="5"/>
  <c r="R320" i="5" s="1"/>
  <c r="W320" i="5"/>
  <c r="U320" i="5"/>
  <c r="S320" i="5"/>
  <c r="O320" i="5"/>
  <c r="V316" i="5"/>
  <c r="T316" i="5"/>
  <c r="P316" i="5"/>
  <c r="R316" i="5" s="1"/>
  <c r="W316" i="5"/>
  <c r="U316" i="5"/>
  <c r="S316" i="5"/>
  <c r="O316" i="5"/>
  <c r="V312" i="5"/>
  <c r="T312" i="5"/>
  <c r="P312" i="5"/>
  <c r="R312" i="5" s="1"/>
  <c r="W312" i="5"/>
  <c r="U312" i="5"/>
  <c r="S312" i="5"/>
  <c r="O312" i="5"/>
  <c r="V308" i="5"/>
  <c r="T308" i="5"/>
  <c r="P308" i="5"/>
  <c r="R308" i="5" s="1"/>
  <c r="W308" i="5"/>
  <c r="U308" i="5"/>
  <c r="S308" i="5"/>
  <c r="O308" i="5"/>
  <c r="V304" i="5"/>
  <c r="T304" i="5"/>
  <c r="P304" i="5"/>
  <c r="R304" i="5" s="1"/>
  <c r="W304" i="5"/>
  <c r="U304" i="5"/>
  <c r="S304" i="5"/>
  <c r="O304" i="5"/>
  <c r="V300" i="5"/>
  <c r="T300" i="5"/>
  <c r="P300" i="5"/>
  <c r="R300" i="5" s="1"/>
  <c r="W300" i="5"/>
  <c r="U300" i="5"/>
  <c r="S300" i="5"/>
  <c r="O300" i="5"/>
  <c r="V296" i="5"/>
  <c r="T296" i="5"/>
  <c r="P296" i="5"/>
  <c r="R296" i="5" s="1"/>
  <c r="W296" i="5"/>
  <c r="U296" i="5"/>
  <c r="S296" i="5"/>
  <c r="O296" i="5"/>
  <c r="V292" i="5"/>
  <c r="T292" i="5"/>
  <c r="P292" i="5"/>
  <c r="R292" i="5" s="1"/>
  <c r="W292" i="5"/>
  <c r="U292" i="5"/>
  <c r="S292" i="5"/>
  <c r="O292" i="5"/>
  <c r="V288" i="5"/>
  <c r="T288" i="5"/>
  <c r="P288" i="5"/>
  <c r="R288" i="5" s="1"/>
  <c r="W288" i="5"/>
  <c r="U288" i="5"/>
  <c r="S288" i="5"/>
  <c r="O288" i="5"/>
  <c r="V284" i="5"/>
  <c r="T284" i="5"/>
  <c r="P284" i="5"/>
  <c r="R284" i="5" s="1"/>
  <c r="W284" i="5"/>
  <c r="U284" i="5"/>
  <c r="S284" i="5"/>
  <c r="O284" i="5"/>
  <c r="V280" i="5"/>
  <c r="T280" i="5"/>
  <c r="P280" i="5"/>
  <c r="R280" i="5" s="1"/>
  <c r="W280" i="5"/>
  <c r="U280" i="5"/>
  <c r="S280" i="5"/>
  <c r="O280" i="5"/>
  <c r="V276" i="5"/>
  <c r="T276" i="5"/>
  <c r="P276" i="5"/>
  <c r="R276" i="5" s="1"/>
  <c r="W276" i="5"/>
  <c r="U276" i="5"/>
  <c r="S276" i="5"/>
  <c r="O276" i="5"/>
  <c r="V272" i="5"/>
  <c r="T272" i="5"/>
  <c r="P272" i="5"/>
  <c r="R272" i="5" s="1"/>
  <c r="W272" i="5"/>
  <c r="U272" i="5"/>
  <c r="S272" i="5"/>
  <c r="O272" i="5"/>
  <c r="V268" i="5"/>
  <c r="T268" i="5"/>
  <c r="P268" i="5"/>
  <c r="R268" i="5" s="1"/>
  <c r="W268" i="5"/>
  <c r="U268" i="5"/>
  <c r="S268" i="5"/>
  <c r="O268" i="5"/>
  <c r="V264" i="5"/>
  <c r="T264" i="5"/>
  <c r="P264" i="5"/>
  <c r="R264" i="5" s="1"/>
  <c r="W264" i="5"/>
  <c r="U264" i="5"/>
  <c r="S264" i="5"/>
  <c r="O264" i="5"/>
  <c r="V260" i="5"/>
  <c r="T260" i="5"/>
  <c r="P260" i="5"/>
  <c r="R260" i="5" s="1"/>
  <c r="W260" i="5"/>
  <c r="U260" i="5"/>
  <c r="S260" i="5"/>
  <c r="O260" i="5"/>
  <c r="V256" i="5"/>
  <c r="T256" i="5"/>
  <c r="P256" i="5"/>
  <c r="R256" i="5" s="1"/>
  <c r="W256" i="5"/>
  <c r="U256" i="5"/>
  <c r="S256" i="5"/>
  <c r="O256" i="5"/>
  <c r="V252" i="5"/>
  <c r="T252" i="5"/>
  <c r="P252" i="5"/>
  <c r="R252" i="5" s="1"/>
  <c r="W252" i="5"/>
  <c r="U252" i="5"/>
  <c r="S252" i="5"/>
  <c r="O252" i="5"/>
  <c r="V248" i="5"/>
  <c r="T248" i="5"/>
  <c r="P248" i="5"/>
  <c r="R248" i="5" s="1"/>
  <c r="W248" i="5"/>
  <c r="U248" i="5"/>
  <c r="S248" i="5"/>
  <c r="O248" i="5"/>
  <c r="V244" i="5"/>
  <c r="T244" i="5"/>
  <c r="P244" i="5"/>
  <c r="R244" i="5" s="1"/>
  <c r="W244" i="5"/>
  <c r="U244" i="5"/>
  <c r="S244" i="5"/>
  <c r="O244" i="5"/>
  <c r="V240" i="5"/>
  <c r="T240" i="5"/>
  <c r="P240" i="5"/>
  <c r="R240" i="5" s="1"/>
  <c r="W240" i="5"/>
  <c r="U240" i="5"/>
  <c r="S240" i="5"/>
  <c r="O240" i="5"/>
  <c r="V236" i="5"/>
  <c r="T236" i="5"/>
  <c r="P236" i="5"/>
  <c r="R236" i="5" s="1"/>
  <c r="W236" i="5"/>
  <c r="U236" i="5"/>
  <c r="S236" i="5"/>
  <c r="O236" i="5"/>
  <c r="V232" i="5"/>
  <c r="T232" i="5"/>
  <c r="P232" i="5"/>
  <c r="R232" i="5" s="1"/>
  <c r="W232" i="5"/>
  <c r="U232" i="5"/>
  <c r="S232" i="5"/>
  <c r="O232" i="5"/>
  <c r="V228" i="5"/>
  <c r="T228" i="5"/>
  <c r="P228" i="5"/>
  <c r="R228" i="5" s="1"/>
  <c r="W228" i="5"/>
  <c r="U228" i="5"/>
  <c r="S228" i="5"/>
  <c r="O228" i="5"/>
  <c r="V224" i="5"/>
  <c r="T224" i="5"/>
  <c r="P224" i="5"/>
  <c r="R224" i="5" s="1"/>
  <c r="W224" i="5"/>
  <c r="U224" i="5"/>
  <c r="S224" i="5"/>
  <c r="O224" i="5"/>
  <c r="V220" i="5"/>
  <c r="T220" i="5"/>
  <c r="P220" i="5"/>
  <c r="R220" i="5" s="1"/>
  <c r="W220" i="5"/>
  <c r="U220" i="5"/>
  <c r="S220" i="5"/>
  <c r="O220" i="5"/>
  <c r="V216" i="5"/>
  <c r="T216" i="5"/>
  <c r="P216" i="5"/>
  <c r="R216" i="5" s="1"/>
  <c r="W216" i="5"/>
  <c r="U216" i="5"/>
  <c r="S216" i="5"/>
  <c r="O216" i="5"/>
  <c r="V212" i="5"/>
  <c r="T212" i="5"/>
  <c r="P212" i="5"/>
  <c r="R212" i="5" s="1"/>
  <c r="W212" i="5"/>
  <c r="U212" i="5"/>
  <c r="S212" i="5"/>
  <c r="O212" i="5"/>
  <c r="V208" i="5"/>
  <c r="T208" i="5"/>
  <c r="P208" i="5"/>
  <c r="R208" i="5" s="1"/>
  <c r="W208" i="5"/>
  <c r="U208" i="5"/>
  <c r="S208" i="5"/>
  <c r="O208" i="5"/>
  <c r="V204" i="5"/>
  <c r="T204" i="5"/>
  <c r="P204" i="5"/>
  <c r="R204" i="5" s="1"/>
  <c r="W204" i="5"/>
  <c r="U204" i="5"/>
  <c r="S204" i="5"/>
  <c r="O204" i="5"/>
  <c r="V200" i="5"/>
  <c r="T200" i="5"/>
  <c r="P200" i="5"/>
  <c r="R200" i="5" s="1"/>
  <c r="W200" i="5"/>
  <c r="U200" i="5"/>
  <c r="S200" i="5"/>
  <c r="O200" i="5"/>
  <c r="V196" i="5"/>
  <c r="T196" i="5"/>
  <c r="P196" i="5"/>
  <c r="R196" i="5" s="1"/>
  <c r="W196" i="5"/>
  <c r="U196" i="5"/>
  <c r="S196" i="5"/>
  <c r="O196" i="5"/>
  <c r="V192" i="5"/>
  <c r="T192" i="5"/>
  <c r="P192" i="5"/>
  <c r="R192" i="5" s="1"/>
  <c r="W192" i="5"/>
  <c r="U192" i="5"/>
  <c r="S192" i="5"/>
  <c r="O192" i="5"/>
  <c r="V188" i="5"/>
  <c r="T188" i="5"/>
  <c r="P188" i="5"/>
  <c r="R188" i="5" s="1"/>
  <c r="W188" i="5"/>
  <c r="U188" i="5"/>
  <c r="S188" i="5"/>
  <c r="O188" i="5"/>
  <c r="V184" i="5"/>
  <c r="T184" i="5"/>
  <c r="P184" i="5"/>
  <c r="R184" i="5" s="1"/>
  <c r="W184" i="5"/>
  <c r="U184" i="5"/>
  <c r="S184" i="5"/>
  <c r="O184" i="5"/>
  <c r="V180" i="5"/>
  <c r="T180" i="5"/>
  <c r="P180" i="5"/>
  <c r="R180" i="5" s="1"/>
  <c r="W180" i="5"/>
  <c r="U180" i="5"/>
  <c r="S180" i="5"/>
  <c r="O180" i="5"/>
  <c r="V176" i="5"/>
  <c r="T176" i="5"/>
  <c r="P176" i="5"/>
  <c r="R176" i="5" s="1"/>
  <c r="W176" i="5"/>
  <c r="U176" i="5"/>
  <c r="S176" i="5"/>
  <c r="O176" i="5"/>
  <c r="V172" i="5"/>
  <c r="T172" i="5"/>
  <c r="P172" i="5"/>
  <c r="R172" i="5" s="1"/>
  <c r="W172" i="5"/>
  <c r="U172" i="5"/>
  <c r="S172" i="5"/>
  <c r="O172" i="5"/>
  <c r="V168" i="5"/>
  <c r="T168" i="5"/>
  <c r="P168" i="5"/>
  <c r="R168" i="5" s="1"/>
  <c r="W168" i="5"/>
  <c r="U168" i="5"/>
  <c r="S168" i="5"/>
  <c r="O168" i="5"/>
  <c r="V164" i="5"/>
  <c r="T164" i="5"/>
  <c r="P164" i="5"/>
  <c r="R164" i="5" s="1"/>
  <c r="W164" i="5"/>
  <c r="U164" i="5"/>
  <c r="S164" i="5"/>
  <c r="O164" i="5"/>
  <c r="V160" i="5"/>
  <c r="T160" i="5"/>
  <c r="P160" i="5"/>
  <c r="R160" i="5" s="1"/>
  <c r="W160" i="5"/>
  <c r="U160" i="5"/>
  <c r="S160" i="5"/>
  <c r="O160" i="5"/>
  <c r="V156" i="5"/>
  <c r="T156" i="5"/>
  <c r="P156" i="5"/>
  <c r="R156" i="5" s="1"/>
  <c r="W156" i="5"/>
  <c r="U156" i="5"/>
  <c r="S156" i="5"/>
  <c r="O156" i="5"/>
  <c r="V152" i="5"/>
  <c r="T152" i="5"/>
  <c r="P152" i="5"/>
  <c r="R152" i="5" s="1"/>
  <c r="W152" i="5"/>
  <c r="U152" i="5"/>
  <c r="S152" i="5"/>
  <c r="O152" i="5"/>
  <c r="V148" i="5"/>
  <c r="T148" i="5"/>
  <c r="P148" i="5"/>
  <c r="R148" i="5" s="1"/>
  <c r="W148" i="5"/>
  <c r="U148" i="5"/>
  <c r="S148" i="5"/>
  <c r="O148" i="5"/>
  <c r="V144" i="5"/>
  <c r="T144" i="5"/>
  <c r="P144" i="5"/>
  <c r="R144" i="5" s="1"/>
  <c r="W144" i="5"/>
  <c r="U144" i="5"/>
  <c r="S144" i="5"/>
  <c r="O144" i="5"/>
  <c r="V140" i="5"/>
  <c r="T140" i="5"/>
  <c r="P140" i="5"/>
  <c r="R140" i="5" s="1"/>
  <c r="W140" i="5"/>
  <c r="U140" i="5"/>
  <c r="S140" i="5"/>
  <c r="O140" i="5"/>
  <c r="V136" i="5"/>
  <c r="T136" i="5"/>
  <c r="P136" i="5"/>
  <c r="R136" i="5" s="1"/>
  <c r="W136" i="5"/>
  <c r="U136" i="5"/>
  <c r="S136" i="5"/>
  <c r="O136" i="5"/>
  <c r="V132" i="5"/>
  <c r="T132" i="5"/>
  <c r="P132" i="5"/>
  <c r="R132" i="5" s="1"/>
  <c r="W132" i="5"/>
  <c r="U132" i="5"/>
  <c r="S132" i="5"/>
  <c r="O132" i="5"/>
  <c r="V128" i="5"/>
  <c r="T128" i="5"/>
  <c r="P128" i="5"/>
  <c r="R128" i="5" s="1"/>
  <c r="W128" i="5"/>
  <c r="U128" i="5"/>
  <c r="S128" i="5"/>
  <c r="O128" i="5"/>
  <c r="V124" i="5"/>
  <c r="T124" i="5"/>
  <c r="P124" i="5"/>
  <c r="R124" i="5" s="1"/>
  <c r="W124" i="5"/>
  <c r="U124" i="5"/>
  <c r="S124" i="5"/>
  <c r="O124" i="5"/>
  <c r="V120" i="5"/>
  <c r="T120" i="5"/>
  <c r="P120" i="5"/>
  <c r="R120" i="5" s="1"/>
  <c r="W120" i="5"/>
  <c r="U120" i="5"/>
  <c r="S120" i="5"/>
  <c r="O120" i="5"/>
  <c r="V116" i="5"/>
  <c r="T116" i="5"/>
  <c r="P116" i="5"/>
  <c r="R116" i="5" s="1"/>
  <c r="W116" i="5"/>
  <c r="U116" i="5"/>
  <c r="S116" i="5"/>
  <c r="O116" i="5"/>
  <c r="V112" i="5"/>
  <c r="T112" i="5"/>
  <c r="P112" i="5"/>
  <c r="R112" i="5" s="1"/>
  <c r="W112" i="5"/>
  <c r="U112" i="5"/>
  <c r="S112" i="5"/>
  <c r="O112" i="5"/>
  <c r="V108" i="5"/>
  <c r="T108" i="5"/>
  <c r="P108" i="5"/>
  <c r="R108" i="5" s="1"/>
  <c r="W108" i="5"/>
  <c r="U108" i="5"/>
  <c r="S108" i="5"/>
  <c r="O108" i="5"/>
  <c r="V104" i="5"/>
  <c r="T104" i="5"/>
  <c r="P104" i="5"/>
  <c r="R104" i="5" s="1"/>
  <c r="W104" i="5"/>
  <c r="U104" i="5"/>
  <c r="S104" i="5"/>
  <c r="O104" i="5"/>
  <c r="V100" i="5"/>
  <c r="T100" i="5"/>
  <c r="P100" i="5"/>
  <c r="R100" i="5" s="1"/>
  <c r="W100" i="5"/>
  <c r="U100" i="5"/>
  <c r="S100" i="5"/>
  <c r="O100" i="5"/>
  <c r="V96" i="5"/>
  <c r="T96" i="5"/>
  <c r="P96" i="5"/>
  <c r="R96" i="5" s="1"/>
  <c r="W96" i="5"/>
  <c r="U96" i="5"/>
  <c r="S96" i="5"/>
  <c r="O96" i="5"/>
  <c r="V92" i="5"/>
  <c r="T92" i="5"/>
  <c r="P92" i="5"/>
  <c r="R92" i="5" s="1"/>
  <c r="W92" i="5"/>
  <c r="U92" i="5"/>
  <c r="S92" i="5"/>
  <c r="O92" i="5"/>
  <c r="V88" i="5"/>
  <c r="T88" i="5"/>
  <c r="P88" i="5"/>
  <c r="R88" i="5" s="1"/>
  <c r="W88" i="5"/>
  <c r="U88" i="5"/>
  <c r="S88" i="5"/>
  <c r="O88" i="5"/>
  <c r="V84" i="5"/>
  <c r="T84" i="5"/>
  <c r="P84" i="5"/>
  <c r="R84" i="5" s="1"/>
  <c r="W84" i="5"/>
  <c r="U84" i="5"/>
  <c r="S84" i="5"/>
  <c r="O84" i="5"/>
  <c r="V80" i="5"/>
  <c r="T80" i="5"/>
  <c r="P80" i="5"/>
  <c r="R80" i="5" s="1"/>
  <c r="W80" i="5"/>
  <c r="U80" i="5"/>
  <c r="S80" i="5"/>
  <c r="O80" i="5"/>
  <c r="V76" i="5"/>
  <c r="T76" i="5"/>
  <c r="P76" i="5"/>
  <c r="R76" i="5" s="1"/>
  <c r="W76" i="5"/>
  <c r="U76" i="5"/>
  <c r="S76" i="5"/>
  <c r="O76" i="5"/>
  <c r="V72" i="5"/>
  <c r="T72" i="5"/>
  <c r="P72" i="5"/>
  <c r="R72" i="5" s="1"/>
  <c r="W72" i="5"/>
  <c r="U72" i="5"/>
  <c r="S72" i="5"/>
  <c r="O72" i="5"/>
  <c r="V68" i="5"/>
  <c r="T68" i="5"/>
  <c r="P68" i="5"/>
  <c r="R68" i="5" s="1"/>
  <c r="W68" i="5"/>
  <c r="U68" i="5"/>
  <c r="S68" i="5"/>
  <c r="O68" i="5"/>
  <c r="V64" i="5"/>
  <c r="T64" i="5"/>
  <c r="P64" i="5"/>
  <c r="R64" i="5" s="1"/>
  <c r="W64" i="5"/>
  <c r="U64" i="5"/>
  <c r="S64" i="5"/>
  <c r="O64" i="5"/>
  <c r="V60" i="5"/>
  <c r="T60" i="5"/>
  <c r="P60" i="5"/>
  <c r="R60" i="5" s="1"/>
  <c r="W60" i="5"/>
  <c r="U60" i="5"/>
  <c r="S60" i="5"/>
  <c r="O60" i="5"/>
  <c r="V56" i="5"/>
  <c r="T56" i="5"/>
  <c r="P56" i="5"/>
  <c r="R56" i="5" s="1"/>
  <c r="W56" i="5"/>
  <c r="U56" i="5"/>
  <c r="S56" i="5"/>
  <c r="O56" i="5"/>
  <c r="V52" i="5"/>
  <c r="T52" i="5"/>
  <c r="P52" i="5"/>
  <c r="R52" i="5" s="1"/>
  <c r="W52" i="5"/>
  <c r="U52" i="5"/>
  <c r="S52" i="5"/>
  <c r="O52" i="5"/>
  <c r="V48" i="5"/>
  <c r="T48" i="5"/>
  <c r="P48" i="5"/>
  <c r="R48" i="5" s="1"/>
  <c r="W48" i="5"/>
  <c r="U48" i="5"/>
  <c r="S48" i="5"/>
  <c r="O48" i="5"/>
  <c r="V44" i="5"/>
  <c r="T44" i="5"/>
  <c r="P44" i="5"/>
  <c r="R44" i="5" s="1"/>
  <c r="W44" i="5"/>
  <c r="U44" i="5"/>
  <c r="S44" i="5"/>
  <c r="O44" i="5"/>
  <c r="V40" i="5"/>
  <c r="T40" i="5"/>
  <c r="P40" i="5"/>
  <c r="R40" i="5" s="1"/>
  <c r="W40" i="5"/>
  <c r="U40" i="5"/>
  <c r="S40" i="5"/>
  <c r="O40" i="5"/>
  <c r="V36" i="5"/>
  <c r="T36" i="5"/>
  <c r="P36" i="5"/>
  <c r="R36" i="5" s="1"/>
  <c r="W36" i="5"/>
  <c r="U36" i="5"/>
  <c r="S36" i="5"/>
  <c r="O36" i="5"/>
  <c r="D1015" i="3"/>
  <c r="AB8" i="5"/>
  <c r="AB12" i="5"/>
  <c r="AB16" i="5"/>
  <c r="AB20" i="5"/>
  <c r="AB24" i="5"/>
  <c r="AB28" i="5"/>
  <c r="AB32" i="5"/>
  <c r="AB36" i="5"/>
  <c r="AB40" i="5"/>
  <c r="AB44" i="5"/>
  <c r="AB48" i="5"/>
  <c r="AB52" i="5"/>
  <c r="AB56" i="5"/>
  <c r="AB60" i="5"/>
  <c r="AB64" i="5"/>
  <c r="AB68" i="5"/>
  <c r="AB72" i="5"/>
  <c r="AB76" i="5"/>
  <c r="AB80" i="5"/>
  <c r="AB84" i="5"/>
  <c r="AB88" i="5"/>
  <c r="AB92" i="5"/>
  <c r="AB96" i="5"/>
  <c r="AB100" i="5"/>
  <c r="AB104" i="5"/>
  <c r="AB108" i="5"/>
  <c r="AB112" i="5"/>
  <c r="AB116" i="5"/>
  <c r="AB120" i="5"/>
  <c r="AB124" i="5"/>
  <c r="AB128" i="5"/>
  <c r="AB132" i="5"/>
  <c r="AB136" i="5"/>
  <c r="AB140" i="5"/>
  <c r="AB144" i="5"/>
  <c r="AB148" i="5"/>
  <c r="AB152" i="5"/>
  <c r="AB156" i="5"/>
  <c r="AB160" i="5"/>
  <c r="AB164" i="5"/>
  <c r="AB168" i="5"/>
  <c r="AB172" i="5"/>
  <c r="AB176" i="5"/>
  <c r="AB180" i="5"/>
  <c r="AB184" i="5"/>
  <c r="AB188" i="5"/>
  <c r="AB192" i="5"/>
  <c r="AB196" i="5"/>
  <c r="AB200" i="5"/>
  <c r="AB204" i="5"/>
  <c r="AB208" i="5"/>
  <c r="AB212" i="5"/>
  <c r="AB216" i="5"/>
  <c r="AB220" i="5"/>
  <c r="AB224" i="5"/>
  <c r="AB228" i="5"/>
  <c r="AB232" i="5"/>
  <c r="AB236" i="5"/>
  <c r="AB240" i="5"/>
  <c r="AB244" i="5"/>
  <c r="AB248" i="5"/>
  <c r="AB252" i="5"/>
  <c r="AB256" i="5"/>
  <c r="AB260" i="5"/>
  <c r="AB264" i="5"/>
  <c r="AB268" i="5"/>
  <c r="AB272" i="5"/>
  <c r="AB276" i="5"/>
  <c r="AB280" i="5"/>
  <c r="AB284" i="5"/>
  <c r="AB288" i="5"/>
  <c r="AB292" i="5"/>
  <c r="AB296" i="5"/>
  <c r="AB300" i="5"/>
  <c r="AB304" i="5"/>
  <c r="AB308" i="5"/>
  <c r="AB312" i="5"/>
  <c r="AB316" i="5"/>
  <c r="AB320" i="5"/>
  <c r="AB324" i="5"/>
  <c r="AB328" i="5"/>
  <c r="AB332" i="5"/>
  <c r="AB336" i="5"/>
  <c r="AB340" i="5"/>
  <c r="AB344" i="5"/>
  <c r="AB348" i="5"/>
  <c r="AB352" i="5"/>
  <c r="AB356" i="5"/>
  <c r="AB360" i="5"/>
  <c r="AB364" i="5"/>
  <c r="AB368" i="5"/>
  <c r="AB372" i="5"/>
  <c r="AB376" i="5"/>
  <c r="AB380" i="5"/>
  <c r="AB384" i="5"/>
  <c r="AB7" i="5"/>
  <c r="AB11" i="5"/>
  <c r="AB15" i="5"/>
  <c r="AB19" i="5"/>
  <c r="AB23" i="5"/>
  <c r="AB27" i="5"/>
  <c r="AB31" i="5"/>
  <c r="AB35" i="5"/>
  <c r="AB39" i="5"/>
  <c r="AB43" i="5"/>
  <c r="AB47" i="5"/>
  <c r="AB51" i="5"/>
  <c r="AB55" i="5"/>
  <c r="AB59" i="5"/>
  <c r="AB63" i="5"/>
  <c r="AB67" i="5"/>
  <c r="AB71" i="5"/>
  <c r="AB75" i="5"/>
  <c r="AB79" i="5"/>
  <c r="AB83" i="5"/>
  <c r="AB87" i="5"/>
  <c r="AB91" i="5"/>
  <c r="AB95" i="5"/>
  <c r="AB99" i="5"/>
  <c r="AB103" i="5"/>
  <c r="AB107" i="5"/>
  <c r="AB111" i="5"/>
  <c r="AB115" i="5"/>
  <c r="AB119" i="5"/>
  <c r="AB123" i="5"/>
  <c r="AB127" i="5"/>
  <c r="AB131" i="5"/>
  <c r="AB135" i="5"/>
  <c r="AB139" i="5"/>
  <c r="AB143" i="5"/>
  <c r="AB147" i="5"/>
  <c r="AB151" i="5"/>
  <c r="AB155" i="5"/>
  <c r="AB159" i="5"/>
  <c r="AB163" i="5"/>
  <c r="AB167" i="5"/>
  <c r="AB171" i="5"/>
  <c r="AB175" i="5"/>
  <c r="AB179" i="5"/>
  <c r="AB183" i="5"/>
  <c r="AB187" i="5"/>
  <c r="AB191" i="5"/>
  <c r="AB195" i="5"/>
  <c r="AB199" i="5"/>
  <c r="AB203" i="5"/>
  <c r="AB207" i="5"/>
  <c r="AB211" i="5"/>
  <c r="AB215" i="5"/>
  <c r="AB219" i="5"/>
  <c r="AB223" i="5"/>
  <c r="AB227" i="5"/>
  <c r="AB231" i="5"/>
  <c r="AB235" i="5"/>
  <c r="AB239" i="5"/>
  <c r="AB243" i="5"/>
  <c r="AB247" i="5"/>
  <c r="AB251" i="5"/>
  <c r="AB255" i="5"/>
  <c r="AB259" i="5"/>
  <c r="AB263" i="5"/>
  <c r="AB267" i="5"/>
  <c r="AB271" i="5"/>
  <c r="AB275" i="5"/>
  <c r="AB279" i="5"/>
  <c r="AB283" i="5"/>
  <c r="AB287" i="5"/>
  <c r="AB291" i="5"/>
  <c r="AB295" i="5"/>
  <c r="AB299" i="5"/>
  <c r="AB303" i="5"/>
  <c r="AB307" i="5"/>
  <c r="AB311" i="5"/>
  <c r="AB315" i="5"/>
  <c r="AB319" i="5"/>
  <c r="AB323" i="5"/>
  <c r="AB327" i="5"/>
  <c r="AB331" i="5"/>
  <c r="AB335" i="5"/>
  <c r="AB339" i="5"/>
  <c r="AB343" i="5"/>
  <c r="AB347" i="5"/>
  <c r="AB351" i="5"/>
  <c r="AB355" i="5"/>
  <c r="AB359" i="5"/>
  <c r="AB363" i="5"/>
  <c r="AB367" i="5"/>
  <c r="AB371" i="5"/>
  <c r="AB375" i="5"/>
  <c r="AB379" i="5"/>
  <c r="AB383" i="5"/>
  <c r="AB387" i="5"/>
  <c r="AB390" i="5"/>
  <c r="AB394" i="5"/>
  <c r="AB398" i="5"/>
  <c r="AB402" i="5"/>
  <c r="AB406" i="5"/>
  <c r="AB410" i="5"/>
  <c r="AB414" i="5"/>
  <c r="AB418" i="5"/>
  <c r="AB422" i="5"/>
  <c r="AB426" i="5"/>
  <c r="AB430" i="5"/>
  <c r="AB434" i="5"/>
  <c r="AB438" i="5"/>
  <c r="AB442" i="5"/>
  <c r="AB446" i="5"/>
  <c r="AB450" i="5"/>
  <c r="AB454" i="5"/>
  <c r="AB458" i="5"/>
  <c r="AB462" i="5"/>
  <c r="AB389" i="5"/>
  <c r="AB393" i="5"/>
  <c r="AB397" i="5"/>
  <c r="AB401" i="5"/>
  <c r="AB405" i="5"/>
  <c r="AB409" i="5"/>
  <c r="AB413" i="5"/>
  <c r="AB417" i="5"/>
  <c r="AB421" i="5"/>
  <c r="AB425" i="5"/>
  <c r="AB429" i="5"/>
  <c r="AB433" i="5"/>
  <c r="AB437" i="5"/>
  <c r="AB441" i="5"/>
  <c r="AB445" i="5"/>
  <c r="AB449" i="5"/>
  <c r="AB453" i="5"/>
  <c r="AB457" i="5"/>
  <c r="AB461" i="5"/>
  <c r="AB465" i="5"/>
  <c r="AB469" i="5"/>
  <c r="AB473" i="5"/>
  <c r="AB477" i="5"/>
  <c r="AB481" i="5"/>
  <c r="AB485" i="5"/>
  <c r="AB489" i="5"/>
  <c r="AB493" i="5"/>
  <c r="AB497" i="5"/>
  <c r="AB501" i="5"/>
  <c r="AB505" i="5"/>
  <c r="AB509" i="5"/>
  <c r="AB513" i="5"/>
  <c r="AB517" i="5"/>
  <c r="AB521" i="5"/>
  <c r="AB525" i="5"/>
  <c r="AB529" i="5"/>
  <c r="AB533" i="5"/>
  <c r="AB537" i="5"/>
  <c r="AB541" i="5"/>
  <c r="AB545" i="5"/>
  <c r="AB549" i="5"/>
  <c r="AB553" i="5"/>
  <c r="AB557" i="5"/>
  <c r="AB561" i="5"/>
  <c r="AB565" i="5"/>
  <c r="AB569" i="5"/>
  <c r="AB573" i="5"/>
  <c r="AB577" i="5"/>
  <c r="AB581" i="5"/>
  <c r="AB585" i="5"/>
  <c r="AB589" i="5"/>
  <c r="AB593" i="5"/>
  <c r="AB597" i="5"/>
  <c r="AB601" i="5"/>
  <c r="AB605" i="5"/>
  <c r="AB609" i="5"/>
  <c r="AB613" i="5"/>
  <c r="AB617" i="5"/>
  <c r="AB621" i="5"/>
  <c r="AB625" i="5"/>
  <c r="AB629" i="5"/>
  <c r="AB633" i="5"/>
  <c r="AB637" i="5"/>
  <c r="AB641" i="5"/>
  <c r="AB645" i="5"/>
  <c r="AB649" i="5"/>
  <c r="AB653" i="5"/>
  <c r="AB657" i="5"/>
  <c r="AB661" i="5"/>
  <c r="AB665" i="5"/>
  <c r="AB669" i="5"/>
  <c r="AB673" i="5"/>
  <c r="AB677" i="5"/>
  <c r="AB681" i="5"/>
  <c r="AB685" i="5"/>
  <c r="AB689" i="5"/>
  <c r="AB693" i="5"/>
  <c r="AB697" i="5"/>
  <c r="AB701" i="5"/>
  <c r="AB705" i="5"/>
  <c r="AB709" i="5"/>
  <c r="AB713" i="5"/>
  <c r="AB717" i="5"/>
  <c r="AB721" i="5"/>
  <c r="AB725" i="5"/>
  <c r="AB729" i="5"/>
  <c r="AB733" i="5"/>
  <c r="AB737" i="5"/>
  <c r="AB741" i="5"/>
  <c r="AB745" i="5"/>
  <c r="AB749" i="5"/>
  <c r="AB753" i="5"/>
  <c r="AB757" i="5"/>
  <c r="AB761" i="5"/>
  <c r="AB765" i="5"/>
  <c r="AB769" i="5"/>
  <c r="AB773" i="5"/>
  <c r="AB777" i="5"/>
  <c r="AB781" i="5"/>
  <c r="AB785" i="5"/>
  <c r="AB789" i="5"/>
  <c r="AB793" i="5"/>
  <c r="AB797" i="5"/>
  <c r="AB801" i="5"/>
  <c r="AB805" i="5"/>
  <c r="AB809" i="5"/>
  <c r="AB813" i="5"/>
  <c r="AB817" i="5"/>
  <c r="AB821" i="5"/>
  <c r="AB825" i="5"/>
  <c r="AB466" i="5"/>
  <c r="AB470" i="5"/>
  <c r="AB474" i="5"/>
  <c r="AB478" i="5"/>
  <c r="AB482" i="5"/>
  <c r="AB486" i="5"/>
  <c r="AB490" i="5"/>
  <c r="AB494" i="5"/>
  <c r="AB498" i="5"/>
  <c r="AB502" i="5"/>
  <c r="AB506" i="5"/>
  <c r="AB510" i="5"/>
  <c r="AB514" i="5"/>
  <c r="AB518" i="5"/>
  <c r="AB522" i="5"/>
  <c r="AB526" i="5"/>
  <c r="AB530" i="5"/>
  <c r="AB534" i="5"/>
  <c r="AB538" i="5"/>
  <c r="AB542" i="5"/>
  <c r="AB546" i="5"/>
  <c r="AB550" i="5"/>
  <c r="AB554" i="5"/>
  <c r="AB558" i="5"/>
  <c r="AB562" i="5"/>
  <c r="AB566" i="5"/>
  <c r="AB570" i="5"/>
  <c r="AB574" i="5"/>
  <c r="AB578" i="5"/>
  <c r="AB582" i="5"/>
  <c r="AB586" i="5"/>
  <c r="AB590" i="5"/>
  <c r="AB594" i="5"/>
  <c r="AB598" i="5"/>
  <c r="AB602" i="5"/>
  <c r="AB606" i="5"/>
  <c r="AB610" i="5"/>
  <c r="AB614" i="5"/>
  <c r="AB618" i="5"/>
  <c r="AB622" i="5"/>
  <c r="AB626" i="5"/>
  <c r="AB630" i="5"/>
  <c r="AB634" i="5"/>
  <c r="AB638" i="5"/>
  <c r="AB642" i="5"/>
  <c r="AB646" i="5"/>
  <c r="AB650" i="5"/>
  <c r="AB654" i="5"/>
  <c r="AB658" i="5"/>
  <c r="AB662" i="5"/>
  <c r="AB666" i="5"/>
  <c r="AB670" i="5"/>
  <c r="AB674" i="5"/>
  <c r="AB678" i="5"/>
  <c r="AB682" i="5"/>
  <c r="AB686" i="5"/>
  <c r="AB690" i="5"/>
  <c r="AB694" i="5"/>
  <c r="AB698" i="5"/>
  <c r="AB702" i="5"/>
  <c r="AB706" i="5"/>
  <c r="AB710" i="5"/>
  <c r="AB714" i="5"/>
  <c r="AB718" i="5"/>
  <c r="AB722" i="5"/>
  <c r="AB726" i="5"/>
  <c r="AB730" i="5"/>
  <c r="AB734" i="5"/>
  <c r="AB738" i="5"/>
  <c r="AB742" i="5"/>
  <c r="AB746" i="5"/>
  <c r="AB750" i="5"/>
  <c r="AB754" i="5"/>
  <c r="AB758" i="5"/>
  <c r="AB762" i="5"/>
  <c r="AB766" i="5"/>
  <c r="AB770" i="5"/>
  <c r="AB774" i="5"/>
  <c r="AB778" i="5"/>
  <c r="AB782" i="5"/>
  <c r="AB786" i="5"/>
  <c r="AB790" i="5"/>
  <c r="AB794" i="5"/>
  <c r="AB798" i="5"/>
  <c r="AB802" i="5"/>
  <c r="AB806" i="5"/>
  <c r="AB810" i="5"/>
  <c r="AB814" i="5"/>
  <c r="AB818" i="5"/>
  <c r="AB822" i="5"/>
  <c r="AB826" i="5"/>
  <c r="AB830" i="5"/>
  <c r="AB834" i="5"/>
  <c r="AB838" i="5"/>
  <c r="AB842" i="5"/>
  <c r="AB846" i="5"/>
  <c r="AB850" i="5"/>
  <c r="AB854" i="5"/>
  <c r="AB858" i="5"/>
  <c r="AB862" i="5"/>
  <c r="AB866" i="5"/>
  <c r="AB870" i="5"/>
  <c r="AB874" i="5"/>
  <c r="AB878" i="5"/>
  <c r="AB882" i="5"/>
  <c r="AB886" i="5"/>
  <c r="AB890" i="5"/>
  <c r="AB894" i="5"/>
  <c r="AB898" i="5"/>
  <c r="AB902" i="5"/>
  <c r="AB906" i="5"/>
  <c r="AB910" i="5"/>
  <c r="AB914" i="5"/>
  <c r="AB918" i="5"/>
  <c r="AB922" i="5"/>
  <c r="AB926" i="5"/>
  <c r="AB930" i="5"/>
  <c r="AB934" i="5"/>
  <c r="AB938" i="5"/>
  <c r="AB942" i="5"/>
  <c r="AB946" i="5"/>
  <c r="AB950" i="5"/>
  <c r="AB954" i="5"/>
  <c r="AB958" i="5"/>
  <c r="AB962" i="5"/>
  <c r="AB966" i="5"/>
  <c r="AB829" i="5"/>
  <c r="AB833" i="5"/>
  <c r="AB837" i="5"/>
  <c r="AB841" i="5"/>
  <c r="AB845" i="5"/>
  <c r="AB849" i="5"/>
  <c r="AB853" i="5"/>
  <c r="AB857" i="5"/>
  <c r="AB861" i="5"/>
  <c r="AB865" i="5"/>
  <c r="AB869" i="5"/>
  <c r="AB873" i="5"/>
  <c r="AB877" i="5"/>
  <c r="AB881" i="5"/>
  <c r="AB885" i="5"/>
  <c r="AB889" i="5"/>
  <c r="AB893" i="5"/>
  <c r="AB897" i="5"/>
  <c r="AB901" i="5"/>
  <c r="AB905" i="5"/>
  <c r="AB909" i="5"/>
  <c r="AB913" i="5"/>
  <c r="AB917" i="5"/>
  <c r="AB921" i="5"/>
  <c r="AB925" i="5"/>
  <c r="AB929" i="5"/>
  <c r="AB933" i="5"/>
  <c r="AB937" i="5"/>
  <c r="AB941" i="5"/>
  <c r="AB945" i="5"/>
  <c r="AB949" i="5"/>
  <c r="AB953" i="5"/>
  <c r="AB957" i="5"/>
  <c r="AB961" i="5"/>
  <c r="AB965" i="5"/>
  <c r="AB970" i="5"/>
  <c r="AB974" i="5"/>
  <c r="AB978" i="5"/>
  <c r="AB982" i="5"/>
  <c r="AB986" i="5"/>
  <c r="AB990" i="5"/>
  <c r="AB994" i="5"/>
  <c r="AB998" i="5"/>
  <c r="AB1002" i="5"/>
  <c r="AB969" i="5"/>
  <c r="AB973" i="5"/>
  <c r="AB977" i="5"/>
  <c r="AB981" i="5"/>
  <c r="AB985" i="5"/>
  <c r="AB989" i="5"/>
  <c r="AB993" i="5"/>
  <c r="AB997" i="5"/>
  <c r="AB1001" i="5"/>
  <c r="R27" i="5"/>
  <c r="S27" i="5" s="1"/>
  <c r="R25" i="5"/>
  <c r="S25" i="5" s="1"/>
  <c r="R23" i="5"/>
  <c r="S23" i="5" s="1"/>
  <c r="R21" i="5"/>
  <c r="S21" i="5" s="1"/>
  <c r="R19" i="5"/>
  <c r="S19" i="5" s="1"/>
  <c r="R17" i="5"/>
  <c r="S17" i="5" s="1"/>
  <c r="R15" i="5"/>
  <c r="S15" i="5" s="1"/>
  <c r="R13" i="5"/>
  <c r="S13" i="5" s="1"/>
  <c r="R11" i="5"/>
  <c r="S11" i="5" s="1"/>
  <c r="R9" i="5"/>
  <c r="S9" i="5" s="1"/>
  <c r="R7" i="5"/>
  <c r="S7" i="5" s="1"/>
  <c r="D1016" i="3"/>
  <c r="B130" i="3" l="1"/>
  <c r="B642" i="3"/>
  <c r="B386" i="3"/>
  <c r="B982" i="3"/>
  <c r="B66" i="3"/>
  <c r="B258" i="3"/>
  <c r="B514" i="3"/>
  <c r="B770" i="3"/>
  <c r="B339" i="3"/>
  <c r="B34" i="3"/>
  <c r="B98" i="3"/>
  <c r="B194" i="3"/>
  <c r="B322" i="3"/>
  <c r="B450" i="3"/>
  <c r="B578" i="3"/>
  <c r="B706" i="3"/>
  <c r="B854" i="3"/>
  <c r="B127" i="3"/>
  <c r="B595" i="3"/>
  <c r="B50" i="3"/>
  <c r="B82" i="3"/>
  <c r="B114" i="3"/>
  <c r="B162" i="3"/>
  <c r="B226" i="3"/>
  <c r="B290" i="3"/>
  <c r="B354" i="3"/>
  <c r="B418" i="3"/>
  <c r="B482" i="3"/>
  <c r="B546" i="3"/>
  <c r="B610" i="3"/>
  <c r="B674" i="3"/>
  <c r="B738" i="3"/>
  <c r="B802" i="3"/>
  <c r="B918" i="3"/>
  <c r="B63" i="3"/>
  <c r="B211" i="3"/>
  <c r="B467" i="3"/>
  <c r="B765" i="3"/>
  <c r="B26" i="3"/>
  <c r="B42" i="3"/>
  <c r="B58" i="3"/>
  <c r="B74" i="3"/>
  <c r="B90" i="3"/>
  <c r="B106" i="3"/>
  <c r="B122" i="3"/>
  <c r="B146" i="3"/>
  <c r="B178" i="3"/>
  <c r="B210" i="3"/>
  <c r="B242" i="3"/>
  <c r="B274" i="3"/>
  <c r="B306" i="3"/>
  <c r="B338" i="3"/>
  <c r="B370" i="3"/>
  <c r="B402" i="3"/>
  <c r="B434" i="3"/>
  <c r="B466" i="3"/>
  <c r="B498" i="3"/>
  <c r="B530" i="3"/>
  <c r="B562" i="3"/>
  <c r="B594" i="3"/>
  <c r="B626" i="3"/>
  <c r="B658" i="3"/>
  <c r="B690" i="3"/>
  <c r="B722" i="3"/>
  <c r="B754" i="3"/>
  <c r="B786" i="3"/>
  <c r="B822" i="3"/>
  <c r="B886" i="3"/>
  <c r="B950" i="3"/>
  <c r="B31" i="3"/>
  <c r="B95" i="3"/>
  <c r="B159" i="3"/>
  <c r="B275" i="3"/>
  <c r="B403" i="3"/>
  <c r="B531" i="3"/>
  <c r="B659" i="3"/>
  <c r="B893" i="3"/>
  <c r="B22" i="3"/>
  <c r="B30" i="3"/>
  <c r="B38" i="3"/>
  <c r="B46" i="3"/>
  <c r="B54" i="3"/>
  <c r="B62" i="3"/>
  <c r="B70" i="3"/>
  <c r="B78" i="3"/>
  <c r="B86" i="3"/>
  <c r="B94" i="3"/>
  <c r="B102" i="3"/>
  <c r="B110" i="3"/>
  <c r="B118" i="3"/>
  <c r="B126" i="3"/>
  <c r="B138" i="3"/>
  <c r="B154" i="3"/>
  <c r="B170" i="3"/>
  <c r="B186" i="3"/>
  <c r="B202" i="3"/>
  <c r="B218" i="3"/>
  <c r="B234" i="3"/>
  <c r="B250" i="3"/>
  <c r="B266" i="3"/>
  <c r="B282" i="3"/>
  <c r="B298" i="3"/>
  <c r="B314" i="3"/>
  <c r="B330" i="3"/>
  <c r="B346" i="3"/>
  <c r="B362" i="3"/>
  <c r="B378" i="3"/>
  <c r="B394" i="3"/>
  <c r="B410" i="3"/>
  <c r="B426" i="3"/>
  <c r="B442" i="3"/>
  <c r="B458" i="3"/>
  <c r="B474" i="3"/>
  <c r="B490" i="3"/>
  <c r="B506" i="3"/>
  <c r="B522" i="3"/>
  <c r="B538" i="3"/>
  <c r="B554" i="3"/>
  <c r="B570" i="3"/>
  <c r="B586" i="3"/>
  <c r="B602" i="3"/>
  <c r="B618" i="3"/>
  <c r="B634" i="3"/>
  <c r="B650" i="3"/>
  <c r="B666" i="3"/>
  <c r="B682" i="3"/>
  <c r="B698" i="3"/>
  <c r="B714" i="3"/>
  <c r="B730" i="3"/>
  <c r="B746" i="3"/>
  <c r="B762" i="3"/>
  <c r="B778" i="3"/>
  <c r="B794" i="3"/>
  <c r="B810" i="3"/>
  <c r="B838" i="3"/>
  <c r="B870" i="3"/>
  <c r="B902" i="3"/>
  <c r="B934" i="3"/>
  <c r="B966" i="3"/>
  <c r="B1008" i="3"/>
  <c r="B47" i="3"/>
  <c r="B79" i="3"/>
  <c r="B111" i="3"/>
  <c r="B143" i="3"/>
  <c r="B179" i="3"/>
  <c r="B243" i="3"/>
  <c r="B307" i="3"/>
  <c r="B371" i="3"/>
  <c r="B435" i="3"/>
  <c r="B499" i="3"/>
  <c r="B563" i="3"/>
  <c r="B627" i="3"/>
  <c r="B701" i="3"/>
  <c r="B829" i="3"/>
  <c r="B957" i="3"/>
  <c r="G6" i="3"/>
  <c r="B20" i="3"/>
  <c r="B24" i="3"/>
  <c r="B28" i="3"/>
  <c r="B32" i="3"/>
  <c r="B36" i="3"/>
  <c r="B40" i="3"/>
  <c r="B44" i="3"/>
  <c r="B48" i="3"/>
  <c r="B52" i="3"/>
  <c r="B56" i="3"/>
  <c r="B60" i="3"/>
  <c r="B64" i="3"/>
  <c r="B68" i="3"/>
  <c r="B72" i="3"/>
  <c r="B76" i="3"/>
  <c r="B80" i="3"/>
  <c r="B84" i="3"/>
  <c r="B88" i="3"/>
  <c r="B92" i="3"/>
  <c r="B96" i="3"/>
  <c r="B100" i="3"/>
  <c r="B104" i="3"/>
  <c r="B108" i="3"/>
  <c r="B112" i="3"/>
  <c r="B116" i="3"/>
  <c r="B120" i="3"/>
  <c r="B124" i="3"/>
  <c r="B128" i="3"/>
  <c r="B134" i="3"/>
  <c r="B142" i="3"/>
  <c r="B150" i="3"/>
  <c r="B158" i="3"/>
  <c r="B166" i="3"/>
  <c r="B174" i="3"/>
  <c r="B182" i="3"/>
  <c r="B190" i="3"/>
  <c r="B198" i="3"/>
  <c r="B206" i="3"/>
  <c r="B214" i="3"/>
  <c r="B222" i="3"/>
  <c r="B230" i="3"/>
  <c r="B238" i="3"/>
  <c r="B246" i="3"/>
  <c r="B254" i="3"/>
  <c r="B262" i="3"/>
  <c r="B270" i="3"/>
  <c r="B278" i="3"/>
  <c r="B286" i="3"/>
  <c r="B294" i="3"/>
  <c r="B302" i="3"/>
  <c r="B310" i="3"/>
  <c r="B318" i="3"/>
  <c r="B326" i="3"/>
  <c r="B334" i="3"/>
  <c r="B342" i="3"/>
  <c r="B350" i="3"/>
  <c r="B358" i="3"/>
  <c r="B366" i="3"/>
  <c r="B374" i="3"/>
  <c r="B382" i="3"/>
  <c r="B390" i="3"/>
  <c r="B398" i="3"/>
  <c r="B406" i="3"/>
  <c r="B414" i="3"/>
  <c r="B422" i="3"/>
  <c r="B430" i="3"/>
  <c r="B438" i="3"/>
  <c r="B446" i="3"/>
  <c r="B454" i="3"/>
  <c r="B462" i="3"/>
  <c r="B470" i="3"/>
  <c r="B478" i="3"/>
  <c r="B486" i="3"/>
  <c r="B494" i="3"/>
  <c r="B502" i="3"/>
  <c r="B510" i="3"/>
  <c r="B518" i="3"/>
  <c r="B526" i="3"/>
  <c r="B534" i="3"/>
  <c r="B542" i="3"/>
  <c r="B550" i="3"/>
  <c r="B558" i="3"/>
  <c r="B566" i="3"/>
  <c r="B574" i="3"/>
  <c r="B582" i="3"/>
  <c r="B590" i="3"/>
  <c r="B598" i="3"/>
  <c r="B606" i="3"/>
  <c r="B614" i="3"/>
  <c r="B622" i="3"/>
  <c r="B630" i="3"/>
  <c r="B638" i="3"/>
  <c r="B646" i="3"/>
  <c r="B654" i="3"/>
  <c r="B662" i="3"/>
  <c r="B670" i="3"/>
  <c r="B678" i="3"/>
  <c r="B686" i="3"/>
  <c r="B694" i="3"/>
  <c r="B702" i="3"/>
  <c r="B710" i="3"/>
  <c r="B718" i="3"/>
  <c r="B726" i="3"/>
  <c r="B734" i="3"/>
  <c r="B742" i="3"/>
  <c r="B750" i="3"/>
  <c r="B758" i="3"/>
  <c r="B766" i="3"/>
  <c r="B774" i="3"/>
  <c r="B782" i="3"/>
  <c r="B790" i="3"/>
  <c r="B798" i="3"/>
  <c r="B806" i="3"/>
  <c r="B814" i="3"/>
  <c r="B830" i="3"/>
  <c r="B846" i="3"/>
  <c r="B862" i="3"/>
  <c r="B878" i="3"/>
  <c r="B894" i="3"/>
  <c r="B910" i="3"/>
  <c r="B926" i="3"/>
  <c r="B942" i="3"/>
  <c r="B958" i="3"/>
  <c r="B974" i="3"/>
  <c r="B992" i="3"/>
  <c r="B23" i="3"/>
  <c r="B39" i="3"/>
  <c r="B55" i="3"/>
  <c r="B71" i="3"/>
  <c r="B87" i="3"/>
  <c r="B103" i="3"/>
  <c r="B119" i="3"/>
  <c r="B135" i="3"/>
  <c r="B151" i="3"/>
  <c r="B167" i="3"/>
  <c r="B195" i="3"/>
  <c r="B227" i="3"/>
  <c r="B259" i="3"/>
  <c r="B291" i="3"/>
  <c r="B323" i="3"/>
  <c r="B355" i="3"/>
  <c r="B387" i="3"/>
  <c r="B419" i="3"/>
  <c r="B451" i="3"/>
  <c r="B483" i="3"/>
  <c r="B515" i="3"/>
  <c r="B547" i="3"/>
  <c r="B579" i="3"/>
  <c r="B611" i="3"/>
  <c r="B643" i="3"/>
  <c r="B675" i="3"/>
  <c r="B733" i="3"/>
  <c r="B797" i="3"/>
  <c r="B861" i="3"/>
  <c r="B925" i="3"/>
  <c r="B1003" i="3"/>
  <c r="B995" i="3"/>
  <c r="B973" i="3"/>
  <c r="B941" i="3"/>
  <c r="B909" i="3"/>
  <c r="B877" i="3"/>
  <c r="B845" i="3"/>
  <c r="B813" i="3"/>
  <c r="B781" i="3"/>
  <c r="B749" i="3"/>
  <c r="B717" i="3"/>
  <c r="B685" i="3"/>
  <c r="B667" i="3"/>
  <c r="B651" i="3"/>
  <c r="B635" i="3"/>
  <c r="B619" i="3"/>
  <c r="B603" i="3"/>
  <c r="B587" i="3"/>
  <c r="B571" i="3"/>
  <c r="B555" i="3"/>
  <c r="B539" i="3"/>
  <c r="B523" i="3"/>
  <c r="B507" i="3"/>
  <c r="B491" i="3"/>
  <c r="B475" i="3"/>
  <c r="B459" i="3"/>
  <c r="B443" i="3"/>
  <c r="B427" i="3"/>
  <c r="B411" i="3"/>
  <c r="B395" i="3"/>
  <c r="B379" i="3"/>
  <c r="B363" i="3"/>
  <c r="B347" i="3"/>
  <c r="B331" i="3"/>
  <c r="B315" i="3"/>
  <c r="B299" i="3"/>
  <c r="B283" i="3"/>
  <c r="B267" i="3"/>
  <c r="B251" i="3"/>
  <c r="B235" i="3"/>
  <c r="B219" i="3"/>
  <c r="B203" i="3"/>
  <c r="B187" i="3"/>
  <c r="B171" i="3"/>
  <c r="B163" i="3"/>
  <c r="B155" i="3"/>
  <c r="B147" i="3"/>
  <c r="B139" i="3"/>
  <c r="B131" i="3"/>
  <c r="B123" i="3"/>
  <c r="B115" i="3"/>
  <c r="B107" i="3"/>
  <c r="B99" i="3"/>
  <c r="B91" i="3"/>
  <c r="B83" i="3"/>
  <c r="B75" i="3"/>
  <c r="B67" i="3"/>
  <c r="B59" i="3"/>
  <c r="B51" i="3"/>
  <c r="B43" i="3"/>
  <c r="B35" i="3"/>
  <c r="B27" i="3"/>
  <c r="B1000" i="3"/>
  <c r="B986" i="3"/>
  <c r="B978" i="3"/>
  <c r="B970" i="3"/>
  <c r="B962" i="3"/>
  <c r="B954" i="3"/>
  <c r="B946" i="3"/>
  <c r="B938" i="3"/>
  <c r="B930" i="3"/>
  <c r="B922" i="3"/>
  <c r="B914" i="3"/>
  <c r="B906" i="3"/>
  <c r="B898" i="3"/>
  <c r="B890" i="3"/>
  <c r="B882" i="3"/>
  <c r="B874" i="3"/>
  <c r="B866" i="3"/>
  <c r="B858" i="3"/>
  <c r="B850" i="3"/>
  <c r="B842" i="3"/>
  <c r="B834" i="3"/>
  <c r="B826" i="3"/>
  <c r="B818" i="3"/>
  <c r="B132" i="3"/>
  <c r="B136" i="3"/>
  <c r="B140" i="3"/>
  <c r="B144" i="3"/>
  <c r="B148" i="3"/>
  <c r="B152" i="3"/>
  <c r="B156" i="3"/>
  <c r="B160" i="3"/>
  <c r="B164" i="3"/>
  <c r="B168" i="3"/>
  <c r="B172" i="3"/>
  <c r="B176" i="3"/>
  <c r="B180" i="3"/>
  <c r="B184" i="3"/>
  <c r="B188" i="3"/>
  <c r="B192" i="3"/>
  <c r="B196" i="3"/>
  <c r="B200" i="3"/>
  <c r="B204" i="3"/>
  <c r="B208" i="3"/>
  <c r="B212" i="3"/>
  <c r="B216" i="3"/>
  <c r="B220" i="3"/>
  <c r="B224" i="3"/>
  <c r="B228" i="3"/>
  <c r="B232" i="3"/>
  <c r="B236" i="3"/>
  <c r="B240" i="3"/>
  <c r="B244" i="3"/>
  <c r="B248" i="3"/>
  <c r="B252" i="3"/>
  <c r="B256" i="3"/>
  <c r="B260" i="3"/>
  <c r="B264" i="3"/>
  <c r="B268" i="3"/>
  <c r="B272" i="3"/>
  <c r="B276" i="3"/>
  <c r="B280" i="3"/>
  <c r="B284" i="3"/>
  <c r="B288" i="3"/>
  <c r="B292" i="3"/>
  <c r="B296" i="3"/>
  <c r="B300" i="3"/>
  <c r="B304" i="3"/>
  <c r="B308" i="3"/>
  <c r="B312" i="3"/>
  <c r="B316" i="3"/>
  <c r="B320" i="3"/>
  <c r="B324" i="3"/>
  <c r="B328" i="3"/>
  <c r="B332" i="3"/>
  <c r="B336" i="3"/>
  <c r="B340" i="3"/>
  <c r="B344" i="3"/>
  <c r="B348" i="3"/>
  <c r="B352" i="3"/>
  <c r="B356" i="3"/>
  <c r="B360" i="3"/>
  <c r="B364" i="3"/>
  <c r="B368" i="3"/>
  <c r="B372" i="3"/>
  <c r="B376" i="3"/>
  <c r="B380" i="3"/>
  <c r="B384" i="3"/>
  <c r="B388" i="3"/>
  <c r="B392" i="3"/>
  <c r="B396" i="3"/>
  <c r="B400" i="3"/>
  <c r="B404" i="3"/>
  <c r="B408" i="3"/>
  <c r="B412" i="3"/>
  <c r="B416" i="3"/>
  <c r="B420" i="3"/>
  <c r="B424" i="3"/>
  <c r="B428" i="3"/>
  <c r="B432" i="3"/>
  <c r="B436" i="3"/>
  <c r="B440" i="3"/>
  <c r="B444" i="3"/>
  <c r="B448" i="3"/>
  <c r="B452" i="3"/>
  <c r="B456" i="3"/>
  <c r="B460" i="3"/>
  <c r="B464" i="3"/>
  <c r="B468" i="3"/>
  <c r="B472" i="3"/>
  <c r="B476" i="3"/>
  <c r="B480" i="3"/>
  <c r="B484" i="3"/>
  <c r="B488" i="3"/>
  <c r="B492" i="3"/>
  <c r="B496" i="3"/>
  <c r="B500" i="3"/>
  <c r="B504" i="3"/>
  <c r="B508" i="3"/>
  <c r="B512" i="3"/>
  <c r="B516" i="3"/>
  <c r="B520" i="3"/>
  <c r="B524" i="3"/>
  <c r="B528" i="3"/>
  <c r="B532" i="3"/>
  <c r="B536" i="3"/>
  <c r="B540" i="3"/>
  <c r="B544" i="3"/>
  <c r="B548" i="3"/>
  <c r="B552" i="3"/>
  <c r="B556" i="3"/>
  <c r="B560" i="3"/>
  <c r="B564" i="3"/>
  <c r="B568" i="3"/>
  <c r="B572" i="3"/>
  <c r="B576" i="3"/>
  <c r="B580" i="3"/>
  <c r="B584" i="3"/>
  <c r="B588" i="3"/>
  <c r="B592" i="3"/>
  <c r="B596" i="3"/>
  <c r="B600" i="3"/>
  <c r="B604" i="3"/>
  <c r="B608" i="3"/>
  <c r="B612" i="3"/>
  <c r="B616" i="3"/>
  <c r="B620" i="3"/>
  <c r="B624" i="3"/>
  <c r="B628" i="3"/>
  <c r="B632" i="3"/>
  <c r="B636" i="3"/>
  <c r="B640" i="3"/>
  <c r="B644" i="3"/>
  <c r="B648" i="3"/>
  <c r="B652" i="3"/>
  <c r="B656" i="3"/>
  <c r="B660" i="3"/>
  <c r="B664" i="3"/>
  <c r="B668" i="3"/>
  <c r="B672" i="3"/>
  <c r="B676" i="3"/>
  <c r="B680" i="3"/>
  <c r="B684" i="3"/>
  <c r="B688" i="3"/>
  <c r="B692" i="3"/>
  <c r="B696" i="3"/>
  <c r="B700" i="3"/>
  <c r="B704" i="3"/>
  <c r="B708" i="3"/>
  <c r="B712" i="3"/>
  <c r="B716" i="3"/>
  <c r="B720" i="3"/>
  <c r="B724" i="3"/>
  <c r="B728" i="3"/>
  <c r="B732" i="3"/>
  <c r="B736" i="3"/>
  <c r="B740" i="3"/>
  <c r="B744" i="3"/>
  <c r="B748" i="3"/>
  <c r="B752" i="3"/>
  <c r="B756" i="3"/>
  <c r="B760" i="3"/>
  <c r="B764" i="3"/>
  <c r="B768" i="3"/>
  <c r="B772" i="3"/>
  <c r="B776" i="3"/>
  <c r="B780" i="3"/>
  <c r="B784" i="3"/>
  <c r="B788" i="3"/>
  <c r="B792" i="3"/>
  <c r="B796" i="3"/>
  <c r="B800" i="3"/>
  <c r="B804" i="3"/>
  <c r="B808" i="3"/>
  <c r="B812" i="3"/>
  <c r="B816" i="3"/>
  <c r="B820" i="3"/>
  <c r="B824" i="3"/>
  <c r="B828" i="3"/>
  <c r="B832" i="3"/>
  <c r="B836" i="3"/>
  <c r="B840" i="3"/>
  <c r="B844" i="3"/>
  <c r="B848" i="3"/>
  <c r="B852" i="3"/>
  <c r="B856" i="3"/>
  <c r="B860" i="3"/>
  <c r="B864" i="3"/>
  <c r="B868" i="3"/>
  <c r="B872" i="3"/>
  <c r="B876" i="3"/>
  <c r="B880" i="3"/>
  <c r="B884" i="3"/>
  <c r="B888" i="3"/>
  <c r="B892" i="3"/>
  <c r="B896" i="3"/>
  <c r="B900" i="3"/>
  <c r="B904" i="3"/>
  <c r="B908" i="3"/>
  <c r="B912" i="3"/>
  <c r="B916" i="3"/>
  <c r="B920" i="3"/>
  <c r="B924" i="3"/>
  <c r="B928" i="3"/>
  <c r="B932" i="3"/>
  <c r="B936" i="3"/>
  <c r="B940" i="3"/>
  <c r="B944" i="3"/>
  <c r="B948" i="3"/>
  <c r="B952" i="3"/>
  <c r="B956" i="3"/>
  <c r="B960" i="3"/>
  <c r="B964" i="3"/>
  <c r="B968" i="3"/>
  <c r="B972" i="3"/>
  <c r="B976" i="3"/>
  <c r="B980" i="3"/>
  <c r="B984" i="3"/>
  <c r="B988" i="3"/>
  <c r="B996" i="3"/>
  <c r="B1004" i="3"/>
  <c r="B21" i="3"/>
  <c r="B25" i="3"/>
  <c r="B29" i="3"/>
  <c r="B33" i="3"/>
  <c r="B37" i="3"/>
  <c r="B41" i="3"/>
  <c r="B45" i="3"/>
  <c r="B49" i="3"/>
  <c r="B53" i="3"/>
  <c r="B57" i="3"/>
  <c r="B61" i="3"/>
  <c r="B65" i="3"/>
  <c r="B69" i="3"/>
  <c r="B73" i="3"/>
  <c r="B77" i="3"/>
  <c r="B81" i="3"/>
  <c r="B85" i="3"/>
  <c r="B89" i="3"/>
  <c r="B93" i="3"/>
  <c r="B97" i="3"/>
  <c r="B101" i="3"/>
  <c r="B105" i="3"/>
  <c r="B109" i="3"/>
  <c r="B113" i="3"/>
  <c r="B117" i="3"/>
  <c r="B121" i="3"/>
  <c r="B125" i="3"/>
  <c r="B129" i="3"/>
  <c r="B133" i="3"/>
  <c r="B137" i="3"/>
  <c r="B141" i="3"/>
  <c r="B145" i="3"/>
  <c r="B149" i="3"/>
  <c r="B153" i="3"/>
  <c r="B157" i="3"/>
  <c r="B161" i="3"/>
  <c r="B165" i="3"/>
  <c r="B169" i="3"/>
  <c r="B175" i="3"/>
  <c r="B183" i="3"/>
  <c r="B191" i="3"/>
  <c r="B199" i="3"/>
  <c r="B207" i="3"/>
  <c r="B215" i="3"/>
  <c r="B223" i="3"/>
  <c r="B231" i="3"/>
  <c r="B239" i="3"/>
  <c r="B247" i="3"/>
  <c r="B255" i="3"/>
  <c r="B263" i="3"/>
  <c r="B271" i="3"/>
  <c r="B279" i="3"/>
  <c r="B287" i="3"/>
  <c r="B295" i="3"/>
  <c r="B303" i="3"/>
  <c r="B311" i="3"/>
  <c r="B319" i="3"/>
  <c r="B327" i="3"/>
  <c r="B335" i="3"/>
  <c r="B343" i="3"/>
  <c r="B351" i="3"/>
  <c r="B359" i="3"/>
  <c r="B367" i="3"/>
  <c r="B375" i="3"/>
  <c r="B383" i="3"/>
  <c r="B391" i="3"/>
  <c r="B399" i="3"/>
  <c r="B407" i="3"/>
  <c r="B415" i="3"/>
  <c r="B423" i="3"/>
  <c r="B431" i="3"/>
  <c r="B439" i="3"/>
  <c r="B447" i="3"/>
  <c r="B455" i="3"/>
  <c r="B463" i="3"/>
  <c r="B471" i="3"/>
  <c r="B479" i="3"/>
  <c r="B487" i="3"/>
  <c r="B495" i="3"/>
  <c r="B503" i="3"/>
  <c r="B511" i="3"/>
  <c r="B519" i="3"/>
  <c r="B527" i="3"/>
  <c r="B535" i="3"/>
  <c r="B543" i="3"/>
  <c r="B551" i="3"/>
  <c r="B559" i="3"/>
  <c r="B567" i="3"/>
  <c r="B575" i="3"/>
  <c r="B583" i="3"/>
  <c r="B591" i="3"/>
  <c r="B599" i="3"/>
  <c r="B607" i="3"/>
  <c r="B615" i="3"/>
  <c r="B623" i="3"/>
  <c r="B631" i="3"/>
  <c r="B639" i="3"/>
  <c r="B647" i="3"/>
  <c r="B655" i="3"/>
  <c r="B663" i="3"/>
  <c r="B671" i="3"/>
  <c r="B679" i="3"/>
  <c r="B693" i="3"/>
  <c r="B709" i="3"/>
  <c r="B725" i="3"/>
  <c r="B741" i="3"/>
  <c r="B757" i="3"/>
  <c r="B773" i="3"/>
  <c r="B789" i="3"/>
  <c r="B805" i="3"/>
  <c r="B821" i="3"/>
  <c r="B837" i="3"/>
  <c r="B853" i="3"/>
  <c r="B869" i="3"/>
  <c r="B885" i="3"/>
  <c r="B901" i="3"/>
  <c r="B917" i="3"/>
  <c r="B933" i="3"/>
  <c r="B949" i="3"/>
  <c r="B965" i="3"/>
  <c r="B981" i="3"/>
  <c r="B1006" i="3"/>
  <c r="B1009" i="3"/>
  <c r="B1005" i="3"/>
  <c r="B1001" i="3"/>
  <c r="B997" i="3"/>
  <c r="B993" i="3"/>
  <c r="B989" i="3"/>
  <c r="B1002" i="3"/>
  <c r="B994" i="3"/>
  <c r="B987" i="3"/>
  <c r="B983" i="3"/>
  <c r="B979" i="3"/>
  <c r="B975" i="3"/>
  <c r="B971" i="3"/>
  <c r="B967" i="3"/>
  <c r="B963" i="3"/>
  <c r="B959" i="3"/>
  <c r="B955" i="3"/>
  <c r="B951" i="3"/>
  <c r="B947" i="3"/>
  <c r="B943" i="3"/>
  <c r="B939" i="3"/>
  <c r="B935" i="3"/>
  <c r="B931" i="3"/>
  <c r="B927" i="3"/>
  <c r="B923" i="3"/>
  <c r="B919" i="3"/>
  <c r="B915" i="3"/>
  <c r="B911" i="3"/>
  <c r="B907" i="3"/>
  <c r="B903" i="3"/>
  <c r="B899" i="3"/>
  <c r="B895" i="3"/>
  <c r="B891" i="3"/>
  <c r="B887" i="3"/>
  <c r="B883" i="3"/>
  <c r="B879" i="3"/>
  <c r="B875" i="3"/>
  <c r="B871" i="3"/>
  <c r="B867" i="3"/>
  <c r="B863" i="3"/>
  <c r="B859" i="3"/>
  <c r="B855" i="3"/>
  <c r="B851" i="3"/>
  <c r="B847" i="3"/>
  <c r="B843" i="3"/>
  <c r="B839" i="3"/>
  <c r="B835" i="3"/>
  <c r="B831" i="3"/>
  <c r="B827" i="3"/>
  <c r="B823" i="3"/>
  <c r="B819" i="3"/>
  <c r="B815" i="3"/>
  <c r="B811" i="3"/>
  <c r="B807" i="3"/>
  <c r="B803" i="3"/>
  <c r="B799" i="3"/>
  <c r="B795" i="3"/>
  <c r="B791" i="3"/>
  <c r="B787" i="3"/>
  <c r="B783" i="3"/>
  <c r="B779" i="3"/>
  <c r="B775" i="3"/>
  <c r="B771" i="3"/>
  <c r="B767" i="3"/>
  <c r="B763" i="3"/>
  <c r="B759" i="3"/>
  <c r="B755" i="3"/>
  <c r="B751" i="3"/>
  <c r="B747" i="3"/>
  <c r="B743" i="3"/>
  <c r="B739" i="3"/>
  <c r="B735" i="3"/>
  <c r="B731" i="3"/>
  <c r="B727" i="3"/>
  <c r="B723" i="3"/>
  <c r="B719" i="3"/>
  <c r="B715" i="3"/>
  <c r="B711" i="3"/>
  <c r="B707" i="3"/>
  <c r="B703" i="3"/>
  <c r="B699" i="3"/>
  <c r="B695" i="3"/>
  <c r="B691" i="3"/>
  <c r="B687" i="3"/>
  <c r="B683" i="3"/>
  <c r="B1007" i="3"/>
  <c r="B999" i="3"/>
  <c r="B991" i="3"/>
  <c r="B998" i="3"/>
  <c r="B985" i="3"/>
  <c r="B977" i="3"/>
  <c r="B969" i="3"/>
  <c r="B961" i="3"/>
  <c r="B953" i="3"/>
  <c r="B945" i="3"/>
  <c r="B937" i="3"/>
  <c r="B929" i="3"/>
  <c r="B921" i="3"/>
  <c r="B913" i="3"/>
  <c r="B905" i="3"/>
  <c r="B897" i="3"/>
  <c r="B889" i="3"/>
  <c r="B881" i="3"/>
  <c r="B873" i="3"/>
  <c r="B865" i="3"/>
  <c r="B857" i="3"/>
  <c r="B849" i="3"/>
  <c r="B841" i="3"/>
  <c r="B833" i="3"/>
  <c r="B825" i="3"/>
  <c r="B817" i="3"/>
  <c r="B809" i="3"/>
  <c r="B801" i="3"/>
  <c r="B793" i="3"/>
  <c r="B785" i="3"/>
  <c r="B777" i="3"/>
  <c r="B769" i="3"/>
  <c r="B761" i="3"/>
  <c r="B753" i="3"/>
  <c r="B745" i="3"/>
  <c r="B737" i="3"/>
  <c r="B729" i="3"/>
  <c r="B721" i="3"/>
  <c r="B713" i="3"/>
  <c r="B705" i="3"/>
  <c r="B697" i="3"/>
  <c r="B689" i="3"/>
  <c r="B681" i="3"/>
  <c r="B677" i="3"/>
  <c r="B673" i="3"/>
  <c r="B669" i="3"/>
  <c r="B665" i="3"/>
  <c r="B661" i="3"/>
  <c r="B657" i="3"/>
  <c r="B653" i="3"/>
  <c r="B649" i="3"/>
  <c r="B645" i="3"/>
  <c r="B641" i="3"/>
  <c r="B637" i="3"/>
  <c r="B633" i="3"/>
  <c r="B629" i="3"/>
  <c r="B625" i="3"/>
  <c r="B621" i="3"/>
  <c r="B617" i="3"/>
  <c r="B613" i="3"/>
  <c r="B609" i="3"/>
  <c r="B605" i="3"/>
  <c r="B601" i="3"/>
  <c r="B597" i="3"/>
  <c r="B593" i="3"/>
  <c r="B589" i="3"/>
  <c r="B585" i="3"/>
  <c r="B581" i="3"/>
  <c r="B577" i="3"/>
  <c r="B573" i="3"/>
  <c r="B569" i="3"/>
  <c r="B565" i="3"/>
  <c r="B561" i="3"/>
  <c r="B557" i="3"/>
  <c r="B553" i="3"/>
  <c r="B549" i="3"/>
  <c r="B545" i="3"/>
  <c r="B541" i="3"/>
  <c r="B537" i="3"/>
  <c r="B533" i="3"/>
  <c r="B529" i="3"/>
  <c r="B525" i="3"/>
  <c r="B521" i="3"/>
  <c r="B517" i="3"/>
  <c r="B513" i="3"/>
  <c r="B509" i="3"/>
  <c r="B505" i="3"/>
  <c r="B501" i="3"/>
  <c r="B497" i="3"/>
  <c r="B493" i="3"/>
  <c r="B489" i="3"/>
  <c r="B485" i="3"/>
  <c r="B481" i="3"/>
  <c r="B477" i="3"/>
  <c r="B473" i="3"/>
  <c r="B469" i="3"/>
  <c r="B465" i="3"/>
  <c r="B461" i="3"/>
  <c r="B457" i="3"/>
  <c r="B453" i="3"/>
  <c r="B449" i="3"/>
  <c r="B445" i="3"/>
  <c r="B441" i="3"/>
  <c r="B437" i="3"/>
  <c r="B433" i="3"/>
  <c r="B429" i="3"/>
  <c r="B425" i="3"/>
  <c r="B421" i="3"/>
  <c r="B417" i="3"/>
  <c r="B413" i="3"/>
  <c r="B409" i="3"/>
  <c r="B405" i="3"/>
  <c r="B401" i="3"/>
  <c r="B397" i="3"/>
  <c r="B393" i="3"/>
  <c r="B389" i="3"/>
  <c r="B385" i="3"/>
  <c r="B381" i="3"/>
  <c r="B377" i="3"/>
  <c r="B373" i="3"/>
  <c r="B369" i="3"/>
  <c r="B365" i="3"/>
  <c r="B361" i="3"/>
  <c r="B357" i="3"/>
  <c r="B353" i="3"/>
  <c r="B349" i="3"/>
  <c r="B345" i="3"/>
  <c r="B341" i="3"/>
  <c r="B337" i="3"/>
  <c r="B333" i="3"/>
  <c r="B329" i="3"/>
  <c r="B325" i="3"/>
  <c r="B321" i="3"/>
  <c r="B317" i="3"/>
  <c r="B313" i="3"/>
  <c r="B309" i="3"/>
  <c r="B305" i="3"/>
  <c r="B301" i="3"/>
  <c r="B297" i="3"/>
  <c r="B293" i="3"/>
  <c r="B289" i="3"/>
  <c r="B285" i="3"/>
  <c r="B281" i="3"/>
  <c r="B277" i="3"/>
  <c r="B273" i="3"/>
  <c r="B269" i="3"/>
  <c r="B265" i="3"/>
  <c r="B261" i="3"/>
  <c r="B257" i="3"/>
  <c r="B253" i="3"/>
  <c r="B249" i="3"/>
  <c r="B245" i="3"/>
  <c r="B241" i="3"/>
  <c r="B237" i="3"/>
  <c r="B233" i="3"/>
  <c r="B229" i="3"/>
  <c r="B225" i="3"/>
  <c r="B221" i="3"/>
  <c r="B217" i="3"/>
  <c r="B213" i="3"/>
  <c r="B209" i="3"/>
  <c r="B205" i="3"/>
  <c r="B201" i="3"/>
  <c r="B197" i="3"/>
  <c r="B193" i="3"/>
  <c r="B189" i="3"/>
  <c r="B185" i="3"/>
  <c r="B181" i="3"/>
  <c r="B177" i="3"/>
  <c r="B173" i="3"/>
  <c r="AC6" i="5"/>
  <c r="B10" i="3" s="1"/>
  <c r="E10" i="3" s="1"/>
  <c r="AC1004" i="5"/>
  <c r="G10" i="3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AC7" i="5"/>
  <c r="B11" i="3" s="1"/>
  <c r="AC11" i="5"/>
  <c r="B15" i="3" s="1"/>
  <c r="AC15" i="5"/>
  <c r="B19" i="3" s="1"/>
  <c r="AC19" i="5"/>
  <c r="AC23" i="5"/>
  <c r="AC27" i="5"/>
  <c r="AC31" i="5"/>
  <c r="AC35" i="5"/>
  <c r="AC39" i="5"/>
  <c r="AC43" i="5"/>
  <c r="AC47" i="5"/>
  <c r="AC51" i="5"/>
  <c r="AC55" i="5"/>
  <c r="AC59" i="5"/>
  <c r="AC63" i="5"/>
  <c r="AC67" i="5"/>
  <c r="AC71" i="5"/>
  <c r="AC75" i="5"/>
  <c r="AC79" i="5"/>
  <c r="AC83" i="5"/>
  <c r="AC87" i="5"/>
  <c r="AC91" i="5"/>
  <c r="AC95" i="5"/>
  <c r="AC99" i="5"/>
  <c r="AC103" i="5"/>
  <c r="AC107" i="5"/>
  <c r="AC111" i="5"/>
  <c r="AC115" i="5"/>
  <c r="AC119" i="5"/>
  <c r="AC123" i="5"/>
  <c r="AC127" i="5"/>
  <c r="AC131" i="5"/>
  <c r="AC135" i="5"/>
  <c r="AC139" i="5"/>
  <c r="AC143" i="5"/>
  <c r="AC147" i="5"/>
  <c r="AC151" i="5"/>
  <c r="AC155" i="5"/>
  <c r="AC159" i="5"/>
  <c r="AC163" i="5"/>
  <c r="AC167" i="5"/>
  <c r="AC171" i="5"/>
  <c r="AC175" i="5"/>
  <c r="AC179" i="5"/>
  <c r="AC183" i="5"/>
  <c r="AC187" i="5"/>
  <c r="AC191" i="5"/>
  <c r="AC195" i="5"/>
  <c r="AC199" i="5"/>
  <c r="AC203" i="5"/>
  <c r="AC207" i="5"/>
  <c r="AC211" i="5"/>
  <c r="AC215" i="5"/>
  <c r="AC219" i="5"/>
  <c r="AC223" i="5"/>
  <c r="AC227" i="5"/>
  <c r="AC231" i="5"/>
  <c r="AC235" i="5"/>
  <c r="AC239" i="5"/>
  <c r="AC243" i="5"/>
  <c r="AC247" i="5"/>
  <c r="AC251" i="5"/>
  <c r="AC255" i="5"/>
  <c r="AC259" i="5"/>
  <c r="AC263" i="5"/>
  <c r="AC267" i="5"/>
  <c r="AC271" i="5"/>
  <c r="AC275" i="5"/>
  <c r="AC279" i="5"/>
  <c r="AC283" i="5"/>
  <c r="AC287" i="5"/>
  <c r="AC291" i="5"/>
  <c r="AC295" i="5"/>
  <c r="AC299" i="5"/>
  <c r="AC303" i="5"/>
  <c r="AC307" i="5"/>
  <c r="AC311" i="5"/>
  <c r="AC315" i="5"/>
  <c r="AC319" i="5"/>
  <c r="AC323" i="5"/>
  <c r="AC327" i="5"/>
  <c r="AC331" i="5"/>
  <c r="AC335" i="5"/>
  <c r="AC339" i="5"/>
  <c r="AC343" i="5"/>
  <c r="AC347" i="5"/>
  <c r="AC351" i="5"/>
  <c r="AC355" i="5"/>
  <c r="AC359" i="5"/>
  <c r="AC363" i="5"/>
  <c r="AC367" i="5"/>
  <c r="AC371" i="5"/>
  <c r="AC375" i="5"/>
  <c r="AC379" i="5"/>
  <c r="AC383" i="5"/>
  <c r="AC387" i="5"/>
  <c r="AC8" i="5"/>
  <c r="B12" i="3" s="1"/>
  <c r="AC12" i="5"/>
  <c r="B16" i="3" s="1"/>
  <c r="AC16" i="5"/>
  <c r="AC20" i="5"/>
  <c r="AC24" i="5"/>
  <c r="AC28" i="5"/>
  <c r="AC32" i="5"/>
  <c r="AC36" i="5"/>
  <c r="AC40" i="5"/>
  <c r="AC44" i="5"/>
  <c r="AC48" i="5"/>
  <c r="AC52" i="5"/>
  <c r="AC56" i="5"/>
  <c r="AC60" i="5"/>
  <c r="AC64" i="5"/>
  <c r="AC68" i="5"/>
  <c r="AC72" i="5"/>
  <c r="AC76" i="5"/>
  <c r="AC80" i="5"/>
  <c r="AC84" i="5"/>
  <c r="AC88" i="5"/>
  <c r="AC92" i="5"/>
  <c r="AC96" i="5"/>
  <c r="AC100" i="5"/>
  <c r="AC104" i="5"/>
  <c r="AC108" i="5"/>
  <c r="AC112" i="5"/>
  <c r="AC116" i="5"/>
  <c r="AC120" i="5"/>
  <c r="AC124" i="5"/>
  <c r="AC128" i="5"/>
  <c r="AC132" i="5"/>
  <c r="AC136" i="5"/>
  <c r="AC140" i="5"/>
  <c r="AC144" i="5"/>
  <c r="AC148" i="5"/>
  <c r="AC152" i="5"/>
  <c r="AC156" i="5"/>
  <c r="AC160" i="5"/>
  <c r="AC164" i="5"/>
  <c r="AC168" i="5"/>
  <c r="AC172" i="5"/>
  <c r="AC176" i="5"/>
  <c r="AC180" i="5"/>
  <c r="AC184" i="5"/>
  <c r="AC188" i="5"/>
  <c r="AC192" i="5"/>
  <c r="AC196" i="5"/>
  <c r="AC200" i="5"/>
  <c r="AC204" i="5"/>
  <c r="AC208" i="5"/>
  <c r="AC212" i="5"/>
  <c r="AC216" i="5"/>
  <c r="AC220" i="5"/>
  <c r="AC224" i="5"/>
  <c r="AC228" i="5"/>
  <c r="AC232" i="5"/>
  <c r="AC236" i="5"/>
  <c r="AC240" i="5"/>
  <c r="AC244" i="5"/>
  <c r="AC248" i="5"/>
  <c r="AC252" i="5"/>
  <c r="AC256" i="5"/>
  <c r="AC260" i="5"/>
  <c r="AC264" i="5"/>
  <c r="AC268" i="5"/>
  <c r="AC272" i="5"/>
  <c r="AC276" i="5"/>
  <c r="AC280" i="5"/>
  <c r="AC284" i="5"/>
  <c r="AC288" i="5"/>
  <c r="AC292" i="5"/>
  <c r="AC296" i="5"/>
  <c r="AC300" i="5"/>
  <c r="AC304" i="5"/>
  <c r="AC308" i="5"/>
  <c r="AC312" i="5"/>
  <c r="AC316" i="5"/>
  <c r="AC320" i="5"/>
  <c r="AC324" i="5"/>
  <c r="AC328" i="5"/>
  <c r="AC332" i="5"/>
  <c r="AC336" i="5"/>
  <c r="AC340" i="5"/>
  <c r="AC344" i="5"/>
  <c r="AC348" i="5"/>
  <c r="AC352" i="5"/>
  <c r="AC356" i="5"/>
  <c r="AC360" i="5"/>
  <c r="AC364" i="5"/>
  <c r="AC368" i="5"/>
  <c r="AC372" i="5"/>
  <c r="AC376" i="5"/>
  <c r="AC380" i="5"/>
  <c r="AC384" i="5"/>
  <c r="AC389" i="5"/>
  <c r="AC393" i="5"/>
  <c r="AC397" i="5"/>
  <c r="AC401" i="5"/>
  <c r="AC405" i="5"/>
  <c r="AC409" i="5"/>
  <c r="AC413" i="5"/>
  <c r="AC417" i="5"/>
  <c r="AC421" i="5"/>
  <c r="AC425" i="5"/>
  <c r="AC429" i="5"/>
  <c r="AC433" i="5"/>
  <c r="AC437" i="5"/>
  <c r="AC441" i="5"/>
  <c r="AC445" i="5"/>
  <c r="AC449" i="5"/>
  <c r="AC453" i="5"/>
  <c r="AC457" i="5"/>
  <c r="AC461" i="5"/>
  <c r="AC465" i="5"/>
  <c r="AC390" i="5"/>
  <c r="AC394" i="5"/>
  <c r="AC398" i="5"/>
  <c r="AC402" i="5"/>
  <c r="AC406" i="5"/>
  <c r="AC410" i="5"/>
  <c r="AC414" i="5"/>
  <c r="AC418" i="5"/>
  <c r="AC422" i="5"/>
  <c r="AC426" i="5"/>
  <c r="AC430" i="5"/>
  <c r="AC434" i="5"/>
  <c r="AC438" i="5"/>
  <c r="AC442" i="5"/>
  <c r="AC446" i="5"/>
  <c r="AC450" i="5"/>
  <c r="AC454" i="5"/>
  <c r="AC458" i="5"/>
  <c r="AC462" i="5"/>
  <c r="AC466" i="5"/>
  <c r="AC470" i="5"/>
  <c r="AC474" i="5"/>
  <c r="AC478" i="5"/>
  <c r="AC482" i="5"/>
  <c r="AC486" i="5"/>
  <c r="AC490" i="5"/>
  <c r="AC494" i="5"/>
  <c r="AC498" i="5"/>
  <c r="AC502" i="5"/>
  <c r="AC506" i="5"/>
  <c r="AC510" i="5"/>
  <c r="AC514" i="5"/>
  <c r="AC518" i="5"/>
  <c r="AC522" i="5"/>
  <c r="AC526" i="5"/>
  <c r="AC530" i="5"/>
  <c r="AC534" i="5"/>
  <c r="AC538" i="5"/>
  <c r="AC542" i="5"/>
  <c r="AC546" i="5"/>
  <c r="AC550" i="5"/>
  <c r="AC554" i="5"/>
  <c r="AC558" i="5"/>
  <c r="AC562" i="5"/>
  <c r="AC566" i="5"/>
  <c r="AC570" i="5"/>
  <c r="AC574" i="5"/>
  <c r="AC578" i="5"/>
  <c r="AC582" i="5"/>
  <c r="AC586" i="5"/>
  <c r="AC590" i="5"/>
  <c r="AC594" i="5"/>
  <c r="AC598" i="5"/>
  <c r="AC602" i="5"/>
  <c r="AC606" i="5"/>
  <c r="AC610" i="5"/>
  <c r="AC614" i="5"/>
  <c r="AC618" i="5"/>
  <c r="AC622" i="5"/>
  <c r="AC626" i="5"/>
  <c r="AC630" i="5"/>
  <c r="AC634" i="5"/>
  <c r="AC638" i="5"/>
  <c r="AC642" i="5"/>
  <c r="AC646" i="5"/>
  <c r="AC650" i="5"/>
  <c r="AC654" i="5"/>
  <c r="AC658" i="5"/>
  <c r="AC662" i="5"/>
  <c r="AC666" i="5"/>
  <c r="AC670" i="5"/>
  <c r="AC674" i="5"/>
  <c r="AC678" i="5"/>
  <c r="AC682" i="5"/>
  <c r="AC686" i="5"/>
  <c r="AC690" i="5"/>
  <c r="AC694" i="5"/>
  <c r="AC698" i="5"/>
  <c r="AC702" i="5"/>
  <c r="AC706" i="5"/>
  <c r="AC710" i="5"/>
  <c r="AC714" i="5"/>
  <c r="AC718" i="5"/>
  <c r="AC722" i="5"/>
  <c r="AC726" i="5"/>
  <c r="AC730" i="5"/>
  <c r="AC734" i="5"/>
  <c r="AC738" i="5"/>
  <c r="AC742" i="5"/>
  <c r="AC746" i="5"/>
  <c r="AC750" i="5"/>
  <c r="AC754" i="5"/>
  <c r="AC758" i="5"/>
  <c r="AC762" i="5"/>
  <c r="AC766" i="5"/>
  <c r="AC770" i="5"/>
  <c r="AC774" i="5"/>
  <c r="AC778" i="5"/>
  <c r="AC782" i="5"/>
  <c r="AC786" i="5"/>
  <c r="AC790" i="5"/>
  <c r="AC794" i="5"/>
  <c r="AC798" i="5"/>
  <c r="AC802" i="5"/>
  <c r="AC806" i="5"/>
  <c r="AC810" i="5"/>
  <c r="AC814" i="5"/>
  <c r="AC818" i="5"/>
  <c r="AC822" i="5"/>
  <c r="AC826" i="5"/>
  <c r="AC469" i="5"/>
  <c r="AC473" i="5"/>
  <c r="AC477" i="5"/>
  <c r="AC481" i="5"/>
  <c r="AC485" i="5"/>
  <c r="AC489" i="5"/>
  <c r="AC493" i="5"/>
  <c r="AC497" i="5"/>
  <c r="AC501" i="5"/>
  <c r="AC505" i="5"/>
  <c r="AC509" i="5"/>
  <c r="AC513" i="5"/>
  <c r="AC517" i="5"/>
  <c r="AC521" i="5"/>
  <c r="AC525" i="5"/>
  <c r="AC529" i="5"/>
  <c r="AC533" i="5"/>
  <c r="AC537" i="5"/>
  <c r="AC541" i="5"/>
  <c r="AC545" i="5"/>
  <c r="AC549" i="5"/>
  <c r="AC553" i="5"/>
  <c r="AC557" i="5"/>
  <c r="AC561" i="5"/>
  <c r="AC565" i="5"/>
  <c r="AC569" i="5"/>
  <c r="AC573" i="5"/>
  <c r="AC577" i="5"/>
  <c r="AC581" i="5"/>
  <c r="AC585" i="5"/>
  <c r="AC589" i="5"/>
  <c r="AC593" i="5"/>
  <c r="AC597" i="5"/>
  <c r="AC601" i="5"/>
  <c r="AC605" i="5"/>
  <c r="AC609" i="5"/>
  <c r="AC613" i="5"/>
  <c r="AC617" i="5"/>
  <c r="AC621" i="5"/>
  <c r="AC625" i="5"/>
  <c r="AC629" i="5"/>
  <c r="AC633" i="5"/>
  <c r="AC637" i="5"/>
  <c r="AC641" i="5"/>
  <c r="AC645" i="5"/>
  <c r="AC649" i="5"/>
  <c r="AC653" i="5"/>
  <c r="AC657" i="5"/>
  <c r="AC661" i="5"/>
  <c r="AC665" i="5"/>
  <c r="AC669" i="5"/>
  <c r="AC673" i="5"/>
  <c r="AC677" i="5"/>
  <c r="AC681" i="5"/>
  <c r="AC685" i="5"/>
  <c r="AC689" i="5"/>
  <c r="AC693" i="5"/>
  <c r="AC697" i="5"/>
  <c r="AC701" i="5"/>
  <c r="AC705" i="5"/>
  <c r="AC709" i="5"/>
  <c r="AC713" i="5"/>
  <c r="AC717" i="5"/>
  <c r="AC721" i="5"/>
  <c r="AC725" i="5"/>
  <c r="AC729" i="5"/>
  <c r="AC733" i="5"/>
  <c r="AC737" i="5"/>
  <c r="AC741" i="5"/>
  <c r="AC745" i="5"/>
  <c r="AC749" i="5"/>
  <c r="AC753" i="5"/>
  <c r="AC757" i="5"/>
  <c r="AC761" i="5"/>
  <c r="AC765" i="5"/>
  <c r="AC769" i="5"/>
  <c r="AC773" i="5"/>
  <c r="AC777" i="5"/>
  <c r="AC781" i="5"/>
  <c r="AC785" i="5"/>
  <c r="AC789" i="5"/>
  <c r="AC793" i="5"/>
  <c r="AC797" i="5"/>
  <c r="AC801" i="5"/>
  <c r="AC805" i="5"/>
  <c r="AC809" i="5"/>
  <c r="AC813" i="5"/>
  <c r="AC817" i="5"/>
  <c r="AC821" i="5"/>
  <c r="AC825" i="5"/>
  <c r="AC829" i="5"/>
  <c r="AC833" i="5"/>
  <c r="AC837" i="5"/>
  <c r="AC841" i="5"/>
  <c r="AC845" i="5"/>
  <c r="AC849" i="5"/>
  <c r="AC853" i="5"/>
  <c r="AC857" i="5"/>
  <c r="AC861" i="5"/>
  <c r="AC865" i="5"/>
  <c r="AC869" i="5"/>
  <c r="AC873" i="5"/>
  <c r="AC877" i="5"/>
  <c r="AC881" i="5"/>
  <c r="AC885" i="5"/>
  <c r="AC889" i="5"/>
  <c r="AC893" i="5"/>
  <c r="AC897" i="5"/>
  <c r="AC901" i="5"/>
  <c r="AC905" i="5"/>
  <c r="AC909" i="5"/>
  <c r="AC913" i="5"/>
  <c r="AC917" i="5"/>
  <c r="AC921" i="5"/>
  <c r="AC925" i="5"/>
  <c r="AC929" i="5"/>
  <c r="AC933" i="5"/>
  <c r="AC937" i="5"/>
  <c r="AC941" i="5"/>
  <c r="AC945" i="5"/>
  <c r="AC949" i="5"/>
  <c r="AC953" i="5"/>
  <c r="AC957" i="5"/>
  <c r="AC961" i="5"/>
  <c r="AC965" i="5"/>
  <c r="AC828" i="5"/>
  <c r="AC832" i="5"/>
  <c r="AC836" i="5"/>
  <c r="AC840" i="5"/>
  <c r="AC844" i="5"/>
  <c r="AC848" i="5"/>
  <c r="AC852" i="5"/>
  <c r="AC856" i="5"/>
  <c r="AC860" i="5"/>
  <c r="AC864" i="5"/>
  <c r="AC868" i="5"/>
  <c r="AC872" i="5"/>
  <c r="AC876" i="5"/>
  <c r="AC880" i="5"/>
  <c r="AC884" i="5"/>
  <c r="AC888" i="5"/>
  <c r="AC892" i="5"/>
  <c r="AC896" i="5"/>
  <c r="AC900" i="5"/>
  <c r="AC904" i="5"/>
  <c r="AC908" i="5"/>
  <c r="AC912" i="5"/>
  <c r="AC916" i="5"/>
  <c r="AC920" i="5"/>
  <c r="AC924" i="5"/>
  <c r="AC928" i="5"/>
  <c r="AC932" i="5"/>
  <c r="AC936" i="5"/>
  <c r="AC940" i="5"/>
  <c r="AC944" i="5"/>
  <c r="AC948" i="5"/>
  <c r="AC952" i="5"/>
  <c r="AC956" i="5"/>
  <c r="AC960" i="5"/>
  <c r="AC964" i="5"/>
  <c r="AC968" i="5"/>
  <c r="AC971" i="5"/>
  <c r="AC975" i="5"/>
  <c r="AC979" i="5"/>
  <c r="AC983" i="5"/>
  <c r="AC987" i="5"/>
  <c r="AC991" i="5"/>
  <c r="AC995" i="5"/>
  <c r="AC999" i="5"/>
  <c r="AC1003" i="5"/>
  <c r="AC970" i="5"/>
  <c r="AC974" i="5"/>
  <c r="AC978" i="5"/>
  <c r="AC982" i="5"/>
  <c r="AC986" i="5"/>
  <c r="AC990" i="5"/>
  <c r="AC994" i="5"/>
  <c r="AC998" i="5"/>
  <c r="AC1002" i="5"/>
  <c r="I22" i="3"/>
  <c r="G22" i="3"/>
  <c r="E22" i="3"/>
  <c r="C22" i="3"/>
  <c r="A22" i="3"/>
  <c r="H22" i="3"/>
  <c r="F22" i="3"/>
  <c r="D22" i="3"/>
  <c r="I26" i="3"/>
  <c r="G26" i="3"/>
  <c r="E26" i="3"/>
  <c r="C26" i="3"/>
  <c r="A26" i="3"/>
  <c r="H26" i="3"/>
  <c r="F26" i="3"/>
  <c r="D26" i="3"/>
  <c r="I30" i="3"/>
  <c r="G30" i="3"/>
  <c r="E30" i="3"/>
  <c r="C30" i="3"/>
  <c r="A30" i="3"/>
  <c r="H30" i="3"/>
  <c r="F30" i="3"/>
  <c r="D30" i="3"/>
  <c r="I34" i="3"/>
  <c r="G34" i="3"/>
  <c r="E34" i="3"/>
  <c r="C34" i="3"/>
  <c r="A34" i="3"/>
  <c r="H34" i="3"/>
  <c r="F34" i="3"/>
  <c r="D34" i="3"/>
  <c r="I38" i="3"/>
  <c r="G38" i="3"/>
  <c r="E38" i="3"/>
  <c r="C38" i="3"/>
  <c r="A38" i="3"/>
  <c r="H38" i="3"/>
  <c r="F38" i="3"/>
  <c r="D38" i="3"/>
  <c r="I42" i="3"/>
  <c r="G42" i="3"/>
  <c r="E42" i="3"/>
  <c r="C42" i="3"/>
  <c r="A42" i="3"/>
  <c r="H42" i="3"/>
  <c r="F42" i="3"/>
  <c r="D42" i="3"/>
  <c r="I46" i="3"/>
  <c r="G46" i="3"/>
  <c r="E46" i="3"/>
  <c r="C46" i="3"/>
  <c r="A46" i="3"/>
  <c r="H46" i="3"/>
  <c r="F46" i="3"/>
  <c r="D46" i="3"/>
  <c r="I50" i="3"/>
  <c r="G50" i="3"/>
  <c r="E50" i="3"/>
  <c r="C50" i="3"/>
  <c r="A50" i="3"/>
  <c r="H50" i="3"/>
  <c r="F50" i="3"/>
  <c r="D50" i="3"/>
  <c r="I54" i="3"/>
  <c r="G54" i="3"/>
  <c r="E54" i="3"/>
  <c r="C54" i="3"/>
  <c r="A54" i="3"/>
  <c r="H54" i="3"/>
  <c r="F54" i="3"/>
  <c r="D54" i="3"/>
  <c r="I58" i="3"/>
  <c r="G58" i="3"/>
  <c r="E58" i="3"/>
  <c r="C58" i="3"/>
  <c r="A58" i="3"/>
  <c r="H58" i="3"/>
  <c r="F58" i="3"/>
  <c r="D58" i="3"/>
  <c r="I62" i="3"/>
  <c r="G62" i="3"/>
  <c r="E62" i="3"/>
  <c r="C62" i="3"/>
  <c r="A62" i="3"/>
  <c r="H62" i="3"/>
  <c r="F62" i="3"/>
  <c r="D62" i="3"/>
  <c r="I66" i="3"/>
  <c r="G66" i="3"/>
  <c r="E66" i="3"/>
  <c r="C66" i="3"/>
  <c r="A66" i="3"/>
  <c r="H66" i="3"/>
  <c r="F66" i="3"/>
  <c r="D66" i="3"/>
  <c r="I70" i="3"/>
  <c r="G70" i="3"/>
  <c r="E70" i="3"/>
  <c r="C70" i="3"/>
  <c r="A70" i="3"/>
  <c r="H70" i="3"/>
  <c r="F70" i="3"/>
  <c r="D70" i="3"/>
  <c r="I74" i="3"/>
  <c r="G74" i="3"/>
  <c r="E74" i="3"/>
  <c r="C74" i="3"/>
  <c r="A74" i="3"/>
  <c r="H74" i="3"/>
  <c r="F74" i="3"/>
  <c r="D74" i="3"/>
  <c r="I78" i="3"/>
  <c r="G78" i="3"/>
  <c r="E78" i="3"/>
  <c r="C78" i="3"/>
  <c r="A78" i="3"/>
  <c r="H78" i="3"/>
  <c r="F78" i="3"/>
  <c r="D78" i="3"/>
  <c r="I82" i="3"/>
  <c r="G82" i="3"/>
  <c r="E82" i="3"/>
  <c r="C82" i="3"/>
  <c r="A82" i="3"/>
  <c r="H82" i="3"/>
  <c r="F82" i="3"/>
  <c r="D82" i="3"/>
  <c r="I86" i="3"/>
  <c r="G86" i="3"/>
  <c r="E86" i="3"/>
  <c r="C86" i="3"/>
  <c r="A86" i="3"/>
  <c r="H86" i="3"/>
  <c r="F86" i="3"/>
  <c r="D86" i="3"/>
  <c r="I90" i="3"/>
  <c r="G90" i="3"/>
  <c r="E90" i="3"/>
  <c r="C90" i="3"/>
  <c r="A90" i="3"/>
  <c r="H90" i="3"/>
  <c r="F90" i="3"/>
  <c r="D90" i="3"/>
  <c r="I94" i="3"/>
  <c r="G94" i="3"/>
  <c r="E94" i="3"/>
  <c r="C94" i="3"/>
  <c r="A94" i="3"/>
  <c r="H94" i="3"/>
  <c r="F94" i="3"/>
  <c r="D94" i="3"/>
  <c r="I98" i="3"/>
  <c r="G98" i="3"/>
  <c r="E98" i="3"/>
  <c r="C98" i="3"/>
  <c r="A98" i="3"/>
  <c r="H98" i="3"/>
  <c r="F98" i="3"/>
  <c r="D98" i="3"/>
  <c r="I102" i="3"/>
  <c r="G102" i="3"/>
  <c r="E102" i="3"/>
  <c r="C102" i="3"/>
  <c r="A102" i="3"/>
  <c r="H102" i="3"/>
  <c r="F102" i="3"/>
  <c r="D102" i="3"/>
  <c r="I106" i="3"/>
  <c r="G106" i="3"/>
  <c r="E106" i="3"/>
  <c r="C106" i="3"/>
  <c r="A106" i="3"/>
  <c r="H106" i="3"/>
  <c r="F106" i="3"/>
  <c r="D106" i="3"/>
  <c r="I110" i="3"/>
  <c r="G110" i="3"/>
  <c r="E110" i="3"/>
  <c r="C110" i="3"/>
  <c r="A110" i="3"/>
  <c r="H110" i="3"/>
  <c r="F110" i="3"/>
  <c r="D110" i="3"/>
  <c r="I114" i="3"/>
  <c r="G114" i="3"/>
  <c r="E114" i="3"/>
  <c r="C114" i="3"/>
  <c r="A114" i="3"/>
  <c r="H114" i="3"/>
  <c r="F114" i="3"/>
  <c r="D114" i="3"/>
  <c r="I118" i="3"/>
  <c r="G118" i="3"/>
  <c r="E118" i="3"/>
  <c r="C118" i="3"/>
  <c r="A118" i="3"/>
  <c r="H118" i="3"/>
  <c r="F118" i="3"/>
  <c r="D118" i="3"/>
  <c r="I122" i="3"/>
  <c r="G122" i="3"/>
  <c r="E122" i="3"/>
  <c r="C122" i="3"/>
  <c r="A122" i="3"/>
  <c r="H122" i="3"/>
  <c r="F122" i="3"/>
  <c r="D122" i="3"/>
  <c r="I126" i="3"/>
  <c r="G126" i="3"/>
  <c r="E126" i="3"/>
  <c r="C126" i="3"/>
  <c r="A126" i="3"/>
  <c r="H126" i="3"/>
  <c r="F126" i="3"/>
  <c r="D126" i="3"/>
  <c r="I130" i="3"/>
  <c r="G130" i="3"/>
  <c r="E130" i="3"/>
  <c r="C130" i="3"/>
  <c r="A130" i="3"/>
  <c r="H130" i="3"/>
  <c r="F130" i="3"/>
  <c r="D130" i="3"/>
  <c r="I134" i="3"/>
  <c r="G134" i="3"/>
  <c r="E134" i="3"/>
  <c r="C134" i="3"/>
  <c r="A134" i="3"/>
  <c r="H134" i="3"/>
  <c r="F134" i="3"/>
  <c r="D134" i="3"/>
  <c r="I138" i="3"/>
  <c r="G138" i="3"/>
  <c r="E138" i="3"/>
  <c r="C138" i="3"/>
  <c r="A138" i="3"/>
  <c r="H138" i="3"/>
  <c r="F138" i="3"/>
  <c r="D138" i="3"/>
  <c r="I142" i="3"/>
  <c r="G142" i="3"/>
  <c r="E142" i="3"/>
  <c r="C142" i="3"/>
  <c r="A142" i="3"/>
  <c r="H142" i="3"/>
  <c r="F142" i="3"/>
  <c r="D142" i="3"/>
  <c r="I146" i="3"/>
  <c r="G146" i="3"/>
  <c r="E146" i="3"/>
  <c r="C146" i="3"/>
  <c r="A146" i="3"/>
  <c r="H146" i="3"/>
  <c r="F146" i="3"/>
  <c r="D146" i="3"/>
  <c r="I150" i="3"/>
  <c r="G150" i="3"/>
  <c r="E150" i="3"/>
  <c r="C150" i="3"/>
  <c r="A150" i="3"/>
  <c r="H150" i="3"/>
  <c r="F150" i="3"/>
  <c r="D150" i="3"/>
  <c r="I154" i="3"/>
  <c r="G154" i="3"/>
  <c r="E154" i="3"/>
  <c r="C154" i="3"/>
  <c r="A154" i="3"/>
  <c r="H154" i="3"/>
  <c r="F154" i="3"/>
  <c r="D154" i="3"/>
  <c r="I158" i="3"/>
  <c r="G158" i="3"/>
  <c r="E158" i="3"/>
  <c r="C158" i="3"/>
  <c r="A158" i="3"/>
  <c r="H158" i="3"/>
  <c r="F158" i="3"/>
  <c r="D158" i="3"/>
  <c r="I162" i="3"/>
  <c r="G162" i="3"/>
  <c r="E162" i="3"/>
  <c r="C162" i="3"/>
  <c r="A162" i="3"/>
  <c r="H162" i="3"/>
  <c r="F162" i="3"/>
  <c r="D162" i="3"/>
  <c r="I166" i="3"/>
  <c r="G166" i="3"/>
  <c r="E166" i="3"/>
  <c r="C166" i="3"/>
  <c r="A166" i="3"/>
  <c r="H166" i="3"/>
  <c r="F166" i="3"/>
  <c r="D166" i="3"/>
  <c r="I170" i="3"/>
  <c r="G170" i="3"/>
  <c r="E170" i="3"/>
  <c r="C170" i="3"/>
  <c r="A170" i="3"/>
  <c r="H170" i="3"/>
  <c r="F170" i="3"/>
  <c r="D170" i="3"/>
  <c r="I174" i="3"/>
  <c r="G174" i="3"/>
  <c r="E174" i="3"/>
  <c r="C174" i="3"/>
  <c r="A174" i="3"/>
  <c r="H174" i="3"/>
  <c r="F174" i="3"/>
  <c r="D174" i="3"/>
  <c r="I178" i="3"/>
  <c r="G178" i="3"/>
  <c r="E178" i="3"/>
  <c r="C178" i="3"/>
  <c r="A178" i="3"/>
  <c r="H178" i="3"/>
  <c r="F178" i="3"/>
  <c r="D178" i="3"/>
  <c r="I182" i="3"/>
  <c r="G182" i="3"/>
  <c r="E182" i="3"/>
  <c r="C182" i="3"/>
  <c r="A182" i="3"/>
  <c r="H182" i="3"/>
  <c r="F182" i="3"/>
  <c r="D182" i="3"/>
  <c r="I186" i="3"/>
  <c r="G186" i="3"/>
  <c r="E186" i="3"/>
  <c r="C186" i="3"/>
  <c r="A186" i="3"/>
  <c r="H186" i="3"/>
  <c r="F186" i="3"/>
  <c r="D186" i="3"/>
  <c r="I190" i="3"/>
  <c r="G190" i="3"/>
  <c r="E190" i="3"/>
  <c r="C190" i="3"/>
  <c r="A190" i="3"/>
  <c r="H190" i="3"/>
  <c r="F190" i="3"/>
  <c r="D190" i="3"/>
  <c r="I194" i="3"/>
  <c r="G194" i="3"/>
  <c r="E194" i="3"/>
  <c r="C194" i="3"/>
  <c r="A194" i="3"/>
  <c r="H194" i="3"/>
  <c r="F194" i="3"/>
  <c r="D194" i="3"/>
  <c r="I198" i="3"/>
  <c r="G198" i="3"/>
  <c r="E198" i="3"/>
  <c r="C198" i="3"/>
  <c r="A198" i="3"/>
  <c r="H198" i="3"/>
  <c r="F198" i="3"/>
  <c r="D198" i="3"/>
  <c r="I202" i="3"/>
  <c r="G202" i="3"/>
  <c r="E202" i="3"/>
  <c r="C202" i="3"/>
  <c r="A202" i="3"/>
  <c r="H202" i="3"/>
  <c r="F202" i="3"/>
  <c r="D202" i="3"/>
  <c r="I206" i="3"/>
  <c r="G206" i="3"/>
  <c r="E206" i="3"/>
  <c r="C206" i="3"/>
  <c r="A206" i="3"/>
  <c r="H206" i="3"/>
  <c r="F206" i="3"/>
  <c r="D206" i="3"/>
  <c r="I210" i="3"/>
  <c r="G210" i="3"/>
  <c r="E210" i="3"/>
  <c r="C210" i="3"/>
  <c r="A210" i="3"/>
  <c r="H210" i="3"/>
  <c r="F210" i="3"/>
  <c r="D210" i="3"/>
  <c r="I214" i="3"/>
  <c r="G214" i="3"/>
  <c r="E214" i="3"/>
  <c r="C214" i="3"/>
  <c r="A214" i="3"/>
  <c r="H214" i="3"/>
  <c r="F214" i="3"/>
  <c r="D214" i="3"/>
  <c r="I218" i="3"/>
  <c r="G218" i="3"/>
  <c r="E218" i="3"/>
  <c r="C218" i="3"/>
  <c r="A218" i="3"/>
  <c r="H218" i="3"/>
  <c r="F218" i="3"/>
  <c r="D218" i="3"/>
  <c r="I222" i="3"/>
  <c r="G222" i="3"/>
  <c r="E222" i="3"/>
  <c r="C222" i="3"/>
  <c r="A222" i="3"/>
  <c r="H222" i="3"/>
  <c r="F222" i="3"/>
  <c r="D222" i="3"/>
  <c r="I226" i="3"/>
  <c r="G226" i="3"/>
  <c r="E226" i="3"/>
  <c r="C226" i="3"/>
  <c r="A226" i="3"/>
  <c r="H226" i="3"/>
  <c r="F226" i="3"/>
  <c r="D226" i="3"/>
  <c r="I230" i="3"/>
  <c r="G230" i="3"/>
  <c r="E230" i="3"/>
  <c r="C230" i="3"/>
  <c r="A230" i="3"/>
  <c r="H230" i="3"/>
  <c r="F230" i="3"/>
  <c r="D230" i="3"/>
  <c r="I234" i="3"/>
  <c r="G234" i="3"/>
  <c r="E234" i="3"/>
  <c r="C234" i="3"/>
  <c r="A234" i="3"/>
  <c r="H234" i="3"/>
  <c r="F234" i="3"/>
  <c r="D234" i="3"/>
  <c r="I238" i="3"/>
  <c r="G238" i="3"/>
  <c r="E238" i="3"/>
  <c r="C238" i="3"/>
  <c r="A238" i="3"/>
  <c r="H238" i="3"/>
  <c r="F238" i="3"/>
  <c r="D238" i="3"/>
  <c r="I242" i="3"/>
  <c r="G242" i="3"/>
  <c r="E242" i="3"/>
  <c r="C242" i="3"/>
  <c r="A242" i="3"/>
  <c r="H242" i="3"/>
  <c r="F242" i="3"/>
  <c r="D242" i="3"/>
  <c r="I246" i="3"/>
  <c r="G246" i="3"/>
  <c r="E246" i="3"/>
  <c r="C246" i="3"/>
  <c r="A246" i="3"/>
  <c r="H246" i="3"/>
  <c r="F246" i="3"/>
  <c r="D246" i="3"/>
  <c r="I250" i="3"/>
  <c r="G250" i="3"/>
  <c r="E250" i="3"/>
  <c r="C250" i="3"/>
  <c r="A250" i="3"/>
  <c r="H250" i="3"/>
  <c r="F250" i="3"/>
  <c r="D250" i="3"/>
  <c r="I254" i="3"/>
  <c r="G254" i="3"/>
  <c r="E254" i="3"/>
  <c r="C254" i="3"/>
  <c r="A254" i="3"/>
  <c r="H254" i="3"/>
  <c r="F254" i="3"/>
  <c r="D254" i="3"/>
  <c r="I258" i="3"/>
  <c r="G258" i="3"/>
  <c r="E258" i="3"/>
  <c r="C258" i="3"/>
  <c r="A258" i="3"/>
  <c r="H258" i="3"/>
  <c r="F258" i="3"/>
  <c r="D258" i="3"/>
  <c r="I262" i="3"/>
  <c r="G262" i="3"/>
  <c r="E262" i="3"/>
  <c r="C262" i="3"/>
  <c r="A262" i="3"/>
  <c r="H262" i="3"/>
  <c r="F262" i="3"/>
  <c r="D262" i="3"/>
  <c r="I266" i="3"/>
  <c r="G266" i="3"/>
  <c r="E266" i="3"/>
  <c r="C266" i="3"/>
  <c r="A266" i="3"/>
  <c r="H266" i="3"/>
  <c r="F266" i="3"/>
  <c r="D266" i="3"/>
  <c r="I270" i="3"/>
  <c r="G270" i="3"/>
  <c r="E270" i="3"/>
  <c r="C270" i="3"/>
  <c r="A270" i="3"/>
  <c r="H270" i="3"/>
  <c r="F270" i="3"/>
  <c r="D270" i="3"/>
  <c r="I274" i="3"/>
  <c r="G274" i="3"/>
  <c r="E274" i="3"/>
  <c r="C274" i="3"/>
  <c r="A274" i="3"/>
  <c r="H274" i="3"/>
  <c r="F274" i="3"/>
  <c r="D274" i="3"/>
  <c r="I278" i="3"/>
  <c r="G278" i="3"/>
  <c r="E278" i="3"/>
  <c r="C278" i="3"/>
  <c r="A278" i="3"/>
  <c r="H278" i="3"/>
  <c r="F278" i="3"/>
  <c r="D278" i="3"/>
  <c r="I282" i="3"/>
  <c r="G282" i="3"/>
  <c r="E282" i="3"/>
  <c r="C282" i="3"/>
  <c r="A282" i="3"/>
  <c r="H282" i="3"/>
  <c r="F282" i="3"/>
  <c r="D282" i="3"/>
  <c r="I286" i="3"/>
  <c r="G286" i="3"/>
  <c r="E286" i="3"/>
  <c r="C286" i="3"/>
  <c r="A286" i="3"/>
  <c r="H286" i="3"/>
  <c r="F286" i="3"/>
  <c r="D286" i="3"/>
  <c r="I290" i="3"/>
  <c r="G290" i="3"/>
  <c r="E290" i="3"/>
  <c r="C290" i="3"/>
  <c r="A290" i="3"/>
  <c r="H290" i="3"/>
  <c r="F290" i="3"/>
  <c r="D290" i="3"/>
  <c r="I294" i="3"/>
  <c r="G294" i="3"/>
  <c r="E294" i="3"/>
  <c r="C294" i="3"/>
  <c r="A294" i="3"/>
  <c r="H294" i="3"/>
  <c r="F294" i="3"/>
  <c r="D294" i="3"/>
  <c r="I298" i="3"/>
  <c r="G298" i="3"/>
  <c r="E298" i="3"/>
  <c r="C298" i="3"/>
  <c r="A298" i="3"/>
  <c r="H298" i="3"/>
  <c r="F298" i="3"/>
  <c r="D298" i="3"/>
  <c r="I302" i="3"/>
  <c r="G302" i="3"/>
  <c r="E302" i="3"/>
  <c r="C302" i="3"/>
  <c r="A302" i="3"/>
  <c r="H302" i="3"/>
  <c r="F302" i="3"/>
  <c r="D302" i="3"/>
  <c r="I306" i="3"/>
  <c r="G306" i="3"/>
  <c r="E306" i="3"/>
  <c r="C306" i="3"/>
  <c r="A306" i="3"/>
  <c r="H306" i="3"/>
  <c r="F306" i="3"/>
  <c r="D306" i="3"/>
  <c r="I310" i="3"/>
  <c r="G310" i="3"/>
  <c r="E310" i="3"/>
  <c r="C310" i="3"/>
  <c r="A310" i="3"/>
  <c r="H310" i="3"/>
  <c r="F310" i="3"/>
  <c r="D310" i="3"/>
  <c r="I314" i="3"/>
  <c r="G314" i="3"/>
  <c r="E314" i="3"/>
  <c r="C314" i="3"/>
  <c r="A314" i="3"/>
  <c r="H314" i="3"/>
  <c r="F314" i="3"/>
  <c r="D314" i="3"/>
  <c r="I318" i="3"/>
  <c r="G318" i="3"/>
  <c r="E318" i="3"/>
  <c r="C318" i="3"/>
  <c r="A318" i="3"/>
  <c r="H318" i="3"/>
  <c r="F318" i="3"/>
  <c r="D318" i="3"/>
  <c r="I322" i="3"/>
  <c r="G322" i="3"/>
  <c r="E322" i="3"/>
  <c r="C322" i="3"/>
  <c r="A322" i="3"/>
  <c r="H322" i="3"/>
  <c r="F322" i="3"/>
  <c r="D322" i="3"/>
  <c r="I326" i="3"/>
  <c r="G326" i="3"/>
  <c r="E326" i="3"/>
  <c r="C326" i="3"/>
  <c r="A326" i="3"/>
  <c r="H326" i="3"/>
  <c r="F326" i="3"/>
  <c r="D326" i="3"/>
  <c r="I330" i="3"/>
  <c r="G330" i="3"/>
  <c r="E330" i="3"/>
  <c r="C330" i="3"/>
  <c r="A330" i="3"/>
  <c r="H330" i="3"/>
  <c r="F330" i="3"/>
  <c r="D330" i="3"/>
  <c r="I334" i="3"/>
  <c r="G334" i="3"/>
  <c r="E334" i="3"/>
  <c r="C334" i="3"/>
  <c r="A334" i="3"/>
  <c r="H334" i="3"/>
  <c r="F334" i="3"/>
  <c r="D334" i="3"/>
  <c r="I338" i="3"/>
  <c r="G338" i="3"/>
  <c r="E338" i="3"/>
  <c r="C338" i="3"/>
  <c r="A338" i="3"/>
  <c r="H338" i="3"/>
  <c r="F338" i="3"/>
  <c r="D338" i="3"/>
  <c r="I342" i="3"/>
  <c r="G342" i="3"/>
  <c r="E342" i="3"/>
  <c r="C342" i="3"/>
  <c r="A342" i="3"/>
  <c r="H342" i="3"/>
  <c r="F342" i="3"/>
  <c r="D342" i="3"/>
  <c r="I346" i="3"/>
  <c r="G346" i="3"/>
  <c r="E346" i="3"/>
  <c r="C346" i="3"/>
  <c r="A346" i="3"/>
  <c r="H346" i="3"/>
  <c r="F346" i="3"/>
  <c r="D346" i="3"/>
  <c r="I350" i="3"/>
  <c r="G350" i="3"/>
  <c r="E350" i="3"/>
  <c r="C350" i="3"/>
  <c r="A350" i="3"/>
  <c r="H350" i="3"/>
  <c r="F350" i="3"/>
  <c r="D350" i="3"/>
  <c r="I354" i="3"/>
  <c r="G354" i="3"/>
  <c r="E354" i="3"/>
  <c r="C354" i="3"/>
  <c r="A354" i="3"/>
  <c r="H354" i="3"/>
  <c r="F354" i="3"/>
  <c r="D354" i="3"/>
  <c r="I358" i="3"/>
  <c r="G358" i="3"/>
  <c r="E358" i="3"/>
  <c r="C358" i="3"/>
  <c r="A358" i="3"/>
  <c r="H358" i="3"/>
  <c r="F358" i="3"/>
  <c r="D358" i="3"/>
  <c r="I362" i="3"/>
  <c r="G362" i="3"/>
  <c r="E362" i="3"/>
  <c r="C362" i="3"/>
  <c r="A362" i="3"/>
  <c r="H362" i="3"/>
  <c r="F362" i="3"/>
  <c r="D362" i="3"/>
  <c r="I366" i="3"/>
  <c r="G366" i="3"/>
  <c r="E366" i="3"/>
  <c r="C366" i="3"/>
  <c r="A366" i="3"/>
  <c r="H366" i="3"/>
  <c r="F366" i="3"/>
  <c r="D366" i="3"/>
  <c r="I370" i="3"/>
  <c r="G370" i="3"/>
  <c r="E370" i="3"/>
  <c r="C370" i="3"/>
  <c r="A370" i="3"/>
  <c r="H370" i="3"/>
  <c r="F370" i="3"/>
  <c r="D370" i="3"/>
  <c r="I374" i="3"/>
  <c r="G374" i="3"/>
  <c r="E374" i="3"/>
  <c r="C374" i="3"/>
  <c r="A374" i="3"/>
  <c r="H374" i="3"/>
  <c r="F374" i="3"/>
  <c r="D374" i="3"/>
  <c r="I378" i="3"/>
  <c r="G378" i="3"/>
  <c r="E378" i="3"/>
  <c r="C378" i="3"/>
  <c r="A378" i="3"/>
  <c r="H378" i="3"/>
  <c r="F378" i="3"/>
  <c r="D378" i="3"/>
  <c r="I382" i="3"/>
  <c r="G382" i="3"/>
  <c r="E382" i="3"/>
  <c r="C382" i="3"/>
  <c r="A382" i="3"/>
  <c r="H382" i="3"/>
  <c r="F382" i="3"/>
  <c r="D382" i="3"/>
  <c r="I386" i="3"/>
  <c r="G386" i="3"/>
  <c r="E386" i="3"/>
  <c r="C386" i="3"/>
  <c r="A386" i="3"/>
  <c r="H386" i="3"/>
  <c r="F386" i="3"/>
  <c r="D386" i="3"/>
  <c r="I390" i="3"/>
  <c r="G390" i="3"/>
  <c r="E390" i="3"/>
  <c r="C390" i="3"/>
  <c r="A390" i="3"/>
  <c r="H390" i="3"/>
  <c r="F390" i="3"/>
  <c r="D390" i="3"/>
  <c r="I394" i="3"/>
  <c r="G394" i="3"/>
  <c r="E394" i="3"/>
  <c r="C394" i="3"/>
  <c r="A394" i="3"/>
  <c r="H394" i="3"/>
  <c r="F394" i="3"/>
  <c r="D394" i="3"/>
  <c r="I398" i="3"/>
  <c r="G398" i="3"/>
  <c r="E398" i="3"/>
  <c r="C398" i="3"/>
  <c r="A398" i="3"/>
  <c r="H398" i="3"/>
  <c r="F398" i="3"/>
  <c r="D398" i="3"/>
  <c r="I402" i="3"/>
  <c r="G402" i="3"/>
  <c r="E402" i="3"/>
  <c r="C402" i="3"/>
  <c r="A402" i="3"/>
  <c r="H402" i="3"/>
  <c r="F402" i="3"/>
  <c r="D402" i="3"/>
  <c r="I406" i="3"/>
  <c r="G406" i="3"/>
  <c r="E406" i="3"/>
  <c r="C406" i="3"/>
  <c r="A406" i="3"/>
  <c r="H406" i="3"/>
  <c r="F406" i="3"/>
  <c r="D406" i="3"/>
  <c r="I410" i="3"/>
  <c r="G410" i="3"/>
  <c r="E410" i="3"/>
  <c r="C410" i="3"/>
  <c r="A410" i="3"/>
  <c r="H410" i="3"/>
  <c r="F410" i="3"/>
  <c r="D410" i="3"/>
  <c r="I414" i="3"/>
  <c r="G414" i="3"/>
  <c r="E414" i="3"/>
  <c r="C414" i="3"/>
  <c r="A414" i="3"/>
  <c r="H414" i="3"/>
  <c r="F414" i="3"/>
  <c r="D414" i="3"/>
  <c r="I418" i="3"/>
  <c r="G418" i="3"/>
  <c r="E418" i="3"/>
  <c r="C418" i="3"/>
  <c r="A418" i="3"/>
  <c r="H418" i="3"/>
  <c r="F418" i="3"/>
  <c r="D418" i="3"/>
  <c r="I422" i="3"/>
  <c r="G422" i="3"/>
  <c r="E422" i="3"/>
  <c r="C422" i="3"/>
  <c r="A422" i="3"/>
  <c r="H422" i="3"/>
  <c r="F422" i="3"/>
  <c r="D422" i="3"/>
  <c r="I426" i="3"/>
  <c r="G426" i="3"/>
  <c r="E426" i="3"/>
  <c r="C426" i="3"/>
  <c r="A426" i="3"/>
  <c r="H426" i="3"/>
  <c r="F426" i="3"/>
  <c r="D426" i="3"/>
  <c r="I430" i="3"/>
  <c r="G430" i="3"/>
  <c r="E430" i="3"/>
  <c r="C430" i="3"/>
  <c r="A430" i="3"/>
  <c r="H430" i="3"/>
  <c r="F430" i="3"/>
  <c r="D430" i="3"/>
  <c r="I434" i="3"/>
  <c r="G434" i="3"/>
  <c r="E434" i="3"/>
  <c r="C434" i="3"/>
  <c r="A434" i="3"/>
  <c r="H434" i="3"/>
  <c r="F434" i="3"/>
  <c r="D434" i="3"/>
  <c r="I438" i="3"/>
  <c r="G438" i="3"/>
  <c r="E438" i="3"/>
  <c r="C438" i="3"/>
  <c r="A438" i="3"/>
  <c r="H438" i="3"/>
  <c r="F438" i="3"/>
  <c r="D438" i="3"/>
  <c r="I442" i="3"/>
  <c r="G442" i="3"/>
  <c r="E442" i="3"/>
  <c r="C442" i="3"/>
  <c r="A442" i="3"/>
  <c r="H442" i="3"/>
  <c r="F442" i="3"/>
  <c r="D442" i="3"/>
  <c r="I446" i="3"/>
  <c r="G446" i="3"/>
  <c r="E446" i="3"/>
  <c r="C446" i="3"/>
  <c r="A446" i="3"/>
  <c r="H446" i="3"/>
  <c r="F446" i="3"/>
  <c r="D446" i="3"/>
  <c r="I450" i="3"/>
  <c r="G450" i="3"/>
  <c r="E450" i="3"/>
  <c r="C450" i="3"/>
  <c r="A450" i="3"/>
  <c r="H450" i="3"/>
  <c r="F450" i="3"/>
  <c r="D450" i="3"/>
  <c r="I454" i="3"/>
  <c r="G454" i="3"/>
  <c r="E454" i="3"/>
  <c r="C454" i="3"/>
  <c r="A454" i="3"/>
  <c r="H454" i="3"/>
  <c r="F454" i="3"/>
  <c r="D454" i="3"/>
  <c r="I458" i="3"/>
  <c r="G458" i="3"/>
  <c r="E458" i="3"/>
  <c r="C458" i="3"/>
  <c r="A458" i="3"/>
  <c r="H458" i="3"/>
  <c r="F458" i="3"/>
  <c r="D458" i="3"/>
  <c r="I462" i="3"/>
  <c r="G462" i="3"/>
  <c r="E462" i="3"/>
  <c r="C462" i="3"/>
  <c r="A462" i="3"/>
  <c r="H462" i="3"/>
  <c r="F462" i="3"/>
  <c r="D462" i="3"/>
  <c r="I466" i="3"/>
  <c r="G466" i="3"/>
  <c r="E466" i="3"/>
  <c r="C466" i="3"/>
  <c r="A466" i="3"/>
  <c r="H466" i="3"/>
  <c r="F466" i="3"/>
  <c r="D466" i="3"/>
  <c r="I470" i="3"/>
  <c r="G470" i="3"/>
  <c r="E470" i="3"/>
  <c r="C470" i="3"/>
  <c r="A470" i="3"/>
  <c r="H470" i="3"/>
  <c r="F470" i="3"/>
  <c r="D470" i="3"/>
  <c r="I474" i="3"/>
  <c r="G474" i="3"/>
  <c r="E474" i="3"/>
  <c r="C474" i="3"/>
  <c r="A474" i="3"/>
  <c r="H474" i="3"/>
  <c r="F474" i="3"/>
  <c r="D474" i="3"/>
  <c r="I478" i="3"/>
  <c r="G478" i="3"/>
  <c r="E478" i="3"/>
  <c r="C478" i="3"/>
  <c r="A478" i="3"/>
  <c r="H478" i="3"/>
  <c r="F478" i="3"/>
  <c r="D478" i="3"/>
  <c r="I482" i="3"/>
  <c r="G482" i="3"/>
  <c r="E482" i="3"/>
  <c r="C482" i="3"/>
  <c r="A482" i="3"/>
  <c r="H482" i="3"/>
  <c r="F482" i="3"/>
  <c r="D482" i="3"/>
  <c r="I486" i="3"/>
  <c r="G486" i="3"/>
  <c r="E486" i="3"/>
  <c r="C486" i="3"/>
  <c r="A486" i="3"/>
  <c r="H486" i="3"/>
  <c r="F486" i="3"/>
  <c r="D486" i="3"/>
  <c r="I490" i="3"/>
  <c r="G490" i="3"/>
  <c r="E490" i="3"/>
  <c r="C490" i="3"/>
  <c r="A490" i="3"/>
  <c r="H490" i="3"/>
  <c r="F490" i="3"/>
  <c r="D490" i="3"/>
  <c r="I494" i="3"/>
  <c r="G494" i="3"/>
  <c r="E494" i="3"/>
  <c r="C494" i="3"/>
  <c r="A494" i="3"/>
  <c r="H494" i="3"/>
  <c r="F494" i="3"/>
  <c r="D494" i="3"/>
  <c r="I498" i="3"/>
  <c r="G498" i="3"/>
  <c r="E498" i="3"/>
  <c r="C498" i="3"/>
  <c r="A498" i="3"/>
  <c r="H498" i="3"/>
  <c r="F498" i="3"/>
  <c r="D498" i="3"/>
  <c r="I502" i="3"/>
  <c r="G502" i="3"/>
  <c r="E502" i="3"/>
  <c r="C502" i="3"/>
  <c r="A502" i="3"/>
  <c r="H502" i="3"/>
  <c r="F502" i="3"/>
  <c r="D502" i="3"/>
  <c r="I506" i="3"/>
  <c r="G506" i="3"/>
  <c r="E506" i="3"/>
  <c r="C506" i="3"/>
  <c r="A506" i="3"/>
  <c r="H506" i="3"/>
  <c r="F506" i="3"/>
  <c r="D506" i="3"/>
  <c r="I510" i="3"/>
  <c r="G510" i="3"/>
  <c r="E510" i="3"/>
  <c r="C510" i="3"/>
  <c r="A510" i="3"/>
  <c r="H510" i="3"/>
  <c r="F510" i="3"/>
  <c r="D510" i="3"/>
  <c r="I514" i="3"/>
  <c r="G514" i="3"/>
  <c r="E514" i="3"/>
  <c r="C514" i="3"/>
  <c r="A514" i="3"/>
  <c r="H514" i="3"/>
  <c r="F514" i="3"/>
  <c r="D514" i="3"/>
  <c r="I518" i="3"/>
  <c r="G518" i="3"/>
  <c r="E518" i="3"/>
  <c r="C518" i="3"/>
  <c r="A518" i="3"/>
  <c r="H518" i="3"/>
  <c r="F518" i="3"/>
  <c r="D518" i="3"/>
  <c r="I522" i="3"/>
  <c r="G522" i="3"/>
  <c r="E522" i="3"/>
  <c r="C522" i="3"/>
  <c r="A522" i="3"/>
  <c r="H522" i="3"/>
  <c r="F522" i="3"/>
  <c r="D522" i="3"/>
  <c r="I526" i="3"/>
  <c r="G526" i="3"/>
  <c r="E526" i="3"/>
  <c r="C526" i="3"/>
  <c r="A526" i="3"/>
  <c r="H526" i="3"/>
  <c r="F526" i="3"/>
  <c r="D526" i="3"/>
  <c r="I530" i="3"/>
  <c r="G530" i="3"/>
  <c r="E530" i="3"/>
  <c r="C530" i="3"/>
  <c r="A530" i="3"/>
  <c r="H530" i="3"/>
  <c r="F530" i="3"/>
  <c r="D530" i="3"/>
  <c r="I534" i="3"/>
  <c r="G534" i="3"/>
  <c r="E534" i="3"/>
  <c r="C534" i="3"/>
  <c r="A534" i="3"/>
  <c r="H534" i="3"/>
  <c r="F534" i="3"/>
  <c r="D534" i="3"/>
  <c r="I538" i="3"/>
  <c r="G538" i="3"/>
  <c r="E538" i="3"/>
  <c r="C538" i="3"/>
  <c r="A538" i="3"/>
  <c r="H538" i="3"/>
  <c r="F538" i="3"/>
  <c r="D538" i="3"/>
  <c r="I542" i="3"/>
  <c r="G542" i="3"/>
  <c r="E542" i="3"/>
  <c r="C542" i="3"/>
  <c r="A542" i="3"/>
  <c r="H542" i="3"/>
  <c r="F542" i="3"/>
  <c r="D542" i="3"/>
  <c r="I546" i="3"/>
  <c r="G546" i="3"/>
  <c r="E546" i="3"/>
  <c r="C546" i="3"/>
  <c r="A546" i="3"/>
  <c r="H546" i="3"/>
  <c r="F546" i="3"/>
  <c r="D546" i="3"/>
  <c r="I550" i="3"/>
  <c r="G550" i="3"/>
  <c r="E550" i="3"/>
  <c r="C550" i="3"/>
  <c r="A550" i="3"/>
  <c r="H550" i="3"/>
  <c r="F550" i="3"/>
  <c r="D550" i="3"/>
  <c r="I554" i="3"/>
  <c r="G554" i="3"/>
  <c r="E554" i="3"/>
  <c r="C554" i="3"/>
  <c r="A554" i="3"/>
  <c r="H554" i="3"/>
  <c r="F554" i="3"/>
  <c r="D554" i="3"/>
  <c r="I558" i="3"/>
  <c r="G558" i="3"/>
  <c r="E558" i="3"/>
  <c r="C558" i="3"/>
  <c r="A558" i="3"/>
  <c r="H558" i="3"/>
  <c r="F558" i="3"/>
  <c r="D558" i="3"/>
  <c r="I562" i="3"/>
  <c r="G562" i="3"/>
  <c r="E562" i="3"/>
  <c r="C562" i="3"/>
  <c r="A562" i="3"/>
  <c r="H562" i="3"/>
  <c r="F562" i="3"/>
  <c r="D562" i="3"/>
  <c r="I566" i="3"/>
  <c r="G566" i="3"/>
  <c r="E566" i="3"/>
  <c r="C566" i="3"/>
  <c r="A566" i="3"/>
  <c r="H566" i="3"/>
  <c r="F566" i="3"/>
  <c r="D566" i="3"/>
  <c r="I570" i="3"/>
  <c r="G570" i="3"/>
  <c r="E570" i="3"/>
  <c r="C570" i="3"/>
  <c r="A570" i="3"/>
  <c r="H570" i="3"/>
  <c r="F570" i="3"/>
  <c r="D570" i="3"/>
  <c r="I574" i="3"/>
  <c r="G574" i="3"/>
  <c r="E574" i="3"/>
  <c r="C574" i="3"/>
  <c r="A574" i="3"/>
  <c r="H574" i="3"/>
  <c r="F574" i="3"/>
  <c r="D574" i="3"/>
  <c r="I578" i="3"/>
  <c r="G578" i="3"/>
  <c r="E578" i="3"/>
  <c r="C578" i="3"/>
  <c r="A578" i="3"/>
  <c r="H578" i="3"/>
  <c r="F578" i="3"/>
  <c r="D578" i="3"/>
  <c r="I582" i="3"/>
  <c r="G582" i="3"/>
  <c r="E582" i="3"/>
  <c r="C582" i="3"/>
  <c r="A582" i="3"/>
  <c r="H582" i="3"/>
  <c r="F582" i="3"/>
  <c r="D582" i="3"/>
  <c r="I586" i="3"/>
  <c r="G586" i="3"/>
  <c r="E586" i="3"/>
  <c r="C586" i="3"/>
  <c r="A586" i="3"/>
  <c r="H586" i="3"/>
  <c r="F586" i="3"/>
  <c r="D586" i="3"/>
  <c r="I590" i="3"/>
  <c r="G590" i="3"/>
  <c r="E590" i="3"/>
  <c r="C590" i="3"/>
  <c r="A590" i="3"/>
  <c r="H590" i="3"/>
  <c r="F590" i="3"/>
  <c r="D590" i="3"/>
  <c r="I594" i="3"/>
  <c r="G594" i="3"/>
  <c r="E594" i="3"/>
  <c r="C594" i="3"/>
  <c r="A594" i="3"/>
  <c r="H594" i="3"/>
  <c r="F594" i="3"/>
  <c r="D594" i="3"/>
  <c r="I598" i="3"/>
  <c r="G598" i="3"/>
  <c r="E598" i="3"/>
  <c r="C598" i="3"/>
  <c r="A598" i="3"/>
  <c r="H598" i="3"/>
  <c r="F598" i="3"/>
  <c r="D598" i="3"/>
  <c r="I602" i="3"/>
  <c r="G602" i="3"/>
  <c r="E602" i="3"/>
  <c r="C602" i="3"/>
  <c r="A602" i="3"/>
  <c r="H602" i="3"/>
  <c r="F602" i="3"/>
  <c r="D602" i="3"/>
  <c r="I606" i="3"/>
  <c r="G606" i="3"/>
  <c r="E606" i="3"/>
  <c r="C606" i="3"/>
  <c r="A606" i="3"/>
  <c r="H606" i="3"/>
  <c r="F606" i="3"/>
  <c r="D606" i="3"/>
  <c r="I610" i="3"/>
  <c r="G610" i="3"/>
  <c r="E610" i="3"/>
  <c r="C610" i="3"/>
  <c r="A610" i="3"/>
  <c r="H610" i="3"/>
  <c r="F610" i="3"/>
  <c r="D610" i="3"/>
  <c r="I614" i="3"/>
  <c r="G614" i="3"/>
  <c r="E614" i="3"/>
  <c r="C614" i="3"/>
  <c r="A614" i="3"/>
  <c r="H614" i="3"/>
  <c r="F614" i="3"/>
  <c r="D614" i="3"/>
  <c r="I618" i="3"/>
  <c r="G618" i="3"/>
  <c r="E618" i="3"/>
  <c r="C618" i="3"/>
  <c r="A618" i="3"/>
  <c r="H618" i="3"/>
  <c r="F618" i="3"/>
  <c r="D618" i="3"/>
  <c r="I622" i="3"/>
  <c r="G622" i="3"/>
  <c r="E622" i="3"/>
  <c r="C622" i="3"/>
  <c r="A622" i="3"/>
  <c r="H622" i="3"/>
  <c r="F622" i="3"/>
  <c r="D622" i="3"/>
  <c r="I626" i="3"/>
  <c r="G626" i="3"/>
  <c r="E626" i="3"/>
  <c r="C626" i="3"/>
  <c r="A626" i="3"/>
  <c r="H626" i="3"/>
  <c r="F626" i="3"/>
  <c r="D626" i="3"/>
  <c r="I630" i="3"/>
  <c r="G630" i="3"/>
  <c r="E630" i="3"/>
  <c r="C630" i="3"/>
  <c r="A630" i="3"/>
  <c r="H630" i="3"/>
  <c r="F630" i="3"/>
  <c r="D630" i="3"/>
  <c r="I634" i="3"/>
  <c r="G634" i="3"/>
  <c r="E634" i="3"/>
  <c r="C634" i="3"/>
  <c r="A634" i="3"/>
  <c r="H634" i="3"/>
  <c r="F634" i="3"/>
  <c r="D634" i="3"/>
  <c r="I638" i="3"/>
  <c r="G638" i="3"/>
  <c r="E638" i="3"/>
  <c r="C638" i="3"/>
  <c r="A638" i="3"/>
  <c r="H638" i="3"/>
  <c r="F638" i="3"/>
  <c r="D638" i="3"/>
  <c r="I642" i="3"/>
  <c r="G642" i="3"/>
  <c r="E642" i="3"/>
  <c r="C642" i="3"/>
  <c r="A642" i="3"/>
  <c r="H642" i="3"/>
  <c r="F642" i="3"/>
  <c r="D642" i="3"/>
  <c r="I646" i="3"/>
  <c r="G646" i="3"/>
  <c r="E646" i="3"/>
  <c r="C646" i="3"/>
  <c r="A646" i="3"/>
  <c r="H646" i="3"/>
  <c r="F646" i="3"/>
  <c r="D646" i="3"/>
  <c r="I650" i="3"/>
  <c r="G650" i="3"/>
  <c r="E650" i="3"/>
  <c r="C650" i="3"/>
  <c r="A650" i="3"/>
  <c r="H650" i="3"/>
  <c r="F650" i="3"/>
  <c r="D650" i="3"/>
  <c r="I654" i="3"/>
  <c r="G654" i="3"/>
  <c r="E654" i="3"/>
  <c r="C654" i="3"/>
  <c r="A654" i="3"/>
  <c r="H654" i="3"/>
  <c r="F654" i="3"/>
  <c r="D654" i="3"/>
  <c r="I658" i="3"/>
  <c r="G658" i="3"/>
  <c r="E658" i="3"/>
  <c r="C658" i="3"/>
  <c r="A658" i="3"/>
  <c r="H658" i="3"/>
  <c r="F658" i="3"/>
  <c r="D658" i="3"/>
  <c r="I662" i="3"/>
  <c r="G662" i="3"/>
  <c r="E662" i="3"/>
  <c r="C662" i="3"/>
  <c r="A662" i="3"/>
  <c r="H662" i="3"/>
  <c r="F662" i="3"/>
  <c r="D662" i="3"/>
  <c r="I666" i="3"/>
  <c r="G666" i="3"/>
  <c r="E666" i="3"/>
  <c r="C666" i="3"/>
  <c r="A666" i="3"/>
  <c r="H666" i="3"/>
  <c r="F666" i="3"/>
  <c r="D666" i="3"/>
  <c r="I670" i="3"/>
  <c r="G670" i="3"/>
  <c r="E670" i="3"/>
  <c r="C670" i="3"/>
  <c r="A670" i="3"/>
  <c r="H670" i="3"/>
  <c r="F670" i="3"/>
  <c r="D670" i="3"/>
  <c r="I674" i="3"/>
  <c r="G674" i="3"/>
  <c r="E674" i="3"/>
  <c r="C674" i="3"/>
  <c r="A674" i="3"/>
  <c r="H674" i="3"/>
  <c r="F674" i="3"/>
  <c r="D674" i="3"/>
  <c r="I678" i="3"/>
  <c r="G678" i="3"/>
  <c r="E678" i="3"/>
  <c r="C678" i="3"/>
  <c r="A678" i="3"/>
  <c r="H678" i="3"/>
  <c r="F678" i="3"/>
  <c r="D678" i="3"/>
  <c r="I682" i="3"/>
  <c r="G682" i="3"/>
  <c r="E682" i="3"/>
  <c r="C682" i="3"/>
  <c r="A682" i="3"/>
  <c r="H682" i="3"/>
  <c r="F682" i="3"/>
  <c r="D682" i="3"/>
  <c r="I686" i="3"/>
  <c r="G686" i="3"/>
  <c r="E686" i="3"/>
  <c r="C686" i="3"/>
  <c r="A686" i="3"/>
  <c r="H686" i="3"/>
  <c r="F686" i="3"/>
  <c r="D686" i="3"/>
  <c r="I690" i="3"/>
  <c r="G690" i="3"/>
  <c r="E690" i="3"/>
  <c r="C690" i="3"/>
  <c r="A690" i="3"/>
  <c r="H690" i="3"/>
  <c r="F690" i="3"/>
  <c r="D690" i="3"/>
  <c r="I694" i="3"/>
  <c r="G694" i="3"/>
  <c r="E694" i="3"/>
  <c r="C694" i="3"/>
  <c r="A694" i="3"/>
  <c r="H694" i="3"/>
  <c r="F694" i="3"/>
  <c r="D694" i="3"/>
  <c r="I698" i="3"/>
  <c r="G698" i="3"/>
  <c r="E698" i="3"/>
  <c r="C698" i="3"/>
  <c r="A698" i="3"/>
  <c r="H698" i="3"/>
  <c r="F698" i="3"/>
  <c r="D698" i="3"/>
  <c r="I702" i="3"/>
  <c r="G702" i="3"/>
  <c r="E702" i="3"/>
  <c r="C702" i="3"/>
  <c r="A702" i="3"/>
  <c r="H702" i="3"/>
  <c r="F702" i="3"/>
  <c r="D702" i="3"/>
  <c r="I706" i="3"/>
  <c r="G706" i="3"/>
  <c r="E706" i="3"/>
  <c r="C706" i="3"/>
  <c r="A706" i="3"/>
  <c r="H706" i="3"/>
  <c r="F706" i="3"/>
  <c r="D706" i="3"/>
  <c r="I710" i="3"/>
  <c r="G710" i="3"/>
  <c r="E710" i="3"/>
  <c r="C710" i="3"/>
  <c r="A710" i="3"/>
  <c r="H710" i="3"/>
  <c r="F710" i="3"/>
  <c r="D710" i="3"/>
  <c r="I714" i="3"/>
  <c r="G714" i="3"/>
  <c r="E714" i="3"/>
  <c r="C714" i="3"/>
  <c r="A714" i="3"/>
  <c r="H714" i="3"/>
  <c r="F714" i="3"/>
  <c r="D714" i="3"/>
  <c r="I718" i="3"/>
  <c r="G718" i="3"/>
  <c r="E718" i="3"/>
  <c r="C718" i="3"/>
  <c r="A718" i="3"/>
  <c r="H718" i="3"/>
  <c r="F718" i="3"/>
  <c r="D718" i="3"/>
  <c r="I722" i="3"/>
  <c r="G722" i="3"/>
  <c r="E722" i="3"/>
  <c r="C722" i="3"/>
  <c r="A722" i="3"/>
  <c r="H722" i="3"/>
  <c r="F722" i="3"/>
  <c r="D722" i="3"/>
  <c r="I726" i="3"/>
  <c r="G726" i="3"/>
  <c r="E726" i="3"/>
  <c r="C726" i="3"/>
  <c r="A726" i="3"/>
  <c r="H726" i="3"/>
  <c r="F726" i="3"/>
  <c r="D726" i="3"/>
  <c r="I730" i="3"/>
  <c r="G730" i="3"/>
  <c r="E730" i="3"/>
  <c r="C730" i="3"/>
  <c r="A730" i="3"/>
  <c r="H730" i="3"/>
  <c r="F730" i="3"/>
  <c r="D730" i="3"/>
  <c r="I734" i="3"/>
  <c r="G734" i="3"/>
  <c r="E734" i="3"/>
  <c r="C734" i="3"/>
  <c r="A734" i="3"/>
  <c r="H734" i="3"/>
  <c r="F734" i="3"/>
  <c r="D734" i="3"/>
  <c r="I738" i="3"/>
  <c r="G738" i="3"/>
  <c r="E738" i="3"/>
  <c r="C738" i="3"/>
  <c r="A738" i="3"/>
  <c r="H738" i="3"/>
  <c r="F738" i="3"/>
  <c r="D738" i="3"/>
  <c r="I742" i="3"/>
  <c r="G742" i="3"/>
  <c r="E742" i="3"/>
  <c r="C742" i="3"/>
  <c r="A742" i="3"/>
  <c r="H742" i="3"/>
  <c r="F742" i="3"/>
  <c r="D742" i="3"/>
  <c r="I746" i="3"/>
  <c r="G746" i="3"/>
  <c r="E746" i="3"/>
  <c r="C746" i="3"/>
  <c r="A746" i="3"/>
  <c r="H746" i="3"/>
  <c r="F746" i="3"/>
  <c r="D746" i="3"/>
  <c r="I750" i="3"/>
  <c r="G750" i="3"/>
  <c r="E750" i="3"/>
  <c r="C750" i="3"/>
  <c r="A750" i="3"/>
  <c r="H750" i="3"/>
  <c r="F750" i="3"/>
  <c r="D750" i="3"/>
  <c r="I754" i="3"/>
  <c r="G754" i="3"/>
  <c r="E754" i="3"/>
  <c r="C754" i="3"/>
  <c r="A754" i="3"/>
  <c r="H754" i="3"/>
  <c r="F754" i="3"/>
  <c r="D754" i="3"/>
  <c r="I758" i="3"/>
  <c r="G758" i="3"/>
  <c r="E758" i="3"/>
  <c r="C758" i="3"/>
  <c r="A758" i="3"/>
  <c r="H758" i="3"/>
  <c r="F758" i="3"/>
  <c r="D758" i="3"/>
  <c r="I762" i="3"/>
  <c r="G762" i="3"/>
  <c r="E762" i="3"/>
  <c r="C762" i="3"/>
  <c r="A762" i="3"/>
  <c r="H762" i="3"/>
  <c r="F762" i="3"/>
  <c r="D762" i="3"/>
  <c r="I766" i="3"/>
  <c r="G766" i="3"/>
  <c r="E766" i="3"/>
  <c r="C766" i="3"/>
  <c r="A766" i="3"/>
  <c r="H766" i="3"/>
  <c r="F766" i="3"/>
  <c r="D766" i="3"/>
  <c r="I770" i="3"/>
  <c r="G770" i="3"/>
  <c r="E770" i="3"/>
  <c r="C770" i="3"/>
  <c r="A770" i="3"/>
  <c r="H770" i="3"/>
  <c r="F770" i="3"/>
  <c r="D770" i="3"/>
  <c r="I774" i="3"/>
  <c r="G774" i="3"/>
  <c r="E774" i="3"/>
  <c r="C774" i="3"/>
  <c r="A774" i="3"/>
  <c r="H774" i="3"/>
  <c r="F774" i="3"/>
  <c r="D774" i="3"/>
  <c r="I778" i="3"/>
  <c r="G778" i="3"/>
  <c r="E778" i="3"/>
  <c r="C778" i="3"/>
  <c r="A778" i="3"/>
  <c r="H778" i="3"/>
  <c r="F778" i="3"/>
  <c r="D778" i="3"/>
  <c r="I782" i="3"/>
  <c r="G782" i="3"/>
  <c r="E782" i="3"/>
  <c r="C782" i="3"/>
  <c r="A782" i="3"/>
  <c r="H782" i="3"/>
  <c r="F782" i="3"/>
  <c r="D782" i="3"/>
  <c r="I786" i="3"/>
  <c r="G786" i="3"/>
  <c r="E786" i="3"/>
  <c r="C786" i="3"/>
  <c r="A786" i="3"/>
  <c r="H786" i="3"/>
  <c r="F786" i="3"/>
  <c r="D786" i="3"/>
  <c r="I790" i="3"/>
  <c r="G790" i="3"/>
  <c r="E790" i="3"/>
  <c r="C790" i="3"/>
  <c r="A790" i="3"/>
  <c r="H790" i="3"/>
  <c r="F790" i="3"/>
  <c r="D790" i="3"/>
  <c r="I794" i="3"/>
  <c r="G794" i="3"/>
  <c r="E794" i="3"/>
  <c r="C794" i="3"/>
  <c r="A794" i="3"/>
  <c r="H794" i="3"/>
  <c r="F794" i="3"/>
  <c r="D794" i="3"/>
  <c r="I798" i="3"/>
  <c r="G798" i="3"/>
  <c r="E798" i="3"/>
  <c r="C798" i="3"/>
  <c r="A798" i="3"/>
  <c r="H798" i="3"/>
  <c r="F798" i="3"/>
  <c r="D798" i="3"/>
  <c r="I802" i="3"/>
  <c r="G802" i="3"/>
  <c r="E802" i="3"/>
  <c r="C802" i="3"/>
  <c r="A802" i="3"/>
  <c r="H802" i="3"/>
  <c r="F802" i="3"/>
  <c r="D802" i="3"/>
  <c r="I806" i="3"/>
  <c r="G806" i="3"/>
  <c r="E806" i="3"/>
  <c r="C806" i="3"/>
  <c r="A806" i="3"/>
  <c r="H806" i="3"/>
  <c r="F806" i="3"/>
  <c r="D806" i="3"/>
  <c r="I810" i="3"/>
  <c r="G810" i="3"/>
  <c r="E810" i="3"/>
  <c r="C810" i="3"/>
  <c r="A810" i="3"/>
  <c r="H810" i="3"/>
  <c r="F810" i="3"/>
  <c r="D810" i="3"/>
  <c r="I814" i="3"/>
  <c r="G814" i="3"/>
  <c r="E814" i="3"/>
  <c r="C814" i="3"/>
  <c r="A814" i="3"/>
  <c r="H814" i="3"/>
  <c r="F814" i="3"/>
  <c r="D814" i="3"/>
  <c r="I818" i="3"/>
  <c r="G818" i="3"/>
  <c r="E818" i="3"/>
  <c r="C818" i="3"/>
  <c r="A818" i="3"/>
  <c r="H818" i="3"/>
  <c r="F818" i="3"/>
  <c r="D818" i="3"/>
  <c r="I822" i="3"/>
  <c r="G822" i="3"/>
  <c r="E822" i="3"/>
  <c r="C822" i="3"/>
  <c r="A822" i="3"/>
  <c r="H822" i="3"/>
  <c r="F822" i="3"/>
  <c r="D822" i="3"/>
  <c r="I826" i="3"/>
  <c r="G826" i="3"/>
  <c r="E826" i="3"/>
  <c r="C826" i="3"/>
  <c r="A826" i="3"/>
  <c r="H826" i="3"/>
  <c r="F826" i="3"/>
  <c r="D826" i="3"/>
  <c r="I830" i="3"/>
  <c r="G830" i="3"/>
  <c r="E830" i="3"/>
  <c r="C830" i="3"/>
  <c r="A830" i="3"/>
  <c r="H830" i="3"/>
  <c r="F830" i="3"/>
  <c r="D830" i="3"/>
  <c r="I834" i="3"/>
  <c r="G834" i="3"/>
  <c r="E834" i="3"/>
  <c r="C834" i="3"/>
  <c r="A834" i="3"/>
  <c r="H834" i="3"/>
  <c r="F834" i="3"/>
  <c r="D834" i="3"/>
  <c r="I838" i="3"/>
  <c r="G838" i="3"/>
  <c r="E838" i="3"/>
  <c r="C838" i="3"/>
  <c r="A838" i="3"/>
  <c r="H838" i="3"/>
  <c r="F838" i="3"/>
  <c r="D838" i="3"/>
  <c r="I842" i="3"/>
  <c r="G842" i="3"/>
  <c r="E842" i="3"/>
  <c r="C842" i="3"/>
  <c r="A842" i="3"/>
  <c r="H842" i="3"/>
  <c r="F842" i="3"/>
  <c r="D842" i="3"/>
  <c r="I846" i="3"/>
  <c r="G846" i="3"/>
  <c r="E846" i="3"/>
  <c r="C846" i="3"/>
  <c r="A846" i="3"/>
  <c r="H846" i="3"/>
  <c r="F846" i="3"/>
  <c r="D846" i="3"/>
  <c r="I850" i="3"/>
  <c r="G850" i="3"/>
  <c r="E850" i="3"/>
  <c r="C850" i="3"/>
  <c r="A850" i="3"/>
  <c r="H850" i="3"/>
  <c r="F850" i="3"/>
  <c r="D850" i="3"/>
  <c r="I854" i="3"/>
  <c r="G854" i="3"/>
  <c r="E854" i="3"/>
  <c r="C854" i="3"/>
  <c r="A854" i="3"/>
  <c r="H854" i="3"/>
  <c r="F854" i="3"/>
  <c r="D854" i="3"/>
  <c r="I858" i="3"/>
  <c r="G858" i="3"/>
  <c r="E858" i="3"/>
  <c r="C858" i="3"/>
  <c r="A858" i="3"/>
  <c r="H858" i="3"/>
  <c r="F858" i="3"/>
  <c r="D858" i="3"/>
  <c r="I862" i="3"/>
  <c r="G862" i="3"/>
  <c r="E862" i="3"/>
  <c r="C862" i="3"/>
  <c r="A862" i="3"/>
  <c r="H862" i="3"/>
  <c r="F862" i="3"/>
  <c r="D862" i="3"/>
  <c r="I866" i="3"/>
  <c r="G866" i="3"/>
  <c r="E866" i="3"/>
  <c r="C866" i="3"/>
  <c r="A866" i="3"/>
  <c r="H866" i="3"/>
  <c r="F866" i="3"/>
  <c r="D866" i="3"/>
  <c r="I870" i="3"/>
  <c r="G870" i="3"/>
  <c r="E870" i="3"/>
  <c r="C870" i="3"/>
  <c r="A870" i="3"/>
  <c r="H870" i="3"/>
  <c r="F870" i="3"/>
  <c r="D870" i="3"/>
  <c r="I874" i="3"/>
  <c r="G874" i="3"/>
  <c r="E874" i="3"/>
  <c r="C874" i="3"/>
  <c r="A874" i="3"/>
  <c r="H874" i="3"/>
  <c r="F874" i="3"/>
  <c r="D874" i="3"/>
  <c r="I878" i="3"/>
  <c r="G878" i="3"/>
  <c r="E878" i="3"/>
  <c r="C878" i="3"/>
  <c r="A878" i="3"/>
  <c r="H878" i="3"/>
  <c r="F878" i="3"/>
  <c r="D878" i="3"/>
  <c r="I882" i="3"/>
  <c r="G882" i="3"/>
  <c r="E882" i="3"/>
  <c r="C882" i="3"/>
  <c r="A882" i="3"/>
  <c r="H882" i="3"/>
  <c r="F882" i="3"/>
  <c r="D882" i="3"/>
  <c r="I886" i="3"/>
  <c r="G886" i="3"/>
  <c r="E886" i="3"/>
  <c r="C886" i="3"/>
  <c r="A886" i="3"/>
  <c r="H886" i="3"/>
  <c r="F886" i="3"/>
  <c r="D886" i="3"/>
  <c r="I890" i="3"/>
  <c r="G890" i="3"/>
  <c r="E890" i="3"/>
  <c r="C890" i="3"/>
  <c r="A890" i="3"/>
  <c r="H890" i="3"/>
  <c r="F890" i="3"/>
  <c r="D890" i="3"/>
  <c r="I894" i="3"/>
  <c r="G894" i="3"/>
  <c r="E894" i="3"/>
  <c r="C894" i="3"/>
  <c r="A894" i="3"/>
  <c r="H894" i="3"/>
  <c r="F894" i="3"/>
  <c r="D894" i="3"/>
  <c r="I898" i="3"/>
  <c r="G898" i="3"/>
  <c r="E898" i="3"/>
  <c r="C898" i="3"/>
  <c r="A898" i="3"/>
  <c r="H898" i="3"/>
  <c r="F898" i="3"/>
  <c r="D898" i="3"/>
  <c r="I902" i="3"/>
  <c r="G902" i="3"/>
  <c r="E902" i="3"/>
  <c r="C902" i="3"/>
  <c r="A902" i="3"/>
  <c r="H902" i="3"/>
  <c r="F902" i="3"/>
  <c r="D902" i="3"/>
  <c r="I906" i="3"/>
  <c r="G906" i="3"/>
  <c r="E906" i="3"/>
  <c r="C906" i="3"/>
  <c r="A906" i="3"/>
  <c r="H906" i="3"/>
  <c r="F906" i="3"/>
  <c r="D906" i="3"/>
  <c r="I910" i="3"/>
  <c r="G910" i="3"/>
  <c r="E910" i="3"/>
  <c r="C910" i="3"/>
  <c r="A910" i="3"/>
  <c r="H910" i="3"/>
  <c r="F910" i="3"/>
  <c r="D910" i="3"/>
  <c r="I914" i="3"/>
  <c r="G914" i="3"/>
  <c r="E914" i="3"/>
  <c r="C914" i="3"/>
  <c r="A914" i="3"/>
  <c r="H914" i="3"/>
  <c r="F914" i="3"/>
  <c r="D914" i="3"/>
  <c r="I918" i="3"/>
  <c r="G918" i="3"/>
  <c r="E918" i="3"/>
  <c r="C918" i="3"/>
  <c r="A918" i="3"/>
  <c r="H918" i="3"/>
  <c r="F918" i="3"/>
  <c r="D918" i="3"/>
  <c r="I922" i="3"/>
  <c r="G922" i="3"/>
  <c r="E922" i="3"/>
  <c r="C922" i="3"/>
  <c r="A922" i="3"/>
  <c r="H922" i="3"/>
  <c r="F922" i="3"/>
  <c r="D922" i="3"/>
  <c r="I926" i="3"/>
  <c r="G926" i="3"/>
  <c r="E926" i="3"/>
  <c r="C926" i="3"/>
  <c r="A926" i="3"/>
  <c r="H926" i="3"/>
  <c r="F926" i="3"/>
  <c r="D926" i="3"/>
  <c r="I930" i="3"/>
  <c r="G930" i="3"/>
  <c r="E930" i="3"/>
  <c r="C930" i="3"/>
  <c r="A930" i="3"/>
  <c r="H930" i="3"/>
  <c r="F930" i="3"/>
  <c r="D930" i="3"/>
  <c r="I934" i="3"/>
  <c r="G934" i="3"/>
  <c r="E934" i="3"/>
  <c r="C934" i="3"/>
  <c r="A934" i="3"/>
  <c r="H934" i="3"/>
  <c r="F934" i="3"/>
  <c r="D934" i="3"/>
  <c r="I938" i="3"/>
  <c r="G938" i="3"/>
  <c r="E938" i="3"/>
  <c r="C938" i="3"/>
  <c r="A938" i="3"/>
  <c r="H938" i="3"/>
  <c r="F938" i="3"/>
  <c r="D938" i="3"/>
  <c r="I942" i="3"/>
  <c r="G942" i="3"/>
  <c r="E942" i="3"/>
  <c r="C942" i="3"/>
  <c r="A942" i="3"/>
  <c r="H942" i="3"/>
  <c r="F942" i="3"/>
  <c r="D942" i="3"/>
  <c r="I946" i="3"/>
  <c r="G946" i="3"/>
  <c r="E946" i="3"/>
  <c r="C946" i="3"/>
  <c r="A946" i="3"/>
  <c r="H946" i="3"/>
  <c r="F946" i="3"/>
  <c r="D946" i="3"/>
  <c r="I950" i="3"/>
  <c r="G950" i="3"/>
  <c r="E950" i="3"/>
  <c r="C950" i="3"/>
  <c r="A950" i="3"/>
  <c r="H950" i="3"/>
  <c r="F950" i="3"/>
  <c r="D950" i="3"/>
  <c r="I954" i="3"/>
  <c r="G954" i="3"/>
  <c r="E954" i="3"/>
  <c r="C954" i="3"/>
  <c r="A954" i="3"/>
  <c r="H954" i="3"/>
  <c r="F954" i="3"/>
  <c r="D954" i="3"/>
  <c r="I958" i="3"/>
  <c r="G958" i="3"/>
  <c r="E958" i="3"/>
  <c r="C958" i="3"/>
  <c r="A958" i="3"/>
  <c r="H958" i="3"/>
  <c r="F958" i="3"/>
  <c r="D958" i="3"/>
  <c r="I962" i="3"/>
  <c r="G962" i="3"/>
  <c r="E962" i="3"/>
  <c r="C962" i="3"/>
  <c r="A962" i="3"/>
  <c r="H962" i="3"/>
  <c r="F962" i="3"/>
  <c r="D962" i="3"/>
  <c r="I966" i="3"/>
  <c r="G966" i="3"/>
  <c r="E966" i="3"/>
  <c r="C966" i="3"/>
  <c r="A966" i="3"/>
  <c r="H966" i="3"/>
  <c r="F966" i="3"/>
  <c r="D966" i="3"/>
  <c r="I970" i="3"/>
  <c r="G970" i="3"/>
  <c r="E970" i="3"/>
  <c r="C970" i="3"/>
  <c r="A970" i="3"/>
  <c r="H970" i="3"/>
  <c r="F970" i="3"/>
  <c r="D970" i="3"/>
  <c r="I974" i="3"/>
  <c r="G974" i="3"/>
  <c r="E974" i="3"/>
  <c r="C974" i="3"/>
  <c r="A974" i="3"/>
  <c r="H974" i="3"/>
  <c r="F974" i="3"/>
  <c r="D974" i="3"/>
  <c r="I978" i="3"/>
  <c r="G978" i="3"/>
  <c r="E978" i="3"/>
  <c r="C978" i="3"/>
  <c r="A978" i="3"/>
  <c r="H978" i="3"/>
  <c r="F978" i="3"/>
  <c r="D978" i="3"/>
  <c r="I982" i="3"/>
  <c r="G982" i="3"/>
  <c r="E982" i="3"/>
  <c r="C982" i="3"/>
  <c r="A982" i="3"/>
  <c r="H982" i="3"/>
  <c r="F982" i="3"/>
  <c r="D982" i="3"/>
  <c r="I986" i="3"/>
  <c r="G986" i="3"/>
  <c r="E986" i="3"/>
  <c r="C986" i="3"/>
  <c r="A986" i="3"/>
  <c r="H986" i="3"/>
  <c r="F986" i="3"/>
  <c r="D986" i="3"/>
  <c r="I992" i="3"/>
  <c r="G992" i="3"/>
  <c r="E992" i="3"/>
  <c r="C992" i="3"/>
  <c r="A992" i="3"/>
  <c r="H992" i="3"/>
  <c r="D992" i="3"/>
  <c r="F992" i="3"/>
  <c r="I1000" i="3"/>
  <c r="G1000" i="3"/>
  <c r="E1000" i="3"/>
  <c r="C1000" i="3"/>
  <c r="A1000" i="3"/>
  <c r="H1000" i="3"/>
  <c r="D1000" i="3"/>
  <c r="F1000" i="3"/>
  <c r="I1008" i="3"/>
  <c r="G1008" i="3"/>
  <c r="E1008" i="3"/>
  <c r="C1008" i="3"/>
  <c r="A1008" i="3"/>
  <c r="H1008" i="3"/>
  <c r="D1008" i="3"/>
  <c r="F1008" i="3"/>
  <c r="H21" i="3"/>
  <c r="F21" i="3"/>
  <c r="D21" i="3"/>
  <c r="I21" i="3"/>
  <c r="G21" i="3"/>
  <c r="E21" i="3"/>
  <c r="C21" i="3"/>
  <c r="A21" i="3"/>
  <c r="H25" i="3"/>
  <c r="F25" i="3"/>
  <c r="D25" i="3"/>
  <c r="I25" i="3"/>
  <c r="G25" i="3"/>
  <c r="E25" i="3"/>
  <c r="C25" i="3"/>
  <c r="A25" i="3"/>
  <c r="H29" i="3"/>
  <c r="F29" i="3"/>
  <c r="D29" i="3"/>
  <c r="I29" i="3"/>
  <c r="G29" i="3"/>
  <c r="E29" i="3"/>
  <c r="C29" i="3"/>
  <c r="A29" i="3"/>
  <c r="H33" i="3"/>
  <c r="F33" i="3"/>
  <c r="D33" i="3"/>
  <c r="I33" i="3"/>
  <c r="G33" i="3"/>
  <c r="E33" i="3"/>
  <c r="C33" i="3"/>
  <c r="A33" i="3"/>
  <c r="H37" i="3"/>
  <c r="F37" i="3"/>
  <c r="D37" i="3"/>
  <c r="I37" i="3"/>
  <c r="G37" i="3"/>
  <c r="E37" i="3"/>
  <c r="C37" i="3"/>
  <c r="A37" i="3"/>
  <c r="H41" i="3"/>
  <c r="F41" i="3"/>
  <c r="D41" i="3"/>
  <c r="I41" i="3"/>
  <c r="G41" i="3"/>
  <c r="E41" i="3"/>
  <c r="C41" i="3"/>
  <c r="A41" i="3"/>
  <c r="H45" i="3"/>
  <c r="F45" i="3"/>
  <c r="D45" i="3"/>
  <c r="I45" i="3"/>
  <c r="G45" i="3"/>
  <c r="E45" i="3"/>
  <c r="C45" i="3"/>
  <c r="A45" i="3"/>
  <c r="H49" i="3"/>
  <c r="F49" i="3"/>
  <c r="D49" i="3"/>
  <c r="I49" i="3"/>
  <c r="G49" i="3"/>
  <c r="E49" i="3"/>
  <c r="C49" i="3"/>
  <c r="A49" i="3"/>
  <c r="H53" i="3"/>
  <c r="F53" i="3"/>
  <c r="D53" i="3"/>
  <c r="I53" i="3"/>
  <c r="G53" i="3"/>
  <c r="E53" i="3"/>
  <c r="C53" i="3"/>
  <c r="A53" i="3"/>
  <c r="H57" i="3"/>
  <c r="F57" i="3"/>
  <c r="D57" i="3"/>
  <c r="I57" i="3"/>
  <c r="G57" i="3"/>
  <c r="E57" i="3"/>
  <c r="C57" i="3"/>
  <c r="A57" i="3"/>
  <c r="H61" i="3"/>
  <c r="F61" i="3"/>
  <c r="D61" i="3"/>
  <c r="I61" i="3"/>
  <c r="G61" i="3"/>
  <c r="E61" i="3"/>
  <c r="C61" i="3"/>
  <c r="A61" i="3"/>
  <c r="H65" i="3"/>
  <c r="F65" i="3"/>
  <c r="D65" i="3"/>
  <c r="I65" i="3"/>
  <c r="G65" i="3"/>
  <c r="E65" i="3"/>
  <c r="C65" i="3"/>
  <c r="A65" i="3"/>
  <c r="H69" i="3"/>
  <c r="F69" i="3"/>
  <c r="D69" i="3"/>
  <c r="I69" i="3"/>
  <c r="G69" i="3"/>
  <c r="E69" i="3"/>
  <c r="C69" i="3"/>
  <c r="A69" i="3"/>
  <c r="H73" i="3"/>
  <c r="F73" i="3"/>
  <c r="D73" i="3"/>
  <c r="I73" i="3"/>
  <c r="G73" i="3"/>
  <c r="E73" i="3"/>
  <c r="C73" i="3"/>
  <c r="A73" i="3"/>
  <c r="H77" i="3"/>
  <c r="F77" i="3"/>
  <c r="D77" i="3"/>
  <c r="I77" i="3"/>
  <c r="G77" i="3"/>
  <c r="E77" i="3"/>
  <c r="C77" i="3"/>
  <c r="A77" i="3"/>
  <c r="H81" i="3"/>
  <c r="F81" i="3"/>
  <c r="D81" i="3"/>
  <c r="I81" i="3"/>
  <c r="G81" i="3"/>
  <c r="E81" i="3"/>
  <c r="C81" i="3"/>
  <c r="A81" i="3"/>
  <c r="H85" i="3"/>
  <c r="F85" i="3"/>
  <c r="D85" i="3"/>
  <c r="I85" i="3"/>
  <c r="G85" i="3"/>
  <c r="E85" i="3"/>
  <c r="C85" i="3"/>
  <c r="A85" i="3"/>
  <c r="H89" i="3"/>
  <c r="F89" i="3"/>
  <c r="D89" i="3"/>
  <c r="I89" i="3"/>
  <c r="G89" i="3"/>
  <c r="E89" i="3"/>
  <c r="C89" i="3"/>
  <c r="A89" i="3"/>
  <c r="H93" i="3"/>
  <c r="F93" i="3"/>
  <c r="D93" i="3"/>
  <c r="I93" i="3"/>
  <c r="G93" i="3"/>
  <c r="E93" i="3"/>
  <c r="C93" i="3"/>
  <c r="A93" i="3"/>
  <c r="H97" i="3"/>
  <c r="F97" i="3"/>
  <c r="D97" i="3"/>
  <c r="I97" i="3"/>
  <c r="G97" i="3"/>
  <c r="E97" i="3"/>
  <c r="C97" i="3"/>
  <c r="A97" i="3"/>
  <c r="H101" i="3"/>
  <c r="F101" i="3"/>
  <c r="D101" i="3"/>
  <c r="I101" i="3"/>
  <c r="G101" i="3"/>
  <c r="E101" i="3"/>
  <c r="C101" i="3"/>
  <c r="A101" i="3"/>
  <c r="H105" i="3"/>
  <c r="F105" i="3"/>
  <c r="D105" i="3"/>
  <c r="I105" i="3"/>
  <c r="G105" i="3"/>
  <c r="E105" i="3"/>
  <c r="C105" i="3"/>
  <c r="A105" i="3"/>
  <c r="H109" i="3"/>
  <c r="F109" i="3"/>
  <c r="D109" i="3"/>
  <c r="I109" i="3"/>
  <c r="G109" i="3"/>
  <c r="E109" i="3"/>
  <c r="C109" i="3"/>
  <c r="A109" i="3"/>
  <c r="H113" i="3"/>
  <c r="F113" i="3"/>
  <c r="D113" i="3"/>
  <c r="I113" i="3"/>
  <c r="G113" i="3"/>
  <c r="E113" i="3"/>
  <c r="C113" i="3"/>
  <c r="A113" i="3"/>
  <c r="H117" i="3"/>
  <c r="F117" i="3"/>
  <c r="D117" i="3"/>
  <c r="I117" i="3"/>
  <c r="G117" i="3"/>
  <c r="E117" i="3"/>
  <c r="C117" i="3"/>
  <c r="A117" i="3"/>
  <c r="H121" i="3"/>
  <c r="F121" i="3"/>
  <c r="D121" i="3"/>
  <c r="I121" i="3"/>
  <c r="G121" i="3"/>
  <c r="E121" i="3"/>
  <c r="C121" i="3"/>
  <c r="A121" i="3"/>
  <c r="H125" i="3"/>
  <c r="F125" i="3"/>
  <c r="D125" i="3"/>
  <c r="I125" i="3"/>
  <c r="G125" i="3"/>
  <c r="E125" i="3"/>
  <c r="C125" i="3"/>
  <c r="A125" i="3"/>
  <c r="H129" i="3"/>
  <c r="F129" i="3"/>
  <c r="D129" i="3"/>
  <c r="I129" i="3"/>
  <c r="G129" i="3"/>
  <c r="E129" i="3"/>
  <c r="C129" i="3"/>
  <c r="A129" i="3"/>
  <c r="H133" i="3"/>
  <c r="F133" i="3"/>
  <c r="D133" i="3"/>
  <c r="I133" i="3"/>
  <c r="G133" i="3"/>
  <c r="E133" i="3"/>
  <c r="C133" i="3"/>
  <c r="A133" i="3"/>
  <c r="H137" i="3"/>
  <c r="F137" i="3"/>
  <c r="D137" i="3"/>
  <c r="I137" i="3"/>
  <c r="G137" i="3"/>
  <c r="E137" i="3"/>
  <c r="C137" i="3"/>
  <c r="A137" i="3"/>
  <c r="H141" i="3"/>
  <c r="F141" i="3"/>
  <c r="D141" i="3"/>
  <c r="I141" i="3"/>
  <c r="G141" i="3"/>
  <c r="E141" i="3"/>
  <c r="C141" i="3"/>
  <c r="A141" i="3"/>
  <c r="H145" i="3"/>
  <c r="F145" i="3"/>
  <c r="D145" i="3"/>
  <c r="I145" i="3"/>
  <c r="G145" i="3"/>
  <c r="E145" i="3"/>
  <c r="C145" i="3"/>
  <c r="A145" i="3"/>
  <c r="H149" i="3"/>
  <c r="F149" i="3"/>
  <c r="D149" i="3"/>
  <c r="I149" i="3"/>
  <c r="G149" i="3"/>
  <c r="E149" i="3"/>
  <c r="C149" i="3"/>
  <c r="A149" i="3"/>
  <c r="H153" i="3"/>
  <c r="F153" i="3"/>
  <c r="D153" i="3"/>
  <c r="I153" i="3"/>
  <c r="G153" i="3"/>
  <c r="E153" i="3"/>
  <c r="C153" i="3"/>
  <c r="A153" i="3"/>
  <c r="H157" i="3"/>
  <c r="F157" i="3"/>
  <c r="D157" i="3"/>
  <c r="I157" i="3"/>
  <c r="G157" i="3"/>
  <c r="E157" i="3"/>
  <c r="C157" i="3"/>
  <c r="A157" i="3"/>
  <c r="H161" i="3"/>
  <c r="F161" i="3"/>
  <c r="D161" i="3"/>
  <c r="I161" i="3"/>
  <c r="G161" i="3"/>
  <c r="E161" i="3"/>
  <c r="C161" i="3"/>
  <c r="A161" i="3"/>
  <c r="H165" i="3"/>
  <c r="F165" i="3"/>
  <c r="D165" i="3"/>
  <c r="I165" i="3"/>
  <c r="G165" i="3"/>
  <c r="E165" i="3"/>
  <c r="C165" i="3"/>
  <c r="A165" i="3"/>
  <c r="H169" i="3"/>
  <c r="F169" i="3"/>
  <c r="D169" i="3"/>
  <c r="I169" i="3"/>
  <c r="G169" i="3"/>
  <c r="E169" i="3"/>
  <c r="C169" i="3"/>
  <c r="A169" i="3"/>
  <c r="H173" i="3"/>
  <c r="F173" i="3"/>
  <c r="D173" i="3"/>
  <c r="I173" i="3"/>
  <c r="G173" i="3"/>
  <c r="E173" i="3"/>
  <c r="C173" i="3"/>
  <c r="A173" i="3"/>
  <c r="H177" i="3"/>
  <c r="F177" i="3"/>
  <c r="D177" i="3"/>
  <c r="I177" i="3"/>
  <c r="G177" i="3"/>
  <c r="E177" i="3"/>
  <c r="C177" i="3"/>
  <c r="A177" i="3"/>
  <c r="H181" i="3"/>
  <c r="F181" i="3"/>
  <c r="D181" i="3"/>
  <c r="I181" i="3"/>
  <c r="G181" i="3"/>
  <c r="E181" i="3"/>
  <c r="C181" i="3"/>
  <c r="A181" i="3"/>
  <c r="H185" i="3"/>
  <c r="F185" i="3"/>
  <c r="D185" i="3"/>
  <c r="I185" i="3"/>
  <c r="G185" i="3"/>
  <c r="E185" i="3"/>
  <c r="C185" i="3"/>
  <c r="A185" i="3"/>
  <c r="H189" i="3"/>
  <c r="F189" i="3"/>
  <c r="D189" i="3"/>
  <c r="I189" i="3"/>
  <c r="G189" i="3"/>
  <c r="E189" i="3"/>
  <c r="C189" i="3"/>
  <c r="A189" i="3"/>
  <c r="H193" i="3"/>
  <c r="F193" i="3"/>
  <c r="D193" i="3"/>
  <c r="I193" i="3"/>
  <c r="G193" i="3"/>
  <c r="E193" i="3"/>
  <c r="C193" i="3"/>
  <c r="A193" i="3"/>
  <c r="H197" i="3"/>
  <c r="F197" i="3"/>
  <c r="D197" i="3"/>
  <c r="I197" i="3"/>
  <c r="G197" i="3"/>
  <c r="E197" i="3"/>
  <c r="C197" i="3"/>
  <c r="A197" i="3"/>
  <c r="H201" i="3"/>
  <c r="F201" i="3"/>
  <c r="D201" i="3"/>
  <c r="I201" i="3"/>
  <c r="G201" i="3"/>
  <c r="E201" i="3"/>
  <c r="C201" i="3"/>
  <c r="A201" i="3"/>
  <c r="H205" i="3"/>
  <c r="F205" i="3"/>
  <c r="D205" i="3"/>
  <c r="I205" i="3"/>
  <c r="G205" i="3"/>
  <c r="E205" i="3"/>
  <c r="C205" i="3"/>
  <c r="A205" i="3"/>
  <c r="H209" i="3"/>
  <c r="F209" i="3"/>
  <c r="D209" i="3"/>
  <c r="I209" i="3"/>
  <c r="G209" i="3"/>
  <c r="E209" i="3"/>
  <c r="C209" i="3"/>
  <c r="A209" i="3"/>
  <c r="H213" i="3"/>
  <c r="F213" i="3"/>
  <c r="D213" i="3"/>
  <c r="I213" i="3"/>
  <c r="G213" i="3"/>
  <c r="E213" i="3"/>
  <c r="C213" i="3"/>
  <c r="A213" i="3"/>
  <c r="H217" i="3"/>
  <c r="F217" i="3"/>
  <c r="D217" i="3"/>
  <c r="I217" i="3"/>
  <c r="G217" i="3"/>
  <c r="E217" i="3"/>
  <c r="C217" i="3"/>
  <c r="A217" i="3"/>
  <c r="H221" i="3"/>
  <c r="F221" i="3"/>
  <c r="D221" i="3"/>
  <c r="I221" i="3"/>
  <c r="G221" i="3"/>
  <c r="E221" i="3"/>
  <c r="C221" i="3"/>
  <c r="A221" i="3"/>
  <c r="H225" i="3"/>
  <c r="F225" i="3"/>
  <c r="D225" i="3"/>
  <c r="I225" i="3"/>
  <c r="G225" i="3"/>
  <c r="E225" i="3"/>
  <c r="C225" i="3"/>
  <c r="A225" i="3"/>
  <c r="H229" i="3"/>
  <c r="F229" i="3"/>
  <c r="D229" i="3"/>
  <c r="I229" i="3"/>
  <c r="G229" i="3"/>
  <c r="E229" i="3"/>
  <c r="C229" i="3"/>
  <c r="A229" i="3"/>
  <c r="H233" i="3"/>
  <c r="F233" i="3"/>
  <c r="D233" i="3"/>
  <c r="I233" i="3"/>
  <c r="G233" i="3"/>
  <c r="E233" i="3"/>
  <c r="C233" i="3"/>
  <c r="A233" i="3"/>
  <c r="H237" i="3"/>
  <c r="F237" i="3"/>
  <c r="D237" i="3"/>
  <c r="I237" i="3"/>
  <c r="G237" i="3"/>
  <c r="E237" i="3"/>
  <c r="C237" i="3"/>
  <c r="A237" i="3"/>
  <c r="H241" i="3"/>
  <c r="F241" i="3"/>
  <c r="D241" i="3"/>
  <c r="I241" i="3"/>
  <c r="G241" i="3"/>
  <c r="E241" i="3"/>
  <c r="C241" i="3"/>
  <c r="A241" i="3"/>
  <c r="H245" i="3"/>
  <c r="F245" i="3"/>
  <c r="D245" i="3"/>
  <c r="I245" i="3"/>
  <c r="G245" i="3"/>
  <c r="E245" i="3"/>
  <c r="C245" i="3"/>
  <c r="A245" i="3"/>
  <c r="H249" i="3"/>
  <c r="F249" i="3"/>
  <c r="D249" i="3"/>
  <c r="I249" i="3"/>
  <c r="G249" i="3"/>
  <c r="E249" i="3"/>
  <c r="C249" i="3"/>
  <c r="A249" i="3"/>
  <c r="H253" i="3"/>
  <c r="F253" i="3"/>
  <c r="D253" i="3"/>
  <c r="I253" i="3"/>
  <c r="G253" i="3"/>
  <c r="E253" i="3"/>
  <c r="C253" i="3"/>
  <c r="A253" i="3"/>
  <c r="H257" i="3"/>
  <c r="F257" i="3"/>
  <c r="D257" i="3"/>
  <c r="I257" i="3"/>
  <c r="G257" i="3"/>
  <c r="E257" i="3"/>
  <c r="C257" i="3"/>
  <c r="A257" i="3"/>
  <c r="H261" i="3"/>
  <c r="F261" i="3"/>
  <c r="D261" i="3"/>
  <c r="I261" i="3"/>
  <c r="G261" i="3"/>
  <c r="E261" i="3"/>
  <c r="C261" i="3"/>
  <c r="A261" i="3"/>
  <c r="H265" i="3"/>
  <c r="F265" i="3"/>
  <c r="D265" i="3"/>
  <c r="I265" i="3"/>
  <c r="G265" i="3"/>
  <c r="E265" i="3"/>
  <c r="C265" i="3"/>
  <c r="A265" i="3"/>
  <c r="H269" i="3"/>
  <c r="F269" i="3"/>
  <c r="D269" i="3"/>
  <c r="I269" i="3"/>
  <c r="G269" i="3"/>
  <c r="E269" i="3"/>
  <c r="C269" i="3"/>
  <c r="A269" i="3"/>
  <c r="H273" i="3"/>
  <c r="F273" i="3"/>
  <c r="D273" i="3"/>
  <c r="I273" i="3"/>
  <c r="G273" i="3"/>
  <c r="E273" i="3"/>
  <c r="C273" i="3"/>
  <c r="A273" i="3"/>
  <c r="H277" i="3"/>
  <c r="F277" i="3"/>
  <c r="D277" i="3"/>
  <c r="I277" i="3"/>
  <c r="G277" i="3"/>
  <c r="E277" i="3"/>
  <c r="C277" i="3"/>
  <c r="A277" i="3"/>
  <c r="H281" i="3"/>
  <c r="F281" i="3"/>
  <c r="D281" i="3"/>
  <c r="I281" i="3"/>
  <c r="G281" i="3"/>
  <c r="E281" i="3"/>
  <c r="C281" i="3"/>
  <c r="A281" i="3"/>
  <c r="H285" i="3"/>
  <c r="F285" i="3"/>
  <c r="D285" i="3"/>
  <c r="I285" i="3"/>
  <c r="G285" i="3"/>
  <c r="E285" i="3"/>
  <c r="C285" i="3"/>
  <c r="A285" i="3"/>
  <c r="H289" i="3"/>
  <c r="F289" i="3"/>
  <c r="D289" i="3"/>
  <c r="I289" i="3"/>
  <c r="G289" i="3"/>
  <c r="E289" i="3"/>
  <c r="C289" i="3"/>
  <c r="A289" i="3"/>
  <c r="H293" i="3"/>
  <c r="F293" i="3"/>
  <c r="D293" i="3"/>
  <c r="I293" i="3"/>
  <c r="G293" i="3"/>
  <c r="E293" i="3"/>
  <c r="C293" i="3"/>
  <c r="A293" i="3"/>
  <c r="H297" i="3"/>
  <c r="F297" i="3"/>
  <c r="D297" i="3"/>
  <c r="I297" i="3"/>
  <c r="G297" i="3"/>
  <c r="E297" i="3"/>
  <c r="C297" i="3"/>
  <c r="A297" i="3"/>
  <c r="H301" i="3"/>
  <c r="F301" i="3"/>
  <c r="D301" i="3"/>
  <c r="I301" i="3"/>
  <c r="G301" i="3"/>
  <c r="E301" i="3"/>
  <c r="C301" i="3"/>
  <c r="A301" i="3"/>
  <c r="H305" i="3"/>
  <c r="F305" i="3"/>
  <c r="D305" i="3"/>
  <c r="I305" i="3"/>
  <c r="G305" i="3"/>
  <c r="E305" i="3"/>
  <c r="C305" i="3"/>
  <c r="A305" i="3"/>
  <c r="H309" i="3"/>
  <c r="F309" i="3"/>
  <c r="D309" i="3"/>
  <c r="I309" i="3"/>
  <c r="G309" i="3"/>
  <c r="E309" i="3"/>
  <c r="C309" i="3"/>
  <c r="A309" i="3"/>
  <c r="H313" i="3"/>
  <c r="F313" i="3"/>
  <c r="D313" i="3"/>
  <c r="I313" i="3"/>
  <c r="G313" i="3"/>
  <c r="E313" i="3"/>
  <c r="C313" i="3"/>
  <c r="A313" i="3"/>
  <c r="H317" i="3"/>
  <c r="F317" i="3"/>
  <c r="D317" i="3"/>
  <c r="I317" i="3"/>
  <c r="G317" i="3"/>
  <c r="E317" i="3"/>
  <c r="C317" i="3"/>
  <c r="A317" i="3"/>
  <c r="H321" i="3"/>
  <c r="F321" i="3"/>
  <c r="D321" i="3"/>
  <c r="I321" i="3"/>
  <c r="G321" i="3"/>
  <c r="E321" i="3"/>
  <c r="C321" i="3"/>
  <c r="A321" i="3"/>
  <c r="H325" i="3"/>
  <c r="F325" i="3"/>
  <c r="D325" i="3"/>
  <c r="I325" i="3"/>
  <c r="G325" i="3"/>
  <c r="E325" i="3"/>
  <c r="C325" i="3"/>
  <c r="A325" i="3"/>
  <c r="H329" i="3"/>
  <c r="F329" i="3"/>
  <c r="D329" i="3"/>
  <c r="I329" i="3"/>
  <c r="G329" i="3"/>
  <c r="E329" i="3"/>
  <c r="C329" i="3"/>
  <c r="A329" i="3"/>
  <c r="H333" i="3"/>
  <c r="F333" i="3"/>
  <c r="D333" i="3"/>
  <c r="I333" i="3"/>
  <c r="G333" i="3"/>
  <c r="E333" i="3"/>
  <c r="C333" i="3"/>
  <c r="A333" i="3"/>
  <c r="H337" i="3"/>
  <c r="F337" i="3"/>
  <c r="D337" i="3"/>
  <c r="I337" i="3"/>
  <c r="G337" i="3"/>
  <c r="E337" i="3"/>
  <c r="C337" i="3"/>
  <c r="A337" i="3"/>
  <c r="H341" i="3"/>
  <c r="F341" i="3"/>
  <c r="D341" i="3"/>
  <c r="I341" i="3"/>
  <c r="G341" i="3"/>
  <c r="E341" i="3"/>
  <c r="C341" i="3"/>
  <c r="A341" i="3"/>
  <c r="H345" i="3"/>
  <c r="F345" i="3"/>
  <c r="D345" i="3"/>
  <c r="I345" i="3"/>
  <c r="G345" i="3"/>
  <c r="E345" i="3"/>
  <c r="C345" i="3"/>
  <c r="A345" i="3"/>
  <c r="H349" i="3"/>
  <c r="F349" i="3"/>
  <c r="D349" i="3"/>
  <c r="I349" i="3"/>
  <c r="G349" i="3"/>
  <c r="E349" i="3"/>
  <c r="C349" i="3"/>
  <c r="A349" i="3"/>
  <c r="H353" i="3"/>
  <c r="F353" i="3"/>
  <c r="D353" i="3"/>
  <c r="I353" i="3"/>
  <c r="G353" i="3"/>
  <c r="E353" i="3"/>
  <c r="C353" i="3"/>
  <c r="A353" i="3"/>
  <c r="H357" i="3"/>
  <c r="F357" i="3"/>
  <c r="D357" i="3"/>
  <c r="I357" i="3"/>
  <c r="G357" i="3"/>
  <c r="E357" i="3"/>
  <c r="C357" i="3"/>
  <c r="A357" i="3"/>
  <c r="H361" i="3"/>
  <c r="F361" i="3"/>
  <c r="D361" i="3"/>
  <c r="I361" i="3"/>
  <c r="G361" i="3"/>
  <c r="E361" i="3"/>
  <c r="C361" i="3"/>
  <c r="A361" i="3"/>
  <c r="H365" i="3"/>
  <c r="F365" i="3"/>
  <c r="D365" i="3"/>
  <c r="I365" i="3"/>
  <c r="G365" i="3"/>
  <c r="E365" i="3"/>
  <c r="C365" i="3"/>
  <c r="A365" i="3"/>
  <c r="H369" i="3"/>
  <c r="F369" i="3"/>
  <c r="D369" i="3"/>
  <c r="I369" i="3"/>
  <c r="G369" i="3"/>
  <c r="E369" i="3"/>
  <c r="C369" i="3"/>
  <c r="A369" i="3"/>
  <c r="H373" i="3"/>
  <c r="F373" i="3"/>
  <c r="D373" i="3"/>
  <c r="I373" i="3"/>
  <c r="G373" i="3"/>
  <c r="E373" i="3"/>
  <c r="C373" i="3"/>
  <c r="A373" i="3"/>
  <c r="H377" i="3"/>
  <c r="F377" i="3"/>
  <c r="D377" i="3"/>
  <c r="I377" i="3"/>
  <c r="G377" i="3"/>
  <c r="E377" i="3"/>
  <c r="C377" i="3"/>
  <c r="A377" i="3"/>
  <c r="H381" i="3"/>
  <c r="F381" i="3"/>
  <c r="D381" i="3"/>
  <c r="I381" i="3"/>
  <c r="G381" i="3"/>
  <c r="E381" i="3"/>
  <c r="C381" i="3"/>
  <c r="A381" i="3"/>
  <c r="H385" i="3"/>
  <c r="F385" i="3"/>
  <c r="D385" i="3"/>
  <c r="I385" i="3"/>
  <c r="G385" i="3"/>
  <c r="E385" i="3"/>
  <c r="C385" i="3"/>
  <c r="A385" i="3"/>
  <c r="H389" i="3"/>
  <c r="F389" i="3"/>
  <c r="D389" i="3"/>
  <c r="I389" i="3"/>
  <c r="G389" i="3"/>
  <c r="E389" i="3"/>
  <c r="C389" i="3"/>
  <c r="A389" i="3"/>
  <c r="H393" i="3"/>
  <c r="F393" i="3"/>
  <c r="D393" i="3"/>
  <c r="I393" i="3"/>
  <c r="G393" i="3"/>
  <c r="E393" i="3"/>
  <c r="C393" i="3"/>
  <c r="A393" i="3"/>
  <c r="H397" i="3"/>
  <c r="F397" i="3"/>
  <c r="D397" i="3"/>
  <c r="I397" i="3"/>
  <c r="G397" i="3"/>
  <c r="E397" i="3"/>
  <c r="C397" i="3"/>
  <c r="A397" i="3"/>
  <c r="H401" i="3"/>
  <c r="F401" i="3"/>
  <c r="D401" i="3"/>
  <c r="I401" i="3"/>
  <c r="G401" i="3"/>
  <c r="E401" i="3"/>
  <c r="C401" i="3"/>
  <c r="A401" i="3"/>
  <c r="H405" i="3"/>
  <c r="F405" i="3"/>
  <c r="D405" i="3"/>
  <c r="I405" i="3"/>
  <c r="G405" i="3"/>
  <c r="E405" i="3"/>
  <c r="C405" i="3"/>
  <c r="A405" i="3"/>
  <c r="H409" i="3"/>
  <c r="F409" i="3"/>
  <c r="D409" i="3"/>
  <c r="I409" i="3"/>
  <c r="G409" i="3"/>
  <c r="E409" i="3"/>
  <c r="C409" i="3"/>
  <c r="A409" i="3"/>
  <c r="H413" i="3"/>
  <c r="F413" i="3"/>
  <c r="D413" i="3"/>
  <c r="I413" i="3"/>
  <c r="G413" i="3"/>
  <c r="E413" i="3"/>
  <c r="C413" i="3"/>
  <c r="A413" i="3"/>
  <c r="H417" i="3"/>
  <c r="F417" i="3"/>
  <c r="D417" i="3"/>
  <c r="I417" i="3"/>
  <c r="G417" i="3"/>
  <c r="E417" i="3"/>
  <c r="C417" i="3"/>
  <c r="A417" i="3"/>
  <c r="H421" i="3"/>
  <c r="F421" i="3"/>
  <c r="D421" i="3"/>
  <c r="I421" i="3"/>
  <c r="G421" i="3"/>
  <c r="E421" i="3"/>
  <c r="C421" i="3"/>
  <c r="A421" i="3"/>
  <c r="H425" i="3"/>
  <c r="F425" i="3"/>
  <c r="D425" i="3"/>
  <c r="I425" i="3"/>
  <c r="G425" i="3"/>
  <c r="E425" i="3"/>
  <c r="C425" i="3"/>
  <c r="A425" i="3"/>
  <c r="H429" i="3"/>
  <c r="F429" i="3"/>
  <c r="D429" i="3"/>
  <c r="I429" i="3"/>
  <c r="G429" i="3"/>
  <c r="E429" i="3"/>
  <c r="C429" i="3"/>
  <c r="A429" i="3"/>
  <c r="H433" i="3"/>
  <c r="F433" i="3"/>
  <c r="D433" i="3"/>
  <c r="I433" i="3"/>
  <c r="G433" i="3"/>
  <c r="E433" i="3"/>
  <c r="C433" i="3"/>
  <c r="A433" i="3"/>
  <c r="H437" i="3"/>
  <c r="F437" i="3"/>
  <c r="D437" i="3"/>
  <c r="I437" i="3"/>
  <c r="G437" i="3"/>
  <c r="E437" i="3"/>
  <c r="C437" i="3"/>
  <c r="A437" i="3"/>
  <c r="H441" i="3"/>
  <c r="F441" i="3"/>
  <c r="D441" i="3"/>
  <c r="I441" i="3"/>
  <c r="G441" i="3"/>
  <c r="E441" i="3"/>
  <c r="C441" i="3"/>
  <c r="A441" i="3"/>
  <c r="H445" i="3"/>
  <c r="F445" i="3"/>
  <c r="D445" i="3"/>
  <c r="I445" i="3"/>
  <c r="G445" i="3"/>
  <c r="E445" i="3"/>
  <c r="C445" i="3"/>
  <c r="A445" i="3"/>
  <c r="H449" i="3"/>
  <c r="F449" i="3"/>
  <c r="D449" i="3"/>
  <c r="I449" i="3"/>
  <c r="G449" i="3"/>
  <c r="E449" i="3"/>
  <c r="C449" i="3"/>
  <c r="A449" i="3"/>
  <c r="H453" i="3"/>
  <c r="F453" i="3"/>
  <c r="D453" i="3"/>
  <c r="I453" i="3"/>
  <c r="G453" i="3"/>
  <c r="E453" i="3"/>
  <c r="C453" i="3"/>
  <c r="A453" i="3"/>
  <c r="H457" i="3"/>
  <c r="F457" i="3"/>
  <c r="D457" i="3"/>
  <c r="I457" i="3"/>
  <c r="G457" i="3"/>
  <c r="E457" i="3"/>
  <c r="C457" i="3"/>
  <c r="A457" i="3"/>
  <c r="H461" i="3"/>
  <c r="F461" i="3"/>
  <c r="D461" i="3"/>
  <c r="I461" i="3"/>
  <c r="G461" i="3"/>
  <c r="E461" i="3"/>
  <c r="C461" i="3"/>
  <c r="A461" i="3"/>
  <c r="H465" i="3"/>
  <c r="F465" i="3"/>
  <c r="D465" i="3"/>
  <c r="I465" i="3"/>
  <c r="G465" i="3"/>
  <c r="E465" i="3"/>
  <c r="C465" i="3"/>
  <c r="A465" i="3"/>
  <c r="H469" i="3"/>
  <c r="F469" i="3"/>
  <c r="D469" i="3"/>
  <c r="I469" i="3"/>
  <c r="G469" i="3"/>
  <c r="E469" i="3"/>
  <c r="C469" i="3"/>
  <c r="A469" i="3"/>
  <c r="H473" i="3"/>
  <c r="F473" i="3"/>
  <c r="D473" i="3"/>
  <c r="I473" i="3"/>
  <c r="G473" i="3"/>
  <c r="E473" i="3"/>
  <c r="C473" i="3"/>
  <c r="A473" i="3"/>
  <c r="H477" i="3"/>
  <c r="F477" i="3"/>
  <c r="D477" i="3"/>
  <c r="I477" i="3"/>
  <c r="G477" i="3"/>
  <c r="E477" i="3"/>
  <c r="C477" i="3"/>
  <c r="A477" i="3"/>
  <c r="H481" i="3"/>
  <c r="F481" i="3"/>
  <c r="D481" i="3"/>
  <c r="I481" i="3"/>
  <c r="G481" i="3"/>
  <c r="E481" i="3"/>
  <c r="C481" i="3"/>
  <c r="A481" i="3"/>
  <c r="H485" i="3"/>
  <c r="F485" i="3"/>
  <c r="D485" i="3"/>
  <c r="I485" i="3"/>
  <c r="G485" i="3"/>
  <c r="E485" i="3"/>
  <c r="C485" i="3"/>
  <c r="A485" i="3"/>
  <c r="H489" i="3"/>
  <c r="F489" i="3"/>
  <c r="D489" i="3"/>
  <c r="I489" i="3"/>
  <c r="G489" i="3"/>
  <c r="E489" i="3"/>
  <c r="C489" i="3"/>
  <c r="A489" i="3"/>
  <c r="H493" i="3"/>
  <c r="F493" i="3"/>
  <c r="D493" i="3"/>
  <c r="I493" i="3"/>
  <c r="G493" i="3"/>
  <c r="E493" i="3"/>
  <c r="C493" i="3"/>
  <c r="A493" i="3"/>
  <c r="H497" i="3"/>
  <c r="F497" i="3"/>
  <c r="D497" i="3"/>
  <c r="I497" i="3"/>
  <c r="G497" i="3"/>
  <c r="E497" i="3"/>
  <c r="C497" i="3"/>
  <c r="A497" i="3"/>
  <c r="H501" i="3"/>
  <c r="F501" i="3"/>
  <c r="D501" i="3"/>
  <c r="I501" i="3"/>
  <c r="G501" i="3"/>
  <c r="E501" i="3"/>
  <c r="C501" i="3"/>
  <c r="A501" i="3"/>
  <c r="H505" i="3"/>
  <c r="F505" i="3"/>
  <c r="D505" i="3"/>
  <c r="I505" i="3"/>
  <c r="G505" i="3"/>
  <c r="E505" i="3"/>
  <c r="C505" i="3"/>
  <c r="A505" i="3"/>
  <c r="H509" i="3"/>
  <c r="F509" i="3"/>
  <c r="D509" i="3"/>
  <c r="I509" i="3"/>
  <c r="G509" i="3"/>
  <c r="E509" i="3"/>
  <c r="C509" i="3"/>
  <c r="A509" i="3"/>
  <c r="H513" i="3"/>
  <c r="F513" i="3"/>
  <c r="D513" i="3"/>
  <c r="I513" i="3"/>
  <c r="G513" i="3"/>
  <c r="E513" i="3"/>
  <c r="C513" i="3"/>
  <c r="A513" i="3"/>
  <c r="H517" i="3"/>
  <c r="F517" i="3"/>
  <c r="D517" i="3"/>
  <c r="I517" i="3"/>
  <c r="G517" i="3"/>
  <c r="E517" i="3"/>
  <c r="C517" i="3"/>
  <c r="A517" i="3"/>
  <c r="H521" i="3"/>
  <c r="F521" i="3"/>
  <c r="D521" i="3"/>
  <c r="I521" i="3"/>
  <c r="G521" i="3"/>
  <c r="E521" i="3"/>
  <c r="C521" i="3"/>
  <c r="A521" i="3"/>
  <c r="H525" i="3"/>
  <c r="F525" i="3"/>
  <c r="D525" i="3"/>
  <c r="I525" i="3"/>
  <c r="G525" i="3"/>
  <c r="E525" i="3"/>
  <c r="C525" i="3"/>
  <c r="A525" i="3"/>
  <c r="H529" i="3"/>
  <c r="F529" i="3"/>
  <c r="D529" i="3"/>
  <c r="I529" i="3"/>
  <c r="G529" i="3"/>
  <c r="E529" i="3"/>
  <c r="C529" i="3"/>
  <c r="A529" i="3"/>
  <c r="H533" i="3"/>
  <c r="F533" i="3"/>
  <c r="D533" i="3"/>
  <c r="I533" i="3"/>
  <c r="G533" i="3"/>
  <c r="E533" i="3"/>
  <c r="C533" i="3"/>
  <c r="A533" i="3"/>
  <c r="H537" i="3"/>
  <c r="F537" i="3"/>
  <c r="D537" i="3"/>
  <c r="I537" i="3"/>
  <c r="G537" i="3"/>
  <c r="E537" i="3"/>
  <c r="C537" i="3"/>
  <c r="A537" i="3"/>
  <c r="H541" i="3"/>
  <c r="F541" i="3"/>
  <c r="D541" i="3"/>
  <c r="I541" i="3"/>
  <c r="G541" i="3"/>
  <c r="E541" i="3"/>
  <c r="C541" i="3"/>
  <c r="A541" i="3"/>
  <c r="H545" i="3"/>
  <c r="F545" i="3"/>
  <c r="D545" i="3"/>
  <c r="I545" i="3"/>
  <c r="G545" i="3"/>
  <c r="E545" i="3"/>
  <c r="C545" i="3"/>
  <c r="A545" i="3"/>
  <c r="H549" i="3"/>
  <c r="F549" i="3"/>
  <c r="D549" i="3"/>
  <c r="I549" i="3"/>
  <c r="G549" i="3"/>
  <c r="E549" i="3"/>
  <c r="C549" i="3"/>
  <c r="A549" i="3"/>
  <c r="H553" i="3"/>
  <c r="F553" i="3"/>
  <c r="D553" i="3"/>
  <c r="I553" i="3"/>
  <c r="G553" i="3"/>
  <c r="E553" i="3"/>
  <c r="C553" i="3"/>
  <c r="A553" i="3"/>
  <c r="H557" i="3"/>
  <c r="F557" i="3"/>
  <c r="D557" i="3"/>
  <c r="I557" i="3"/>
  <c r="G557" i="3"/>
  <c r="E557" i="3"/>
  <c r="C557" i="3"/>
  <c r="A557" i="3"/>
  <c r="H561" i="3"/>
  <c r="F561" i="3"/>
  <c r="D561" i="3"/>
  <c r="I561" i="3"/>
  <c r="G561" i="3"/>
  <c r="E561" i="3"/>
  <c r="C561" i="3"/>
  <c r="A561" i="3"/>
  <c r="H565" i="3"/>
  <c r="F565" i="3"/>
  <c r="D565" i="3"/>
  <c r="I565" i="3"/>
  <c r="G565" i="3"/>
  <c r="E565" i="3"/>
  <c r="C565" i="3"/>
  <c r="A565" i="3"/>
  <c r="H569" i="3"/>
  <c r="F569" i="3"/>
  <c r="D569" i="3"/>
  <c r="I569" i="3"/>
  <c r="G569" i="3"/>
  <c r="E569" i="3"/>
  <c r="C569" i="3"/>
  <c r="A569" i="3"/>
  <c r="H573" i="3"/>
  <c r="F573" i="3"/>
  <c r="D573" i="3"/>
  <c r="I573" i="3"/>
  <c r="G573" i="3"/>
  <c r="E573" i="3"/>
  <c r="C573" i="3"/>
  <c r="A573" i="3"/>
  <c r="H577" i="3"/>
  <c r="F577" i="3"/>
  <c r="D577" i="3"/>
  <c r="I577" i="3"/>
  <c r="G577" i="3"/>
  <c r="E577" i="3"/>
  <c r="C577" i="3"/>
  <c r="A577" i="3"/>
  <c r="H581" i="3"/>
  <c r="F581" i="3"/>
  <c r="D581" i="3"/>
  <c r="I581" i="3"/>
  <c r="G581" i="3"/>
  <c r="E581" i="3"/>
  <c r="C581" i="3"/>
  <c r="A581" i="3"/>
  <c r="H585" i="3"/>
  <c r="F585" i="3"/>
  <c r="D585" i="3"/>
  <c r="I585" i="3"/>
  <c r="G585" i="3"/>
  <c r="E585" i="3"/>
  <c r="C585" i="3"/>
  <c r="A585" i="3"/>
  <c r="H589" i="3"/>
  <c r="F589" i="3"/>
  <c r="D589" i="3"/>
  <c r="I589" i="3"/>
  <c r="G589" i="3"/>
  <c r="E589" i="3"/>
  <c r="C589" i="3"/>
  <c r="A589" i="3"/>
  <c r="H593" i="3"/>
  <c r="F593" i="3"/>
  <c r="D593" i="3"/>
  <c r="I593" i="3"/>
  <c r="G593" i="3"/>
  <c r="E593" i="3"/>
  <c r="C593" i="3"/>
  <c r="A593" i="3"/>
  <c r="H597" i="3"/>
  <c r="F597" i="3"/>
  <c r="D597" i="3"/>
  <c r="I597" i="3"/>
  <c r="G597" i="3"/>
  <c r="E597" i="3"/>
  <c r="C597" i="3"/>
  <c r="A597" i="3"/>
  <c r="H601" i="3"/>
  <c r="F601" i="3"/>
  <c r="D601" i="3"/>
  <c r="I601" i="3"/>
  <c r="G601" i="3"/>
  <c r="E601" i="3"/>
  <c r="C601" i="3"/>
  <c r="A601" i="3"/>
  <c r="H605" i="3"/>
  <c r="F605" i="3"/>
  <c r="D605" i="3"/>
  <c r="I605" i="3"/>
  <c r="G605" i="3"/>
  <c r="E605" i="3"/>
  <c r="C605" i="3"/>
  <c r="A605" i="3"/>
  <c r="H609" i="3"/>
  <c r="F609" i="3"/>
  <c r="D609" i="3"/>
  <c r="I609" i="3"/>
  <c r="G609" i="3"/>
  <c r="E609" i="3"/>
  <c r="C609" i="3"/>
  <c r="A609" i="3"/>
  <c r="H613" i="3"/>
  <c r="F613" i="3"/>
  <c r="D613" i="3"/>
  <c r="I613" i="3"/>
  <c r="G613" i="3"/>
  <c r="E613" i="3"/>
  <c r="C613" i="3"/>
  <c r="A613" i="3"/>
  <c r="H617" i="3"/>
  <c r="F617" i="3"/>
  <c r="D617" i="3"/>
  <c r="I617" i="3"/>
  <c r="G617" i="3"/>
  <c r="E617" i="3"/>
  <c r="C617" i="3"/>
  <c r="A617" i="3"/>
  <c r="H621" i="3"/>
  <c r="F621" i="3"/>
  <c r="D621" i="3"/>
  <c r="I621" i="3"/>
  <c r="G621" i="3"/>
  <c r="E621" i="3"/>
  <c r="C621" i="3"/>
  <c r="A621" i="3"/>
  <c r="H625" i="3"/>
  <c r="F625" i="3"/>
  <c r="D625" i="3"/>
  <c r="I625" i="3"/>
  <c r="G625" i="3"/>
  <c r="E625" i="3"/>
  <c r="C625" i="3"/>
  <c r="A625" i="3"/>
  <c r="H629" i="3"/>
  <c r="F629" i="3"/>
  <c r="D629" i="3"/>
  <c r="I629" i="3"/>
  <c r="G629" i="3"/>
  <c r="E629" i="3"/>
  <c r="C629" i="3"/>
  <c r="A629" i="3"/>
  <c r="H633" i="3"/>
  <c r="F633" i="3"/>
  <c r="D633" i="3"/>
  <c r="I633" i="3"/>
  <c r="G633" i="3"/>
  <c r="E633" i="3"/>
  <c r="C633" i="3"/>
  <c r="A633" i="3"/>
  <c r="H637" i="3"/>
  <c r="F637" i="3"/>
  <c r="D637" i="3"/>
  <c r="I637" i="3"/>
  <c r="G637" i="3"/>
  <c r="E637" i="3"/>
  <c r="C637" i="3"/>
  <c r="A637" i="3"/>
  <c r="H641" i="3"/>
  <c r="F641" i="3"/>
  <c r="D641" i="3"/>
  <c r="I641" i="3"/>
  <c r="G641" i="3"/>
  <c r="E641" i="3"/>
  <c r="C641" i="3"/>
  <c r="A641" i="3"/>
  <c r="H645" i="3"/>
  <c r="F645" i="3"/>
  <c r="D645" i="3"/>
  <c r="I645" i="3"/>
  <c r="G645" i="3"/>
  <c r="E645" i="3"/>
  <c r="C645" i="3"/>
  <c r="A645" i="3"/>
  <c r="H649" i="3"/>
  <c r="F649" i="3"/>
  <c r="D649" i="3"/>
  <c r="I649" i="3"/>
  <c r="G649" i="3"/>
  <c r="E649" i="3"/>
  <c r="C649" i="3"/>
  <c r="A649" i="3"/>
  <c r="H653" i="3"/>
  <c r="F653" i="3"/>
  <c r="D653" i="3"/>
  <c r="I653" i="3"/>
  <c r="G653" i="3"/>
  <c r="E653" i="3"/>
  <c r="C653" i="3"/>
  <c r="A653" i="3"/>
  <c r="H657" i="3"/>
  <c r="F657" i="3"/>
  <c r="D657" i="3"/>
  <c r="I657" i="3"/>
  <c r="G657" i="3"/>
  <c r="E657" i="3"/>
  <c r="C657" i="3"/>
  <c r="A657" i="3"/>
  <c r="H661" i="3"/>
  <c r="F661" i="3"/>
  <c r="D661" i="3"/>
  <c r="I661" i="3"/>
  <c r="G661" i="3"/>
  <c r="E661" i="3"/>
  <c r="C661" i="3"/>
  <c r="A661" i="3"/>
  <c r="H665" i="3"/>
  <c r="F665" i="3"/>
  <c r="D665" i="3"/>
  <c r="I665" i="3"/>
  <c r="G665" i="3"/>
  <c r="E665" i="3"/>
  <c r="C665" i="3"/>
  <c r="A665" i="3"/>
  <c r="H669" i="3"/>
  <c r="F669" i="3"/>
  <c r="D669" i="3"/>
  <c r="I669" i="3"/>
  <c r="G669" i="3"/>
  <c r="E669" i="3"/>
  <c r="C669" i="3"/>
  <c r="A669" i="3"/>
  <c r="H673" i="3"/>
  <c r="F673" i="3"/>
  <c r="D673" i="3"/>
  <c r="I673" i="3"/>
  <c r="G673" i="3"/>
  <c r="E673" i="3"/>
  <c r="C673" i="3"/>
  <c r="A673" i="3"/>
  <c r="H677" i="3"/>
  <c r="F677" i="3"/>
  <c r="D677" i="3"/>
  <c r="I677" i="3"/>
  <c r="G677" i="3"/>
  <c r="E677" i="3"/>
  <c r="C677" i="3"/>
  <c r="A677" i="3"/>
  <c r="H681" i="3"/>
  <c r="F681" i="3"/>
  <c r="D681" i="3"/>
  <c r="I681" i="3"/>
  <c r="G681" i="3"/>
  <c r="E681" i="3"/>
  <c r="C681" i="3"/>
  <c r="A681" i="3"/>
  <c r="H685" i="3"/>
  <c r="F685" i="3"/>
  <c r="D685" i="3"/>
  <c r="I685" i="3"/>
  <c r="G685" i="3"/>
  <c r="E685" i="3"/>
  <c r="C685" i="3"/>
  <c r="A685" i="3"/>
  <c r="H689" i="3"/>
  <c r="F689" i="3"/>
  <c r="D689" i="3"/>
  <c r="I689" i="3"/>
  <c r="G689" i="3"/>
  <c r="E689" i="3"/>
  <c r="C689" i="3"/>
  <c r="A689" i="3"/>
  <c r="H693" i="3"/>
  <c r="F693" i="3"/>
  <c r="D693" i="3"/>
  <c r="I693" i="3"/>
  <c r="G693" i="3"/>
  <c r="E693" i="3"/>
  <c r="C693" i="3"/>
  <c r="A693" i="3"/>
  <c r="H697" i="3"/>
  <c r="F697" i="3"/>
  <c r="D697" i="3"/>
  <c r="I697" i="3"/>
  <c r="G697" i="3"/>
  <c r="E697" i="3"/>
  <c r="C697" i="3"/>
  <c r="A697" i="3"/>
  <c r="H701" i="3"/>
  <c r="F701" i="3"/>
  <c r="D701" i="3"/>
  <c r="I701" i="3"/>
  <c r="G701" i="3"/>
  <c r="E701" i="3"/>
  <c r="C701" i="3"/>
  <c r="A701" i="3"/>
  <c r="H705" i="3"/>
  <c r="F705" i="3"/>
  <c r="D705" i="3"/>
  <c r="I705" i="3"/>
  <c r="G705" i="3"/>
  <c r="E705" i="3"/>
  <c r="C705" i="3"/>
  <c r="A705" i="3"/>
  <c r="H709" i="3"/>
  <c r="F709" i="3"/>
  <c r="D709" i="3"/>
  <c r="I709" i="3"/>
  <c r="G709" i="3"/>
  <c r="E709" i="3"/>
  <c r="C709" i="3"/>
  <c r="A709" i="3"/>
  <c r="H713" i="3"/>
  <c r="F713" i="3"/>
  <c r="D713" i="3"/>
  <c r="I713" i="3"/>
  <c r="G713" i="3"/>
  <c r="E713" i="3"/>
  <c r="C713" i="3"/>
  <c r="A713" i="3"/>
  <c r="H717" i="3"/>
  <c r="F717" i="3"/>
  <c r="D717" i="3"/>
  <c r="I717" i="3"/>
  <c r="G717" i="3"/>
  <c r="E717" i="3"/>
  <c r="C717" i="3"/>
  <c r="A717" i="3"/>
  <c r="H721" i="3"/>
  <c r="F721" i="3"/>
  <c r="D721" i="3"/>
  <c r="I721" i="3"/>
  <c r="G721" i="3"/>
  <c r="E721" i="3"/>
  <c r="C721" i="3"/>
  <c r="A721" i="3"/>
  <c r="H725" i="3"/>
  <c r="F725" i="3"/>
  <c r="D725" i="3"/>
  <c r="I725" i="3"/>
  <c r="G725" i="3"/>
  <c r="E725" i="3"/>
  <c r="C725" i="3"/>
  <c r="A725" i="3"/>
  <c r="H729" i="3"/>
  <c r="F729" i="3"/>
  <c r="D729" i="3"/>
  <c r="I729" i="3"/>
  <c r="G729" i="3"/>
  <c r="E729" i="3"/>
  <c r="C729" i="3"/>
  <c r="A729" i="3"/>
  <c r="H733" i="3"/>
  <c r="F733" i="3"/>
  <c r="D733" i="3"/>
  <c r="I733" i="3"/>
  <c r="G733" i="3"/>
  <c r="E733" i="3"/>
  <c r="C733" i="3"/>
  <c r="A733" i="3"/>
  <c r="H737" i="3"/>
  <c r="F737" i="3"/>
  <c r="D737" i="3"/>
  <c r="I737" i="3"/>
  <c r="G737" i="3"/>
  <c r="E737" i="3"/>
  <c r="C737" i="3"/>
  <c r="A737" i="3"/>
  <c r="H741" i="3"/>
  <c r="F741" i="3"/>
  <c r="D741" i="3"/>
  <c r="I741" i="3"/>
  <c r="G741" i="3"/>
  <c r="E741" i="3"/>
  <c r="C741" i="3"/>
  <c r="A741" i="3"/>
  <c r="H745" i="3"/>
  <c r="F745" i="3"/>
  <c r="D745" i="3"/>
  <c r="I745" i="3"/>
  <c r="G745" i="3"/>
  <c r="E745" i="3"/>
  <c r="C745" i="3"/>
  <c r="A745" i="3"/>
  <c r="H749" i="3"/>
  <c r="F749" i="3"/>
  <c r="D749" i="3"/>
  <c r="I749" i="3"/>
  <c r="G749" i="3"/>
  <c r="E749" i="3"/>
  <c r="C749" i="3"/>
  <c r="A749" i="3"/>
  <c r="H753" i="3"/>
  <c r="F753" i="3"/>
  <c r="D753" i="3"/>
  <c r="I753" i="3"/>
  <c r="G753" i="3"/>
  <c r="E753" i="3"/>
  <c r="C753" i="3"/>
  <c r="A753" i="3"/>
  <c r="H757" i="3"/>
  <c r="F757" i="3"/>
  <c r="D757" i="3"/>
  <c r="I757" i="3"/>
  <c r="G757" i="3"/>
  <c r="E757" i="3"/>
  <c r="C757" i="3"/>
  <c r="A757" i="3"/>
  <c r="H761" i="3"/>
  <c r="F761" i="3"/>
  <c r="D761" i="3"/>
  <c r="I761" i="3"/>
  <c r="G761" i="3"/>
  <c r="E761" i="3"/>
  <c r="C761" i="3"/>
  <c r="A761" i="3"/>
  <c r="H765" i="3"/>
  <c r="F765" i="3"/>
  <c r="D765" i="3"/>
  <c r="I765" i="3"/>
  <c r="G765" i="3"/>
  <c r="E765" i="3"/>
  <c r="C765" i="3"/>
  <c r="A765" i="3"/>
  <c r="H769" i="3"/>
  <c r="F769" i="3"/>
  <c r="D769" i="3"/>
  <c r="I769" i="3"/>
  <c r="G769" i="3"/>
  <c r="E769" i="3"/>
  <c r="C769" i="3"/>
  <c r="A769" i="3"/>
  <c r="H773" i="3"/>
  <c r="F773" i="3"/>
  <c r="D773" i="3"/>
  <c r="I773" i="3"/>
  <c r="G773" i="3"/>
  <c r="E773" i="3"/>
  <c r="C773" i="3"/>
  <c r="A773" i="3"/>
  <c r="H777" i="3"/>
  <c r="F777" i="3"/>
  <c r="D777" i="3"/>
  <c r="I777" i="3"/>
  <c r="G777" i="3"/>
  <c r="E777" i="3"/>
  <c r="C777" i="3"/>
  <c r="A777" i="3"/>
  <c r="H781" i="3"/>
  <c r="F781" i="3"/>
  <c r="D781" i="3"/>
  <c r="I781" i="3"/>
  <c r="G781" i="3"/>
  <c r="E781" i="3"/>
  <c r="C781" i="3"/>
  <c r="A781" i="3"/>
  <c r="H785" i="3"/>
  <c r="F785" i="3"/>
  <c r="D785" i="3"/>
  <c r="I785" i="3"/>
  <c r="G785" i="3"/>
  <c r="E785" i="3"/>
  <c r="C785" i="3"/>
  <c r="A785" i="3"/>
  <c r="H789" i="3"/>
  <c r="F789" i="3"/>
  <c r="D789" i="3"/>
  <c r="I789" i="3"/>
  <c r="G789" i="3"/>
  <c r="E789" i="3"/>
  <c r="C789" i="3"/>
  <c r="A789" i="3"/>
  <c r="H793" i="3"/>
  <c r="F793" i="3"/>
  <c r="D793" i="3"/>
  <c r="I793" i="3"/>
  <c r="G793" i="3"/>
  <c r="E793" i="3"/>
  <c r="C793" i="3"/>
  <c r="A793" i="3"/>
  <c r="H797" i="3"/>
  <c r="F797" i="3"/>
  <c r="D797" i="3"/>
  <c r="I797" i="3"/>
  <c r="G797" i="3"/>
  <c r="E797" i="3"/>
  <c r="C797" i="3"/>
  <c r="A797" i="3"/>
  <c r="H801" i="3"/>
  <c r="F801" i="3"/>
  <c r="D801" i="3"/>
  <c r="I801" i="3"/>
  <c r="G801" i="3"/>
  <c r="E801" i="3"/>
  <c r="C801" i="3"/>
  <c r="A801" i="3"/>
  <c r="H805" i="3"/>
  <c r="F805" i="3"/>
  <c r="D805" i="3"/>
  <c r="I805" i="3"/>
  <c r="G805" i="3"/>
  <c r="E805" i="3"/>
  <c r="C805" i="3"/>
  <c r="A805" i="3"/>
  <c r="H809" i="3"/>
  <c r="F809" i="3"/>
  <c r="D809" i="3"/>
  <c r="I809" i="3"/>
  <c r="G809" i="3"/>
  <c r="E809" i="3"/>
  <c r="C809" i="3"/>
  <c r="A809" i="3"/>
  <c r="H813" i="3"/>
  <c r="F813" i="3"/>
  <c r="D813" i="3"/>
  <c r="I813" i="3"/>
  <c r="G813" i="3"/>
  <c r="E813" i="3"/>
  <c r="C813" i="3"/>
  <c r="A813" i="3"/>
  <c r="H817" i="3"/>
  <c r="F817" i="3"/>
  <c r="D817" i="3"/>
  <c r="I817" i="3"/>
  <c r="G817" i="3"/>
  <c r="E817" i="3"/>
  <c r="C817" i="3"/>
  <c r="A817" i="3"/>
  <c r="H821" i="3"/>
  <c r="F821" i="3"/>
  <c r="D821" i="3"/>
  <c r="I821" i="3"/>
  <c r="G821" i="3"/>
  <c r="E821" i="3"/>
  <c r="C821" i="3"/>
  <c r="A821" i="3"/>
  <c r="H825" i="3"/>
  <c r="F825" i="3"/>
  <c r="D825" i="3"/>
  <c r="I825" i="3"/>
  <c r="G825" i="3"/>
  <c r="E825" i="3"/>
  <c r="C825" i="3"/>
  <c r="A825" i="3"/>
  <c r="H829" i="3"/>
  <c r="F829" i="3"/>
  <c r="D829" i="3"/>
  <c r="I829" i="3"/>
  <c r="G829" i="3"/>
  <c r="E829" i="3"/>
  <c r="C829" i="3"/>
  <c r="A829" i="3"/>
  <c r="H833" i="3"/>
  <c r="F833" i="3"/>
  <c r="D833" i="3"/>
  <c r="I833" i="3"/>
  <c r="G833" i="3"/>
  <c r="E833" i="3"/>
  <c r="C833" i="3"/>
  <c r="A833" i="3"/>
  <c r="H837" i="3"/>
  <c r="F837" i="3"/>
  <c r="D837" i="3"/>
  <c r="I837" i="3"/>
  <c r="G837" i="3"/>
  <c r="E837" i="3"/>
  <c r="C837" i="3"/>
  <c r="A837" i="3"/>
  <c r="H841" i="3"/>
  <c r="F841" i="3"/>
  <c r="D841" i="3"/>
  <c r="I841" i="3"/>
  <c r="G841" i="3"/>
  <c r="E841" i="3"/>
  <c r="C841" i="3"/>
  <c r="A841" i="3"/>
  <c r="H845" i="3"/>
  <c r="F845" i="3"/>
  <c r="D845" i="3"/>
  <c r="I845" i="3"/>
  <c r="G845" i="3"/>
  <c r="E845" i="3"/>
  <c r="C845" i="3"/>
  <c r="A845" i="3"/>
  <c r="H849" i="3"/>
  <c r="F849" i="3"/>
  <c r="D849" i="3"/>
  <c r="I849" i="3"/>
  <c r="G849" i="3"/>
  <c r="E849" i="3"/>
  <c r="C849" i="3"/>
  <c r="A849" i="3"/>
  <c r="H853" i="3"/>
  <c r="F853" i="3"/>
  <c r="D853" i="3"/>
  <c r="I853" i="3"/>
  <c r="G853" i="3"/>
  <c r="E853" i="3"/>
  <c r="C853" i="3"/>
  <c r="A853" i="3"/>
  <c r="H857" i="3"/>
  <c r="F857" i="3"/>
  <c r="D857" i="3"/>
  <c r="I857" i="3"/>
  <c r="G857" i="3"/>
  <c r="E857" i="3"/>
  <c r="C857" i="3"/>
  <c r="A857" i="3"/>
  <c r="H861" i="3"/>
  <c r="F861" i="3"/>
  <c r="D861" i="3"/>
  <c r="I861" i="3"/>
  <c r="G861" i="3"/>
  <c r="E861" i="3"/>
  <c r="C861" i="3"/>
  <c r="A861" i="3"/>
  <c r="H865" i="3"/>
  <c r="F865" i="3"/>
  <c r="D865" i="3"/>
  <c r="I865" i="3"/>
  <c r="G865" i="3"/>
  <c r="E865" i="3"/>
  <c r="C865" i="3"/>
  <c r="A865" i="3"/>
  <c r="H869" i="3"/>
  <c r="F869" i="3"/>
  <c r="D869" i="3"/>
  <c r="I869" i="3"/>
  <c r="G869" i="3"/>
  <c r="E869" i="3"/>
  <c r="C869" i="3"/>
  <c r="A869" i="3"/>
  <c r="H873" i="3"/>
  <c r="F873" i="3"/>
  <c r="D873" i="3"/>
  <c r="I873" i="3"/>
  <c r="G873" i="3"/>
  <c r="E873" i="3"/>
  <c r="C873" i="3"/>
  <c r="A873" i="3"/>
  <c r="H877" i="3"/>
  <c r="F877" i="3"/>
  <c r="D877" i="3"/>
  <c r="I877" i="3"/>
  <c r="G877" i="3"/>
  <c r="E877" i="3"/>
  <c r="C877" i="3"/>
  <c r="A877" i="3"/>
  <c r="H881" i="3"/>
  <c r="F881" i="3"/>
  <c r="D881" i="3"/>
  <c r="I881" i="3"/>
  <c r="G881" i="3"/>
  <c r="E881" i="3"/>
  <c r="C881" i="3"/>
  <c r="A881" i="3"/>
  <c r="H885" i="3"/>
  <c r="F885" i="3"/>
  <c r="D885" i="3"/>
  <c r="I885" i="3"/>
  <c r="G885" i="3"/>
  <c r="E885" i="3"/>
  <c r="C885" i="3"/>
  <c r="A885" i="3"/>
  <c r="H889" i="3"/>
  <c r="F889" i="3"/>
  <c r="D889" i="3"/>
  <c r="I889" i="3"/>
  <c r="G889" i="3"/>
  <c r="E889" i="3"/>
  <c r="C889" i="3"/>
  <c r="A889" i="3"/>
  <c r="H893" i="3"/>
  <c r="F893" i="3"/>
  <c r="D893" i="3"/>
  <c r="I893" i="3"/>
  <c r="G893" i="3"/>
  <c r="E893" i="3"/>
  <c r="C893" i="3"/>
  <c r="A893" i="3"/>
  <c r="H897" i="3"/>
  <c r="F897" i="3"/>
  <c r="D897" i="3"/>
  <c r="I897" i="3"/>
  <c r="G897" i="3"/>
  <c r="E897" i="3"/>
  <c r="C897" i="3"/>
  <c r="A897" i="3"/>
  <c r="H901" i="3"/>
  <c r="F901" i="3"/>
  <c r="D901" i="3"/>
  <c r="I901" i="3"/>
  <c r="G901" i="3"/>
  <c r="E901" i="3"/>
  <c r="C901" i="3"/>
  <c r="A901" i="3"/>
  <c r="H905" i="3"/>
  <c r="F905" i="3"/>
  <c r="D905" i="3"/>
  <c r="I905" i="3"/>
  <c r="G905" i="3"/>
  <c r="E905" i="3"/>
  <c r="C905" i="3"/>
  <c r="A905" i="3"/>
  <c r="H909" i="3"/>
  <c r="F909" i="3"/>
  <c r="D909" i="3"/>
  <c r="I909" i="3"/>
  <c r="G909" i="3"/>
  <c r="E909" i="3"/>
  <c r="C909" i="3"/>
  <c r="A909" i="3"/>
  <c r="H913" i="3"/>
  <c r="F913" i="3"/>
  <c r="D913" i="3"/>
  <c r="I913" i="3"/>
  <c r="G913" i="3"/>
  <c r="E913" i="3"/>
  <c r="C913" i="3"/>
  <c r="A913" i="3"/>
  <c r="H917" i="3"/>
  <c r="F917" i="3"/>
  <c r="D917" i="3"/>
  <c r="I917" i="3"/>
  <c r="G917" i="3"/>
  <c r="E917" i="3"/>
  <c r="C917" i="3"/>
  <c r="A917" i="3"/>
  <c r="H921" i="3"/>
  <c r="F921" i="3"/>
  <c r="D921" i="3"/>
  <c r="I921" i="3"/>
  <c r="G921" i="3"/>
  <c r="E921" i="3"/>
  <c r="C921" i="3"/>
  <c r="A921" i="3"/>
  <c r="H925" i="3"/>
  <c r="F925" i="3"/>
  <c r="D925" i="3"/>
  <c r="I925" i="3"/>
  <c r="G925" i="3"/>
  <c r="E925" i="3"/>
  <c r="C925" i="3"/>
  <c r="A925" i="3"/>
  <c r="H929" i="3"/>
  <c r="F929" i="3"/>
  <c r="D929" i="3"/>
  <c r="I929" i="3"/>
  <c r="G929" i="3"/>
  <c r="E929" i="3"/>
  <c r="C929" i="3"/>
  <c r="A929" i="3"/>
  <c r="H933" i="3"/>
  <c r="F933" i="3"/>
  <c r="D933" i="3"/>
  <c r="I933" i="3"/>
  <c r="G933" i="3"/>
  <c r="E933" i="3"/>
  <c r="C933" i="3"/>
  <c r="A933" i="3"/>
  <c r="H937" i="3"/>
  <c r="F937" i="3"/>
  <c r="D937" i="3"/>
  <c r="I937" i="3"/>
  <c r="G937" i="3"/>
  <c r="E937" i="3"/>
  <c r="C937" i="3"/>
  <c r="A937" i="3"/>
  <c r="H941" i="3"/>
  <c r="F941" i="3"/>
  <c r="D941" i="3"/>
  <c r="I941" i="3"/>
  <c r="G941" i="3"/>
  <c r="E941" i="3"/>
  <c r="C941" i="3"/>
  <c r="A941" i="3"/>
  <c r="H945" i="3"/>
  <c r="F945" i="3"/>
  <c r="D945" i="3"/>
  <c r="I945" i="3"/>
  <c r="G945" i="3"/>
  <c r="E945" i="3"/>
  <c r="C945" i="3"/>
  <c r="A945" i="3"/>
  <c r="H949" i="3"/>
  <c r="F949" i="3"/>
  <c r="D949" i="3"/>
  <c r="I949" i="3"/>
  <c r="G949" i="3"/>
  <c r="E949" i="3"/>
  <c r="C949" i="3"/>
  <c r="A949" i="3"/>
  <c r="H953" i="3"/>
  <c r="F953" i="3"/>
  <c r="D953" i="3"/>
  <c r="I953" i="3"/>
  <c r="G953" i="3"/>
  <c r="E953" i="3"/>
  <c r="C953" i="3"/>
  <c r="A953" i="3"/>
  <c r="H957" i="3"/>
  <c r="F957" i="3"/>
  <c r="D957" i="3"/>
  <c r="I957" i="3"/>
  <c r="G957" i="3"/>
  <c r="E957" i="3"/>
  <c r="C957" i="3"/>
  <c r="A957" i="3"/>
  <c r="H961" i="3"/>
  <c r="F961" i="3"/>
  <c r="D961" i="3"/>
  <c r="I961" i="3"/>
  <c r="G961" i="3"/>
  <c r="E961" i="3"/>
  <c r="C961" i="3"/>
  <c r="A961" i="3"/>
  <c r="H965" i="3"/>
  <c r="F965" i="3"/>
  <c r="D965" i="3"/>
  <c r="I965" i="3"/>
  <c r="G965" i="3"/>
  <c r="E965" i="3"/>
  <c r="C965" i="3"/>
  <c r="A965" i="3"/>
  <c r="H969" i="3"/>
  <c r="F969" i="3"/>
  <c r="D969" i="3"/>
  <c r="I969" i="3"/>
  <c r="G969" i="3"/>
  <c r="E969" i="3"/>
  <c r="C969" i="3"/>
  <c r="A969" i="3"/>
  <c r="H973" i="3"/>
  <c r="F973" i="3"/>
  <c r="D973" i="3"/>
  <c r="I973" i="3"/>
  <c r="G973" i="3"/>
  <c r="E973" i="3"/>
  <c r="C973" i="3"/>
  <c r="A973" i="3"/>
  <c r="H977" i="3"/>
  <c r="F977" i="3"/>
  <c r="D977" i="3"/>
  <c r="I977" i="3"/>
  <c r="G977" i="3"/>
  <c r="E977" i="3"/>
  <c r="C977" i="3"/>
  <c r="A977" i="3"/>
  <c r="H981" i="3"/>
  <c r="F981" i="3"/>
  <c r="D981" i="3"/>
  <c r="I981" i="3"/>
  <c r="G981" i="3"/>
  <c r="E981" i="3"/>
  <c r="C981" i="3"/>
  <c r="A981" i="3"/>
  <c r="H985" i="3"/>
  <c r="F985" i="3"/>
  <c r="D985" i="3"/>
  <c r="I985" i="3"/>
  <c r="G985" i="3"/>
  <c r="E985" i="3"/>
  <c r="C985" i="3"/>
  <c r="A985" i="3"/>
  <c r="I990" i="3"/>
  <c r="G990" i="3"/>
  <c r="E990" i="3"/>
  <c r="C990" i="3"/>
  <c r="A990" i="3"/>
  <c r="F990" i="3"/>
  <c r="H990" i="3"/>
  <c r="D990" i="3"/>
  <c r="I998" i="3"/>
  <c r="G998" i="3"/>
  <c r="E998" i="3"/>
  <c r="C998" i="3"/>
  <c r="A998" i="3"/>
  <c r="F998" i="3"/>
  <c r="H998" i="3"/>
  <c r="D998" i="3"/>
  <c r="I1006" i="3"/>
  <c r="G1006" i="3"/>
  <c r="E1006" i="3"/>
  <c r="C1006" i="3"/>
  <c r="A1006" i="3"/>
  <c r="F1006" i="3"/>
  <c r="H1006" i="3"/>
  <c r="D1006" i="3"/>
  <c r="H991" i="3"/>
  <c r="F991" i="3"/>
  <c r="D991" i="3"/>
  <c r="I991" i="3"/>
  <c r="E991" i="3"/>
  <c r="A991" i="3"/>
  <c r="G991" i="3"/>
  <c r="C991" i="3"/>
  <c r="H995" i="3"/>
  <c r="F995" i="3"/>
  <c r="D995" i="3"/>
  <c r="I995" i="3"/>
  <c r="E995" i="3"/>
  <c r="A995" i="3"/>
  <c r="G995" i="3"/>
  <c r="C995" i="3"/>
  <c r="H999" i="3"/>
  <c r="F999" i="3"/>
  <c r="D999" i="3"/>
  <c r="I999" i="3"/>
  <c r="E999" i="3"/>
  <c r="A999" i="3"/>
  <c r="G999" i="3"/>
  <c r="C999" i="3"/>
  <c r="H1003" i="3"/>
  <c r="F1003" i="3"/>
  <c r="D1003" i="3"/>
  <c r="I1003" i="3"/>
  <c r="E1003" i="3"/>
  <c r="A1003" i="3"/>
  <c r="G1003" i="3"/>
  <c r="C1003" i="3"/>
  <c r="H1007" i="3"/>
  <c r="F1007" i="3"/>
  <c r="D1007" i="3"/>
  <c r="I1007" i="3"/>
  <c r="E1007" i="3"/>
  <c r="A1007" i="3"/>
  <c r="G1007" i="3"/>
  <c r="C1007" i="3"/>
  <c r="D1045" i="3"/>
  <c r="AC9" i="5"/>
  <c r="B13" i="3" s="1"/>
  <c r="F13" i="3" s="1"/>
  <c r="AC13" i="5"/>
  <c r="B17" i="3" s="1"/>
  <c r="AC17" i="5"/>
  <c r="AC21" i="5"/>
  <c r="AC25" i="5"/>
  <c r="AC29" i="5"/>
  <c r="AC33" i="5"/>
  <c r="AC37" i="5"/>
  <c r="AC41" i="5"/>
  <c r="AC45" i="5"/>
  <c r="AC49" i="5"/>
  <c r="AC53" i="5"/>
  <c r="AC57" i="5"/>
  <c r="AC61" i="5"/>
  <c r="AC65" i="5"/>
  <c r="AC69" i="5"/>
  <c r="AC73" i="5"/>
  <c r="AC77" i="5"/>
  <c r="AC81" i="5"/>
  <c r="AC85" i="5"/>
  <c r="AC89" i="5"/>
  <c r="AC93" i="5"/>
  <c r="AC97" i="5"/>
  <c r="AC101" i="5"/>
  <c r="AC105" i="5"/>
  <c r="AC109" i="5"/>
  <c r="AC113" i="5"/>
  <c r="AC117" i="5"/>
  <c r="AC121" i="5"/>
  <c r="AC125" i="5"/>
  <c r="AC129" i="5"/>
  <c r="AC133" i="5"/>
  <c r="AC137" i="5"/>
  <c r="AC141" i="5"/>
  <c r="AC145" i="5"/>
  <c r="AC149" i="5"/>
  <c r="AC153" i="5"/>
  <c r="AC157" i="5"/>
  <c r="AC161" i="5"/>
  <c r="AC165" i="5"/>
  <c r="AC169" i="5"/>
  <c r="AC173" i="5"/>
  <c r="AC177" i="5"/>
  <c r="AC181" i="5"/>
  <c r="AC185" i="5"/>
  <c r="AC189" i="5"/>
  <c r="AC193" i="5"/>
  <c r="AC197" i="5"/>
  <c r="AC201" i="5"/>
  <c r="AC205" i="5"/>
  <c r="AC209" i="5"/>
  <c r="AC213" i="5"/>
  <c r="AC217" i="5"/>
  <c r="AC221" i="5"/>
  <c r="AC225" i="5"/>
  <c r="AC229" i="5"/>
  <c r="AC233" i="5"/>
  <c r="AC237" i="5"/>
  <c r="AC241" i="5"/>
  <c r="AC245" i="5"/>
  <c r="AC249" i="5"/>
  <c r="AC253" i="5"/>
  <c r="AC257" i="5"/>
  <c r="AC261" i="5"/>
  <c r="AC265" i="5"/>
  <c r="AC269" i="5"/>
  <c r="AC273" i="5"/>
  <c r="AC277" i="5"/>
  <c r="AC281" i="5"/>
  <c r="AC285" i="5"/>
  <c r="AC289" i="5"/>
  <c r="AC293" i="5"/>
  <c r="AC297" i="5"/>
  <c r="AC301" i="5"/>
  <c r="AC305" i="5"/>
  <c r="AC309" i="5"/>
  <c r="AC313" i="5"/>
  <c r="AC317" i="5"/>
  <c r="AC321" i="5"/>
  <c r="AC325" i="5"/>
  <c r="AC329" i="5"/>
  <c r="AC333" i="5"/>
  <c r="AC337" i="5"/>
  <c r="AC341" i="5"/>
  <c r="AC345" i="5"/>
  <c r="AC349" i="5"/>
  <c r="AC353" i="5"/>
  <c r="AC357" i="5"/>
  <c r="AC361" i="5"/>
  <c r="AC365" i="5"/>
  <c r="AC369" i="5"/>
  <c r="AC373" i="5"/>
  <c r="AC377" i="5"/>
  <c r="AC381" i="5"/>
  <c r="AC385" i="5"/>
  <c r="AC10" i="5"/>
  <c r="B14" i="3" s="1"/>
  <c r="C14" i="3" s="1"/>
  <c r="AC14" i="5"/>
  <c r="B18" i="3" s="1"/>
  <c r="AC18" i="5"/>
  <c r="AC22" i="5"/>
  <c r="AC26" i="5"/>
  <c r="AC30" i="5"/>
  <c r="AC34" i="5"/>
  <c r="AC38" i="5"/>
  <c r="AC42" i="5"/>
  <c r="AC46" i="5"/>
  <c r="AC50" i="5"/>
  <c r="AC54" i="5"/>
  <c r="AC58" i="5"/>
  <c r="AC62" i="5"/>
  <c r="AC66" i="5"/>
  <c r="AC70" i="5"/>
  <c r="AC74" i="5"/>
  <c r="AC78" i="5"/>
  <c r="AC82" i="5"/>
  <c r="AC86" i="5"/>
  <c r="AC90" i="5"/>
  <c r="AC94" i="5"/>
  <c r="AC98" i="5"/>
  <c r="AC102" i="5"/>
  <c r="AC106" i="5"/>
  <c r="AC110" i="5"/>
  <c r="AC114" i="5"/>
  <c r="AC118" i="5"/>
  <c r="AC122" i="5"/>
  <c r="AC126" i="5"/>
  <c r="AC130" i="5"/>
  <c r="AC134" i="5"/>
  <c r="AC138" i="5"/>
  <c r="AC142" i="5"/>
  <c r="AC146" i="5"/>
  <c r="AC150" i="5"/>
  <c r="AC154" i="5"/>
  <c r="AC158" i="5"/>
  <c r="AC162" i="5"/>
  <c r="AC166" i="5"/>
  <c r="AC170" i="5"/>
  <c r="AC174" i="5"/>
  <c r="AC178" i="5"/>
  <c r="AC182" i="5"/>
  <c r="AC186" i="5"/>
  <c r="AC190" i="5"/>
  <c r="AC194" i="5"/>
  <c r="AC198" i="5"/>
  <c r="AC202" i="5"/>
  <c r="AC206" i="5"/>
  <c r="AC210" i="5"/>
  <c r="AC214" i="5"/>
  <c r="AC218" i="5"/>
  <c r="AC222" i="5"/>
  <c r="AC226" i="5"/>
  <c r="AC230" i="5"/>
  <c r="AC234" i="5"/>
  <c r="AC238" i="5"/>
  <c r="AC242" i="5"/>
  <c r="AC246" i="5"/>
  <c r="AC250" i="5"/>
  <c r="AC254" i="5"/>
  <c r="AC258" i="5"/>
  <c r="AC262" i="5"/>
  <c r="AC266" i="5"/>
  <c r="AC270" i="5"/>
  <c r="AC274" i="5"/>
  <c r="AC278" i="5"/>
  <c r="AC282" i="5"/>
  <c r="AC286" i="5"/>
  <c r="AC290" i="5"/>
  <c r="AC294" i="5"/>
  <c r="AC298" i="5"/>
  <c r="AC302" i="5"/>
  <c r="AC306" i="5"/>
  <c r="AC310" i="5"/>
  <c r="AC314" i="5"/>
  <c r="AC318" i="5"/>
  <c r="AC322" i="5"/>
  <c r="AC326" i="5"/>
  <c r="AC330" i="5"/>
  <c r="AC334" i="5"/>
  <c r="AC338" i="5"/>
  <c r="AC342" i="5"/>
  <c r="AC346" i="5"/>
  <c r="AC350" i="5"/>
  <c r="AC354" i="5"/>
  <c r="AC358" i="5"/>
  <c r="AC362" i="5"/>
  <c r="AC366" i="5"/>
  <c r="AC370" i="5"/>
  <c r="AC374" i="5"/>
  <c r="AC378" i="5"/>
  <c r="AC382" i="5"/>
  <c r="AC386" i="5"/>
  <c r="AC391" i="5"/>
  <c r="AC395" i="5"/>
  <c r="AC399" i="5"/>
  <c r="AC403" i="5"/>
  <c r="AC407" i="5"/>
  <c r="AC411" i="5"/>
  <c r="AC415" i="5"/>
  <c r="AC419" i="5"/>
  <c r="AC423" i="5"/>
  <c r="AC427" i="5"/>
  <c r="AC431" i="5"/>
  <c r="AC435" i="5"/>
  <c r="AC439" i="5"/>
  <c r="AC443" i="5"/>
  <c r="AC447" i="5"/>
  <c r="AC451" i="5"/>
  <c r="AC455" i="5"/>
  <c r="AC459" i="5"/>
  <c r="AC463" i="5"/>
  <c r="AC388" i="5"/>
  <c r="AC392" i="5"/>
  <c r="AC396" i="5"/>
  <c r="AC400" i="5"/>
  <c r="AC404" i="5"/>
  <c r="AC408" i="5"/>
  <c r="AC412" i="5"/>
  <c r="AC416" i="5"/>
  <c r="AC420" i="5"/>
  <c r="AC424" i="5"/>
  <c r="AC428" i="5"/>
  <c r="AC432" i="5"/>
  <c r="AC436" i="5"/>
  <c r="AC440" i="5"/>
  <c r="AC444" i="5"/>
  <c r="AC448" i="5"/>
  <c r="AC452" i="5"/>
  <c r="AC456" i="5"/>
  <c r="AC460" i="5"/>
  <c r="AC464" i="5"/>
  <c r="AC468" i="5"/>
  <c r="AC472" i="5"/>
  <c r="AC476" i="5"/>
  <c r="AC480" i="5"/>
  <c r="AC484" i="5"/>
  <c r="AC488" i="5"/>
  <c r="AC492" i="5"/>
  <c r="AC496" i="5"/>
  <c r="AC500" i="5"/>
  <c r="AC504" i="5"/>
  <c r="AC508" i="5"/>
  <c r="AC512" i="5"/>
  <c r="AC516" i="5"/>
  <c r="AC520" i="5"/>
  <c r="AC524" i="5"/>
  <c r="AC528" i="5"/>
  <c r="AC532" i="5"/>
  <c r="AC536" i="5"/>
  <c r="AC540" i="5"/>
  <c r="AC544" i="5"/>
  <c r="AC548" i="5"/>
  <c r="AC552" i="5"/>
  <c r="AC556" i="5"/>
  <c r="AC560" i="5"/>
  <c r="AC564" i="5"/>
  <c r="AC568" i="5"/>
  <c r="AC572" i="5"/>
  <c r="AC576" i="5"/>
  <c r="AC580" i="5"/>
  <c r="AC584" i="5"/>
  <c r="AC588" i="5"/>
  <c r="AC592" i="5"/>
  <c r="AC596" i="5"/>
  <c r="AC600" i="5"/>
  <c r="AC604" i="5"/>
  <c r="AC608" i="5"/>
  <c r="AC612" i="5"/>
  <c r="AC616" i="5"/>
  <c r="AC620" i="5"/>
  <c r="AC624" i="5"/>
  <c r="AC628" i="5"/>
  <c r="AC632" i="5"/>
  <c r="AC636" i="5"/>
  <c r="AC640" i="5"/>
  <c r="AC644" i="5"/>
  <c r="AC648" i="5"/>
  <c r="AC652" i="5"/>
  <c r="AC656" i="5"/>
  <c r="AC660" i="5"/>
  <c r="AC664" i="5"/>
  <c r="AC668" i="5"/>
  <c r="AC672" i="5"/>
  <c r="AC676" i="5"/>
  <c r="AC680" i="5"/>
  <c r="AC684" i="5"/>
  <c r="AC688" i="5"/>
  <c r="AC692" i="5"/>
  <c r="AC696" i="5"/>
  <c r="AC700" i="5"/>
  <c r="AC704" i="5"/>
  <c r="AC708" i="5"/>
  <c r="AC712" i="5"/>
  <c r="AC716" i="5"/>
  <c r="AC720" i="5"/>
  <c r="AC724" i="5"/>
  <c r="AC728" i="5"/>
  <c r="AC732" i="5"/>
  <c r="AC736" i="5"/>
  <c r="AC740" i="5"/>
  <c r="AC744" i="5"/>
  <c r="AC748" i="5"/>
  <c r="AC752" i="5"/>
  <c r="AC756" i="5"/>
  <c r="AC760" i="5"/>
  <c r="AC764" i="5"/>
  <c r="AC768" i="5"/>
  <c r="AC772" i="5"/>
  <c r="AC776" i="5"/>
  <c r="AC780" i="5"/>
  <c r="AC784" i="5"/>
  <c r="AC788" i="5"/>
  <c r="AC792" i="5"/>
  <c r="AC796" i="5"/>
  <c r="AC800" i="5"/>
  <c r="AC804" i="5"/>
  <c r="AC808" i="5"/>
  <c r="AC812" i="5"/>
  <c r="AC816" i="5"/>
  <c r="AC820" i="5"/>
  <c r="AC824" i="5"/>
  <c r="AC467" i="5"/>
  <c r="AC471" i="5"/>
  <c r="AC475" i="5"/>
  <c r="AC479" i="5"/>
  <c r="AC483" i="5"/>
  <c r="AC487" i="5"/>
  <c r="AC491" i="5"/>
  <c r="AC495" i="5"/>
  <c r="AC499" i="5"/>
  <c r="AC503" i="5"/>
  <c r="AC507" i="5"/>
  <c r="AC511" i="5"/>
  <c r="AC515" i="5"/>
  <c r="AC519" i="5"/>
  <c r="AC523" i="5"/>
  <c r="AC527" i="5"/>
  <c r="AC531" i="5"/>
  <c r="AC535" i="5"/>
  <c r="AC539" i="5"/>
  <c r="AC543" i="5"/>
  <c r="AC547" i="5"/>
  <c r="AC551" i="5"/>
  <c r="AC555" i="5"/>
  <c r="AC559" i="5"/>
  <c r="AC563" i="5"/>
  <c r="AC567" i="5"/>
  <c r="AC571" i="5"/>
  <c r="AC575" i="5"/>
  <c r="AC579" i="5"/>
  <c r="AC583" i="5"/>
  <c r="AC587" i="5"/>
  <c r="AC591" i="5"/>
  <c r="AC595" i="5"/>
  <c r="AC599" i="5"/>
  <c r="AC603" i="5"/>
  <c r="AC607" i="5"/>
  <c r="AC611" i="5"/>
  <c r="AC615" i="5"/>
  <c r="AC619" i="5"/>
  <c r="AC623" i="5"/>
  <c r="AC627" i="5"/>
  <c r="AC631" i="5"/>
  <c r="AC635" i="5"/>
  <c r="AC639" i="5"/>
  <c r="AC643" i="5"/>
  <c r="AC647" i="5"/>
  <c r="AC651" i="5"/>
  <c r="AC655" i="5"/>
  <c r="AC659" i="5"/>
  <c r="AC663" i="5"/>
  <c r="AC667" i="5"/>
  <c r="AC671" i="5"/>
  <c r="AC675" i="5"/>
  <c r="AC679" i="5"/>
  <c r="AC683" i="5"/>
  <c r="AC687" i="5"/>
  <c r="AC691" i="5"/>
  <c r="AC695" i="5"/>
  <c r="AC699" i="5"/>
  <c r="AC703" i="5"/>
  <c r="AC707" i="5"/>
  <c r="AC711" i="5"/>
  <c r="AC715" i="5"/>
  <c r="AC719" i="5"/>
  <c r="AC723" i="5"/>
  <c r="AC727" i="5"/>
  <c r="AC731" i="5"/>
  <c r="AC735" i="5"/>
  <c r="AC739" i="5"/>
  <c r="AC743" i="5"/>
  <c r="AC747" i="5"/>
  <c r="AC751" i="5"/>
  <c r="AC755" i="5"/>
  <c r="AC759" i="5"/>
  <c r="AC763" i="5"/>
  <c r="AC767" i="5"/>
  <c r="AC771" i="5"/>
  <c r="AC775" i="5"/>
  <c r="AC779" i="5"/>
  <c r="AC783" i="5"/>
  <c r="AC787" i="5"/>
  <c r="AC791" i="5"/>
  <c r="AC795" i="5"/>
  <c r="AC799" i="5"/>
  <c r="AC803" i="5"/>
  <c r="AC807" i="5"/>
  <c r="AC811" i="5"/>
  <c r="AC815" i="5"/>
  <c r="AC819" i="5"/>
  <c r="AC823" i="5"/>
  <c r="AC827" i="5"/>
  <c r="AC831" i="5"/>
  <c r="AC835" i="5"/>
  <c r="AC839" i="5"/>
  <c r="AC843" i="5"/>
  <c r="AC847" i="5"/>
  <c r="AC851" i="5"/>
  <c r="AC855" i="5"/>
  <c r="AC859" i="5"/>
  <c r="AC863" i="5"/>
  <c r="AC867" i="5"/>
  <c r="AC871" i="5"/>
  <c r="AC875" i="5"/>
  <c r="AC879" i="5"/>
  <c r="AC883" i="5"/>
  <c r="AC887" i="5"/>
  <c r="AC891" i="5"/>
  <c r="AC895" i="5"/>
  <c r="AC899" i="5"/>
  <c r="AC903" i="5"/>
  <c r="AC907" i="5"/>
  <c r="AC911" i="5"/>
  <c r="AC915" i="5"/>
  <c r="AC919" i="5"/>
  <c r="AC923" i="5"/>
  <c r="AC927" i="5"/>
  <c r="AC931" i="5"/>
  <c r="AC935" i="5"/>
  <c r="AC939" i="5"/>
  <c r="AC943" i="5"/>
  <c r="AC947" i="5"/>
  <c r="AC951" i="5"/>
  <c r="AC955" i="5"/>
  <c r="AC959" i="5"/>
  <c r="AC963" i="5"/>
  <c r="AC967" i="5"/>
  <c r="AC830" i="5"/>
  <c r="AC834" i="5"/>
  <c r="AC838" i="5"/>
  <c r="AC842" i="5"/>
  <c r="AC846" i="5"/>
  <c r="AC850" i="5"/>
  <c r="AC854" i="5"/>
  <c r="AC858" i="5"/>
  <c r="AC862" i="5"/>
  <c r="AC866" i="5"/>
  <c r="AC870" i="5"/>
  <c r="AC874" i="5"/>
  <c r="AC878" i="5"/>
  <c r="AC882" i="5"/>
  <c r="AC886" i="5"/>
  <c r="AC890" i="5"/>
  <c r="AC894" i="5"/>
  <c r="AC898" i="5"/>
  <c r="AC902" i="5"/>
  <c r="AC906" i="5"/>
  <c r="AC910" i="5"/>
  <c r="AC914" i="5"/>
  <c r="AC918" i="5"/>
  <c r="AC922" i="5"/>
  <c r="AC926" i="5"/>
  <c r="AC930" i="5"/>
  <c r="AC934" i="5"/>
  <c r="AC938" i="5"/>
  <c r="AC942" i="5"/>
  <c r="AC946" i="5"/>
  <c r="AC950" i="5"/>
  <c r="AC954" i="5"/>
  <c r="AC958" i="5"/>
  <c r="AC962" i="5"/>
  <c r="AC966" i="5"/>
  <c r="AC969" i="5"/>
  <c r="AC973" i="5"/>
  <c r="AC977" i="5"/>
  <c r="AC981" i="5"/>
  <c r="AC985" i="5"/>
  <c r="AC989" i="5"/>
  <c r="AC993" i="5"/>
  <c r="AC997" i="5"/>
  <c r="AC1001" i="5"/>
  <c r="AC1005" i="5"/>
  <c r="AC972" i="5"/>
  <c r="AC976" i="5"/>
  <c r="AC980" i="5"/>
  <c r="AC984" i="5"/>
  <c r="AC988" i="5"/>
  <c r="AC992" i="5"/>
  <c r="AC996" i="5"/>
  <c r="AC1000" i="5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G12" i="3"/>
  <c r="E12" i="3"/>
  <c r="C12" i="3"/>
  <c r="A12" i="3"/>
  <c r="F12" i="3"/>
  <c r="D12" i="3"/>
  <c r="G16" i="3"/>
  <c r="E16" i="3"/>
  <c r="C16" i="3"/>
  <c r="A16" i="3"/>
  <c r="F16" i="3"/>
  <c r="D16" i="3"/>
  <c r="I20" i="3"/>
  <c r="G20" i="3"/>
  <c r="E20" i="3"/>
  <c r="C20" i="3"/>
  <c r="A20" i="3"/>
  <c r="H20" i="3"/>
  <c r="F20" i="3"/>
  <c r="D20" i="3"/>
  <c r="I24" i="3"/>
  <c r="G24" i="3"/>
  <c r="E24" i="3"/>
  <c r="C24" i="3"/>
  <c r="A24" i="3"/>
  <c r="H24" i="3"/>
  <c r="F24" i="3"/>
  <c r="D24" i="3"/>
  <c r="I28" i="3"/>
  <c r="G28" i="3"/>
  <c r="E28" i="3"/>
  <c r="C28" i="3"/>
  <c r="A28" i="3"/>
  <c r="H28" i="3"/>
  <c r="F28" i="3"/>
  <c r="D28" i="3"/>
  <c r="I32" i="3"/>
  <c r="G32" i="3"/>
  <c r="E32" i="3"/>
  <c r="C32" i="3"/>
  <c r="A32" i="3"/>
  <c r="H32" i="3"/>
  <c r="F32" i="3"/>
  <c r="D32" i="3"/>
  <c r="I36" i="3"/>
  <c r="G36" i="3"/>
  <c r="E36" i="3"/>
  <c r="C36" i="3"/>
  <c r="A36" i="3"/>
  <c r="H36" i="3"/>
  <c r="F36" i="3"/>
  <c r="D36" i="3"/>
  <c r="I40" i="3"/>
  <c r="G40" i="3"/>
  <c r="E40" i="3"/>
  <c r="C40" i="3"/>
  <c r="A40" i="3"/>
  <c r="H40" i="3"/>
  <c r="F40" i="3"/>
  <c r="D40" i="3"/>
  <c r="I44" i="3"/>
  <c r="G44" i="3"/>
  <c r="E44" i="3"/>
  <c r="C44" i="3"/>
  <c r="A44" i="3"/>
  <c r="H44" i="3"/>
  <c r="F44" i="3"/>
  <c r="D44" i="3"/>
  <c r="I48" i="3"/>
  <c r="G48" i="3"/>
  <c r="E48" i="3"/>
  <c r="C48" i="3"/>
  <c r="A48" i="3"/>
  <c r="H48" i="3"/>
  <c r="F48" i="3"/>
  <c r="D48" i="3"/>
  <c r="I52" i="3"/>
  <c r="G52" i="3"/>
  <c r="E52" i="3"/>
  <c r="C52" i="3"/>
  <c r="A52" i="3"/>
  <c r="H52" i="3"/>
  <c r="F52" i="3"/>
  <c r="D52" i="3"/>
  <c r="I56" i="3"/>
  <c r="G56" i="3"/>
  <c r="E56" i="3"/>
  <c r="C56" i="3"/>
  <c r="A56" i="3"/>
  <c r="H56" i="3"/>
  <c r="F56" i="3"/>
  <c r="D56" i="3"/>
  <c r="I60" i="3"/>
  <c r="G60" i="3"/>
  <c r="E60" i="3"/>
  <c r="C60" i="3"/>
  <c r="A60" i="3"/>
  <c r="H60" i="3"/>
  <c r="F60" i="3"/>
  <c r="D60" i="3"/>
  <c r="I64" i="3"/>
  <c r="G64" i="3"/>
  <c r="E64" i="3"/>
  <c r="C64" i="3"/>
  <c r="A64" i="3"/>
  <c r="H64" i="3"/>
  <c r="F64" i="3"/>
  <c r="D64" i="3"/>
  <c r="I68" i="3"/>
  <c r="G68" i="3"/>
  <c r="E68" i="3"/>
  <c r="C68" i="3"/>
  <c r="A68" i="3"/>
  <c r="H68" i="3"/>
  <c r="F68" i="3"/>
  <c r="D68" i="3"/>
  <c r="I72" i="3"/>
  <c r="G72" i="3"/>
  <c r="E72" i="3"/>
  <c r="C72" i="3"/>
  <c r="A72" i="3"/>
  <c r="H72" i="3"/>
  <c r="F72" i="3"/>
  <c r="D72" i="3"/>
  <c r="I76" i="3"/>
  <c r="G76" i="3"/>
  <c r="E76" i="3"/>
  <c r="C76" i="3"/>
  <c r="A76" i="3"/>
  <c r="H76" i="3"/>
  <c r="F76" i="3"/>
  <c r="D76" i="3"/>
  <c r="I80" i="3"/>
  <c r="G80" i="3"/>
  <c r="E80" i="3"/>
  <c r="C80" i="3"/>
  <c r="A80" i="3"/>
  <c r="H80" i="3"/>
  <c r="F80" i="3"/>
  <c r="D80" i="3"/>
  <c r="I84" i="3"/>
  <c r="G84" i="3"/>
  <c r="E84" i="3"/>
  <c r="C84" i="3"/>
  <c r="A84" i="3"/>
  <c r="H84" i="3"/>
  <c r="F84" i="3"/>
  <c r="D84" i="3"/>
  <c r="I88" i="3"/>
  <c r="G88" i="3"/>
  <c r="E88" i="3"/>
  <c r="C88" i="3"/>
  <c r="A88" i="3"/>
  <c r="H88" i="3"/>
  <c r="F88" i="3"/>
  <c r="D88" i="3"/>
  <c r="I92" i="3"/>
  <c r="G92" i="3"/>
  <c r="E92" i="3"/>
  <c r="C92" i="3"/>
  <c r="A92" i="3"/>
  <c r="H92" i="3"/>
  <c r="F92" i="3"/>
  <c r="D92" i="3"/>
  <c r="I96" i="3"/>
  <c r="G96" i="3"/>
  <c r="E96" i="3"/>
  <c r="C96" i="3"/>
  <c r="A96" i="3"/>
  <c r="H96" i="3"/>
  <c r="F96" i="3"/>
  <c r="D96" i="3"/>
  <c r="I100" i="3"/>
  <c r="G100" i="3"/>
  <c r="E100" i="3"/>
  <c r="C100" i="3"/>
  <c r="A100" i="3"/>
  <c r="H100" i="3"/>
  <c r="F100" i="3"/>
  <c r="D100" i="3"/>
  <c r="I104" i="3"/>
  <c r="G104" i="3"/>
  <c r="E104" i="3"/>
  <c r="C104" i="3"/>
  <c r="A104" i="3"/>
  <c r="H104" i="3"/>
  <c r="F104" i="3"/>
  <c r="D104" i="3"/>
  <c r="I108" i="3"/>
  <c r="G108" i="3"/>
  <c r="E108" i="3"/>
  <c r="C108" i="3"/>
  <c r="A108" i="3"/>
  <c r="H108" i="3"/>
  <c r="F108" i="3"/>
  <c r="D108" i="3"/>
  <c r="I112" i="3"/>
  <c r="G112" i="3"/>
  <c r="E112" i="3"/>
  <c r="C112" i="3"/>
  <c r="A112" i="3"/>
  <c r="H112" i="3"/>
  <c r="F112" i="3"/>
  <c r="D112" i="3"/>
  <c r="I116" i="3"/>
  <c r="G116" i="3"/>
  <c r="E116" i="3"/>
  <c r="C116" i="3"/>
  <c r="A116" i="3"/>
  <c r="H116" i="3"/>
  <c r="F116" i="3"/>
  <c r="D116" i="3"/>
  <c r="I120" i="3"/>
  <c r="G120" i="3"/>
  <c r="E120" i="3"/>
  <c r="C120" i="3"/>
  <c r="A120" i="3"/>
  <c r="H120" i="3"/>
  <c r="F120" i="3"/>
  <c r="D120" i="3"/>
  <c r="I124" i="3"/>
  <c r="G124" i="3"/>
  <c r="E124" i="3"/>
  <c r="C124" i="3"/>
  <c r="A124" i="3"/>
  <c r="H124" i="3"/>
  <c r="F124" i="3"/>
  <c r="D124" i="3"/>
  <c r="I128" i="3"/>
  <c r="G128" i="3"/>
  <c r="E128" i="3"/>
  <c r="C128" i="3"/>
  <c r="A128" i="3"/>
  <c r="H128" i="3"/>
  <c r="F128" i="3"/>
  <c r="D128" i="3"/>
  <c r="I132" i="3"/>
  <c r="G132" i="3"/>
  <c r="E132" i="3"/>
  <c r="C132" i="3"/>
  <c r="A132" i="3"/>
  <c r="H132" i="3"/>
  <c r="F132" i="3"/>
  <c r="D132" i="3"/>
  <c r="I136" i="3"/>
  <c r="G136" i="3"/>
  <c r="E136" i="3"/>
  <c r="C136" i="3"/>
  <c r="A136" i="3"/>
  <c r="H136" i="3"/>
  <c r="F136" i="3"/>
  <c r="D136" i="3"/>
  <c r="I140" i="3"/>
  <c r="G140" i="3"/>
  <c r="E140" i="3"/>
  <c r="C140" i="3"/>
  <c r="A140" i="3"/>
  <c r="H140" i="3"/>
  <c r="F140" i="3"/>
  <c r="D140" i="3"/>
  <c r="I144" i="3"/>
  <c r="G144" i="3"/>
  <c r="E144" i="3"/>
  <c r="C144" i="3"/>
  <c r="A144" i="3"/>
  <c r="H144" i="3"/>
  <c r="F144" i="3"/>
  <c r="D144" i="3"/>
  <c r="I148" i="3"/>
  <c r="G148" i="3"/>
  <c r="E148" i="3"/>
  <c r="C148" i="3"/>
  <c r="A148" i="3"/>
  <c r="H148" i="3"/>
  <c r="F148" i="3"/>
  <c r="D148" i="3"/>
  <c r="I152" i="3"/>
  <c r="G152" i="3"/>
  <c r="E152" i="3"/>
  <c r="C152" i="3"/>
  <c r="A152" i="3"/>
  <c r="H152" i="3"/>
  <c r="F152" i="3"/>
  <c r="D152" i="3"/>
  <c r="I156" i="3"/>
  <c r="G156" i="3"/>
  <c r="E156" i="3"/>
  <c r="C156" i="3"/>
  <c r="A156" i="3"/>
  <c r="H156" i="3"/>
  <c r="F156" i="3"/>
  <c r="D156" i="3"/>
  <c r="I160" i="3"/>
  <c r="G160" i="3"/>
  <c r="E160" i="3"/>
  <c r="C160" i="3"/>
  <c r="A160" i="3"/>
  <c r="H160" i="3"/>
  <c r="F160" i="3"/>
  <c r="D160" i="3"/>
  <c r="I164" i="3"/>
  <c r="G164" i="3"/>
  <c r="E164" i="3"/>
  <c r="C164" i="3"/>
  <c r="A164" i="3"/>
  <c r="H164" i="3"/>
  <c r="F164" i="3"/>
  <c r="D164" i="3"/>
  <c r="I168" i="3"/>
  <c r="G168" i="3"/>
  <c r="E168" i="3"/>
  <c r="C168" i="3"/>
  <c r="A168" i="3"/>
  <c r="H168" i="3"/>
  <c r="F168" i="3"/>
  <c r="D168" i="3"/>
  <c r="I172" i="3"/>
  <c r="G172" i="3"/>
  <c r="E172" i="3"/>
  <c r="C172" i="3"/>
  <c r="A172" i="3"/>
  <c r="H172" i="3"/>
  <c r="F172" i="3"/>
  <c r="D172" i="3"/>
  <c r="I176" i="3"/>
  <c r="G176" i="3"/>
  <c r="E176" i="3"/>
  <c r="C176" i="3"/>
  <c r="A176" i="3"/>
  <c r="H176" i="3"/>
  <c r="F176" i="3"/>
  <c r="D176" i="3"/>
  <c r="I180" i="3"/>
  <c r="G180" i="3"/>
  <c r="E180" i="3"/>
  <c r="C180" i="3"/>
  <c r="A180" i="3"/>
  <c r="H180" i="3"/>
  <c r="F180" i="3"/>
  <c r="D180" i="3"/>
  <c r="I184" i="3"/>
  <c r="G184" i="3"/>
  <c r="E184" i="3"/>
  <c r="C184" i="3"/>
  <c r="A184" i="3"/>
  <c r="H184" i="3"/>
  <c r="F184" i="3"/>
  <c r="D184" i="3"/>
  <c r="I188" i="3"/>
  <c r="G188" i="3"/>
  <c r="E188" i="3"/>
  <c r="C188" i="3"/>
  <c r="A188" i="3"/>
  <c r="H188" i="3"/>
  <c r="F188" i="3"/>
  <c r="D188" i="3"/>
  <c r="I192" i="3"/>
  <c r="G192" i="3"/>
  <c r="E192" i="3"/>
  <c r="C192" i="3"/>
  <c r="A192" i="3"/>
  <c r="H192" i="3"/>
  <c r="F192" i="3"/>
  <c r="D192" i="3"/>
  <c r="I196" i="3"/>
  <c r="G196" i="3"/>
  <c r="E196" i="3"/>
  <c r="C196" i="3"/>
  <c r="A196" i="3"/>
  <c r="H196" i="3"/>
  <c r="F196" i="3"/>
  <c r="D196" i="3"/>
  <c r="I200" i="3"/>
  <c r="G200" i="3"/>
  <c r="E200" i="3"/>
  <c r="C200" i="3"/>
  <c r="A200" i="3"/>
  <c r="H200" i="3"/>
  <c r="F200" i="3"/>
  <c r="D200" i="3"/>
  <c r="I204" i="3"/>
  <c r="G204" i="3"/>
  <c r="E204" i="3"/>
  <c r="C204" i="3"/>
  <c r="A204" i="3"/>
  <c r="H204" i="3"/>
  <c r="F204" i="3"/>
  <c r="D204" i="3"/>
  <c r="I208" i="3"/>
  <c r="G208" i="3"/>
  <c r="E208" i="3"/>
  <c r="C208" i="3"/>
  <c r="A208" i="3"/>
  <c r="H208" i="3"/>
  <c r="F208" i="3"/>
  <c r="D208" i="3"/>
  <c r="I212" i="3"/>
  <c r="G212" i="3"/>
  <c r="E212" i="3"/>
  <c r="C212" i="3"/>
  <c r="A212" i="3"/>
  <c r="H212" i="3"/>
  <c r="F212" i="3"/>
  <c r="D212" i="3"/>
  <c r="I216" i="3"/>
  <c r="G216" i="3"/>
  <c r="E216" i="3"/>
  <c r="C216" i="3"/>
  <c r="A216" i="3"/>
  <c r="H216" i="3"/>
  <c r="F216" i="3"/>
  <c r="D216" i="3"/>
  <c r="I220" i="3"/>
  <c r="G220" i="3"/>
  <c r="E220" i="3"/>
  <c r="C220" i="3"/>
  <c r="A220" i="3"/>
  <c r="H220" i="3"/>
  <c r="F220" i="3"/>
  <c r="D220" i="3"/>
  <c r="I224" i="3"/>
  <c r="G224" i="3"/>
  <c r="E224" i="3"/>
  <c r="C224" i="3"/>
  <c r="A224" i="3"/>
  <c r="H224" i="3"/>
  <c r="F224" i="3"/>
  <c r="D224" i="3"/>
  <c r="I228" i="3"/>
  <c r="G228" i="3"/>
  <c r="E228" i="3"/>
  <c r="C228" i="3"/>
  <c r="A228" i="3"/>
  <c r="H228" i="3"/>
  <c r="F228" i="3"/>
  <c r="D228" i="3"/>
  <c r="I232" i="3"/>
  <c r="G232" i="3"/>
  <c r="E232" i="3"/>
  <c r="C232" i="3"/>
  <c r="A232" i="3"/>
  <c r="H232" i="3"/>
  <c r="F232" i="3"/>
  <c r="D232" i="3"/>
  <c r="I236" i="3"/>
  <c r="G236" i="3"/>
  <c r="E236" i="3"/>
  <c r="C236" i="3"/>
  <c r="A236" i="3"/>
  <c r="H236" i="3"/>
  <c r="F236" i="3"/>
  <c r="D236" i="3"/>
  <c r="I240" i="3"/>
  <c r="G240" i="3"/>
  <c r="E240" i="3"/>
  <c r="C240" i="3"/>
  <c r="A240" i="3"/>
  <c r="H240" i="3"/>
  <c r="F240" i="3"/>
  <c r="D240" i="3"/>
  <c r="I244" i="3"/>
  <c r="G244" i="3"/>
  <c r="E244" i="3"/>
  <c r="C244" i="3"/>
  <c r="A244" i="3"/>
  <c r="H244" i="3"/>
  <c r="F244" i="3"/>
  <c r="D244" i="3"/>
  <c r="I248" i="3"/>
  <c r="G248" i="3"/>
  <c r="E248" i="3"/>
  <c r="C248" i="3"/>
  <c r="A248" i="3"/>
  <c r="H248" i="3"/>
  <c r="F248" i="3"/>
  <c r="D248" i="3"/>
  <c r="I252" i="3"/>
  <c r="G252" i="3"/>
  <c r="E252" i="3"/>
  <c r="C252" i="3"/>
  <c r="A252" i="3"/>
  <c r="H252" i="3"/>
  <c r="F252" i="3"/>
  <c r="D252" i="3"/>
  <c r="I256" i="3"/>
  <c r="G256" i="3"/>
  <c r="E256" i="3"/>
  <c r="C256" i="3"/>
  <c r="A256" i="3"/>
  <c r="H256" i="3"/>
  <c r="F256" i="3"/>
  <c r="D256" i="3"/>
  <c r="I260" i="3"/>
  <c r="G260" i="3"/>
  <c r="E260" i="3"/>
  <c r="C260" i="3"/>
  <c r="A260" i="3"/>
  <c r="H260" i="3"/>
  <c r="F260" i="3"/>
  <c r="D260" i="3"/>
  <c r="I264" i="3"/>
  <c r="G264" i="3"/>
  <c r="E264" i="3"/>
  <c r="C264" i="3"/>
  <c r="A264" i="3"/>
  <c r="H264" i="3"/>
  <c r="F264" i="3"/>
  <c r="D264" i="3"/>
  <c r="I268" i="3"/>
  <c r="G268" i="3"/>
  <c r="E268" i="3"/>
  <c r="C268" i="3"/>
  <c r="A268" i="3"/>
  <c r="H268" i="3"/>
  <c r="F268" i="3"/>
  <c r="D268" i="3"/>
  <c r="I272" i="3"/>
  <c r="G272" i="3"/>
  <c r="E272" i="3"/>
  <c r="C272" i="3"/>
  <c r="A272" i="3"/>
  <c r="H272" i="3"/>
  <c r="F272" i="3"/>
  <c r="D272" i="3"/>
  <c r="I276" i="3"/>
  <c r="G276" i="3"/>
  <c r="E276" i="3"/>
  <c r="C276" i="3"/>
  <c r="A276" i="3"/>
  <c r="H276" i="3"/>
  <c r="F276" i="3"/>
  <c r="D276" i="3"/>
  <c r="I280" i="3"/>
  <c r="G280" i="3"/>
  <c r="E280" i="3"/>
  <c r="C280" i="3"/>
  <c r="A280" i="3"/>
  <c r="H280" i="3"/>
  <c r="F280" i="3"/>
  <c r="D280" i="3"/>
  <c r="I284" i="3"/>
  <c r="G284" i="3"/>
  <c r="E284" i="3"/>
  <c r="C284" i="3"/>
  <c r="A284" i="3"/>
  <c r="H284" i="3"/>
  <c r="F284" i="3"/>
  <c r="D284" i="3"/>
  <c r="I288" i="3"/>
  <c r="G288" i="3"/>
  <c r="E288" i="3"/>
  <c r="C288" i="3"/>
  <c r="A288" i="3"/>
  <c r="H288" i="3"/>
  <c r="F288" i="3"/>
  <c r="D288" i="3"/>
  <c r="I292" i="3"/>
  <c r="G292" i="3"/>
  <c r="E292" i="3"/>
  <c r="C292" i="3"/>
  <c r="A292" i="3"/>
  <c r="H292" i="3"/>
  <c r="F292" i="3"/>
  <c r="D292" i="3"/>
  <c r="I296" i="3"/>
  <c r="G296" i="3"/>
  <c r="E296" i="3"/>
  <c r="C296" i="3"/>
  <c r="A296" i="3"/>
  <c r="H296" i="3"/>
  <c r="F296" i="3"/>
  <c r="D296" i="3"/>
  <c r="I300" i="3"/>
  <c r="G300" i="3"/>
  <c r="E300" i="3"/>
  <c r="C300" i="3"/>
  <c r="A300" i="3"/>
  <c r="H300" i="3"/>
  <c r="F300" i="3"/>
  <c r="D300" i="3"/>
  <c r="I304" i="3"/>
  <c r="G304" i="3"/>
  <c r="E304" i="3"/>
  <c r="C304" i="3"/>
  <c r="A304" i="3"/>
  <c r="H304" i="3"/>
  <c r="F304" i="3"/>
  <c r="D304" i="3"/>
  <c r="I308" i="3"/>
  <c r="G308" i="3"/>
  <c r="E308" i="3"/>
  <c r="C308" i="3"/>
  <c r="A308" i="3"/>
  <c r="H308" i="3"/>
  <c r="F308" i="3"/>
  <c r="D308" i="3"/>
  <c r="I312" i="3"/>
  <c r="G312" i="3"/>
  <c r="E312" i="3"/>
  <c r="C312" i="3"/>
  <c r="A312" i="3"/>
  <c r="H312" i="3"/>
  <c r="F312" i="3"/>
  <c r="D312" i="3"/>
  <c r="I316" i="3"/>
  <c r="G316" i="3"/>
  <c r="E316" i="3"/>
  <c r="C316" i="3"/>
  <c r="A316" i="3"/>
  <c r="H316" i="3"/>
  <c r="F316" i="3"/>
  <c r="D316" i="3"/>
  <c r="I320" i="3"/>
  <c r="G320" i="3"/>
  <c r="E320" i="3"/>
  <c r="C320" i="3"/>
  <c r="A320" i="3"/>
  <c r="H320" i="3"/>
  <c r="F320" i="3"/>
  <c r="D320" i="3"/>
  <c r="I324" i="3"/>
  <c r="G324" i="3"/>
  <c r="E324" i="3"/>
  <c r="C324" i="3"/>
  <c r="A324" i="3"/>
  <c r="H324" i="3"/>
  <c r="F324" i="3"/>
  <c r="D324" i="3"/>
  <c r="I328" i="3"/>
  <c r="G328" i="3"/>
  <c r="E328" i="3"/>
  <c r="C328" i="3"/>
  <c r="A328" i="3"/>
  <c r="H328" i="3"/>
  <c r="F328" i="3"/>
  <c r="D328" i="3"/>
  <c r="I332" i="3"/>
  <c r="G332" i="3"/>
  <c r="E332" i="3"/>
  <c r="C332" i="3"/>
  <c r="A332" i="3"/>
  <c r="H332" i="3"/>
  <c r="F332" i="3"/>
  <c r="D332" i="3"/>
  <c r="I336" i="3"/>
  <c r="G336" i="3"/>
  <c r="E336" i="3"/>
  <c r="C336" i="3"/>
  <c r="A336" i="3"/>
  <c r="H336" i="3"/>
  <c r="F336" i="3"/>
  <c r="D336" i="3"/>
  <c r="I340" i="3"/>
  <c r="G340" i="3"/>
  <c r="E340" i="3"/>
  <c r="C340" i="3"/>
  <c r="A340" i="3"/>
  <c r="H340" i="3"/>
  <c r="F340" i="3"/>
  <c r="D340" i="3"/>
  <c r="I344" i="3"/>
  <c r="G344" i="3"/>
  <c r="E344" i="3"/>
  <c r="C344" i="3"/>
  <c r="A344" i="3"/>
  <c r="H344" i="3"/>
  <c r="F344" i="3"/>
  <c r="D344" i="3"/>
  <c r="I348" i="3"/>
  <c r="G348" i="3"/>
  <c r="E348" i="3"/>
  <c r="C348" i="3"/>
  <c r="A348" i="3"/>
  <c r="H348" i="3"/>
  <c r="F348" i="3"/>
  <c r="D348" i="3"/>
  <c r="I352" i="3"/>
  <c r="G352" i="3"/>
  <c r="E352" i="3"/>
  <c r="C352" i="3"/>
  <c r="A352" i="3"/>
  <c r="H352" i="3"/>
  <c r="F352" i="3"/>
  <c r="D352" i="3"/>
  <c r="I356" i="3"/>
  <c r="G356" i="3"/>
  <c r="E356" i="3"/>
  <c r="C356" i="3"/>
  <c r="A356" i="3"/>
  <c r="H356" i="3"/>
  <c r="F356" i="3"/>
  <c r="D356" i="3"/>
  <c r="I360" i="3"/>
  <c r="G360" i="3"/>
  <c r="E360" i="3"/>
  <c r="C360" i="3"/>
  <c r="A360" i="3"/>
  <c r="H360" i="3"/>
  <c r="F360" i="3"/>
  <c r="D360" i="3"/>
  <c r="I364" i="3"/>
  <c r="G364" i="3"/>
  <c r="E364" i="3"/>
  <c r="C364" i="3"/>
  <c r="A364" i="3"/>
  <c r="H364" i="3"/>
  <c r="F364" i="3"/>
  <c r="D364" i="3"/>
  <c r="I368" i="3"/>
  <c r="G368" i="3"/>
  <c r="E368" i="3"/>
  <c r="C368" i="3"/>
  <c r="A368" i="3"/>
  <c r="H368" i="3"/>
  <c r="F368" i="3"/>
  <c r="D368" i="3"/>
  <c r="I372" i="3"/>
  <c r="G372" i="3"/>
  <c r="E372" i="3"/>
  <c r="C372" i="3"/>
  <c r="A372" i="3"/>
  <c r="H372" i="3"/>
  <c r="F372" i="3"/>
  <c r="D372" i="3"/>
  <c r="I376" i="3"/>
  <c r="G376" i="3"/>
  <c r="E376" i="3"/>
  <c r="C376" i="3"/>
  <c r="A376" i="3"/>
  <c r="H376" i="3"/>
  <c r="F376" i="3"/>
  <c r="D376" i="3"/>
  <c r="I380" i="3"/>
  <c r="G380" i="3"/>
  <c r="E380" i="3"/>
  <c r="C380" i="3"/>
  <c r="A380" i="3"/>
  <c r="H380" i="3"/>
  <c r="F380" i="3"/>
  <c r="D380" i="3"/>
  <c r="I384" i="3"/>
  <c r="G384" i="3"/>
  <c r="E384" i="3"/>
  <c r="C384" i="3"/>
  <c r="A384" i="3"/>
  <c r="H384" i="3"/>
  <c r="F384" i="3"/>
  <c r="D384" i="3"/>
  <c r="I388" i="3"/>
  <c r="G388" i="3"/>
  <c r="E388" i="3"/>
  <c r="C388" i="3"/>
  <c r="A388" i="3"/>
  <c r="H388" i="3"/>
  <c r="F388" i="3"/>
  <c r="D388" i="3"/>
  <c r="I392" i="3"/>
  <c r="G392" i="3"/>
  <c r="E392" i="3"/>
  <c r="C392" i="3"/>
  <c r="A392" i="3"/>
  <c r="H392" i="3"/>
  <c r="F392" i="3"/>
  <c r="D392" i="3"/>
  <c r="I396" i="3"/>
  <c r="G396" i="3"/>
  <c r="E396" i="3"/>
  <c r="C396" i="3"/>
  <c r="A396" i="3"/>
  <c r="H396" i="3"/>
  <c r="F396" i="3"/>
  <c r="D396" i="3"/>
  <c r="I400" i="3"/>
  <c r="G400" i="3"/>
  <c r="E400" i="3"/>
  <c r="C400" i="3"/>
  <c r="A400" i="3"/>
  <c r="H400" i="3"/>
  <c r="F400" i="3"/>
  <c r="D400" i="3"/>
  <c r="I404" i="3"/>
  <c r="G404" i="3"/>
  <c r="E404" i="3"/>
  <c r="C404" i="3"/>
  <c r="A404" i="3"/>
  <c r="H404" i="3"/>
  <c r="F404" i="3"/>
  <c r="D404" i="3"/>
  <c r="I408" i="3"/>
  <c r="G408" i="3"/>
  <c r="E408" i="3"/>
  <c r="C408" i="3"/>
  <c r="A408" i="3"/>
  <c r="H408" i="3"/>
  <c r="F408" i="3"/>
  <c r="D408" i="3"/>
  <c r="I412" i="3"/>
  <c r="G412" i="3"/>
  <c r="E412" i="3"/>
  <c r="C412" i="3"/>
  <c r="A412" i="3"/>
  <c r="H412" i="3"/>
  <c r="F412" i="3"/>
  <c r="D412" i="3"/>
  <c r="I416" i="3"/>
  <c r="G416" i="3"/>
  <c r="E416" i="3"/>
  <c r="C416" i="3"/>
  <c r="A416" i="3"/>
  <c r="H416" i="3"/>
  <c r="F416" i="3"/>
  <c r="D416" i="3"/>
  <c r="I420" i="3"/>
  <c r="G420" i="3"/>
  <c r="E420" i="3"/>
  <c r="C420" i="3"/>
  <c r="A420" i="3"/>
  <c r="H420" i="3"/>
  <c r="F420" i="3"/>
  <c r="D420" i="3"/>
  <c r="I424" i="3"/>
  <c r="G424" i="3"/>
  <c r="E424" i="3"/>
  <c r="C424" i="3"/>
  <c r="A424" i="3"/>
  <c r="H424" i="3"/>
  <c r="F424" i="3"/>
  <c r="D424" i="3"/>
  <c r="I428" i="3"/>
  <c r="G428" i="3"/>
  <c r="E428" i="3"/>
  <c r="C428" i="3"/>
  <c r="A428" i="3"/>
  <c r="H428" i="3"/>
  <c r="F428" i="3"/>
  <c r="D428" i="3"/>
  <c r="I432" i="3"/>
  <c r="G432" i="3"/>
  <c r="E432" i="3"/>
  <c r="C432" i="3"/>
  <c r="A432" i="3"/>
  <c r="H432" i="3"/>
  <c r="F432" i="3"/>
  <c r="D432" i="3"/>
  <c r="I436" i="3"/>
  <c r="G436" i="3"/>
  <c r="E436" i="3"/>
  <c r="C436" i="3"/>
  <c r="A436" i="3"/>
  <c r="H436" i="3"/>
  <c r="F436" i="3"/>
  <c r="D436" i="3"/>
  <c r="I440" i="3"/>
  <c r="G440" i="3"/>
  <c r="E440" i="3"/>
  <c r="C440" i="3"/>
  <c r="A440" i="3"/>
  <c r="H440" i="3"/>
  <c r="F440" i="3"/>
  <c r="D440" i="3"/>
  <c r="I444" i="3"/>
  <c r="G444" i="3"/>
  <c r="E444" i="3"/>
  <c r="C444" i="3"/>
  <c r="A444" i="3"/>
  <c r="H444" i="3"/>
  <c r="F444" i="3"/>
  <c r="D444" i="3"/>
  <c r="I448" i="3"/>
  <c r="G448" i="3"/>
  <c r="E448" i="3"/>
  <c r="C448" i="3"/>
  <c r="A448" i="3"/>
  <c r="H448" i="3"/>
  <c r="F448" i="3"/>
  <c r="D448" i="3"/>
  <c r="I452" i="3"/>
  <c r="G452" i="3"/>
  <c r="E452" i="3"/>
  <c r="C452" i="3"/>
  <c r="A452" i="3"/>
  <c r="H452" i="3"/>
  <c r="F452" i="3"/>
  <c r="D452" i="3"/>
  <c r="I456" i="3"/>
  <c r="G456" i="3"/>
  <c r="E456" i="3"/>
  <c r="C456" i="3"/>
  <c r="A456" i="3"/>
  <c r="H456" i="3"/>
  <c r="F456" i="3"/>
  <c r="D456" i="3"/>
  <c r="I460" i="3"/>
  <c r="G460" i="3"/>
  <c r="E460" i="3"/>
  <c r="C460" i="3"/>
  <c r="A460" i="3"/>
  <c r="H460" i="3"/>
  <c r="F460" i="3"/>
  <c r="D460" i="3"/>
  <c r="I464" i="3"/>
  <c r="G464" i="3"/>
  <c r="E464" i="3"/>
  <c r="C464" i="3"/>
  <c r="A464" i="3"/>
  <c r="H464" i="3"/>
  <c r="F464" i="3"/>
  <c r="D464" i="3"/>
  <c r="I468" i="3"/>
  <c r="G468" i="3"/>
  <c r="E468" i="3"/>
  <c r="C468" i="3"/>
  <c r="A468" i="3"/>
  <c r="H468" i="3"/>
  <c r="F468" i="3"/>
  <c r="D468" i="3"/>
  <c r="I472" i="3"/>
  <c r="G472" i="3"/>
  <c r="E472" i="3"/>
  <c r="C472" i="3"/>
  <c r="A472" i="3"/>
  <c r="H472" i="3"/>
  <c r="F472" i="3"/>
  <c r="D472" i="3"/>
  <c r="I476" i="3"/>
  <c r="G476" i="3"/>
  <c r="E476" i="3"/>
  <c r="C476" i="3"/>
  <c r="A476" i="3"/>
  <c r="H476" i="3"/>
  <c r="F476" i="3"/>
  <c r="D476" i="3"/>
  <c r="I480" i="3"/>
  <c r="G480" i="3"/>
  <c r="E480" i="3"/>
  <c r="C480" i="3"/>
  <c r="A480" i="3"/>
  <c r="H480" i="3"/>
  <c r="F480" i="3"/>
  <c r="D480" i="3"/>
  <c r="I484" i="3"/>
  <c r="G484" i="3"/>
  <c r="E484" i="3"/>
  <c r="C484" i="3"/>
  <c r="A484" i="3"/>
  <c r="H484" i="3"/>
  <c r="F484" i="3"/>
  <c r="D484" i="3"/>
  <c r="I488" i="3"/>
  <c r="G488" i="3"/>
  <c r="E488" i="3"/>
  <c r="C488" i="3"/>
  <c r="A488" i="3"/>
  <c r="H488" i="3"/>
  <c r="F488" i="3"/>
  <c r="D488" i="3"/>
  <c r="I492" i="3"/>
  <c r="G492" i="3"/>
  <c r="E492" i="3"/>
  <c r="C492" i="3"/>
  <c r="A492" i="3"/>
  <c r="H492" i="3"/>
  <c r="F492" i="3"/>
  <c r="D492" i="3"/>
  <c r="I496" i="3"/>
  <c r="G496" i="3"/>
  <c r="E496" i="3"/>
  <c r="C496" i="3"/>
  <c r="A496" i="3"/>
  <c r="H496" i="3"/>
  <c r="F496" i="3"/>
  <c r="D496" i="3"/>
  <c r="I500" i="3"/>
  <c r="G500" i="3"/>
  <c r="E500" i="3"/>
  <c r="C500" i="3"/>
  <c r="A500" i="3"/>
  <c r="H500" i="3"/>
  <c r="F500" i="3"/>
  <c r="D500" i="3"/>
  <c r="I504" i="3"/>
  <c r="G504" i="3"/>
  <c r="E504" i="3"/>
  <c r="C504" i="3"/>
  <c r="A504" i="3"/>
  <c r="H504" i="3"/>
  <c r="F504" i="3"/>
  <c r="D504" i="3"/>
  <c r="I508" i="3"/>
  <c r="G508" i="3"/>
  <c r="E508" i="3"/>
  <c r="C508" i="3"/>
  <c r="A508" i="3"/>
  <c r="H508" i="3"/>
  <c r="F508" i="3"/>
  <c r="D508" i="3"/>
  <c r="I512" i="3"/>
  <c r="G512" i="3"/>
  <c r="E512" i="3"/>
  <c r="C512" i="3"/>
  <c r="A512" i="3"/>
  <c r="H512" i="3"/>
  <c r="F512" i="3"/>
  <c r="D512" i="3"/>
  <c r="I516" i="3"/>
  <c r="G516" i="3"/>
  <c r="E516" i="3"/>
  <c r="C516" i="3"/>
  <c r="A516" i="3"/>
  <c r="H516" i="3"/>
  <c r="F516" i="3"/>
  <c r="D516" i="3"/>
  <c r="I520" i="3"/>
  <c r="G520" i="3"/>
  <c r="E520" i="3"/>
  <c r="C520" i="3"/>
  <c r="A520" i="3"/>
  <c r="H520" i="3"/>
  <c r="F520" i="3"/>
  <c r="D520" i="3"/>
  <c r="I524" i="3"/>
  <c r="G524" i="3"/>
  <c r="E524" i="3"/>
  <c r="C524" i="3"/>
  <c r="A524" i="3"/>
  <c r="H524" i="3"/>
  <c r="F524" i="3"/>
  <c r="D524" i="3"/>
  <c r="I528" i="3"/>
  <c r="G528" i="3"/>
  <c r="E528" i="3"/>
  <c r="C528" i="3"/>
  <c r="A528" i="3"/>
  <c r="H528" i="3"/>
  <c r="F528" i="3"/>
  <c r="D528" i="3"/>
  <c r="I532" i="3"/>
  <c r="G532" i="3"/>
  <c r="E532" i="3"/>
  <c r="C532" i="3"/>
  <c r="A532" i="3"/>
  <c r="H532" i="3"/>
  <c r="F532" i="3"/>
  <c r="D532" i="3"/>
  <c r="I536" i="3"/>
  <c r="G536" i="3"/>
  <c r="E536" i="3"/>
  <c r="C536" i="3"/>
  <c r="A536" i="3"/>
  <c r="H536" i="3"/>
  <c r="F536" i="3"/>
  <c r="D536" i="3"/>
  <c r="I540" i="3"/>
  <c r="G540" i="3"/>
  <c r="E540" i="3"/>
  <c r="C540" i="3"/>
  <c r="A540" i="3"/>
  <c r="H540" i="3"/>
  <c r="F540" i="3"/>
  <c r="D540" i="3"/>
  <c r="I544" i="3"/>
  <c r="G544" i="3"/>
  <c r="E544" i="3"/>
  <c r="C544" i="3"/>
  <c r="A544" i="3"/>
  <c r="H544" i="3"/>
  <c r="F544" i="3"/>
  <c r="D544" i="3"/>
  <c r="I548" i="3"/>
  <c r="G548" i="3"/>
  <c r="E548" i="3"/>
  <c r="C548" i="3"/>
  <c r="A548" i="3"/>
  <c r="H548" i="3"/>
  <c r="F548" i="3"/>
  <c r="D548" i="3"/>
  <c r="I552" i="3"/>
  <c r="G552" i="3"/>
  <c r="E552" i="3"/>
  <c r="C552" i="3"/>
  <c r="A552" i="3"/>
  <c r="H552" i="3"/>
  <c r="F552" i="3"/>
  <c r="D552" i="3"/>
  <c r="I556" i="3"/>
  <c r="G556" i="3"/>
  <c r="E556" i="3"/>
  <c r="C556" i="3"/>
  <c r="A556" i="3"/>
  <c r="H556" i="3"/>
  <c r="F556" i="3"/>
  <c r="D556" i="3"/>
  <c r="I560" i="3"/>
  <c r="G560" i="3"/>
  <c r="E560" i="3"/>
  <c r="C560" i="3"/>
  <c r="A560" i="3"/>
  <c r="H560" i="3"/>
  <c r="F560" i="3"/>
  <c r="D560" i="3"/>
  <c r="I564" i="3"/>
  <c r="G564" i="3"/>
  <c r="E564" i="3"/>
  <c r="C564" i="3"/>
  <c r="A564" i="3"/>
  <c r="H564" i="3"/>
  <c r="F564" i="3"/>
  <c r="D564" i="3"/>
  <c r="I568" i="3"/>
  <c r="G568" i="3"/>
  <c r="E568" i="3"/>
  <c r="C568" i="3"/>
  <c r="A568" i="3"/>
  <c r="H568" i="3"/>
  <c r="F568" i="3"/>
  <c r="D568" i="3"/>
  <c r="I572" i="3"/>
  <c r="G572" i="3"/>
  <c r="E572" i="3"/>
  <c r="C572" i="3"/>
  <c r="A572" i="3"/>
  <c r="H572" i="3"/>
  <c r="F572" i="3"/>
  <c r="D572" i="3"/>
  <c r="I576" i="3"/>
  <c r="G576" i="3"/>
  <c r="E576" i="3"/>
  <c r="C576" i="3"/>
  <c r="A576" i="3"/>
  <c r="H576" i="3"/>
  <c r="F576" i="3"/>
  <c r="D576" i="3"/>
  <c r="I580" i="3"/>
  <c r="G580" i="3"/>
  <c r="E580" i="3"/>
  <c r="C580" i="3"/>
  <c r="A580" i="3"/>
  <c r="H580" i="3"/>
  <c r="F580" i="3"/>
  <c r="D580" i="3"/>
  <c r="I584" i="3"/>
  <c r="G584" i="3"/>
  <c r="E584" i="3"/>
  <c r="C584" i="3"/>
  <c r="A584" i="3"/>
  <c r="H584" i="3"/>
  <c r="F584" i="3"/>
  <c r="D584" i="3"/>
  <c r="I588" i="3"/>
  <c r="G588" i="3"/>
  <c r="E588" i="3"/>
  <c r="C588" i="3"/>
  <c r="A588" i="3"/>
  <c r="H588" i="3"/>
  <c r="F588" i="3"/>
  <c r="D588" i="3"/>
  <c r="I592" i="3"/>
  <c r="G592" i="3"/>
  <c r="E592" i="3"/>
  <c r="C592" i="3"/>
  <c r="A592" i="3"/>
  <c r="H592" i="3"/>
  <c r="F592" i="3"/>
  <c r="D592" i="3"/>
  <c r="I596" i="3"/>
  <c r="G596" i="3"/>
  <c r="E596" i="3"/>
  <c r="C596" i="3"/>
  <c r="A596" i="3"/>
  <c r="H596" i="3"/>
  <c r="F596" i="3"/>
  <c r="D596" i="3"/>
  <c r="I600" i="3"/>
  <c r="G600" i="3"/>
  <c r="E600" i="3"/>
  <c r="C600" i="3"/>
  <c r="A600" i="3"/>
  <c r="H600" i="3"/>
  <c r="F600" i="3"/>
  <c r="D600" i="3"/>
  <c r="I604" i="3"/>
  <c r="G604" i="3"/>
  <c r="E604" i="3"/>
  <c r="C604" i="3"/>
  <c r="A604" i="3"/>
  <c r="H604" i="3"/>
  <c r="F604" i="3"/>
  <c r="D604" i="3"/>
  <c r="I608" i="3"/>
  <c r="G608" i="3"/>
  <c r="E608" i="3"/>
  <c r="C608" i="3"/>
  <c r="A608" i="3"/>
  <c r="H608" i="3"/>
  <c r="F608" i="3"/>
  <c r="D608" i="3"/>
  <c r="I612" i="3"/>
  <c r="G612" i="3"/>
  <c r="E612" i="3"/>
  <c r="C612" i="3"/>
  <c r="A612" i="3"/>
  <c r="H612" i="3"/>
  <c r="F612" i="3"/>
  <c r="D612" i="3"/>
  <c r="I616" i="3"/>
  <c r="G616" i="3"/>
  <c r="E616" i="3"/>
  <c r="C616" i="3"/>
  <c r="A616" i="3"/>
  <c r="H616" i="3"/>
  <c r="F616" i="3"/>
  <c r="D616" i="3"/>
  <c r="I620" i="3"/>
  <c r="G620" i="3"/>
  <c r="E620" i="3"/>
  <c r="C620" i="3"/>
  <c r="A620" i="3"/>
  <c r="H620" i="3"/>
  <c r="F620" i="3"/>
  <c r="D620" i="3"/>
  <c r="I624" i="3"/>
  <c r="G624" i="3"/>
  <c r="E624" i="3"/>
  <c r="C624" i="3"/>
  <c r="A624" i="3"/>
  <c r="H624" i="3"/>
  <c r="F624" i="3"/>
  <c r="D624" i="3"/>
  <c r="I628" i="3"/>
  <c r="G628" i="3"/>
  <c r="E628" i="3"/>
  <c r="C628" i="3"/>
  <c r="A628" i="3"/>
  <c r="H628" i="3"/>
  <c r="F628" i="3"/>
  <c r="D628" i="3"/>
  <c r="I632" i="3"/>
  <c r="G632" i="3"/>
  <c r="E632" i="3"/>
  <c r="C632" i="3"/>
  <c r="A632" i="3"/>
  <c r="H632" i="3"/>
  <c r="F632" i="3"/>
  <c r="D632" i="3"/>
  <c r="I636" i="3"/>
  <c r="G636" i="3"/>
  <c r="E636" i="3"/>
  <c r="C636" i="3"/>
  <c r="A636" i="3"/>
  <c r="H636" i="3"/>
  <c r="F636" i="3"/>
  <c r="D636" i="3"/>
  <c r="I640" i="3"/>
  <c r="G640" i="3"/>
  <c r="E640" i="3"/>
  <c r="C640" i="3"/>
  <c r="A640" i="3"/>
  <c r="H640" i="3"/>
  <c r="F640" i="3"/>
  <c r="D640" i="3"/>
  <c r="I644" i="3"/>
  <c r="G644" i="3"/>
  <c r="E644" i="3"/>
  <c r="C644" i="3"/>
  <c r="A644" i="3"/>
  <c r="H644" i="3"/>
  <c r="F644" i="3"/>
  <c r="D644" i="3"/>
  <c r="I648" i="3"/>
  <c r="G648" i="3"/>
  <c r="E648" i="3"/>
  <c r="C648" i="3"/>
  <c r="A648" i="3"/>
  <c r="H648" i="3"/>
  <c r="F648" i="3"/>
  <c r="D648" i="3"/>
  <c r="I652" i="3"/>
  <c r="G652" i="3"/>
  <c r="E652" i="3"/>
  <c r="C652" i="3"/>
  <c r="A652" i="3"/>
  <c r="H652" i="3"/>
  <c r="F652" i="3"/>
  <c r="D652" i="3"/>
  <c r="I656" i="3"/>
  <c r="G656" i="3"/>
  <c r="E656" i="3"/>
  <c r="C656" i="3"/>
  <c r="A656" i="3"/>
  <c r="H656" i="3"/>
  <c r="F656" i="3"/>
  <c r="D656" i="3"/>
  <c r="I660" i="3"/>
  <c r="G660" i="3"/>
  <c r="E660" i="3"/>
  <c r="C660" i="3"/>
  <c r="A660" i="3"/>
  <c r="H660" i="3"/>
  <c r="F660" i="3"/>
  <c r="D660" i="3"/>
  <c r="I664" i="3"/>
  <c r="G664" i="3"/>
  <c r="E664" i="3"/>
  <c r="C664" i="3"/>
  <c r="A664" i="3"/>
  <c r="H664" i="3"/>
  <c r="F664" i="3"/>
  <c r="D664" i="3"/>
  <c r="I668" i="3"/>
  <c r="G668" i="3"/>
  <c r="E668" i="3"/>
  <c r="C668" i="3"/>
  <c r="A668" i="3"/>
  <c r="H668" i="3"/>
  <c r="F668" i="3"/>
  <c r="D668" i="3"/>
  <c r="I672" i="3"/>
  <c r="G672" i="3"/>
  <c r="E672" i="3"/>
  <c r="C672" i="3"/>
  <c r="A672" i="3"/>
  <c r="H672" i="3"/>
  <c r="F672" i="3"/>
  <c r="D672" i="3"/>
  <c r="I676" i="3"/>
  <c r="G676" i="3"/>
  <c r="E676" i="3"/>
  <c r="C676" i="3"/>
  <c r="A676" i="3"/>
  <c r="H676" i="3"/>
  <c r="F676" i="3"/>
  <c r="D676" i="3"/>
  <c r="I680" i="3"/>
  <c r="G680" i="3"/>
  <c r="E680" i="3"/>
  <c r="C680" i="3"/>
  <c r="A680" i="3"/>
  <c r="H680" i="3"/>
  <c r="F680" i="3"/>
  <c r="D680" i="3"/>
  <c r="I684" i="3"/>
  <c r="G684" i="3"/>
  <c r="E684" i="3"/>
  <c r="C684" i="3"/>
  <c r="A684" i="3"/>
  <c r="H684" i="3"/>
  <c r="F684" i="3"/>
  <c r="D684" i="3"/>
  <c r="I688" i="3"/>
  <c r="G688" i="3"/>
  <c r="E688" i="3"/>
  <c r="C688" i="3"/>
  <c r="A688" i="3"/>
  <c r="H688" i="3"/>
  <c r="F688" i="3"/>
  <c r="D688" i="3"/>
  <c r="I692" i="3"/>
  <c r="G692" i="3"/>
  <c r="E692" i="3"/>
  <c r="C692" i="3"/>
  <c r="A692" i="3"/>
  <c r="H692" i="3"/>
  <c r="F692" i="3"/>
  <c r="D692" i="3"/>
  <c r="I696" i="3"/>
  <c r="G696" i="3"/>
  <c r="E696" i="3"/>
  <c r="C696" i="3"/>
  <c r="A696" i="3"/>
  <c r="H696" i="3"/>
  <c r="F696" i="3"/>
  <c r="D696" i="3"/>
  <c r="I700" i="3"/>
  <c r="G700" i="3"/>
  <c r="E700" i="3"/>
  <c r="C700" i="3"/>
  <c r="A700" i="3"/>
  <c r="H700" i="3"/>
  <c r="F700" i="3"/>
  <c r="D700" i="3"/>
  <c r="I704" i="3"/>
  <c r="G704" i="3"/>
  <c r="E704" i="3"/>
  <c r="C704" i="3"/>
  <c r="A704" i="3"/>
  <c r="H704" i="3"/>
  <c r="F704" i="3"/>
  <c r="D704" i="3"/>
  <c r="I708" i="3"/>
  <c r="G708" i="3"/>
  <c r="E708" i="3"/>
  <c r="C708" i="3"/>
  <c r="A708" i="3"/>
  <c r="H708" i="3"/>
  <c r="F708" i="3"/>
  <c r="D708" i="3"/>
  <c r="I712" i="3"/>
  <c r="G712" i="3"/>
  <c r="E712" i="3"/>
  <c r="C712" i="3"/>
  <c r="A712" i="3"/>
  <c r="H712" i="3"/>
  <c r="F712" i="3"/>
  <c r="D712" i="3"/>
  <c r="I716" i="3"/>
  <c r="G716" i="3"/>
  <c r="E716" i="3"/>
  <c r="C716" i="3"/>
  <c r="A716" i="3"/>
  <c r="H716" i="3"/>
  <c r="F716" i="3"/>
  <c r="D716" i="3"/>
  <c r="I720" i="3"/>
  <c r="G720" i="3"/>
  <c r="E720" i="3"/>
  <c r="C720" i="3"/>
  <c r="A720" i="3"/>
  <c r="H720" i="3"/>
  <c r="F720" i="3"/>
  <c r="D720" i="3"/>
  <c r="I724" i="3"/>
  <c r="G724" i="3"/>
  <c r="E724" i="3"/>
  <c r="C724" i="3"/>
  <c r="A724" i="3"/>
  <c r="H724" i="3"/>
  <c r="F724" i="3"/>
  <c r="D724" i="3"/>
  <c r="I728" i="3"/>
  <c r="G728" i="3"/>
  <c r="E728" i="3"/>
  <c r="C728" i="3"/>
  <c r="A728" i="3"/>
  <c r="H728" i="3"/>
  <c r="F728" i="3"/>
  <c r="D728" i="3"/>
  <c r="I732" i="3"/>
  <c r="G732" i="3"/>
  <c r="E732" i="3"/>
  <c r="C732" i="3"/>
  <c r="A732" i="3"/>
  <c r="H732" i="3"/>
  <c r="F732" i="3"/>
  <c r="D732" i="3"/>
  <c r="I736" i="3"/>
  <c r="G736" i="3"/>
  <c r="E736" i="3"/>
  <c r="C736" i="3"/>
  <c r="A736" i="3"/>
  <c r="H736" i="3"/>
  <c r="F736" i="3"/>
  <c r="D736" i="3"/>
  <c r="I740" i="3"/>
  <c r="G740" i="3"/>
  <c r="E740" i="3"/>
  <c r="C740" i="3"/>
  <c r="A740" i="3"/>
  <c r="H740" i="3"/>
  <c r="F740" i="3"/>
  <c r="D740" i="3"/>
  <c r="I744" i="3"/>
  <c r="G744" i="3"/>
  <c r="E744" i="3"/>
  <c r="C744" i="3"/>
  <c r="A744" i="3"/>
  <c r="H744" i="3"/>
  <c r="F744" i="3"/>
  <c r="D744" i="3"/>
  <c r="I748" i="3"/>
  <c r="G748" i="3"/>
  <c r="E748" i="3"/>
  <c r="C748" i="3"/>
  <c r="A748" i="3"/>
  <c r="H748" i="3"/>
  <c r="F748" i="3"/>
  <c r="D748" i="3"/>
  <c r="I752" i="3"/>
  <c r="G752" i="3"/>
  <c r="E752" i="3"/>
  <c r="C752" i="3"/>
  <c r="A752" i="3"/>
  <c r="H752" i="3"/>
  <c r="F752" i="3"/>
  <c r="D752" i="3"/>
  <c r="I756" i="3"/>
  <c r="G756" i="3"/>
  <c r="E756" i="3"/>
  <c r="C756" i="3"/>
  <c r="A756" i="3"/>
  <c r="H756" i="3"/>
  <c r="F756" i="3"/>
  <c r="D756" i="3"/>
  <c r="I760" i="3"/>
  <c r="G760" i="3"/>
  <c r="E760" i="3"/>
  <c r="C760" i="3"/>
  <c r="A760" i="3"/>
  <c r="H760" i="3"/>
  <c r="F760" i="3"/>
  <c r="D760" i="3"/>
  <c r="I764" i="3"/>
  <c r="G764" i="3"/>
  <c r="E764" i="3"/>
  <c r="C764" i="3"/>
  <c r="A764" i="3"/>
  <c r="H764" i="3"/>
  <c r="F764" i="3"/>
  <c r="D764" i="3"/>
  <c r="I768" i="3"/>
  <c r="G768" i="3"/>
  <c r="E768" i="3"/>
  <c r="C768" i="3"/>
  <c r="A768" i="3"/>
  <c r="H768" i="3"/>
  <c r="F768" i="3"/>
  <c r="D768" i="3"/>
  <c r="I772" i="3"/>
  <c r="G772" i="3"/>
  <c r="E772" i="3"/>
  <c r="C772" i="3"/>
  <c r="A772" i="3"/>
  <c r="H772" i="3"/>
  <c r="F772" i="3"/>
  <c r="D772" i="3"/>
  <c r="I776" i="3"/>
  <c r="G776" i="3"/>
  <c r="E776" i="3"/>
  <c r="C776" i="3"/>
  <c r="A776" i="3"/>
  <c r="H776" i="3"/>
  <c r="F776" i="3"/>
  <c r="D776" i="3"/>
  <c r="I780" i="3"/>
  <c r="G780" i="3"/>
  <c r="E780" i="3"/>
  <c r="C780" i="3"/>
  <c r="A780" i="3"/>
  <c r="H780" i="3"/>
  <c r="F780" i="3"/>
  <c r="D780" i="3"/>
  <c r="I784" i="3"/>
  <c r="G784" i="3"/>
  <c r="E784" i="3"/>
  <c r="C784" i="3"/>
  <c r="A784" i="3"/>
  <c r="H784" i="3"/>
  <c r="F784" i="3"/>
  <c r="D784" i="3"/>
  <c r="I788" i="3"/>
  <c r="G788" i="3"/>
  <c r="E788" i="3"/>
  <c r="C788" i="3"/>
  <c r="A788" i="3"/>
  <c r="H788" i="3"/>
  <c r="F788" i="3"/>
  <c r="D788" i="3"/>
  <c r="I792" i="3"/>
  <c r="G792" i="3"/>
  <c r="E792" i="3"/>
  <c r="C792" i="3"/>
  <c r="A792" i="3"/>
  <c r="H792" i="3"/>
  <c r="F792" i="3"/>
  <c r="D792" i="3"/>
  <c r="I796" i="3"/>
  <c r="G796" i="3"/>
  <c r="E796" i="3"/>
  <c r="C796" i="3"/>
  <c r="A796" i="3"/>
  <c r="H796" i="3"/>
  <c r="F796" i="3"/>
  <c r="D796" i="3"/>
  <c r="I800" i="3"/>
  <c r="G800" i="3"/>
  <c r="E800" i="3"/>
  <c r="C800" i="3"/>
  <c r="A800" i="3"/>
  <c r="H800" i="3"/>
  <c r="F800" i="3"/>
  <c r="D800" i="3"/>
  <c r="I804" i="3"/>
  <c r="G804" i="3"/>
  <c r="E804" i="3"/>
  <c r="C804" i="3"/>
  <c r="A804" i="3"/>
  <c r="H804" i="3"/>
  <c r="F804" i="3"/>
  <c r="D804" i="3"/>
  <c r="I808" i="3"/>
  <c r="G808" i="3"/>
  <c r="E808" i="3"/>
  <c r="C808" i="3"/>
  <c r="A808" i="3"/>
  <c r="H808" i="3"/>
  <c r="F808" i="3"/>
  <c r="D808" i="3"/>
  <c r="I812" i="3"/>
  <c r="G812" i="3"/>
  <c r="E812" i="3"/>
  <c r="C812" i="3"/>
  <c r="A812" i="3"/>
  <c r="H812" i="3"/>
  <c r="F812" i="3"/>
  <c r="D812" i="3"/>
  <c r="I816" i="3"/>
  <c r="G816" i="3"/>
  <c r="E816" i="3"/>
  <c r="C816" i="3"/>
  <c r="A816" i="3"/>
  <c r="H816" i="3"/>
  <c r="F816" i="3"/>
  <c r="D816" i="3"/>
  <c r="I820" i="3"/>
  <c r="G820" i="3"/>
  <c r="E820" i="3"/>
  <c r="C820" i="3"/>
  <c r="A820" i="3"/>
  <c r="H820" i="3"/>
  <c r="F820" i="3"/>
  <c r="D820" i="3"/>
  <c r="I824" i="3"/>
  <c r="G824" i="3"/>
  <c r="E824" i="3"/>
  <c r="C824" i="3"/>
  <c r="A824" i="3"/>
  <c r="H824" i="3"/>
  <c r="F824" i="3"/>
  <c r="D824" i="3"/>
  <c r="I828" i="3"/>
  <c r="G828" i="3"/>
  <c r="E828" i="3"/>
  <c r="C828" i="3"/>
  <c r="A828" i="3"/>
  <c r="H828" i="3"/>
  <c r="F828" i="3"/>
  <c r="D828" i="3"/>
  <c r="I832" i="3"/>
  <c r="G832" i="3"/>
  <c r="E832" i="3"/>
  <c r="C832" i="3"/>
  <c r="A832" i="3"/>
  <c r="H832" i="3"/>
  <c r="F832" i="3"/>
  <c r="D832" i="3"/>
  <c r="I836" i="3"/>
  <c r="G836" i="3"/>
  <c r="E836" i="3"/>
  <c r="C836" i="3"/>
  <c r="A836" i="3"/>
  <c r="H836" i="3"/>
  <c r="F836" i="3"/>
  <c r="D836" i="3"/>
  <c r="I840" i="3"/>
  <c r="G840" i="3"/>
  <c r="E840" i="3"/>
  <c r="C840" i="3"/>
  <c r="A840" i="3"/>
  <c r="H840" i="3"/>
  <c r="F840" i="3"/>
  <c r="D840" i="3"/>
  <c r="I844" i="3"/>
  <c r="G844" i="3"/>
  <c r="E844" i="3"/>
  <c r="C844" i="3"/>
  <c r="A844" i="3"/>
  <c r="H844" i="3"/>
  <c r="F844" i="3"/>
  <c r="D844" i="3"/>
  <c r="I848" i="3"/>
  <c r="G848" i="3"/>
  <c r="E848" i="3"/>
  <c r="C848" i="3"/>
  <c r="A848" i="3"/>
  <c r="H848" i="3"/>
  <c r="F848" i="3"/>
  <c r="D848" i="3"/>
  <c r="I852" i="3"/>
  <c r="G852" i="3"/>
  <c r="E852" i="3"/>
  <c r="C852" i="3"/>
  <c r="A852" i="3"/>
  <c r="H852" i="3"/>
  <c r="F852" i="3"/>
  <c r="D852" i="3"/>
  <c r="I856" i="3"/>
  <c r="G856" i="3"/>
  <c r="E856" i="3"/>
  <c r="C856" i="3"/>
  <c r="A856" i="3"/>
  <c r="H856" i="3"/>
  <c r="F856" i="3"/>
  <c r="D856" i="3"/>
  <c r="I860" i="3"/>
  <c r="G860" i="3"/>
  <c r="E860" i="3"/>
  <c r="C860" i="3"/>
  <c r="A860" i="3"/>
  <c r="H860" i="3"/>
  <c r="F860" i="3"/>
  <c r="D860" i="3"/>
  <c r="I864" i="3"/>
  <c r="G864" i="3"/>
  <c r="E864" i="3"/>
  <c r="C864" i="3"/>
  <c r="A864" i="3"/>
  <c r="H864" i="3"/>
  <c r="F864" i="3"/>
  <c r="D864" i="3"/>
  <c r="I868" i="3"/>
  <c r="G868" i="3"/>
  <c r="E868" i="3"/>
  <c r="C868" i="3"/>
  <c r="A868" i="3"/>
  <c r="H868" i="3"/>
  <c r="F868" i="3"/>
  <c r="D868" i="3"/>
  <c r="I872" i="3"/>
  <c r="G872" i="3"/>
  <c r="E872" i="3"/>
  <c r="C872" i="3"/>
  <c r="A872" i="3"/>
  <c r="H872" i="3"/>
  <c r="F872" i="3"/>
  <c r="D872" i="3"/>
  <c r="I876" i="3"/>
  <c r="G876" i="3"/>
  <c r="E876" i="3"/>
  <c r="C876" i="3"/>
  <c r="A876" i="3"/>
  <c r="H876" i="3"/>
  <c r="F876" i="3"/>
  <c r="D876" i="3"/>
  <c r="I880" i="3"/>
  <c r="G880" i="3"/>
  <c r="E880" i="3"/>
  <c r="C880" i="3"/>
  <c r="A880" i="3"/>
  <c r="H880" i="3"/>
  <c r="F880" i="3"/>
  <c r="D880" i="3"/>
  <c r="I884" i="3"/>
  <c r="G884" i="3"/>
  <c r="E884" i="3"/>
  <c r="C884" i="3"/>
  <c r="A884" i="3"/>
  <c r="H884" i="3"/>
  <c r="F884" i="3"/>
  <c r="D884" i="3"/>
  <c r="I888" i="3"/>
  <c r="G888" i="3"/>
  <c r="E888" i="3"/>
  <c r="C888" i="3"/>
  <c r="A888" i="3"/>
  <c r="H888" i="3"/>
  <c r="F888" i="3"/>
  <c r="D888" i="3"/>
  <c r="I892" i="3"/>
  <c r="G892" i="3"/>
  <c r="E892" i="3"/>
  <c r="C892" i="3"/>
  <c r="A892" i="3"/>
  <c r="H892" i="3"/>
  <c r="F892" i="3"/>
  <c r="D892" i="3"/>
  <c r="I896" i="3"/>
  <c r="G896" i="3"/>
  <c r="E896" i="3"/>
  <c r="C896" i="3"/>
  <c r="A896" i="3"/>
  <c r="H896" i="3"/>
  <c r="F896" i="3"/>
  <c r="D896" i="3"/>
  <c r="I900" i="3"/>
  <c r="G900" i="3"/>
  <c r="E900" i="3"/>
  <c r="C900" i="3"/>
  <c r="A900" i="3"/>
  <c r="H900" i="3"/>
  <c r="F900" i="3"/>
  <c r="D900" i="3"/>
  <c r="I904" i="3"/>
  <c r="G904" i="3"/>
  <c r="E904" i="3"/>
  <c r="C904" i="3"/>
  <c r="A904" i="3"/>
  <c r="H904" i="3"/>
  <c r="F904" i="3"/>
  <c r="D904" i="3"/>
  <c r="I908" i="3"/>
  <c r="G908" i="3"/>
  <c r="E908" i="3"/>
  <c r="C908" i="3"/>
  <c r="A908" i="3"/>
  <c r="H908" i="3"/>
  <c r="F908" i="3"/>
  <c r="D908" i="3"/>
  <c r="I912" i="3"/>
  <c r="G912" i="3"/>
  <c r="E912" i="3"/>
  <c r="C912" i="3"/>
  <c r="A912" i="3"/>
  <c r="H912" i="3"/>
  <c r="F912" i="3"/>
  <c r="D912" i="3"/>
  <c r="I916" i="3"/>
  <c r="G916" i="3"/>
  <c r="E916" i="3"/>
  <c r="C916" i="3"/>
  <c r="A916" i="3"/>
  <c r="H916" i="3"/>
  <c r="F916" i="3"/>
  <c r="D916" i="3"/>
  <c r="I920" i="3"/>
  <c r="G920" i="3"/>
  <c r="E920" i="3"/>
  <c r="C920" i="3"/>
  <c r="A920" i="3"/>
  <c r="H920" i="3"/>
  <c r="F920" i="3"/>
  <c r="D920" i="3"/>
  <c r="I924" i="3"/>
  <c r="G924" i="3"/>
  <c r="E924" i="3"/>
  <c r="C924" i="3"/>
  <c r="A924" i="3"/>
  <c r="H924" i="3"/>
  <c r="F924" i="3"/>
  <c r="D924" i="3"/>
  <c r="I928" i="3"/>
  <c r="G928" i="3"/>
  <c r="E928" i="3"/>
  <c r="C928" i="3"/>
  <c r="A928" i="3"/>
  <c r="H928" i="3"/>
  <c r="F928" i="3"/>
  <c r="D928" i="3"/>
  <c r="I932" i="3"/>
  <c r="G932" i="3"/>
  <c r="E932" i="3"/>
  <c r="C932" i="3"/>
  <c r="A932" i="3"/>
  <c r="H932" i="3"/>
  <c r="F932" i="3"/>
  <c r="D932" i="3"/>
  <c r="I936" i="3"/>
  <c r="G936" i="3"/>
  <c r="E936" i="3"/>
  <c r="C936" i="3"/>
  <c r="A936" i="3"/>
  <c r="H936" i="3"/>
  <c r="F936" i="3"/>
  <c r="D936" i="3"/>
  <c r="I940" i="3"/>
  <c r="G940" i="3"/>
  <c r="E940" i="3"/>
  <c r="C940" i="3"/>
  <c r="A940" i="3"/>
  <c r="H940" i="3"/>
  <c r="F940" i="3"/>
  <c r="D940" i="3"/>
  <c r="I944" i="3"/>
  <c r="G944" i="3"/>
  <c r="E944" i="3"/>
  <c r="C944" i="3"/>
  <c r="A944" i="3"/>
  <c r="H944" i="3"/>
  <c r="F944" i="3"/>
  <c r="D944" i="3"/>
  <c r="I948" i="3"/>
  <c r="G948" i="3"/>
  <c r="E948" i="3"/>
  <c r="C948" i="3"/>
  <c r="A948" i="3"/>
  <c r="H948" i="3"/>
  <c r="F948" i="3"/>
  <c r="D948" i="3"/>
  <c r="I952" i="3"/>
  <c r="G952" i="3"/>
  <c r="E952" i="3"/>
  <c r="C952" i="3"/>
  <c r="A952" i="3"/>
  <c r="H952" i="3"/>
  <c r="F952" i="3"/>
  <c r="D952" i="3"/>
  <c r="I956" i="3"/>
  <c r="G956" i="3"/>
  <c r="E956" i="3"/>
  <c r="C956" i="3"/>
  <c r="A956" i="3"/>
  <c r="H956" i="3"/>
  <c r="F956" i="3"/>
  <c r="D956" i="3"/>
  <c r="I960" i="3"/>
  <c r="G960" i="3"/>
  <c r="E960" i="3"/>
  <c r="C960" i="3"/>
  <c r="A960" i="3"/>
  <c r="H960" i="3"/>
  <c r="F960" i="3"/>
  <c r="D960" i="3"/>
  <c r="I964" i="3"/>
  <c r="G964" i="3"/>
  <c r="E964" i="3"/>
  <c r="C964" i="3"/>
  <c r="A964" i="3"/>
  <c r="H964" i="3"/>
  <c r="F964" i="3"/>
  <c r="D964" i="3"/>
  <c r="I968" i="3"/>
  <c r="G968" i="3"/>
  <c r="E968" i="3"/>
  <c r="C968" i="3"/>
  <c r="A968" i="3"/>
  <c r="H968" i="3"/>
  <c r="F968" i="3"/>
  <c r="D968" i="3"/>
  <c r="I972" i="3"/>
  <c r="G972" i="3"/>
  <c r="E972" i="3"/>
  <c r="C972" i="3"/>
  <c r="A972" i="3"/>
  <c r="H972" i="3"/>
  <c r="F972" i="3"/>
  <c r="D972" i="3"/>
  <c r="I976" i="3"/>
  <c r="G976" i="3"/>
  <c r="E976" i="3"/>
  <c r="C976" i="3"/>
  <c r="A976" i="3"/>
  <c r="H976" i="3"/>
  <c r="F976" i="3"/>
  <c r="D976" i="3"/>
  <c r="I980" i="3"/>
  <c r="G980" i="3"/>
  <c r="E980" i="3"/>
  <c r="C980" i="3"/>
  <c r="A980" i="3"/>
  <c r="H980" i="3"/>
  <c r="F980" i="3"/>
  <c r="D980" i="3"/>
  <c r="I984" i="3"/>
  <c r="G984" i="3"/>
  <c r="E984" i="3"/>
  <c r="C984" i="3"/>
  <c r="A984" i="3"/>
  <c r="H984" i="3"/>
  <c r="F984" i="3"/>
  <c r="D984" i="3"/>
  <c r="I988" i="3"/>
  <c r="G988" i="3"/>
  <c r="H988" i="3"/>
  <c r="E988" i="3"/>
  <c r="C988" i="3"/>
  <c r="A988" i="3"/>
  <c r="F988" i="3"/>
  <c r="D988" i="3"/>
  <c r="I996" i="3"/>
  <c r="G996" i="3"/>
  <c r="E996" i="3"/>
  <c r="C996" i="3"/>
  <c r="A996" i="3"/>
  <c r="H996" i="3"/>
  <c r="D996" i="3"/>
  <c r="F996" i="3"/>
  <c r="I1004" i="3"/>
  <c r="G1004" i="3"/>
  <c r="E1004" i="3"/>
  <c r="C1004" i="3"/>
  <c r="A1004" i="3"/>
  <c r="H1004" i="3"/>
  <c r="D1004" i="3"/>
  <c r="F1004" i="3"/>
  <c r="F11" i="3"/>
  <c r="D11" i="3"/>
  <c r="G11" i="3"/>
  <c r="E11" i="3"/>
  <c r="C11" i="3"/>
  <c r="A11" i="3"/>
  <c r="F15" i="3"/>
  <c r="D15" i="3"/>
  <c r="G15" i="3"/>
  <c r="H15" i="3" s="1"/>
  <c r="I15" i="3" s="1"/>
  <c r="E15" i="3"/>
  <c r="C15" i="3"/>
  <c r="A15" i="3"/>
  <c r="H23" i="3"/>
  <c r="F23" i="3"/>
  <c r="D23" i="3"/>
  <c r="I23" i="3"/>
  <c r="G23" i="3"/>
  <c r="E23" i="3"/>
  <c r="C23" i="3"/>
  <c r="A23" i="3"/>
  <c r="H27" i="3"/>
  <c r="F27" i="3"/>
  <c r="D27" i="3"/>
  <c r="I27" i="3"/>
  <c r="G27" i="3"/>
  <c r="E27" i="3"/>
  <c r="C27" i="3"/>
  <c r="A27" i="3"/>
  <c r="H31" i="3"/>
  <c r="F31" i="3"/>
  <c r="D31" i="3"/>
  <c r="I31" i="3"/>
  <c r="G31" i="3"/>
  <c r="E31" i="3"/>
  <c r="C31" i="3"/>
  <c r="A31" i="3"/>
  <c r="H35" i="3"/>
  <c r="F35" i="3"/>
  <c r="D35" i="3"/>
  <c r="I35" i="3"/>
  <c r="G35" i="3"/>
  <c r="E35" i="3"/>
  <c r="C35" i="3"/>
  <c r="A35" i="3"/>
  <c r="H39" i="3"/>
  <c r="F39" i="3"/>
  <c r="D39" i="3"/>
  <c r="I39" i="3"/>
  <c r="G39" i="3"/>
  <c r="E39" i="3"/>
  <c r="C39" i="3"/>
  <c r="A39" i="3"/>
  <c r="H43" i="3"/>
  <c r="F43" i="3"/>
  <c r="D43" i="3"/>
  <c r="I43" i="3"/>
  <c r="G43" i="3"/>
  <c r="E43" i="3"/>
  <c r="C43" i="3"/>
  <c r="A43" i="3"/>
  <c r="H47" i="3"/>
  <c r="F47" i="3"/>
  <c r="D47" i="3"/>
  <c r="I47" i="3"/>
  <c r="G47" i="3"/>
  <c r="E47" i="3"/>
  <c r="C47" i="3"/>
  <c r="A47" i="3"/>
  <c r="H51" i="3"/>
  <c r="F51" i="3"/>
  <c r="D51" i="3"/>
  <c r="I51" i="3"/>
  <c r="G51" i="3"/>
  <c r="E51" i="3"/>
  <c r="C51" i="3"/>
  <c r="A51" i="3"/>
  <c r="H55" i="3"/>
  <c r="F55" i="3"/>
  <c r="D55" i="3"/>
  <c r="I55" i="3"/>
  <c r="G55" i="3"/>
  <c r="E55" i="3"/>
  <c r="C55" i="3"/>
  <c r="A55" i="3"/>
  <c r="H59" i="3"/>
  <c r="F59" i="3"/>
  <c r="D59" i="3"/>
  <c r="I59" i="3"/>
  <c r="G59" i="3"/>
  <c r="E59" i="3"/>
  <c r="C59" i="3"/>
  <c r="A59" i="3"/>
  <c r="H63" i="3"/>
  <c r="F63" i="3"/>
  <c r="D63" i="3"/>
  <c r="I63" i="3"/>
  <c r="G63" i="3"/>
  <c r="E63" i="3"/>
  <c r="C63" i="3"/>
  <c r="A63" i="3"/>
  <c r="H67" i="3"/>
  <c r="F67" i="3"/>
  <c r="D67" i="3"/>
  <c r="I67" i="3"/>
  <c r="G67" i="3"/>
  <c r="E67" i="3"/>
  <c r="C67" i="3"/>
  <c r="A67" i="3"/>
  <c r="H71" i="3"/>
  <c r="F71" i="3"/>
  <c r="D71" i="3"/>
  <c r="I71" i="3"/>
  <c r="G71" i="3"/>
  <c r="E71" i="3"/>
  <c r="C71" i="3"/>
  <c r="A71" i="3"/>
  <c r="H75" i="3"/>
  <c r="F75" i="3"/>
  <c r="D75" i="3"/>
  <c r="I75" i="3"/>
  <c r="G75" i="3"/>
  <c r="E75" i="3"/>
  <c r="C75" i="3"/>
  <c r="A75" i="3"/>
  <c r="H79" i="3"/>
  <c r="F79" i="3"/>
  <c r="D79" i="3"/>
  <c r="I79" i="3"/>
  <c r="G79" i="3"/>
  <c r="E79" i="3"/>
  <c r="C79" i="3"/>
  <c r="A79" i="3"/>
  <c r="H83" i="3"/>
  <c r="F83" i="3"/>
  <c r="D83" i="3"/>
  <c r="I83" i="3"/>
  <c r="G83" i="3"/>
  <c r="E83" i="3"/>
  <c r="C83" i="3"/>
  <c r="A83" i="3"/>
  <c r="H87" i="3"/>
  <c r="F87" i="3"/>
  <c r="D87" i="3"/>
  <c r="I87" i="3"/>
  <c r="G87" i="3"/>
  <c r="E87" i="3"/>
  <c r="C87" i="3"/>
  <c r="A87" i="3"/>
  <c r="H91" i="3"/>
  <c r="F91" i="3"/>
  <c r="D91" i="3"/>
  <c r="I91" i="3"/>
  <c r="G91" i="3"/>
  <c r="E91" i="3"/>
  <c r="C91" i="3"/>
  <c r="A91" i="3"/>
  <c r="H95" i="3"/>
  <c r="F95" i="3"/>
  <c r="D95" i="3"/>
  <c r="I95" i="3"/>
  <c r="G95" i="3"/>
  <c r="E95" i="3"/>
  <c r="C95" i="3"/>
  <c r="A95" i="3"/>
  <c r="H99" i="3"/>
  <c r="F99" i="3"/>
  <c r="D99" i="3"/>
  <c r="I99" i="3"/>
  <c r="G99" i="3"/>
  <c r="E99" i="3"/>
  <c r="C99" i="3"/>
  <c r="A99" i="3"/>
  <c r="H103" i="3"/>
  <c r="F103" i="3"/>
  <c r="D103" i="3"/>
  <c r="I103" i="3"/>
  <c r="G103" i="3"/>
  <c r="E103" i="3"/>
  <c r="C103" i="3"/>
  <c r="A103" i="3"/>
  <c r="H107" i="3"/>
  <c r="F107" i="3"/>
  <c r="D107" i="3"/>
  <c r="I107" i="3"/>
  <c r="G107" i="3"/>
  <c r="E107" i="3"/>
  <c r="C107" i="3"/>
  <c r="A107" i="3"/>
  <c r="H111" i="3"/>
  <c r="F111" i="3"/>
  <c r="D111" i="3"/>
  <c r="I111" i="3"/>
  <c r="G111" i="3"/>
  <c r="E111" i="3"/>
  <c r="C111" i="3"/>
  <c r="A111" i="3"/>
  <c r="H115" i="3"/>
  <c r="F115" i="3"/>
  <c r="D115" i="3"/>
  <c r="I115" i="3"/>
  <c r="G115" i="3"/>
  <c r="E115" i="3"/>
  <c r="C115" i="3"/>
  <c r="A115" i="3"/>
  <c r="H119" i="3"/>
  <c r="F119" i="3"/>
  <c r="D119" i="3"/>
  <c r="I119" i="3"/>
  <c r="G119" i="3"/>
  <c r="E119" i="3"/>
  <c r="C119" i="3"/>
  <c r="A119" i="3"/>
  <c r="H123" i="3"/>
  <c r="F123" i="3"/>
  <c r="D123" i="3"/>
  <c r="I123" i="3"/>
  <c r="G123" i="3"/>
  <c r="E123" i="3"/>
  <c r="C123" i="3"/>
  <c r="A123" i="3"/>
  <c r="H127" i="3"/>
  <c r="F127" i="3"/>
  <c r="D127" i="3"/>
  <c r="I127" i="3"/>
  <c r="G127" i="3"/>
  <c r="E127" i="3"/>
  <c r="C127" i="3"/>
  <c r="A127" i="3"/>
  <c r="H131" i="3"/>
  <c r="F131" i="3"/>
  <c r="D131" i="3"/>
  <c r="I131" i="3"/>
  <c r="G131" i="3"/>
  <c r="E131" i="3"/>
  <c r="C131" i="3"/>
  <c r="A131" i="3"/>
  <c r="H135" i="3"/>
  <c r="F135" i="3"/>
  <c r="D135" i="3"/>
  <c r="I135" i="3"/>
  <c r="G135" i="3"/>
  <c r="E135" i="3"/>
  <c r="C135" i="3"/>
  <c r="A135" i="3"/>
  <c r="H139" i="3"/>
  <c r="F139" i="3"/>
  <c r="D139" i="3"/>
  <c r="I139" i="3"/>
  <c r="G139" i="3"/>
  <c r="E139" i="3"/>
  <c r="C139" i="3"/>
  <c r="A139" i="3"/>
  <c r="H143" i="3"/>
  <c r="F143" i="3"/>
  <c r="D143" i="3"/>
  <c r="I143" i="3"/>
  <c r="G143" i="3"/>
  <c r="E143" i="3"/>
  <c r="C143" i="3"/>
  <c r="A143" i="3"/>
  <c r="H147" i="3"/>
  <c r="F147" i="3"/>
  <c r="D147" i="3"/>
  <c r="I147" i="3"/>
  <c r="G147" i="3"/>
  <c r="E147" i="3"/>
  <c r="C147" i="3"/>
  <c r="A147" i="3"/>
  <c r="H151" i="3"/>
  <c r="F151" i="3"/>
  <c r="D151" i="3"/>
  <c r="I151" i="3"/>
  <c r="G151" i="3"/>
  <c r="E151" i="3"/>
  <c r="C151" i="3"/>
  <c r="A151" i="3"/>
  <c r="H155" i="3"/>
  <c r="F155" i="3"/>
  <c r="D155" i="3"/>
  <c r="I155" i="3"/>
  <c r="G155" i="3"/>
  <c r="E155" i="3"/>
  <c r="C155" i="3"/>
  <c r="A155" i="3"/>
  <c r="H159" i="3"/>
  <c r="F159" i="3"/>
  <c r="D159" i="3"/>
  <c r="I159" i="3"/>
  <c r="G159" i="3"/>
  <c r="E159" i="3"/>
  <c r="C159" i="3"/>
  <c r="A159" i="3"/>
  <c r="H163" i="3"/>
  <c r="F163" i="3"/>
  <c r="D163" i="3"/>
  <c r="I163" i="3"/>
  <c r="G163" i="3"/>
  <c r="E163" i="3"/>
  <c r="C163" i="3"/>
  <c r="A163" i="3"/>
  <c r="H167" i="3"/>
  <c r="F167" i="3"/>
  <c r="D167" i="3"/>
  <c r="I167" i="3"/>
  <c r="G167" i="3"/>
  <c r="E167" i="3"/>
  <c r="C167" i="3"/>
  <c r="A167" i="3"/>
  <c r="H171" i="3"/>
  <c r="F171" i="3"/>
  <c r="D171" i="3"/>
  <c r="I171" i="3"/>
  <c r="G171" i="3"/>
  <c r="E171" i="3"/>
  <c r="C171" i="3"/>
  <c r="A171" i="3"/>
  <c r="H175" i="3"/>
  <c r="F175" i="3"/>
  <c r="D175" i="3"/>
  <c r="I175" i="3"/>
  <c r="G175" i="3"/>
  <c r="E175" i="3"/>
  <c r="C175" i="3"/>
  <c r="A175" i="3"/>
  <c r="H179" i="3"/>
  <c r="F179" i="3"/>
  <c r="D179" i="3"/>
  <c r="I179" i="3"/>
  <c r="G179" i="3"/>
  <c r="E179" i="3"/>
  <c r="C179" i="3"/>
  <c r="A179" i="3"/>
  <c r="H183" i="3"/>
  <c r="F183" i="3"/>
  <c r="D183" i="3"/>
  <c r="I183" i="3"/>
  <c r="G183" i="3"/>
  <c r="E183" i="3"/>
  <c r="C183" i="3"/>
  <c r="A183" i="3"/>
  <c r="H187" i="3"/>
  <c r="F187" i="3"/>
  <c r="D187" i="3"/>
  <c r="I187" i="3"/>
  <c r="G187" i="3"/>
  <c r="E187" i="3"/>
  <c r="C187" i="3"/>
  <c r="A187" i="3"/>
  <c r="H191" i="3"/>
  <c r="F191" i="3"/>
  <c r="D191" i="3"/>
  <c r="I191" i="3"/>
  <c r="G191" i="3"/>
  <c r="E191" i="3"/>
  <c r="C191" i="3"/>
  <c r="A191" i="3"/>
  <c r="H195" i="3"/>
  <c r="F195" i="3"/>
  <c r="D195" i="3"/>
  <c r="I195" i="3"/>
  <c r="G195" i="3"/>
  <c r="E195" i="3"/>
  <c r="C195" i="3"/>
  <c r="A195" i="3"/>
  <c r="H199" i="3"/>
  <c r="F199" i="3"/>
  <c r="D199" i="3"/>
  <c r="I199" i="3"/>
  <c r="G199" i="3"/>
  <c r="E199" i="3"/>
  <c r="C199" i="3"/>
  <c r="A199" i="3"/>
  <c r="H203" i="3"/>
  <c r="F203" i="3"/>
  <c r="D203" i="3"/>
  <c r="I203" i="3"/>
  <c r="G203" i="3"/>
  <c r="E203" i="3"/>
  <c r="C203" i="3"/>
  <c r="A203" i="3"/>
  <c r="H207" i="3"/>
  <c r="F207" i="3"/>
  <c r="D207" i="3"/>
  <c r="I207" i="3"/>
  <c r="G207" i="3"/>
  <c r="E207" i="3"/>
  <c r="C207" i="3"/>
  <c r="A207" i="3"/>
  <c r="H211" i="3"/>
  <c r="F211" i="3"/>
  <c r="D211" i="3"/>
  <c r="I211" i="3"/>
  <c r="G211" i="3"/>
  <c r="E211" i="3"/>
  <c r="C211" i="3"/>
  <c r="A211" i="3"/>
  <c r="H215" i="3"/>
  <c r="F215" i="3"/>
  <c r="D215" i="3"/>
  <c r="I215" i="3"/>
  <c r="G215" i="3"/>
  <c r="E215" i="3"/>
  <c r="C215" i="3"/>
  <c r="A215" i="3"/>
  <c r="H219" i="3"/>
  <c r="F219" i="3"/>
  <c r="D219" i="3"/>
  <c r="I219" i="3"/>
  <c r="G219" i="3"/>
  <c r="E219" i="3"/>
  <c r="C219" i="3"/>
  <c r="A219" i="3"/>
  <c r="H223" i="3"/>
  <c r="F223" i="3"/>
  <c r="D223" i="3"/>
  <c r="I223" i="3"/>
  <c r="G223" i="3"/>
  <c r="E223" i="3"/>
  <c r="C223" i="3"/>
  <c r="A223" i="3"/>
  <c r="H227" i="3"/>
  <c r="F227" i="3"/>
  <c r="D227" i="3"/>
  <c r="I227" i="3"/>
  <c r="G227" i="3"/>
  <c r="E227" i="3"/>
  <c r="C227" i="3"/>
  <c r="A227" i="3"/>
  <c r="H231" i="3"/>
  <c r="F231" i="3"/>
  <c r="D231" i="3"/>
  <c r="I231" i="3"/>
  <c r="G231" i="3"/>
  <c r="E231" i="3"/>
  <c r="C231" i="3"/>
  <c r="A231" i="3"/>
  <c r="H235" i="3"/>
  <c r="F235" i="3"/>
  <c r="D235" i="3"/>
  <c r="I235" i="3"/>
  <c r="G235" i="3"/>
  <c r="E235" i="3"/>
  <c r="C235" i="3"/>
  <c r="A235" i="3"/>
  <c r="H239" i="3"/>
  <c r="F239" i="3"/>
  <c r="D239" i="3"/>
  <c r="I239" i="3"/>
  <c r="G239" i="3"/>
  <c r="E239" i="3"/>
  <c r="C239" i="3"/>
  <c r="A239" i="3"/>
  <c r="H243" i="3"/>
  <c r="F243" i="3"/>
  <c r="D243" i="3"/>
  <c r="I243" i="3"/>
  <c r="G243" i="3"/>
  <c r="E243" i="3"/>
  <c r="C243" i="3"/>
  <c r="A243" i="3"/>
  <c r="H247" i="3"/>
  <c r="F247" i="3"/>
  <c r="D247" i="3"/>
  <c r="I247" i="3"/>
  <c r="G247" i="3"/>
  <c r="E247" i="3"/>
  <c r="C247" i="3"/>
  <c r="A247" i="3"/>
  <c r="H251" i="3"/>
  <c r="F251" i="3"/>
  <c r="D251" i="3"/>
  <c r="I251" i="3"/>
  <c r="G251" i="3"/>
  <c r="E251" i="3"/>
  <c r="C251" i="3"/>
  <c r="A251" i="3"/>
  <c r="H255" i="3"/>
  <c r="F255" i="3"/>
  <c r="D255" i="3"/>
  <c r="I255" i="3"/>
  <c r="G255" i="3"/>
  <c r="E255" i="3"/>
  <c r="C255" i="3"/>
  <c r="A255" i="3"/>
  <c r="H259" i="3"/>
  <c r="F259" i="3"/>
  <c r="D259" i="3"/>
  <c r="I259" i="3"/>
  <c r="G259" i="3"/>
  <c r="E259" i="3"/>
  <c r="C259" i="3"/>
  <c r="A259" i="3"/>
  <c r="H263" i="3"/>
  <c r="F263" i="3"/>
  <c r="D263" i="3"/>
  <c r="I263" i="3"/>
  <c r="G263" i="3"/>
  <c r="E263" i="3"/>
  <c r="C263" i="3"/>
  <c r="A263" i="3"/>
  <c r="H267" i="3"/>
  <c r="F267" i="3"/>
  <c r="D267" i="3"/>
  <c r="I267" i="3"/>
  <c r="G267" i="3"/>
  <c r="E267" i="3"/>
  <c r="C267" i="3"/>
  <c r="A267" i="3"/>
  <c r="H271" i="3"/>
  <c r="F271" i="3"/>
  <c r="D271" i="3"/>
  <c r="I271" i="3"/>
  <c r="G271" i="3"/>
  <c r="E271" i="3"/>
  <c r="C271" i="3"/>
  <c r="A271" i="3"/>
  <c r="H275" i="3"/>
  <c r="F275" i="3"/>
  <c r="D275" i="3"/>
  <c r="I275" i="3"/>
  <c r="G275" i="3"/>
  <c r="E275" i="3"/>
  <c r="C275" i="3"/>
  <c r="A275" i="3"/>
  <c r="H279" i="3"/>
  <c r="F279" i="3"/>
  <c r="D279" i="3"/>
  <c r="I279" i="3"/>
  <c r="G279" i="3"/>
  <c r="E279" i="3"/>
  <c r="C279" i="3"/>
  <c r="A279" i="3"/>
  <c r="H283" i="3"/>
  <c r="F283" i="3"/>
  <c r="D283" i="3"/>
  <c r="I283" i="3"/>
  <c r="G283" i="3"/>
  <c r="E283" i="3"/>
  <c r="C283" i="3"/>
  <c r="A283" i="3"/>
  <c r="H287" i="3"/>
  <c r="F287" i="3"/>
  <c r="D287" i="3"/>
  <c r="I287" i="3"/>
  <c r="G287" i="3"/>
  <c r="E287" i="3"/>
  <c r="C287" i="3"/>
  <c r="A287" i="3"/>
  <c r="H291" i="3"/>
  <c r="F291" i="3"/>
  <c r="D291" i="3"/>
  <c r="I291" i="3"/>
  <c r="G291" i="3"/>
  <c r="E291" i="3"/>
  <c r="C291" i="3"/>
  <c r="A291" i="3"/>
  <c r="H295" i="3"/>
  <c r="F295" i="3"/>
  <c r="D295" i="3"/>
  <c r="I295" i="3"/>
  <c r="G295" i="3"/>
  <c r="E295" i="3"/>
  <c r="C295" i="3"/>
  <c r="A295" i="3"/>
  <c r="H299" i="3"/>
  <c r="F299" i="3"/>
  <c r="D299" i="3"/>
  <c r="I299" i="3"/>
  <c r="G299" i="3"/>
  <c r="E299" i="3"/>
  <c r="C299" i="3"/>
  <c r="A299" i="3"/>
  <c r="H303" i="3"/>
  <c r="F303" i="3"/>
  <c r="D303" i="3"/>
  <c r="I303" i="3"/>
  <c r="G303" i="3"/>
  <c r="E303" i="3"/>
  <c r="C303" i="3"/>
  <c r="A303" i="3"/>
  <c r="H307" i="3"/>
  <c r="F307" i="3"/>
  <c r="D307" i="3"/>
  <c r="I307" i="3"/>
  <c r="G307" i="3"/>
  <c r="E307" i="3"/>
  <c r="C307" i="3"/>
  <c r="A307" i="3"/>
  <c r="H311" i="3"/>
  <c r="F311" i="3"/>
  <c r="D311" i="3"/>
  <c r="I311" i="3"/>
  <c r="G311" i="3"/>
  <c r="E311" i="3"/>
  <c r="C311" i="3"/>
  <c r="A311" i="3"/>
  <c r="H315" i="3"/>
  <c r="F315" i="3"/>
  <c r="D315" i="3"/>
  <c r="I315" i="3"/>
  <c r="G315" i="3"/>
  <c r="E315" i="3"/>
  <c r="C315" i="3"/>
  <c r="A315" i="3"/>
  <c r="H319" i="3"/>
  <c r="F319" i="3"/>
  <c r="D319" i="3"/>
  <c r="I319" i="3"/>
  <c r="G319" i="3"/>
  <c r="E319" i="3"/>
  <c r="C319" i="3"/>
  <c r="A319" i="3"/>
  <c r="H323" i="3"/>
  <c r="F323" i="3"/>
  <c r="D323" i="3"/>
  <c r="I323" i="3"/>
  <c r="G323" i="3"/>
  <c r="E323" i="3"/>
  <c r="C323" i="3"/>
  <c r="A323" i="3"/>
  <c r="H327" i="3"/>
  <c r="F327" i="3"/>
  <c r="D327" i="3"/>
  <c r="I327" i="3"/>
  <c r="G327" i="3"/>
  <c r="E327" i="3"/>
  <c r="C327" i="3"/>
  <c r="A327" i="3"/>
  <c r="H331" i="3"/>
  <c r="F331" i="3"/>
  <c r="D331" i="3"/>
  <c r="I331" i="3"/>
  <c r="G331" i="3"/>
  <c r="E331" i="3"/>
  <c r="C331" i="3"/>
  <c r="A331" i="3"/>
  <c r="H335" i="3"/>
  <c r="F335" i="3"/>
  <c r="D335" i="3"/>
  <c r="I335" i="3"/>
  <c r="G335" i="3"/>
  <c r="E335" i="3"/>
  <c r="C335" i="3"/>
  <c r="A335" i="3"/>
  <c r="H339" i="3"/>
  <c r="F339" i="3"/>
  <c r="D339" i="3"/>
  <c r="I339" i="3"/>
  <c r="G339" i="3"/>
  <c r="E339" i="3"/>
  <c r="C339" i="3"/>
  <c r="A339" i="3"/>
  <c r="H343" i="3"/>
  <c r="F343" i="3"/>
  <c r="D343" i="3"/>
  <c r="I343" i="3"/>
  <c r="G343" i="3"/>
  <c r="E343" i="3"/>
  <c r="C343" i="3"/>
  <c r="A343" i="3"/>
  <c r="H347" i="3"/>
  <c r="F347" i="3"/>
  <c r="D347" i="3"/>
  <c r="I347" i="3"/>
  <c r="G347" i="3"/>
  <c r="E347" i="3"/>
  <c r="C347" i="3"/>
  <c r="A347" i="3"/>
  <c r="H351" i="3"/>
  <c r="F351" i="3"/>
  <c r="D351" i="3"/>
  <c r="I351" i="3"/>
  <c r="G351" i="3"/>
  <c r="E351" i="3"/>
  <c r="C351" i="3"/>
  <c r="A351" i="3"/>
  <c r="H355" i="3"/>
  <c r="F355" i="3"/>
  <c r="D355" i="3"/>
  <c r="I355" i="3"/>
  <c r="G355" i="3"/>
  <c r="E355" i="3"/>
  <c r="C355" i="3"/>
  <c r="A355" i="3"/>
  <c r="H359" i="3"/>
  <c r="F359" i="3"/>
  <c r="D359" i="3"/>
  <c r="I359" i="3"/>
  <c r="G359" i="3"/>
  <c r="E359" i="3"/>
  <c r="C359" i="3"/>
  <c r="A359" i="3"/>
  <c r="H363" i="3"/>
  <c r="F363" i="3"/>
  <c r="D363" i="3"/>
  <c r="I363" i="3"/>
  <c r="G363" i="3"/>
  <c r="E363" i="3"/>
  <c r="C363" i="3"/>
  <c r="A363" i="3"/>
  <c r="H367" i="3"/>
  <c r="F367" i="3"/>
  <c r="D367" i="3"/>
  <c r="I367" i="3"/>
  <c r="G367" i="3"/>
  <c r="E367" i="3"/>
  <c r="C367" i="3"/>
  <c r="A367" i="3"/>
  <c r="H371" i="3"/>
  <c r="F371" i="3"/>
  <c r="D371" i="3"/>
  <c r="I371" i="3"/>
  <c r="G371" i="3"/>
  <c r="E371" i="3"/>
  <c r="C371" i="3"/>
  <c r="A371" i="3"/>
  <c r="H375" i="3"/>
  <c r="F375" i="3"/>
  <c r="D375" i="3"/>
  <c r="I375" i="3"/>
  <c r="G375" i="3"/>
  <c r="E375" i="3"/>
  <c r="C375" i="3"/>
  <c r="A375" i="3"/>
  <c r="H379" i="3"/>
  <c r="F379" i="3"/>
  <c r="D379" i="3"/>
  <c r="I379" i="3"/>
  <c r="G379" i="3"/>
  <c r="E379" i="3"/>
  <c r="C379" i="3"/>
  <c r="A379" i="3"/>
  <c r="H383" i="3"/>
  <c r="F383" i="3"/>
  <c r="D383" i="3"/>
  <c r="I383" i="3"/>
  <c r="G383" i="3"/>
  <c r="E383" i="3"/>
  <c r="C383" i="3"/>
  <c r="A383" i="3"/>
  <c r="H387" i="3"/>
  <c r="F387" i="3"/>
  <c r="D387" i="3"/>
  <c r="I387" i="3"/>
  <c r="G387" i="3"/>
  <c r="E387" i="3"/>
  <c r="C387" i="3"/>
  <c r="A387" i="3"/>
  <c r="H391" i="3"/>
  <c r="F391" i="3"/>
  <c r="D391" i="3"/>
  <c r="I391" i="3"/>
  <c r="G391" i="3"/>
  <c r="E391" i="3"/>
  <c r="C391" i="3"/>
  <c r="A391" i="3"/>
  <c r="H395" i="3"/>
  <c r="F395" i="3"/>
  <c r="D395" i="3"/>
  <c r="I395" i="3"/>
  <c r="G395" i="3"/>
  <c r="E395" i="3"/>
  <c r="C395" i="3"/>
  <c r="A395" i="3"/>
  <c r="H399" i="3"/>
  <c r="F399" i="3"/>
  <c r="D399" i="3"/>
  <c r="I399" i="3"/>
  <c r="G399" i="3"/>
  <c r="E399" i="3"/>
  <c r="C399" i="3"/>
  <c r="A399" i="3"/>
  <c r="H403" i="3"/>
  <c r="F403" i="3"/>
  <c r="D403" i="3"/>
  <c r="I403" i="3"/>
  <c r="G403" i="3"/>
  <c r="E403" i="3"/>
  <c r="C403" i="3"/>
  <c r="A403" i="3"/>
  <c r="H407" i="3"/>
  <c r="F407" i="3"/>
  <c r="D407" i="3"/>
  <c r="I407" i="3"/>
  <c r="G407" i="3"/>
  <c r="E407" i="3"/>
  <c r="C407" i="3"/>
  <c r="A407" i="3"/>
  <c r="H411" i="3"/>
  <c r="F411" i="3"/>
  <c r="D411" i="3"/>
  <c r="I411" i="3"/>
  <c r="G411" i="3"/>
  <c r="E411" i="3"/>
  <c r="C411" i="3"/>
  <c r="A411" i="3"/>
  <c r="H415" i="3"/>
  <c r="F415" i="3"/>
  <c r="D415" i="3"/>
  <c r="I415" i="3"/>
  <c r="G415" i="3"/>
  <c r="E415" i="3"/>
  <c r="C415" i="3"/>
  <c r="A415" i="3"/>
  <c r="H419" i="3"/>
  <c r="F419" i="3"/>
  <c r="D419" i="3"/>
  <c r="I419" i="3"/>
  <c r="G419" i="3"/>
  <c r="E419" i="3"/>
  <c r="C419" i="3"/>
  <c r="A419" i="3"/>
  <c r="H423" i="3"/>
  <c r="F423" i="3"/>
  <c r="D423" i="3"/>
  <c r="I423" i="3"/>
  <c r="G423" i="3"/>
  <c r="E423" i="3"/>
  <c r="C423" i="3"/>
  <c r="A423" i="3"/>
  <c r="H427" i="3"/>
  <c r="F427" i="3"/>
  <c r="D427" i="3"/>
  <c r="I427" i="3"/>
  <c r="G427" i="3"/>
  <c r="E427" i="3"/>
  <c r="C427" i="3"/>
  <c r="A427" i="3"/>
  <c r="H431" i="3"/>
  <c r="F431" i="3"/>
  <c r="D431" i="3"/>
  <c r="I431" i="3"/>
  <c r="G431" i="3"/>
  <c r="E431" i="3"/>
  <c r="C431" i="3"/>
  <c r="A431" i="3"/>
  <c r="H435" i="3"/>
  <c r="F435" i="3"/>
  <c r="D435" i="3"/>
  <c r="I435" i="3"/>
  <c r="G435" i="3"/>
  <c r="E435" i="3"/>
  <c r="C435" i="3"/>
  <c r="A435" i="3"/>
  <c r="H439" i="3"/>
  <c r="F439" i="3"/>
  <c r="D439" i="3"/>
  <c r="I439" i="3"/>
  <c r="G439" i="3"/>
  <c r="E439" i="3"/>
  <c r="C439" i="3"/>
  <c r="A439" i="3"/>
  <c r="H443" i="3"/>
  <c r="F443" i="3"/>
  <c r="D443" i="3"/>
  <c r="I443" i="3"/>
  <c r="G443" i="3"/>
  <c r="E443" i="3"/>
  <c r="C443" i="3"/>
  <c r="A443" i="3"/>
  <c r="H447" i="3"/>
  <c r="F447" i="3"/>
  <c r="D447" i="3"/>
  <c r="I447" i="3"/>
  <c r="G447" i="3"/>
  <c r="E447" i="3"/>
  <c r="C447" i="3"/>
  <c r="A447" i="3"/>
  <c r="H451" i="3"/>
  <c r="F451" i="3"/>
  <c r="D451" i="3"/>
  <c r="I451" i="3"/>
  <c r="G451" i="3"/>
  <c r="E451" i="3"/>
  <c r="C451" i="3"/>
  <c r="A451" i="3"/>
  <c r="H455" i="3"/>
  <c r="F455" i="3"/>
  <c r="D455" i="3"/>
  <c r="I455" i="3"/>
  <c r="G455" i="3"/>
  <c r="E455" i="3"/>
  <c r="C455" i="3"/>
  <c r="A455" i="3"/>
  <c r="H459" i="3"/>
  <c r="F459" i="3"/>
  <c r="D459" i="3"/>
  <c r="I459" i="3"/>
  <c r="G459" i="3"/>
  <c r="E459" i="3"/>
  <c r="C459" i="3"/>
  <c r="A459" i="3"/>
  <c r="H463" i="3"/>
  <c r="F463" i="3"/>
  <c r="D463" i="3"/>
  <c r="I463" i="3"/>
  <c r="G463" i="3"/>
  <c r="E463" i="3"/>
  <c r="C463" i="3"/>
  <c r="A463" i="3"/>
  <c r="H467" i="3"/>
  <c r="F467" i="3"/>
  <c r="D467" i="3"/>
  <c r="I467" i="3"/>
  <c r="G467" i="3"/>
  <c r="E467" i="3"/>
  <c r="C467" i="3"/>
  <c r="A467" i="3"/>
  <c r="H471" i="3"/>
  <c r="F471" i="3"/>
  <c r="D471" i="3"/>
  <c r="I471" i="3"/>
  <c r="G471" i="3"/>
  <c r="E471" i="3"/>
  <c r="C471" i="3"/>
  <c r="A471" i="3"/>
  <c r="H475" i="3"/>
  <c r="F475" i="3"/>
  <c r="D475" i="3"/>
  <c r="I475" i="3"/>
  <c r="G475" i="3"/>
  <c r="E475" i="3"/>
  <c r="C475" i="3"/>
  <c r="A475" i="3"/>
  <c r="H479" i="3"/>
  <c r="F479" i="3"/>
  <c r="D479" i="3"/>
  <c r="I479" i="3"/>
  <c r="G479" i="3"/>
  <c r="E479" i="3"/>
  <c r="C479" i="3"/>
  <c r="A479" i="3"/>
  <c r="H483" i="3"/>
  <c r="F483" i="3"/>
  <c r="D483" i="3"/>
  <c r="I483" i="3"/>
  <c r="G483" i="3"/>
  <c r="E483" i="3"/>
  <c r="C483" i="3"/>
  <c r="A483" i="3"/>
  <c r="H487" i="3"/>
  <c r="F487" i="3"/>
  <c r="D487" i="3"/>
  <c r="I487" i="3"/>
  <c r="G487" i="3"/>
  <c r="E487" i="3"/>
  <c r="C487" i="3"/>
  <c r="A487" i="3"/>
  <c r="H491" i="3"/>
  <c r="F491" i="3"/>
  <c r="D491" i="3"/>
  <c r="I491" i="3"/>
  <c r="G491" i="3"/>
  <c r="E491" i="3"/>
  <c r="C491" i="3"/>
  <c r="A491" i="3"/>
  <c r="H495" i="3"/>
  <c r="F495" i="3"/>
  <c r="D495" i="3"/>
  <c r="I495" i="3"/>
  <c r="G495" i="3"/>
  <c r="E495" i="3"/>
  <c r="C495" i="3"/>
  <c r="A495" i="3"/>
  <c r="H499" i="3"/>
  <c r="F499" i="3"/>
  <c r="D499" i="3"/>
  <c r="I499" i="3"/>
  <c r="G499" i="3"/>
  <c r="E499" i="3"/>
  <c r="C499" i="3"/>
  <c r="A499" i="3"/>
  <c r="H503" i="3"/>
  <c r="F503" i="3"/>
  <c r="D503" i="3"/>
  <c r="I503" i="3"/>
  <c r="G503" i="3"/>
  <c r="E503" i="3"/>
  <c r="C503" i="3"/>
  <c r="A503" i="3"/>
  <c r="H507" i="3"/>
  <c r="F507" i="3"/>
  <c r="D507" i="3"/>
  <c r="I507" i="3"/>
  <c r="G507" i="3"/>
  <c r="E507" i="3"/>
  <c r="C507" i="3"/>
  <c r="A507" i="3"/>
  <c r="H511" i="3"/>
  <c r="F511" i="3"/>
  <c r="D511" i="3"/>
  <c r="I511" i="3"/>
  <c r="G511" i="3"/>
  <c r="E511" i="3"/>
  <c r="C511" i="3"/>
  <c r="A511" i="3"/>
  <c r="H515" i="3"/>
  <c r="F515" i="3"/>
  <c r="D515" i="3"/>
  <c r="I515" i="3"/>
  <c r="G515" i="3"/>
  <c r="E515" i="3"/>
  <c r="C515" i="3"/>
  <c r="A515" i="3"/>
  <c r="H519" i="3"/>
  <c r="F519" i="3"/>
  <c r="D519" i="3"/>
  <c r="I519" i="3"/>
  <c r="G519" i="3"/>
  <c r="E519" i="3"/>
  <c r="C519" i="3"/>
  <c r="A519" i="3"/>
  <c r="H523" i="3"/>
  <c r="F523" i="3"/>
  <c r="D523" i="3"/>
  <c r="I523" i="3"/>
  <c r="G523" i="3"/>
  <c r="E523" i="3"/>
  <c r="C523" i="3"/>
  <c r="A523" i="3"/>
  <c r="H527" i="3"/>
  <c r="F527" i="3"/>
  <c r="D527" i="3"/>
  <c r="I527" i="3"/>
  <c r="G527" i="3"/>
  <c r="E527" i="3"/>
  <c r="C527" i="3"/>
  <c r="A527" i="3"/>
  <c r="H531" i="3"/>
  <c r="F531" i="3"/>
  <c r="D531" i="3"/>
  <c r="I531" i="3"/>
  <c r="G531" i="3"/>
  <c r="E531" i="3"/>
  <c r="C531" i="3"/>
  <c r="A531" i="3"/>
  <c r="H535" i="3"/>
  <c r="F535" i="3"/>
  <c r="D535" i="3"/>
  <c r="I535" i="3"/>
  <c r="G535" i="3"/>
  <c r="E535" i="3"/>
  <c r="C535" i="3"/>
  <c r="A535" i="3"/>
  <c r="H539" i="3"/>
  <c r="F539" i="3"/>
  <c r="D539" i="3"/>
  <c r="I539" i="3"/>
  <c r="G539" i="3"/>
  <c r="E539" i="3"/>
  <c r="C539" i="3"/>
  <c r="A539" i="3"/>
  <c r="H543" i="3"/>
  <c r="F543" i="3"/>
  <c r="D543" i="3"/>
  <c r="I543" i="3"/>
  <c r="G543" i="3"/>
  <c r="E543" i="3"/>
  <c r="C543" i="3"/>
  <c r="A543" i="3"/>
  <c r="H547" i="3"/>
  <c r="F547" i="3"/>
  <c r="D547" i="3"/>
  <c r="I547" i="3"/>
  <c r="G547" i="3"/>
  <c r="E547" i="3"/>
  <c r="C547" i="3"/>
  <c r="A547" i="3"/>
  <c r="H551" i="3"/>
  <c r="F551" i="3"/>
  <c r="D551" i="3"/>
  <c r="I551" i="3"/>
  <c r="G551" i="3"/>
  <c r="E551" i="3"/>
  <c r="C551" i="3"/>
  <c r="A551" i="3"/>
  <c r="H555" i="3"/>
  <c r="F555" i="3"/>
  <c r="D555" i="3"/>
  <c r="I555" i="3"/>
  <c r="G555" i="3"/>
  <c r="E555" i="3"/>
  <c r="C555" i="3"/>
  <c r="A555" i="3"/>
  <c r="H559" i="3"/>
  <c r="F559" i="3"/>
  <c r="D559" i="3"/>
  <c r="I559" i="3"/>
  <c r="G559" i="3"/>
  <c r="E559" i="3"/>
  <c r="C559" i="3"/>
  <c r="A559" i="3"/>
  <c r="H563" i="3"/>
  <c r="F563" i="3"/>
  <c r="D563" i="3"/>
  <c r="I563" i="3"/>
  <c r="G563" i="3"/>
  <c r="E563" i="3"/>
  <c r="C563" i="3"/>
  <c r="A563" i="3"/>
  <c r="H567" i="3"/>
  <c r="F567" i="3"/>
  <c r="D567" i="3"/>
  <c r="I567" i="3"/>
  <c r="G567" i="3"/>
  <c r="E567" i="3"/>
  <c r="C567" i="3"/>
  <c r="A567" i="3"/>
  <c r="H571" i="3"/>
  <c r="F571" i="3"/>
  <c r="D571" i="3"/>
  <c r="I571" i="3"/>
  <c r="G571" i="3"/>
  <c r="E571" i="3"/>
  <c r="C571" i="3"/>
  <c r="A571" i="3"/>
  <c r="H575" i="3"/>
  <c r="F575" i="3"/>
  <c r="D575" i="3"/>
  <c r="I575" i="3"/>
  <c r="G575" i="3"/>
  <c r="E575" i="3"/>
  <c r="C575" i="3"/>
  <c r="A575" i="3"/>
  <c r="H579" i="3"/>
  <c r="F579" i="3"/>
  <c r="D579" i="3"/>
  <c r="I579" i="3"/>
  <c r="G579" i="3"/>
  <c r="E579" i="3"/>
  <c r="C579" i="3"/>
  <c r="A579" i="3"/>
  <c r="H583" i="3"/>
  <c r="F583" i="3"/>
  <c r="D583" i="3"/>
  <c r="I583" i="3"/>
  <c r="G583" i="3"/>
  <c r="E583" i="3"/>
  <c r="C583" i="3"/>
  <c r="A583" i="3"/>
  <c r="H587" i="3"/>
  <c r="F587" i="3"/>
  <c r="D587" i="3"/>
  <c r="I587" i="3"/>
  <c r="G587" i="3"/>
  <c r="E587" i="3"/>
  <c r="C587" i="3"/>
  <c r="A587" i="3"/>
  <c r="H591" i="3"/>
  <c r="F591" i="3"/>
  <c r="D591" i="3"/>
  <c r="I591" i="3"/>
  <c r="G591" i="3"/>
  <c r="E591" i="3"/>
  <c r="C591" i="3"/>
  <c r="A591" i="3"/>
  <c r="H595" i="3"/>
  <c r="F595" i="3"/>
  <c r="D595" i="3"/>
  <c r="I595" i="3"/>
  <c r="G595" i="3"/>
  <c r="E595" i="3"/>
  <c r="C595" i="3"/>
  <c r="A595" i="3"/>
  <c r="H599" i="3"/>
  <c r="F599" i="3"/>
  <c r="D599" i="3"/>
  <c r="I599" i="3"/>
  <c r="G599" i="3"/>
  <c r="E599" i="3"/>
  <c r="C599" i="3"/>
  <c r="A599" i="3"/>
  <c r="H603" i="3"/>
  <c r="F603" i="3"/>
  <c r="D603" i="3"/>
  <c r="I603" i="3"/>
  <c r="G603" i="3"/>
  <c r="E603" i="3"/>
  <c r="C603" i="3"/>
  <c r="A603" i="3"/>
  <c r="H607" i="3"/>
  <c r="F607" i="3"/>
  <c r="D607" i="3"/>
  <c r="I607" i="3"/>
  <c r="G607" i="3"/>
  <c r="E607" i="3"/>
  <c r="C607" i="3"/>
  <c r="A607" i="3"/>
  <c r="H611" i="3"/>
  <c r="F611" i="3"/>
  <c r="D611" i="3"/>
  <c r="I611" i="3"/>
  <c r="G611" i="3"/>
  <c r="E611" i="3"/>
  <c r="C611" i="3"/>
  <c r="A611" i="3"/>
  <c r="H615" i="3"/>
  <c r="F615" i="3"/>
  <c r="D615" i="3"/>
  <c r="I615" i="3"/>
  <c r="G615" i="3"/>
  <c r="E615" i="3"/>
  <c r="C615" i="3"/>
  <c r="A615" i="3"/>
  <c r="H619" i="3"/>
  <c r="F619" i="3"/>
  <c r="D619" i="3"/>
  <c r="I619" i="3"/>
  <c r="G619" i="3"/>
  <c r="E619" i="3"/>
  <c r="C619" i="3"/>
  <c r="A619" i="3"/>
  <c r="H623" i="3"/>
  <c r="F623" i="3"/>
  <c r="D623" i="3"/>
  <c r="I623" i="3"/>
  <c r="G623" i="3"/>
  <c r="E623" i="3"/>
  <c r="C623" i="3"/>
  <c r="A623" i="3"/>
  <c r="H627" i="3"/>
  <c r="F627" i="3"/>
  <c r="D627" i="3"/>
  <c r="I627" i="3"/>
  <c r="G627" i="3"/>
  <c r="E627" i="3"/>
  <c r="C627" i="3"/>
  <c r="A627" i="3"/>
  <c r="H631" i="3"/>
  <c r="F631" i="3"/>
  <c r="D631" i="3"/>
  <c r="I631" i="3"/>
  <c r="G631" i="3"/>
  <c r="E631" i="3"/>
  <c r="C631" i="3"/>
  <c r="A631" i="3"/>
  <c r="H635" i="3"/>
  <c r="F635" i="3"/>
  <c r="D635" i="3"/>
  <c r="I635" i="3"/>
  <c r="G635" i="3"/>
  <c r="E635" i="3"/>
  <c r="C635" i="3"/>
  <c r="A635" i="3"/>
  <c r="H639" i="3"/>
  <c r="F639" i="3"/>
  <c r="D639" i="3"/>
  <c r="I639" i="3"/>
  <c r="G639" i="3"/>
  <c r="E639" i="3"/>
  <c r="C639" i="3"/>
  <c r="A639" i="3"/>
  <c r="H643" i="3"/>
  <c r="F643" i="3"/>
  <c r="D643" i="3"/>
  <c r="I643" i="3"/>
  <c r="G643" i="3"/>
  <c r="E643" i="3"/>
  <c r="C643" i="3"/>
  <c r="A643" i="3"/>
  <c r="H647" i="3"/>
  <c r="F647" i="3"/>
  <c r="D647" i="3"/>
  <c r="I647" i="3"/>
  <c r="G647" i="3"/>
  <c r="E647" i="3"/>
  <c r="C647" i="3"/>
  <c r="A647" i="3"/>
  <c r="H651" i="3"/>
  <c r="F651" i="3"/>
  <c r="D651" i="3"/>
  <c r="I651" i="3"/>
  <c r="G651" i="3"/>
  <c r="E651" i="3"/>
  <c r="C651" i="3"/>
  <c r="A651" i="3"/>
  <c r="H655" i="3"/>
  <c r="F655" i="3"/>
  <c r="D655" i="3"/>
  <c r="I655" i="3"/>
  <c r="G655" i="3"/>
  <c r="E655" i="3"/>
  <c r="C655" i="3"/>
  <c r="A655" i="3"/>
  <c r="H659" i="3"/>
  <c r="F659" i="3"/>
  <c r="D659" i="3"/>
  <c r="I659" i="3"/>
  <c r="G659" i="3"/>
  <c r="E659" i="3"/>
  <c r="C659" i="3"/>
  <c r="A659" i="3"/>
  <c r="H663" i="3"/>
  <c r="F663" i="3"/>
  <c r="D663" i="3"/>
  <c r="I663" i="3"/>
  <c r="G663" i="3"/>
  <c r="E663" i="3"/>
  <c r="C663" i="3"/>
  <c r="A663" i="3"/>
  <c r="H667" i="3"/>
  <c r="F667" i="3"/>
  <c r="D667" i="3"/>
  <c r="I667" i="3"/>
  <c r="G667" i="3"/>
  <c r="E667" i="3"/>
  <c r="C667" i="3"/>
  <c r="A667" i="3"/>
  <c r="H671" i="3"/>
  <c r="F671" i="3"/>
  <c r="D671" i="3"/>
  <c r="I671" i="3"/>
  <c r="G671" i="3"/>
  <c r="E671" i="3"/>
  <c r="C671" i="3"/>
  <c r="A671" i="3"/>
  <c r="H675" i="3"/>
  <c r="F675" i="3"/>
  <c r="D675" i="3"/>
  <c r="I675" i="3"/>
  <c r="G675" i="3"/>
  <c r="E675" i="3"/>
  <c r="C675" i="3"/>
  <c r="A675" i="3"/>
  <c r="H679" i="3"/>
  <c r="F679" i="3"/>
  <c r="D679" i="3"/>
  <c r="I679" i="3"/>
  <c r="G679" i="3"/>
  <c r="E679" i="3"/>
  <c r="C679" i="3"/>
  <c r="A679" i="3"/>
  <c r="H683" i="3"/>
  <c r="F683" i="3"/>
  <c r="D683" i="3"/>
  <c r="I683" i="3"/>
  <c r="G683" i="3"/>
  <c r="E683" i="3"/>
  <c r="C683" i="3"/>
  <c r="A683" i="3"/>
  <c r="H687" i="3"/>
  <c r="F687" i="3"/>
  <c r="D687" i="3"/>
  <c r="I687" i="3"/>
  <c r="G687" i="3"/>
  <c r="E687" i="3"/>
  <c r="C687" i="3"/>
  <c r="A687" i="3"/>
  <c r="H691" i="3"/>
  <c r="F691" i="3"/>
  <c r="D691" i="3"/>
  <c r="I691" i="3"/>
  <c r="G691" i="3"/>
  <c r="E691" i="3"/>
  <c r="C691" i="3"/>
  <c r="A691" i="3"/>
  <c r="H695" i="3"/>
  <c r="F695" i="3"/>
  <c r="D695" i="3"/>
  <c r="I695" i="3"/>
  <c r="G695" i="3"/>
  <c r="E695" i="3"/>
  <c r="C695" i="3"/>
  <c r="A695" i="3"/>
  <c r="H699" i="3"/>
  <c r="F699" i="3"/>
  <c r="D699" i="3"/>
  <c r="I699" i="3"/>
  <c r="G699" i="3"/>
  <c r="E699" i="3"/>
  <c r="C699" i="3"/>
  <c r="A699" i="3"/>
  <c r="H703" i="3"/>
  <c r="F703" i="3"/>
  <c r="D703" i="3"/>
  <c r="I703" i="3"/>
  <c r="G703" i="3"/>
  <c r="E703" i="3"/>
  <c r="C703" i="3"/>
  <c r="A703" i="3"/>
  <c r="H707" i="3"/>
  <c r="F707" i="3"/>
  <c r="D707" i="3"/>
  <c r="I707" i="3"/>
  <c r="G707" i="3"/>
  <c r="E707" i="3"/>
  <c r="C707" i="3"/>
  <c r="A707" i="3"/>
  <c r="H711" i="3"/>
  <c r="F711" i="3"/>
  <c r="D711" i="3"/>
  <c r="I711" i="3"/>
  <c r="G711" i="3"/>
  <c r="E711" i="3"/>
  <c r="C711" i="3"/>
  <c r="A711" i="3"/>
  <c r="H715" i="3"/>
  <c r="F715" i="3"/>
  <c r="D715" i="3"/>
  <c r="I715" i="3"/>
  <c r="G715" i="3"/>
  <c r="E715" i="3"/>
  <c r="C715" i="3"/>
  <c r="A715" i="3"/>
  <c r="H719" i="3"/>
  <c r="F719" i="3"/>
  <c r="D719" i="3"/>
  <c r="I719" i="3"/>
  <c r="G719" i="3"/>
  <c r="E719" i="3"/>
  <c r="C719" i="3"/>
  <c r="A719" i="3"/>
  <c r="H723" i="3"/>
  <c r="F723" i="3"/>
  <c r="D723" i="3"/>
  <c r="I723" i="3"/>
  <c r="G723" i="3"/>
  <c r="E723" i="3"/>
  <c r="C723" i="3"/>
  <c r="A723" i="3"/>
  <c r="H727" i="3"/>
  <c r="F727" i="3"/>
  <c r="D727" i="3"/>
  <c r="I727" i="3"/>
  <c r="G727" i="3"/>
  <c r="E727" i="3"/>
  <c r="C727" i="3"/>
  <c r="A727" i="3"/>
  <c r="H731" i="3"/>
  <c r="F731" i="3"/>
  <c r="D731" i="3"/>
  <c r="I731" i="3"/>
  <c r="G731" i="3"/>
  <c r="E731" i="3"/>
  <c r="C731" i="3"/>
  <c r="A731" i="3"/>
  <c r="H735" i="3"/>
  <c r="F735" i="3"/>
  <c r="D735" i="3"/>
  <c r="I735" i="3"/>
  <c r="G735" i="3"/>
  <c r="E735" i="3"/>
  <c r="C735" i="3"/>
  <c r="A735" i="3"/>
  <c r="H739" i="3"/>
  <c r="F739" i="3"/>
  <c r="D739" i="3"/>
  <c r="I739" i="3"/>
  <c r="G739" i="3"/>
  <c r="E739" i="3"/>
  <c r="C739" i="3"/>
  <c r="A739" i="3"/>
  <c r="H743" i="3"/>
  <c r="F743" i="3"/>
  <c r="D743" i="3"/>
  <c r="I743" i="3"/>
  <c r="G743" i="3"/>
  <c r="E743" i="3"/>
  <c r="C743" i="3"/>
  <c r="A743" i="3"/>
  <c r="H747" i="3"/>
  <c r="F747" i="3"/>
  <c r="D747" i="3"/>
  <c r="I747" i="3"/>
  <c r="G747" i="3"/>
  <c r="E747" i="3"/>
  <c r="C747" i="3"/>
  <c r="A747" i="3"/>
  <c r="H751" i="3"/>
  <c r="F751" i="3"/>
  <c r="D751" i="3"/>
  <c r="I751" i="3"/>
  <c r="G751" i="3"/>
  <c r="E751" i="3"/>
  <c r="C751" i="3"/>
  <c r="A751" i="3"/>
  <c r="H755" i="3"/>
  <c r="F755" i="3"/>
  <c r="D755" i="3"/>
  <c r="I755" i="3"/>
  <c r="G755" i="3"/>
  <c r="E755" i="3"/>
  <c r="C755" i="3"/>
  <c r="A755" i="3"/>
  <c r="H759" i="3"/>
  <c r="F759" i="3"/>
  <c r="D759" i="3"/>
  <c r="I759" i="3"/>
  <c r="G759" i="3"/>
  <c r="E759" i="3"/>
  <c r="C759" i="3"/>
  <c r="A759" i="3"/>
  <c r="H763" i="3"/>
  <c r="F763" i="3"/>
  <c r="D763" i="3"/>
  <c r="I763" i="3"/>
  <c r="G763" i="3"/>
  <c r="E763" i="3"/>
  <c r="C763" i="3"/>
  <c r="A763" i="3"/>
  <c r="H767" i="3"/>
  <c r="F767" i="3"/>
  <c r="D767" i="3"/>
  <c r="I767" i="3"/>
  <c r="G767" i="3"/>
  <c r="E767" i="3"/>
  <c r="C767" i="3"/>
  <c r="A767" i="3"/>
  <c r="H771" i="3"/>
  <c r="F771" i="3"/>
  <c r="D771" i="3"/>
  <c r="I771" i="3"/>
  <c r="G771" i="3"/>
  <c r="E771" i="3"/>
  <c r="C771" i="3"/>
  <c r="A771" i="3"/>
  <c r="H775" i="3"/>
  <c r="F775" i="3"/>
  <c r="D775" i="3"/>
  <c r="I775" i="3"/>
  <c r="G775" i="3"/>
  <c r="E775" i="3"/>
  <c r="C775" i="3"/>
  <c r="A775" i="3"/>
  <c r="H779" i="3"/>
  <c r="F779" i="3"/>
  <c r="D779" i="3"/>
  <c r="I779" i="3"/>
  <c r="G779" i="3"/>
  <c r="E779" i="3"/>
  <c r="C779" i="3"/>
  <c r="A779" i="3"/>
  <c r="H783" i="3"/>
  <c r="F783" i="3"/>
  <c r="D783" i="3"/>
  <c r="I783" i="3"/>
  <c r="G783" i="3"/>
  <c r="E783" i="3"/>
  <c r="C783" i="3"/>
  <c r="A783" i="3"/>
  <c r="H787" i="3"/>
  <c r="F787" i="3"/>
  <c r="D787" i="3"/>
  <c r="I787" i="3"/>
  <c r="G787" i="3"/>
  <c r="E787" i="3"/>
  <c r="C787" i="3"/>
  <c r="A787" i="3"/>
  <c r="H791" i="3"/>
  <c r="F791" i="3"/>
  <c r="D791" i="3"/>
  <c r="I791" i="3"/>
  <c r="G791" i="3"/>
  <c r="E791" i="3"/>
  <c r="C791" i="3"/>
  <c r="A791" i="3"/>
  <c r="H795" i="3"/>
  <c r="F795" i="3"/>
  <c r="D795" i="3"/>
  <c r="I795" i="3"/>
  <c r="G795" i="3"/>
  <c r="E795" i="3"/>
  <c r="C795" i="3"/>
  <c r="A795" i="3"/>
  <c r="H799" i="3"/>
  <c r="F799" i="3"/>
  <c r="D799" i="3"/>
  <c r="I799" i="3"/>
  <c r="G799" i="3"/>
  <c r="E799" i="3"/>
  <c r="C799" i="3"/>
  <c r="A799" i="3"/>
  <c r="H803" i="3"/>
  <c r="F803" i="3"/>
  <c r="D803" i="3"/>
  <c r="I803" i="3"/>
  <c r="G803" i="3"/>
  <c r="E803" i="3"/>
  <c r="C803" i="3"/>
  <c r="A803" i="3"/>
  <c r="H807" i="3"/>
  <c r="F807" i="3"/>
  <c r="D807" i="3"/>
  <c r="I807" i="3"/>
  <c r="G807" i="3"/>
  <c r="E807" i="3"/>
  <c r="C807" i="3"/>
  <c r="A807" i="3"/>
  <c r="H811" i="3"/>
  <c r="F811" i="3"/>
  <c r="D811" i="3"/>
  <c r="I811" i="3"/>
  <c r="G811" i="3"/>
  <c r="E811" i="3"/>
  <c r="C811" i="3"/>
  <c r="A811" i="3"/>
  <c r="H815" i="3"/>
  <c r="F815" i="3"/>
  <c r="D815" i="3"/>
  <c r="I815" i="3"/>
  <c r="G815" i="3"/>
  <c r="E815" i="3"/>
  <c r="C815" i="3"/>
  <c r="A815" i="3"/>
  <c r="H819" i="3"/>
  <c r="F819" i="3"/>
  <c r="D819" i="3"/>
  <c r="I819" i="3"/>
  <c r="G819" i="3"/>
  <c r="E819" i="3"/>
  <c r="C819" i="3"/>
  <c r="A819" i="3"/>
  <c r="H823" i="3"/>
  <c r="F823" i="3"/>
  <c r="D823" i="3"/>
  <c r="I823" i="3"/>
  <c r="G823" i="3"/>
  <c r="E823" i="3"/>
  <c r="C823" i="3"/>
  <c r="A823" i="3"/>
  <c r="H827" i="3"/>
  <c r="F827" i="3"/>
  <c r="D827" i="3"/>
  <c r="I827" i="3"/>
  <c r="G827" i="3"/>
  <c r="E827" i="3"/>
  <c r="C827" i="3"/>
  <c r="A827" i="3"/>
  <c r="H831" i="3"/>
  <c r="F831" i="3"/>
  <c r="D831" i="3"/>
  <c r="I831" i="3"/>
  <c r="G831" i="3"/>
  <c r="E831" i="3"/>
  <c r="C831" i="3"/>
  <c r="A831" i="3"/>
  <c r="H835" i="3"/>
  <c r="F835" i="3"/>
  <c r="D835" i="3"/>
  <c r="I835" i="3"/>
  <c r="G835" i="3"/>
  <c r="E835" i="3"/>
  <c r="C835" i="3"/>
  <c r="A835" i="3"/>
  <c r="H839" i="3"/>
  <c r="F839" i="3"/>
  <c r="D839" i="3"/>
  <c r="I839" i="3"/>
  <c r="G839" i="3"/>
  <c r="E839" i="3"/>
  <c r="C839" i="3"/>
  <c r="A839" i="3"/>
  <c r="H843" i="3"/>
  <c r="F843" i="3"/>
  <c r="D843" i="3"/>
  <c r="I843" i="3"/>
  <c r="G843" i="3"/>
  <c r="E843" i="3"/>
  <c r="C843" i="3"/>
  <c r="A843" i="3"/>
  <c r="H847" i="3"/>
  <c r="F847" i="3"/>
  <c r="D847" i="3"/>
  <c r="I847" i="3"/>
  <c r="G847" i="3"/>
  <c r="E847" i="3"/>
  <c r="C847" i="3"/>
  <c r="A847" i="3"/>
  <c r="H851" i="3"/>
  <c r="F851" i="3"/>
  <c r="D851" i="3"/>
  <c r="I851" i="3"/>
  <c r="G851" i="3"/>
  <c r="E851" i="3"/>
  <c r="C851" i="3"/>
  <c r="A851" i="3"/>
  <c r="H855" i="3"/>
  <c r="F855" i="3"/>
  <c r="D855" i="3"/>
  <c r="I855" i="3"/>
  <c r="G855" i="3"/>
  <c r="E855" i="3"/>
  <c r="C855" i="3"/>
  <c r="A855" i="3"/>
  <c r="H859" i="3"/>
  <c r="F859" i="3"/>
  <c r="D859" i="3"/>
  <c r="I859" i="3"/>
  <c r="G859" i="3"/>
  <c r="E859" i="3"/>
  <c r="C859" i="3"/>
  <c r="A859" i="3"/>
  <c r="H863" i="3"/>
  <c r="F863" i="3"/>
  <c r="D863" i="3"/>
  <c r="I863" i="3"/>
  <c r="G863" i="3"/>
  <c r="E863" i="3"/>
  <c r="C863" i="3"/>
  <c r="A863" i="3"/>
  <c r="H867" i="3"/>
  <c r="F867" i="3"/>
  <c r="D867" i="3"/>
  <c r="I867" i="3"/>
  <c r="G867" i="3"/>
  <c r="E867" i="3"/>
  <c r="C867" i="3"/>
  <c r="A867" i="3"/>
  <c r="H871" i="3"/>
  <c r="F871" i="3"/>
  <c r="D871" i="3"/>
  <c r="I871" i="3"/>
  <c r="G871" i="3"/>
  <c r="E871" i="3"/>
  <c r="C871" i="3"/>
  <c r="A871" i="3"/>
  <c r="H875" i="3"/>
  <c r="F875" i="3"/>
  <c r="D875" i="3"/>
  <c r="I875" i="3"/>
  <c r="G875" i="3"/>
  <c r="E875" i="3"/>
  <c r="C875" i="3"/>
  <c r="A875" i="3"/>
  <c r="H879" i="3"/>
  <c r="F879" i="3"/>
  <c r="D879" i="3"/>
  <c r="I879" i="3"/>
  <c r="G879" i="3"/>
  <c r="E879" i="3"/>
  <c r="C879" i="3"/>
  <c r="A879" i="3"/>
  <c r="H883" i="3"/>
  <c r="F883" i="3"/>
  <c r="D883" i="3"/>
  <c r="I883" i="3"/>
  <c r="G883" i="3"/>
  <c r="E883" i="3"/>
  <c r="C883" i="3"/>
  <c r="A883" i="3"/>
  <c r="H887" i="3"/>
  <c r="F887" i="3"/>
  <c r="D887" i="3"/>
  <c r="I887" i="3"/>
  <c r="G887" i="3"/>
  <c r="E887" i="3"/>
  <c r="C887" i="3"/>
  <c r="A887" i="3"/>
  <c r="H891" i="3"/>
  <c r="F891" i="3"/>
  <c r="D891" i="3"/>
  <c r="I891" i="3"/>
  <c r="G891" i="3"/>
  <c r="E891" i="3"/>
  <c r="C891" i="3"/>
  <c r="A891" i="3"/>
  <c r="H895" i="3"/>
  <c r="F895" i="3"/>
  <c r="D895" i="3"/>
  <c r="I895" i="3"/>
  <c r="G895" i="3"/>
  <c r="E895" i="3"/>
  <c r="C895" i="3"/>
  <c r="A895" i="3"/>
  <c r="H899" i="3"/>
  <c r="F899" i="3"/>
  <c r="D899" i="3"/>
  <c r="I899" i="3"/>
  <c r="G899" i="3"/>
  <c r="E899" i="3"/>
  <c r="C899" i="3"/>
  <c r="A899" i="3"/>
  <c r="H903" i="3"/>
  <c r="F903" i="3"/>
  <c r="D903" i="3"/>
  <c r="I903" i="3"/>
  <c r="G903" i="3"/>
  <c r="E903" i="3"/>
  <c r="C903" i="3"/>
  <c r="A903" i="3"/>
  <c r="H907" i="3"/>
  <c r="F907" i="3"/>
  <c r="D907" i="3"/>
  <c r="I907" i="3"/>
  <c r="G907" i="3"/>
  <c r="E907" i="3"/>
  <c r="C907" i="3"/>
  <c r="A907" i="3"/>
  <c r="H911" i="3"/>
  <c r="F911" i="3"/>
  <c r="D911" i="3"/>
  <c r="I911" i="3"/>
  <c r="G911" i="3"/>
  <c r="E911" i="3"/>
  <c r="C911" i="3"/>
  <c r="A911" i="3"/>
  <c r="H915" i="3"/>
  <c r="F915" i="3"/>
  <c r="D915" i="3"/>
  <c r="I915" i="3"/>
  <c r="G915" i="3"/>
  <c r="E915" i="3"/>
  <c r="C915" i="3"/>
  <c r="A915" i="3"/>
  <c r="H919" i="3"/>
  <c r="F919" i="3"/>
  <c r="D919" i="3"/>
  <c r="I919" i="3"/>
  <c r="G919" i="3"/>
  <c r="E919" i="3"/>
  <c r="C919" i="3"/>
  <c r="A919" i="3"/>
  <c r="H923" i="3"/>
  <c r="F923" i="3"/>
  <c r="D923" i="3"/>
  <c r="I923" i="3"/>
  <c r="G923" i="3"/>
  <c r="E923" i="3"/>
  <c r="C923" i="3"/>
  <c r="A923" i="3"/>
  <c r="H927" i="3"/>
  <c r="F927" i="3"/>
  <c r="D927" i="3"/>
  <c r="I927" i="3"/>
  <c r="G927" i="3"/>
  <c r="E927" i="3"/>
  <c r="C927" i="3"/>
  <c r="A927" i="3"/>
  <c r="H931" i="3"/>
  <c r="F931" i="3"/>
  <c r="D931" i="3"/>
  <c r="I931" i="3"/>
  <c r="G931" i="3"/>
  <c r="E931" i="3"/>
  <c r="C931" i="3"/>
  <c r="A931" i="3"/>
  <c r="H935" i="3"/>
  <c r="F935" i="3"/>
  <c r="D935" i="3"/>
  <c r="I935" i="3"/>
  <c r="G935" i="3"/>
  <c r="E935" i="3"/>
  <c r="C935" i="3"/>
  <c r="A935" i="3"/>
  <c r="H939" i="3"/>
  <c r="F939" i="3"/>
  <c r="D939" i="3"/>
  <c r="I939" i="3"/>
  <c r="G939" i="3"/>
  <c r="E939" i="3"/>
  <c r="C939" i="3"/>
  <c r="A939" i="3"/>
  <c r="H943" i="3"/>
  <c r="F943" i="3"/>
  <c r="D943" i="3"/>
  <c r="I943" i="3"/>
  <c r="G943" i="3"/>
  <c r="E943" i="3"/>
  <c r="C943" i="3"/>
  <c r="A943" i="3"/>
  <c r="H947" i="3"/>
  <c r="F947" i="3"/>
  <c r="D947" i="3"/>
  <c r="I947" i="3"/>
  <c r="G947" i="3"/>
  <c r="E947" i="3"/>
  <c r="C947" i="3"/>
  <c r="A947" i="3"/>
  <c r="H951" i="3"/>
  <c r="F951" i="3"/>
  <c r="D951" i="3"/>
  <c r="I951" i="3"/>
  <c r="G951" i="3"/>
  <c r="E951" i="3"/>
  <c r="C951" i="3"/>
  <c r="A951" i="3"/>
  <c r="H955" i="3"/>
  <c r="F955" i="3"/>
  <c r="D955" i="3"/>
  <c r="I955" i="3"/>
  <c r="G955" i="3"/>
  <c r="E955" i="3"/>
  <c r="C955" i="3"/>
  <c r="A955" i="3"/>
  <c r="H959" i="3"/>
  <c r="F959" i="3"/>
  <c r="D959" i="3"/>
  <c r="I959" i="3"/>
  <c r="G959" i="3"/>
  <c r="E959" i="3"/>
  <c r="C959" i="3"/>
  <c r="A959" i="3"/>
  <c r="H963" i="3"/>
  <c r="F963" i="3"/>
  <c r="D963" i="3"/>
  <c r="I963" i="3"/>
  <c r="G963" i="3"/>
  <c r="E963" i="3"/>
  <c r="C963" i="3"/>
  <c r="A963" i="3"/>
  <c r="H967" i="3"/>
  <c r="F967" i="3"/>
  <c r="D967" i="3"/>
  <c r="I967" i="3"/>
  <c r="G967" i="3"/>
  <c r="E967" i="3"/>
  <c r="C967" i="3"/>
  <c r="A967" i="3"/>
  <c r="H971" i="3"/>
  <c r="F971" i="3"/>
  <c r="D971" i="3"/>
  <c r="I971" i="3"/>
  <c r="G971" i="3"/>
  <c r="E971" i="3"/>
  <c r="C971" i="3"/>
  <c r="A971" i="3"/>
  <c r="H975" i="3"/>
  <c r="F975" i="3"/>
  <c r="D975" i="3"/>
  <c r="I975" i="3"/>
  <c r="G975" i="3"/>
  <c r="E975" i="3"/>
  <c r="C975" i="3"/>
  <c r="A975" i="3"/>
  <c r="H979" i="3"/>
  <c r="F979" i="3"/>
  <c r="D979" i="3"/>
  <c r="I979" i="3"/>
  <c r="G979" i="3"/>
  <c r="E979" i="3"/>
  <c r="C979" i="3"/>
  <c r="A979" i="3"/>
  <c r="H983" i="3"/>
  <c r="F983" i="3"/>
  <c r="D983" i="3"/>
  <c r="I983" i="3"/>
  <c r="G983" i="3"/>
  <c r="E983" i="3"/>
  <c r="C983" i="3"/>
  <c r="A983" i="3"/>
  <c r="H987" i="3"/>
  <c r="F987" i="3"/>
  <c r="D987" i="3"/>
  <c r="I987" i="3"/>
  <c r="G987" i="3"/>
  <c r="E987" i="3"/>
  <c r="C987" i="3"/>
  <c r="A987" i="3"/>
  <c r="I994" i="3"/>
  <c r="G994" i="3"/>
  <c r="E994" i="3"/>
  <c r="C994" i="3"/>
  <c r="A994" i="3"/>
  <c r="F994" i="3"/>
  <c r="H994" i="3"/>
  <c r="D994" i="3"/>
  <c r="I1002" i="3"/>
  <c r="G1002" i="3"/>
  <c r="E1002" i="3"/>
  <c r="C1002" i="3"/>
  <c r="A1002" i="3"/>
  <c r="F1002" i="3"/>
  <c r="H1002" i="3"/>
  <c r="D1002" i="3"/>
  <c r="H989" i="3"/>
  <c r="F989" i="3"/>
  <c r="D989" i="3"/>
  <c r="G989" i="3"/>
  <c r="C989" i="3"/>
  <c r="I989" i="3"/>
  <c r="E989" i="3"/>
  <c r="A989" i="3"/>
  <c r="H993" i="3"/>
  <c r="F993" i="3"/>
  <c r="D993" i="3"/>
  <c r="G993" i="3"/>
  <c r="C993" i="3"/>
  <c r="I993" i="3"/>
  <c r="E993" i="3"/>
  <c r="A993" i="3"/>
  <c r="H997" i="3"/>
  <c r="F997" i="3"/>
  <c r="D997" i="3"/>
  <c r="G997" i="3"/>
  <c r="C997" i="3"/>
  <c r="I997" i="3"/>
  <c r="E997" i="3"/>
  <c r="A997" i="3"/>
  <c r="H1001" i="3"/>
  <c r="F1001" i="3"/>
  <c r="D1001" i="3"/>
  <c r="G1001" i="3"/>
  <c r="C1001" i="3"/>
  <c r="I1001" i="3"/>
  <c r="E1001" i="3"/>
  <c r="A1001" i="3"/>
  <c r="H1005" i="3"/>
  <c r="F1005" i="3"/>
  <c r="D1005" i="3"/>
  <c r="G1005" i="3"/>
  <c r="C1005" i="3"/>
  <c r="I1005" i="3"/>
  <c r="E1005" i="3"/>
  <c r="A1005" i="3"/>
  <c r="H1009" i="3"/>
  <c r="F1009" i="3"/>
  <c r="D1009" i="3"/>
  <c r="G1009" i="3"/>
  <c r="C1009" i="3"/>
  <c r="I1009" i="3"/>
  <c r="E1009" i="3"/>
  <c r="A1009" i="3"/>
  <c r="D17" i="3" l="1"/>
  <c r="G17" i="3"/>
  <c r="C17" i="3"/>
  <c r="F17" i="3"/>
  <c r="E17" i="3"/>
  <c r="H17" i="3" s="1"/>
  <c r="I17" i="3" s="1"/>
  <c r="A17" i="3"/>
  <c r="F19" i="3"/>
  <c r="E19" i="3"/>
  <c r="A19" i="3"/>
  <c r="D19" i="3"/>
  <c r="G19" i="3"/>
  <c r="H19" i="3" s="1"/>
  <c r="I19" i="3" s="1"/>
  <c r="C19" i="3"/>
  <c r="E18" i="3"/>
  <c r="A18" i="3"/>
  <c r="F18" i="3"/>
  <c r="G18" i="3"/>
  <c r="C18" i="3"/>
  <c r="H18" i="3"/>
  <c r="I18" i="3" s="1"/>
  <c r="D18" i="3"/>
  <c r="H16" i="3"/>
  <c r="I16" i="3" s="1"/>
  <c r="D14" i="3"/>
  <c r="G14" i="3"/>
  <c r="F14" i="3"/>
  <c r="A14" i="3"/>
  <c r="E14" i="3"/>
  <c r="H14" i="3" s="1"/>
  <c r="I14" i="3" s="1"/>
  <c r="H11" i="3"/>
  <c r="I11" i="3" s="1"/>
  <c r="H12" i="3"/>
  <c r="I12" i="3" s="1"/>
  <c r="C13" i="3"/>
  <c r="G13" i="3"/>
  <c r="D13" i="3"/>
  <c r="A13" i="3"/>
  <c r="E13" i="3"/>
  <c r="D10" i="3"/>
  <c r="C10" i="3"/>
  <c r="F10" i="3"/>
  <c r="H10" i="3" s="1"/>
  <c r="A10" i="3"/>
  <c r="C6" i="3"/>
  <c r="E6" i="3"/>
  <c r="F20" i="2"/>
  <c r="D20" i="2"/>
  <c r="B20" i="2"/>
  <c r="K20" i="2"/>
  <c r="I20" i="2"/>
  <c r="G20" i="2"/>
  <c r="C20" i="2"/>
  <c r="F24" i="2"/>
  <c r="D24" i="2"/>
  <c r="B24" i="2"/>
  <c r="K24" i="2"/>
  <c r="I24" i="2"/>
  <c r="G24" i="2"/>
  <c r="C24" i="2"/>
  <c r="F28" i="2"/>
  <c r="D28" i="2"/>
  <c r="B28" i="2"/>
  <c r="K28" i="2"/>
  <c r="I28" i="2"/>
  <c r="G28" i="2"/>
  <c r="C28" i="2"/>
  <c r="F32" i="2"/>
  <c r="D32" i="2"/>
  <c r="B32" i="2"/>
  <c r="K32" i="2"/>
  <c r="I32" i="2"/>
  <c r="G32" i="2"/>
  <c r="C32" i="2"/>
  <c r="F36" i="2"/>
  <c r="D36" i="2"/>
  <c r="B36" i="2"/>
  <c r="K36" i="2"/>
  <c r="I36" i="2"/>
  <c r="G36" i="2"/>
  <c r="C36" i="2"/>
  <c r="K40" i="2"/>
  <c r="I40" i="2"/>
  <c r="G40" i="2"/>
  <c r="D40" i="2"/>
  <c r="B40" i="2"/>
  <c r="F40" i="2"/>
  <c r="C40" i="2"/>
  <c r="K44" i="2"/>
  <c r="I44" i="2"/>
  <c r="G44" i="2"/>
  <c r="C44" i="2"/>
  <c r="D44" i="2"/>
  <c r="F44" i="2"/>
  <c r="B44" i="2"/>
  <c r="K48" i="2"/>
  <c r="I48" i="2"/>
  <c r="G48" i="2"/>
  <c r="C48" i="2"/>
  <c r="D48" i="2"/>
  <c r="F48" i="2"/>
  <c r="B48" i="2"/>
  <c r="K52" i="2"/>
  <c r="I52" i="2"/>
  <c r="G52" i="2"/>
  <c r="C52" i="2"/>
  <c r="F52" i="2"/>
  <c r="D52" i="2"/>
  <c r="B52" i="2"/>
  <c r="J52" i="2" s="1"/>
  <c r="K56" i="2"/>
  <c r="I56" i="2"/>
  <c r="G56" i="2"/>
  <c r="C56" i="2"/>
  <c r="F56" i="2"/>
  <c r="D56" i="2"/>
  <c r="B56" i="2"/>
  <c r="J56" i="2" s="1"/>
  <c r="K60" i="2"/>
  <c r="I60" i="2"/>
  <c r="G60" i="2"/>
  <c r="C60" i="2"/>
  <c r="F60" i="2"/>
  <c r="D60" i="2"/>
  <c r="B60" i="2"/>
  <c r="J60" i="2" s="1"/>
  <c r="K64" i="2"/>
  <c r="I64" i="2"/>
  <c r="G64" i="2"/>
  <c r="C64" i="2"/>
  <c r="F64" i="2"/>
  <c r="D64" i="2"/>
  <c r="B64" i="2"/>
  <c r="J64" i="2" s="1"/>
  <c r="K68" i="2"/>
  <c r="I68" i="2"/>
  <c r="G68" i="2"/>
  <c r="C68" i="2"/>
  <c r="F68" i="2"/>
  <c r="D68" i="2"/>
  <c r="B68" i="2"/>
  <c r="J68" i="2" s="1"/>
  <c r="K72" i="2"/>
  <c r="I72" i="2"/>
  <c r="G72" i="2"/>
  <c r="C72" i="2"/>
  <c r="F72" i="2"/>
  <c r="D72" i="2"/>
  <c r="B72" i="2"/>
  <c r="J72" i="2" s="1"/>
  <c r="K76" i="2"/>
  <c r="I76" i="2"/>
  <c r="G76" i="2"/>
  <c r="C76" i="2"/>
  <c r="F76" i="2"/>
  <c r="D76" i="2"/>
  <c r="B76" i="2"/>
  <c r="J76" i="2" s="1"/>
  <c r="K80" i="2"/>
  <c r="I80" i="2"/>
  <c r="G80" i="2"/>
  <c r="C80" i="2"/>
  <c r="F80" i="2"/>
  <c r="D80" i="2"/>
  <c r="B80" i="2"/>
  <c r="J80" i="2" s="1"/>
  <c r="K84" i="2"/>
  <c r="I84" i="2"/>
  <c r="G84" i="2"/>
  <c r="C84" i="2"/>
  <c r="F84" i="2"/>
  <c r="D84" i="2"/>
  <c r="B84" i="2"/>
  <c r="J84" i="2" s="1"/>
  <c r="K88" i="2"/>
  <c r="I88" i="2"/>
  <c r="G88" i="2"/>
  <c r="C88" i="2"/>
  <c r="F88" i="2"/>
  <c r="D88" i="2"/>
  <c r="B88" i="2"/>
  <c r="J88" i="2" s="1"/>
  <c r="K92" i="2"/>
  <c r="I92" i="2"/>
  <c r="G92" i="2"/>
  <c r="C92" i="2"/>
  <c r="F92" i="2"/>
  <c r="D92" i="2"/>
  <c r="B92" i="2"/>
  <c r="J92" i="2" s="1"/>
  <c r="K94" i="2"/>
  <c r="I94" i="2"/>
  <c r="G94" i="2"/>
  <c r="C94" i="2"/>
  <c r="F94" i="2"/>
  <c r="D94" i="2"/>
  <c r="B94" i="2"/>
  <c r="J94" i="2" s="1"/>
  <c r="K96" i="2"/>
  <c r="I96" i="2"/>
  <c r="G96" i="2"/>
  <c r="C96" i="2"/>
  <c r="F96" i="2"/>
  <c r="D96" i="2"/>
  <c r="B96" i="2"/>
  <c r="J96" i="2" s="1"/>
  <c r="K98" i="2"/>
  <c r="I98" i="2"/>
  <c r="G98" i="2"/>
  <c r="C98" i="2"/>
  <c r="F98" i="2"/>
  <c r="D98" i="2"/>
  <c r="B98" i="2"/>
  <c r="J98" i="2" s="1"/>
  <c r="K100" i="2"/>
  <c r="I100" i="2"/>
  <c r="G100" i="2"/>
  <c r="C100" i="2"/>
  <c r="F100" i="2"/>
  <c r="D100" i="2"/>
  <c r="B100" i="2"/>
  <c r="J100" i="2" s="1"/>
  <c r="K102" i="2"/>
  <c r="I102" i="2"/>
  <c r="G102" i="2"/>
  <c r="C102" i="2"/>
  <c r="F102" i="2"/>
  <c r="D102" i="2"/>
  <c r="B102" i="2"/>
  <c r="J102" i="2" s="1"/>
  <c r="K104" i="2"/>
  <c r="I104" i="2"/>
  <c r="G104" i="2"/>
  <c r="C104" i="2"/>
  <c r="F104" i="2"/>
  <c r="D104" i="2"/>
  <c r="B104" i="2"/>
  <c r="J104" i="2" s="1"/>
  <c r="K106" i="2"/>
  <c r="I106" i="2"/>
  <c r="G106" i="2"/>
  <c r="C106" i="2"/>
  <c r="F106" i="2"/>
  <c r="D106" i="2"/>
  <c r="B106" i="2"/>
  <c r="J106" i="2" s="1"/>
  <c r="K108" i="2"/>
  <c r="I108" i="2"/>
  <c r="G108" i="2"/>
  <c r="C108" i="2"/>
  <c r="F108" i="2"/>
  <c r="D108" i="2"/>
  <c r="B108" i="2"/>
  <c r="J108" i="2" s="1"/>
  <c r="K110" i="2"/>
  <c r="I110" i="2"/>
  <c r="G110" i="2"/>
  <c r="C110" i="2"/>
  <c r="F110" i="2"/>
  <c r="D110" i="2"/>
  <c r="B110" i="2"/>
  <c r="J110" i="2" s="1"/>
  <c r="K112" i="2"/>
  <c r="I112" i="2"/>
  <c r="G112" i="2"/>
  <c r="C112" i="2"/>
  <c r="F112" i="2"/>
  <c r="D112" i="2"/>
  <c r="B112" i="2"/>
  <c r="J112" i="2" s="1"/>
  <c r="K114" i="2"/>
  <c r="I114" i="2"/>
  <c r="G114" i="2"/>
  <c r="C114" i="2"/>
  <c r="F114" i="2"/>
  <c r="D114" i="2"/>
  <c r="B114" i="2"/>
  <c r="J114" i="2" s="1"/>
  <c r="K116" i="2"/>
  <c r="I116" i="2"/>
  <c r="G116" i="2"/>
  <c r="C116" i="2"/>
  <c r="F116" i="2"/>
  <c r="D116" i="2"/>
  <c r="B116" i="2"/>
  <c r="J116" i="2" s="1"/>
  <c r="K118" i="2"/>
  <c r="I118" i="2"/>
  <c r="G118" i="2"/>
  <c r="C118" i="2"/>
  <c r="F118" i="2"/>
  <c r="D118" i="2"/>
  <c r="B118" i="2"/>
  <c r="J118" i="2" s="1"/>
  <c r="K120" i="2"/>
  <c r="I120" i="2"/>
  <c r="G120" i="2"/>
  <c r="C120" i="2"/>
  <c r="F120" i="2"/>
  <c r="D120" i="2"/>
  <c r="B120" i="2"/>
  <c r="J120" i="2" s="1"/>
  <c r="K122" i="2"/>
  <c r="I122" i="2"/>
  <c r="G122" i="2"/>
  <c r="C122" i="2"/>
  <c r="F122" i="2"/>
  <c r="D122" i="2"/>
  <c r="B122" i="2"/>
  <c r="J122" i="2" s="1"/>
  <c r="K124" i="2"/>
  <c r="I124" i="2"/>
  <c r="G124" i="2"/>
  <c r="C124" i="2"/>
  <c r="F124" i="2"/>
  <c r="D124" i="2"/>
  <c r="B124" i="2"/>
  <c r="J124" i="2" s="1"/>
  <c r="K126" i="2"/>
  <c r="I126" i="2"/>
  <c r="G126" i="2"/>
  <c r="C126" i="2"/>
  <c r="F126" i="2"/>
  <c r="D126" i="2"/>
  <c r="B126" i="2"/>
  <c r="J126" i="2" s="1"/>
  <c r="K128" i="2"/>
  <c r="I128" i="2"/>
  <c r="G128" i="2"/>
  <c r="C128" i="2"/>
  <c r="F128" i="2"/>
  <c r="D128" i="2"/>
  <c r="B128" i="2"/>
  <c r="J128" i="2" s="1"/>
  <c r="K130" i="2"/>
  <c r="I130" i="2"/>
  <c r="G130" i="2"/>
  <c r="C130" i="2"/>
  <c r="F130" i="2"/>
  <c r="D130" i="2"/>
  <c r="B130" i="2"/>
  <c r="J130" i="2" s="1"/>
  <c r="K132" i="2"/>
  <c r="I132" i="2"/>
  <c r="G132" i="2"/>
  <c r="C132" i="2"/>
  <c r="F132" i="2"/>
  <c r="D132" i="2"/>
  <c r="B132" i="2"/>
  <c r="J132" i="2" s="1"/>
  <c r="K134" i="2"/>
  <c r="I134" i="2"/>
  <c r="G134" i="2"/>
  <c r="C134" i="2"/>
  <c r="F134" i="2"/>
  <c r="D134" i="2"/>
  <c r="B134" i="2"/>
  <c r="J134" i="2" s="1"/>
  <c r="K136" i="2"/>
  <c r="I136" i="2"/>
  <c r="G136" i="2"/>
  <c r="C136" i="2"/>
  <c r="F136" i="2"/>
  <c r="D136" i="2"/>
  <c r="B136" i="2"/>
  <c r="J136" i="2" s="1"/>
  <c r="K138" i="2"/>
  <c r="I138" i="2"/>
  <c r="G138" i="2"/>
  <c r="C138" i="2"/>
  <c r="F138" i="2"/>
  <c r="D138" i="2"/>
  <c r="B138" i="2"/>
  <c r="J138" i="2" s="1"/>
  <c r="K140" i="2"/>
  <c r="I140" i="2"/>
  <c r="G140" i="2"/>
  <c r="C140" i="2"/>
  <c r="F140" i="2"/>
  <c r="D140" i="2"/>
  <c r="B140" i="2"/>
  <c r="J140" i="2" s="1"/>
  <c r="K142" i="2"/>
  <c r="I142" i="2"/>
  <c r="G142" i="2"/>
  <c r="C142" i="2"/>
  <c r="F142" i="2"/>
  <c r="D142" i="2"/>
  <c r="B142" i="2"/>
  <c r="J142" i="2" s="1"/>
  <c r="K144" i="2"/>
  <c r="I144" i="2"/>
  <c r="G144" i="2"/>
  <c r="C144" i="2"/>
  <c r="F144" i="2"/>
  <c r="D144" i="2"/>
  <c r="B144" i="2"/>
  <c r="J144" i="2" s="1"/>
  <c r="K146" i="2"/>
  <c r="I146" i="2"/>
  <c r="G146" i="2"/>
  <c r="C146" i="2"/>
  <c r="F146" i="2"/>
  <c r="D146" i="2"/>
  <c r="B146" i="2"/>
  <c r="J146" i="2" s="1"/>
  <c r="K148" i="2"/>
  <c r="I148" i="2"/>
  <c r="G148" i="2"/>
  <c r="C148" i="2"/>
  <c r="F148" i="2"/>
  <c r="D148" i="2"/>
  <c r="B148" i="2"/>
  <c r="J148" i="2" s="1"/>
  <c r="K150" i="2"/>
  <c r="I150" i="2"/>
  <c r="G150" i="2"/>
  <c r="C150" i="2"/>
  <c r="F150" i="2"/>
  <c r="D150" i="2"/>
  <c r="B150" i="2"/>
  <c r="J150" i="2" s="1"/>
  <c r="K152" i="2"/>
  <c r="I152" i="2"/>
  <c r="G152" i="2"/>
  <c r="C152" i="2"/>
  <c r="F152" i="2"/>
  <c r="D152" i="2"/>
  <c r="B152" i="2"/>
  <c r="J152" i="2" s="1"/>
  <c r="K154" i="2"/>
  <c r="I154" i="2"/>
  <c r="G154" i="2"/>
  <c r="C154" i="2"/>
  <c r="F154" i="2"/>
  <c r="D154" i="2"/>
  <c r="B154" i="2"/>
  <c r="J154" i="2" s="1"/>
  <c r="K156" i="2"/>
  <c r="I156" i="2"/>
  <c r="G156" i="2"/>
  <c r="C156" i="2"/>
  <c r="F156" i="2"/>
  <c r="D156" i="2"/>
  <c r="B156" i="2"/>
  <c r="J156" i="2" s="1"/>
  <c r="K158" i="2"/>
  <c r="I158" i="2"/>
  <c r="G158" i="2"/>
  <c r="C158" i="2"/>
  <c r="F158" i="2"/>
  <c r="D158" i="2"/>
  <c r="B158" i="2"/>
  <c r="J158" i="2" s="1"/>
  <c r="K160" i="2"/>
  <c r="I160" i="2"/>
  <c r="G160" i="2"/>
  <c r="C160" i="2"/>
  <c r="F160" i="2"/>
  <c r="D160" i="2"/>
  <c r="B160" i="2"/>
  <c r="J160" i="2" s="1"/>
  <c r="K162" i="2"/>
  <c r="I162" i="2"/>
  <c r="G162" i="2"/>
  <c r="C162" i="2"/>
  <c r="F162" i="2"/>
  <c r="D162" i="2"/>
  <c r="B162" i="2"/>
  <c r="J162" i="2" s="1"/>
  <c r="K164" i="2"/>
  <c r="I164" i="2"/>
  <c r="G164" i="2"/>
  <c r="C164" i="2"/>
  <c r="F164" i="2"/>
  <c r="D164" i="2"/>
  <c r="B164" i="2"/>
  <c r="J164" i="2" s="1"/>
  <c r="K166" i="2"/>
  <c r="I166" i="2"/>
  <c r="G166" i="2"/>
  <c r="C166" i="2"/>
  <c r="F166" i="2"/>
  <c r="D166" i="2"/>
  <c r="B166" i="2"/>
  <c r="J166" i="2" s="1"/>
  <c r="K168" i="2"/>
  <c r="I168" i="2"/>
  <c r="G168" i="2"/>
  <c r="C168" i="2"/>
  <c r="F168" i="2"/>
  <c r="D168" i="2"/>
  <c r="B168" i="2"/>
  <c r="J168" i="2" s="1"/>
  <c r="K170" i="2"/>
  <c r="I170" i="2"/>
  <c r="G170" i="2"/>
  <c r="C170" i="2"/>
  <c r="F170" i="2"/>
  <c r="D170" i="2"/>
  <c r="B170" i="2"/>
  <c r="J170" i="2" s="1"/>
  <c r="K172" i="2"/>
  <c r="I172" i="2"/>
  <c r="G172" i="2"/>
  <c r="C172" i="2"/>
  <c r="F172" i="2"/>
  <c r="D172" i="2"/>
  <c r="B172" i="2"/>
  <c r="J172" i="2" s="1"/>
  <c r="K174" i="2"/>
  <c r="I174" i="2"/>
  <c r="G174" i="2"/>
  <c r="C174" i="2"/>
  <c r="F174" i="2"/>
  <c r="D174" i="2"/>
  <c r="B174" i="2"/>
  <c r="J174" i="2" s="1"/>
  <c r="K176" i="2"/>
  <c r="I176" i="2"/>
  <c r="G176" i="2"/>
  <c r="C176" i="2"/>
  <c r="F176" i="2"/>
  <c r="D176" i="2"/>
  <c r="B176" i="2"/>
  <c r="J176" i="2" s="1"/>
  <c r="K178" i="2"/>
  <c r="I178" i="2"/>
  <c r="G178" i="2"/>
  <c r="C178" i="2"/>
  <c r="F178" i="2"/>
  <c r="D178" i="2"/>
  <c r="B178" i="2"/>
  <c r="J178" i="2" s="1"/>
  <c r="K180" i="2"/>
  <c r="I180" i="2"/>
  <c r="G180" i="2"/>
  <c r="C180" i="2"/>
  <c r="F180" i="2"/>
  <c r="D180" i="2"/>
  <c r="B180" i="2"/>
  <c r="J180" i="2" s="1"/>
  <c r="K182" i="2"/>
  <c r="I182" i="2"/>
  <c r="G182" i="2"/>
  <c r="C182" i="2"/>
  <c r="F182" i="2"/>
  <c r="D182" i="2"/>
  <c r="B182" i="2"/>
  <c r="J182" i="2" s="1"/>
  <c r="K184" i="2"/>
  <c r="I184" i="2"/>
  <c r="G184" i="2"/>
  <c r="C184" i="2"/>
  <c r="F184" i="2"/>
  <c r="D184" i="2"/>
  <c r="B184" i="2"/>
  <c r="J184" i="2" s="1"/>
  <c r="K186" i="2"/>
  <c r="I186" i="2"/>
  <c r="G186" i="2"/>
  <c r="C186" i="2"/>
  <c r="F186" i="2"/>
  <c r="D186" i="2"/>
  <c r="B186" i="2"/>
  <c r="J186" i="2" s="1"/>
  <c r="K188" i="2"/>
  <c r="I188" i="2"/>
  <c r="G188" i="2"/>
  <c r="C188" i="2"/>
  <c r="F188" i="2"/>
  <c r="D188" i="2"/>
  <c r="B188" i="2"/>
  <c r="J188" i="2" s="1"/>
  <c r="K190" i="2"/>
  <c r="I190" i="2"/>
  <c r="G190" i="2"/>
  <c r="C190" i="2"/>
  <c r="F190" i="2"/>
  <c r="D190" i="2"/>
  <c r="B190" i="2"/>
  <c r="J190" i="2" s="1"/>
  <c r="K192" i="2"/>
  <c r="I192" i="2"/>
  <c r="G192" i="2"/>
  <c r="C192" i="2"/>
  <c r="F192" i="2"/>
  <c r="D192" i="2"/>
  <c r="B192" i="2"/>
  <c r="J192" i="2" s="1"/>
  <c r="K194" i="2"/>
  <c r="I194" i="2"/>
  <c r="G194" i="2"/>
  <c r="C194" i="2"/>
  <c r="F194" i="2"/>
  <c r="D194" i="2"/>
  <c r="B194" i="2"/>
  <c r="J194" i="2" s="1"/>
  <c r="K196" i="2"/>
  <c r="I196" i="2"/>
  <c r="G196" i="2"/>
  <c r="C196" i="2"/>
  <c r="F196" i="2"/>
  <c r="D196" i="2"/>
  <c r="B196" i="2"/>
  <c r="J196" i="2" s="1"/>
  <c r="K198" i="2"/>
  <c r="I198" i="2"/>
  <c r="G198" i="2"/>
  <c r="C198" i="2"/>
  <c r="F198" i="2"/>
  <c r="D198" i="2"/>
  <c r="B198" i="2"/>
  <c r="J198" i="2" s="1"/>
  <c r="K200" i="2"/>
  <c r="I200" i="2"/>
  <c r="G200" i="2"/>
  <c r="C200" i="2"/>
  <c r="F200" i="2"/>
  <c r="D200" i="2"/>
  <c r="B200" i="2"/>
  <c r="J200" i="2" s="1"/>
  <c r="K202" i="2"/>
  <c r="I202" i="2"/>
  <c r="G202" i="2"/>
  <c r="C202" i="2"/>
  <c r="F202" i="2"/>
  <c r="D202" i="2"/>
  <c r="B202" i="2"/>
  <c r="J202" i="2" s="1"/>
  <c r="K204" i="2"/>
  <c r="I204" i="2"/>
  <c r="G204" i="2"/>
  <c r="C204" i="2"/>
  <c r="F204" i="2"/>
  <c r="D204" i="2"/>
  <c r="B204" i="2"/>
  <c r="J204" i="2" s="1"/>
  <c r="K206" i="2"/>
  <c r="I206" i="2"/>
  <c r="G206" i="2"/>
  <c r="C206" i="2"/>
  <c r="F206" i="2"/>
  <c r="D206" i="2"/>
  <c r="B206" i="2"/>
  <c r="J206" i="2" s="1"/>
  <c r="K208" i="2"/>
  <c r="I208" i="2"/>
  <c r="G208" i="2"/>
  <c r="C208" i="2"/>
  <c r="F208" i="2"/>
  <c r="D208" i="2"/>
  <c r="B208" i="2"/>
  <c r="J208" i="2" s="1"/>
  <c r="K210" i="2"/>
  <c r="I210" i="2"/>
  <c r="G210" i="2"/>
  <c r="C210" i="2"/>
  <c r="F210" i="2"/>
  <c r="D210" i="2"/>
  <c r="B210" i="2"/>
  <c r="J210" i="2" s="1"/>
  <c r="K212" i="2"/>
  <c r="I212" i="2"/>
  <c r="G212" i="2"/>
  <c r="C212" i="2"/>
  <c r="F212" i="2"/>
  <c r="D212" i="2"/>
  <c r="B212" i="2"/>
  <c r="J212" i="2" s="1"/>
  <c r="K214" i="2"/>
  <c r="I214" i="2"/>
  <c r="G214" i="2"/>
  <c r="C214" i="2"/>
  <c r="F214" i="2"/>
  <c r="D214" i="2"/>
  <c r="B214" i="2"/>
  <c r="J214" i="2" s="1"/>
  <c r="K216" i="2"/>
  <c r="I216" i="2"/>
  <c r="G216" i="2"/>
  <c r="C216" i="2"/>
  <c r="F216" i="2"/>
  <c r="D216" i="2"/>
  <c r="B216" i="2"/>
  <c r="J216" i="2" s="1"/>
  <c r="K218" i="2"/>
  <c r="I218" i="2"/>
  <c r="G218" i="2"/>
  <c r="C218" i="2"/>
  <c r="F218" i="2"/>
  <c r="D218" i="2"/>
  <c r="B218" i="2"/>
  <c r="J218" i="2" s="1"/>
  <c r="K220" i="2"/>
  <c r="I220" i="2"/>
  <c r="G220" i="2"/>
  <c r="C220" i="2"/>
  <c r="F220" i="2"/>
  <c r="D220" i="2"/>
  <c r="B220" i="2"/>
  <c r="J220" i="2" s="1"/>
  <c r="K222" i="2"/>
  <c r="I222" i="2"/>
  <c r="G222" i="2"/>
  <c r="C222" i="2"/>
  <c r="F222" i="2"/>
  <c r="D222" i="2"/>
  <c r="B222" i="2"/>
  <c r="J222" i="2" s="1"/>
  <c r="K224" i="2"/>
  <c r="I224" i="2"/>
  <c r="G224" i="2"/>
  <c r="C224" i="2"/>
  <c r="F224" i="2"/>
  <c r="D224" i="2"/>
  <c r="B224" i="2"/>
  <c r="J224" i="2" s="1"/>
  <c r="K226" i="2"/>
  <c r="I226" i="2"/>
  <c r="G226" i="2"/>
  <c r="C226" i="2"/>
  <c r="F226" i="2"/>
  <c r="D226" i="2"/>
  <c r="B226" i="2"/>
  <c r="J226" i="2" s="1"/>
  <c r="K228" i="2"/>
  <c r="I228" i="2"/>
  <c r="G228" i="2"/>
  <c r="C228" i="2"/>
  <c r="F228" i="2"/>
  <c r="D228" i="2"/>
  <c r="B228" i="2"/>
  <c r="J228" i="2" s="1"/>
  <c r="K230" i="2"/>
  <c r="I230" i="2"/>
  <c r="G230" i="2"/>
  <c r="C230" i="2"/>
  <c r="F230" i="2"/>
  <c r="D230" i="2"/>
  <c r="B230" i="2"/>
  <c r="J230" i="2" s="1"/>
  <c r="K232" i="2"/>
  <c r="I232" i="2"/>
  <c r="G232" i="2"/>
  <c r="C232" i="2"/>
  <c r="F232" i="2"/>
  <c r="D232" i="2"/>
  <c r="B232" i="2"/>
  <c r="J232" i="2" s="1"/>
  <c r="K234" i="2"/>
  <c r="I234" i="2"/>
  <c r="G234" i="2"/>
  <c r="C234" i="2"/>
  <c r="F234" i="2"/>
  <c r="D234" i="2"/>
  <c r="B234" i="2"/>
  <c r="J234" i="2" s="1"/>
  <c r="K236" i="2"/>
  <c r="I236" i="2"/>
  <c r="G236" i="2"/>
  <c r="C236" i="2"/>
  <c r="F236" i="2"/>
  <c r="D236" i="2"/>
  <c r="B236" i="2"/>
  <c r="J236" i="2" s="1"/>
  <c r="K238" i="2"/>
  <c r="I238" i="2"/>
  <c r="G238" i="2"/>
  <c r="C238" i="2"/>
  <c r="F238" i="2"/>
  <c r="D238" i="2"/>
  <c r="B238" i="2"/>
  <c r="J238" i="2" s="1"/>
  <c r="K240" i="2"/>
  <c r="I240" i="2"/>
  <c r="G240" i="2"/>
  <c r="C240" i="2"/>
  <c r="F240" i="2"/>
  <c r="D240" i="2"/>
  <c r="B240" i="2"/>
  <c r="J240" i="2" s="1"/>
  <c r="K242" i="2"/>
  <c r="I242" i="2"/>
  <c r="G242" i="2"/>
  <c r="C242" i="2"/>
  <c r="F242" i="2"/>
  <c r="D242" i="2"/>
  <c r="B242" i="2"/>
  <c r="J242" i="2" s="1"/>
  <c r="K244" i="2"/>
  <c r="I244" i="2"/>
  <c r="G244" i="2"/>
  <c r="C244" i="2"/>
  <c r="F244" i="2"/>
  <c r="D244" i="2"/>
  <c r="B244" i="2"/>
  <c r="J244" i="2" s="1"/>
  <c r="K246" i="2"/>
  <c r="I246" i="2"/>
  <c r="G246" i="2"/>
  <c r="C246" i="2"/>
  <c r="F246" i="2"/>
  <c r="D246" i="2"/>
  <c r="B246" i="2"/>
  <c r="J246" i="2" s="1"/>
  <c r="K248" i="2"/>
  <c r="I248" i="2"/>
  <c r="G248" i="2"/>
  <c r="C248" i="2"/>
  <c r="F248" i="2"/>
  <c r="D248" i="2"/>
  <c r="B248" i="2"/>
  <c r="J248" i="2" s="1"/>
  <c r="K250" i="2"/>
  <c r="I250" i="2"/>
  <c r="G250" i="2"/>
  <c r="C250" i="2"/>
  <c r="F250" i="2"/>
  <c r="D250" i="2"/>
  <c r="B250" i="2"/>
  <c r="J250" i="2" s="1"/>
  <c r="K252" i="2"/>
  <c r="I252" i="2"/>
  <c r="G252" i="2"/>
  <c r="C252" i="2"/>
  <c r="F252" i="2"/>
  <c r="D252" i="2"/>
  <c r="B252" i="2"/>
  <c r="J252" i="2" s="1"/>
  <c r="K254" i="2"/>
  <c r="I254" i="2"/>
  <c r="G254" i="2"/>
  <c r="C254" i="2"/>
  <c r="F254" i="2"/>
  <c r="D254" i="2"/>
  <c r="B254" i="2"/>
  <c r="J254" i="2" s="1"/>
  <c r="K256" i="2"/>
  <c r="I256" i="2"/>
  <c r="G256" i="2"/>
  <c r="C256" i="2"/>
  <c r="F256" i="2"/>
  <c r="D256" i="2"/>
  <c r="B256" i="2"/>
  <c r="J256" i="2" s="1"/>
  <c r="K258" i="2"/>
  <c r="I258" i="2"/>
  <c r="G258" i="2"/>
  <c r="C258" i="2"/>
  <c r="F258" i="2"/>
  <c r="D258" i="2"/>
  <c r="B258" i="2"/>
  <c r="J258" i="2" s="1"/>
  <c r="K260" i="2"/>
  <c r="I260" i="2"/>
  <c r="G260" i="2"/>
  <c r="C260" i="2"/>
  <c r="F260" i="2"/>
  <c r="D260" i="2"/>
  <c r="B260" i="2"/>
  <c r="J260" i="2" s="1"/>
  <c r="K262" i="2"/>
  <c r="I262" i="2"/>
  <c r="G262" i="2"/>
  <c r="C262" i="2"/>
  <c r="F262" i="2"/>
  <c r="D262" i="2"/>
  <c r="B262" i="2"/>
  <c r="J262" i="2" s="1"/>
  <c r="K264" i="2"/>
  <c r="I264" i="2"/>
  <c r="G264" i="2"/>
  <c r="C264" i="2"/>
  <c r="F264" i="2"/>
  <c r="D264" i="2"/>
  <c r="B264" i="2"/>
  <c r="J264" i="2" s="1"/>
  <c r="K266" i="2"/>
  <c r="I266" i="2"/>
  <c r="G266" i="2"/>
  <c r="C266" i="2"/>
  <c r="F266" i="2"/>
  <c r="D266" i="2"/>
  <c r="B266" i="2"/>
  <c r="J266" i="2" s="1"/>
  <c r="K268" i="2"/>
  <c r="I268" i="2"/>
  <c r="G268" i="2"/>
  <c r="C268" i="2"/>
  <c r="F268" i="2"/>
  <c r="D268" i="2"/>
  <c r="B268" i="2"/>
  <c r="J268" i="2" s="1"/>
  <c r="K270" i="2"/>
  <c r="I270" i="2"/>
  <c r="G270" i="2"/>
  <c r="C270" i="2"/>
  <c r="F270" i="2"/>
  <c r="D270" i="2"/>
  <c r="B270" i="2"/>
  <c r="J270" i="2" s="1"/>
  <c r="K272" i="2"/>
  <c r="I272" i="2"/>
  <c r="G272" i="2"/>
  <c r="C272" i="2"/>
  <c r="F272" i="2"/>
  <c r="D272" i="2"/>
  <c r="B272" i="2"/>
  <c r="J272" i="2" s="1"/>
  <c r="K274" i="2"/>
  <c r="I274" i="2"/>
  <c r="G274" i="2"/>
  <c r="C274" i="2"/>
  <c r="F274" i="2"/>
  <c r="D274" i="2"/>
  <c r="B274" i="2"/>
  <c r="J274" i="2" s="1"/>
  <c r="K276" i="2"/>
  <c r="I276" i="2"/>
  <c r="G276" i="2"/>
  <c r="C276" i="2"/>
  <c r="F276" i="2"/>
  <c r="D276" i="2"/>
  <c r="B276" i="2"/>
  <c r="J276" i="2" s="1"/>
  <c r="K278" i="2"/>
  <c r="I278" i="2"/>
  <c r="G278" i="2"/>
  <c r="C278" i="2"/>
  <c r="F278" i="2"/>
  <c r="D278" i="2"/>
  <c r="B278" i="2"/>
  <c r="J278" i="2" s="1"/>
  <c r="K280" i="2"/>
  <c r="I280" i="2"/>
  <c r="G280" i="2"/>
  <c r="C280" i="2"/>
  <c r="F280" i="2"/>
  <c r="D280" i="2"/>
  <c r="B280" i="2"/>
  <c r="J280" i="2" s="1"/>
  <c r="K282" i="2"/>
  <c r="I282" i="2"/>
  <c r="G282" i="2"/>
  <c r="C282" i="2"/>
  <c r="F282" i="2"/>
  <c r="D282" i="2"/>
  <c r="B282" i="2"/>
  <c r="J282" i="2" s="1"/>
  <c r="K284" i="2"/>
  <c r="I284" i="2"/>
  <c r="G284" i="2"/>
  <c r="C284" i="2"/>
  <c r="F284" i="2"/>
  <c r="D284" i="2"/>
  <c r="B284" i="2"/>
  <c r="J284" i="2" s="1"/>
  <c r="K286" i="2"/>
  <c r="I286" i="2"/>
  <c r="G286" i="2"/>
  <c r="C286" i="2"/>
  <c r="F286" i="2"/>
  <c r="D286" i="2"/>
  <c r="B286" i="2"/>
  <c r="J286" i="2" s="1"/>
  <c r="K288" i="2"/>
  <c r="I288" i="2"/>
  <c r="G288" i="2"/>
  <c r="C288" i="2"/>
  <c r="F288" i="2"/>
  <c r="D288" i="2"/>
  <c r="B288" i="2"/>
  <c r="J288" i="2" s="1"/>
  <c r="K290" i="2"/>
  <c r="I290" i="2"/>
  <c r="G290" i="2"/>
  <c r="C290" i="2"/>
  <c r="F290" i="2"/>
  <c r="D290" i="2"/>
  <c r="B290" i="2"/>
  <c r="J290" i="2" s="1"/>
  <c r="K292" i="2"/>
  <c r="I292" i="2"/>
  <c r="G292" i="2"/>
  <c r="C292" i="2"/>
  <c r="F292" i="2"/>
  <c r="D292" i="2"/>
  <c r="B292" i="2"/>
  <c r="J292" i="2" s="1"/>
  <c r="K294" i="2"/>
  <c r="I294" i="2"/>
  <c r="G294" i="2"/>
  <c r="C294" i="2"/>
  <c r="F294" i="2"/>
  <c r="D294" i="2"/>
  <c r="B294" i="2"/>
  <c r="J294" i="2" s="1"/>
  <c r="K296" i="2"/>
  <c r="I296" i="2"/>
  <c r="G296" i="2"/>
  <c r="C296" i="2"/>
  <c r="F296" i="2"/>
  <c r="D296" i="2"/>
  <c r="B296" i="2"/>
  <c r="J296" i="2" s="1"/>
  <c r="K298" i="2"/>
  <c r="I298" i="2"/>
  <c r="G298" i="2"/>
  <c r="C298" i="2"/>
  <c r="F298" i="2"/>
  <c r="D298" i="2"/>
  <c r="B298" i="2"/>
  <c r="J298" i="2" s="1"/>
  <c r="K300" i="2"/>
  <c r="I300" i="2"/>
  <c r="G300" i="2"/>
  <c r="C300" i="2"/>
  <c r="F300" i="2"/>
  <c r="D300" i="2"/>
  <c r="B300" i="2"/>
  <c r="J300" i="2" s="1"/>
  <c r="K302" i="2"/>
  <c r="I302" i="2"/>
  <c r="G302" i="2"/>
  <c r="C302" i="2"/>
  <c r="F302" i="2"/>
  <c r="D302" i="2"/>
  <c r="B302" i="2"/>
  <c r="J302" i="2" s="1"/>
  <c r="K304" i="2"/>
  <c r="I304" i="2"/>
  <c r="G304" i="2"/>
  <c r="C304" i="2"/>
  <c r="F304" i="2"/>
  <c r="D304" i="2"/>
  <c r="B304" i="2"/>
  <c r="J304" i="2" s="1"/>
  <c r="K306" i="2"/>
  <c r="I306" i="2"/>
  <c r="G306" i="2"/>
  <c r="C306" i="2"/>
  <c r="F306" i="2"/>
  <c r="D306" i="2"/>
  <c r="B306" i="2"/>
  <c r="J306" i="2" s="1"/>
  <c r="K308" i="2"/>
  <c r="I308" i="2"/>
  <c r="G308" i="2"/>
  <c r="C308" i="2"/>
  <c r="F308" i="2"/>
  <c r="D308" i="2"/>
  <c r="B308" i="2"/>
  <c r="J308" i="2" s="1"/>
  <c r="K310" i="2"/>
  <c r="I310" i="2"/>
  <c r="G310" i="2"/>
  <c r="C310" i="2"/>
  <c r="F310" i="2"/>
  <c r="D310" i="2"/>
  <c r="B310" i="2"/>
  <c r="J310" i="2" s="1"/>
  <c r="K312" i="2"/>
  <c r="I312" i="2"/>
  <c r="G312" i="2"/>
  <c r="C312" i="2"/>
  <c r="F312" i="2"/>
  <c r="D312" i="2"/>
  <c r="B312" i="2"/>
  <c r="J312" i="2" s="1"/>
  <c r="K314" i="2"/>
  <c r="I314" i="2"/>
  <c r="G314" i="2"/>
  <c r="C314" i="2"/>
  <c r="F314" i="2"/>
  <c r="D314" i="2"/>
  <c r="B314" i="2"/>
  <c r="J314" i="2" s="1"/>
  <c r="K316" i="2"/>
  <c r="I316" i="2"/>
  <c r="G316" i="2"/>
  <c r="C316" i="2"/>
  <c r="F316" i="2"/>
  <c r="D316" i="2"/>
  <c r="B316" i="2"/>
  <c r="J316" i="2" s="1"/>
  <c r="K318" i="2"/>
  <c r="I318" i="2"/>
  <c r="G318" i="2"/>
  <c r="C318" i="2"/>
  <c r="F318" i="2"/>
  <c r="D318" i="2"/>
  <c r="B318" i="2"/>
  <c r="J318" i="2" s="1"/>
  <c r="K320" i="2"/>
  <c r="I320" i="2"/>
  <c r="G320" i="2"/>
  <c r="C320" i="2"/>
  <c r="F320" i="2"/>
  <c r="D320" i="2"/>
  <c r="B320" i="2"/>
  <c r="J320" i="2" s="1"/>
  <c r="K322" i="2"/>
  <c r="I322" i="2"/>
  <c r="G322" i="2"/>
  <c r="C322" i="2"/>
  <c r="F322" i="2"/>
  <c r="D322" i="2"/>
  <c r="B322" i="2"/>
  <c r="J322" i="2" s="1"/>
  <c r="K324" i="2"/>
  <c r="I324" i="2"/>
  <c r="G324" i="2"/>
  <c r="C324" i="2"/>
  <c r="F324" i="2"/>
  <c r="D324" i="2"/>
  <c r="B324" i="2"/>
  <c r="J324" i="2" s="1"/>
  <c r="K326" i="2"/>
  <c r="I326" i="2"/>
  <c r="G326" i="2"/>
  <c r="C326" i="2"/>
  <c r="F326" i="2"/>
  <c r="D326" i="2"/>
  <c r="B326" i="2"/>
  <c r="J326" i="2" s="1"/>
  <c r="K328" i="2"/>
  <c r="I328" i="2"/>
  <c r="G328" i="2"/>
  <c r="C328" i="2"/>
  <c r="F328" i="2"/>
  <c r="D328" i="2"/>
  <c r="B328" i="2"/>
  <c r="J328" i="2" s="1"/>
  <c r="K330" i="2"/>
  <c r="I330" i="2"/>
  <c r="G330" i="2"/>
  <c r="C330" i="2"/>
  <c r="F330" i="2"/>
  <c r="D330" i="2"/>
  <c r="B330" i="2"/>
  <c r="J330" i="2" s="1"/>
  <c r="K332" i="2"/>
  <c r="I332" i="2"/>
  <c r="G332" i="2"/>
  <c r="C332" i="2"/>
  <c r="F332" i="2"/>
  <c r="D332" i="2"/>
  <c r="B332" i="2"/>
  <c r="J332" i="2" s="1"/>
  <c r="K334" i="2"/>
  <c r="I334" i="2"/>
  <c r="G334" i="2"/>
  <c r="C334" i="2"/>
  <c r="F334" i="2"/>
  <c r="D334" i="2"/>
  <c r="B334" i="2"/>
  <c r="J334" i="2" s="1"/>
  <c r="K336" i="2"/>
  <c r="I336" i="2"/>
  <c r="G336" i="2"/>
  <c r="C336" i="2"/>
  <c r="F336" i="2"/>
  <c r="D336" i="2"/>
  <c r="B336" i="2"/>
  <c r="J336" i="2" s="1"/>
  <c r="K338" i="2"/>
  <c r="I338" i="2"/>
  <c r="G338" i="2"/>
  <c r="C338" i="2"/>
  <c r="F338" i="2"/>
  <c r="D338" i="2"/>
  <c r="B338" i="2"/>
  <c r="J338" i="2" s="1"/>
  <c r="K340" i="2"/>
  <c r="I340" i="2"/>
  <c r="G340" i="2"/>
  <c r="C340" i="2"/>
  <c r="F340" i="2"/>
  <c r="D340" i="2"/>
  <c r="B340" i="2"/>
  <c r="J340" i="2" s="1"/>
  <c r="K342" i="2"/>
  <c r="I342" i="2"/>
  <c r="G342" i="2"/>
  <c r="C342" i="2"/>
  <c r="F342" i="2"/>
  <c r="D342" i="2"/>
  <c r="B342" i="2"/>
  <c r="J342" i="2" s="1"/>
  <c r="K344" i="2"/>
  <c r="I344" i="2"/>
  <c r="G344" i="2"/>
  <c r="C344" i="2"/>
  <c r="F344" i="2"/>
  <c r="D344" i="2"/>
  <c r="B344" i="2"/>
  <c r="J344" i="2" s="1"/>
  <c r="K346" i="2"/>
  <c r="I346" i="2"/>
  <c r="G346" i="2"/>
  <c r="C346" i="2"/>
  <c r="F346" i="2"/>
  <c r="D346" i="2"/>
  <c r="B346" i="2"/>
  <c r="J346" i="2" s="1"/>
  <c r="K348" i="2"/>
  <c r="I348" i="2"/>
  <c r="G348" i="2"/>
  <c r="C348" i="2"/>
  <c r="F348" i="2"/>
  <c r="D348" i="2"/>
  <c r="B348" i="2"/>
  <c r="J348" i="2" s="1"/>
  <c r="K350" i="2"/>
  <c r="I350" i="2"/>
  <c r="G350" i="2"/>
  <c r="C350" i="2"/>
  <c r="F350" i="2"/>
  <c r="D350" i="2"/>
  <c r="B350" i="2"/>
  <c r="J350" i="2" s="1"/>
  <c r="K352" i="2"/>
  <c r="I352" i="2"/>
  <c r="G352" i="2"/>
  <c r="C352" i="2"/>
  <c r="F352" i="2"/>
  <c r="D352" i="2"/>
  <c r="B352" i="2"/>
  <c r="J352" i="2" s="1"/>
  <c r="K354" i="2"/>
  <c r="I354" i="2"/>
  <c r="G354" i="2"/>
  <c r="C354" i="2"/>
  <c r="F354" i="2"/>
  <c r="D354" i="2"/>
  <c r="B354" i="2"/>
  <c r="J354" i="2" s="1"/>
  <c r="K356" i="2"/>
  <c r="I356" i="2"/>
  <c r="G356" i="2"/>
  <c r="C356" i="2"/>
  <c r="F356" i="2"/>
  <c r="D356" i="2"/>
  <c r="B356" i="2"/>
  <c r="J356" i="2" s="1"/>
  <c r="K358" i="2"/>
  <c r="I358" i="2"/>
  <c r="G358" i="2"/>
  <c r="C358" i="2"/>
  <c r="F358" i="2"/>
  <c r="D358" i="2"/>
  <c r="B358" i="2"/>
  <c r="J358" i="2" s="1"/>
  <c r="K360" i="2"/>
  <c r="I360" i="2"/>
  <c r="G360" i="2"/>
  <c r="C360" i="2"/>
  <c r="F360" i="2"/>
  <c r="D360" i="2"/>
  <c r="B360" i="2"/>
  <c r="J360" i="2" s="1"/>
  <c r="K362" i="2"/>
  <c r="I362" i="2"/>
  <c r="G362" i="2"/>
  <c r="C362" i="2"/>
  <c r="F362" i="2"/>
  <c r="D362" i="2"/>
  <c r="B362" i="2"/>
  <c r="J362" i="2" s="1"/>
  <c r="K364" i="2"/>
  <c r="I364" i="2"/>
  <c r="G364" i="2"/>
  <c r="C364" i="2"/>
  <c r="F364" i="2"/>
  <c r="D364" i="2"/>
  <c r="B364" i="2"/>
  <c r="J364" i="2" s="1"/>
  <c r="K366" i="2"/>
  <c r="I366" i="2"/>
  <c r="G366" i="2"/>
  <c r="C366" i="2"/>
  <c r="F366" i="2"/>
  <c r="D366" i="2"/>
  <c r="B366" i="2"/>
  <c r="J366" i="2" s="1"/>
  <c r="K368" i="2"/>
  <c r="I368" i="2"/>
  <c r="G368" i="2"/>
  <c r="C368" i="2"/>
  <c r="F368" i="2"/>
  <c r="D368" i="2"/>
  <c r="B368" i="2"/>
  <c r="J368" i="2" s="1"/>
  <c r="K370" i="2"/>
  <c r="I370" i="2"/>
  <c r="G370" i="2"/>
  <c r="C370" i="2"/>
  <c r="F370" i="2"/>
  <c r="D370" i="2"/>
  <c r="B370" i="2"/>
  <c r="J370" i="2" s="1"/>
  <c r="K372" i="2"/>
  <c r="I372" i="2"/>
  <c r="G372" i="2"/>
  <c r="C372" i="2"/>
  <c r="F372" i="2"/>
  <c r="D372" i="2"/>
  <c r="B372" i="2"/>
  <c r="J372" i="2" s="1"/>
  <c r="K374" i="2"/>
  <c r="I374" i="2"/>
  <c r="G374" i="2"/>
  <c r="C374" i="2"/>
  <c r="F374" i="2"/>
  <c r="D374" i="2"/>
  <c r="B374" i="2"/>
  <c r="J374" i="2" s="1"/>
  <c r="K376" i="2"/>
  <c r="I376" i="2"/>
  <c r="G376" i="2"/>
  <c r="C376" i="2"/>
  <c r="F376" i="2"/>
  <c r="D376" i="2"/>
  <c r="B376" i="2"/>
  <c r="J376" i="2" s="1"/>
  <c r="K378" i="2"/>
  <c r="I378" i="2"/>
  <c r="G378" i="2"/>
  <c r="C378" i="2"/>
  <c r="F378" i="2"/>
  <c r="D378" i="2"/>
  <c r="B378" i="2"/>
  <c r="J378" i="2" s="1"/>
  <c r="K380" i="2"/>
  <c r="I380" i="2"/>
  <c r="G380" i="2"/>
  <c r="C380" i="2"/>
  <c r="F380" i="2"/>
  <c r="D380" i="2"/>
  <c r="B380" i="2"/>
  <c r="J380" i="2" s="1"/>
  <c r="K382" i="2"/>
  <c r="I382" i="2"/>
  <c r="G382" i="2"/>
  <c r="C382" i="2"/>
  <c r="F382" i="2"/>
  <c r="D382" i="2"/>
  <c r="B382" i="2"/>
  <c r="J382" i="2" s="1"/>
  <c r="K384" i="2"/>
  <c r="I384" i="2"/>
  <c r="G384" i="2"/>
  <c r="C384" i="2"/>
  <c r="F384" i="2"/>
  <c r="D384" i="2"/>
  <c r="B384" i="2"/>
  <c r="J384" i="2" s="1"/>
  <c r="K386" i="2"/>
  <c r="I386" i="2"/>
  <c r="G386" i="2"/>
  <c r="C386" i="2"/>
  <c r="F386" i="2"/>
  <c r="D386" i="2"/>
  <c r="B386" i="2"/>
  <c r="J386" i="2" s="1"/>
  <c r="K388" i="2"/>
  <c r="I388" i="2"/>
  <c r="G388" i="2"/>
  <c r="C388" i="2"/>
  <c r="F388" i="2"/>
  <c r="D388" i="2"/>
  <c r="B388" i="2"/>
  <c r="J388" i="2" s="1"/>
  <c r="K390" i="2"/>
  <c r="I390" i="2"/>
  <c r="G390" i="2"/>
  <c r="C390" i="2"/>
  <c r="F390" i="2"/>
  <c r="D390" i="2"/>
  <c r="B390" i="2"/>
  <c r="J390" i="2" s="1"/>
  <c r="K392" i="2"/>
  <c r="I392" i="2"/>
  <c r="G392" i="2"/>
  <c r="C392" i="2"/>
  <c r="F392" i="2"/>
  <c r="D392" i="2"/>
  <c r="B392" i="2"/>
  <c r="J392" i="2" s="1"/>
  <c r="K394" i="2"/>
  <c r="I394" i="2"/>
  <c r="G394" i="2"/>
  <c r="C394" i="2"/>
  <c r="F394" i="2"/>
  <c r="D394" i="2"/>
  <c r="B394" i="2"/>
  <c r="J394" i="2" s="1"/>
  <c r="K396" i="2"/>
  <c r="I396" i="2"/>
  <c r="G396" i="2"/>
  <c r="C396" i="2"/>
  <c r="F396" i="2"/>
  <c r="D396" i="2"/>
  <c r="B396" i="2"/>
  <c r="J396" i="2" s="1"/>
  <c r="K398" i="2"/>
  <c r="I398" i="2"/>
  <c r="G398" i="2"/>
  <c r="C398" i="2"/>
  <c r="F398" i="2"/>
  <c r="D398" i="2"/>
  <c r="B398" i="2"/>
  <c r="J398" i="2" s="1"/>
  <c r="K400" i="2"/>
  <c r="I400" i="2"/>
  <c r="G400" i="2"/>
  <c r="C400" i="2"/>
  <c r="F400" i="2"/>
  <c r="D400" i="2"/>
  <c r="B400" i="2"/>
  <c r="J400" i="2" s="1"/>
  <c r="K402" i="2"/>
  <c r="I402" i="2"/>
  <c r="G402" i="2"/>
  <c r="C402" i="2"/>
  <c r="F402" i="2"/>
  <c r="D402" i="2"/>
  <c r="B402" i="2"/>
  <c r="J402" i="2" s="1"/>
  <c r="K404" i="2"/>
  <c r="I404" i="2"/>
  <c r="G404" i="2"/>
  <c r="C404" i="2"/>
  <c r="F404" i="2"/>
  <c r="D404" i="2"/>
  <c r="B404" i="2"/>
  <c r="J404" i="2" s="1"/>
  <c r="K406" i="2"/>
  <c r="I406" i="2"/>
  <c r="G406" i="2"/>
  <c r="C406" i="2"/>
  <c r="F406" i="2"/>
  <c r="D406" i="2"/>
  <c r="B406" i="2"/>
  <c r="J406" i="2" s="1"/>
  <c r="K408" i="2"/>
  <c r="I408" i="2"/>
  <c r="G408" i="2"/>
  <c r="C408" i="2"/>
  <c r="F408" i="2"/>
  <c r="D408" i="2"/>
  <c r="B408" i="2"/>
  <c r="J408" i="2" s="1"/>
  <c r="K410" i="2"/>
  <c r="I410" i="2"/>
  <c r="G410" i="2"/>
  <c r="C410" i="2"/>
  <c r="F410" i="2"/>
  <c r="D410" i="2"/>
  <c r="B410" i="2"/>
  <c r="J410" i="2" s="1"/>
  <c r="K412" i="2"/>
  <c r="I412" i="2"/>
  <c r="G412" i="2"/>
  <c r="C412" i="2"/>
  <c r="F412" i="2"/>
  <c r="D412" i="2"/>
  <c r="B412" i="2"/>
  <c r="J412" i="2" s="1"/>
  <c r="K414" i="2"/>
  <c r="I414" i="2"/>
  <c r="G414" i="2"/>
  <c r="C414" i="2"/>
  <c r="F414" i="2"/>
  <c r="D414" i="2"/>
  <c r="B414" i="2"/>
  <c r="J414" i="2" s="1"/>
  <c r="K416" i="2"/>
  <c r="I416" i="2"/>
  <c r="G416" i="2"/>
  <c r="C416" i="2"/>
  <c r="F416" i="2"/>
  <c r="D416" i="2"/>
  <c r="B416" i="2"/>
  <c r="J416" i="2" s="1"/>
  <c r="K418" i="2"/>
  <c r="I418" i="2"/>
  <c r="G418" i="2"/>
  <c r="C418" i="2"/>
  <c r="F418" i="2"/>
  <c r="D418" i="2"/>
  <c r="B418" i="2"/>
  <c r="J418" i="2" s="1"/>
  <c r="K420" i="2"/>
  <c r="I420" i="2"/>
  <c r="G420" i="2"/>
  <c r="C420" i="2"/>
  <c r="F420" i="2"/>
  <c r="D420" i="2"/>
  <c r="B420" i="2"/>
  <c r="J420" i="2" s="1"/>
  <c r="K422" i="2"/>
  <c r="I422" i="2"/>
  <c r="G422" i="2"/>
  <c r="C422" i="2"/>
  <c r="F422" i="2"/>
  <c r="D422" i="2"/>
  <c r="B422" i="2"/>
  <c r="J422" i="2" s="1"/>
  <c r="K424" i="2"/>
  <c r="I424" i="2"/>
  <c r="G424" i="2"/>
  <c r="C424" i="2"/>
  <c r="F424" i="2"/>
  <c r="D424" i="2"/>
  <c r="B424" i="2"/>
  <c r="J424" i="2" s="1"/>
  <c r="K426" i="2"/>
  <c r="I426" i="2"/>
  <c r="G426" i="2"/>
  <c r="C426" i="2"/>
  <c r="F426" i="2"/>
  <c r="D426" i="2"/>
  <c r="B426" i="2"/>
  <c r="J426" i="2" s="1"/>
  <c r="K428" i="2"/>
  <c r="I428" i="2"/>
  <c r="G428" i="2"/>
  <c r="C428" i="2"/>
  <c r="F428" i="2"/>
  <c r="D428" i="2"/>
  <c r="B428" i="2"/>
  <c r="J428" i="2" s="1"/>
  <c r="K430" i="2"/>
  <c r="I430" i="2"/>
  <c r="G430" i="2"/>
  <c r="C430" i="2"/>
  <c r="F430" i="2"/>
  <c r="D430" i="2"/>
  <c r="B430" i="2"/>
  <c r="J430" i="2" s="1"/>
  <c r="K432" i="2"/>
  <c r="I432" i="2"/>
  <c r="G432" i="2"/>
  <c r="C432" i="2"/>
  <c r="F432" i="2"/>
  <c r="D432" i="2"/>
  <c r="B432" i="2"/>
  <c r="J432" i="2" s="1"/>
  <c r="K434" i="2"/>
  <c r="I434" i="2"/>
  <c r="G434" i="2"/>
  <c r="C434" i="2"/>
  <c r="F434" i="2"/>
  <c r="D434" i="2"/>
  <c r="B434" i="2"/>
  <c r="J434" i="2" s="1"/>
  <c r="K436" i="2"/>
  <c r="I436" i="2"/>
  <c r="G436" i="2"/>
  <c r="C436" i="2"/>
  <c r="F436" i="2"/>
  <c r="D436" i="2"/>
  <c r="B436" i="2"/>
  <c r="J436" i="2" s="1"/>
  <c r="K438" i="2"/>
  <c r="I438" i="2"/>
  <c r="G438" i="2"/>
  <c r="C438" i="2"/>
  <c r="F438" i="2"/>
  <c r="D438" i="2"/>
  <c r="B438" i="2"/>
  <c r="J438" i="2" s="1"/>
  <c r="K440" i="2"/>
  <c r="I440" i="2"/>
  <c r="G440" i="2"/>
  <c r="C440" i="2"/>
  <c r="F440" i="2"/>
  <c r="D440" i="2"/>
  <c r="B440" i="2"/>
  <c r="J440" i="2" s="1"/>
  <c r="K442" i="2"/>
  <c r="I442" i="2"/>
  <c r="G442" i="2"/>
  <c r="C442" i="2"/>
  <c r="F442" i="2"/>
  <c r="D442" i="2"/>
  <c r="B442" i="2"/>
  <c r="J442" i="2" s="1"/>
  <c r="K444" i="2"/>
  <c r="I444" i="2"/>
  <c r="G444" i="2"/>
  <c r="C444" i="2"/>
  <c r="F444" i="2"/>
  <c r="D444" i="2"/>
  <c r="B444" i="2"/>
  <c r="J444" i="2" s="1"/>
  <c r="K446" i="2"/>
  <c r="I446" i="2"/>
  <c r="G446" i="2"/>
  <c r="C446" i="2"/>
  <c r="F446" i="2"/>
  <c r="D446" i="2"/>
  <c r="B446" i="2"/>
  <c r="J446" i="2" s="1"/>
  <c r="K448" i="2"/>
  <c r="I448" i="2"/>
  <c r="G448" i="2"/>
  <c r="C448" i="2"/>
  <c r="F448" i="2"/>
  <c r="D448" i="2"/>
  <c r="B448" i="2"/>
  <c r="J448" i="2" s="1"/>
  <c r="K450" i="2"/>
  <c r="I450" i="2"/>
  <c r="G450" i="2"/>
  <c r="C450" i="2"/>
  <c r="F450" i="2"/>
  <c r="D450" i="2"/>
  <c r="B450" i="2"/>
  <c r="J450" i="2" s="1"/>
  <c r="K452" i="2"/>
  <c r="I452" i="2"/>
  <c r="G452" i="2"/>
  <c r="C452" i="2"/>
  <c r="F452" i="2"/>
  <c r="D452" i="2"/>
  <c r="B452" i="2"/>
  <c r="J452" i="2" s="1"/>
  <c r="K454" i="2"/>
  <c r="I454" i="2"/>
  <c r="G454" i="2"/>
  <c r="C454" i="2"/>
  <c r="F454" i="2"/>
  <c r="D454" i="2"/>
  <c r="B454" i="2"/>
  <c r="J454" i="2" s="1"/>
  <c r="K456" i="2"/>
  <c r="I456" i="2"/>
  <c r="G456" i="2"/>
  <c r="C456" i="2"/>
  <c r="F456" i="2"/>
  <c r="D456" i="2"/>
  <c r="B456" i="2"/>
  <c r="J456" i="2" s="1"/>
  <c r="K458" i="2"/>
  <c r="I458" i="2"/>
  <c r="G458" i="2"/>
  <c r="C458" i="2"/>
  <c r="F458" i="2"/>
  <c r="D458" i="2"/>
  <c r="B458" i="2"/>
  <c r="J458" i="2" s="1"/>
  <c r="K460" i="2"/>
  <c r="I460" i="2"/>
  <c r="G460" i="2"/>
  <c r="C460" i="2"/>
  <c r="F460" i="2"/>
  <c r="D460" i="2"/>
  <c r="B460" i="2"/>
  <c r="J460" i="2" s="1"/>
  <c r="K462" i="2"/>
  <c r="I462" i="2"/>
  <c r="G462" i="2"/>
  <c r="C462" i="2"/>
  <c r="F462" i="2"/>
  <c r="D462" i="2"/>
  <c r="B462" i="2"/>
  <c r="J462" i="2" s="1"/>
  <c r="K464" i="2"/>
  <c r="I464" i="2"/>
  <c r="G464" i="2"/>
  <c r="C464" i="2"/>
  <c r="F464" i="2"/>
  <c r="D464" i="2"/>
  <c r="B464" i="2"/>
  <c r="J464" i="2" s="1"/>
  <c r="K466" i="2"/>
  <c r="I466" i="2"/>
  <c r="G466" i="2"/>
  <c r="C466" i="2"/>
  <c r="F466" i="2"/>
  <c r="D466" i="2"/>
  <c r="B466" i="2"/>
  <c r="J466" i="2" s="1"/>
  <c r="K468" i="2"/>
  <c r="I468" i="2"/>
  <c r="G468" i="2"/>
  <c r="C468" i="2"/>
  <c r="F468" i="2"/>
  <c r="D468" i="2"/>
  <c r="B468" i="2"/>
  <c r="J468" i="2" s="1"/>
  <c r="K470" i="2"/>
  <c r="I470" i="2"/>
  <c r="G470" i="2"/>
  <c r="C470" i="2"/>
  <c r="F470" i="2"/>
  <c r="D470" i="2"/>
  <c r="B470" i="2"/>
  <c r="J470" i="2" s="1"/>
  <c r="K472" i="2"/>
  <c r="I472" i="2"/>
  <c r="G472" i="2"/>
  <c r="C472" i="2"/>
  <c r="F472" i="2"/>
  <c r="D472" i="2"/>
  <c r="B472" i="2"/>
  <c r="J472" i="2" s="1"/>
  <c r="K474" i="2"/>
  <c r="I474" i="2"/>
  <c r="G474" i="2"/>
  <c r="C474" i="2"/>
  <c r="F474" i="2"/>
  <c r="D474" i="2"/>
  <c r="B474" i="2"/>
  <c r="J474" i="2" s="1"/>
  <c r="K476" i="2"/>
  <c r="I476" i="2"/>
  <c r="G476" i="2"/>
  <c r="C476" i="2"/>
  <c r="F476" i="2"/>
  <c r="D476" i="2"/>
  <c r="B476" i="2"/>
  <c r="J476" i="2" s="1"/>
  <c r="K478" i="2"/>
  <c r="I478" i="2"/>
  <c r="G478" i="2"/>
  <c r="C478" i="2"/>
  <c r="F478" i="2"/>
  <c r="D478" i="2"/>
  <c r="B478" i="2"/>
  <c r="J478" i="2" s="1"/>
  <c r="K480" i="2"/>
  <c r="I480" i="2"/>
  <c r="G480" i="2"/>
  <c r="C480" i="2"/>
  <c r="F480" i="2"/>
  <c r="D480" i="2"/>
  <c r="B480" i="2"/>
  <c r="J480" i="2" s="1"/>
  <c r="K482" i="2"/>
  <c r="I482" i="2"/>
  <c r="G482" i="2"/>
  <c r="C482" i="2"/>
  <c r="F482" i="2"/>
  <c r="D482" i="2"/>
  <c r="B482" i="2"/>
  <c r="J482" i="2" s="1"/>
  <c r="K484" i="2"/>
  <c r="I484" i="2"/>
  <c r="G484" i="2"/>
  <c r="C484" i="2"/>
  <c r="F484" i="2"/>
  <c r="D484" i="2"/>
  <c r="B484" i="2"/>
  <c r="J484" i="2" s="1"/>
  <c r="K486" i="2"/>
  <c r="I486" i="2"/>
  <c r="G486" i="2"/>
  <c r="C486" i="2"/>
  <c r="F486" i="2"/>
  <c r="D486" i="2"/>
  <c r="B486" i="2"/>
  <c r="J486" i="2" s="1"/>
  <c r="K488" i="2"/>
  <c r="I488" i="2"/>
  <c r="G488" i="2"/>
  <c r="C488" i="2"/>
  <c r="F488" i="2"/>
  <c r="D488" i="2"/>
  <c r="B488" i="2"/>
  <c r="J488" i="2" s="1"/>
  <c r="K490" i="2"/>
  <c r="I490" i="2"/>
  <c r="G490" i="2"/>
  <c r="C490" i="2"/>
  <c r="F490" i="2"/>
  <c r="D490" i="2"/>
  <c r="B490" i="2"/>
  <c r="J490" i="2" s="1"/>
  <c r="K492" i="2"/>
  <c r="I492" i="2"/>
  <c r="G492" i="2"/>
  <c r="C492" i="2"/>
  <c r="F492" i="2"/>
  <c r="D492" i="2"/>
  <c r="B492" i="2"/>
  <c r="J492" i="2" s="1"/>
  <c r="K494" i="2"/>
  <c r="I494" i="2"/>
  <c r="G494" i="2"/>
  <c r="C494" i="2"/>
  <c r="F494" i="2"/>
  <c r="D494" i="2"/>
  <c r="B494" i="2"/>
  <c r="J494" i="2" s="1"/>
  <c r="K496" i="2"/>
  <c r="I496" i="2"/>
  <c r="G496" i="2"/>
  <c r="C496" i="2"/>
  <c r="F496" i="2"/>
  <c r="D496" i="2"/>
  <c r="B496" i="2"/>
  <c r="J496" i="2" s="1"/>
  <c r="K498" i="2"/>
  <c r="I498" i="2"/>
  <c r="G498" i="2"/>
  <c r="C498" i="2"/>
  <c r="F498" i="2"/>
  <c r="D498" i="2"/>
  <c r="B498" i="2"/>
  <c r="J498" i="2" s="1"/>
  <c r="K500" i="2"/>
  <c r="I500" i="2"/>
  <c r="G500" i="2"/>
  <c r="C500" i="2"/>
  <c r="F500" i="2"/>
  <c r="D500" i="2"/>
  <c r="B500" i="2"/>
  <c r="J500" i="2" s="1"/>
  <c r="K502" i="2"/>
  <c r="I502" i="2"/>
  <c r="G502" i="2"/>
  <c r="C502" i="2"/>
  <c r="F502" i="2"/>
  <c r="D502" i="2"/>
  <c r="B502" i="2"/>
  <c r="J502" i="2" s="1"/>
  <c r="K504" i="2"/>
  <c r="I504" i="2"/>
  <c r="G504" i="2"/>
  <c r="C504" i="2"/>
  <c r="F504" i="2"/>
  <c r="D504" i="2"/>
  <c r="B504" i="2"/>
  <c r="J504" i="2" s="1"/>
  <c r="K506" i="2"/>
  <c r="I506" i="2"/>
  <c r="G506" i="2"/>
  <c r="C506" i="2"/>
  <c r="F506" i="2"/>
  <c r="D506" i="2"/>
  <c r="B506" i="2"/>
  <c r="J506" i="2" s="1"/>
  <c r="K508" i="2"/>
  <c r="I508" i="2"/>
  <c r="G508" i="2"/>
  <c r="C508" i="2"/>
  <c r="F508" i="2"/>
  <c r="D508" i="2"/>
  <c r="B508" i="2"/>
  <c r="J508" i="2" s="1"/>
  <c r="K510" i="2"/>
  <c r="I510" i="2"/>
  <c r="G510" i="2"/>
  <c r="C510" i="2"/>
  <c r="F510" i="2"/>
  <c r="D510" i="2"/>
  <c r="B510" i="2"/>
  <c r="J510" i="2" s="1"/>
  <c r="K512" i="2"/>
  <c r="I512" i="2"/>
  <c r="G512" i="2"/>
  <c r="C512" i="2"/>
  <c r="F512" i="2"/>
  <c r="D512" i="2"/>
  <c r="B512" i="2"/>
  <c r="J512" i="2" s="1"/>
  <c r="K514" i="2"/>
  <c r="I514" i="2"/>
  <c r="G514" i="2"/>
  <c r="C514" i="2"/>
  <c r="F514" i="2"/>
  <c r="D514" i="2"/>
  <c r="B514" i="2"/>
  <c r="J514" i="2" s="1"/>
  <c r="K516" i="2"/>
  <c r="I516" i="2"/>
  <c r="G516" i="2"/>
  <c r="C516" i="2"/>
  <c r="F516" i="2"/>
  <c r="D516" i="2"/>
  <c r="B516" i="2"/>
  <c r="J516" i="2" s="1"/>
  <c r="K518" i="2"/>
  <c r="I518" i="2"/>
  <c r="G518" i="2"/>
  <c r="C518" i="2"/>
  <c r="F518" i="2"/>
  <c r="D518" i="2"/>
  <c r="B518" i="2"/>
  <c r="J518" i="2" s="1"/>
  <c r="K520" i="2"/>
  <c r="I520" i="2"/>
  <c r="G520" i="2"/>
  <c r="C520" i="2"/>
  <c r="F520" i="2"/>
  <c r="D520" i="2"/>
  <c r="B520" i="2"/>
  <c r="J520" i="2" s="1"/>
  <c r="K522" i="2"/>
  <c r="I522" i="2"/>
  <c r="G522" i="2"/>
  <c r="C522" i="2"/>
  <c r="F522" i="2"/>
  <c r="D522" i="2"/>
  <c r="B522" i="2"/>
  <c r="J522" i="2" s="1"/>
  <c r="K524" i="2"/>
  <c r="I524" i="2"/>
  <c r="G524" i="2"/>
  <c r="C524" i="2"/>
  <c r="F524" i="2"/>
  <c r="D524" i="2"/>
  <c r="B524" i="2"/>
  <c r="J524" i="2" s="1"/>
  <c r="K526" i="2"/>
  <c r="I526" i="2"/>
  <c r="G526" i="2"/>
  <c r="C526" i="2"/>
  <c r="F526" i="2"/>
  <c r="D526" i="2"/>
  <c r="B526" i="2"/>
  <c r="J526" i="2" s="1"/>
  <c r="K528" i="2"/>
  <c r="I528" i="2"/>
  <c r="G528" i="2"/>
  <c r="C528" i="2"/>
  <c r="F528" i="2"/>
  <c r="D528" i="2"/>
  <c r="B528" i="2"/>
  <c r="J528" i="2" s="1"/>
  <c r="K530" i="2"/>
  <c r="I530" i="2"/>
  <c r="G530" i="2"/>
  <c r="C530" i="2"/>
  <c r="F530" i="2"/>
  <c r="D530" i="2"/>
  <c r="B530" i="2"/>
  <c r="J530" i="2" s="1"/>
  <c r="K532" i="2"/>
  <c r="I532" i="2"/>
  <c r="G532" i="2"/>
  <c r="C532" i="2"/>
  <c r="F532" i="2"/>
  <c r="D532" i="2"/>
  <c r="B532" i="2"/>
  <c r="J532" i="2" s="1"/>
  <c r="K534" i="2"/>
  <c r="I534" i="2"/>
  <c r="G534" i="2"/>
  <c r="C534" i="2"/>
  <c r="F534" i="2"/>
  <c r="D534" i="2"/>
  <c r="B534" i="2"/>
  <c r="J534" i="2" s="1"/>
  <c r="K536" i="2"/>
  <c r="I536" i="2"/>
  <c r="G536" i="2"/>
  <c r="C536" i="2"/>
  <c r="F536" i="2"/>
  <c r="D536" i="2"/>
  <c r="B536" i="2"/>
  <c r="J536" i="2" s="1"/>
  <c r="K538" i="2"/>
  <c r="I538" i="2"/>
  <c r="G538" i="2"/>
  <c r="C538" i="2"/>
  <c r="F538" i="2"/>
  <c r="D538" i="2"/>
  <c r="B538" i="2"/>
  <c r="J538" i="2" s="1"/>
  <c r="K540" i="2"/>
  <c r="I540" i="2"/>
  <c r="G540" i="2"/>
  <c r="C540" i="2"/>
  <c r="F540" i="2"/>
  <c r="D540" i="2"/>
  <c r="B540" i="2"/>
  <c r="J540" i="2" s="1"/>
  <c r="K542" i="2"/>
  <c r="I542" i="2"/>
  <c r="G542" i="2"/>
  <c r="C542" i="2"/>
  <c r="F542" i="2"/>
  <c r="D542" i="2"/>
  <c r="B542" i="2"/>
  <c r="J542" i="2" s="1"/>
  <c r="K544" i="2"/>
  <c r="I544" i="2"/>
  <c r="G544" i="2"/>
  <c r="C544" i="2"/>
  <c r="F544" i="2"/>
  <c r="D544" i="2"/>
  <c r="B544" i="2"/>
  <c r="J544" i="2" s="1"/>
  <c r="K546" i="2"/>
  <c r="I546" i="2"/>
  <c r="G546" i="2"/>
  <c r="C546" i="2"/>
  <c r="F546" i="2"/>
  <c r="D546" i="2"/>
  <c r="B546" i="2"/>
  <c r="J546" i="2" s="1"/>
  <c r="K548" i="2"/>
  <c r="I548" i="2"/>
  <c r="G548" i="2"/>
  <c r="C548" i="2"/>
  <c r="F548" i="2"/>
  <c r="D548" i="2"/>
  <c r="B548" i="2"/>
  <c r="J548" i="2" s="1"/>
  <c r="K550" i="2"/>
  <c r="I550" i="2"/>
  <c r="G550" i="2"/>
  <c r="C550" i="2"/>
  <c r="F550" i="2"/>
  <c r="D550" i="2"/>
  <c r="B550" i="2"/>
  <c r="J550" i="2" s="1"/>
  <c r="K552" i="2"/>
  <c r="I552" i="2"/>
  <c r="G552" i="2"/>
  <c r="C552" i="2"/>
  <c r="F552" i="2"/>
  <c r="D552" i="2"/>
  <c r="B552" i="2"/>
  <c r="J552" i="2" s="1"/>
  <c r="K554" i="2"/>
  <c r="I554" i="2"/>
  <c r="G554" i="2"/>
  <c r="C554" i="2"/>
  <c r="F554" i="2"/>
  <c r="D554" i="2"/>
  <c r="B554" i="2"/>
  <c r="J554" i="2" s="1"/>
  <c r="K556" i="2"/>
  <c r="I556" i="2"/>
  <c r="G556" i="2"/>
  <c r="C556" i="2"/>
  <c r="F556" i="2"/>
  <c r="D556" i="2"/>
  <c r="B556" i="2"/>
  <c r="J556" i="2" s="1"/>
  <c r="K558" i="2"/>
  <c r="I558" i="2"/>
  <c r="G558" i="2"/>
  <c r="C558" i="2"/>
  <c r="F558" i="2"/>
  <c r="D558" i="2"/>
  <c r="B558" i="2"/>
  <c r="J558" i="2" s="1"/>
  <c r="K560" i="2"/>
  <c r="I560" i="2"/>
  <c r="G560" i="2"/>
  <c r="C560" i="2"/>
  <c r="F560" i="2"/>
  <c r="D560" i="2"/>
  <c r="B560" i="2"/>
  <c r="J560" i="2" s="1"/>
  <c r="K562" i="2"/>
  <c r="I562" i="2"/>
  <c r="G562" i="2"/>
  <c r="C562" i="2"/>
  <c r="F562" i="2"/>
  <c r="D562" i="2"/>
  <c r="B562" i="2"/>
  <c r="J562" i="2" s="1"/>
  <c r="K564" i="2"/>
  <c r="I564" i="2"/>
  <c r="G564" i="2"/>
  <c r="C564" i="2"/>
  <c r="F564" i="2"/>
  <c r="D564" i="2"/>
  <c r="B564" i="2"/>
  <c r="J564" i="2" s="1"/>
  <c r="K566" i="2"/>
  <c r="I566" i="2"/>
  <c r="G566" i="2"/>
  <c r="C566" i="2"/>
  <c r="F566" i="2"/>
  <c r="D566" i="2"/>
  <c r="B566" i="2"/>
  <c r="J566" i="2" s="1"/>
  <c r="K568" i="2"/>
  <c r="I568" i="2"/>
  <c r="G568" i="2"/>
  <c r="C568" i="2"/>
  <c r="F568" i="2"/>
  <c r="D568" i="2"/>
  <c r="B568" i="2"/>
  <c r="J568" i="2" s="1"/>
  <c r="K570" i="2"/>
  <c r="I570" i="2"/>
  <c r="G570" i="2"/>
  <c r="C570" i="2"/>
  <c r="F570" i="2"/>
  <c r="D570" i="2"/>
  <c r="B570" i="2"/>
  <c r="J570" i="2" s="1"/>
  <c r="K572" i="2"/>
  <c r="I572" i="2"/>
  <c r="G572" i="2"/>
  <c r="C572" i="2"/>
  <c r="F572" i="2"/>
  <c r="D572" i="2"/>
  <c r="B572" i="2"/>
  <c r="J572" i="2" s="1"/>
  <c r="K574" i="2"/>
  <c r="I574" i="2"/>
  <c r="G574" i="2"/>
  <c r="C574" i="2"/>
  <c r="F574" i="2"/>
  <c r="D574" i="2"/>
  <c r="B574" i="2"/>
  <c r="J574" i="2" s="1"/>
  <c r="K576" i="2"/>
  <c r="I576" i="2"/>
  <c r="G576" i="2"/>
  <c r="C576" i="2"/>
  <c r="F576" i="2"/>
  <c r="D576" i="2"/>
  <c r="B576" i="2"/>
  <c r="J576" i="2" s="1"/>
  <c r="K578" i="2"/>
  <c r="I578" i="2"/>
  <c r="G578" i="2"/>
  <c r="C578" i="2"/>
  <c r="F578" i="2"/>
  <c r="D578" i="2"/>
  <c r="B578" i="2"/>
  <c r="J578" i="2" s="1"/>
  <c r="K580" i="2"/>
  <c r="I580" i="2"/>
  <c r="G580" i="2"/>
  <c r="C580" i="2"/>
  <c r="F580" i="2"/>
  <c r="D580" i="2"/>
  <c r="B580" i="2"/>
  <c r="J580" i="2" s="1"/>
  <c r="K582" i="2"/>
  <c r="I582" i="2"/>
  <c r="G582" i="2"/>
  <c r="C582" i="2"/>
  <c r="F582" i="2"/>
  <c r="D582" i="2"/>
  <c r="B582" i="2"/>
  <c r="J582" i="2" s="1"/>
  <c r="K584" i="2"/>
  <c r="I584" i="2"/>
  <c r="G584" i="2"/>
  <c r="C584" i="2"/>
  <c r="F584" i="2"/>
  <c r="D584" i="2"/>
  <c r="B584" i="2"/>
  <c r="J584" i="2" s="1"/>
  <c r="K586" i="2"/>
  <c r="I586" i="2"/>
  <c r="G586" i="2"/>
  <c r="C586" i="2"/>
  <c r="F586" i="2"/>
  <c r="D586" i="2"/>
  <c r="B586" i="2"/>
  <c r="J586" i="2" s="1"/>
  <c r="K588" i="2"/>
  <c r="I588" i="2"/>
  <c r="G588" i="2"/>
  <c r="C588" i="2"/>
  <c r="F588" i="2"/>
  <c r="D588" i="2"/>
  <c r="B588" i="2"/>
  <c r="J588" i="2" s="1"/>
  <c r="K590" i="2"/>
  <c r="I590" i="2"/>
  <c r="G590" i="2"/>
  <c r="C590" i="2"/>
  <c r="F590" i="2"/>
  <c r="D590" i="2"/>
  <c r="B590" i="2"/>
  <c r="J590" i="2" s="1"/>
  <c r="K592" i="2"/>
  <c r="I592" i="2"/>
  <c r="G592" i="2"/>
  <c r="C592" i="2"/>
  <c r="F592" i="2"/>
  <c r="D592" i="2"/>
  <c r="B592" i="2"/>
  <c r="J592" i="2" s="1"/>
  <c r="K594" i="2"/>
  <c r="I594" i="2"/>
  <c r="G594" i="2"/>
  <c r="C594" i="2"/>
  <c r="F594" i="2"/>
  <c r="D594" i="2"/>
  <c r="B594" i="2"/>
  <c r="J594" i="2" s="1"/>
  <c r="K596" i="2"/>
  <c r="I596" i="2"/>
  <c r="G596" i="2"/>
  <c r="C596" i="2"/>
  <c r="F596" i="2"/>
  <c r="D596" i="2"/>
  <c r="B596" i="2"/>
  <c r="J596" i="2" s="1"/>
  <c r="K598" i="2"/>
  <c r="I598" i="2"/>
  <c r="G598" i="2"/>
  <c r="C598" i="2"/>
  <c r="F598" i="2"/>
  <c r="D598" i="2"/>
  <c r="B598" i="2"/>
  <c r="J598" i="2" s="1"/>
  <c r="K600" i="2"/>
  <c r="I600" i="2"/>
  <c r="G600" i="2"/>
  <c r="C600" i="2"/>
  <c r="F600" i="2"/>
  <c r="D600" i="2"/>
  <c r="B600" i="2"/>
  <c r="J600" i="2" s="1"/>
  <c r="K602" i="2"/>
  <c r="I602" i="2"/>
  <c r="G602" i="2"/>
  <c r="C602" i="2"/>
  <c r="F602" i="2"/>
  <c r="D602" i="2"/>
  <c r="B602" i="2"/>
  <c r="J602" i="2" s="1"/>
  <c r="K604" i="2"/>
  <c r="I604" i="2"/>
  <c r="G604" i="2"/>
  <c r="C604" i="2"/>
  <c r="F604" i="2"/>
  <c r="D604" i="2"/>
  <c r="B604" i="2"/>
  <c r="J604" i="2" s="1"/>
  <c r="K606" i="2"/>
  <c r="I606" i="2"/>
  <c r="G606" i="2"/>
  <c r="C606" i="2"/>
  <c r="F606" i="2"/>
  <c r="D606" i="2"/>
  <c r="B606" i="2"/>
  <c r="J606" i="2" s="1"/>
  <c r="K608" i="2"/>
  <c r="I608" i="2"/>
  <c r="G608" i="2"/>
  <c r="C608" i="2"/>
  <c r="F608" i="2"/>
  <c r="D608" i="2"/>
  <c r="B608" i="2"/>
  <c r="J608" i="2" s="1"/>
  <c r="K610" i="2"/>
  <c r="I610" i="2"/>
  <c r="G610" i="2"/>
  <c r="C610" i="2"/>
  <c r="F610" i="2"/>
  <c r="D610" i="2"/>
  <c r="B610" i="2"/>
  <c r="J610" i="2" s="1"/>
  <c r="K612" i="2"/>
  <c r="I612" i="2"/>
  <c r="G612" i="2"/>
  <c r="C612" i="2"/>
  <c r="F612" i="2"/>
  <c r="D612" i="2"/>
  <c r="B612" i="2"/>
  <c r="J612" i="2" s="1"/>
  <c r="K614" i="2"/>
  <c r="I614" i="2"/>
  <c r="G614" i="2"/>
  <c r="C614" i="2"/>
  <c r="F614" i="2"/>
  <c r="D614" i="2"/>
  <c r="B614" i="2"/>
  <c r="J614" i="2" s="1"/>
  <c r="K616" i="2"/>
  <c r="I616" i="2"/>
  <c r="G616" i="2"/>
  <c r="C616" i="2"/>
  <c r="F616" i="2"/>
  <c r="D616" i="2"/>
  <c r="B616" i="2"/>
  <c r="J616" i="2" s="1"/>
  <c r="K618" i="2"/>
  <c r="I618" i="2"/>
  <c r="G618" i="2"/>
  <c r="C618" i="2"/>
  <c r="F618" i="2"/>
  <c r="D618" i="2"/>
  <c r="B618" i="2"/>
  <c r="J618" i="2" s="1"/>
  <c r="K620" i="2"/>
  <c r="I620" i="2"/>
  <c r="G620" i="2"/>
  <c r="C620" i="2"/>
  <c r="F620" i="2"/>
  <c r="D620" i="2"/>
  <c r="B620" i="2"/>
  <c r="J620" i="2" s="1"/>
  <c r="K622" i="2"/>
  <c r="I622" i="2"/>
  <c r="G622" i="2"/>
  <c r="C622" i="2"/>
  <c r="F622" i="2"/>
  <c r="D622" i="2"/>
  <c r="B622" i="2"/>
  <c r="J622" i="2" s="1"/>
  <c r="K624" i="2"/>
  <c r="I624" i="2"/>
  <c r="G624" i="2"/>
  <c r="C624" i="2"/>
  <c r="F624" i="2"/>
  <c r="D624" i="2"/>
  <c r="B624" i="2"/>
  <c r="J624" i="2" s="1"/>
  <c r="K626" i="2"/>
  <c r="I626" i="2"/>
  <c r="G626" i="2"/>
  <c r="C626" i="2"/>
  <c r="F626" i="2"/>
  <c r="D626" i="2"/>
  <c r="B626" i="2"/>
  <c r="J626" i="2" s="1"/>
  <c r="K628" i="2"/>
  <c r="I628" i="2"/>
  <c r="G628" i="2"/>
  <c r="C628" i="2"/>
  <c r="F628" i="2"/>
  <c r="D628" i="2"/>
  <c r="B628" i="2"/>
  <c r="J628" i="2" s="1"/>
  <c r="K630" i="2"/>
  <c r="I630" i="2"/>
  <c r="G630" i="2"/>
  <c r="C630" i="2"/>
  <c r="F630" i="2"/>
  <c r="D630" i="2"/>
  <c r="B630" i="2"/>
  <c r="J630" i="2" s="1"/>
  <c r="K632" i="2"/>
  <c r="I632" i="2"/>
  <c r="G632" i="2"/>
  <c r="C632" i="2"/>
  <c r="F632" i="2"/>
  <c r="D632" i="2"/>
  <c r="B632" i="2"/>
  <c r="J632" i="2" s="1"/>
  <c r="K634" i="2"/>
  <c r="I634" i="2"/>
  <c r="G634" i="2"/>
  <c r="C634" i="2"/>
  <c r="F634" i="2"/>
  <c r="D634" i="2"/>
  <c r="B634" i="2"/>
  <c r="J634" i="2" s="1"/>
  <c r="K636" i="2"/>
  <c r="I636" i="2"/>
  <c r="G636" i="2"/>
  <c r="C636" i="2"/>
  <c r="F636" i="2"/>
  <c r="D636" i="2"/>
  <c r="B636" i="2"/>
  <c r="J636" i="2" s="1"/>
  <c r="K638" i="2"/>
  <c r="I638" i="2"/>
  <c r="G638" i="2"/>
  <c r="C638" i="2"/>
  <c r="F638" i="2"/>
  <c r="D638" i="2"/>
  <c r="B638" i="2"/>
  <c r="J638" i="2" s="1"/>
  <c r="K640" i="2"/>
  <c r="I640" i="2"/>
  <c r="G640" i="2"/>
  <c r="C640" i="2"/>
  <c r="F640" i="2"/>
  <c r="D640" i="2"/>
  <c r="B640" i="2"/>
  <c r="J640" i="2" s="1"/>
  <c r="K642" i="2"/>
  <c r="I642" i="2"/>
  <c r="G642" i="2"/>
  <c r="C642" i="2"/>
  <c r="F642" i="2"/>
  <c r="D642" i="2"/>
  <c r="B642" i="2"/>
  <c r="J642" i="2" s="1"/>
  <c r="K644" i="2"/>
  <c r="I644" i="2"/>
  <c r="G644" i="2"/>
  <c r="C644" i="2"/>
  <c r="F644" i="2"/>
  <c r="D644" i="2"/>
  <c r="B644" i="2"/>
  <c r="J644" i="2" s="1"/>
  <c r="K646" i="2"/>
  <c r="I646" i="2"/>
  <c r="G646" i="2"/>
  <c r="C646" i="2"/>
  <c r="F646" i="2"/>
  <c r="D646" i="2"/>
  <c r="B646" i="2"/>
  <c r="J646" i="2" s="1"/>
  <c r="K648" i="2"/>
  <c r="I648" i="2"/>
  <c r="G648" i="2"/>
  <c r="C648" i="2"/>
  <c r="F648" i="2"/>
  <c r="D648" i="2"/>
  <c r="B648" i="2"/>
  <c r="J648" i="2" s="1"/>
  <c r="K650" i="2"/>
  <c r="I650" i="2"/>
  <c r="G650" i="2"/>
  <c r="C650" i="2"/>
  <c r="F650" i="2"/>
  <c r="D650" i="2"/>
  <c r="B650" i="2"/>
  <c r="J650" i="2" s="1"/>
  <c r="K652" i="2"/>
  <c r="I652" i="2"/>
  <c r="G652" i="2"/>
  <c r="C652" i="2"/>
  <c r="F652" i="2"/>
  <c r="D652" i="2"/>
  <c r="B652" i="2"/>
  <c r="J652" i="2" s="1"/>
  <c r="K654" i="2"/>
  <c r="I654" i="2"/>
  <c r="G654" i="2"/>
  <c r="C654" i="2"/>
  <c r="F654" i="2"/>
  <c r="D654" i="2"/>
  <c r="B654" i="2"/>
  <c r="J654" i="2" s="1"/>
  <c r="K656" i="2"/>
  <c r="I656" i="2"/>
  <c r="G656" i="2"/>
  <c r="C656" i="2"/>
  <c r="F656" i="2"/>
  <c r="D656" i="2"/>
  <c r="B656" i="2"/>
  <c r="J656" i="2" s="1"/>
  <c r="K658" i="2"/>
  <c r="I658" i="2"/>
  <c r="G658" i="2"/>
  <c r="C658" i="2"/>
  <c r="F658" i="2"/>
  <c r="D658" i="2"/>
  <c r="B658" i="2"/>
  <c r="J658" i="2" s="1"/>
  <c r="K660" i="2"/>
  <c r="I660" i="2"/>
  <c r="G660" i="2"/>
  <c r="C660" i="2"/>
  <c r="F660" i="2"/>
  <c r="D660" i="2"/>
  <c r="B660" i="2"/>
  <c r="J660" i="2" s="1"/>
  <c r="K662" i="2"/>
  <c r="I662" i="2"/>
  <c r="G662" i="2"/>
  <c r="C662" i="2"/>
  <c r="F662" i="2"/>
  <c r="D662" i="2"/>
  <c r="B662" i="2"/>
  <c r="J662" i="2" s="1"/>
  <c r="K664" i="2"/>
  <c r="I664" i="2"/>
  <c r="G664" i="2"/>
  <c r="C664" i="2"/>
  <c r="F664" i="2"/>
  <c r="D664" i="2"/>
  <c r="B664" i="2"/>
  <c r="J664" i="2" s="1"/>
  <c r="K666" i="2"/>
  <c r="I666" i="2"/>
  <c r="G666" i="2"/>
  <c r="C666" i="2"/>
  <c r="F666" i="2"/>
  <c r="D666" i="2"/>
  <c r="B666" i="2"/>
  <c r="J666" i="2" s="1"/>
  <c r="K668" i="2"/>
  <c r="I668" i="2"/>
  <c r="G668" i="2"/>
  <c r="C668" i="2"/>
  <c r="F668" i="2"/>
  <c r="D668" i="2"/>
  <c r="B668" i="2"/>
  <c r="J668" i="2" s="1"/>
  <c r="K670" i="2"/>
  <c r="I670" i="2"/>
  <c r="G670" i="2"/>
  <c r="C670" i="2"/>
  <c r="F670" i="2"/>
  <c r="D670" i="2"/>
  <c r="B670" i="2"/>
  <c r="J670" i="2" s="1"/>
  <c r="K672" i="2"/>
  <c r="I672" i="2"/>
  <c r="G672" i="2"/>
  <c r="C672" i="2"/>
  <c r="F672" i="2"/>
  <c r="D672" i="2"/>
  <c r="B672" i="2"/>
  <c r="J672" i="2" s="1"/>
  <c r="K674" i="2"/>
  <c r="I674" i="2"/>
  <c r="G674" i="2"/>
  <c r="C674" i="2"/>
  <c r="F674" i="2"/>
  <c r="D674" i="2"/>
  <c r="B674" i="2"/>
  <c r="J674" i="2" s="1"/>
  <c r="K676" i="2"/>
  <c r="I676" i="2"/>
  <c r="G676" i="2"/>
  <c r="C676" i="2"/>
  <c r="F676" i="2"/>
  <c r="D676" i="2"/>
  <c r="B676" i="2"/>
  <c r="J676" i="2" s="1"/>
  <c r="K678" i="2"/>
  <c r="I678" i="2"/>
  <c r="G678" i="2"/>
  <c r="C678" i="2"/>
  <c r="F678" i="2"/>
  <c r="D678" i="2"/>
  <c r="B678" i="2"/>
  <c r="J678" i="2" s="1"/>
  <c r="K680" i="2"/>
  <c r="I680" i="2"/>
  <c r="G680" i="2"/>
  <c r="C680" i="2"/>
  <c r="F680" i="2"/>
  <c r="D680" i="2"/>
  <c r="B680" i="2"/>
  <c r="J680" i="2" s="1"/>
  <c r="K682" i="2"/>
  <c r="I682" i="2"/>
  <c r="G682" i="2"/>
  <c r="C682" i="2"/>
  <c r="F682" i="2"/>
  <c r="D682" i="2"/>
  <c r="B682" i="2"/>
  <c r="J682" i="2" s="1"/>
  <c r="K684" i="2"/>
  <c r="I684" i="2"/>
  <c r="G684" i="2"/>
  <c r="C684" i="2"/>
  <c r="F684" i="2"/>
  <c r="D684" i="2"/>
  <c r="B684" i="2"/>
  <c r="J684" i="2" s="1"/>
  <c r="K686" i="2"/>
  <c r="I686" i="2"/>
  <c r="G686" i="2"/>
  <c r="C686" i="2"/>
  <c r="F686" i="2"/>
  <c r="D686" i="2"/>
  <c r="B686" i="2"/>
  <c r="J686" i="2" s="1"/>
  <c r="K688" i="2"/>
  <c r="I688" i="2"/>
  <c r="G688" i="2"/>
  <c r="C688" i="2"/>
  <c r="F688" i="2"/>
  <c r="D688" i="2"/>
  <c r="B688" i="2"/>
  <c r="J688" i="2" s="1"/>
  <c r="K690" i="2"/>
  <c r="I690" i="2"/>
  <c r="G690" i="2"/>
  <c r="C690" i="2"/>
  <c r="F690" i="2"/>
  <c r="D690" i="2"/>
  <c r="B690" i="2"/>
  <c r="J690" i="2" s="1"/>
  <c r="K692" i="2"/>
  <c r="I692" i="2"/>
  <c r="G692" i="2"/>
  <c r="C692" i="2"/>
  <c r="F692" i="2"/>
  <c r="D692" i="2"/>
  <c r="B692" i="2"/>
  <c r="J692" i="2" s="1"/>
  <c r="K694" i="2"/>
  <c r="I694" i="2"/>
  <c r="G694" i="2"/>
  <c r="C694" i="2"/>
  <c r="F694" i="2"/>
  <c r="D694" i="2"/>
  <c r="B694" i="2"/>
  <c r="J694" i="2" s="1"/>
  <c r="K696" i="2"/>
  <c r="I696" i="2"/>
  <c r="G696" i="2"/>
  <c r="C696" i="2"/>
  <c r="F696" i="2"/>
  <c r="D696" i="2"/>
  <c r="B696" i="2"/>
  <c r="J696" i="2" s="1"/>
  <c r="K698" i="2"/>
  <c r="I698" i="2"/>
  <c r="G698" i="2"/>
  <c r="C698" i="2"/>
  <c r="F698" i="2"/>
  <c r="D698" i="2"/>
  <c r="B698" i="2"/>
  <c r="J698" i="2" s="1"/>
  <c r="K700" i="2"/>
  <c r="I700" i="2"/>
  <c r="G700" i="2"/>
  <c r="C700" i="2"/>
  <c r="F700" i="2"/>
  <c r="D700" i="2"/>
  <c r="B700" i="2"/>
  <c r="J700" i="2" s="1"/>
  <c r="K702" i="2"/>
  <c r="I702" i="2"/>
  <c r="G702" i="2"/>
  <c r="C702" i="2"/>
  <c r="F702" i="2"/>
  <c r="D702" i="2"/>
  <c r="B702" i="2"/>
  <c r="J702" i="2" s="1"/>
  <c r="K704" i="2"/>
  <c r="I704" i="2"/>
  <c r="G704" i="2"/>
  <c r="C704" i="2"/>
  <c r="F704" i="2"/>
  <c r="D704" i="2"/>
  <c r="B704" i="2"/>
  <c r="J704" i="2" s="1"/>
  <c r="K706" i="2"/>
  <c r="I706" i="2"/>
  <c r="G706" i="2"/>
  <c r="C706" i="2"/>
  <c r="F706" i="2"/>
  <c r="D706" i="2"/>
  <c r="B706" i="2"/>
  <c r="J706" i="2" s="1"/>
  <c r="K708" i="2"/>
  <c r="I708" i="2"/>
  <c r="G708" i="2"/>
  <c r="C708" i="2"/>
  <c r="F708" i="2"/>
  <c r="D708" i="2"/>
  <c r="B708" i="2"/>
  <c r="J708" i="2" s="1"/>
  <c r="K710" i="2"/>
  <c r="I710" i="2"/>
  <c r="G710" i="2"/>
  <c r="C710" i="2"/>
  <c r="F710" i="2"/>
  <c r="D710" i="2"/>
  <c r="B710" i="2"/>
  <c r="J710" i="2" s="1"/>
  <c r="K712" i="2"/>
  <c r="I712" i="2"/>
  <c r="G712" i="2"/>
  <c r="C712" i="2"/>
  <c r="F712" i="2"/>
  <c r="D712" i="2"/>
  <c r="B712" i="2"/>
  <c r="J712" i="2" s="1"/>
  <c r="K714" i="2"/>
  <c r="I714" i="2"/>
  <c r="G714" i="2"/>
  <c r="C714" i="2"/>
  <c r="F714" i="2"/>
  <c r="D714" i="2"/>
  <c r="B714" i="2"/>
  <c r="J714" i="2" s="1"/>
  <c r="K716" i="2"/>
  <c r="I716" i="2"/>
  <c r="G716" i="2"/>
  <c r="C716" i="2"/>
  <c r="F716" i="2"/>
  <c r="D716" i="2"/>
  <c r="B716" i="2"/>
  <c r="J716" i="2" s="1"/>
  <c r="K718" i="2"/>
  <c r="I718" i="2"/>
  <c r="G718" i="2"/>
  <c r="C718" i="2"/>
  <c r="F718" i="2"/>
  <c r="D718" i="2"/>
  <c r="B718" i="2"/>
  <c r="J718" i="2" s="1"/>
  <c r="K720" i="2"/>
  <c r="I720" i="2"/>
  <c r="G720" i="2"/>
  <c r="C720" i="2"/>
  <c r="F720" i="2"/>
  <c r="D720" i="2"/>
  <c r="B720" i="2"/>
  <c r="J720" i="2" s="1"/>
  <c r="K722" i="2"/>
  <c r="I722" i="2"/>
  <c r="G722" i="2"/>
  <c r="C722" i="2"/>
  <c r="F722" i="2"/>
  <c r="D722" i="2"/>
  <c r="B722" i="2"/>
  <c r="J722" i="2" s="1"/>
  <c r="K724" i="2"/>
  <c r="I724" i="2"/>
  <c r="G724" i="2"/>
  <c r="C724" i="2"/>
  <c r="F724" i="2"/>
  <c r="D724" i="2"/>
  <c r="B724" i="2"/>
  <c r="J724" i="2" s="1"/>
  <c r="K726" i="2"/>
  <c r="I726" i="2"/>
  <c r="G726" i="2"/>
  <c r="C726" i="2"/>
  <c r="F726" i="2"/>
  <c r="D726" i="2"/>
  <c r="B726" i="2"/>
  <c r="J726" i="2" s="1"/>
  <c r="K728" i="2"/>
  <c r="I728" i="2"/>
  <c r="G728" i="2"/>
  <c r="C728" i="2"/>
  <c r="F728" i="2"/>
  <c r="D728" i="2"/>
  <c r="B728" i="2"/>
  <c r="J728" i="2" s="1"/>
  <c r="K730" i="2"/>
  <c r="I730" i="2"/>
  <c r="G730" i="2"/>
  <c r="C730" i="2"/>
  <c r="F730" i="2"/>
  <c r="D730" i="2"/>
  <c r="B730" i="2"/>
  <c r="J730" i="2" s="1"/>
  <c r="K732" i="2"/>
  <c r="I732" i="2"/>
  <c r="G732" i="2"/>
  <c r="C732" i="2"/>
  <c r="F732" i="2"/>
  <c r="D732" i="2"/>
  <c r="B732" i="2"/>
  <c r="J732" i="2" s="1"/>
  <c r="K734" i="2"/>
  <c r="I734" i="2"/>
  <c r="G734" i="2"/>
  <c r="C734" i="2"/>
  <c r="F734" i="2"/>
  <c r="D734" i="2"/>
  <c r="B734" i="2"/>
  <c r="J734" i="2" s="1"/>
  <c r="K736" i="2"/>
  <c r="I736" i="2"/>
  <c r="G736" i="2"/>
  <c r="C736" i="2"/>
  <c r="F736" i="2"/>
  <c r="D736" i="2"/>
  <c r="B736" i="2"/>
  <c r="J736" i="2" s="1"/>
  <c r="K738" i="2"/>
  <c r="I738" i="2"/>
  <c r="G738" i="2"/>
  <c r="C738" i="2"/>
  <c r="F738" i="2"/>
  <c r="D738" i="2"/>
  <c r="B738" i="2"/>
  <c r="J738" i="2" s="1"/>
  <c r="K740" i="2"/>
  <c r="I740" i="2"/>
  <c r="G740" i="2"/>
  <c r="C740" i="2"/>
  <c r="F740" i="2"/>
  <c r="D740" i="2"/>
  <c r="B740" i="2"/>
  <c r="J740" i="2" s="1"/>
  <c r="K742" i="2"/>
  <c r="I742" i="2"/>
  <c r="G742" i="2"/>
  <c r="C742" i="2"/>
  <c r="F742" i="2"/>
  <c r="D742" i="2"/>
  <c r="B742" i="2"/>
  <c r="J742" i="2" s="1"/>
  <c r="K744" i="2"/>
  <c r="I744" i="2"/>
  <c r="G744" i="2"/>
  <c r="C744" i="2"/>
  <c r="F744" i="2"/>
  <c r="D744" i="2"/>
  <c r="B744" i="2"/>
  <c r="J744" i="2" s="1"/>
  <c r="K746" i="2"/>
  <c r="I746" i="2"/>
  <c r="G746" i="2"/>
  <c r="C746" i="2"/>
  <c r="F746" i="2"/>
  <c r="D746" i="2"/>
  <c r="B746" i="2"/>
  <c r="J746" i="2" s="1"/>
  <c r="K748" i="2"/>
  <c r="I748" i="2"/>
  <c r="G748" i="2"/>
  <c r="C748" i="2"/>
  <c r="F748" i="2"/>
  <c r="D748" i="2"/>
  <c r="B748" i="2"/>
  <c r="J748" i="2" s="1"/>
  <c r="K750" i="2"/>
  <c r="I750" i="2"/>
  <c r="G750" i="2"/>
  <c r="C750" i="2"/>
  <c r="F750" i="2"/>
  <c r="D750" i="2"/>
  <c r="B750" i="2"/>
  <c r="J750" i="2" s="1"/>
  <c r="K752" i="2"/>
  <c r="I752" i="2"/>
  <c r="G752" i="2"/>
  <c r="C752" i="2"/>
  <c r="F752" i="2"/>
  <c r="D752" i="2"/>
  <c r="B752" i="2"/>
  <c r="J752" i="2" s="1"/>
  <c r="K754" i="2"/>
  <c r="I754" i="2"/>
  <c r="G754" i="2"/>
  <c r="C754" i="2"/>
  <c r="F754" i="2"/>
  <c r="D754" i="2"/>
  <c r="B754" i="2"/>
  <c r="J754" i="2" s="1"/>
  <c r="K756" i="2"/>
  <c r="I756" i="2"/>
  <c r="G756" i="2"/>
  <c r="C756" i="2"/>
  <c r="F756" i="2"/>
  <c r="D756" i="2"/>
  <c r="B756" i="2"/>
  <c r="J756" i="2" s="1"/>
  <c r="K758" i="2"/>
  <c r="I758" i="2"/>
  <c r="G758" i="2"/>
  <c r="C758" i="2"/>
  <c r="F758" i="2"/>
  <c r="D758" i="2"/>
  <c r="B758" i="2"/>
  <c r="J758" i="2" s="1"/>
  <c r="K760" i="2"/>
  <c r="I760" i="2"/>
  <c r="G760" i="2"/>
  <c r="C760" i="2"/>
  <c r="F760" i="2"/>
  <c r="D760" i="2"/>
  <c r="B760" i="2"/>
  <c r="J760" i="2" s="1"/>
  <c r="K762" i="2"/>
  <c r="I762" i="2"/>
  <c r="G762" i="2"/>
  <c r="C762" i="2"/>
  <c r="F762" i="2"/>
  <c r="D762" i="2"/>
  <c r="B762" i="2"/>
  <c r="J762" i="2" s="1"/>
  <c r="K764" i="2"/>
  <c r="I764" i="2"/>
  <c r="G764" i="2"/>
  <c r="C764" i="2"/>
  <c r="F764" i="2"/>
  <c r="D764" i="2"/>
  <c r="B764" i="2"/>
  <c r="J764" i="2" s="1"/>
  <c r="K766" i="2"/>
  <c r="I766" i="2"/>
  <c r="G766" i="2"/>
  <c r="C766" i="2"/>
  <c r="F766" i="2"/>
  <c r="D766" i="2"/>
  <c r="B766" i="2"/>
  <c r="J766" i="2" s="1"/>
  <c r="K768" i="2"/>
  <c r="I768" i="2"/>
  <c r="G768" i="2"/>
  <c r="C768" i="2"/>
  <c r="F768" i="2"/>
  <c r="D768" i="2"/>
  <c r="B768" i="2"/>
  <c r="J768" i="2" s="1"/>
  <c r="K770" i="2"/>
  <c r="I770" i="2"/>
  <c r="G770" i="2"/>
  <c r="C770" i="2"/>
  <c r="F770" i="2"/>
  <c r="D770" i="2"/>
  <c r="B770" i="2"/>
  <c r="J770" i="2" s="1"/>
  <c r="K772" i="2"/>
  <c r="I772" i="2"/>
  <c r="G772" i="2"/>
  <c r="C772" i="2"/>
  <c r="F772" i="2"/>
  <c r="D772" i="2"/>
  <c r="B772" i="2"/>
  <c r="J772" i="2" s="1"/>
  <c r="K774" i="2"/>
  <c r="I774" i="2"/>
  <c r="G774" i="2"/>
  <c r="C774" i="2"/>
  <c r="F774" i="2"/>
  <c r="D774" i="2"/>
  <c r="B774" i="2"/>
  <c r="J774" i="2" s="1"/>
  <c r="K776" i="2"/>
  <c r="I776" i="2"/>
  <c r="G776" i="2"/>
  <c r="C776" i="2"/>
  <c r="F776" i="2"/>
  <c r="D776" i="2"/>
  <c r="B776" i="2"/>
  <c r="J776" i="2" s="1"/>
  <c r="K778" i="2"/>
  <c r="I778" i="2"/>
  <c r="G778" i="2"/>
  <c r="C778" i="2"/>
  <c r="F778" i="2"/>
  <c r="D778" i="2"/>
  <c r="B778" i="2"/>
  <c r="J778" i="2" s="1"/>
  <c r="K780" i="2"/>
  <c r="I780" i="2"/>
  <c r="G780" i="2"/>
  <c r="C780" i="2"/>
  <c r="F780" i="2"/>
  <c r="D780" i="2"/>
  <c r="B780" i="2"/>
  <c r="J780" i="2" s="1"/>
  <c r="K782" i="2"/>
  <c r="I782" i="2"/>
  <c r="G782" i="2"/>
  <c r="C782" i="2"/>
  <c r="F782" i="2"/>
  <c r="D782" i="2"/>
  <c r="B782" i="2"/>
  <c r="J782" i="2" s="1"/>
  <c r="K784" i="2"/>
  <c r="I784" i="2"/>
  <c r="G784" i="2"/>
  <c r="C784" i="2"/>
  <c r="F784" i="2"/>
  <c r="D784" i="2"/>
  <c r="B784" i="2"/>
  <c r="J784" i="2" s="1"/>
  <c r="K786" i="2"/>
  <c r="I786" i="2"/>
  <c r="G786" i="2"/>
  <c r="C786" i="2"/>
  <c r="F786" i="2"/>
  <c r="D786" i="2"/>
  <c r="B786" i="2"/>
  <c r="J786" i="2" s="1"/>
  <c r="K788" i="2"/>
  <c r="I788" i="2"/>
  <c r="G788" i="2"/>
  <c r="C788" i="2"/>
  <c r="F788" i="2"/>
  <c r="D788" i="2"/>
  <c r="B788" i="2"/>
  <c r="J788" i="2" s="1"/>
  <c r="K790" i="2"/>
  <c r="I790" i="2"/>
  <c r="G790" i="2"/>
  <c r="C790" i="2"/>
  <c r="F790" i="2"/>
  <c r="D790" i="2"/>
  <c r="B790" i="2"/>
  <c r="J790" i="2" s="1"/>
  <c r="K792" i="2"/>
  <c r="I792" i="2"/>
  <c r="G792" i="2"/>
  <c r="C792" i="2"/>
  <c r="F792" i="2"/>
  <c r="D792" i="2"/>
  <c r="B792" i="2"/>
  <c r="J792" i="2" s="1"/>
  <c r="K794" i="2"/>
  <c r="I794" i="2"/>
  <c r="G794" i="2"/>
  <c r="C794" i="2"/>
  <c r="F794" i="2"/>
  <c r="D794" i="2"/>
  <c r="B794" i="2"/>
  <c r="J794" i="2" s="1"/>
  <c r="K796" i="2"/>
  <c r="I796" i="2"/>
  <c r="G796" i="2"/>
  <c r="C796" i="2"/>
  <c r="F796" i="2"/>
  <c r="D796" i="2"/>
  <c r="B796" i="2"/>
  <c r="J796" i="2" s="1"/>
  <c r="K798" i="2"/>
  <c r="I798" i="2"/>
  <c r="G798" i="2"/>
  <c r="C798" i="2"/>
  <c r="F798" i="2"/>
  <c r="D798" i="2"/>
  <c r="B798" i="2"/>
  <c r="J798" i="2" s="1"/>
  <c r="K800" i="2"/>
  <c r="I800" i="2"/>
  <c r="G800" i="2"/>
  <c r="C800" i="2"/>
  <c r="F800" i="2"/>
  <c r="D800" i="2"/>
  <c r="B800" i="2"/>
  <c r="J800" i="2" s="1"/>
  <c r="K802" i="2"/>
  <c r="I802" i="2"/>
  <c r="G802" i="2"/>
  <c r="C802" i="2"/>
  <c r="F802" i="2"/>
  <c r="D802" i="2"/>
  <c r="B802" i="2"/>
  <c r="J802" i="2" s="1"/>
  <c r="K804" i="2"/>
  <c r="I804" i="2"/>
  <c r="G804" i="2"/>
  <c r="C804" i="2"/>
  <c r="F804" i="2"/>
  <c r="D804" i="2"/>
  <c r="B804" i="2"/>
  <c r="J804" i="2" s="1"/>
  <c r="K806" i="2"/>
  <c r="I806" i="2"/>
  <c r="G806" i="2"/>
  <c r="C806" i="2"/>
  <c r="F806" i="2"/>
  <c r="D806" i="2"/>
  <c r="B806" i="2"/>
  <c r="J806" i="2" s="1"/>
  <c r="K808" i="2"/>
  <c r="I808" i="2"/>
  <c r="G808" i="2"/>
  <c r="C808" i="2"/>
  <c r="F808" i="2"/>
  <c r="D808" i="2"/>
  <c r="B808" i="2"/>
  <c r="J808" i="2" s="1"/>
  <c r="K810" i="2"/>
  <c r="I810" i="2"/>
  <c r="G810" i="2"/>
  <c r="C810" i="2"/>
  <c r="F810" i="2"/>
  <c r="D810" i="2"/>
  <c r="B810" i="2"/>
  <c r="J810" i="2" s="1"/>
  <c r="K812" i="2"/>
  <c r="I812" i="2"/>
  <c r="G812" i="2"/>
  <c r="C812" i="2"/>
  <c r="F812" i="2"/>
  <c r="D812" i="2"/>
  <c r="B812" i="2"/>
  <c r="J812" i="2" s="1"/>
  <c r="K814" i="2"/>
  <c r="I814" i="2"/>
  <c r="G814" i="2"/>
  <c r="C814" i="2"/>
  <c r="F814" i="2"/>
  <c r="D814" i="2"/>
  <c r="B814" i="2"/>
  <c r="J814" i="2" s="1"/>
  <c r="K816" i="2"/>
  <c r="I816" i="2"/>
  <c r="G816" i="2"/>
  <c r="C816" i="2"/>
  <c r="F816" i="2"/>
  <c r="D816" i="2"/>
  <c r="B816" i="2"/>
  <c r="J816" i="2" s="1"/>
  <c r="K818" i="2"/>
  <c r="I818" i="2"/>
  <c r="G818" i="2"/>
  <c r="C818" i="2"/>
  <c r="F818" i="2"/>
  <c r="D818" i="2"/>
  <c r="B818" i="2"/>
  <c r="J818" i="2" s="1"/>
  <c r="K820" i="2"/>
  <c r="I820" i="2"/>
  <c r="G820" i="2"/>
  <c r="C820" i="2"/>
  <c r="F820" i="2"/>
  <c r="D820" i="2"/>
  <c r="B820" i="2"/>
  <c r="J820" i="2" s="1"/>
  <c r="K822" i="2"/>
  <c r="I822" i="2"/>
  <c r="G822" i="2"/>
  <c r="C822" i="2"/>
  <c r="F822" i="2"/>
  <c r="D822" i="2"/>
  <c r="B822" i="2"/>
  <c r="J822" i="2" s="1"/>
  <c r="K824" i="2"/>
  <c r="I824" i="2"/>
  <c r="G824" i="2"/>
  <c r="C824" i="2"/>
  <c r="F824" i="2"/>
  <c r="D824" i="2"/>
  <c r="B824" i="2"/>
  <c r="J824" i="2" s="1"/>
  <c r="K826" i="2"/>
  <c r="I826" i="2"/>
  <c r="G826" i="2"/>
  <c r="C826" i="2"/>
  <c r="F826" i="2"/>
  <c r="D826" i="2"/>
  <c r="B826" i="2"/>
  <c r="J826" i="2" s="1"/>
  <c r="K828" i="2"/>
  <c r="I828" i="2"/>
  <c r="G828" i="2"/>
  <c r="C828" i="2"/>
  <c r="F828" i="2"/>
  <c r="D828" i="2"/>
  <c r="B828" i="2"/>
  <c r="J828" i="2" s="1"/>
  <c r="K830" i="2"/>
  <c r="I830" i="2"/>
  <c r="G830" i="2"/>
  <c r="C830" i="2"/>
  <c r="F830" i="2"/>
  <c r="D830" i="2"/>
  <c r="B830" i="2"/>
  <c r="J830" i="2" s="1"/>
  <c r="K832" i="2"/>
  <c r="I832" i="2"/>
  <c r="G832" i="2"/>
  <c r="C832" i="2"/>
  <c r="F832" i="2"/>
  <c r="D832" i="2"/>
  <c r="B832" i="2"/>
  <c r="J832" i="2" s="1"/>
  <c r="K834" i="2"/>
  <c r="I834" i="2"/>
  <c r="G834" i="2"/>
  <c r="C834" i="2"/>
  <c r="F834" i="2"/>
  <c r="D834" i="2"/>
  <c r="B834" i="2"/>
  <c r="J834" i="2" s="1"/>
  <c r="K836" i="2"/>
  <c r="I836" i="2"/>
  <c r="G836" i="2"/>
  <c r="C836" i="2"/>
  <c r="F836" i="2"/>
  <c r="D836" i="2"/>
  <c r="B836" i="2"/>
  <c r="J836" i="2" s="1"/>
  <c r="K838" i="2"/>
  <c r="I838" i="2"/>
  <c r="G838" i="2"/>
  <c r="C838" i="2"/>
  <c r="F838" i="2"/>
  <c r="D838" i="2"/>
  <c r="B838" i="2"/>
  <c r="J838" i="2" s="1"/>
  <c r="K840" i="2"/>
  <c r="I840" i="2"/>
  <c r="G840" i="2"/>
  <c r="C840" i="2"/>
  <c r="F840" i="2"/>
  <c r="D840" i="2"/>
  <c r="B840" i="2"/>
  <c r="J840" i="2" s="1"/>
  <c r="K842" i="2"/>
  <c r="I842" i="2"/>
  <c r="G842" i="2"/>
  <c r="C842" i="2"/>
  <c r="F842" i="2"/>
  <c r="D842" i="2"/>
  <c r="B842" i="2"/>
  <c r="J842" i="2" s="1"/>
  <c r="K844" i="2"/>
  <c r="I844" i="2"/>
  <c r="G844" i="2"/>
  <c r="C844" i="2"/>
  <c r="F844" i="2"/>
  <c r="D844" i="2"/>
  <c r="B844" i="2"/>
  <c r="J844" i="2" s="1"/>
  <c r="K846" i="2"/>
  <c r="I846" i="2"/>
  <c r="G846" i="2"/>
  <c r="C846" i="2"/>
  <c r="F846" i="2"/>
  <c r="D846" i="2"/>
  <c r="B846" i="2"/>
  <c r="J846" i="2" s="1"/>
  <c r="K848" i="2"/>
  <c r="I848" i="2"/>
  <c r="G848" i="2"/>
  <c r="C848" i="2"/>
  <c r="F848" i="2"/>
  <c r="D848" i="2"/>
  <c r="B848" i="2"/>
  <c r="J848" i="2" s="1"/>
  <c r="K850" i="2"/>
  <c r="I850" i="2"/>
  <c r="G850" i="2"/>
  <c r="C850" i="2"/>
  <c r="F850" i="2"/>
  <c r="D850" i="2"/>
  <c r="B850" i="2"/>
  <c r="J850" i="2" s="1"/>
  <c r="K852" i="2"/>
  <c r="I852" i="2"/>
  <c r="G852" i="2"/>
  <c r="C852" i="2"/>
  <c r="F852" i="2"/>
  <c r="D852" i="2"/>
  <c r="B852" i="2"/>
  <c r="J852" i="2" s="1"/>
  <c r="K854" i="2"/>
  <c r="I854" i="2"/>
  <c r="G854" i="2"/>
  <c r="C854" i="2"/>
  <c r="F854" i="2"/>
  <c r="D854" i="2"/>
  <c r="B854" i="2"/>
  <c r="J854" i="2" s="1"/>
  <c r="K856" i="2"/>
  <c r="I856" i="2"/>
  <c r="G856" i="2"/>
  <c r="C856" i="2"/>
  <c r="F856" i="2"/>
  <c r="D856" i="2"/>
  <c r="B856" i="2"/>
  <c r="J856" i="2" s="1"/>
  <c r="K858" i="2"/>
  <c r="I858" i="2"/>
  <c r="G858" i="2"/>
  <c r="C858" i="2"/>
  <c r="F858" i="2"/>
  <c r="D858" i="2"/>
  <c r="B858" i="2"/>
  <c r="J858" i="2" s="1"/>
  <c r="K860" i="2"/>
  <c r="I860" i="2"/>
  <c r="G860" i="2"/>
  <c r="C860" i="2"/>
  <c r="F860" i="2"/>
  <c r="D860" i="2"/>
  <c r="B860" i="2"/>
  <c r="J860" i="2" s="1"/>
  <c r="K862" i="2"/>
  <c r="I862" i="2"/>
  <c r="G862" i="2"/>
  <c r="C862" i="2"/>
  <c r="F862" i="2"/>
  <c r="D862" i="2"/>
  <c r="B862" i="2"/>
  <c r="J862" i="2" s="1"/>
  <c r="K864" i="2"/>
  <c r="I864" i="2"/>
  <c r="G864" i="2"/>
  <c r="C864" i="2"/>
  <c r="F864" i="2"/>
  <c r="D864" i="2"/>
  <c r="B864" i="2"/>
  <c r="J864" i="2" s="1"/>
  <c r="K866" i="2"/>
  <c r="I866" i="2"/>
  <c r="G866" i="2"/>
  <c r="C866" i="2"/>
  <c r="F866" i="2"/>
  <c r="D866" i="2"/>
  <c r="B866" i="2"/>
  <c r="J866" i="2" s="1"/>
  <c r="K868" i="2"/>
  <c r="I868" i="2"/>
  <c r="G868" i="2"/>
  <c r="C868" i="2"/>
  <c r="F868" i="2"/>
  <c r="D868" i="2"/>
  <c r="B868" i="2"/>
  <c r="J868" i="2" s="1"/>
  <c r="K870" i="2"/>
  <c r="I870" i="2"/>
  <c r="G870" i="2"/>
  <c r="C870" i="2"/>
  <c r="F870" i="2"/>
  <c r="D870" i="2"/>
  <c r="B870" i="2"/>
  <c r="J870" i="2" s="1"/>
  <c r="K872" i="2"/>
  <c r="I872" i="2"/>
  <c r="G872" i="2"/>
  <c r="C872" i="2"/>
  <c r="F872" i="2"/>
  <c r="D872" i="2"/>
  <c r="B872" i="2"/>
  <c r="J872" i="2" s="1"/>
  <c r="K874" i="2"/>
  <c r="I874" i="2"/>
  <c r="G874" i="2"/>
  <c r="C874" i="2"/>
  <c r="F874" i="2"/>
  <c r="D874" i="2"/>
  <c r="B874" i="2"/>
  <c r="J874" i="2" s="1"/>
  <c r="K876" i="2"/>
  <c r="I876" i="2"/>
  <c r="G876" i="2"/>
  <c r="C876" i="2"/>
  <c r="F876" i="2"/>
  <c r="D876" i="2"/>
  <c r="B876" i="2"/>
  <c r="J876" i="2" s="1"/>
  <c r="K878" i="2"/>
  <c r="I878" i="2"/>
  <c r="G878" i="2"/>
  <c r="C878" i="2"/>
  <c r="F878" i="2"/>
  <c r="D878" i="2"/>
  <c r="B878" i="2"/>
  <c r="J878" i="2" s="1"/>
  <c r="K880" i="2"/>
  <c r="I880" i="2"/>
  <c r="G880" i="2"/>
  <c r="C880" i="2"/>
  <c r="F880" i="2"/>
  <c r="D880" i="2"/>
  <c r="B880" i="2"/>
  <c r="J880" i="2" s="1"/>
  <c r="K882" i="2"/>
  <c r="I882" i="2"/>
  <c r="G882" i="2"/>
  <c r="C882" i="2"/>
  <c r="F882" i="2"/>
  <c r="D882" i="2"/>
  <c r="B882" i="2"/>
  <c r="J882" i="2" s="1"/>
  <c r="K884" i="2"/>
  <c r="I884" i="2"/>
  <c r="G884" i="2"/>
  <c r="C884" i="2"/>
  <c r="F884" i="2"/>
  <c r="D884" i="2"/>
  <c r="B884" i="2"/>
  <c r="J884" i="2" s="1"/>
  <c r="K886" i="2"/>
  <c r="I886" i="2"/>
  <c r="G886" i="2"/>
  <c r="C886" i="2"/>
  <c r="F886" i="2"/>
  <c r="D886" i="2"/>
  <c r="B886" i="2"/>
  <c r="J886" i="2" s="1"/>
  <c r="K888" i="2"/>
  <c r="I888" i="2"/>
  <c r="G888" i="2"/>
  <c r="C888" i="2"/>
  <c r="F888" i="2"/>
  <c r="D888" i="2"/>
  <c r="B888" i="2"/>
  <c r="J888" i="2" s="1"/>
  <c r="K890" i="2"/>
  <c r="I890" i="2"/>
  <c r="G890" i="2"/>
  <c r="C890" i="2"/>
  <c r="F890" i="2"/>
  <c r="D890" i="2"/>
  <c r="B890" i="2"/>
  <c r="J890" i="2" s="1"/>
  <c r="K892" i="2"/>
  <c r="I892" i="2"/>
  <c r="G892" i="2"/>
  <c r="C892" i="2"/>
  <c r="F892" i="2"/>
  <c r="D892" i="2"/>
  <c r="B892" i="2"/>
  <c r="J892" i="2" s="1"/>
  <c r="K894" i="2"/>
  <c r="I894" i="2"/>
  <c r="G894" i="2"/>
  <c r="C894" i="2"/>
  <c r="F894" i="2"/>
  <c r="D894" i="2"/>
  <c r="B894" i="2"/>
  <c r="J894" i="2" s="1"/>
  <c r="K896" i="2"/>
  <c r="I896" i="2"/>
  <c r="G896" i="2"/>
  <c r="C896" i="2"/>
  <c r="F896" i="2"/>
  <c r="D896" i="2"/>
  <c r="B896" i="2"/>
  <c r="J896" i="2" s="1"/>
  <c r="K898" i="2"/>
  <c r="I898" i="2"/>
  <c r="G898" i="2"/>
  <c r="C898" i="2"/>
  <c r="F898" i="2"/>
  <c r="D898" i="2"/>
  <c r="B898" i="2"/>
  <c r="J898" i="2" s="1"/>
  <c r="K900" i="2"/>
  <c r="I900" i="2"/>
  <c r="G900" i="2"/>
  <c r="C900" i="2"/>
  <c r="F900" i="2"/>
  <c r="D900" i="2"/>
  <c r="B900" i="2"/>
  <c r="J900" i="2" s="1"/>
  <c r="K902" i="2"/>
  <c r="I902" i="2"/>
  <c r="G902" i="2"/>
  <c r="C902" i="2"/>
  <c r="F902" i="2"/>
  <c r="D902" i="2"/>
  <c r="B902" i="2"/>
  <c r="J902" i="2" s="1"/>
  <c r="K904" i="2"/>
  <c r="I904" i="2"/>
  <c r="G904" i="2"/>
  <c r="C904" i="2"/>
  <c r="F904" i="2"/>
  <c r="D904" i="2"/>
  <c r="B904" i="2"/>
  <c r="J904" i="2" s="1"/>
  <c r="K906" i="2"/>
  <c r="I906" i="2"/>
  <c r="G906" i="2"/>
  <c r="C906" i="2"/>
  <c r="F906" i="2"/>
  <c r="D906" i="2"/>
  <c r="B906" i="2"/>
  <c r="J906" i="2" s="1"/>
  <c r="K908" i="2"/>
  <c r="I908" i="2"/>
  <c r="G908" i="2"/>
  <c r="C908" i="2"/>
  <c r="F908" i="2"/>
  <c r="D908" i="2"/>
  <c r="B908" i="2"/>
  <c r="J908" i="2" s="1"/>
  <c r="K910" i="2"/>
  <c r="I910" i="2"/>
  <c r="G910" i="2"/>
  <c r="C910" i="2"/>
  <c r="F910" i="2"/>
  <c r="D910" i="2"/>
  <c r="B910" i="2"/>
  <c r="J910" i="2" s="1"/>
  <c r="K912" i="2"/>
  <c r="I912" i="2"/>
  <c r="G912" i="2"/>
  <c r="C912" i="2"/>
  <c r="F912" i="2"/>
  <c r="D912" i="2"/>
  <c r="B912" i="2"/>
  <c r="J912" i="2" s="1"/>
  <c r="K914" i="2"/>
  <c r="I914" i="2"/>
  <c r="G914" i="2"/>
  <c r="C914" i="2"/>
  <c r="F914" i="2"/>
  <c r="D914" i="2"/>
  <c r="B914" i="2"/>
  <c r="J914" i="2" s="1"/>
  <c r="K916" i="2"/>
  <c r="I916" i="2"/>
  <c r="G916" i="2"/>
  <c r="C916" i="2"/>
  <c r="F916" i="2"/>
  <c r="D916" i="2"/>
  <c r="B916" i="2"/>
  <c r="J916" i="2" s="1"/>
  <c r="K918" i="2"/>
  <c r="I918" i="2"/>
  <c r="G918" i="2"/>
  <c r="C918" i="2"/>
  <c r="F918" i="2"/>
  <c r="D918" i="2"/>
  <c r="B918" i="2"/>
  <c r="J918" i="2" s="1"/>
  <c r="K920" i="2"/>
  <c r="I920" i="2"/>
  <c r="G920" i="2"/>
  <c r="C920" i="2"/>
  <c r="F920" i="2"/>
  <c r="D920" i="2"/>
  <c r="B920" i="2"/>
  <c r="J920" i="2" s="1"/>
  <c r="K922" i="2"/>
  <c r="I922" i="2"/>
  <c r="G922" i="2"/>
  <c r="C922" i="2"/>
  <c r="F922" i="2"/>
  <c r="D922" i="2"/>
  <c r="B922" i="2"/>
  <c r="J922" i="2" s="1"/>
  <c r="K924" i="2"/>
  <c r="I924" i="2"/>
  <c r="G924" i="2"/>
  <c r="C924" i="2"/>
  <c r="F924" i="2"/>
  <c r="D924" i="2"/>
  <c r="B924" i="2"/>
  <c r="J924" i="2" s="1"/>
  <c r="K926" i="2"/>
  <c r="I926" i="2"/>
  <c r="G926" i="2"/>
  <c r="C926" i="2"/>
  <c r="F926" i="2"/>
  <c r="D926" i="2"/>
  <c r="B926" i="2"/>
  <c r="J926" i="2" s="1"/>
  <c r="K928" i="2"/>
  <c r="I928" i="2"/>
  <c r="G928" i="2"/>
  <c r="C928" i="2"/>
  <c r="F928" i="2"/>
  <c r="D928" i="2"/>
  <c r="B928" i="2"/>
  <c r="J928" i="2" s="1"/>
  <c r="K930" i="2"/>
  <c r="I930" i="2"/>
  <c r="G930" i="2"/>
  <c r="C930" i="2"/>
  <c r="F930" i="2"/>
  <c r="D930" i="2"/>
  <c r="B930" i="2"/>
  <c r="J930" i="2" s="1"/>
  <c r="K932" i="2"/>
  <c r="I932" i="2"/>
  <c r="G932" i="2"/>
  <c r="C932" i="2"/>
  <c r="F932" i="2"/>
  <c r="D932" i="2"/>
  <c r="B932" i="2"/>
  <c r="J932" i="2" s="1"/>
  <c r="K934" i="2"/>
  <c r="I934" i="2"/>
  <c r="G934" i="2"/>
  <c r="C934" i="2"/>
  <c r="F934" i="2"/>
  <c r="D934" i="2"/>
  <c r="B934" i="2"/>
  <c r="J934" i="2" s="1"/>
  <c r="K936" i="2"/>
  <c r="I936" i="2"/>
  <c r="G936" i="2"/>
  <c r="C936" i="2"/>
  <c r="F936" i="2"/>
  <c r="D936" i="2"/>
  <c r="B936" i="2"/>
  <c r="J936" i="2" s="1"/>
  <c r="K938" i="2"/>
  <c r="I938" i="2"/>
  <c r="G938" i="2"/>
  <c r="C938" i="2"/>
  <c r="F938" i="2"/>
  <c r="D938" i="2"/>
  <c r="B938" i="2"/>
  <c r="J938" i="2" s="1"/>
  <c r="K940" i="2"/>
  <c r="I940" i="2"/>
  <c r="G940" i="2"/>
  <c r="C940" i="2"/>
  <c r="F940" i="2"/>
  <c r="D940" i="2"/>
  <c r="B940" i="2"/>
  <c r="J940" i="2" s="1"/>
  <c r="K942" i="2"/>
  <c r="I942" i="2"/>
  <c r="G942" i="2"/>
  <c r="C942" i="2"/>
  <c r="F942" i="2"/>
  <c r="D942" i="2"/>
  <c r="B942" i="2"/>
  <c r="J942" i="2" s="1"/>
  <c r="K944" i="2"/>
  <c r="I944" i="2"/>
  <c r="G944" i="2"/>
  <c r="C944" i="2"/>
  <c r="F944" i="2"/>
  <c r="D944" i="2"/>
  <c r="B944" i="2"/>
  <c r="J944" i="2" s="1"/>
  <c r="K946" i="2"/>
  <c r="I946" i="2"/>
  <c r="G946" i="2"/>
  <c r="C946" i="2"/>
  <c r="F946" i="2"/>
  <c r="D946" i="2"/>
  <c r="B946" i="2"/>
  <c r="J946" i="2" s="1"/>
  <c r="K948" i="2"/>
  <c r="I948" i="2"/>
  <c r="G948" i="2"/>
  <c r="C948" i="2"/>
  <c r="F948" i="2"/>
  <c r="D948" i="2"/>
  <c r="B948" i="2"/>
  <c r="J948" i="2" s="1"/>
  <c r="K950" i="2"/>
  <c r="I950" i="2"/>
  <c r="G950" i="2"/>
  <c r="C950" i="2"/>
  <c r="F950" i="2"/>
  <c r="D950" i="2"/>
  <c r="B950" i="2"/>
  <c r="J950" i="2" s="1"/>
  <c r="K952" i="2"/>
  <c r="I952" i="2"/>
  <c r="G952" i="2"/>
  <c r="C952" i="2"/>
  <c r="F952" i="2"/>
  <c r="D952" i="2"/>
  <c r="B952" i="2"/>
  <c r="J952" i="2" s="1"/>
  <c r="K954" i="2"/>
  <c r="I954" i="2"/>
  <c r="G954" i="2"/>
  <c r="C954" i="2"/>
  <c r="F954" i="2"/>
  <c r="D954" i="2"/>
  <c r="B954" i="2"/>
  <c r="J954" i="2" s="1"/>
  <c r="K956" i="2"/>
  <c r="I956" i="2"/>
  <c r="G956" i="2"/>
  <c r="C956" i="2"/>
  <c r="F956" i="2"/>
  <c r="D956" i="2"/>
  <c r="B956" i="2"/>
  <c r="J956" i="2" s="1"/>
  <c r="K958" i="2"/>
  <c r="I958" i="2"/>
  <c r="G958" i="2"/>
  <c r="C958" i="2"/>
  <c r="F958" i="2"/>
  <c r="D958" i="2"/>
  <c r="B958" i="2"/>
  <c r="J958" i="2" s="1"/>
  <c r="K960" i="2"/>
  <c r="I960" i="2"/>
  <c r="G960" i="2"/>
  <c r="C960" i="2"/>
  <c r="F960" i="2"/>
  <c r="D960" i="2"/>
  <c r="B960" i="2"/>
  <c r="J960" i="2" s="1"/>
  <c r="K962" i="2"/>
  <c r="I962" i="2"/>
  <c r="G962" i="2"/>
  <c r="C962" i="2"/>
  <c r="F962" i="2"/>
  <c r="D962" i="2"/>
  <c r="B962" i="2"/>
  <c r="J962" i="2" s="1"/>
  <c r="K964" i="2"/>
  <c r="I964" i="2"/>
  <c r="G964" i="2"/>
  <c r="C964" i="2"/>
  <c r="F964" i="2"/>
  <c r="D964" i="2"/>
  <c r="B964" i="2"/>
  <c r="J964" i="2" s="1"/>
  <c r="K966" i="2"/>
  <c r="I966" i="2"/>
  <c r="G966" i="2"/>
  <c r="C966" i="2"/>
  <c r="F966" i="2"/>
  <c r="D966" i="2"/>
  <c r="B966" i="2"/>
  <c r="J966" i="2" s="1"/>
  <c r="K968" i="2"/>
  <c r="I968" i="2"/>
  <c r="G968" i="2"/>
  <c r="C968" i="2"/>
  <c r="F968" i="2"/>
  <c r="D968" i="2"/>
  <c r="B968" i="2"/>
  <c r="J968" i="2" s="1"/>
  <c r="K970" i="2"/>
  <c r="I970" i="2"/>
  <c r="G970" i="2"/>
  <c r="C970" i="2"/>
  <c r="F970" i="2"/>
  <c r="D970" i="2"/>
  <c r="B970" i="2"/>
  <c r="J970" i="2" s="1"/>
  <c r="K972" i="2"/>
  <c r="I972" i="2"/>
  <c r="G972" i="2"/>
  <c r="C972" i="2"/>
  <c r="F972" i="2"/>
  <c r="D972" i="2"/>
  <c r="B972" i="2"/>
  <c r="J972" i="2" s="1"/>
  <c r="K974" i="2"/>
  <c r="I974" i="2"/>
  <c r="G974" i="2"/>
  <c r="C974" i="2"/>
  <c r="F974" i="2"/>
  <c r="D974" i="2"/>
  <c r="B974" i="2"/>
  <c r="J974" i="2" s="1"/>
  <c r="K976" i="2"/>
  <c r="I976" i="2"/>
  <c r="G976" i="2"/>
  <c r="C976" i="2"/>
  <c r="F976" i="2"/>
  <c r="D976" i="2"/>
  <c r="B976" i="2"/>
  <c r="J976" i="2" s="1"/>
  <c r="K978" i="2"/>
  <c r="I978" i="2"/>
  <c r="G978" i="2"/>
  <c r="C978" i="2"/>
  <c r="F978" i="2"/>
  <c r="D978" i="2"/>
  <c r="B978" i="2"/>
  <c r="J978" i="2" s="1"/>
  <c r="K980" i="2"/>
  <c r="I980" i="2"/>
  <c r="G980" i="2"/>
  <c r="C980" i="2"/>
  <c r="F980" i="2"/>
  <c r="D980" i="2"/>
  <c r="B980" i="2"/>
  <c r="J980" i="2" s="1"/>
  <c r="K982" i="2"/>
  <c r="I982" i="2"/>
  <c r="G982" i="2"/>
  <c r="C982" i="2"/>
  <c r="F982" i="2"/>
  <c r="D982" i="2"/>
  <c r="B982" i="2"/>
  <c r="J982" i="2" s="1"/>
  <c r="K984" i="2"/>
  <c r="I984" i="2"/>
  <c r="G984" i="2"/>
  <c r="C984" i="2"/>
  <c r="F984" i="2"/>
  <c r="D984" i="2"/>
  <c r="B984" i="2"/>
  <c r="J984" i="2" s="1"/>
  <c r="K986" i="2"/>
  <c r="I986" i="2"/>
  <c r="G986" i="2"/>
  <c r="C986" i="2"/>
  <c r="F986" i="2"/>
  <c r="D986" i="2"/>
  <c r="B986" i="2"/>
  <c r="J986" i="2" s="1"/>
  <c r="K988" i="2"/>
  <c r="I988" i="2"/>
  <c r="G988" i="2"/>
  <c r="C988" i="2"/>
  <c r="F988" i="2"/>
  <c r="D988" i="2"/>
  <c r="B988" i="2"/>
  <c r="J988" i="2" s="1"/>
  <c r="K990" i="2"/>
  <c r="I990" i="2"/>
  <c r="G990" i="2"/>
  <c r="C990" i="2"/>
  <c r="F990" i="2"/>
  <c r="D990" i="2"/>
  <c r="B990" i="2"/>
  <c r="J990" i="2" s="1"/>
  <c r="K992" i="2"/>
  <c r="I992" i="2"/>
  <c r="G992" i="2"/>
  <c r="C992" i="2"/>
  <c r="F992" i="2"/>
  <c r="D992" i="2"/>
  <c r="B992" i="2"/>
  <c r="J992" i="2" s="1"/>
  <c r="K994" i="2"/>
  <c r="I994" i="2"/>
  <c r="G994" i="2"/>
  <c r="C994" i="2"/>
  <c r="F994" i="2"/>
  <c r="D994" i="2"/>
  <c r="B994" i="2"/>
  <c r="J994" i="2" s="1"/>
  <c r="K996" i="2"/>
  <c r="I996" i="2"/>
  <c r="G996" i="2"/>
  <c r="C996" i="2"/>
  <c r="F996" i="2"/>
  <c r="D996" i="2"/>
  <c r="B996" i="2"/>
  <c r="J996" i="2" s="1"/>
  <c r="K998" i="2"/>
  <c r="I998" i="2"/>
  <c r="G998" i="2"/>
  <c r="C998" i="2"/>
  <c r="F998" i="2"/>
  <c r="D998" i="2"/>
  <c r="B998" i="2"/>
  <c r="J998" i="2" s="1"/>
  <c r="K1000" i="2"/>
  <c r="I1000" i="2"/>
  <c r="G1000" i="2"/>
  <c r="C1000" i="2"/>
  <c r="F1000" i="2"/>
  <c r="D1000" i="2"/>
  <c r="B1000" i="2"/>
  <c r="J1000" i="2" s="1"/>
  <c r="K1002" i="2"/>
  <c r="I1002" i="2"/>
  <c r="G1002" i="2"/>
  <c r="C1002" i="2"/>
  <c r="F1002" i="2"/>
  <c r="D1002" i="2"/>
  <c r="B1002" i="2"/>
  <c r="J1002" i="2" s="1"/>
  <c r="K1004" i="2"/>
  <c r="I1004" i="2"/>
  <c r="G1004" i="2"/>
  <c r="C1004" i="2"/>
  <c r="F1004" i="2"/>
  <c r="D1004" i="2"/>
  <c r="B1004" i="2"/>
  <c r="J1004" i="2" s="1"/>
  <c r="K1006" i="2"/>
  <c r="I1006" i="2"/>
  <c r="G1006" i="2"/>
  <c r="C1006" i="2"/>
  <c r="F1006" i="2"/>
  <c r="D1006" i="2"/>
  <c r="B1006" i="2"/>
  <c r="J1006" i="2" s="1"/>
  <c r="K1008" i="2"/>
  <c r="I1008" i="2"/>
  <c r="G1008" i="2"/>
  <c r="C1008" i="2"/>
  <c r="F1008" i="2"/>
  <c r="D1008" i="2"/>
  <c r="B1008" i="2"/>
  <c r="J1008" i="2" s="1"/>
  <c r="K1010" i="2"/>
  <c r="I1010" i="2"/>
  <c r="G1010" i="2"/>
  <c r="C1010" i="2"/>
  <c r="F1010" i="2"/>
  <c r="D1010" i="2"/>
  <c r="B1010" i="2"/>
  <c r="J1010" i="2" s="1"/>
  <c r="K1012" i="2"/>
  <c r="I1012" i="2"/>
  <c r="G1012" i="2"/>
  <c r="C1012" i="2"/>
  <c r="F1012" i="2"/>
  <c r="D1012" i="2"/>
  <c r="B1012" i="2"/>
  <c r="J1012" i="2" s="1"/>
  <c r="K1014" i="2"/>
  <c r="I1014" i="2"/>
  <c r="G1014" i="2"/>
  <c r="C1014" i="2"/>
  <c r="F1014" i="2"/>
  <c r="D1014" i="2"/>
  <c r="B1014" i="2"/>
  <c r="J1014" i="2" s="1"/>
  <c r="K1016" i="2"/>
  <c r="I1016" i="2"/>
  <c r="G1016" i="2"/>
  <c r="C1016" i="2"/>
  <c r="F1016" i="2"/>
  <c r="D1016" i="2"/>
  <c r="B1016" i="2"/>
  <c r="J1016" i="2" s="1"/>
  <c r="K1018" i="2"/>
  <c r="I1018" i="2"/>
  <c r="G1018" i="2"/>
  <c r="C1018" i="2"/>
  <c r="F1018" i="2"/>
  <c r="D1018" i="2"/>
  <c r="B1018" i="2"/>
  <c r="J1018" i="2" s="1"/>
  <c r="K1020" i="2"/>
  <c r="I1020" i="2"/>
  <c r="G1020" i="2"/>
  <c r="C1020" i="2"/>
  <c r="F1020" i="2"/>
  <c r="D1020" i="2"/>
  <c r="B1020" i="2"/>
  <c r="J1020" i="2" s="1"/>
  <c r="K1022" i="2"/>
  <c r="I1022" i="2"/>
  <c r="G1022" i="2"/>
  <c r="C1022" i="2"/>
  <c r="F1022" i="2"/>
  <c r="D1022" i="2"/>
  <c r="B1022" i="2"/>
  <c r="J1022" i="2" s="1"/>
  <c r="K1024" i="2"/>
  <c r="I1024" i="2"/>
  <c r="G1024" i="2"/>
  <c r="C1024" i="2"/>
  <c r="F1024" i="2"/>
  <c r="D1024" i="2"/>
  <c r="B1024" i="2"/>
  <c r="J1024" i="2" s="1"/>
  <c r="K1026" i="2"/>
  <c r="I1026" i="2"/>
  <c r="G1026" i="2"/>
  <c r="C1026" i="2"/>
  <c r="F1026" i="2"/>
  <c r="D1026" i="2"/>
  <c r="B1026" i="2"/>
  <c r="J1026" i="2" s="1"/>
  <c r="K1028" i="2"/>
  <c r="I1028" i="2"/>
  <c r="G1028" i="2"/>
  <c r="C1028" i="2"/>
  <c r="F1028" i="2"/>
  <c r="D1028" i="2"/>
  <c r="B1028" i="2"/>
  <c r="J1028" i="2" s="1"/>
  <c r="K1030" i="2"/>
  <c r="I1030" i="2"/>
  <c r="G1030" i="2"/>
  <c r="C1030" i="2"/>
  <c r="F1030" i="2"/>
  <c r="D1030" i="2"/>
  <c r="B1030" i="2"/>
  <c r="J1030" i="2" s="1"/>
  <c r="K1032" i="2"/>
  <c r="I1032" i="2"/>
  <c r="G1032" i="2"/>
  <c r="C1032" i="2"/>
  <c r="F1032" i="2"/>
  <c r="D1032" i="2"/>
  <c r="B1032" i="2"/>
  <c r="J1032" i="2" s="1"/>
  <c r="K1034" i="2"/>
  <c r="I1034" i="2"/>
  <c r="G1034" i="2"/>
  <c r="C1034" i="2"/>
  <c r="F1034" i="2"/>
  <c r="D1034" i="2"/>
  <c r="B1034" i="2"/>
  <c r="J1034" i="2" s="1"/>
  <c r="K1036" i="2"/>
  <c r="I1036" i="2"/>
  <c r="G1036" i="2"/>
  <c r="C1036" i="2"/>
  <c r="F1036" i="2"/>
  <c r="D1036" i="2"/>
  <c r="B1036" i="2"/>
  <c r="J1036" i="2" s="1"/>
  <c r="K1038" i="2"/>
  <c r="I1038" i="2"/>
  <c r="G1038" i="2"/>
  <c r="C1038" i="2"/>
  <c r="F1038" i="2"/>
  <c r="D1038" i="2"/>
  <c r="B1038" i="2"/>
  <c r="J1038" i="2" s="1"/>
  <c r="K1040" i="2"/>
  <c r="I1040" i="2"/>
  <c r="G1040" i="2"/>
  <c r="C1040" i="2"/>
  <c r="F1040" i="2"/>
  <c r="D1040" i="2"/>
  <c r="B1040" i="2"/>
  <c r="J1040" i="2" s="1"/>
  <c r="K1042" i="2"/>
  <c r="I1042" i="2"/>
  <c r="G1042" i="2"/>
  <c r="C1042" i="2"/>
  <c r="F1042" i="2"/>
  <c r="D1042" i="2"/>
  <c r="B1042" i="2"/>
  <c r="J1042" i="2" s="1"/>
  <c r="K1044" i="2"/>
  <c r="I1044" i="2"/>
  <c r="G1044" i="2"/>
  <c r="C1044" i="2"/>
  <c r="F1044" i="2"/>
  <c r="D1044" i="2"/>
  <c r="B1044" i="2"/>
  <c r="J1044" i="2" s="1"/>
  <c r="K1046" i="2"/>
  <c r="I1046" i="2"/>
  <c r="G1046" i="2"/>
  <c r="C1046" i="2"/>
  <c r="F1046" i="2"/>
  <c r="D1046" i="2"/>
  <c r="B1046" i="2"/>
  <c r="J1046" i="2" s="1"/>
  <c r="K1048" i="2"/>
  <c r="I1048" i="2"/>
  <c r="G1048" i="2"/>
  <c r="C1048" i="2"/>
  <c r="F1048" i="2"/>
  <c r="D1048" i="2"/>
  <c r="B1048" i="2"/>
  <c r="J1048" i="2" s="1"/>
  <c r="K1050" i="2"/>
  <c r="I1050" i="2"/>
  <c r="G1050" i="2"/>
  <c r="C1050" i="2"/>
  <c r="F1050" i="2"/>
  <c r="D1050" i="2"/>
  <c r="B1050" i="2"/>
  <c r="J1050" i="2" s="1"/>
  <c r="K1052" i="2"/>
  <c r="I1052" i="2"/>
  <c r="G1052" i="2"/>
  <c r="C1052" i="2"/>
  <c r="F1052" i="2"/>
  <c r="D1052" i="2"/>
  <c r="B1052" i="2"/>
  <c r="J1052" i="2" s="1"/>
  <c r="K1054" i="2"/>
  <c r="I1054" i="2"/>
  <c r="G1054" i="2"/>
  <c r="C1054" i="2"/>
  <c r="F1054" i="2"/>
  <c r="D1054" i="2"/>
  <c r="B1054" i="2"/>
  <c r="J1054" i="2" s="1"/>
  <c r="K1056" i="2"/>
  <c r="I1056" i="2"/>
  <c r="G1056" i="2"/>
  <c r="C1056" i="2"/>
  <c r="F1056" i="2"/>
  <c r="D1056" i="2"/>
  <c r="B1056" i="2"/>
  <c r="J1056" i="2" s="1"/>
  <c r="K1058" i="2"/>
  <c r="I1058" i="2"/>
  <c r="G1058" i="2"/>
  <c r="C1058" i="2"/>
  <c r="F1058" i="2"/>
  <c r="D1058" i="2"/>
  <c r="B1058" i="2"/>
  <c r="J1058" i="2" s="1"/>
  <c r="K1060" i="2"/>
  <c r="I1060" i="2"/>
  <c r="G1060" i="2"/>
  <c r="C1060" i="2"/>
  <c r="F1060" i="2"/>
  <c r="D1060" i="2"/>
  <c r="B1060" i="2"/>
  <c r="J1060" i="2" s="1"/>
  <c r="K1062" i="2"/>
  <c r="I1062" i="2"/>
  <c r="G1062" i="2"/>
  <c r="C1062" i="2"/>
  <c r="F1062" i="2"/>
  <c r="D1062" i="2"/>
  <c r="B1062" i="2"/>
  <c r="J1062" i="2" s="1"/>
  <c r="K1064" i="2"/>
  <c r="I1064" i="2"/>
  <c r="G1064" i="2"/>
  <c r="C1064" i="2"/>
  <c r="F1064" i="2"/>
  <c r="D1064" i="2"/>
  <c r="B1064" i="2"/>
  <c r="J1064" i="2" s="1"/>
  <c r="K1066" i="2"/>
  <c r="I1066" i="2"/>
  <c r="G1066" i="2"/>
  <c r="C1066" i="2"/>
  <c r="F1066" i="2"/>
  <c r="D1066" i="2"/>
  <c r="B1066" i="2"/>
  <c r="J1066" i="2" s="1"/>
  <c r="K1068" i="2"/>
  <c r="I1068" i="2"/>
  <c r="G1068" i="2"/>
  <c r="C1068" i="2"/>
  <c r="F1068" i="2"/>
  <c r="D1068" i="2"/>
  <c r="B1068" i="2"/>
  <c r="J1068" i="2" s="1"/>
  <c r="K1070" i="2"/>
  <c r="I1070" i="2"/>
  <c r="G1070" i="2"/>
  <c r="C1070" i="2"/>
  <c r="F1070" i="2"/>
  <c r="D1070" i="2"/>
  <c r="B1070" i="2"/>
  <c r="J1070" i="2" s="1"/>
  <c r="K1072" i="2"/>
  <c r="I1072" i="2"/>
  <c r="G1072" i="2"/>
  <c r="C1072" i="2"/>
  <c r="F1072" i="2"/>
  <c r="D1072" i="2"/>
  <c r="B1072" i="2"/>
  <c r="J1072" i="2" s="1"/>
  <c r="K1074" i="2"/>
  <c r="I1074" i="2"/>
  <c r="G1074" i="2"/>
  <c r="C1074" i="2"/>
  <c r="F1074" i="2"/>
  <c r="D1074" i="2"/>
  <c r="B1074" i="2"/>
  <c r="J1074" i="2" s="1"/>
  <c r="K1076" i="2"/>
  <c r="I1076" i="2"/>
  <c r="G1076" i="2"/>
  <c r="C1076" i="2"/>
  <c r="F1076" i="2"/>
  <c r="D1076" i="2"/>
  <c r="B1076" i="2"/>
  <c r="J1076" i="2" s="1"/>
  <c r="K1078" i="2"/>
  <c r="I1078" i="2"/>
  <c r="G1078" i="2"/>
  <c r="C1078" i="2"/>
  <c r="F1078" i="2"/>
  <c r="D1078" i="2"/>
  <c r="B1078" i="2"/>
  <c r="J1078" i="2" s="1"/>
  <c r="K1080" i="2"/>
  <c r="I1080" i="2"/>
  <c r="G1080" i="2"/>
  <c r="C1080" i="2"/>
  <c r="F1080" i="2"/>
  <c r="D1080" i="2"/>
  <c r="B1080" i="2"/>
  <c r="J1080" i="2" s="1"/>
  <c r="K1082" i="2"/>
  <c r="I1082" i="2"/>
  <c r="G1082" i="2"/>
  <c r="C1082" i="2"/>
  <c r="F1082" i="2"/>
  <c r="D1082" i="2"/>
  <c r="B1082" i="2"/>
  <c r="J1082" i="2" s="1"/>
  <c r="K1084" i="2"/>
  <c r="I1084" i="2"/>
  <c r="G1084" i="2"/>
  <c r="C1084" i="2"/>
  <c r="F1084" i="2"/>
  <c r="D1084" i="2"/>
  <c r="B1084" i="2"/>
  <c r="J1084" i="2" s="1"/>
  <c r="K1086" i="2"/>
  <c r="I1086" i="2"/>
  <c r="G1086" i="2"/>
  <c r="C1086" i="2"/>
  <c r="F1086" i="2"/>
  <c r="D1086" i="2"/>
  <c r="B1086" i="2"/>
  <c r="J1086" i="2" s="1"/>
  <c r="K1088" i="2"/>
  <c r="I1088" i="2"/>
  <c r="G1088" i="2"/>
  <c r="C1088" i="2"/>
  <c r="F1088" i="2"/>
  <c r="D1088" i="2"/>
  <c r="B1088" i="2"/>
  <c r="J1088" i="2" s="1"/>
  <c r="K1090" i="2"/>
  <c r="I1090" i="2"/>
  <c r="G1090" i="2"/>
  <c r="C1090" i="2"/>
  <c r="F1090" i="2"/>
  <c r="D1090" i="2"/>
  <c r="B1090" i="2"/>
  <c r="J1090" i="2" s="1"/>
  <c r="K1092" i="2"/>
  <c r="I1092" i="2"/>
  <c r="G1092" i="2"/>
  <c r="C1092" i="2"/>
  <c r="F1092" i="2"/>
  <c r="D1092" i="2"/>
  <c r="B1092" i="2"/>
  <c r="J1092" i="2" s="1"/>
  <c r="K1094" i="2"/>
  <c r="I1094" i="2"/>
  <c r="G1094" i="2"/>
  <c r="C1094" i="2"/>
  <c r="F1094" i="2"/>
  <c r="D1094" i="2"/>
  <c r="B1094" i="2"/>
  <c r="J1094" i="2" s="1"/>
  <c r="K1096" i="2"/>
  <c r="I1096" i="2"/>
  <c r="G1096" i="2"/>
  <c r="C1096" i="2"/>
  <c r="F1096" i="2"/>
  <c r="D1096" i="2"/>
  <c r="B1096" i="2"/>
  <c r="J1096" i="2" s="1"/>
  <c r="K1098" i="2"/>
  <c r="I1098" i="2"/>
  <c r="G1098" i="2"/>
  <c r="C1098" i="2"/>
  <c r="F1098" i="2"/>
  <c r="D1098" i="2"/>
  <c r="B1098" i="2"/>
  <c r="J1098" i="2" s="1"/>
  <c r="K1100" i="2"/>
  <c r="I1100" i="2"/>
  <c r="G1100" i="2"/>
  <c r="C1100" i="2"/>
  <c r="F1100" i="2"/>
  <c r="D1100" i="2"/>
  <c r="B1100" i="2"/>
  <c r="J1100" i="2" s="1"/>
  <c r="K1102" i="2"/>
  <c r="I1102" i="2"/>
  <c r="G1102" i="2"/>
  <c r="C1102" i="2"/>
  <c r="F1102" i="2"/>
  <c r="D1102" i="2"/>
  <c r="B1102" i="2"/>
  <c r="J1102" i="2" s="1"/>
  <c r="K1104" i="2"/>
  <c r="I1104" i="2"/>
  <c r="G1104" i="2"/>
  <c r="C1104" i="2"/>
  <c r="F1104" i="2"/>
  <c r="D1104" i="2"/>
  <c r="B1104" i="2"/>
  <c r="J1104" i="2" s="1"/>
  <c r="K1106" i="2"/>
  <c r="I1106" i="2"/>
  <c r="G1106" i="2"/>
  <c r="C1106" i="2"/>
  <c r="F1106" i="2"/>
  <c r="D1106" i="2"/>
  <c r="B1106" i="2"/>
  <c r="J1106" i="2" s="1"/>
  <c r="K1108" i="2"/>
  <c r="I1108" i="2"/>
  <c r="G1108" i="2"/>
  <c r="C1108" i="2"/>
  <c r="F1108" i="2"/>
  <c r="D1108" i="2"/>
  <c r="B1108" i="2"/>
  <c r="J1108" i="2" s="1"/>
  <c r="K1110" i="2"/>
  <c r="I1110" i="2"/>
  <c r="G1110" i="2"/>
  <c r="C1110" i="2"/>
  <c r="F1110" i="2"/>
  <c r="D1110" i="2"/>
  <c r="B1110" i="2"/>
  <c r="J1110" i="2" s="1"/>
  <c r="K1112" i="2"/>
  <c r="I1112" i="2"/>
  <c r="G1112" i="2"/>
  <c r="C1112" i="2"/>
  <c r="F1112" i="2"/>
  <c r="D1112" i="2"/>
  <c r="B1112" i="2"/>
  <c r="J1112" i="2" s="1"/>
  <c r="K1114" i="2"/>
  <c r="I1114" i="2"/>
  <c r="G1114" i="2"/>
  <c r="C1114" i="2"/>
  <c r="F1114" i="2"/>
  <c r="D1114" i="2"/>
  <c r="B1114" i="2"/>
  <c r="J1114" i="2" s="1"/>
  <c r="K1116" i="2"/>
  <c r="I1116" i="2"/>
  <c r="G1116" i="2"/>
  <c r="C1116" i="2"/>
  <c r="F1116" i="2"/>
  <c r="D1116" i="2"/>
  <c r="B1116" i="2"/>
  <c r="J1116" i="2" s="1"/>
  <c r="K1118" i="2"/>
  <c r="I1118" i="2"/>
  <c r="G1118" i="2"/>
  <c r="C1118" i="2"/>
  <c r="F1118" i="2"/>
  <c r="D1118" i="2"/>
  <c r="B1118" i="2"/>
  <c r="J1118" i="2" s="1"/>
  <c r="K1120" i="2"/>
  <c r="I1120" i="2"/>
  <c r="G1120" i="2"/>
  <c r="C1120" i="2"/>
  <c r="F1120" i="2"/>
  <c r="D1120" i="2"/>
  <c r="B1120" i="2"/>
  <c r="J1120" i="2" s="1"/>
  <c r="K1122" i="2"/>
  <c r="I1122" i="2"/>
  <c r="G1122" i="2"/>
  <c r="C1122" i="2"/>
  <c r="F1122" i="2"/>
  <c r="D1122" i="2"/>
  <c r="B1122" i="2"/>
  <c r="J1122" i="2" s="1"/>
  <c r="K1124" i="2"/>
  <c r="I1124" i="2"/>
  <c r="G1124" i="2"/>
  <c r="C1124" i="2"/>
  <c r="F1124" i="2"/>
  <c r="D1124" i="2"/>
  <c r="B1124" i="2"/>
  <c r="J1124" i="2" s="1"/>
  <c r="K1126" i="2"/>
  <c r="I1126" i="2"/>
  <c r="G1126" i="2"/>
  <c r="C1126" i="2"/>
  <c r="F1126" i="2"/>
  <c r="D1126" i="2"/>
  <c r="B1126" i="2"/>
  <c r="J1126" i="2" s="1"/>
  <c r="K1128" i="2"/>
  <c r="I1128" i="2"/>
  <c r="G1128" i="2"/>
  <c r="C1128" i="2"/>
  <c r="F1128" i="2"/>
  <c r="D1128" i="2"/>
  <c r="B1128" i="2"/>
  <c r="J1128" i="2" s="1"/>
  <c r="K1130" i="2"/>
  <c r="I1130" i="2"/>
  <c r="G1130" i="2"/>
  <c r="C1130" i="2"/>
  <c r="F1130" i="2"/>
  <c r="D1130" i="2"/>
  <c r="B1130" i="2"/>
  <c r="J1130" i="2" s="1"/>
  <c r="K1132" i="2"/>
  <c r="I1132" i="2"/>
  <c r="G1132" i="2"/>
  <c r="C1132" i="2"/>
  <c r="F1132" i="2"/>
  <c r="D1132" i="2"/>
  <c r="B1132" i="2"/>
  <c r="J1132" i="2" s="1"/>
  <c r="K1134" i="2"/>
  <c r="I1134" i="2"/>
  <c r="G1134" i="2"/>
  <c r="C1134" i="2"/>
  <c r="F1134" i="2"/>
  <c r="D1134" i="2"/>
  <c r="B1134" i="2"/>
  <c r="J1134" i="2" s="1"/>
  <c r="K1136" i="2"/>
  <c r="I1136" i="2"/>
  <c r="G1136" i="2"/>
  <c r="C1136" i="2"/>
  <c r="F1136" i="2"/>
  <c r="D1136" i="2"/>
  <c r="B1136" i="2"/>
  <c r="J1136" i="2" s="1"/>
  <c r="K1138" i="2"/>
  <c r="I1138" i="2"/>
  <c r="G1138" i="2"/>
  <c r="C1138" i="2"/>
  <c r="F1138" i="2"/>
  <c r="D1138" i="2"/>
  <c r="B1138" i="2"/>
  <c r="J1138" i="2" s="1"/>
  <c r="K1140" i="2"/>
  <c r="I1140" i="2"/>
  <c r="G1140" i="2"/>
  <c r="C1140" i="2"/>
  <c r="F1140" i="2"/>
  <c r="D1140" i="2"/>
  <c r="B1140" i="2"/>
  <c r="J1140" i="2" s="1"/>
  <c r="K1142" i="2"/>
  <c r="I1142" i="2"/>
  <c r="G1142" i="2"/>
  <c r="C1142" i="2"/>
  <c r="F1142" i="2"/>
  <c r="D1142" i="2"/>
  <c r="B1142" i="2"/>
  <c r="J1142" i="2" s="1"/>
  <c r="K1144" i="2"/>
  <c r="I1144" i="2"/>
  <c r="G1144" i="2"/>
  <c r="C1144" i="2"/>
  <c r="F1144" i="2"/>
  <c r="D1144" i="2"/>
  <c r="B1144" i="2"/>
  <c r="J1144" i="2" s="1"/>
  <c r="K1146" i="2"/>
  <c r="I1146" i="2"/>
  <c r="G1146" i="2"/>
  <c r="C1146" i="2"/>
  <c r="F1146" i="2"/>
  <c r="D1146" i="2"/>
  <c r="B1146" i="2"/>
  <c r="J1146" i="2" s="1"/>
  <c r="K1148" i="2"/>
  <c r="I1148" i="2"/>
  <c r="G1148" i="2"/>
  <c r="C1148" i="2"/>
  <c r="F1148" i="2"/>
  <c r="D1148" i="2"/>
  <c r="B1148" i="2"/>
  <c r="J1148" i="2" s="1"/>
  <c r="K1150" i="2"/>
  <c r="I1150" i="2"/>
  <c r="G1150" i="2"/>
  <c r="C1150" i="2"/>
  <c r="F1150" i="2"/>
  <c r="D1150" i="2"/>
  <c r="B1150" i="2"/>
  <c r="J1150" i="2" s="1"/>
  <c r="K1152" i="2"/>
  <c r="I1152" i="2"/>
  <c r="G1152" i="2"/>
  <c r="C1152" i="2"/>
  <c r="F1152" i="2"/>
  <c r="D1152" i="2"/>
  <c r="B1152" i="2"/>
  <c r="J1152" i="2" s="1"/>
  <c r="K1154" i="2"/>
  <c r="I1154" i="2"/>
  <c r="G1154" i="2"/>
  <c r="C1154" i="2"/>
  <c r="F1154" i="2"/>
  <c r="D1154" i="2"/>
  <c r="B1154" i="2"/>
  <c r="J1154" i="2" s="1"/>
  <c r="K1156" i="2"/>
  <c r="I1156" i="2"/>
  <c r="G1156" i="2"/>
  <c r="C1156" i="2"/>
  <c r="F1156" i="2"/>
  <c r="D1156" i="2"/>
  <c r="B1156" i="2"/>
  <c r="J1156" i="2" s="1"/>
  <c r="K1158" i="2"/>
  <c r="I1158" i="2"/>
  <c r="G1158" i="2"/>
  <c r="C1158" i="2"/>
  <c r="F1158" i="2"/>
  <c r="D1158" i="2"/>
  <c r="B1158" i="2"/>
  <c r="J1158" i="2" s="1"/>
  <c r="K1160" i="2"/>
  <c r="I1160" i="2"/>
  <c r="G1160" i="2"/>
  <c r="C1160" i="2"/>
  <c r="F1160" i="2"/>
  <c r="D1160" i="2"/>
  <c r="B1160" i="2"/>
  <c r="J1160" i="2" s="1"/>
  <c r="K1162" i="2"/>
  <c r="I1162" i="2"/>
  <c r="G1162" i="2"/>
  <c r="C1162" i="2"/>
  <c r="F1162" i="2"/>
  <c r="D1162" i="2"/>
  <c r="B1162" i="2"/>
  <c r="J1162" i="2" s="1"/>
  <c r="K1164" i="2"/>
  <c r="I1164" i="2"/>
  <c r="G1164" i="2"/>
  <c r="C1164" i="2"/>
  <c r="F1164" i="2"/>
  <c r="D1164" i="2"/>
  <c r="B1164" i="2"/>
  <c r="J1164" i="2" s="1"/>
  <c r="K1166" i="2"/>
  <c r="I1166" i="2"/>
  <c r="G1166" i="2"/>
  <c r="C1166" i="2"/>
  <c r="F1166" i="2"/>
  <c r="D1166" i="2"/>
  <c r="B1166" i="2"/>
  <c r="J1166" i="2" s="1"/>
  <c r="K1168" i="2"/>
  <c r="I1168" i="2"/>
  <c r="G1168" i="2"/>
  <c r="C1168" i="2"/>
  <c r="F1168" i="2"/>
  <c r="D1168" i="2"/>
  <c r="B1168" i="2"/>
  <c r="J1168" i="2" s="1"/>
  <c r="K1170" i="2"/>
  <c r="I1170" i="2"/>
  <c r="G1170" i="2"/>
  <c r="C1170" i="2"/>
  <c r="F1170" i="2"/>
  <c r="D1170" i="2"/>
  <c r="B1170" i="2"/>
  <c r="J1170" i="2" s="1"/>
  <c r="K1172" i="2"/>
  <c r="I1172" i="2"/>
  <c r="G1172" i="2"/>
  <c r="C1172" i="2"/>
  <c r="F1172" i="2"/>
  <c r="D1172" i="2"/>
  <c r="B1172" i="2"/>
  <c r="J1172" i="2" s="1"/>
  <c r="K1174" i="2"/>
  <c r="I1174" i="2"/>
  <c r="G1174" i="2"/>
  <c r="C1174" i="2"/>
  <c r="F1174" i="2"/>
  <c r="D1174" i="2"/>
  <c r="B1174" i="2"/>
  <c r="J1174" i="2" s="1"/>
  <c r="K1176" i="2"/>
  <c r="I1176" i="2"/>
  <c r="G1176" i="2"/>
  <c r="C1176" i="2"/>
  <c r="F1176" i="2"/>
  <c r="D1176" i="2"/>
  <c r="B1176" i="2"/>
  <c r="J1176" i="2" s="1"/>
  <c r="K1178" i="2"/>
  <c r="I1178" i="2"/>
  <c r="G1178" i="2"/>
  <c r="C1178" i="2"/>
  <c r="F1178" i="2"/>
  <c r="D1178" i="2"/>
  <c r="B1178" i="2"/>
  <c r="J1178" i="2" s="1"/>
  <c r="K1180" i="2"/>
  <c r="I1180" i="2"/>
  <c r="G1180" i="2"/>
  <c r="C1180" i="2"/>
  <c r="F1180" i="2"/>
  <c r="D1180" i="2"/>
  <c r="B1180" i="2"/>
  <c r="J1180" i="2" s="1"/>
  <c r="K1182" i="2"/>
  <c r="I1182" i="2"/>
  <c r="G1182" i="2"/>
  <c r="C1182" i="2"/>
  <c r="F1182" i="2"/>
  <c r="D1182" i="2"/>
  <c r="B1182" i="2"/>
  <c r="J1182" i="2" s="1"/>
  <c r="K1184" i="2"/>
  <c r="I1184" i="2"/>
  <c r="G1184" i="2"/>
  <c r="C1184" i="2"/>
  <c r="F1184" i="2"/>
  <c r="D1184" i="2"/>
  <c r="B1184" i="2"/>
  <c r="J1184" i="2" s="1"/>
  <c r="K1186" i="2"/>
  <c r="I1186" i="2"/>
  <c r="G1186" i="2"/>
  <c r="C1186" i="2"/>
  <c r="F1186" i="2"/>
  <c r="D1186" i="2"/>
  <c r="B1186" i="2"/>
  <c r="J1186" i="2" s="1"/>
  <c r="K1188" i="2"/>
  <c r="I1188" i="2"/>
  <c r="G1188" i="2"/>
  <c r="C1188" i="2"/>
  <c r="F1188" i="2"/>
  <c r="D1188" i="2"/>
  <c r="B1188" i="2"/>
  <c r="J1188" i="2" s="1"/>
  <c r="K1190" i="2"/>
  <c r="I1190" i="2"/>
  <c r="G1190" i="2"/>
  <c r="C1190" i="2"/>
  <c r="F1190" i="2"/>
  <c r="D1190" i="2"/>
  <c r="B1190" i="2"/>
  <c r="J1190" i="2" s="1"/>
  <c r="K1192" i="2"/>
  <c r="I1192" i="2"/>
  <c r="G1192" i="2"/>
  <c r="C1192" i="2"/>
  <c r="F1192" i="2"/>
  <c r="D1192" i="2"/>
  <c r="B1192" i="2"/>
  <c r="J1192" i="2" s="1"/>
  <c r="K1194" i="2"/>
  <c r="I1194" i="2"/>
  <c r="G1194" i="2"/>
  <c r="C1194" i="2"/>
  <c r="F1194" i="2"/>
  <c r="D1194" i="2"/>
  <c r="B1194" i="2"/>
  <c r="J1194" i="2" s="1"/>
  <c r="K1196" i="2"/>
  <c r="I1196" i="2"/>
  <c r="G1196" i="2"/>
  <c r="C1196" i="2"/>
  <c r="F1196" i="2"/>
  <c r="D1196" i="2"/>
  <c r="B1196" i="2"/>
  <c r="J1196" i="2" s="1"/>
  <c r="K1198" i="2"/>
  <c r="I1198" i="2"/>
  <c r="G1198" i="2"/>
  <c r="C1198" i="2"/>
  <c r="F1198" i="2"/>
  <c r="D1198" i="2"/>
  <c r="B1198" i="2"/>
  <c r="J1198" i="2" s="1"/>
  <c r="K1200" i="2"/>
  <c r="I1200" i="2"/>
  <c r="G1200" i="2"/>
  <c r="C1200" i="2"/>
  <c r="F1200" i="2"/>
  <c r="D1200" i="2"/>
  <c r="B1200" i="2"/>
  <c r="J1200" i="2" s="1"/>
  <c r="K1202" i="2"/>
  <c r="I1202" i="2"/>
  <c r="G1202" i="2"/>
  <c r="C1202" i="2"/>
  <c r="F1202" i="2"/>
  <c r="D1202" i="2"/>
  <c r="B1202" i="2"/>
  <c r="J1202" i="2" s="1"/>
  <c r="K1204" i="2"/>
  <c r="I1204" i="2"/>
  <c r="G1204" i="2"/>
  <c r="C1204" i="2"/>
  <c r="F1204" i="2"/>
  <c r="D1204" i="2"/>
  <c r="B1204" i="2"/>
  <c r="J1204" i="2" s="1"/>
  <c r="K1206" i="2"/>
  <c r="I1206" i="2"/>
  <c r="G1206" i="2"/>
  <c r="C1206" i="2"/>
  <c r="F1206" i="2"/>
  <c r="D1206" i="2"/>
  <c r="B1206" i="2"/>
  <c r="J1206" i="2" s="1"/>
  <c r="K1208" i="2"/>
  <c r="I1208" i="2"/>
  <c r="G1208" i="2"/>
  <c r="C1208" i="2"/>
  <c r="F1208" i="2"/>
  <c r="D1208" i="2"/>
  <c r="B1208" i="2"/>
  <c r="J1208" i="2" s="1"/>
  <c r="K1210" i="2"/>
  <c r="I1210" i="2"/>
  <c r="G1210" i="2"/>
  <c r="C1210" i="2"/>
  <c r="F1210" i="2"/>
  <c r="D1210" i="2"/>
  <c r="B1210" i="2"/>
  <c r="J1210" i="2" s="1"/>
  <c r="K1212" i="2"/>
  <c r="I1212" i="2"/>
  <c r="G1212" i="2"/>
  <c r="C1212" i="2"/>
  <c r="F1212" i="2"/>
  <c r="D1212" i="2"/>
  <c r="B1212" i="2"/>
  <c r="J1212" i="2" s="1"/>
  <c r="K1214" i="2"/>
  <c r="I1214" i="2"/>
  <c r="G1214" i="2"/>
  <c r="C1214" i="2"/>
  <c r="F1214" i="2"/>
  <c r="D1214" i="2"/>
  <c r="B1214" i="2"/>
  <c r="J1214" i="2" s="1"/>
  <c r="K1216" i="2"/>
  <c r="I1216" i="2"/>
  <c r="G1216" i="2"/>
  <c r="C1216" i="2"/>
  <c r="F1216" i="2"/>
  <c r="D1216" i="2"/>
  <c r="B1216" i="2"/>
  <c r="J1216" i="2" s="1"/>
  <c r="K1218" i="2"/>
  <c r="I1218" i="2"/>
  <c r="G1218" i="2"/>
  <c r="C1218" i="2"/>
  <c r="F1218" i="2"/>
  <c r="D1218" i="2"/>
  <c r="B1218" i="2"/>
  <c r="J1218" i="2" s="1"/>
  <c r="K1220" i="2"/>
  <c r="I1220" i="2"/>
  <c r="G1220" i="2"/>
  <c r="C1220" i="2"/>
  <c r="F1220" i="2"/>
  <c r="D1220" i="2"/>
  <c r="B1220" i="2"/>
  <c r="J1220" i="2" s="1"/>
  <c r="K1222" i="2"/>
  <c r="I1222" i="2"/>
  <c r="G1222" i="2"/>
  <c r="C1222" i="2"/>
  <c r="F1222" i="2"/>
  <c r="D1222" i="2"/>
  <c r="B1222" i="2"/>
  <c r="J1222" i="2" s="1"/>
  <c r="K1224" i="2"/>
  <c r="I1224" i="2"/>
  <c r="G1224" i="2"/>
  <c r="C1224" i="2"/>
  <c r="F1224" i="2"/>
  <c r="D1224" i="2"/>
  <c r="B1224" i="2"/>
  <c r="J1224" i="2" s="1"/>
  <c r="K1226" i="2"/>
  <c r="I1226" i="2"/>
  <c r="G1226" i="2"/>
  <c r="C1226" i="2"/>
  <c r="F1226" i="2"/>
  <c r="D1226" i="2"/>
  <c r="B1226" i="2"/>
  <c r="J1226" i="2" s="1"/>
  <c r="K1228" i="2"/>
  <c r="I1228" i="2"/>
  <c r="G1228" i="2"/>
  <c r="C1228" i="2"/>
  <c r="F1228" i="2"/>
  <c r="D1228" i="2"/>
  <c r="B1228" i="2"/>
  <c r="J1228" i="2" s="1"/>
  <c r="K1230" i="2"/>
  <c r="I1230" i="2"/>
  <c r="G1230" i="2"/>
  <c r="C1230" i="2"/>
  <c r="F1230" i="2"/>
  <c r="D1230" i="2"/>
  <c r="B1230" i="2"/>
  <c r="J1230" i="2" s="1"/>
  <c r="K1232" i="2"/>
  <c r="I1232" i="2"/>
  <c r="G1232" i="2"/>
  <c r="C1232" i="2"/>
  <c r="F1232" i="2"/>
  <c r="D1232" i="2"/>
  <c r="B1232" i="2"/>
  <c r="J1232" i="2" s="1"/>
  <c r="K1234" i="2"/>
  <c r="I1234" i="2"/>
  <c r="G1234" i="2"/>
  <c r="C1234" i="2"/>
  <c r="F1234" i="2"/>
  <c r="D1234" i="2"/>
  <c r="B1234" i="2"/>
  <c r="J1234" i="2" s="1"/>
  <c r="K1236" i="2"/>
  <c r="I1236" i="2"/>
  <c r="G1236" i="2"/>
  <c r="C1236" i="2"/>
  <c r="F1236" i="2"/>
  <c r="D1236" i="2"/>
  <c r="B1236" i="2"/>
  <c r="J1236" i="2" s="1"/>
  <c r="K1238" i="2"/>
  <c r="I1238" i="2"/>
  <c r="G1238" i="2"/>
  <c r="C1238" i="2"/>
  <c r="F1238" i="2"/>
  <c r="D1238" i="2"/>
  <c r="B1238" i="2"/>
  <c r="J1238" i="2" s="1"/>
  <c r="K1240" i="2"/>
  <c r="I1240" i="2"/>
  <c r="G1240" i="2"/>
  <c r="C1240" i="2"/>
  <c r="F1240" i="2"/>
  <c r="D1240" i="2"/>
  <c r="B1240" i="2"/>
  <c r="J1240" i="2" s="1"/>
  <c r="K1242" i="2"/>
  <c r="I1242" i="2"/>
  <c r="G1242" i="2"/>
  <c r="C1242" i="2"/>
  <c r="F1242" i="2"/>
  <c r="D1242" i="2"/>
  <c r="B1242" i="2"/>
  <c r="J1242" i="2" s="1"/>
  <c r="K1244" i="2"/>
  <c r="I1244" i="2"/>
  <c r="G1244" i="2"/>
  <c r="C1244" i="2"/>
  <c r="F1244" i="2"/>
  <c r="D1244" i="2"/>
  <c r="B1244" i="2"/>
  <c r="J1244" i="2" s="1"/>
  <c r="K1246" i="2"/>
  <c r="I1246" i="2"/>
  <c r="G1246" i="2"/>
  <c r="C1246" i="2"/>
  <c r="F1246" i="2"/>
  <c r="D1246" i="2"/>
  <c r="B1246" i="2"/>
  <c r="J1246" i="2" s="1"/>
  <c r="K1248" i="2"/>
  <c r="I1248" i="2"/>
  <c r="G1248" i="2"/>
  <c r="C1248" i="2"/>
  <c r="F1248" i="2"/>
  <c r="D1248" i="2"/>
  <c r="B1248" i="2"/>
  <c r="J1248" i="2" s="1"/>
  <c r="K1250" i="2"/>
  <c r="I1250" i="2"/>
  <c r="G1250" i="2"/>
  <c r="C1250" i="2"/>
  <c r="F1250" i="2"/>
  <c r="D1250" i="2"/>
  <c r="B1250" i="2"/>
  <c r="J1250" i="2" s="1"/>
  <c r="K1252" i="2"/>
  <c r="I1252" i="2"/>
  <c r="G1252" i="2"/>
  <c r="C1252" i="2"/>
  <c r="F1252" i="2"/>
  <c r="D1252" i="2"/>
  <c r="B1252" i="2"/>
  <c r="J1252" i="2" s="1"/>
  <c r="K1254" i="2"/>
  <c r="I1254" i="2"/>
  <c r="G1254" i="2"/>
  <c r="C1254" i="2"/>
  <c r="F1254" i="2"/>
  <c r="D1254" i="2"/>
  <c r="B1254" i="2"/>
  <c r="J1254" i="2" s="1"/>
  <c r="K1256" i="2"/>
  <c r="I1256" i="2"/>
  <c r="G1256" i="2"/>
  <c r="C1256" i="2"/>
  <c r="F1256" i="2"/>
  <c r="D1256" i="2"/>
  <c r="B1256" i="2"/>
  <c r="J1256" i="2" s="1"/>
  <c r="K1258" i="2"/>
  <c r="I1258" i="2"/>
  <c r="G1258" i="2"/>
  <c r="C1258" i="2"/>
  <c r="F1258" i="2"/>
  <c r="D1258" i="2"/>
  <c r="B1258" i="2"/>
  <c r="J1258" i="2" s="1"/>
  <c r="K1260" i="2"/>
  <c r="I1260" i="2"/>
  <c r="G1260" i="2"/>
  <c r="C1260" i="2"/>
  <c r="F1260" i="2"/>
  <c r="D1260" i="2"/>
  <c r="B1260" i="2"/>
  <c r="J1260" i="2" s="1"/>
  <c r="K1262" i="2"/>
  <c r="I1262" i="2"/>
  <c r="G1262" i="2"/>
  <c r="C1262" i="2"/>
  <c r="F1262" i="2"/>
  <c r="D1262" i="2"/>
  <c r="B1262" i="2"/>
  <c r="J1262" i="2" s="1"/>
  <c r="K1264" i="2"/>
  <c r="I1264" i="2"/>
  <c r="G1264" i="2"/>
  <c r="C1264" i="2"/>
  <c r="F1264" i="2"/>
  <c r="D1264" i="2"/>
  <c r="B1264" i="2"/>
  <c r="J1264" i="2" s="1"/>
  <c r="K1266" i="2"/>
  <c r="I1266" i="2"/>
  <c r="G1266" i="2"/>
  <c r="C1266" i="2"/>
  <c r="F1266" i="2"/>
  <c r="D1266" i="2"/>
  <c r="B1266" i="2"/>
  <c r="J1266" i="2" s="1"/>
  <c r="K1268" i="2"/>
  <c r="I1268" i="2"/>
  <c r="G1268" i="2"/>
  <c r="C1268" i="2"/>
  <c r="F1268" i="2"/>
  <c r="D1268" i="2"/>
  <c r="B1268" i="2"/>
  <c r="J1268" i="2" s="1"/>
  <c r="K1270" i="2"/>
  <c r="I1270" i="2"/>
  <c r="G1270" i="2"/>
  <c r="C1270" i="2"/>
  <c r="F1270" i="2"/>
  <c r="D1270" i="2"/>
  <c r="B1270" i="2"/>
  <c r="J1270" i="2" s="1"/>
  <c r="K1272" i="2"/>
  <c r="I1272" i="2"/>
  <c r="G1272" i="2"/>
  <c r="C1272" i="2"/>
  <c r="F1272" i="2"/>
  <c r="D1272" i="2"/>
  <c r="B1272" i="2"/>
  <c r="J1272" i="2" s="1"/>
  <c r="K1274" i="2"/>
  <c r="I1274" i="2"/>
  <c r="G1274" i="2"/>
  <c r="C1274" i="2"/>
  <c r="F1274" i="2"/>
  <c r="D1274" i="2"/>
  <c r="B1274" i="2"/>
  <c r="J1274" i="2" s="1"/>
  <c r="K1276" i="2"/>
  <c r="I1276" i="2"/>
  <c r="G1276" i="2"/>
  <c r="C1276" i="2"/>
  <c r="F1276" i="2"/>
  <c r="D1276" i="2"/>
  <c r="B1276" i="2"/>
  <c r="J1276" i="2" s="1"/>
  <c r="K1278" i="2"/>
  <c r="I1278" i="2"/>
  <c r="G1278" i="2"/>
  <c r="C1278" i="2"/>
  <c r="F1278" i="2"/>
  <c r="D1278" i="2"/>
  <c r="B1278" i="2"/>
  <c r="J1278" i="2" s="1"/>
  <c r="K1280" i="2"/>
  <c r="I1280" i="2"/>
  <c r="G1280" i="2"/>
  <c r="C1280" i="2"/>
  <c r="F1280" i="2"/>
  <c r="D1280" i="2"/>
  <c r="B1280" i="2"/>
  <c r="J1280" i="2" s="1"/>
  <c r="K1282" i="2"/>
  <c r="I1282" i="2"/>
  <c r="G1282" i="2"/>
  <c r="C1282" i="2"/>
  <c r="F1282" i="2"/>
  <c r="D1282" i="2"/>
  <c r="B1282" i="2"/>
  <c r="J1282" i="2" s="1"/>
  <c r="K1284" i="2"/>
  <c r="I1284" i="2"/>
  <c r="G1284" i="2"/>
  <c r="C1284" i="2"/>
  <c r="F1284" i="2"/>
  <c r="D1284" i="2"/>
  <c r="B1284" i="2"/>
  <c r="J1284" i="2" s="1"/>
  <c r="K1286" i="2"/>
  <c r="I1286" i="2"/>
  <c r="G1286" i="2"/>
  <c r="C1286" i="2"/>
  <c r="F1286" i="2"/>
  <c r="D1286" i="2"/>
  <c r="B1286" i="2"/>
  <c r="J1286" i="2" s="1"/>
  <c r="K1288" i="2"/>
  <c r="I1288" i="2"/>
  <c r="G1288" i="2"/>
  <c r="C1288" i="2"/>
  <c r="F1288" i="2"/>
  <c r="D1288" i="2"/>
  <c r="B1288" i="2"/>
  <c r="J1288" i="2" s="1"/>
  <c r="K1290" i="2"/>
  <c r="I1290" i="2"/>
  <c r="G1290" i="2"/>
  <c r="C1290" i="2"/>
  <c r="F1290" i="2"/>
  <c r="D1290" i="2"/>
  <c r="B1290" i="2"/>
  <c r="J1290" i="2" s="1"/>
  <c r="K1292" i="2"/>
  <c r="I1292" i="2"/>
  <c r="G1292" i="2"/>
  <c r="C1292" i="2"/>
  <c r="F1292" i="2"/>
  <c r="D1292" i="2"/>
  <c r="B1292" i="2"/>
  <c r="J1292" i="2" s="1"/>
  <c r="K1294" i="2"/>
  <c r="I1294" i="2"/>
  <c r="G1294" i="2"/>
  <c r="C1294" i="2"/>
  <c r="F1294" i="2"/>
  <c r="D1294" i="2"/>
  <c r="B1294" i="2"/>
  <c r="J1294" i="2" s="1"/>
  <c r="K1296" i="2"/>
  <c r="I1296" i="2"/>
  <c r="G1296" i="2"/>
  <c r="C1296" i="2"/>
  <c r="F1296" i="2"/>
  <c r="D1296" i="2"/>
  <c r="B1296" i="2"/>
  <c r="J1296" i="2" s="1"/>
  <c r="K1298" i="2"/>
  <c r="I1298" i="2"/>
  <c r="G1298" i="2"/>
  <c r="C1298" i="2"/>
  <c r="F1298" i="2"/>
  <c r="D1298" i="2"/>
  <c r="B1298" i="2"/>
  <c r="J1298" i="2" s="1"/>
  <c r="K1300" i="2"/>
  <c r="I1300" i="2"/>
  <c r="G1300" i="2"/>
  <c r="C1300" i="2"/>
  <c r="F1300" i="2"/>
  <c r="D1300" i="2"/>
  <c r="B1300" i="2"/>
  <c r="J1300" i="2" s="1"/>
  <c r="K1302" i="2"/>
  <c r="I1302" i="2"/>
  <c r="G1302" i="2"/>
  <c r="C1302" i="2"/>
  <c r="F1302" i="2"/>
  <c r="D1302" i="2"/>
  <c r="B1302" i="2"/>
  <c r="J1302" i="2" s="1"/>
  <c r="K1304" i="2"/>
  <c r="I1304" i="2"/>
  <c r="G1304" i="2"/>
  <c r="C1304" i="2"/>
  <c r="F1304" i="2"/>
  <c r="D1304" i="2"/>
  <c r="B1304" i="2"/>
  <c r="J1304" i="2" s="1"/>
  <c r="K1306" i="2"/>
  <c r="I1306" i="2"/>
  <c r="G1306" i="2"/>
  <c r="C1306" i="2"/>
  <c r="F1306" i="2"/>
  <c r="D1306" i="2"/>
  <c r="B1306" i="2"/>
  <c r="J1306" i="2" s="1"/>
  <c r="K1308" i="2"/>
  <c r="I1308" i="2"/>
  <c r="G1308" i="2"/>
  <c r="C1308" i="2"/>
  <c r="F1308" i="2"/>
  <c r="D1308" i="2"/>
  <c r="B1308" i="2"/>
  <c r="J1308" i="2" s="1"/>
  <c r="K1310" i="2"/>
  <c r="I1310" i="2"/>
  <c r="G1310" i="2"/>
  <c r="C1310" i="2"/>
  <c r="F1310" i="2"/>
  <c r="D1310" i="2"/>
  <c r="B1310" i="2"/>
  <c r="J1310" i="2" s="1"/>
  <c r="K1312" i="2"/>
  <c r="I1312" i="2"/>
  <c r="G1312" i="2"/>
  <c r="C1312" i="2"/>
  <c r="F1312" i="2"/>
  <c r="D1312" i="2"/>
  <c r="B1312" i="2"/>
  <c r="J1312" i="2" s="1"/>
  <c r="K1314" i="2"/>
  <c r="I1314" i="2"/>
  <c r="G1314" i="2"/>
  <c r="C1314" i="2"/>
  <c r="F1314" i="2"/>
  <c r="D1314" i="2"/>
  <c r="B1314" i="2"/>
  <c r="J1314" i="2" s="1"/>
  <c r="K1316" i="2"/>
  <c r="I1316" i="2"/>
  <c r="G1316" i="2"/>
  <c r="C1316" i="2"/>
  <c r="F1316" i="2"/>
  <c r="D1316" i="2"/>
  <c r="B1316" i="2"/>
  <c r="J1316" i="2" s="1"/>
  <c r="K1318" i="2"/>
  <c r="I1318" i="2"/>
  <c r="G1318" i="2"/>
  <c r="C1318" i="2"/>
  <c r="F1318" i="2"/>
  <c r="D1318" i="2"/>
  <c r="B1318" i="2"/>
  <c r="J1318" i="2" s="1"/>
  <c r="K1320" i="2"/>
  <c r="I1320" i="2"/>
  <c r="G1320" i="2"/>
  <c r="C1320" i="2"/>
  <c r="F1320" i="2"/>
  <c r="D1320" i="2"/>
  <c r="B1320" i="2"/>
  <c r="J1320" i="2" s="1"/>
  <c r="K1322" i="2"/>
  <c r="I1322" i="2"/>
  <c r="G1322" i="2"/>
  <c r="C1322" i="2"/>
  <c r="F1322" i="2"/>
  <c r="D1322" i="2"/>
  <c r="B1322" i="2"/>
  <c r="J1322" i="2" s="1"/>
  <c r="K1324" i="2"/>
  <c r="I1324" i="2"/>
  <c r="G1324" i="2"/>
  <c r="C1324" i="2"/>
  <c r="F1324" i="2"/>
  <c r="D1324" i="2"/>
  <c r="B1324" i="2"/>
  <c r="J1324" i="2" s="1"/>
  <c r="K1326" i="2"/>
  <c r="I1326" i="2"/>
  <c r="G1326" i="2"/>
  <c r="C1326" i="2"/>
  <c r="F1326" i="2"/>
  <c r="D1326" i="2"/>
  <c r="B1326" i="2"/>
  <c r="J1326" i="2" s="1"/>
  <c r="K1328" i="2"/>
  <c r="I1328" i="2"/>
  <c r="G1328" i="2"/>
  <c r="C1328" i="2"/>
  <c r="F1328" i="2"/>
  <c r="D1328" i="2"/>
  <c r="B1328" i="2"/>
  <c r="J1328" i="2" s="1"/>
  <c r="K1330" i="2"/>
  <c r="I1330" i="2"/>
  <c r="G1330" i="2"/>
  <c r="C1330" i="2"/>
  <c r="F1330" i="2"/>
  <c r="D1330" i="2"/>
  <c r="B1330" i="2"/>
  <c r="J1330" i="2" s="1"/>
  <c r="K1332" i="2"/>
  <c r="I1332" i="2"/>
  <c r="G1332" i="2"/>
  <c r="C1332" i="2"/>
  <c r="F1332" i="2"/>
  <c r="D1332" i="2"/>
  <c r="B1332" i="2"/>
  <c r="J1332" i="2" s="1"/>
  <c r="K1334" i="2"/>
  <c r="I1334" i="2"/>
  <c r="G1334" i="2"/>
  <c r="C1334" i="2"/>
  <c r="F1334" i="2"/>
  <c r="D1334" i="2"/>
  <c r="B1334" i="2"/>
  <c r="J1334" i="2" s="1"/>
  <c r="K1336" i="2"/>
  <c r="I1336" i="2"/>
  <c r="G1336" i="2"/>
  <c r="C1336" i="2"/>
  <c r="F1336" i="2"/>
  <c r="D1336" i="2"/>
  <c r="B1336" i="2"/>
  <c r="J1336" i="2" s="1"/>
  <c r="K1338" i="2"/>
  <c r="I1338" i="2"/>
  <c r="G1338" i="2"/>
  <c r="C1338" i="2"/>
  <c r="F1338" i="2"/>
  <c r="D1338" i="2"/>
  <c r="B1338" i="2"/>
  <c r="J1338" i="2" s="1"/>
  <c r="K1340" i="2"/>
  <c r="I1340" i="2"/>
  <c r="G1340" i="2"/>
  <c r="C1340" i="2"/>
  <c r="F1340" i="2"/>
  <c r="D1340" i="2"/>
  <c r="B1340" i="2"/>
  <c r="J1340" i="2" s="1"/>
  <c r="K1342" i="2"/>
  <c r="I1342" i="2"/>
  <c r="G1342" i="2"/>
  <c r="C1342" i="2"/>
  <c r="F1342" i="2"/>
  <c r="D1342" i="2"/>
  <c r="B1342" i="2"/>
  <c r="J1342" i="2" s="1"/>
  <c r="K1344" i="2"/>
  <c r="I1344" i="2"/>
  <c r="G1344" i="2"/>
  <c r="C1344" i="2"/>
  <c r="F1344" i="2"/>
  <c r="D1344" i="2"/>
  <c r="B1344" i="2"/>
  <c r="J1344" i="2" s="1"/>
  <c r="K1346" i="2"/>
  <c r="I1346" i="2"/>
  <c r="G1346" i="2"/>
  <c r="C1346" i="2"/>
  <c r="F1346" i="2"/>
  <c r="D1346" i="2"/>
  <c r="B1346" i="2"/>
  <c r="J1346" i="2" s="1"/>
  <c r="K1348" i="2"/>
  <c r="I1348" i="2"/>
  <c r="G1348" i="2"/>
  <c r="C1348" i="2"/>
  <c r="F1348" i="2"/>
  <c r="D1348" i="2"/>
  <c r="B1348" i="2"/>
  <c r="J1348" i="2" s="1"/>
  <c r="K1350" i="2"/>
  <c r="I1350" i="2"/>
  <c r="G1350" i="2"/>
  <c r="C1350" i="2"/>
  <c r="F1350" i="2"/>
  <c r="D1350" i="2"/>
  <c r="B1350" i="2"/>
  <c r="J1350" i="2" s="1"/>
  <c r="K1352" i="2"/>
  <c r="I1352" i="2"/>
  <c r="G1352" i="2"/>
  <c r="C1352" i="2"/>
  <c r="F1352" i="2"/>
  <c r="D1352" i="2"/>
  <c r="B1352" i="2"/>
  <c r="J1352" i="2" s="1"/>
  <c r="K1354" i="2"/>
  <c r="I1354" i="2"/>
  <c r="G1354" i="2"/>
  <c r="C1354" i="2"/>
  <c r="F1354" i="2"/>
  <c r="D1354" i="2"/>
  <c r="B1354" i="2"/>
  <c r="J1354" i="2" s="1"/>
  <c r="K1356" i="2"/>
  <c r="I1356" i="2"/>
  <c r="G1356" i="2"/>
  <c r="C1356" i="2"/>
  <c r="F1356" i="2"/>
  <c r="D1356" i="2"/>
  <c r="B1356" i="2"/>
  <c r="J1356" i="2" s="1"/>
  <c r="K1358" i="2"/>
  <c r="I1358" i="2"/>
  <c r="G1358" i="2"/>
  <c r="C1358" i="2"/>
  <c r="F1358" i="2"/>
  <c r="D1358" i="2"/>
  <c r="B1358" i="2"/>
  <c r="J1358" i="2" s="1"/>
  <c r="K1360" i="2"/>
  <c r="I1360" i="2"/>
  <c r="G1360" i="2"/>
  <c r="C1360" i="2"/>
  <c r="F1360" i="2"/>
  <c r="D1360" i="2"/>
  <c r="B1360" i="2"/>
  <c r="J1360" i="2" s="1"/>
  <c r="K1362" i="2"/>
  <c r="I1362" i="2"/>
  <c r="G1362" i="2"/>
  <c r="C1362" i="2"/>
  <c r="F1362" i="2"/>
  <c r="D1362" i="2"/>
  <c r="B1362" i="2"/>
  <c r="J1362" i="2" s="1"/>
  <c r="K1364" i="2"/>
  <c r="I1364" i="2"/>
  <c r="G1364" i="2"/>
  <c r="C1364" i="2"/>
  <c r="F1364" i="2"/>
  <c r="D1364" i="2"/>
  <c r="B1364" i="2"/>
  <c r="J1364" i="2" s="1"/>
  <c r="K1366" i="2"/>
  <c r="I1366" i="2"/>
  <c r="G1366" i="2"/>
  <c r="C1366" i="2"/>
  <c r="F1366" i="2"/>
  <c r="D1366" i="2"/>
  <c r="B1366" i="2"/>
  <c r="J1366" i="2" s="1"/>
  <c r="K1368" i="2"/>
  <c r="I1368" i="2"/>
  <c r="G1368" i="2"/>
  <c r="C1368" i="2"/>
  <c r="F1368" i="2"/>
  <c r="D1368" i="2"/>
  <c r="B1368" i="2"/>
  <c r="J1368" i="2" s="1"/>
  <c r="K1370" i="2"/>
  <c r="I1370" i="2"/>
  <c r="G1370" i="2"/>
  <c r="C1370" i="2"/>
  <c r="F1370" i="2"/>
  <c r="D1370" i="2"/>
  <c r="B1370" i="2"/>
  <c r="J1370" i="2" s="1"/>
  <c r="K1372" i="2"/>
  <c r="I1372" i="2"/>
  <c r="G1372" i="2"/>
  <c r="C1372" i="2"/>
  <c r="F1372" i="2"/>
  <c r="D1372" i="2"/>
  <c r="B1372" i="2"/>
  <c r="J1372" i="2" s="1"/>
  <c r="K1374" i="2"/>
  <c r="I1374" i="2"/>
  <c r="G1374" i="2"/>
  <c r="C1374" i="2"/>
  <c r="F1374" i="2"/>
  <c r="D1374" i="2"/>
  <c r="B1374" i="2"/>
  <c r="J1374" i="2" s="1"/>
  <c r="K1376" i="2"/>
  <c r="I1376" i="2"/>
  <c r="G1376" i="2"/>
  <c r="C1376" i="2"/>
  <c r="F1376" i="2"/>
  <c r="D1376" i="2"/>
  <c r="B1376" i="2"/>
  <c r="J1376" i="2" s="1"/>
  <c r="K1378" i="2"/>
  <c r="I1378" i="2"/>
  <c r="G1378" i="2"/>
  <c r="C1378" i="2"/>
  <c r="F1378" i="2"/>
  <c r="D1378" i="2"/>
  <c r="B1378" i="2"/>
  <c r="J1378" i="2" s="1"/>
  <c r="K1380" i="2"/>
  <c r="I1380" i="2"/>
  <c r="G1380" i="2"/>
  <c r="C1380" i="2"/>
  <c r="F1380" i="2"/>
  <c r="D1380" i="2"/>
  <c r="B1380" i="2"/>
  <c r="J1380" i="2" s="1"/>
  <c r="K1382" i="2"/>
  <c r="I1382" i="2"/>
  <c r="G1382" i="2"/>
  <c r="C1382" i="2"/>
  <c r="F1382" i="2"/>
  <c r="D1382" i="2"/>
  <c r="B1382" i="2"/>
  <c r="J1382" i="2" s="1"/>
  <c r="K1384" i="2"/>
  <c r="I1384" i="2"/>
  <c r="G1384" i="2"/>
  <c r="C1384" i="2"/>
  <c r="F1384" i="2"/>
  <c r="D1384" i="2"/>
  <c r="B1384" i="2"/>
  <c r="J1384" i="2" s="1"/>
  <c r="K1386" i="2"/>
  <c r="I1386" i="2"/>
  <c r="G1386" i="2"/>
  <c r="C1386" i="2"/>
  <c r="F1386" i="2"/>
  <c r="D1386" i="2"/>
  <c r="B1386" i="2"/>
  <c r="J1386" i="2" s="1"/>
  <c r="K1388" i="2"/>
  <c r="I1388" i="2"/>
  <c r="G1388" i="2"/>
  <c r="C1388" i="2"/>
  <c r="F1388" i="2"/>
  <c r="D1388" i="2"/>
  <c r="B1388" i="2"/>
  <c r="J1388" i="2" s="1"/>
  <c r="K1390" i="2"/>
  <c r="I1390" i="2"/>
  <c r="G1390" i="2"/>
  <c r="C1390" i="2"/>
  <c r="F1390" i="2"/>
  <c r="D1390" i="2"/>
  <c r="B1390" i="2"/>
  <c r="J1390" i="2" s="1"/>
  <c r="K1392" i="2"/>
  <c r="I1392" i="2"/>
  <c r="G1392" i="2"/>
  <c r="C1392" i="2"/>
  <c r="F1392" i="2"/>
  <c r="D1392" i="2"/>
  <c r="B1392" i="2"/>
  <c r="J1392" i="2" s="1"/>
  <c r="K1394" i="2"/>
  <c r="I1394" i="2"/>
  <c r="G1394" i="2"/>
  <c r="C1394" i="2"/>
  <c r="F1394" i="2"/>
  <c r="D1394" i="2"/>
  <c r="B1394" i="2"/>
  <c r="J1394" i="2" s="1"/>
  <c r="K1396" i="2"/>
  <c r="I1396" i="2"/>
  <c r="G1396" i="2"/>
  <c r="C1396" i="2"/>
  <c r="F1396" i="2"/>
  <c r="D1396" i="2"/>
  <c r="B1396" i="2"/>
  <c r="J1396" i="2" s="1"/>
  <c r="K1398" i="2"/>
  <c r="I1398" i="2"/>
  <c r="G1398" i="2"/>
  <c r="C1398" i="2"/>
  <c r="F1398" i="2"/>
  <c r="D1398" i="2"/>
  <c r="B1398" i="2"/>
  <c r="J1398" i="2" s="1"/>
  <c r="K1400" i="2"/>
  <c r="I1400" i="2"/>
  <c r="G1400" i="2"/>
  <c r="C1400" i="2"/>
  <c r="F1400" i="2"/>
  <c r="D1400" i="2"/>
  <c r="B1400" i="2"/>
  <c r="J1400" i="2" s="1"/>
  <c r="K1402" i="2"/>
  <c r="I1402" i="2"/>
  <c r="G1402" i="2"/>
  <c r="C1402" i="2"/>
  <c r="F1402" i="2"/>
  <c r="D1402" i="2"/>
  <c r="B1402" i="2"/>
  <c r="J1402" i="2" s="1"/>
  <c r="K1404" i="2"/>
  <c r="I1404" i="2"/>
  <c r="G1404" i="2"/>
  <c r="C1404" i="2"/>
  <c r="F1404" i="2"/>
  <c r="D1404" i="2"/>
  <c r="B1404" i="2"/>
  <c r="J1404" i="2" s="1"/>
  <c r="K1406" i="2"/>
  <c r="I1406" i="2"/>
  <c r="G1406" i="2"/>
  <c r="C1406" i="2"/>
  <c r="F1406" i="2"/>
  <c r="D1406" i="2"/>
  <c r="B1406" i="2"/>
  <c r="J1406" i="2" s="1"/>
  <c r="K1408" i="2"/>
  <c r="I1408" i="2"/>
  <c r="G1408" i="2"/>
  <c r="C1408" i="2"/>
  <c r="F1408" i="2"/>
  <c r="D1408" i="2"/>
  <c r="B1408" i="2"/>
  <c r="J1408" i="2" s="1"/>
  <c r="K1410" i="2"/>
  <c r="I1410" i="2"/>
  <c r="G1410" i="2"/>
  <c r="C1410" i="2"/>
  <c r="F1410" i="2"/>
  <c r="D1410" i="2"/>
  <c r="B1410" i="2"/>
  <c r="J1410" i="2" s="1"/>
  <c r="K1412" i="2"/>
  <c r="I1412" i="2"/>
  <c r="G1412" i="2"/>
  <c r="C1412" i="2"/>
  <c r="F1412" i="2"/>
  <c r="D1412" i="2"/>
  <c r="B1412" i="2"/>
  <c r="J1412" i="2" s="1"/>
  <c r="K1414" i="2"/>
  <c r="I1414" i="2"/>
  <c r="G1414" i="2"/>
  <c r="C1414" i="2"/>
  <c r="F1414" i="2"/>
  <c r="D1414" i="2"/>
  <c r="B1414" i="2"/>
  <c r="J1414" i="2" s="1"/>
  <c r="K1416" i="2"/>
  <c r="I1416" i="2"/>
  <c r="G1416" i="2"/>
  <c r="C1416" i="2"/>
  <c r="F1416" i="2"/>
  <c r="D1416" i="2"/>
  <c r="B1416" i="2"/>
  <c r="J1416" i="2" s="1"/>
  <c r="K1418" i="2"/>
  <c r="I1418" i="2"/>
  <c r="G1418" i="2"/>
  <c r="C1418" i="2"/>
  <c r="F1418" i="2"/>
  <c r="D1418" i="2"/>
  <c r="B1418" i="2"/>
  <c r="J1418" i="2" s="1"/>
  <c r="K1420" i="2"/>
  <c r="I1420" i="2"/>
  <c r="G1420" i="2"/>
  <c r="C1420" i="2"/>
  <c r="F1420" i="2"/>
  <c r="D1420" i="2"/>
  <c r="B1420" i="2"/>
  <c r="J1420" i="2" s="1"/>
  <c r="K1422" i="2"/>
  <c r="I1422" i="2"/>
  <c r="G1422" i="2"/>
  <c r="C1422" i="2"/>
  <c r="F1422" i="2"/>
  <c r="D1422" i="2"/>
  <c r="B1422" i="2"/>
  <c r="J1422" i="2" s="1"/>
  <c r="K1424" i="2"/>
  <c r="I1424" i="2"/>
  <c r="G1424" i="2"/>
  <c r="C1424" i="2"/>
  <c r="F1424" i="2"/>
  <c r="D1424" i="2"/>
  <c r="B1424" i="2"/>
  <c r="J1424" i="2" s="1"/>
  <c r="K1426" i="2"/>
  <c r="I1426" i="2"/>
  <c r="G1426" i="2"/>
  <c r="C1426" i="2"/>
  <c r="F1426" i="2"/>
  <c r="D1426" i="2"/>
  <c r="B1426" i="2"/>
  <c r="J1426" i="2" s="1"/>
  <c r="K1428" i="2"/>
  <c r="I1428" i="2"/>
  <c r="G1428" i="2"/>
  <c r="C1428" i="2"/>
  <c r="F1428" i="2"/>
  <c r="D1428" i="2"/>
  <c r="B1428" i="2"/>
  <c r="J1428" i="2" s="1"/>
  <c r="K1430" i="2"/>
  <c r="I1430" i="2"/>
  <c r="G1430" i="2"/>
  <c r="C1430" i="2"/>
  <c r="F1430" i="2"/>
  <c r="D1430" i="2"/>
  <c r="B1430" i="2"/>
  <c r="J1430" i="2" s="1"/>
  <c r="K1432" i="2"/>
  <c r="I1432" i="2"/>
  <c r="G1432" i="2"/>
  <c r="C1432" i="2"/>
  <c r="F1432" i="2"/>
  <c r="D1432" i="2"/>
  <c r="B1432" i="2"/>
  <c r="J1432" i="2" s="1"/>
  <c r="K1434" i="2"/>
  <c r="I1434" i="2"/>
  <c r="G1434" i="2"/>
  <c r="C1434" i="2"/>
  <c r="F1434" i="2"/>
  <c r="D1434" i="2"/>
  <c r="B1434" i="2"/>
  <c r="J1434" i="2" s="1"/>
  <c r="K1436" i="2"/>
  <c r="I1436" i="2"/>
  <c r="G1436" i="2"/>
  <c r="C1436" i="2"/>
  <c r="F1436" i="2"/>
  <c r="D1436" i="2"/>
  <c r="B1436" i="2"/>
  <c r="J1436" i="2" s="1"/>
  <c r="K1438" i="2"/>
  <c r="I1438" i="2"/>
  <c r="G1438" i="2"/>
  <c r="C1438" i="2"/>
  <c r="F1438" i="2"/>
  <c r="D1438" i="2"/>
  <c r="B1438" i="2"/>
  <c r="J1438" i="2" s="1"/>
  <c r="K1440" i="2"/>
  <c r="I1440" i="2"/>
  <c r="G1440" i="2"/>
  <c r="C1440" i="2"/>
  <c r="F1440" i="2"/>
  <c r="D1440" i="2"/>
  <c r="B1440" i="2"/>
  <c r="J1440" i="2" s="1"/>
  <c r="K1442" i="2"/>
  <c r="I1442" i="2"/>
  <c r="G1442" i="2"/>
  <c r="C1442" i="2"/>
  <c r="F1442" i="2"/>
  <c r="D1442" i="2"/>
  <c r="B1442" i="2"/>
  <c r="J1442" i="2" s="1"/>
  <c r="K1444" i="2"/>
  <c r="I1444" i="2"/>
  <c r="G1444" i="2"/>
  <c r="C1444" i="2"/>
  <c r="F1444" i="2"/>
  <c r="D1444" i="2"/>
  <c r="B1444" i="2"/>
  <c r="J1444" i="2" s="1"/>
  <c r="K1446" i="2"/>
  <c r="I1446" i="2"/>
  <c r="G1446" i="2"/>
  <c r="C1446" i="2"/>
  <c r="F1446" i="2"/>
  <c r="D1446" i="2"/>
  <c r="B1446" i="2"/>
  <c r="J1446" i="2" s="1"/>
  <c r="K1448" i="2"/>
  <c r="I1448" i="2"/>
  <c r="G1448" i="2"/>
  <c r="C1448" i="2"/>
  <c r="F1448" i="2"/>
  <c r="D1448" i="2"/>
  <c r="B1448" i="2"/>
  <c r="J1448" i="2" s="1"/>
  <c r="K1450" i="2"/>
  <c r="I1450" i="2"/>
  <c r="G1450" i="2"/>
  <c r="C1450" i="2"/>
  <c r="F1450" i="2"/>
  <c r="D1450" i="2"/>
  <c r="B1450" i="2"/>
  <c r="J1450" i="2" s="1"/>
  <c r="K1452" i="2"/>
  <c r="I1452" i="2"/>
  <c r="G1452" i="2"/>
  <c r="C1452" i="2"/>
  <c r="F1452" i="2"/>
  <c r="D1452" i="2"/>
  <c r="B1452" i="2"/>
  <c r="J1452" i="2" s="1"/>
  <c r="K1454" i="2"/>
  <c r="I1454" i="2"/>
  <c r="G1454" i="2"/>
  <c r="C1454" i="2"/>
  <c r="F1454" i="2"/>
  <c r="D1454" i="2"/>
  <c r="B1454" i="2"/>
  <c r="J1454" i="2" s="1"/>
  <c r="K1456" i="2"/>
  <c r="I1456" i="2"/>
  <c r="G1456" i="2"/>
  <c r="C1456" i="2"/>
  <c r="F1456" i="2"/>
  <c r="D1456" i="2"/>
  <c r="B1456" i="2"/>
  <c r="J1456" i="2" s="1"/>
  <c r="K1458" i="2"/>
  <c r="I1458" i="2"/>
  <c r="G1458" i="2"/>
  <c r="C1458" i="2"/>
  <c r="F1458" i="2"/>
  <c r="D1458" i="2"/>
  <c r="B1458" i="2"/>
  <c r="J1458" i="2" s="1"/>
  <c r="K1460" i="2"/>
  <c r="I1460" i="2"/>
  <c r="G1460" i="2"/>
  <c r="C1460" i="2"/>
  <c r="F1460" i="2"/>
  <c r="D1460" i="2"/>
  <c r="B1460" i="2"/>
  <c r="J1460" i="2" s="1"/>
  <c r="K1462" i="2"/>
  <c r="I1462" i="2"/>
  <c r="G1462" i="2"/>
  <c r="C1462" i="2"/>
  <c r="F1462" i="2"/>
  <c r="D1462" i="2"/>
  <c r="B1462" i="2"/>
  <c r="J1462" i="2" s="1"/>
  <c r="K1464" i="2"/>
  <c r="I1464" i="2"/>
  <c r="G1464" i="2"/>
  <c r="C1464" i="2"/>
  <c r="F1464" i="2"/>
  <c r="D1464" i="2"/>
  <c r="B1464" i="2"/>
  <c r="J1464" i="2" s="1"/>
  <c r="K1466" i="2"/>
  <c r="I1466" i="2"/>
  <c r="G1466" i="2"/>
  <c r="C1466" i="2"/>
  <c r="F1466" i="2"/>
  <c r="D1466" i="2"/>
  <c r="B1466" i="2"/>
  <c r="J1466" i="2" s="1"/>
  <c r="K1468" i="2"/>
  <c r="I1468" i="2"/>
  <c r="G1468" i="2"/>
  <c r="C1468" i="2"/>
  <c r="F1468" i="2"/>
  <c r="D1468" i="2"/>
  <c r="B1468" i="2"/>
  <c r="J1468" i="2" s="1"/>
  <c r="K1470" i="2"/>
  <c r="I1470" i="2"/>
  <c r="G1470" i="2"/>
  <c r="C1470" i="2"/>
  <c r="F1470" i="2"/>
  <c r="D1470" i="2"/>
  <c r="B1470" i="2"/>
  <c r="J1470" i="2" s="1"/>
  <c r="K1472" i="2"/>
  <c r="I1472" i="2"/>
  <c r="G1472" i="2"/>
  <c r="C1472" i="2"/>
  <c r="F1472" i="2"/>
  <c r="D1472" i="2"/>
  <c r="B1472" i="2"/>
  <c r="J1472" i="2" s="1"/>
  <c r="K1474" i="2"/>
  <c r="I1474" i="2"/>
  <c r="G1474" i="2"/>
  <c r="C1474" i="2"/>
  <c r="F1474" i="2"/>
  <c r="D1474" i="2"/>
  <c r="B1474" i="2"/>
  <c r="J1474" i="2" s="1"/>
  <c r="K1476" i="2"/>
  <c r="I1476" i="2"/>
  <c r="G1476" i="2"/>
  <c r="C1476" i="2"/>
  <c r="F1476" i="2"/>
  <c r="D1476" i="2"/>
  <c r="B1476" i="2"/>
  <c r="J1476" i="2" s="1"/>
  <c r="K1478" i="2"/>
  <c r="I1478" i="2"/>
  <c r="G1478" i="2"/>
  <c r="C1478" i="2"/>
  <c r="F1478" i="2"/>
  <c r="D1478" i="2"/>
  <c r="B1478" i="2"/>
  <c r="J1478" i="2" s="1"/>
  <c r="K1480" i="2"/>
  <c r="I1480" i="2"/>
  <c r="G1480" i="2"/>
  <c r="C1480" i="2"/>
  <c r="F1480" i="2"/>
  <c r="D1480" i="2"/>
  <c r="B1480" i="2"/>
  <c r="J1480" i="2" s="1"/>
  <c r="K1482" i="2"/>
  <c r="I1482" i="2"/>
  <c r="G1482" i="2"/>
  <c r="C1482" i="2"/>
  <c r="F1482" i="2"/>
  <c r="D1482" i="2"/>
  <c r="B1482" i="2"/>
  <c r="J1482" i="2" s="1"/>
  <c r="K1484" i="2"/>
  <c r="I1484" i="2"/>
  <c r="G1484" i="2"/>
  <c r="C1484" i="2"/>
  <c r="F1484" i="2"/>
  <c r="D1484" i="2"/>
  <c r="B1484" i="2"/>
  <c r="J1484" i="2" s="1"/>
  <c r="K1486" i="2"/>
  <c r="I1486" i="2"/>
  <c r="G1486" i="2"/>
  <c r="C1486" i="2"/>
  <c r="F1486" i="2"/>
  <c r="D1486" i="2"/>
  <c r="B1486" i="2"/>
  <c r="J1486" i="2" s="1"/>
  <c r="K1488" i="2"/>
  <c r="I1488" i="2"/>
  <c r="G1488" i="2"/>
  <c r="C1488" i="2"/>
  <c r="F1488" i="2"/>
  <c r="D1488" i="2"/>
  <c r="B1488" i="2"/>
  <c r="J1488" i="2" s="1"/>
  <c r="K1490" i="2"/>
  <c r="I1490" i="2"/>
  <c r="G1490" i="2"/>
  <c r="C1490" i="2"/>
  <c r="F1490" i="2"/>
  <c r="D1490" i="2"/>
  <c r="B1490" i="2"/>
  <c r="J1490" i="2" s="1"/>
  <c r="K1492" i="2"/>
  <c r="I1492" i="2"/>
  <c r="G1492" i="2"/>
  <c r="C1492" i="2"/>
  <c r="F1492" i="2"/>
  <c r="D1492" i="2"/>
  <c r="B1492" i="2"/>
  <c r="J1492" i="2" s="1"/>
  <c r="K1494" i="2"/>
  <c r="I1494" i="2"/>
  <c r="G1494" i="2"/>
  <c r="C1494" i="2"/>
  <c r="F1494" i="2"/>
  <c r="D1494" i="2"/>
  <c r="B1494" i="2"/>
  <c r="J1494" i="2" s="1"/>
  <c r="K1496" i="2"/>
  <c r="I1496" i="2"/>
  <c r="G1496" i="2"/>
  <c r="C1496" i="2"/>
  <c r="F1496" i="2"/>
  <c r="D1496" i="2"/>
  <c r="B1496" i="2"/>
  <c r="J1496" i="2" s="1"/>
  <c r="K1498" i="2"/>
  <c r="I1498" i="2"/>
  <c r="G1498" i="2"/>
  <c r="C1498" i="2"/>
  <c r="F1498" i="2"/>
  <c r="D1498" i="2"/>
  <c r="B1498" i="2"/>
  <c r="J1498" i="2" s="1"/>
  <c r="K1500" i="2"/>
  <c r="I1500" i="2"/>
  <c r="G1500" i="2"/>
  <c r="C1500" i="2"/>
  <c r="F1500" i="2"/>
  <c r="D1500" i="2"/>
  <c r="B1500" i="2"/>
  <c r="J1500" i="2" s="1"/>
  <c r="K1502" i="2"/>
  <c r="I1502" i="2"/>
  <c r="G1502" i="2"/>
  <c r="C1502" i="2"/>
  <c r="F1502" i="2"/>
  <c r="D1502" i="2"/>
  <c r="B1502" i="2"/>
  <c r="J1502" i="2" s="1"/>
  <c r="K1504" i="2"/>
  <c r="I1504" i="2"/>
  <c r="G1504" i="2"/>
  <c r="C1504" i="2"/>
  <c r="F1504" i="2"/>
  <c r="D1504" i="2"/>
  <c r="B1504" i="2"/>
  <c r="J1504" i="2" s="1"/>
  <c r="K1506" i="2"/>
  <c r="I1506" i="2"/>
  <c r="G1506" i="2"/>
  <c r="C1506" i="2"/>
  <c r="F1506" i="2"/>
  <c r="D1506" i="2"/>
  <c r="B1506" i="2"/>
  <c r="J1506" i="2" s="1"/>
  <c r="K1508" i="2"/>
  <c r="I1508" i="2"/>
  <c r="G1508" i="2"/>
  <c r="C1508" i="2"/>
  <c r="F1508" i="2"/>
  <c r="D1508" i="2"/>
  <c r="B1508" i="2"/>
  <c r="J1508" i="2" s="1"/>
  <c r="K1510" i="2"/>
  <c r="I1510" i="2"/>
  <c r="G1510" i="2"/>
  <c r="C1510" i="2"/>
  <c r="F1510" i="2"/>
  <c r="D1510" i="2"/>
  <c r="B1510" i="2"/>
  <c r="J1510" i="2" s="1"/>
  <c r="K1512" i="2"/>
  <c r="I1512" i="2"/>
  <c r="G1512" i="2"/>
  <c r="C1512" i="2"/>
  <c r="F1512" i="2"/>
  <c r="D1512" i="2"/>
  <c r="B1512" i="2"/>
  <c r="J1512" i="2" s="1"/>
  <c r="K1514" i="2"/>
  <c r="I1514" i="2"/>
  <c r="G1514" i="2"/>
  <c r="C1514" i="2"/>
  <c r="F1514" i="2"/>
  <c r="D1514" i="2"/>
  <c r="B1514" i="2"/>
  <c r="J1514" i="2" s="1"/>
  <c r="K1516" i="2"/>
  <c r="I1516" i="2"/>
  <c r="G1516" i="2"/>
  <c r="C1516" i="2"/>
  <c r="F1516" i="2"/>
  <c r="D1516" i="2"/>
  <c r="B1516" i="2"/>
  <c r="J1516" i="2" s="1"/>
  <c r="K1518" i="2"/>
  <c r="I1518" i="2"/>
  <c r="G1518" i="2"/>
  <c r="C1518" i="2"/>
  <c r="F1518" i="2"/>
  <c r="D1518" i="2"/>
  <c r="B1518" i="2"/>
  <c r="J1518" i="2" s="1"/>
  <c r="K1520" i="2"/>
  <c r="I1520" i="2"/>
  <c r="G1520" i="2"/>
  <c r="C1520" i="2"/>
  <c r="F1520" i="2"/>
  <c r="D1520" i="2"/>
  <c r="B1520" i="2"/>
  <c r="J1520" i="2" s="1"/>
  <c r="K1522" i="2"/>
  <c r="I1522" i="2"/>
  <c r="G1522" i="2"/>
  <c r="C1522" i="2"/>
  <c r="F1522" i="2"/>
  <c r="D1522" i="2"/>
  <c r="B1522" i="2"/>
  <c r="J1522" i="2" s="1"/>
  <c r="K1524" i="2"/>
  <c r="I1524" i="2"/>
  <c r="G1524" i="2"/>
  <c r="C1524" i="2"/>
  <c r="F1524" i="2"/>
  <c r="D1524" i="2"/>
  <c r="B1524" i="2"/>
  <c r="J1524" i="2" s="1"/>
  <c r="K1526" i="2"/>
  <c r="I1526" i="2"/>
  <c r="G1526" i="2"/>
  <c r="C1526" i="2"/>
  <c r="F1526" i="2"/>
  <c r="D1526" i="2"/>
  <c r="B1526" i="2"/>
  <c r="J1526" i="2" s="1"/>
  <c r="K1528" i="2"/>
  <c r="I1528" i="2"/>
  <c r="G1528" i="2"/>
  <c r="C1528" i="2"/>
  <c r="F1528" i="2"/>
  <c r="D1528" i="2"/>
  <c r="B1528" i="2"/>
  <c r="J1528" i="2" s="1"/>
  <c r="K1530" i="2"/>
  <c r="I1530" i="2"/>
  <c r="G1530" i="2"/>
  <c r="C1530" i="2"/>
  <c r="F1530" i="2"/>
  <c r="D1530" i="2"/>
  <c r="B1530" i="2"/>
  <c r="J1530" i="2" s="1"/>
  <c r="K1532" i="2"/>
  <c r="I1532" i="2"/>
  <c r="G1532" i="2"/>
  <c r="C1532" i="2"/>
  <c r="F1532" i="2"/>
  <c r="D1532" i="2"/>
  <c r="B1532" i="2"/>
  <c r="J1532" i="2" s="1"/>
  <c r="K1534" i="2"/>
  <c r="I1534" i="2"/>
  <c r="G1534" i="2"/>
  <c r="C1534" i="2"/>
  <c r="F1534" i="2"/>
  <c r="D1534" i="2"/>
  <c r="B1534" i="2"/>
  <c r="J1534" i="2" s="1"/>
  <c r="K1536" i="2"/>
  <c r="I1536" i="2"/>
  <c r="G1536" i="2"/>
  <c r="C1536" i="2"/>
  <c r="F1536" i="2"/>
  <c r="D1536" i="2"/>
  <c r="B1536" i="2"/>
  <c r="J1536" i="2" s="1"/>
  <c r="K1538" i="2"/>
  <c r="I1538" i="2"/>
  <c r="G1538" i="2"/>
  <c r="C1538" i="2"/>
  <c r="F1538" i="2"/>
  <c r="D1538" i="2"/>
  <c r="B1538" i="2"/>
  <c r="J1538" i="2" s="1"/>
  <c r="K1540" i="2"/>
  <c r="I1540" i="2"/>
  <c r="G1540" i="2"/>
  <c r="C1540" i="2"/>
  <c r="F1540" i="2"/>
  <c r="D1540" i="2"/>
  <c r="B1540" i="2"/>
  <c r="J1540" i="2" s="1"/>
  <c r="K1542" i="2"/>
  <c r="I1542" i="2"/>
  <c r="G1542" i="2"/>
  <c r="C1542" i="2"/>
  <c r="F1542" i="2"/>
  <c r="D1542" i="2"/>
  <c r="B1542" i="2"/>
  <c r="J1542" i="2" s="1"/>
  <c r="K1544" i="2"/>
  <c r="I1544" i="2"/>
  <c r="G1544" i="2"/>
  <c r="C1544" i="2"/>
  <c r="F1544" i="2"/>
  <c r="D1544" i="2"/>
  <c r="B1544" i="2"/>
  <c r="J1544" i="2" s="1"/>
  <c r="K1546" i="2"/>
  <c r="I1546" i="2"/>
  <c r="G1546" i="2"/>
  <c r="C1546" i="2"/>
  <c r="F1546" i="2"/>
  <c r="D1546" i="2"/>
  <c r="B1546" i="2"/>
  <c r="J1546" i="2" s="1"/>
  <c r="K1548" i="2"/>
  <c r="I1548" i="2"/>
  <c r="G1548" i="2"/>
  <c r="C1548" i="2"/>
  <c r="F1548" i="2"/>
  <c r="D1548" i="2"/>
  <c r="B1548" i="2"/>
  <c r="J1548" i="2" s="1"/>
  <c r="K1550" i="2"/>
  <c r="I1550" i="2"/>
  <c r="G1550" i="2"/>
  <c r="C1550" i="2"/>
  <c r="F1550" i="2"/>
  <c r="D1550" i="2"/>
  <c r="B1550" i="2"/>
  <c r="J1550" i="2" s="1"/>
  <c r="K1552" i="2"/>
  <c r="I1552" i="2"/>
  <c r="G1552" i="2"/>
  <c r="C1552" i="2"/>
  <c r="F1552" i="2"/>
  <c r="D1552" i="2"/>
  <c r="B1552" i="2"/>
  <c r="J1552" i="2" s="1"/>
  <c r="K1554" i="2"/>
  <c r="I1554" i="2"/>
  <c r="G1554" i="2"/>
  <c r="C1554" i="2"/>
  <c r="F1554" i="2"/>
  <c r="D1554" i="2"/>
  <c r="B1554" i="2"/>
  <c r="J1554" i="2" s="1"/>
  <c r="K1556" i="2"/>
  <c r="I1556" i="2"/>
  <c r="G1556" i="2"/>
  <c r="C1556" i="2"/>
  <c r="F1556" i="2"/>
  <c r="D1556" i="2"/>
  <c r="B1556" i="2"/>
  <c r="J1556" i="2" s="1"/>
  <c r="K1558" i="2"/>
  <c r="I1558" i="2"/>
  <c r="G1558" i="2"/>
  <c r="C1558" i="2"/>
  <c r="F1558" i="2"/>
  <c r="D1558" i="2"/>
  <c r="B1558" i="2"/>
  <c r="J1558" i="2" s="1"/>
  <c r="K1560" i="2"/>
  <c r="I1560" i="2"/>
  <c r="G1560" i="2"/>
  <c r="C1560" i="2"/>
  <c r="F1560" i="2"/>
  <c r="D1560" i="2"/>
  <c r="B1560" i="2"/>
  <c r="J1560" i="2" s="1"/>
  <c r="K1562" i="2"/>
  <c r="I1562" i="2"/>
  <c r="G1562" i="2"/>
  <c r="C1562" i="2"/>
  <c r="F1562" i="2"/>
  <c r="D1562" i="2"/>
  <c r="B1562" i="2"/>
  <c r="J1562" i="2" s="1"/>
  <c r="K1564" i="2"/>
  <c r="I1564" i="2"/>
  <c r="G1564" i="2"/>
  <c r="C1564" i="2"/>
  <c r="F1564" i="2"/>
  <c r="D1564" i="2"/>
  <c r="B1564" i="2"/>
  <c r="J1564" i="2" s="1"/>
  <c r="K1566" i="2"/>
  <c r="I1566" i="2"/>
  <c r="G1566" i="2"/>
  <c r="C1566" i="2"/>
  <c r="F1566" i="2"/>
  <c r="D1566" i="2"/>
  <c r="B1566" i="2"/>
  <c r="J1566" i="2" s="1"/>
  <c r="K1568" i="2"/>
  <c r="I1568" i="2"/>
  <c r="G1568" i="2"/>
  <c r="C1568" i="2"/>
  <c r="F1568" i="2"/>
  <c r="D1568" i="2"/>
  <c r="B1568" i="2"/>
  <c r="J1568" i="2" s="1"/>
  <c r="K1570" i="2"/>
  <c r="I1570" i="2"/>
  <c r="G1570" i="2"/>
  <c r="C1570" i="2"/>
  <c r="F1570" i="2"/>
  <c r="D1570" i="2"/>
  <c r="B1570" i="2"/>
  <c r="J1570" i="2" s="1"/>
  <c r="K1572" i="2"/>
  <c r="I1572" i="2"/>
  <c r="G1572" i="2"/>
  <c r="C1572" i="2"/>
  <c r="F1572" i="2"/>
  <c r="D1572" i="2"/>
  <c r="B1572" i="2"/>
  <c r="J1572" i="2" s="1"/>
  <c r="K1574" i="2"/>
  <c r="I1574" i="2"/>
  <c r="G1574" i="2"/>
  <c r="C1574" i="2"/>
  <c r="F1574" i="2"/>
  <c r="D1574" i="2"/>
  <c r="B1574" i="2"/>
  <c r="J1574" i="2" s="1"/>
  <c r="K1576" i="2"/>
  <c r="I1576" i="2"/>
  <c r="G1576" i="2"/>
  <c r="C1576" i="2"/>
  <c r="F1576" i="2"/>
  <c r="D1576" i="2"/>
  <c r="B1576" i="2"/>
  <c r="J1576" i="2" s="1"/>
  <c r="K1578" i="2"/>
  <c r="I1578" i="2"/>
  <c r="G1578" i="2"/>
  <c r="C1578" i="2"/>
  <c r="F1578" i="2"/>
  <c r="D1578" i="2"/>
  <c r="B1578" i="2"/>
  <c r="J1578" i="2" s="1"/>
  <c r="K1580" i="2"/>
  <c r="I1580" i="2"/>
  <c r="G1580" i="2"/>
  <c r="C1580" i="2"/>
  <c r="F1580" i="2"/>
  <c r="D1580" i="2"/>
  <c r="B1580" i="2"/>
  <c r="J1580" i="2" s="1"/>
  <c r="K1582" i="2"/>
  <c r="I1582" i="2"/>
  <c r="G1582" i="2"/>
  <c r="C1582" i="2"/>
  <c r="F1582" i="2"/>
  <c r="D1582" i="2"/>
  <c r="B1582" i="2"/>
  <c r="J1582" i="2" s="1"/>
  <c r="K1584" i="2"/>
  <c r="I1584" i="2"/>
  <c r="G1584" i="2"/>
  <c r="C1584" i="2"/>
  <c r="F1584" i="2"/>
  <c r="D1584" i="2"/>
  <c r="B1584" i="2"/>
  <c r="J1584" i="2" s="1"/>
  <c r="K1586" i="2"/>
  <c r="I1586" i="2"/>
  <c r="G1586" i="2"/>
  <c r="C1586" i="2"/>
  <c r="F1586" i="2"/>
  <c r="D1586" i="2"/>
  <c r="B1586" i="2"/>
  <c r="J1586" i="2" s="1"/>
  <c r="K1588" i="2"/>
  <c r="I1588" i="2"/>
  <c r="G1588" i="2"/>
  <c r="C1588" i="2"/>
  <c r="F1588" i="2"/>
  <c r="D1588" i="2"/>
  <c r="B1588" i="2"/>
  <c r="J1588" i="2" s="1"/>
  <c r="K1590" i="2"/>
  <c r="I1590" i="2"/>
  <c r="G1590" i="2"/>
  <c r="C1590" i="2"/>
  <c r="F1590" i="2"/>
  <c r="D1590" i="2"/>
  <c r="B1590" i="2"/>
  <c r="J1590" i="2" s="1"/>
  <c r="K1592" i="2"/>
  <c r="I1592" i="2"/>
  <c r="G1592" i="2"/>
  <c r="C1592" i="2"/>
  <c r="F1592" i="2"/>
  <c r="D1592" i="2"/>
  <c r="B1592" i="2"/>
  <c r="J1592" i="2" s="1"/>
  <c r="K1594" i="2"/>
  <c r="I1594" i="2"/>
  <c r="G1594" i="2"/>
  <c r="C1594" i="2"/>
  <c r="F1594" i="2"/>
  <c r="D1594" i="2"/>
  <c r="B1594" i="2"/>
  <c r="J1594" i="2" s="1"/>
  <c r="K1596" i="2"/>
  <c r="I1596" i="2"/>
  <c r="G1596" i="2"/>
  <c r="C1596" i="2"/>
  <c r="F1596" i="2"/>
  <c r="D1596" i="2"/>
  <c r="B1596" i="2"/>
  <c r="J1596" i="2" s="1"/>
  <c r="K1598" i="2"/>
  <c r="I1598" i="2"/>
  <c r="G1598" i="2"/>
  <c r="C1598" i="2"/>
  <c r="F1598" i="2"/>
  <c r="D1598" i="2"/>
  <c r="B1598" i="2"/>
  <c r="J1598" i="2" s="1"/>
  <c r="K1600" i="2"/>
  <c r="I1600" i="2"/>
  <c r="G1600" i="2"/>
  <c r="C1600" i="2"/>
  <c r="F1600" i="2"/>
  <c r="D1600" i="2"/>
  <c r="B1600" i="2"/>
  <c r="J1600" i="2" s="1"/>
  <c r="K1602" i="2"/>
  <c r="I1602" i="2"/>
  <c r="G1602" i="2"/>
  <c r="C1602" i="2"/>
  <c r="F1602" i="2"/>
  <c r="D1602" i="2"/>
  <c r="B1602" i="2"/>
  <c r="J1602" i="2" s="1"/>
  <c r="K1604" i="2"/>
  <c r="I1604" i="2"/>
  <c r="G1604" i="2"/>
  <c r="C1604" i="2"/>
  <c r="F1604" i="2"/>
  <c r="D1604" i="2"/>
  <c r="B1604" i="2"/>
  <c r="J1604" i="2" s="1"/>
  <c r="K1606" i="2"/>
  <c r="I1606" i="2"/>
  <c r="G1606" i="2"/>
  <c r="C1606" i="2"/>
  <c r="F1606" i="2"/>
  <c r="D1606" i="2"/>
  <c r="B1606" i="2"/>
  <c r="J1606" i="2" s="1"/>
  <c r="K1608" i="2"/>
  <c r="I1608" i="2"/>
  <c r="G1608" i="2"/>
  <c r="C1608" i="2"/>
  <c r="F1608" i="2"/>
  <c r="D1608" i="2"/>
  <c r="B1608" i="2"/>
  <c r="J1608" i="2" s="1"/>
  <c r="K1610" i="2"/>
  <c r="I1610" i="2"/>
  <c r="G1610" i="2"/>
  <c r="C1610" i="2"/>
  <c r="F1610" i="2"/>
  <c r="D1610" i="2"/>
  <c r="B1610" i="2"/>
  <c r="J1610" i="2" s="1"/>
  <c r="K1612" i="2"/>
  <c r="I1612" i="2"/>
  <c r="G1612" i="2"/>
  <c r="C1612" i="2"/>
  <c r="F1612" i="2"/>
  <c r="D1612" i="2"/>
  <c r="B1612" i="2"/>
  <c r="J1612" i="2" s="1"/>
  <c r="K1614" i="2"/>
  <c r="I1614" i="2"/>
  <c r="G1614" i="2"/>
  <c r="C1614" i="2"/>
  <c r="F1614" i="2"/>
  <c r="D1614" i="2"/>
  <c r="B1614" i="2"/>
  <c r="J1614" i="2" s="1"/>
  <c r="K1616" i="2"/>
  <c r="I1616" i="2"/>
  <c r="G1616" i="2"/>
  <c r="C1616" i="2"/>
  <c r="F1616" i="2"/>
  <c r="D1616" i="2"/>
  <c r="B1616" i="2"/>
  <c r="J1616" i="2" s="1"/>
  <c r="K1618" i="2"/>
  <c r="I1618" i="2"/>
  <c r="G1618" i="2"/>
  <c r="C1618" i="2"/>
  <c r="F1618" i="2"/>
  <c r="D1618" i="2"/>
  <c r="B1618" i="2"/>
  <c r="J1618" i="2" s="1"/>
  <c r="K1620" i="2"/>
  <c r="I1620" i="2"/>
  <c r="G1620" i="2"/>
  <c r="C1620" i="2"/>
  <c r="F1620" i="2"/>
  <c r="D1620" i="2"/>
  <c r="B1620" i="2"/>
  <c r="J1620" i="2" s="1"/>
  <c r="K1622" i="2"/>
  <c r="I1622" i="2"/>
  <c r="G1622" i="2"/>
  <c r="C1622" i="2"/>
  <c r="F1622" i="2"/>
  <c r="D1622" i="2"/>
  <c r="B1622" i="2"/>
  <c r="J1622" i="2" s="1"/>
  <c r="K1624" i="2"/>
  <c r="I1624" i="2"/>
  <c r="G1624" i="2"/>
  <c r="C1624" i="2"/>
  <c r="F1624" i="2"/>
  <c r="D1624" i="2"/>
  <c r="B1624" i="2"/>
  <c r="J1624" i="2" s="1"/>
  <c r="K1626" i="2"/>
  <c r="I1626" i="2"/>
  <c r="G1626" i="2"/>
  <c r="C1626" i="2"/>
  <c r="F1626" i="2"/>
  <c r="D1626" i="2"/>
  <c r="B1626" i="2"/>
  <c r="J1626" i="2" s="1"/>
  <c r="K1628" i="2"/>
  <c r="I1628" i="2"/>
  <c r="G1628" i="2"/>
  <c r="C1628" i="2"/>
  <c r="F1628" i="2"/>
  <c r="D1628" i="2"/>
  <c r="B1628" i="2"/>
  <c r="J1628" i="2" s="1"/>
  <c r="K1630" i="2"/>
  <c r="I1630" i="2"/>
  <c r="G1630" i="2"/>
  <c r="C1630" i="2"/>
  <c r="F1630" i="2"/>
  <c r="D1630" i="2"/>
  <c r="B1630" i="2"/>
  <c r="J1630" i="2" s="1"/>
  <c r="K1632" i="2"/>
  <c r="I1632" i="2"/>
  <c r="G1632" i="2"/>
  <c r="C1632" i="2"/>
  <c r="F1632" i="2"/>
  <c r="D1632" i="2"/>
  <c r="B1632" i="2"/>
  <c r="J1632" i="2" s="1"/>
  <c r="K1634" i="2"/>
  <c r="I1634" i="2"/>
  <c r="G1634" i="2"/>
  <c r="C1634" i="2"/>
  <c r="F1634" i="2"/>
  <c r="D1634" i="2"/>
  <c r="B1634" i="2"/>
  <c r="J1634" i="2" s="1"/>
  <c r="K1636" i="2"/>
  <c r="I1636" i="2"/>
  <c r="G1636" i="2"/>
  <c r="C1636" i="2"/>
  <c r="F1636" i="2"/>
  <c r="D1636" i="2"/>
  <c r="B1636" i="2"/>
  <c r="J1636" i="2" s="1"/>
  <c r="K1638" i="2"/>
  <c r="I1638" i="2"/>
  <c r="G1638" i="2"/>
  <c r="C1638" i="2"/>
  <c r="F1638" i="2"/>
  <c r="D1638" i="2"/>
  <c r="B1638" i="2"/>
  <c r="J1638" i="2" s="1"/>
  <c r="K1640" i="2"/>
  <c r="I1640" i="2"/>
  <c r="G1640" i="2"/>
  <c r="C1640" i="2"/>
  <c r="F1640" i="2"/>
  <c r="D1640" i="2"/>
  <c r="B1640" i="2"/>
  <c r="J1640" i="2" s="1"/>
  <c r="K1642" i="2"/>
  <c r="I1642" i="2"/>
  <c r="G1642" i="2"/>
  <c r="C1642" i="2"/>
  <c r="F1642" i="2"/>
  <c r="D1642" i="2"/>
  <c r="B1642" i="2"/>
  <c r="J1642" i="2" s="1"/>
  <c r="K1644" i="2"/>
  <c r="I1644" i="2"/>
  <c r="G1644" i="2"/>
  <c r="C1644" i="2"/>
  <c r="F1644" i="2"/>
  <c r="D1644" i="2"/>
  <c r="B1644" i="2"/>
  <c r="J1644" i="2" s="1"/>
  <c r="K1646" i="2"/>
  <c r="I1646" i="2"/>
  <c r="G1646" i="2"/>
  <c r="C1646" i="2"/>
  <c r="F1646" i="2"/>
  <c r="D1646" i="2"/>
  <c r="B1646" i="2"/>
  <c r="J1646" i="2" s="1"/>
  <c r="K1648" i="2"/>
  <c r="I1648" i="2"/>
  <c r="G1648" i="2"/>
  <c r="C1648" i="2"/>
  <c r="F1648" i="2"/>
  <c r="D1648" i="2"/>
  <c r="B1648" i="2"/>
  <c r="J1648" i="2" s="1"/>
  <c r="K1650" i="2"/>
  <c r="I1650" i="2"/>
  <c r="G1650" i="2"/>
  <c r="C1650" i="2"/>
  <c r="F1650" i="2"/>
  <c r="D1650" i="2"/>
  <c r="B1650" i="2"/>
  <c r="J1650" i="2" s="1"/>
  <c r="K1652" i="2"/>
  <c r="I1652" i="2"/>
  <c r="G1652" i="2"/>
  <c r="C1652" i="2"/>
  <c r="F1652" i="2"/>
  <c r="D1652" i="2"/>
  <c r="B1652" i="2"/>
  <c r="J1652" i="2" s="1"/>
  <c r="K1654" i="2"/>
  <c r="I1654" i="2"/>
  <c r="G1654" i="2"/>
  <c r="C1654" i="2"/>
  <c r="F1654" i="2"/>
  <c r="D1654" i="2"/>
  <c r="B1654" i="2"/>
  <c r="J1654" i="2" s="1"/>
  <c r="K1656" i="2"/>
  <c r="I1656" i="2"/>
  <c r="G1656" i="2"/>
  <c r="C1656" i="2"/>
  <c r="F1656" i="2"/>
  <c r="D1656" i="2"/>
  <c r="B1656" i="2"/>
  <c r="J1656" i="2" s="1"/>
  <c r="K1658" i="2"/>
  <c r="I1658" i="2"/>
  <c r="G1658" i="2"/>
  <c r="C1658" i="2"/>
  <c r="F1658" i="2"/>
  <c r="D1658" i="2"/>
  <c r="B1658" i="2"/>
  <c r="J1658" i="2" s="1"/>
  <c r="K1660" i="2"/>
  <c r="I1660" i="2"/>
  <c r="G1660" i="2"/>
  <c r="C1660" i="2"/>
  <c r="F1660" i="2"/>
  <c r="D1660" i="2"/>
  <c r="B1660" i="2"/>
  <c r="J1660" i="2" s="1"/>
  <c r="K1662" i="2"/>
  <c r="I1662" i="2"/>
  <c r="G1662" i="2"/>
  <c r="C1662" i="2"/>
  <c r="F1662" i="2"/>
  <c r="D1662" i="2"/>
  <c r="B1662" i="2"/>
  <c r="J1662" i="2" s="1"/>
  <c r="K1664" i="2"/>
  <c r="I1664" i="2"/>
  <c r="G1664" i="2"/>
  <c r="C1664" i="2"/>
  <c r="F1664" i="2"/>
  <c r="D1664" i="2"/>
  <c r="B1664" i="2"/>
  <c r="J1664" i="2" s="1"/>
  <c r="K1666" i="2"/>
  <c r="I1666" i="2"/>
  <c r="G1666" i="2"/>
  <c r="C1666" i="2"/>
  <c r="F1666" i="2"/>
  <c r="D1666" i="2"/>
  <c r="B1666" i="2"/>
  <c r="J1666" i="2" s="1"/>
  <c r="K1668" i="2"/>
  <c r="I1668" i="2"/>
  <c r="G1668" i="2"/>
  <c r="C1668" i="2"/>
  <c r="F1668" i="2"/>
  <c r="D1668" i="2"/>
  <c r="B1668" i="2"/>
  <c r="J1668" i="2" s="1"/>
  <c r="K1670" i="2"/>
  <c r="I1670" i="2"/>
  <c r="G1670" i="2"/>
  <c r="C1670" i="2"/>
  <c r="F1670" i="2"/>
  <c r="D1670" i="2"/>
  <c r="B1670" i="2"/>
  <c r="J1670" i="2" s="1"/>
  <c r="K1672" i="2"/>
  <c r="I1672" i="2"/>
  <c r="G1672" i="2"/>
  <c r="C1672" i="2"/>
  <c r="F1672" i="2"/>
  <c r="D1672" i="2"/>
  <c r="B1672" i="2"/>
  <c r="J1672" i="2" s="1"/>
  <c r="K1674" i="2"/>
  <c r="I1674" i="2"/>
  <c r="G1674" i="2"/>
  <c r="C1674" i="2"/>
  <c r="F1674" i="2"/>
  <c r="D1674" i="2"/>
  <c r="B1674" i="2"/>
  <c r="J1674" i="2" s="1"/>
  <c r="K1676" i="2"/>
  <c r="I1676" i="2"/>
  <c r="G1676" i="2"/>
  <c r="C1676" i="2"/>
  <c r="F1676" i="2"/>
  <c r="D1676" i="2"/>
  <c r="B1676" i="2"/>
  <c r="J1676" i="2" s="1"/>
  <c r="K1678" i="2"/>
  <c r="I1678" i="2"/>
  <c r="G1678" i="2"/>
  <c r="C1678" i="2"/>
  <c r="F1678" i="2"/>
  <c r="D1678" i="2"/>
  <c r="B1678" i="2"/>
  <c r="J1678" i="2" s="1"/>
  <c r="K1680" i="2"/>
  <c r="I1680" i="2"/>
  <c r="G1680" i="2"/>
  <c r="C1680" i="2"/>
  <c r="F1680" i="2"/>
  <c r="D1680" i="2"/>
  <c r="B1680" i="2"/>
  <c r="J1680" i="2" s="1"/>
  <c r="K1682" i="2"/>
  <c r="I1682" i="2"/>
  <c r="G1682" i="2"/>
  <c r="C1682" i="2"/>
  <c r="F1682" i="2"/>
  <c r="D1682" i="2"/>
  <c r="B1682" i="2"/>
  <c r="J1682" i="2" s="1"/>
  <c r="K1684" i="2"/>
  <c r="I1684" i="2"/>
  <c r="G1684" i="2"/>
  <c r="C1684" i="2"/>
  <c r="F1684" i="2"/>
  <c r="D1684" i="2"/>
  <c r="B1684" i="2"/>
  <c r="J1684" i="2" s="1"/>
  <c r="K1686" i="2"/>
  <c r="I1686" i="2"/>
  <c r="G1686" i="2"/>
  <c r="C1686" i="2"/>
  <c r="F1686" i="2"/>
  <c r="D1686" i="2"/>
  <c r="B1686" i="2"/>
  <c r="J1686" i="2" s="1"/>
  <c r="K1688" i="2"/>
  <c r="I1688" i="2"/>
  <c r="G1688" i="2"/>
  <c r="C1688" i="2"/>
  <c r="F1688" i="2"/>
  <c r="D1688" i="2"/>
  <c r="B1688" i="2"/>
  <c r="J1688" i="2" s="1"/>
  <c r="K1690" i="2"/>
  <c r="I1690" i="2"/>
  <c r="G1690" i="2"/>
  <c r="C1690" i="2"/>
  <c r="F1690" i="2"/>
  <c r="D1690" i="2"/>
  <c r="B1690" i="2"/>
  <c r="J1690" i="2" s="1"/>
  <c r="K1692" i="2"/>
  <c r="I1692" i="2"/>
  <c r="G1692" i="2"/>
  <c r="C1692" i="2"/>
  <c r="F1692" i="2"/>
  <c r="D1692" i="2"/>
  <c r="B1692" i="2"/>
  <c r="J1692" i="2" s="1"/>
  <c r="K1694" i="2"/>
  <c r="I1694" i="2"/>
  <c r="G1694" i="2"/>
  <c r="C1694" i="2"/>
  <c r="F1694" i="2"/>
  <c r="D1694" i="2"/>
  <c r="B1694" i="2"/>
  <c r="J1694" i="2" s="1"/>
  <c r="K1696" i="2"/>
  <c r="I1696" i="2"/>
  <c r="G1696" i="2"/>
  <c r="C1696" i="2"/>
  <c r="F1696" i="2"/>
  <c r="D1696" i="2"/>
  <c r="B1696" i="2"/>
  <c r="J1696" i="2" s="1"/>
  <c r="K1698" i="2"/>
  <c r="I1698" i="2"/>
  <c r="G1698" i="2"/>
  <c r="C1698" i="2"/>
  <c r="F1698" i="2"/>
  <c r="D1698" i="2"/>
  <c r="B1698" i="2"/>
  <c r="J1698" i="2" s="1"/>
  <c r="K1700" i="2"/>
  <c r="I1700" i="2"/>
  <c r="G1700" i="2"/>
  <c r="C1700" i="2"/>
  <c r="F1700" i="2"/>
  <c r="D1700" i="2"/>
  <c r="B1700" i="2"/>
  <c r="J1700" i="2" s="1"/>
  <c r="K1702" i="2"/>
  <c r="I1702" i="2"/>
  <c r="G1702" i="2"/>
  <c r="C1702" i="2"/>
  <c r="F1702" i="2"/>
  <c r="D1702" i="2"/>
  <c r="B1702" i="2"/>
  <c r="J1702" i="2" s="1"/>
  <c r="K1704" i="2"/>
  <c r="I1704" i="2"/>
  <c r="G1704" i="2"/>
  <c r="C1704" i="2"/>
  <c r="F1704" i="2"/>
  <c r="D1704" i="2"/>
  <c r="B1704" i="2"/>
  <c r="J1704" i="2" s="1"/>
  <c r="K1706" i="2"/>
  <c r="I1706" i="2"/>
  <c r="G1706" i="2"/>
  <c r="C1706" i="2"/>
  <c r="F1706" i="2"/>
  <c r="D1706" i="2"/>
  <c r="B1706" i="2"/>
  <c r="J1706" i="2" s="1"/>
  <c r="K1708" i="2"/>
  <c r="I1708" i="2"/>
  <c r="G1708" i="2"/>
  <c r="C1708" i="2"/>
  <c r="F1708" i="2"/>
  <c r="D1708" i="2"/>
  <c r="B1708" i="2"/>
  <c r="J1708" i="2" s="1"/>
  <c r="K1710" i="2"/>
  <c r="I1710" i="2"/>
  <c r="G1710" i="2"/>
  <c r="C1710" i="2"/>
  <c r="F1710" i="2"/>
  <c r="D1710" i="2"/>
  <c r="B1710" i="2"/>
  <c r="J1710" i="2" s="1"/>
  <c r="K1712" i="2"/>
  <c r="I1712" i="2"/>
  <c r="G1712" i="2"/>
  <c r="C1712" i="2"/>
  <c r="F1712" i="2"/>
  <c r="D1712" i="2"/>
  <c r="B1712" i="2"/>
  <c r="J1712" i="2" s="1"/>
  <c r="K1714" i="2"/>
  <c r="I1714" i="2"/>
  <c r="G1714" i="2"/>
  <c r="C1714" i="2"/>
  <c r="F1714" i="2"/>
  <c r="D1714" i="2"/>
  <c r="B1714" i="2"/>
  <c r="J1714" i="2" s="1"/>
  <c r="K1716" i="2"/>
  <c r="I1716" i="2"/>
  <c r="G1716" i="2"/>
  <c r="C1716" i="2"/>
  <c r="F1716" i="2"/>
  <c r="D1716" i="2"/>
  <c r="B1716" i="2"/>
  <c r="J1716" i="2" s="1"/>
  <c r="K1718" i="2"/>
  <c r="I1718" i="2"/>
  <c r="G1718" i="2"/>
  <c r="C1718" i="2"/>
  <c r="F1718" i="2"/>
  <c r="D1718" i="2"/>
  <c r="B1718" i="2"/>
  <c r="J1718" i="2" s="1"/>
  <c r="K1720" i="2"/>
  <c r="I1720" i="2"/>
  <c r="G1720" i="2"/>
  <c r="C1720" i="2"/>
  <c r="F1720" i="2"/>
  <c r="D1720" i="2"/>
  <c r="B1720" i="2"/>
  <c r="J1720" i="2" s="1"/>
  <c r="K1722" i="2"/>
  <c r="I1722" i="2"/>
  <c r="G1722" i="2"/>
  <c r="C1722" i="2"/>
  <c r="F1722" i="2"/>
  <c r="D1722" i="2"/>
  <c r="B1722" i="2"/>
  <c r="J1722" i="2" s="1"/>
  <c r="K1724" i="2"/>
  <c r="I1724" i="2"/>
  <c r="G1724" i="2"/>
  <c r="C1724" i="2"/>
  <c r="F1724" i="2"/>
  <c r="D1724" i="2"/>
  <c r="B1724" i="2"/>
  <c r="J1724" i="2" s="1"/>
  <c r="K1726" i="2"/>
  <c r="I1726" i="2"/>
  <c r="G1726" i="2"/>
  <c r="C1726" i="2"/>
  <c r="F1726" i="2"/>
  <c r="D1726" i="2"/>
  <c r="B1726" i="2"/>
  <c r="J1726" i="2" s="1"/>
  <c r="K1728" i="2"/>
  <c r="I1728" i="2"/>
  <c r="G1728" i="2"/>
  <c r="C1728" i="2"/>
  <c r="F1728" i="2"/>
  <c r="D1728" i="2"/>
  <c r="B1728" i="2"/>
  <c r="J1728" i="2" s="1"/>
  <c r="K1730" i="2"/>
  <c r="I1730" i="2"/>
  <c r="G1730" i="2"/>
  <c r="C1730" i="2"/>
  <c r="F1730" i="2"/>
  <c r="D1730" i="2"/>
  <c r="B1730" i="2"/>
  <c r="J1730" i="2" s="1"/>
  <c r="K1732" i="2"/>
  <c r="I1732" i="2"/>
  <c r="G1732" i="2"/>
  <c r="C1732" i="2"/>
  <c r="F1732" i="2"/>
  <c r="D1732" i="2"/>
  <c r="B1732" i="2"/>
  <c r="J1732" i="2" s="1"/>
  <c r="K1734" i="2"/>
  <c r="I1734" i="2"/>
  <c r="G1734" i="2"/>
  <c r="C1734" i="2"/>
  <c r="F1734" i="2"/>
  <c r="D1734" i="2"/>
  <c r="B1734" i="2"/>
  <c r="J1734" i="2" s="1"/>
  <c r="K1736" i="2"/>
  <c r="I1736" i="2"/>
  <c r="G1736" i="2"/>
  <c r="C1736" i="2"/>
  <c r="F1736" i="2"/>
  <c r="D1736" i="2"/>
  <c r="B1736" i="2"/>
  <c r="J1736" i="2" s="1"/>
  <c r="K1738" i="2"/>
  <c r="I1738" i="2"/>
  <c r="G1738" i="2"/>
  <c r="C1738" i="2"/>
  <c r="F1738" i="2"/>
  <c r="D1738" i="2"/>
  <c r="B1738" i="2"/>
  <c r="J1738" i="2" s="1"/>
  <c r="K1740" i="2"/>
  <c r="I1740" i="2"/>
  <c r="G1740" i="2"/>
  <c r="C1740" i="2"/>
  <c r="F1740" i="2"/>
  <c r="D1740" i="2"/>
  <c r="B1740" i="2"/>
  <c r="J1740" i="2" s="1"/>
  <c r="K1742" i="2"/>
  <c r="I1742" i="2"/>
  <c r="G1742" i="2"/>
  <c r="C1742" i="2"/>
  <c r="F1742" i="2"/>
  <c r="D1742" i="2"/>
  <c r="B1742" i="2"/>
  <c r="J1742" i="2" s="1"/>
  <c r="K1744" i="2"/>
  <c r="I1744" i="2"/>
  <c r="G1744" i="2"/>
  <c r="C1744" i="2"/>
  <c r="F1744" i="2"/>
  <c r="D1744" i="2"/>
  <c r="B1744" i="2"/>
  <c r="J1744" i="2" s="1"/>
  <c r="K1746" i="2"/>
  <c r="I1746" i="2"/>
  <c r="G1746" i="2"/>
  <c r="C1746" i="2"/>
  <c r="F1746" i="2"/>
  <c r="D1746" i="2"/>
  <c r="B1746" i="2"/>
  <c r="J1746" i="2" s="1"/>
  <c r="K1748" i="2"/>
  <c r="I1748" i="2"/>
  <c r="G1748" i="2"/>
  <c r="C1748" i="2"/>
  <c r="F1748" i="2"/>
  <c r="D1748" i="2"/>
  <c r="B1748" i="2"/>
  <c r="J1748" i="2" s="1"/>
  <c r="K1750" i="2"/>
  <c r="I1750" i="2"/>
  <c r="G1750" i="2"/>
  <c r="C1750" i="2"/>
  <c r="F1750" i="2"/>
  <c r="D1750" i="2"/>
  <c r="B1750" i="2"/>
  <c r="J1750" i="2" s="1"/>
  <c r="K1752" i="2"/>
  <c r="I1752" i="2"/>
  <c r="G1752" i="2"/>
  <c r="C1752" i="2"/>
  <c r="F1752" i="2"/>
  <c r="D1752" i="2"/>
  <c r="B1752" i="2"/>
  <c r="J1752" i="2" s="1"/>
  <c r="K1754" i="2"/>
  <c r="I1754" i="2"/>
  <c r="G1754" i="2"/>
  <c r="C1754" i="2"/>
  <c r="F1754" i="2"/>
  <c r="D1754" i="2"/>
  <c r="B1754" i="2"/>
  <c r="J1754" i="2" s="1"/>
  <c r="K1756" i="2"/>
  <c r="I1756" i="2"/>
  <c r="G1756" i="2"/>
  <c r="C1756" i="2"/>
  <c r="F1756" i="2"/>
  <c r="D1756" i="2"/>
  <c r="B1756" i="2"/>
  <c r="J1756" i="2" s="1"/>
  <c r="K1758" i="2"/>
  <c r="I1758" i="2"/>
  <c r="G1758" i="2"/>
  <c r="C1758" i="2"/>
  <c r="F1758" i="2"/>
  <c r="D1758" i="2"/>
  <c r="B1758" i="2"/>
  <c r="J1758" i="2" s="1"/>
  <c r="K1760" i="2"/>
  <c r="I1760" i="2"/>
  <c r="G1760" i="2"/>
  <c r="C1760" i="2"/>
  <c r="F1760" i="2"/>
  <c r="D1760" i="2"/>
  <c r="B1760" i="2"/>
  <c r="J1760" i="2" s="1"/>
  <c r="K1762" i="2"/>
  <c r="I1762" i="2"/>
  <c r="G1762" i="2"/>
  <c r="C1762" i="2"/>
  <c r="F1762" i="2"/>
  <c r="D1762" i="2"/>
  <c r="B1762" i="2"/>
  <c r="J1762" i="2" s="1"/>
  <c r="K1764" i="2"/>
  <c r="I1764" i="2"/>
  <c r="G1764" i="2"/>
  <c r="C1764" i="2"/>
  <c r="F1764" i="2"/>
  <c r="D1764" i="2"/>
  <c r="B1764" i="2"/>
  <c r="J1764" i="2" s="1"/>
  <c r="K1766" i="2"/>
  <c r="I1766" i="2"/>
  <c r="G1766" i="2"/>
  <c r="C1766" i="2"/>
  <c r="F1766" i="2"/>
  <c r="D1766" i="2"/>
  <c r="B1766" i="2"/>
  <c r="J1766" i="2" s="1"/>
  <c r="K1768" i="2"/>
  <c r="I1768" i="2"/>
  <c r="G1768" i="2"/>
  <c r="C1768" i="2"/>
  <c r="F1768" i="2"/>
  <c r="D1768" i="2"/>
  <c r="B1768" i="2"/>
  <c r="J1768" i="2" s="1"/>
  <c r="K1770" i="2"/>
  <c r="I1770" i="2"/>
  <c r="G1770" i="2"/>
  <c r="C1770" i="2"/>
  <c r="F1770" i="2"/>
  <c r="D1770" i="2"/>
  <c r="B1770" i="2"/>
  <c r="J1770" i="2" s="1"/>
  <c r="K1772" i="2"/>
  <c r="I1772" i="2"/>
  <c r="G1772" i="2"/>
  <c r="C1772" i="2"/>
  <c r="F1772" i="2"/>
  <c r="D1772" i="2"/>
  <c r="B1772" i="2"/>
  <c r="J1772" i="2" s="1"/>
  <c r="K1774" i="2"/>
  <c r="I1774" i="2"/>
  <c r="G1774" i="2"/>
  <c r="C1774" i="2"/>
  <c r="F1774" i="2"/>
  <c r="D1774" i="2"/>
  <c r="B1774" i="2"/>
  <c r="J1774" i="2" s="1"/>
  <c r="K1776" i="2"/>
  <c r="I1776" i="2"/>
  <c r="G1776" i="2"/>
  <c r="C1776" i="2"/>
  <c r="F1776" i="2"/>
  <c r="D1776" i="2"/>
  <c r="B1776" i="2"/>
  <c r="J1776" i="2" s="1"/>
  <c r="K1778" i="2"/>
  <c r="I1778" i="2"/>
  <c r="G1778" i="2"/>
  <c r="C1778" i="2"/>
  <c r="F1778" i="2"/>
  <c r="D1778" i="2"/>
  <c r="B1778" i="2"/>
  <c r="J1778" i="2" s="1"/>
  <c r="K1780" i="2"/>
  <c r="I1780" i="2"/>
  <c r="G1780" i="2"/>
  <c r="C1780" i="2"/>
  <c r="F1780" i="2"/>
  <c r="D1780" i="2"/>
  <c r="B1780" i="2"/>
  <c r="J1780" i="2" s="1"/>
  <c r="K1782" i="2"/>
  <c r="I1782" i="2"/>
  <c r="G1782" i="2"/>
  <c r="C1782" i="2"/>
  <c r="F1782" i="2"/>
  <c r="D1782" i="2"/>
  <c r="B1782" i="2"/>
  <c r="J1782" i="2" s="1"/>
  <c r="K1784" i="2"/>
  <c r="I1784" i="2"/>
  <c r="G1784" i="2"/>
  <c r="C1784" i="2"/>
  <c r="F1784" i="2"/>
  <c r="D1784" i="2"/>
  <c r="B1784" i="2"/>
  <c r="J1784" i="2" s="1"/>
  <c r="K1786" i="2"/>
  <c r="I1786" i="2"/>
  <c r="G1786" i="2"/>
  <c r="C1786" i="2"/>
  <c r="F1786" i="2"/>
  <c r="D1786" i="2"/>
  <c r="B1786" i="2"/>
  <c r="J1786" i="2" s="1"/>
  <c r="K1788" i="2"/>
  <c r="I1788" i="2"/>
  <c r="G1788" i="2"/>
  <c r="C1788" i="2"/>
  <c r="F1788" i="2"/>
  <c r="D1788" i="2"/>
  <c r="B1788" i="2"/>
  <c r="J1788" i="2" s="1"/>
  <c r="K1790" i="2"/>
  <c r="I1790" i="2"/>
  <c r="G1790" i="2"/>
  <c r="C1790" i="2"/>
  <c r="F1790" i="2"/>
  <c r="D1790" i="2"/>
  <c r="B1790" i="2"/>
  <c r="J1790" i="2" s="1"/>
  <c r="K1792" i="2"/>
  <c r="I1792" i="2"/>
  <c r="G1792" i="2"/>
  <c r="C1792" i="2"/>
  <c r="F1792" i="2"/>
  <c r="D1792" i="2"/>
  <c r="B1792" i="2"/>
  <c r="J1792" i="2" s="1"/>
  <c r="K1794" i="2"/>
  <c r="I1794" i="2"/>
  <c r="G1794" i="2"/>
  <c r="C1794" i="2"/>
  <c r="F1794" i="2"/>
  <c r="D1794" i="2"/>
  <c r="B1794" i="2"/>
  <c r="J1794" i="2" s="1"/>
  <c r="K1796" i="2"/>
  <c r="I1796" i="2"/>
  <c r="G1796" i="2"/>
  <c r="C1796" i="2"/>
  <c r="F1796" i="2"/>
  <c r="D1796" i="2"/>
  <c r="B1796" i="2"/>
  <c r="J1796" i="2" s="1"/>
  <c r="K1798" i="2"/>
  <c r="I1798" i="2"/>
  <c r="G1798" i="2"/>
  <c r="C1798" i="2"/>
  <c r="F1798" i="2"/>
  <c r="D1798" i="2"/>
  <c r="B1798" i="2"/>
  <c r="J1798" i="2" s="1"/>
  <c r="K1800" i="2"/>
  <c r="I1800" i="2"/>
  <c r="G1800" i="2"/>
  <c r="C1800" i="2"/>
  <c r="F1800" i="2"/>
  <c r="D1800" i="2"/>
  <c r="B1800" i="2"/>
  <c r="J1800" i="2" s="1"/>
  <c r="K1802" i="2"/>
  <c r="I1802" i="2"/>
  <c r="G1802" i="2"/>
  <c r="C1802" i="2"/>
  <c r="F1802" i="2"/>
  <c r="D1802" i="2"/>
  <c r="B1802" i="2"/>
  <c r="J1802" i="2" s="1"/>
  <c r="K1804" i="2"/>
  <c r="I1804" i="2"/>
  <c r="G1804" i="2"/>
  <c r="C1804" i="2"/>
  <c r="F1804" i="2"/>
  <c r="D1804" i="2"/>
  <c r="B1804" i="2"/>
  <c r="J1804" i="2" s="1"/>
  <c r="K1806" i="2"/>
  <c r="I1806" i="2"/>
  <c r="G1806" i="2"/>
  <c r="C1806" i="2"/>
  <c r="F1806" i="2"/>
  <c r="D1806" i="2"/>
  <c r="B1806" i="2"/>
  <c r="J1806" i="2" s="1"/>
  <c r="K1808" i="2"/>
  <c r="I1808" i="2"/>
  <c r="G1808" i="2"/>
  <c r="C1808" i="2"/>
  <c r="F1808" i="2"/>
  <c r="D1808" i="2"/>
  <c r="B1808" i="2"/>
  <c r="J1808" i="2" s="1"/>
  <c r="K1810" i="2"/>
  <c r="I1810" i="2"/>
  <c r="G1810" i="2"/>
  <c r="C1810" i="2"/>
  <c r="F1810" i="2"/>
  <c r="D1810" i="2"/>
  <c r="B1810" i="2"/>
  <c r="J1810" i="2" s="1"/>
  <c r="K1812" i="2"/>
  <c r="I1812" i="2"/>
  <c r="G1812" i="2"/>
  <c r="C1812" i="2"/>
  <c r="F1812" i="2"/>
  <c r="D1812" i="2"/>
  <c r="B1812" i="2"/>
  <c r="J1812" i="2" s="1"/>
  <c r="K1814" i="2"/>
  <c r="I1814" i="2"/>
  <c r="G1814" i="2"/>
  <c r="C1814" i="2"/>
  <c r="F1814" i="2"/>
  <c r="D1814" i="2"/>
  <c r="B1814" i="2"/>
  <c r="J1814" i="2" s="1"/>
  <c r="K1816" i="2"/>
  <c r="I1816" i="2"/>
  <c r="G1816" i="2"/>
  <c r="C1816" i="2"/>
  <c r="F1816" i="2"/>
  <c r="D1816" i="2"/>
  <c r="B1816" i="2"/>
  <c r="J1816" i="2" s="1"/>
  <c r="K1818" i="2"/>
  <c r="I1818" i="2"/>
  <c r="G1818" i="2"/>
  <c r="C1818" i="2"/>
  <c r="F1818" i="2"/>
  <c r="D1818" i="2"/>
  <c r="B1818" i="2"/>
  <c r="J1818" i="2" s="1"/>
  <c r="K1820" i="2"/>
  <c r="I1820" i="2"/>
  <c r="G1820" i="2"/>
  <c r="C1820" i="2"/>
  <c r="F1820" i="2"/>
  <c r="D1820" i="2"/>
  <c r="B1820" i="2"/>
  <c r="J1820" i="2" s="1"/>
  <c r="K1822" i="2"/>
  <c r="I1822" i="2"/>
  <c r="G1822" i="2"/>
  <c r="C1822" i="2"/>
  <c r="F1822" i="2"/>
  <c r="D1822" i="2"/>
  <c r="B1822" i="2"/>
  <c r="J1822" i="2" s="1"/>
  <c r="K1824" i="2"/>
  <c r="I1824" i="2"/>
  <c r="G1824" i="2"/>
  <c r="C1824" i="2"/>
  <c r="F1824" i="2"/>
  <c r="D1824" i="2"/>
  <c r="B1824" i="2"/>
  <c r="J1824" i="2" s="1"/>
  <c r="K1826" i="2"/>
  <c r="I1826" i="2"/>
  <c r="G1826" i="2"/>
  <c r="C1826" i="2"/>
  <c r="F1826" i="2"/>
  <c r="D1826" i="2"/>
  <c r="B1826" i="2"/>
  <c r="J1826" i="2" s="1"/>
  <c r="K1828" i="2"/>
  <c r="I1828" i="2"/>
  <c r="G1828" i="2"/>
  <c r="C1828" i="2"/>
  <c r="F1828" i="2"/>
  <c r="D1828" i="2"/>
  <c r="B1828" i="2"/>
  <c r="J1828" i="2" s="1"/>
  <c r="K1830" i="2"/>
  <c r="I1830" i="2"/>
  <c r="G1830" i="2"/>
  <c r="C1830" i="2"/>
  <c r="F1830" i="2"/>
  <c r="D1830" i="2"/>
  <c r="B1830" i="2"/>
  <c r="J1830" i="2" s="1"/>
  <c r="K1832" i="2"/>
  <c r="I1832" i="2"/>
  <c r="G1832" i="2"/>
  <c r="C1832" i="2"/>
  <c r="F1832" i="2"/>
  <c r="D1832" i="2"/>
  <c r="B1832" i="2"/>
  <c r="J1832" i="2" s="1"/>
  <c r="K1834" i="2"/>
  <c r="I1834" i="2"/>
  <c r="G1834" i="2"/>
  <c r="C1834" i="2"/>
  <c r="F1834" i="2"/>
  <c r="D1834" i="2"/>
  <c r="B1834" i="2"/>
  <c r="J1834" i="2" s="1"/>
  <c r="K1836" i="2"/>
  <c r="I1836" i="2"/>
  <c r="G1836" i="2"/>
  <c r="C1836" i="2"/>
  <c r="F1836" i="2"/>
  <c r="D1836" i="2"/>
  <c r="B1836" i="2"/>
  <c r="J1836" i="2" s="1"/>
  <c r="K1838" i="2"/>
  <c r="I1838" i="2"/>
  <c r="G1838" i="2"/>
  <c r="C1838" i="2"/>
  <c r="F1838" i="2"/>
  <c r="D1838" i="2"/>
  <c r="B1838" i="2"/>
  <c r="J1838" i="2" s="1"/>
  <c r="K1840" i="2"/>
  <c r="I1840" i="2"/>
  <c r="G1840" i="2"/>
  <c r="C1840" i="2"/>
  <c r="F1840" i="2"/>
  <c r="D1840" i="2"/>
  <c r="B1840" i="2"/>
  <c r="J1840" i="2" s="1"/>
  <c r="K1842" i="2"/>
  <c r="I1842" i="2"/>
  <c r="G1842" i="2"/>
  <c r="C1842" i="2"/>
  <c r="F1842" i="2"/>
  <c r="D1842" i="2"/>
  <c r="B1842" i="2"/>
  <c r="J1842" i="2" s="1"/>
  <c r="K1844" i="2"/>
  <c r="I1844" i="2"/>
  <c r="G1844" i="2"/>
  <c r="C1844" i="2"/>
  <c r="F1844" i="2"/>
  <c r="D1844" i="2"/>
  <c r="B1844" i="2"/>
  <c r="J1844" i="2" s="1"/>
  <c r="K1846" i="2"/>
  <c r="I1846" i="2"/>
  <c r="G1846" i="2"/>
  <c r="C1846" i="2"/>
  <c r="F1846" i="2"/>
  <c r="D1846" i="2"/>
  <c r="B1846" i="2"/>
  <c r="J1846" i="2" s="1"/>
  <c r="K1848" i="2"/>
  <c r="I1848" i="2"/>
  <c r="G1848" i="2"/>
  <c r="C1848" i="2"/>
  <c r="F1848" i="2"/>
  <c r="D1848" i="2"/>
  <c r="B1848" i="2"/>
  <c r="J1848" i="2" s="1"/>
  <c r="K1850" i="2"/>
  <c r="I1850" i="2"/>
  <c r="G1850" i="2"/>
  <c r="C1850" i="2"/>
  <c r="F1850" i="2"/>
  <c r="D1850" i="2"/>
  <c r="B1850" i="2"/>
  <c r="J1850" i="2" s="1"/>
  <c r="K1852" i="2"/>
  <c r="I1852" i="2"/>
  <c r="G1852" i="2"/>
  <c r="C1852" i="2"/>
  <c r="F1852" i="2"/>
  <c r="D1852" i="2"/>
  <c r="B1852" i="2"/>
  <c r="J1852" i="2" s="1"/>
  <c r="K1854" i="2"/>
  <c r="I1854" i="2"/>
  <c r="G1854" i="2"/>
  <c r="C1854" i="2"/>
  <c r="F1854" i="2"/>
  <c r="D1854" i="2"/>
  <c r="B1854" i="2"/>
  <c r="J1854" i="2" s="1"/>
  <c r="F1856" i="2"/>
  <c r="D1856" i="2"/>
  <c r="B1856" i="2"/>
  <c r="J1856" i="2" s="1"/>
  <c r="K1856" i="2"/>
  <c r="G1856" i="2"/>
  <c r="C1856" i="2"/>
  <c r="I1856" i="2"/>
  <c r="F1858" i="2"/>
  <c r="D1858" i="2"/>
  <c r="B1858" i="2"/>
  <c r="J1858" i="2" s="1"/>
  <c r="K1858" i="2"/>
  <c r="G1858" i="2"/>
  <c r="C1858" i="2"/>
  <c r="I1858" i="2"/>
  <c r="F1860" i="2"/>
  <c r="D1860" i="2"/>
  <c r="B1860" i="2"/>
  <c r="J1860" i="2" s="1"/>
  <c r="K1860" i="2"/>
  <c r="G1860" i="2"/>
  <c r="C1860" i="2"/>
  <c r="I1860" i="2"/>
  <c r="F1862" i="2"/>
  <c r="D1862" i="2"/>
  <c r="B1862" i="2"/>
  <c r="J1862" i="2" s="1"/>
  <c r="K1862" i="2"/>
  <c r="G1862" i="2"/>
  <c r="C1862" i="2"/>
  <c r="I1862" i="2"/>
  <c r="F1864" i="2"/>
  <c r="D1864" i="2"/>
  <c r="B1864" i="2"/>
  <c r="J1864" i="2" s="1"/>
  <c r="K1864" i="2"/>
  <c r="G1864" i="2"/>
  <c r="C1864" i="2"/>
  <c r="I1864" i="2"/>
  <c r="F1866" i="2"/>
  <c r="D1866" i="2"/>
  <c r="B1866" i="2"/>
  <c r="J1866" i="2" s="1"/>
  <c r="K1866" i="2"/>
  <c r="I1866" i="2"/>
  <c r="G1866" i="2"/>
  <c r="C1866" i="2"/>
  <c r="F1868" i="2"/>
  <c r="D1868" i="2"/>
  <c r="B1868" i="2"/>
  <c r="J1868" i="2" s="1"/>
  <c r="K1868" i="2"/>
  <c r="I1868" i="2"/>
  <c r="G1868" i="2"/>
  <c r="C1868" i="2"/>
  <c r="F1870" i="2"/>
  <c r="D1870" i="2"/>
  <c r="B1870" i="2"/>
  <c r="J1870" i="2" s="1"/>
  <c r="K1870" i="2"/>
  <c r="I1870" i="2"/>
  <c r="G1870" i="2"/>
  <c r="C1870" i="2"/>
  <c r="F1872" i="2"/>
  <c r="D1872" i="2"/>
  <c r="B1872" i="2"/>
  <c r="J1872" i="2" s="1"/>
  <c r="K1872" i="2"/>
  <c r="I1872" i="2"/>
  <c r="G1872" i="2"/>
  <c r="C1872" i="2"/>
  <c r="F1874" i="2"/>
  <c r="D1874" i="2"/>
  <c r="B1874" i="2"/>
  <c r="J1874" i="2" s="1"/>
  <c r="K1874" i="2"/>
  <c r="I1874" i="2"/>
  <c r="G1874" i="2"/>
  <c r="C1874" i="2"/>
  <c r="F1876" i="2"/>
  <c r="D1876" i="2"/>
  <c r="B1876" i="2"/>
  <c r="J1876" i="2" s="1"/>
  <c r="K1876" i="2"/>
  <c r="I1876" i="2"/>
  <c r="G1876" i="2"/>
  <c r="C1876" i="2"/>
  <c r="F1878" i="2"/>
  <c r="D1878" i="2"/>
  <c r="B1878" i="2"/>
  <c r="J1878" i="2" s="1"/>
  <c r="K1878" i="2"/>
  <c r="I1878" i="2"/>
  <c r="G1878" i="2"/>
  <c r="C1878" i="2"/>
  <c r="F1880" i="2"/>
  <c r="D1880" i="2"/>
  <c r="B1880" i="2"/>
  <c r="J1880" i="2" s="1"/>
  <c r="K1880" i="2"/>
  <c r="I1880" i="2"/>
  <c r="G1880" i="2"/>
  <c r="C1880" i="2"/>
  <c r="F1882" i="2"/>
  <c r="D1882" i="2"/>
  <c r="B1882" i="2"/>
  <c r="J1882" i="2" s="1"/>
  <c r="K1882" i="2"/>
  <c r="I1882" i="2"/>
  <c r="G1882" i="2"/>
  <c r="C1882" i="2"/>
  <c r="F1884" i="2"/>
  <c r="D1884" i="2"/>
  <c r="B1884" i="2"/>
  <c r="J1884" i="2" s="1"/>
  <c r="K1884" i="2"/>
  <c r="I1884" i="2"/>
  <c r="G1884" i="2"/>
  <c r="C1884" i="2"/>
  <c r="F1886" i="2"/>
  <c r="D1886" i="2"/>
  <c r="B1886" i="2"/>
  <c r="J1886" i="2" s="1"/>
  <c r="K1886" i="2"/>
  <c r="I1886" i="2"/>
  <c r="G1886" i="2"/>
  <c r="C1886" i="2"/>
  <c r="F1888" i="2"/>
  <c r="D1888" i="2"/>
  <c r="B1888" i="2"/>
  <c r="J1888" i="2" s="1"/>
  <c r="K1888" i="2"/>
  <c r="I1888" i="2"/>
  <c r="G1888" i="2"/>
  <c r="C1888" i="2"/>
  <c r="F1890" i="2"/>
  <c r="D1890" i="2"/>
  <c r="B1890" i="2"/>
  <c r="J1890" i="2" s="1"/>
  <c r="K1890" i="2"/>
  <c r="I1890" i="2"/>
  <c r="G1890" i="2"/>
  <c r="C1890" i="2"/>
  <c r="F1892" i="2"/>
  <c r="D1892" i="2"/>
  <c r="B1892" i="2"/>
  <c r="J1892" i="2" s="1"/>
  <c r="K1892" i="2"/>
  <c r="I1892" i="2"/>
  <c r="G1892" i="2"/>
  <c r="C1892" i="2"/>
  <c r="F1894" i="2"/>
  <c r="D1894" i="2"/>
  <c r="B1894" i="2"/>
  <c r="J1894" i="2" s="1"/>
  <c r="K1894" i="2"/>
  <c r="I1894" i="2"/>
  <c r="G1894" i="2"/>
  <c r="C1894" i="2"/>
  <c r="F1896" i="2"/>
  <c r="D1896" i="2"/>
  <c r="B1896" i="2"/>
  <c r="J1896" i="2" s="1"/>
  <c r="K1896" i="2"/>
  <c r="I1896" i="2"/>
  <c r="G1896" i="2"/>
  <c r="C1896" i="2"/>
  <c r="F1898" i="2"/>
  <c r="D1898" i="2"/>
  <c r="B1898" i="2"/>
  <c r="J1898" i="2" s="1"/>
  <c r="K1898" i="2"/>
  <c r="I1898" i="2"/>
  <c r="G1898" i="2"/>
  <c r="C1898" i="2"/>
  <c r="F1900" i="2"/>
  <c r="D1900" i="2"/>
  <c r="B1900" i="2"/>
  <c r="J1900" i="2" s="1"/>
  <c r="K1900" i="2"/>
  <c r="I1900" i="2"/>
  <c r="G1900" i="2"/>
  <c r="C1900" i="2"/>
  <c r="F1902" i="2"/>
  <c r="D1902" i="2"/>
  <c r="B1902" i="2"/>
  <c r="J1902" i="2" s="1"/>
  <c r="K1902" i="2"/>
  <c r="I1902" i="2"/>
  <c r="G1902" i="2"/>
  <c r="C1902" i="2"/>
  <c r="F1904" i="2"/>
  <c r="D1904" i="2"/>
  <c r="B1904" i="2"/>
  <c r="J1904" i="2" s="1"/>
  <c r="K1904" i="2"/>
  <c r="I1904" i="2"/>
  <c r="G1904" i="2"/>
  <c r="C1904" i="2"/>
  <c r="F1906" i="2"/>
  <c r="D1906" i="2"/>
  <c r="B1906" i="2"/>
  <c r="J1906" i="2" s="1"/>
  <c r="K1906" i="2"/>
  <c r="I1906" i="2"/>
  <c r="G1906" i="2"/>
  <c r="C1906" i="2"/>
  <c r="F1908" i="2"/>
  <c r="D1908" i="2"/>
  <c r="B1908" i="2"/>
  <c r="J1908" i="2" s="1"/>
  <c r="K1908" i="2"/>
  <c r="I1908" i="2"/>
  <c r="G1908" i="2"/>
  <c r="C1908" i="2"/>
  <c r="F1910" i="2"/>
  <c r="D1910" i="2"/>
  <c r="B1910" i="2"/>
  <c r="J1910" i="2" s="1"/>
  <c r="K1910" i="2"/>
  <c r="I1910" i="2"/>
  <c r="G1910" i="2"/>
  <c r="C1910" i="2"/>
  <c r="F1912" i="2"/>
  <c r="D1912" i="2"/>
  <c r="B1912" i="2"/>
  <c r="J1912" i="2" s="1"/>
  <c r="K1912" i="2"/>
  <c r="I1912" i="2"/>
  <c r="G1912" i="2"/>
  <c r="C1912" i="2"/>
  <c r="F1914" i="2"/>
  <c r="D1914" i="2"/>
  <c r="B1914" i="2"/>
  <c r="J1914" i="2" s="1"/>
  <c r="K1914" i="2"/>
  <c r="I1914" i="2"/>
  <c r="G1914" i="2"/>
  <c r="C1914" i="2"/>
  <c r="F1916" i="2"/>
  <c r="D1916" i="2"/>
  <c r="B1916" i="2"/>
  <c r="J1916" i="2" s="1"/>
  <c r="K1916" i="2"/>
  <c r="I1916" i="2"/>
  <c r="G1916" i="2"/>
  <c r="C1916" i="2"/>
  <c r="F1918" i="2"/>
  <c r="D1918" i="2"/>
  <c r="B1918" i="2"/>
  <c r="J1918" i="2" s="1"/>
  <c r="K1918" i="2"/>
  <c r="I1918" i="2"/>
  <c r="G1918" i="2"/>
  <c r="C1918" i="2"/>
  <c r="F1920" i="2"/>
  <c r="D1920" i="2"/>
  <c r="B1920" i="2"/>
  <c r="J1920" i="2" s="1"/>
  <c r="K1920" i="2"/>
  <c r="I1920" i="2"/>
  <c r="G1920" i="2"/>
  <c r="C1920" i="2"/>
  <c r="F1922" i="2"/>
  <c r="D1922" i="2"/>
  <c r="B1922" i="2"/>
  <c r="J1922" i="2" s="1"/>
  <c r="K1922" i="2"/>
  <c r="I1922" i="2"/>
  <c r="G1922" i="2"/>
  <c r="C1922" i="2"/>
  <c r="F1924" i="2"/>
  <c r="D1924" i="2"/>
  <c r="B1924" i="2"/>
  <c r="J1924" i="2" s="1"/>
  <c r="K1924" i="2"/>
  <c r="I1924" i="2"/>
  <c r="G1924" i="2"/>
  <c r="C1924" i="2"/>
  <c r="F1926" i="2"/>
  <c r="D1926" i="2"/>
  <c r="B1926" i="2"/>
  <c r="J1926" i="2" s="1"/>
  <c r="K1926" i="2"/>
  <c r="I1926" i="2"/>
  <c r="G1926" i="2"/>
  <c r="C1926" i="2"/>
  <c r="F1928" i="2"/>
  <c r="D1928" i="2"/>
  <c r="B1928" i="2"/>
  <c r="J1928" i="2" s="1"/>
  <c r="K1928" i="2"/>
  <c r="I1928" i="2"/>
  <c r="G1928" i="2"/>
  <c r="C1928" i="2"/>
  <c r="F1930" i="2"/>
  <c r="D1930" i="2"/>
  <c r="B1930" i="2"/>
  <c r="J1930" i="2" s="1"/>
  <c r="K1930" i="2"/>
  <c r="I1930" i="2"/>
  <c r="G1930" i="2"/>
  <c r="C1930" i="2"/>
  <c r="F1932" i="2"/>
  <c r="D1932" i="2"/>
  <c r="B1932" i="2"/>
  <c r="J1932" i="2" s="1"/>
  <c r="K1932" i="2"/>
  <c r="I1932" i="2"/>
  <c r="G1932" i="2"/>
  <c r="C1932" i="2"/>
  <c r="F1934" i="2"/>
  <c r="D1934" i="2"/>
  <c r="B1934" i="2"/>
  <c r="J1934" i="2" s="1"/>
  <c r="K1934" i="2"/>
  <c r="I1934" i="2"/>
  <c r="G1934" i="2"/>
  <c r="C1934" i="2"/>
  <c r="F1936" i="2"/>
  <c r="D1936" i="2"/>
  <c r="B1936" i="2"/>
  <c r="J1936" i="2" s="1"/>
  <c r="K1936" i="2"/>
  <c r="I1936" i="2"/>
  <c r="G1936" i="2"/>
  <c r="C1936" i="2"/>
  <c r="F1938" i="2"/>
  <c r="D1938" i="2"/>
  <c r="B1938" i="2"/>
  <c r="J1938" i="2" s="1"/>
  <c r="K1938" i="2"/>
  <c r="I1938" i="2"/>
  <c r="G1938" i="2"/>
  <c r="C1938" i="2"/>
  <c r="F1940" i="2"/>
  <c r="D1940" i="2"/>
  <c r="B1940" i="2"/>
  <c r="J1940" i="2" s="1"/>
  <c r="K1940" i="2"/>
  <c r="I1940" i="2"/>
  <c r="G1940" i="2"/>
  <c r="C1940" i="2"/>
  <c r="F1942" i="2"/>
  <c r="D1942" i="2"/>
  <c r="B1942" i="2"/>
  <c r="J1942" i="2" s="1"/>
  <c r="K1942" i="2"/>
  <c r="I1942" i="2"/>
  <c r="G1942" i="2"/>
  <c r="C1942" i="2"/>
  <c r="F1944" i="2"/>
  <c r="D1944" i="2"/>
  <c r="B1944" i="2"/>
  <c r="J1944" i="2" s="1"/>
  <c r="K1944" i="2"/>
  <c r="I1944" i="2"/>
  <c r="G1944" i="2"/>
  <c r="C1944" i="2"/>
  <c r="F1946" i="2"/>
  <c r="D1946" i="2"/>
  <c r="B1946" i="2"/>
  <c r="J1946" i="2" s="1"/>
  <c r="K1946" i="2"/>
  <c r="I1946" i="2"/>
  <c r="G1946" i="2"/>
  <c r="C1946" i="2"/>
  <c r="F1948" i="2"/>
  <c r="D1948" i="2"/>
  <c r="B1948" i="2"/>
  <c r="J1948" i="2" s="1"/>
  <c r="K1948" i="2"/>
  <c r="I1948" i="2"/>
  <c r="G1948" i="2"/>
  <c r="C1948" i="2"/>
  <c r="F1950" i="2"/>
  <c r="D1950" i="2"/>
  <c r="B1950" i="2"/>
  <c r="J1950" i="2" s="1"/>
  <c r="K1950" i="2"/>
  <c r="I1950" i="2"/>
  <c r="G1950" i="2"/>
  <c r="C1950" i="2"/>
  <c r="F1952" i="2"/>
  <c r="D1952" i="2"/>
  <c r="B1952" i="2"/>
  <c r="J1952" i="2" s="1"/>
  <c r="K1952" i="2"/>
  <c r="I1952" i="2"/>
  <c r="G1952" i="2"/>
  <c r="C1952" i="2"/>
  <c r="F1954" i="2"/>
  <c r="D1954" i="2"/>
  <c r="B1954" i="2"/>
  <c r="J1954" i="2" s="1"/>
  <c r="K1954" i="2"/>
  <c r="I1954" i="2"/>
  <c r="G1954" i="2"/>
  <c r="C1954" i="2"/>
  <c r="F1956" i="2"/>
  <c r="D1956" i="2"/>
  <c r="B1956" i="2"/>
  <c r="J1956" i="2" s="1"/>
  <c r="K1956" i="2"/>
  <c r="I1956" i="2"/>
  <c r="G1956" i="2"/>
  <c r="C1956" i="2"/>
  <c r="F1958" i="2"/>
  <c r="D1958" i="2"/>
  <c r="B1958" i="2"/>
  <c r="J1958" i="2" s="1"/>
  <c r="K1958" i="2"/>
  <c r="I1958" i="2"/>
  <c r="G1958" i="2"/>
  <c r="C1958" i="2"/>
  <c r="F1960" i="2"/>
  <c r="D1960" i="2"/>
  <c r="B1960" i="2"/>
  <c r="J1960" i="2" s="1"/>
  <c r="K1960" i="2"/>
  <c r="I1960" i="2"/>
  <c r="G1960" i="2"/>
  <c r="C1960" i="2"/>
  <c r="F1962" i="2"/>
  <c r="D1962" i="2"/>
  <c r="B1962" i="2"/>
  <c r="J1962" i="2" s="1"/>
  <c r="K1962" i="2"/>
  <c r="I1962" i="2"/>
  <c r="G1962" i="2"/>
  <c r="C1962" i="2"/>
  <c r="F1964" i="2"/>
  <c r="D1964" i="2"/>
  <c r="B1964" i="2"/>
  <c r="J1964" i="2" s="1"/>
  <c r="K1964" i="2"/>
  <c r="I1964" i="2"/>
  <c r="G1964" i="2"/>
  <c r="C1964" i="2"/>
  <c r="F1966" i="2"/>
  <c r="D1966" i="2"/>
  <c r="B1966" i="2"/>
  <c r="J1966" i="2" s="1"/>
  <c r="K1966" i="2"/>
  <c r="I1966" i="2"/>
  <c r="G1966" i="2"/>
  <c r="C1966" i="2"/>
  <c r="F1968" i="2"/>
  <c r="D1968" i="2"/>
  <c r="B1968" i="2"/>
  <c r="J1968" i="2" s="1"/>
  <c r="K1968" i="2"/>
  <c r="I1968" i="2"/>
  <c r="G1968" i="2"/>
  <c r="C1968" i="2"/>
  <c r="F1970" i="2"/>
  <c r="D1970" i="2"/>
  <c r="B1970" i="2"/>
  <c r="J1970" i="2" s="1"/>
  <c r="K1970" i="2"/>
  <c r="I1970" i="2"/>
  <c r="G1970" i="2"/>
  <c r="C1970" i="2"/>
  <c r="F1972" i="2"/>
  <c r="D1972" i="2"/>
  <c r="B1972" i="2"/>
  <c r="J1972" i="2" s="1"/>
  <c r="K1972" i="2"/>
  <c r="I1972" i="2"/>
  <c r="G1972" i="2"/>
  <c r="C1972" i="2"/>
  <c r="F1974" i="2"/>
  <c r="D1974" i="2"/>
  <c r="B1974" i="2"/>
  <c r="J1974" i="2" s="1"/>
  <c r="K1974" i="2"/>
  <c r="I1974" i="2"/>
  <c r="G1974" i="2"/>
  <c r="C1974" i="2"/>
  <c r="F1976" i="2"/>
  <c r="D1976" i="2"/>
  <c r="B1976" i="2"/>
  <c r="J1976" i="2" s="1"/>
  <c r="K1976" i="2"/>
  <c r="I1976" i="2"/>
  <c r="G1976" i="2"/>
  <c r="C1976" i="2"/>
  <c r="F1978" i="2"/>
  <c r="D1978" i="2"/>
  <c r="B1978" i="2"/>
  <c r="J1978" i="2" s="1"/>
  <c r="K1978" i="2"/>
  <c r="I1978" i="2"/>
  <c r="G1978" i="2"/>
  <c r="C1978" i="2"/>
  <c r="F1980" i="2"/>
  <c r="D1980" i="2"/>
  <c r="B1980" i="2"/>
  <c r="J1980" i="2" s="1"/>
  <c r="K1980" i="2"/>
  <c r="I1980" i="2"/>
  <c r="G1980" i="2"/>
  <c r="C1980" i="2"/>
  <c r="F1982" i="2"/>
  <c r="D1982" i="2"/>
  <c r="B1982" i="2"/>
  <c r="J1982" i="2" s="1"/>
  <c r="K1982" i="2"/>
  <c r="I1982" i="2"/>
  <c r="G1982" i="2"/>
  <c r="C1982" i="2"/>
  <c r="F1984" i="2"/>
  <c r="D1984" i="2"/>
  <c r="B1984" i="2"/>
  <c r="J1984" i="2" s="1"/>
  <c r="K1984" i="2"/>
  <c r="I1984" i="2"/>
  <c r="G1984" i="2"/>
  <c r="C1984" i="2"/>
  <c r="F1986" i="2"/>
  <c r="D1986" i="2"/>
  <c r="B1986" i="2"/>
  <c r="J1986" i="2" s="1"/>
  <c r="K1986" i="2"/>
  <c r="I1986" i="2"/>
  <c r="G1986" i="2"/>
  <c r="C1986" i="2"/>
  <c r="F1988" i="2"/>
  <c r="D1988" i="2"/>
  <c r="B1988" i="2"/>
  <c r="J1988" i="2" s="1"/>
  <c r="K1988" i="2"/>
  <c r="I1988" i="2"/>
  <c r="G1988" i="2"/>
  <c r="C1988" i="2"/>
  <c r="F1990" i="2"/>
  <c r="D1990" i="2"/>
  <c r="B1990" i="2"/>
  <c r="J1990" i="2" s="1"/>
  <c r="K1990" i="2"/>
  <c r="I1990" i="2"/>
  <c r="G1990" i="2"/>
  <c r="C1990" i="2"/>
  <c r="F1992" i="2"/>
  <c r="D1992" i="2"/>
  <c r="B1992" i="2"/>
  <c r="J1992" i="2" s="1"/>
  <c r="K1992" i="2"/>
  <c r="I1992" i="2"/>
  <c r="G1992" i="2"/>
  <c r="C1992" i="2"/>
  <c r="F1994" i="2"/>
  <c r="D1994" i="2"/>
  <c r="B1994" i="2"/>
  <c r="J1994" i="2" s="1"/>
  <c r="K1994" i="2"/>
  <c r="I1994" i="2"/>
  <c r="G1994" i="2"/>
  <c r="C1994" i="2"/>
  <c r="F1996" i="2"/>
  <c r="D1996" i="2"/>
  <c r="B1996" i="2"/>
  <c r="J1996" i="2" s="1"/>
  <c r="K1996" i="2"/>
  <c r="I1996" i="2"/>
  <c r="G1996" i="2"/>
  <c r="C1996" i="2"/>
  <c r="F1998" i="2"/>
  <c r="D1998" i="2"/>
  <c r="B1998" i="2"/>
  <c r="J1998" i="2" s="1"/>
  <c r="K1998" i="2"/>
  <c r="I1998" i="2"/>
  <c r="G1998" i="2"/>
  <c r="C1998" i="2"/>
  <c r="F2000" i="2"/>
  <c r="D2000" i="2"/>
  <c r="B2000" i="2"/>
  <c r="J2000" i="2" s="1"/>
  <c r="K2000" i="2"/>
  <c r="I2000" i="2"/>
  <c r="G2000" i="2"/>
  <c r="C2000" i="2"/>
  <c r="F2002" i="2"/>
  <c r="D2002" i="2"/>
  <c r="B2002" i="2"/>
  <c r="J2002" i="2" s="1"/>
  <c r="K2002" i="2"/>
  <c r="I2002" i="2"/>
  <c r="G2002" i="2"/>
  <c r="C2002" i="2"/>
  <c r="F2004" i="2"/>
  <c r="D2004" i="2"/>
  <c r="B2004" i="2"/>
  <c r="J2004" i="2" s="1"/>
  <c r="K2004" i="2"/>
  <c r="I2004" i="2"/>
  <c r="G2004" i="2"/>
  <c r="C2004" i="2"/>
  <c r="F2006" i="2"/>
  <c r="D2006" i="2"/>
  <c r="B2006" i="2"/>
  <c r="J2006" i="2" s="1"/>
  <c r="K2006" i="2"/>
  <c r="I2006" i="2"/>
  <c r="G2006" i="2"/>
  <c r="C2006" i="2"/>
  <c r="F2008" i="2"/>
  <c r="D2008" i="2"/>
  <c r="B2008" i="2"/>
  <c r="J2008" i="2" s="1"/>
  <c r="K2008" i="2"/>
  <c r="I2008" i="2"/>
  <c r="G2008" i="2"/>
  <c r="C2008" i="2"/>
  <c r="F2010" i="2"/>
  <c r="D2010" i="2"/>
  <c r="B2010" i="2"/>
  <c r="J2010" i="2" s="1"/>
  <c r="K2010" i="2"/>
  <c r="I2010" i="2"/>
  <c r="G2010" i="2"/>
  <c r="C2010" i="2"/>
  <c r="F2012" i="2"/>
  <c r="D2012" i="2"/>
  <c r="B2012" i="2"/>
  <c r="J2012" i="2" s="1"/>
  <c r="K2012" i="2"/>
  <c r="I2012" i="2"/>
  <c r="G2012" i="2"/>
  <c r="C2012" i="2"/>
  <c r="F2014" i="2"/>
  <c r="D2014" i="2"/>
  <c r="B2014" i="2"/>
  <c r="J2014" i="2" s="1"/>
  <c r="K2014" i="2"/>
  <c r="I2014" i="2"/>
  <c r="G2014" i="2"/>
  <c r="C2014" i="2"/>
  <c r="F2016" i="2"/>
  <c r="D2016" i="2"/>
  <c r="B2016" i="2"/>
  <c r="J2016" i="2" s="1"/>
  <c r="K2016" i="2"/>
  <c r="I2016" i="2"/>
  <c r="G2016" i="2"/>
  <c r="C2016" i="2"/>
  <c r="H17" i="2"/>
  <c r="E17" i="2"/>
  <c r="H19" i="2"/>
  <c r="E19" i="2"/>
  <c r="H21" i="2"/>
  <c r="E21" i="2"/>
  <c r="H23" i="2"/>
  <c r="E23" i="2"/>
  <c r="H25" i="2"/>
  <c r="E25" i="2"/>
  <c r="H27" i="2"/>
  <c r="E27" i="2"/>
  <c r="H29" i="2"/>
  <c r="E29" i="2"/>
  <c r="H31" i="2"/>
  <c r="E31" i="2"/>
  <c r="H33" i="2"/>
  <c r="E33" i="2"/>
  <c r="H35" i="2"/>
  <c r="E35" i="2"/>
  <c r="H37" i="2"/>
  <c r="E37" i="2"/>
  <c r="H39" i="2"/>
  <c r="E39" i="2"/>
  <c r="H1855" i="2"/>
  <c r="E1855" i="2"/>
  <c r="H1857" i="2"/>
  <c r="E1857" i="2"/>
  <c r="H1859" i="2"/>
  <c r="E1859" i="2"/>
  <c r="H1861" i="2"/>
  <c r="E1861" i="2"/>
  <c r="H1863" i="2"/>
  <c r="E1863" i="2"/>
  <c r="H1865" i="2"/>
  <c r="E1865" i="2"/>
  <c r="E41" i="2"/>
  <c r="H41" i="2"/>
  <c r="E43" i="2"/>
  <c r="H43" i="2"/>
  <c r="E45" i="2"/>
  <c r="H45" i="2"/>
  <c r="E47" i="2"/>
  <c r="H47" i="2"/>
  <c r="E49" i="2"/>
  <c r="H49" i="2"/>
  <c r="E51" i="2"/>
  <c r="H51" i="2"/>
  <c r="E53" i="2"/>
  <c r="H53" i="2"/>
  <c r="E55" i="2"/>
  <c r="H55" i="2"/>
  <c r="E57" i="2"/>
  <c r="H57" i="2"/>
  <c r="E59" i="2"/>
  <c r="H59" i="2"/>
  <c r="E61" i="2"/>
  <c r="H61" i="2"/>
  <c r="E63" i="2"/>
  <c r="H63" i="2"/>
  <c r="E65" i="2"/>
  <c r="H65" i="2"/>
  <c r="E67" i="2"/>
  <c r="H67" i="2"/>
  <c r="E69" i="2"/>
  <c r="H69" i="2"/>
  <c r="E71" i="2"/>
  <c r="H71" i="2"/>
  <c r="E73" i="2"/>
  <c r="H73" i="2"/>
  <c r="E75" i="2"/>
  <c r="H75" i="2"/>
  <c r="E77" i="2"/>
  <c r="H77" i="2"/>
  <c r="E79" i="2"/>
  <c r="H79" i="2"/>
  <c r="E81" i="2"/>
  <c r="H81" i="2"/>
  <c r="E83" i="2"/>
  <c r="H83" i="2"/>
  <c r="E85" i="2"/>
  <c r="H85" i="2"/>
  <c r="E87" i="2"/>
  <c r="H87" i="2"/>
  <c r="E89" i="2"/>
  <c r="H89" i="2"/>
  <c r="E91" i="2"/>
  <c r="H91" i="2"/>
  <c r="E93" i="2"/>
  <c r="H93" i="2"/>
  <c r="E95" i="2"/>
  <c r="H95" i="2"/>
  <c r="E97" i="2"/>
  <c r="H97" i="2"/>
  <c r="E99" i="2"/>
  <c r="H99" i="2"/>
  <c r="E101" i="2"/>
  <c r="H101" i="2"/>
  <c r="E103" i="2"/>
  <c r="H103" i="2"/>
  <c r="E105" i="2"/>
  <c r="H105" i="2"/>
  <c r="E107" i="2"/>
  <c r="H107" i="2"/>
  <c r="E109" i="2"/>
  <c r="H109" i="2"/>
  <c r="E111" i="2"/>
  <c r="H111" i="2"/>
  <c r="E113" i="2"/>
  <c r="H113" i="2"/>
  <c r="E115" i="2"/>
  <c r="H115" i="2"/>
  <c r="E117" i="2"/>
  <c r="H117" i="2"/>
  <c r="E119" i="2"/>
  <c r="H119" i="2"/>
  <c r="E121" i="2"/>
  <c r="H121" i="2"/>
  <c r="E123" i="2"/>
  <c r="H123" i="2"/>
  <c r="E125" i="2"/>
  <c r="H125" i="2"/>
  <c r="E127" i="2"/>
  <c r="H127" i="2"/>
  <c r="E129" i="2"/>
  <c r="H129" i="2"/>
  <c r="E131" i="2"/>
  <c r="H131" i="2"/>
  <c r="E133" i="2"/>
  <c r="H133" i="2"/>
  <c r="E135" i="2"/>
  <c r="H135" i="2"/>
  <c r="E137" i="2"/>
  <c r="H137" i="2"/>
  <c r="E139" i="2"/>
  <c r="H139" i="2"/>
  <c r="E141" i="2"/>
  <c r="H141" i="2"/>
  <c r="E143" i="2"/>
  <c r="H143" i="2"/>
  <c r="E145" i="2"/>
  <c r="H145" i="2"/>
  <c r="E147" i="2"/>
  <c r="H147" i="2"/>
  <c r="E149" i="2"/>
  <c r="H149" i="2"/>
  <c r="E151" i="2"/>
  <c r="H151" i="2"/>
  <c r="E153" i="2"/>
  <c r="H153" i="2"/>
  <c r="E155" i="2"/>
  <c r="H155" i="2"/>
  <c r="E157" i="2"/>
  <c r="H157" i="2"/>
  <c r="E159" i="2"/>
  <c r="H159" i="2"/>
  <c r="E161" i="2"/>
  <c r="H161" i="2"/>
  <c r="E163" i="2"/>
  <c r="H163" i="2"/>
  <c r="E165" i="2"/>
  <c r="H165" i="2"/>
  <c r="E167" i="2"/>
  <c r="H167" i="2"/>
  <c r="E169" i="2"/>
  <c r="H169" i="2"/>
  <c r="E171" i="2"/>
  <c r="H171" i="2"/>
  <c r="E173" i="2"/>
  <c r="H173" i="2"/>
  <c r="E175" i="2"/>
  <c r="H175" i="2"/>
  <c r="E177" i="2"/>
  <c r="H177" i="2"/>
  <c r="E179" i="2"/>
  <c r="H179" i="2"/>
  <c r="E181" i="2"/>
  <c r="H181" i="2"/>
  <c r="E183" i="2"/>
  <c r="H183" i="2"/>
  <c r="E185" i="2"/>
  <c r="H185" i="2"/>
  <c r="E187" i="2"/>
  <c r="H187" i="2"/>
  <c r="E189" i="2"/>
  <c r="H189" i="2"/>
  <c r="E191" i="2"/>
  <c r="H191" i="2"/>
  <c r="E193" i="2"/>
  <c r="H193" i="2"/>
  <c r="E195" i="2"/>
  <c r="H195" i="2"/>
  <c r="E197" i="2"/>
  <c r="H197" i="2"/>
  <c r="E199" i="2"/>
  <c r="H199" i="2"/>
  <c r="E201" i="2"/>
  <c r="H201" i="2"/>
  <c r="E203" i="2"/>
  <c r="H203" i="2"/>
  <c r="E205" i="2"/>
  <c r="H205" i="2"/>
  <c r="E207" i="2"/>
  <c r="H207" i="2"/>
  <c r="E209" i="2"/>
  <c r="H209" i="2"/>
  <c r="E211" i="2"/>
  <c r="H211" i="2"/>
  <c r="E213" i="2"/>
  <c r="H213" i="2"/>
  <c r="E215" i="2"/>
  <c r="H215" i="2"/>
  <c r="E217" i="2"/>
  <c r="H217" i="2"/>
  <c r="E219" i="2"/>
  <c r="H219" i="2"/>
  <c r="E221" i="2"/>
  <c r="H221" i="2"/>
  <c r="E223" i="2"/>
  <c r="H223" i="2"/>
  <c r="E225" i="2"/>
  <c r="H225" i="2"/>
  <c r="E227" i="2"/>
  <c r="H227" i="2"/>
  <c r="E229" i="2"/>
  <c r="H229" i="2"/>
  <c r="E231" i="2"/>
  <c r="H231" i="2"/>
  <c r="E233" i="2"/>
  <c r="H233" i="2"/>
  <c r="E235" i="2"/>
  <c r="H235" i="2"/>
  <c r="E237" i="2"/>
  <c r="H237" i="2"/>
  <c r="E239" i="2"/>
  <c r="H239" i="2"/>
  <c r="E241" i="2"/>
  <c r="H241" i="2"/>
  <c r="E243" i="2"/>
  <c r="H243" i="2"/>
  <c r="E245" i="2"/>
  <c r="H245" i="2"/>
  <c r="E247" i="2"/>
  <c r="H247" i="2"/>
  <c r="E249" i="2"/>
  <c r="H249" i="2"/>
  <c r="E251" i="2"/>
  <c r="H251" i="2"/>
  <c r="E253" i="2"/>
  <c r="H253" i="2"/>
  <c r="E255" i="2"/>
  <c r="H255" i="2"/>
  <c r="E257" i="2"/>
  <c r="H257" i="2"/>
  <c r="E259" i="2"/>
  <c r="H259" i="2"/>
  <c r="E261" i="2"/>
  <c r="H261" i="2"/>
  <c r="E263" i="2"/>
  <c r="H263" i="2"/>
  <c r="E265" i="2"/>
  <c r="H265" i="2"/>
  <c r="E267" i="2"/>
  <c r="H267" i="2"/>
  <c r="E269" i="2"/>
  <c r="H269" i="2"/>
  <c r="E271" i="2"/>
  <c r="H271" i="2"/>
  <c r="E273" i="2"/>
  <c r="H273" i="2"/>
  <c r="E275" i="2"/>
  <c r="H275" i="2"/>
  <c r="E277" i="2"/>
  <c r="H277" i="2"/>
  <c r="E279" i="2"/>
  <c r="H279" i="2"/>
  <c r="E281" i="2"/>
  <c r="H281" i="2"/>
  <c r="E283" i="2"/>
  <c r="H283" i="2"/>
  <c r="E285" i="2"/>
  <c r="H285" i="2"/>
  <c r="E287" i="2"/>
  <c r="H287" i="2"/>
  <c r="E289" i="2"/>
  <c r="H289" i="2"/>
  <c r="E291" i="2"/>
  <c r="H291" i="2"/>
  <c r="E293" i="2"/>
  <c r="H293" i="2"/>
  <c r="E295" i="2"/>
  <c r="H295" i="2"/>
  <c r="E297" i="2"/>
  <c r="H297" i="2"/>
  <c r="E299" i="2"/>
  <c r="H299" i="2"/>
  <c r="E301" i="2"/>
  <c r="H301" i="2"/>
  <c r="E303" i="2"/>
  <c r="H303" i="2"/>
  <c r="E305" i="2"/>
  <c r="H305" i="2"/>
  <c r="E307" i="2"/>
  <c r="H307" i="2"/>
  <c r="E309" i="2"/>
  <c r="H309" i="2"/>
  <c r="E311" i="2"/>
  <c r="H311" i="2"/>
  <c r="E313" i="2"/>
  <c r="H313" i="2"/>
  <c r="E315" i="2"/>
  <c r="H315" i="2"/>
  <c r="E317" i="2"/>
  <c r="H317" i="2"/>
  <c r="E319" i="2"/>
  <c r="H319" i="2"/>
  <c r="E321" i="2"/>
  <c r="H321" i="2"/>
  <c r="E323" i="2"/>
  <c r="H323" i="2"/>
  <c r="E325" i="2"/>
  <c r="H325" i="2"/>
  <c r="E327" i="2"/>
  <c r="H327" i="2"/>
  <c r="E329" i="2"/>
  <c r="H329" i="2"/>
  <c r="E331" i="2"/>
  <c r="H331" i="2"/>
  <c r="E333" i="2"/>
  <c r="H333" i="2"/>
  <c r="E335" i="2"/>
  <c r="H335" i="2"/>
  <c r="E337" i="2"/>
  <c r="H337" i="2"/>
  <c r="E339" i="2"/>
  <c r="H339" i="2"/>
  <c r="E341" i="2"/>
  <c r="H341" i="2"/>
  <c r="E343" i="2"/>
  <c r="H343" i="2"/>
  <c r="E345" i="2"/>
  <c r="H345" i="2"/>
  <c r="E347" i="2"/>
  <c r="H347" i="2"/>
  <c r="E349" i="2"/>
  <c r="H349" i="2"/>
  <c r="E351" i="2"/>
  <c r="H351" i="2"/>
  <c r="E353" i="2"/>
  <c r="H353" i="2"/>
  <c r="E355" i="2"/>
  <c r="H355" i="2"/>
  <c r="E357" i="2"/>
  <c r="H357" i="2"/>
  <c r="E359" i="2"/>
  <c r="H359" i="2"/>
  <c r="E361" i="2"/>
  <c r="H361" i="2"/>
  <c r="E363" i="2"/>
  <c r="H363" i="2"/>
  <c r="E365" i="2"/>
  <c r="H365" i="2"/>
  <c r="E367" i="2"/>
  <c r="H367" i="2"/>
  <c r="E369" i="2"/>
  <c r="H369" i="2"/>
  <c r="E371" i="2"/>
  <c r="H371" i="2"/>
  <c r="E373" i="2"/>
  <c r="H373" i="2"/>
  <c r="E375" i="2"/>
  <c r="H375" i="2"/>
  <c r="E377" i="2"/>
  <c r="H377" i="2"/>
  <c r="E379" i="2"/>
  <c r="H379" i="2"/>
  <c r="E381" i="2"/>
  <c r="H381" i="2"/>
  <c r="E383" i="2"/>
  <c r="H383" i="2"/>
  <c r="E385" i="2"/>
  <c r="H385" i="2"/>
  <c r="E387" i="2"/>
  <c r="H387" i="2"/>
  <c r="E389" i="2"/>
  <c r="H389" i="2"/>
  <c r="E391" i="2"/>
  <c r="H391" i="2"/>
  <c r="E393" i="2"/>
  <c r="H393" i="2"/>
  <c r="E395" i="2"/>
  <c r="H395" i="2"/>
  <c r="E397" i="2"/>
  <c r="H397" i="2"/>
  <c r="E399" i="2"/>
  <c r="H399" i="2"/>
  <c r="E401" i="2"/>
  <c r="H401" i="2"/>
  <c r="E403" i="2"/>
  <c r="H403" i="2"/>
  <c r="E405" i="2"/>
  <c r="H405" i="2"/>
  <c r="E407" i="2"/>
  <c r="H407" i="2"/>
  <c r="E409" i="2"/>
  <c r="H409" i="2"/>
  <c r="E411" i="2"/>
  <c r="H411" i="2"/>
  <c r="E413" i="2"/>
  <c r="H413" i="2"/>
  <c r="E415" i="2"/>
  <c r="H415" i="2"/>
  <c r="E417" i="2"/>
  <c r="H417" i="2"/>
  <c r="E419" i="2"/>
  <c r="H419" i="2"/>
  <c r="E421" i="2"/>
  <c r="H421" i="2"/>
  <c r="E423" i="2"/>
  <c r="H423" i="2"/>
  <c r="E425" i="2"/>
  <c r="H425" i="2"/>
  <c r="E427" i="2"/>
  <c r="H427" i="2"/>
  <c r="E429" i="2"/>
  <c r="H429" i="2"/>
  <c r="E431" i="2"/>
  <c r="H431" i="2"/>
  <c r="E433" i="2"/>
  <c r="H433" i="2"/>
  <c r="E435" i="2"/>
  <c r="H435" i="2"/>
  <c r="E437" i="2"/>
  <c r="H437" i="2"/>
  <c r="E439" i="2"/>
  <c r="H439" i="2"/>
  <c r="E441" i="2"/>
  <c r="H441" i="2"/>
  <c r="E443" i="2"/>
  <c r="H443" i="2"/>
  <c r="E445" i="2"/>
  <c r="H445" i="2"/>
  <c r="E447" i="2"/>
  <c r="H447" i="2"/>
  <c r="E449" i="2"/>
  <c r="H449" i="2"/>
  <c r="E451" i="2"/>
  <c r="H451" i="2"/>
  <c r="E453" i="2"/>
  <c r="H453" i="2"/>
  <c r="E455" i="2"/>
  <c r="H455" i="2"/>
  <c r="E457" i="2"/>
  <c r="H457" i="2"/>
  <c r="E459" i="2"/>
  <c r="H459" i="2"/>
  <c r="E461" i="2"/>
  <c r="H461" i="2"/>
  <c r="E463" i="2"/>
  <c r="H463" i="2"/>
  <c r="E465" i="2"/>
  <c r="H465" i="2"/>
  <c r="E467" i="2"/>
  <c r="H467" i="2"/>
  <c r="E469" i="2"/>
  <c r="H469" i="2"/>
  <c r="E471" i="2"/>
  <c r="H471" i="2"/>
  <c r="E473" i="2"/>
  <c r="H473" i="2"/>
  <c r="E475" i="2"/>
  <c r="H475" i="2"/>
  <c r="E477" i="2"/>
  <c r="H477" i="2"/>
  <c r="E479" i="2"/>
  <c r="H479" i="2"/>
  <c r="E481" i="2"/>
  <c r="H481" i="2"/>
  <c r="E483" i="2"/>
  <c r="H483" i="2"/>
  <c r="E485" i="2"/>
  <c r="H485" i="2"/>
  <c r="E487" i="2"/>
  <c r="H487" i="2"/>
  <c r="E489" i="2"/>
  <c r="H489" i="2"/>
  <c r="E491" i="2"/>
  <c r="H491" i="2"/>
  <c r="E493" i="2"/>
  <c r="H493" i="2"/>
  <c r="E495" i="2"/>
  <c r="H495" i="2"/>
  <c r="E497" i="2"/>
  <c r="H497" i="2"/>
  <c r="E499" i="2"/>
  <c r="H499" i="2"/>
  <c r="E501" i="2"/>
  <c r="H501" i="2"/>
  <c r="E503" i="2"/>
  <c r="H503" i="2"/>
  <c r="E505" i="2"/>
  <c r="H505" i="2"/>
  <c r="E507" i="2"/>
  <c r="H507" i="2"/>
  <c r="E509" i="2"/>
  <c r="H509" i="2"/>
  <c r="E511" i="2"/>
  <c r="H511" i="2"/>
  <c r="E513" i="2"/>
  <c r="H513" i="2"/>
  <c r="E515" i="2"/>
  <c r="H515" i="2"/>
  <c r="E517" i="2"/>
  <c r="H517" i="2"/>
  <c r="E519" i="2"/>
  <c r="H519" i="2"/>
  <c r="E521" i="2"/>
  <c r="H521" i="2"/>
  <c r="E523" i="2"/>
  <c r="H523" i="2"/>
  <c r="E525" i="2"/>
  <c r="H525" i="2"/>
  <c r="E527" i="2"/>
  <c r="H527" i="2"/>
  <c r="E529" i="2"/>
  <c r="H529" i="2"/>
  <c r="E531" i="2"/>
  <c r="H531" i="2"/>
  <c r="E533" i="2"/>
  <c r="H533" i="2"/>
  <c r="E535" i="2"/>
  <c r="H535" i="2"/>
  <c r="E537" i="2"/>
  <c r="H537" i="2"/>
  <c r="E539" i="2"/>
  <c r="H539" i="2"/>
  <c r="E541" i="2"/>
  <c r="H541" i="2"/>
  <c r="E543" i="2"/>
  <c r="H543" i="2"/>
  <c r="E545" i="2"/>
  <c r="H545" i="2"/>
  <c r="E547" i="2"/>
  <c r="H547" i="2"/>
  <c r="E549" i="2"/>
  <c r="H549" i="2"/>
  <c r="E551" i="2"/>
  <c r="H551" i="2"/>
  <c r="E553" i="2"/>
  <c r="H553" i="2"/>
  <c r="E555" i="2"/>
  <c r="H555" i="2"/>
  <c r="E557" i="2"/>
  <c r="H557" i="2"/>
  <c r="E559" i="2"/>
  <c r="H559" i="2"/>
  <c r="E561" i="2"/>
  <c r="H561" i="2"/>
  <c r="E563" i="2"/>
  <c r="H563" i="2"/>
  <c r="E565" i="2"/>
  <c r="H565" i="2"/>
  <c r="E567" i="2"/>
  <c r="H567" i="2"/>
  <c r="E569" i="2"/>
  <c r="H569" i="2"/>
  <c r="E571" i="2"/>
  <c r="H571" i="2"/>
  <c r="E573" i="2"/>
  <c r="H573" i="2"/>
  <c r="E575" i="2"/>
  <c r="H575" i="2"/>
  <c r="E577" i="2"/>
  <c r="H577" i="2"/>
  <c r="E579" i="2"/>
  <c r="H579" i="2"/>
  <c r="E581" i="2"/>
  <c r="H581" i="2"/>
  <c r="E583" i="2"/>
  <c r="H583" i="2"/>
  <c r="E585" i="2"/>
  <c r="H585" i="2"/>
  <c r="E587" i="2"/>
  <c r="H587" i="2"/>
  <c r="E589" i="2"/>
  <c r="H589" i="2"/>
  <c r="E591" i="2"/>
  <c r="H591" i="2"/>
  <c r="E593" i="2"/>
  <c r="H593" i="2"/>
  <c r="E595" i="2"/>
  <c r="H595" i="2"/>
  <c r="E597" i="2"/>
  <c r="H597" i="2"/>
  <c r="E599" i="2"/>
  <c r="H599" i="2"/>
  <c r="E601" i="2"/>
  <c r="H601" i="2"/>
  <c r="E603" i="2"/>
  <c r="H603" i="2"/>
  <c r="E605" i="2"/>
  <c r="H605" i="2"/>
  <c r="E607" i="2"/>
  <c r="H607" i="2"/>
  <c r="E609" i="2"/>
  <c r="H609" i="2"/>
  <c r="E611" i="2"/>
  <c r="H611" i="2"/>
  <c r="E613" i="2"/>
  <c r="H613" i="2"/>
  <c r="E615" i="2"/>
  <c r="H615" i="2"/>
  <c r="E617" i="2"/>
  <c r="H617" i="2"/>
  <c r="E619" i="2"/>
  <c r="H619" i="2"/>
  <c r="E621" i="2"/>
  <c r="H621" i="2"/>
  <c r="E623" i="2"/>
  <c r="H623" i="2"/>
  <c r="E625" i="2"/>
  <c r="H625" i="2"/>
  <c r="E627" i="2"/>
  <c r="H627" i="2"/>
  <c r="E629" i="2"/>
  <c r="H629" i="2"/>
  <c r="E631" i="2"/>
  <c r="H631" i="2"/>
  <c r="E633" i="2"/>
  <c r="H633" i="2"/>
  <c r="E635" i="2"/>
  <c r="H635" i="2"/>
  <c r="E637" i="2"/>
  <c r="H637" i="2"/>
  <c r="E639" i="2"/>
  <c r="H639" i="2"/>
  <c r="E641" i="2"/>
  <c r="H641" i="2"/>
  <c r="E643" i="2"/>
  <c r="H643" i="2"/>
  <c r="E645" i="2"/>
  <c r="H645" i="2"/>
  <c r="E647" i="2"/>
  <c r="H647" i="2"/>
  <c r="E649" i="2"/>
  <c r="H649" i="2"/>
  <c r="E651" i="2"/>
  <c r="H651" i="2"/>
  <c r="E653" i="2"/>
  <c r="H653" i="2"/>
  <c r="E655" i="2"/>
  <c r="H655" i="2"/>
  <c r="E657" i="2"/>
  <c r="H657" i="2"/>
  <c r="E659" i="2"/>
  <c r="H659" i="2"/>
  <c r="E661" i="2"/>
  <c r="H661" i="2"/>
  <c r="E663" i="2"/>
  <c r="H663" i="2"/>
  <c r="E665" i="2"/>
  <c r="H665" i="2"/>
  <c r="E667" i="2"/>
  <c r="H667" i="2"/>
  <c r="E669" i="2"/>
  <c r="H669" i="2"/>
  <c r="E671" i="2"/>
  <c r="H671" i="2"/>
  <c r="E673" i="2"/>
  <c r="H673" i="2"/>
  <c r="E675" i="2"/>
  <c r="H675" i="2"/>
  <c r="E677" i="2"/>
  <c r="H677" i="2"/>
  <c r="E679" i="2"/>
  <c r="H679" i="2"/>
  <c r="E681" i="2"/>
  <c r="H681" i="2"/>
  <c r="E683" i="2"/>
  <c r="H683" i="2"/>
  <c r="E685" i="2"/>
  <c r="H685" i="2"/>
  <c r="E687" i="2"/>
  <c r="H687" i="2"/>
  <c r="E689" i="2"/>
  <c r="H689" i="2"/>
  <c r="E691" i="2"/>
  <c r="H691" i="2"/>
  <c r="E693" i="2"/>
  <c r="H693" i="2"/>
  <c r="E695" i="2"/>
  <c r="H695" i="2"/>
  <c r="E697" i="2"/>
  <c r="H697" i="2"/>
  <c r="E699" i="2"/>
  <c r="H699" i="2"/>
  <c r="E701" i="2"/>
  <c r="H701" i="2"/>
  <c r="E703" i="2"/>
  <c r="H703" i="2"/>
  <c r="E705" i="2"/>
  <c r="H705" i="2"/>
  <c r="E707" i="2"/>
  <c r="H707" i="2"/>
  <c r="E709" i="2"/>
  <c r="H709" i="2"/>
  <c r="E711" i="2"/>
  <c r="H711" i="2"/>
  <c r="E713" i="2"/>
  <c r="H713" i="2"/>
  <c r="E715" i="2"/>
  <c r="H715" i="2"/>
  <c r="E717" i="2"/>
  <c r="H717" i="2"/>
  <c r="E719" i="2"/>
  <c r="H719" i="2"/>
  <c r="E721" i="2"/>
  <c r="H721" i="2"/>
  <c r="E723" i="2"/>
  <c r="H723" i="2"/>
  <c r="E725" i="2"/>
  <c r="H725" i="2"/>
  <c r="E727" i="2"/>
  <c r="H727" i="2"/>
  <c r="E729" i="2"/>
  <c r="H729" i="2"/>
  <c r="E731" i="2"/>
  <c r="H731" i="2"/>
  <c r="E733" i="2"/>
  <c r="H733" i="2"/>
  <c r="E735" i="2"/>
  <c r="H735" i="2"/>
  <c r="E737" i="2"/>
  <c r="H737" i="2"/>
  <c r="E739" i="2"/>
  <c r="H739" i="2"/>
  <c r="E741" i="2"/>
  <c r="H741" i="2"/>
  <c r="E743" i="2"/>
  <c r="H743" i="2"/>
  <c r="E745" i="2"/>
  <c r="H745" i="2"/>
  <c r="E747" i="2"/>
  <c r="H747" i="2"/>
  <c r="E749" i="2"/>
  <c r="H749" i="2"/>
  <c r="E751" i="2"/>
  <c r="H751" i="2"/>
  <c r="E753" i="2"/>
  <c r="H753" i="2"/>
  <c r="E755" i="2"/>
  <c r="H755" i="2"/>
  <c r="E757" i="2"/>
  <c r="H757" i="2"/>
  <c r="E759" i="2"/>
  <c r="H759" i="2"/>
  <c r="E761" i="2"/>
  <c r="H761" i="2"/>
  <c r="E763" i="2"/>
  <c r="H763" i="2"/>
  <c r="E765" i="2"/>
  <c r="H765" i="2"/>
  <c r="E767" i="2"/>
  <c r="H767" i="2"/>
  <c r="E769" i="2"/>
  <c r="H769" i="2"/>
  <c r="E771" i="2"/>
  <c r="H771" i="2"/>
  <c r="E773" i="2"/>
  <c r="H773" i="2"/>
  <c r="E775" i="2"/>
  <c r="H775" i="2"/>
  <c r="E777" i="2"/>
  <c r="H777" i="2"/>
  <c r="E779" i="2"/>
  <c r="H779" i="2"/>
  <c r="E781" i="2"/>
  <c r="H781" i="2"/>
  <c r="E783" i="2"/>
  <c r="H783" i="2"/>
  <c r="E785" i="2"/>
  <c r="H785" i="2"/>
  <c r="E787" i="2"/>
  <c r="H787" i="2"/>
  <c r="E789" i="2"/>
  <c r="H789" i="2"/>
  <c r="E791" i="2"/>
  <c r="H791" i="2"/>
  <c r="E793" i="2"/>
  <c r="H793" i="2"/>
  <c r="E795" i="2"/>
  <c r="H795" i="2"/>
  <c r="E797" i="2"/>
  <c r="H797" i="2"/>
  <c r="E799" i="2"/>
  <c r="H799" i="2"/>
  <c r="E801" i="2"/>
  <c r="H801" i="2"/>
  <c r="E803" i="2"/>
  <c r="H803" i="2"/>
  <c r="E805" i="2"/>
  <c r="H805" i="2"/>
  <c r="E807" i="2"/>
  <c r="H807" i="2"/>
  <c r="E809" i="2"/>
  <c r="H809" i="2"/>
  <c r="E811" i="2"/>
  <c r="H811" i="2"/>
  <c r="E813" i="2"/>
  <c r="H813" i="2"/>
  <c r="E815" i="2"/>
  <c r="H815" i="2"/>
  <c r="E817" i="2"/>
  <c r="H817" i="2"/>
  <c r="E819" i="2"/>
  <c r="H819" i="2"/>
  <c r="E821" i="2"/>
  <c r="H821" i="2"/>
  <c r="E823" i="2"/>
  <c r="H823" i="2"/>
  <c r="E825" i="2"/>
  <c r="H825" i="2"/>
  <c r="E827" i="2"/>
  <c r="H827" i="2"/>
  <c r="E829" i="2"/>
  <c r="H829" i="2"/>
  <c r="E831" i="2"/>
  <c r="H831" i="2"/>
  <c r="E833" i="2"/>
  <c r="H833" i="2"/>
  <c r="E835" i="2"/>
  <c r="H835" i="2"/>
  <c r="E837" i="2"/>
  <c r="H837" i="2"/>
  <c r="E839" i="2"/>
  <c r="H839" i="2"/>
  <c r="E841" i="2"/>
  <c r="H841" i="2"/>
  <c r="E843" i="2"/>
  <c r="H843" i="2"/>
  <c r="E845" i="2"/>
  <c r="H845" i="2"/>
  <c r="E847" i="2"/>
  <c r="H847" i="2"/>
  <c r="E849" i="2"/>
  <c r="H849" i="2"/>
  <c r="E851" i="2"/>
  <c r="H851" i="2"/>
  <c r="E853" i="2"/>
  <c r="H853" i="2"/>
  <c r="E855" i="2"/>
  <c r="H855" i="2"/>
  <c r="E857" i="2"/>
  <c r="H857" i="2"/>
  <c r="E859" i="2"/>
  <c r="H859" i="2"/>
  <c r="E861" i="2"/>
  <c r="H861" i="2"/>
  <c r="E863" i="2"/>
  <c r="H863" i="2"/>
  <c r="E865" i="2"/>
  <c r="H865" i="2"/>
  <c r="E867" i="2"/>
  <c r="H867" i="2"/>
  <c r="E869" i="2"/>
  <c r="H869" i="2"/>
  <c r="E871" i="2"/>
  <c r="H871" i="2"/>
  <c r="E873" i="2"/>
  <c r="H873" i="2"/>
  <c r="E875" i="2"/>
  <c r="H875" i="2"/>
  <c r="E877" i="2"/>
  <c r="H877" i="2"/>
  <c r="E879" i="2"/>
  <c r="H879" i="2"/>
  <c r="E881" i="2"/>
  <c r="H881" i="2"/>
  <c r="E883" i="2"/>
  <c r="H883" i="2"/>
  <c r="E885" i="2"/>
  <c r="H885" i="2"/>
  <c r="E887" i="2"/>
  <c r="H887" i="2"/>
  <c r="E889" i="2"/>
  <c r="H889" i="2"/>
  <c r="E891" i="2"/>
  <c r="H891" i="2"/>
  <c r="E893" i="2"/>
  <c r="H893" i="2"/>
  <c r="E895" i="2"/>
  <c r="H895" i="2"/>
  <c r="E897" i="2"/>
  <c r="H897" i="2"/>
  <c r="E899" i="2"/>
  <c r="H899" i="2"/>
  <c r="E901" i="2"/>
  <c r="H901" i="2"/>
  <c r="E903" i="2"/>
  <c r="H903" i="2"/>
  <c r="E905" i="2"/>
  <c r="H905" i="2"/>
  <c r="E907" i="2"/>
  <c r="H907" i="2"/>
  <c r="E909" i="2"/>
  <c r="H909" i="2"/>
  <c r="E911" i="2"/>
  <c r="H911" i="2"/>
  <c r="E913" i="2"/>
  <c r="H913" i="2"/>
  <c r="E915" i="2"/>
  <c r="H915" i="2"/>
  <c r="E917" i="2"/>
  <c r="H917" i="2"/>
  <c r="E919" i="2"/>
  <c r="H919" i="2"/>
  <c r="E921" i="2"/>
  <c r="H921" i="2"/>
  <c r="E923" i="2"/>
  <c r="H923" i="2"/>
  <c r="E925" i="2"/>
  <c r="H925" i="2"/>
  <c r="E927" i="2"/>
  <c r="H927" i="2"/>
  <c r="E929" i="2"/>
  <c r="H929" i="2"/>
  <c r="E931" i="2"/>
  <c r="H931" i="2"/>
  <c r="E933" i="2"/>
  <c r="H933" i="2"/>
  <c r="E935" i="2"/>
  <c r="H935" i="2"/>
  <c r="E937" i="2"/>
  <c r="H937" i="2"/>
  <c r="E939" i="2"/>
  <c r="H939" i="2"/>
  <c r="E941" i="2"/>
  <c r="H941" i="2"/>
  <c r="E943" i="2"/>
  <c r="H943" i="2"/>
  <c r="E945" i="2"/>
  <c r="H945" i="2"/>
  <c r="E947" i="2"/>
  <c r="H947" i="2"/>
  <c r="E949" i="2"/>
  <c r="H949" i="2"/>
  <c r="E951" i="2"/>
  <c r="H951" i="2"/>
  <c r="E953" i="2"/>
  <c r="H953" i="2"/>
  <c r="E955" i="2"/>
  <c r="H955" i="2"/>
  <c r="E957" i="2"/>
  <c r="H957" i="2"/>
  <c r="E959" i="2"/>
  <c r="H959" i="2"/>
  <c r="E961" i="2"/>
  <c r="H961" i="2"/>
  <c r="E963" i="2"/>
  <c r="H963" i="2"/>
  <c r="E965" i="2"/>
  <c r="H965" i="2"/>
  <c r="E967" i="2"/>
  <c r="H967" i="2"/>
  <c r="E969" i="2"/>
  <c r="H969" i="2"/>
  <c r="E971" i="2"/>
  <c r="H971" i="2"/>
  <c r="E973" i="2"/>
  <c r="H973" i="2"/>
  <c r="E975" i="2"/>
  <c r="H975" i="2"/>
  <c r="E977" i="2"/>
  <c r="H977" i="2"/>
  <c r="E979" i="2"/>
  <c r="H979" i="2"/>
  <c r="E981" i="2"/>
  <c r="H981" i="2"/>
  <c r="E983" i="2"/>
  <c r="H983" i="2"/>
  <c r="E985" i="2"/>
  <c r="H985" i="2"/>
  <c r="E987" i="2"/>
  <c r="H987" i="2"/>
  <c r="E989" i="2"/>
  <c r="H989" i="2"/>
  <c r="E991" i="2"/>
  <c r="H991" i="2"/>
  <c r="E993" i="2"/>
  <c r="H993" i="2"/>
  <c r="E995" i="2"/>
  <c r="H995" i="2"/>
  <c r="E997" i="2"/>
  <c r="H997" i="2"/>
  <c r="E999" i="2"/>
  <c r="H999" i="2"/>
  <c r="E1001" i="2"/>
  <c r="H1001" i="2"/>
  <c r="E1003" i="2"/>
  <c r="H1003" i="2"/>
  <c r="E1005" i="2"/>
  <c r="H1005" i="2"/>
  <c r="E1007" i="2"/>
  <c r="H1007" i="2"/>
  <c r="E1009" i="2"/>
  <c r="H1009" i="2"/>
  <c r="E1011" i="2"/>
  <c r="H1011" i="2"/>
  <c r="E1013" i="2"/>
  <c r="H1013" i="2"/>
  <c r="E1015" i="2"/>
  <c r="H1015" i="2"/>
  <c r="E1017" i="2"/>
  <c r="H1017" i="2"/>
  <c r="E1019" i="2"/>
  <c r="H1019" i="2"/>
  <c r="E1021" i="2"/>
  <c r="H1021" i="2"/>
  <c r="E1023" i="2"/>
  <c r="H1023" i="2"/>
  <c r="E1025" i="2"/>
  <c r="H1025" i="2"/>
  <c r="E1027" i="2"/>
  <c r="H1027" i="2"/>
  <c r="E1029" i="2"/>
  <c r="H1029" i="2"/>
  <c r="E1031" i="2"/>
  <c r="H1031" i="2"/>
  <c r="E1033" i="2"/>
  <c r="H1033" i="2"/>
  <c r="E1035" i="2"/>
  <c r="H1035" i="2"/>
  <c r="E1037" i="2"/>
  <c r="H1037" i="2"/>
  <c r="E1039" i="2"/>
  <c r="H1039" i="2"/>
  <c r="E1041" i="2"/>
  <c r="H1041" i="2"/>
  <c r="E1043" i="2"/>
  <c r="H1043" i="2"/>
  <c r="E1045" i="2"/>
  <c r="H1045" i="2"/>
  <c r="E1047" i="2"/>
  <c r="H1047" i="2"/>
  <c r="E1049" i="2"/>
  <c r="H1049" i="2"/>
  <c r="E1051" i="2"/>
  <c r="H1051" i="2"/>
  <c r="E1053" i="2"/>
  <c r="H1053" i="2"/>
  <c r="E1055" i="2"/>
  <c r="H1055" i="2"/>
  <c r="E1057" i="2"/>
  <c r="H1057" i="2"/>
  <c r="E1059" i="2"/>
  <c r="H1059" i="2"/>
  <c r="E1061" i="2"/>
  <c r="H1061" i="2"/>
  <c r="E1063" i="2"/>
  <c r="H1063" i="2"/>
  <c r="E1065" i="2"/>
  <c r="H1065" i="2"/>
  <c r="E1067" i="2"/>
  <c r="H1067" i="2"/>
  <c r="E1069" i="2"/>
  <c r="H1069" i="2"/>
  <c r="E1071" i="2"/>
  <c r="H1071" i="2"/>
  <c r="E1073" i="2"/>
  <c r="H1073" i="2"/>
  <c r="E1075" i="2"/>
  <c r="H1075" i="2"/>
  <c r="E1077" i="2"/>
  <c r="H1077" i="2"/>
  <c r="E1079" i="2"/>
  <c r="H1079" i="2"/>
  <c r="E1081" i="2"/>
  <c r="H1081" i="2"/>
  <c r="E1083" i="2"/>
  <c r="H1083" i="2"/>
  <c r="E1085" i="2"/>
  <c r="H1085" i="2"/>
  <c r="E1087" i="2"/>
  <c r="H1087" i="2"/>
  <c r="E1089" i="2"/>
  <c r="H1089" i="2"/>
  <c r="E1091" i="2"/>
  <c r="H1091" i="2"/>
  <c r="E1093" i="2"/>
  <c r="H1093" i="2"/>
  <c r="E1095" i="2"/>
  <c r="H1095" i="2"/>
  <c r="E1097" i="2"/>
  <c r="H1097" i="2"/>
  <c r="E1099" i="2"/>
  <c r="H1099" i="2"/>
  <c r="E1101" i="2"/>
  <c r="H1101" i="2"/>
  <c r="E1103" i="2"/>
  <c r="H1103" i="2"/>
  <c r="E1105" i="2"/>
  <c r="H1105" i="2"/>
  <c r="E1107" i="2"/>
  <c r="H1107" i="2"/>
  <c r="E1109" i="2"/>
  <c r="H1109" i="2"/>
  <c r="E1111" i="2"/>
  <c r="H1111" i="2"/>
  <c r="E1113" i="2"/>
  <c r="H1113" i="2"/>
  <c r="E1115" i="2"/>
  <c r="H1115" i="2"/>
  <c r="E1117" i="2"/>
  <c r="H1117" i="2"/>
  <c r="E1119" i="2"/>
  <c r="H1119" i="2"/>
  <c r="E1121" i="2"/>
  <c r="H1121" i="2"/>
  <c r="E1123" i="2"/>
  <c r="H1123" i="2"/>
  <c r="E1125" i="2"/>
  <c r="H1125" i="2"/>
  <c r="E1127" i="2"/>
  <c r="H1127" i="2"/>
  <c r="E1129" i="2"/>
  <c r="H1129" i="2"/>
  <c r="E1131" i="2"/>
  <c r="H1131" i="2"/>
  <c r="E1133" i="2"/>
  <c r="H1133" i="2"/>
  <c r="E1135" i="2"/>
  <c r="H1135" i="2"/>
  <c r="E1137" i="2"/>
  <c r="H1137" i="2"/>
  <c r="E1139" i="2"/>
  <c r="H1139" i="2"/>
  <c r="E1141" i="2"/>
  <c r="H1141" i="2"/>
  <c r="E1143" i="2"/>
  <c r="H1143" i="2"/>
  <c r="E1145" i="2"/>
  <c r="H1145" i="2"/>
  <c r="E1147" i="2"/>
  <c r="H1147" i="2"/>
  <c r="E1149" i="2"/>
  <c r="H1149" i="2"/>
  <c r="E1151" i="2"/>
  <c r="H1151" i="2"/>
  <c r="E1153" i="2"/>
  <c r="H1153" i="2"/>
  <c r="E1155" i="2"/>
  <c r="H1155" i="2"/>
  <c r="E1157" i="2"/>
  <c r="H1157" i="2"/>
  <c r="E1159" i="2"/>
  <c r="H1159" i="2"/>
  <c r="E1161" i="2"/>
  <c r="H1161" i="2"/>
  <c r="E1163" i="2"/>
  <c r="H1163" i="2"/>
  <c r="E1165" i="2"/>
  <c r="H1165" i="2"/>
  <c r="E1167" i="2"/>
  <c r="H1167" i="2"/>
  <c r="E1169" i="2"/>
  <c r="H1169" i="2"/>
  <c r="E1171" i="2"/>
  <c r="H1171" i="2"/>
  <c r="E1173" i="2"/>
  <c r="H1173" i="2"/>
  <c r="E1175" i="2"/>
  <c r="H1175" i="2"/>
  <c r="E1177" i="2"/>
  <c r="H1177" i="2"/>
  <c r="E1179" i="2"/>
  <c r="H1179" i="2"/>
  <c r="E1181" i="2"/>
  <c r="H1181" i="2"/>
  <c r="E1183" i="2"/>
  <c r="H1183" i="2"/>
  <c r="E1185" i="2"/>
  <c r="H1185" i="2"/>
  <c r="E1187" i="2"/>
  <c r="H1187" i="2"/>
  <c r="E1189" i="2"/>
  <c r="H1189" i="2"/>
  <c r="E1191" i="2"/>
  <c r="H1191" i="2"/>
  <c r="E1193" i="2"/>
  <c r="H1193" i="2"/>
  <c r="E1195" i="2"/>
  <c r="H1195" i="2"/>
  <c r="E1197" i="2"/>
  <c r="H1197" i="2"/>
  <c r="E1199" i="2"/>
  <c r="H1199" i="2"/>
  <c r="E1201" i="2"/>
  <c r="H1201" i="2"/>
  <c r="E1203" i="2"/>
  <c r="H1203" i="2"/>
  <c r="E1205" i="2"/>
  <c r="H1205" i="2"/>
  <c r="E1207" i="2"/>
  <c r="H1207" i="2"/>
  <c r="E1209" i="2"/>
  <c r="H1209" i="2"/>
  <c r="E1211" i="2"/>
  <c r="H1211" i="2"/>
  <c r="E1213" i="2"/>
  <c r="H1213" i="2"/>
  <c r="E1215" i="2"/>
  <c r="H1215" i="2"/>
  <c r="E1217" i="2"/>
  <c r="H1217" i="2"/>
  <c r="E1219" i="2"/>
  <c r="H1219" i="2"/>
  <c r="E1221" i="2"/>
  <c r="H1221" i="2"/>
  <c r="E1223" i="2"/>
  <c r="H1223" i="2"/>
  <c r="E1225" i="2"/>
  <c r="H1225" i="2"/>
  <c r="E1227" i="2"/>
  <c r="H1227" i="2"/>
  <c r="E1229" i="2"/>
  <c r="H1229" i="2"/>
  <c r="E1231" i="2"/>
  <c r="H1231" i="2"/>
  <c r="E1233" i="2"/>
  <c r="H1233" i="2"/>
  <c r="E1235" i="2"/>
  <c r="H1235" i="2"/>
  <c r="E1237" i="2"/>
  <c r="H1237" i="2"/>
  <c r="E1239" i="2"/>
  <c r="H1239" i="2"/>
  <c r="E1241" i="2"/>
  <c r="H1241" i="2"/>
  <c r="E1243" i="2"/>
  <c r="H1243" i="2"/>
  <c r="E1245" i="2"/>
  <c r="H1245" i="2"/>
  <c r="E1247" i="2"/>
  <c r="H1247" i="2"/>
  <c r="E1249" i="2"/>
  <c r="H1249" i="2"/>
  <c r="E1251" i="2"/>
  <c r="H1251" i="2"/>
  <c r="E1253" i="2"/>
  <c r="H1253" i="2"/>
  <c r="E1255" i="2"/>
  <c r="H1255" i="2"/>
  <c r="E1257" i="2"/>
  <c r="H1257" i="2"/>
  <c r="E1259" i="2"/>
  <c r="H1259" i="2"/>
  <c r="E1261" i="2"/>
  <c r="H1261" i="2"/>
  <c r="E1263" i="2"/>
  <c r="H1263" i="2"/>
  <c r="E1265" i="2"/>
  <c r="H1265" i="2"/>
  <c r="E1267" i="2"/>
  <c r="H1267" i="2"/>
  <c r="E1269" i="2"/>
  <c r="H1269" i="2"/>
  <c r="E1271" i="2"/>
  <c r="H1271" i="2"/>
  <c r="E1273" i="2"/>
  <c r="H1273" i="2"/>
  <c r="E1275" i="2"/>
  <c r="H1275" i="2"/>
  <c r="E1277" i="2"/>
  <c r="H1277" i="2"/>
  <c r="E1279" i="2"/>
  <c r="H1279" i="2"/>
  <c r="E1281" i="2"/>
  <c r="H1281" i="2"/>
  <c r="E1283" i="2"/>
  <c r="H1283" i="2"/>
  <c r="E1285" i="2"/>
  <c r="H1285" i="2"/>
  <c r="E1287" i="2"/>
  <c r="H1287" i="2"/>
  <c r="E1289" i="2"/>
  <c r="H1289" i="2"/>
  <c r="E1291" i="2"/>
  <c r="H1291" i="2"/>
  <c r="E1293" i="2"/>
  <c r="H1293" i="2"/>
  <c r="E1295" i="2"/>
  <c r="H1295" i="2"/>
  <c r="E1297" i="2"/>
  <c r="H1297" i="2"/>
  <c r="E1299" i="2"/>
  <c r="H1299" i="2"/>
  <c r="E1301" i="2"/>
  <c r="H1301" i="2"/>
  <c r="E1303" i="2"/>
  <c r="H1303" i="2"/>
  <c r="E1305" i="2"/>
  <c r="H1305" i="2"/>
  <c r="E1307" i="2"/>
  <c r="H1307" i="2"/>
  <c r="E1309" i="2"/>
  <c r="H1309" i="2"/>
  <c r="E1311" i="2"/>
  <c r="H1311" i="2"/>
  <c r="E1313" i="2"/>
  <c r="H1313" i="2"/>
  <c r="E1315" i="2"/>
  <c r="H1315" i="2"/>
  <c r="E1317" i="2"/>
  <c r="H1317" i="2"/>
  <c r="E1319" i="2"/>
  <c r="H1319" i="2"/>
  <c r="E1321" i="2"/>
  <c r="H1321" i="2"/>
  <c r="E1323" i="2"/>
  <c r="H1323" i="2"/>
  <c r="E1325" i="2"/>
  <c r="H1325" i="2"/>
  <c r="E1327" i="2"/>
  <c r="H1327" i="2"/>
  <c r="E1329" i="2"/>
  <c r="H1329" i="2"/>
  <c r="E1331" i="2"/>
  <c r="H1331" i="2"/>
  <c r="E1333" i="2"/>
  <c r="H1333" i="2"/>
  <c r="E1335" i="2"/>
  <c r="H1335" i="2"/>
  <c r="E1337" i="2"/>
  <c r="H1337" i="2"/>
  <c r="E1339" i="2"/>
  <c r="H1339" i="2"/>
  <c r="E1341" i="2"/>
  <c r="H1341" i="2"/>
  <c r="E1343" i="2"/>
  <c r="H1343" i="2"/>
  <c r="E1345" i="2"/>
  <c r="H1345" i="2"/>
  <c r="E1347" i="2"/>
  <c r="H1347" i="2"/>
  <c r="E1349" i="2"/>
  <c r="H1349" i="2"/>
  <c r="E1351" i="2"/>
  <c r="H1351" i="2"/>
  <c r="E1353" i="2"/>
  <c r="H1353" i="2"/>
  <c r="E1355" i="2"/>
  <c r="H1355" i="2"/>
  <c r="E1357" i="2"/>
  <c r="H1357" i="2"/>
  <c r="E1359" i="2"/>
  <c r="H1359" i="2"/>
  <c r="E1361" i="2"/>
  <c r="H1361" i="2"/>
  <c r="E1363" i="2"/>
  <c r="H1363" i="2"/>
  <c r="E1365" i="2"/>
  <c r="H1365" i="2"/>
  <c r="E1367" i="2"/>
  <c r="H1367" i="2"/>
  <c r="E1369" i="2"/>
  <c r="H1369" i="2"/>
  <c r="E1371" i="2"/>
  <c r="H1371" i="2"/>
  <c r="E1373" i="2"/>
  <c r="H1373" i="2"/>
  <c r="E1375" i="2"/>
  <c r="H1375" i="2"/>
  <c r="E1377" i="2"/>
  <c r="H1377" i="2"/>
  <c r="E1379" i="2"/>
  <c r="H1379" i="2"/>
  <c r="E1381" i="2"/>
  <c r="H1381" i="2"/>
  <c r="E1383" i="2"/>
  <c r="H1383" i="2"/>
  <c r="E1385" i="2"/>
  <c r="H1385" i="2"/>
  <c r="E1387" i="2"/>
  <c r="H1387" i="2"/>
  <c r="E1389" i="2"/>
  <c r="H1389" i="2"/>
  <c r="E1391" i="2"/>
  <c r="H1391" i="2"/>
  <c r="E1393" i="2"/>
  <c r="H1393" i="2"/>
  <c r="E1395" i="2"/>
  <c r="H1395" i="2"/>
  <c r="E1397" i="2"/>
  <c r="H1397" i="2"/>
  <c r="E1399" i="2"/>
  <c r="H1399" i="2"/>
  <c r="E1401" i="2"/>
  <c r="H1401" i="2"/>
  <c r="E1403" i="2"/>
  <c r="H1403" i="2"/>
  <c r="E1405" i="2"/>
  <c r="H1405" i="2"/>
  <c r="E1407" i="2"/>
  <c r="H1407" i="2"/>
  <c r="E1409" i="2"/>
  <c r="H1409" i="2"/>
  <c r="E1411" i="2"/>
  <c r="H1411" i="2"/>
  <c r="E1413" i="2"/>
  <c r="H1413" i="2"/>
  <c r="E1415" i="2"/>
  <c r="H1415" i="2"/>
  <c r="E1417" i="2"/>
  <c r="H1417" i="2"/>
  <c r="E1419" i="2"/>
  <c r="H1419" i="2"/>
  <c r="E1421" i="2"/>
  <c r="H1421" i="2"/>
  <c r="E1423" i="2"/>
  <c r="H1423" i="2"/>
  <c r="E1425" i="2"/>
  <c r="H1425" i="2"/>
  <c r="E1427" i="2"/>
  <c r="H1427" i="2"/>
  <c r="E1429" i="2"/>
  <c r="H1429" i="2"/>
  <c r="E1431" i="2"/>
  <c r="H1431" i="2"/>
  <c r="E1433" i="2"/>
  <c r="H1433" i="2"/>
  <c r="E1435" i="2"/>
  <c r="H1435" i="2"/>
  <c r="E1437" i="2"/>
  <c r="H1437" i="2"/>
  <c r="E1439" i="2"/>
  <c r="H1439" i="2"/>
  <c r="E1441" i="2"/>
  <c r="H1441" i="2"/>
  <c r="E1443" i="2"/>
  <c r="H1443" i="2"/>
  <c r="E1445" i="2"/>
  <c r="H1445" i="2"/>
  <c r="E1447" i="2"/>
  <c r="H1447" i="2"/>
  <c r="E1449" i="2"/>
  <c r="H1449" i="2"/>
  <c r="E1451" i="2"/>
  <c r="H1451" i="2"/>
  <c r="E1453" i="2"/>
  <c r="H1453" i="2"/>
  <c r="E1455" i="2"/>
  <c r="H1455" i="2"/>
  <c r="E1457" i="2"/>
  <c r="H1457" i="2"/>
  <c r="E1459" i="2"/>
  <c r="H1459" i="2"/>
  <c r="E1461" i="2"/>
  <c r="H1461" i="2"/>
  <c r="E1463" i="2"/>
  <c r="H1463" i="2"/>
  <c r="E1465" i="2"/>
  <c r="H1465" i="2"/>
  <c r="E1467" i="2"/>
  <c r="H1467" i="2"/>
  <c r="E1469" i="2"/>
  <c r="H1469" i="2"/>
  <c r="E1471" i="2"/>
  <c r="H1471" i="2"/>
  <c r="E1473" i="2"/>
  <c r="H1473" i="2"/>
  <c r="E1475" i="2"/>
  <c r="H1475" i="2"/>
  <c r="E1477" i="2"/>
  <c r="H1477" i="2"/>
  <c r="E1479" i="2"/>
  <c r="H1479" i="2"/>
  <c r="E1481" i="2"/>
  <c r="H1481" i="2"/>
  <c r="E1483" i="2"/>
  <c r="H1483" i="2"/>
  <c r="E1485" i="2"/>
  <c r="H1485" i="2"/>
  <c r="E1487" i="2"/>
  <c r="H1487" i="2"/>
  <c r="E1489" i="2"/>
  <c r="H1489" i="2"/>
  <c r="E1491" i="2"/>
  <c r="H1491" i="2"/>
  <c r="E1493" i="2"/>
  <c r="H1493" i="2"/>
  <c r="E1495" i="2"/>
  <c r="H1495" i="2"/>
  <c r="E1497" i="2"/>
  <c r="H1497" i="2"/>
  <c r="E1499" i="2"/>
  <c r="H1499" i="2"/>
  <c r="E1501" i="2"/>
  <c r="H1501" i="2"/>
  <c r="E1503" i="2"/>
  <c r="H1503" i="2"/>
  <c r="E1505" i="2"/>
  <c r="H1505" i="2"/>
  <c r="E1507" i="2"/>
  <c r="H1507" i="2"/>
  <c r="E1509" i="2"/>
  <c r="H1509" i="2"/>
  <c r="E1511" i="2"/>
  <c r="H1511" i="2"/>
  <c r="E1513" i="2"/>
  <c r="H1513" i="2"/>
  <c r="E1515" i="2"/>
  <c r="H1515" i="2"/>
  <c r="E1517" i="2"/>
  <c r="H1517" i="2"/>
  <c r="E1519" i="2"/>
  <c r="H1519" i="2"/>
  <c r="E1521" i="2"/>
  <c r="H1521" i="2"/>
  <c r="E1523" i="2"/>
  <c r="H1523" i="2"/>
  <c r="E1525" i="2"/>
  <c r="H1525" i="2"/>
  <c r="E1527" i="2"/>
  <c r="H1527" i="2"/>
  <c r="E1529" i="2"/>
  <c r="H1529" i="2"/>
  <c r="E1531" i="2"/>
  <c r="H1531" i="2"/>
  <c r="E1533" i="2"/>
  <c r="H1533" i="2"/>
  <c r="E1535" i="2"/>
  <c r="H1535" i="2"/>
  <c r="E1537" i="2"/>
  <c r="H1537" i="2"/>
  <c r="E1539" i="2"/>
  <c r="H1539" i="2"/>
  <c r="E1541" i="2"/>
  <c r="H1541" i="2"/>
  <c r="E1543" i="2"/>
  <c r="H1543" i="2"/>
  <c r="E1545" i="2"/>
  <c r="H1545" i="2"/>
  <c r="E1547" i="2"/>
  <c r="H1547" i="2"/>
  <c r="E1549" i="2"/>
  <c r="H1549" i="2"/>
  <c r="E1551" i="2"/>
  <c r="H1551" i="2"/>
  <c r="E1553" i="2"/>
  <c r="H1553" i="2"/>
  <c r="E1555" i="2"/>
  <c r="H1555" i="2"/>
  <c r="E1557" i="2"/>
  <c r="H1557" i="2"/>
  <c r="E1559" i="2"/>
  <c r="H1559" i="2"/>
  <c r="E1561" i="2"/>
  <c r="H1561" i="2"/>
  <c r="E1563" i="2"/>
  <c r="H1563" i="2"/>
  <c r="E1565" i="2"/>
  <c r="H1565" i="2"/>
  <c r="E1567" i="2"/>
  <c r="H1567" i="2"/>
  <c r="E1569" i="2"/>
  <c r="H1569" i="2"/>
  <c r="E1571" i="2"/>
  <c r="H1571" i="2"/>
  <c r="E1573" i="2"/>
  <c r="H1573" i="2"/>
  <c r="E1575" i="2"/>
  <c r="H1575" i="2"/>
  <c r="E1577" i="2"/>
  <c r="H1577" i="2"/>
  <c r="E1579" i="2"/>
  <c r="H1579" i="2"/>
  <c r="E1581" i="2"/>
  <c r="H1581" i="2"/>
  <c r="E1583" i="2"/>
  <c r="H1583" i="2"/>
  <c r="E1585" i="2"/>
  <c r="H1585" i="2"/>
  <c r="E1587" i="2"/>
  <c r="H1587" i="2"/>
  <c r="E1589" i="2"/>
  <c r="H1589" i="2"/>
  <c r="E1591" i="2"/>
  <c r="H1591" i="2"/>
  <c r="E1593" i="2"/>
  <c r="H1593" i="2"/>
  <c r="E1595" i="2"/>
  <c r="H1595" i="2"/>
  <c r="E1597" i="2"/>
  <c r="H1597" i="2"/>
  <c r="E1599" i="2"/>
  <c r="H1599" i="2"/>
  <c r="E1601" i="2"/>
  <c r="H1601" i="2"/>
  <c r="E1603" i="2"/>
  <c r="H1603" i="2"/>
  <c r="E1605" i="2"/>
  <c r="H1605" i="2"/>
  <c r="E1607" i="2"/>
  <c r="H1607" i="2"/>
  <c r="E1609" i="2"/>
  <c r="H1609" i="2"/>
  <c r="E1611" i="2"/>
  <c r="H1611" i="2"/>
  <c r="E1613" i="2"/>
  <c r="H1613" i="2"/>
  <c r="E1615" i="2"/>
  <c r="H1615" i="2"/>
  <c r="E1617" i="2"/>
  <c r="H1617" i="2"/>
  <c r="E1619" i="2"/>
  <c r="H1619" i="2"/>
  <c r="E1621" i="2"/>
  <c r="H1621" i="2"/>
  <c r="E1623" i="2"/>
  <c r="H1623" i="2"/>
  <c r="E1625" i="2"/>
  <c r="H1625" i="2"/>
  <c r="E1627" i="2"/>
  <c r="H1627" i="2"/>
  <c r="E1629" i="2"/>
  <c r="H1629" i="2"/>
  <c r="E1631" i="2"/>
  <c r="H1631" i="2"/>
  <c r="E1633" i="2"/>
  <c r="H1633" i="2"/>
  <c r="E1635" i="2"/>
  <c r="H1635" i="2"/>
  <c r="E1637" i="2"/>
  <c r="H1637" i="2"/>
  <c r="E1639" i="2"/>
  <c r="H1639" i="2"/>
  <c r="E1641" i="2"/>
  <c r="H1641" i="2"/>
  <c r="E1643" i="2"/>
  <c r="H1643" i="2"/>
  <c r="E1645" i="2"/>
  <c r="H1645" i="2"/>
  <c r="E1647" i="2"/>
  <c r="H1647" i="2"/>
  <c r="E1649" i="2"/>
  <c r="H1649" i="2"/>
  <c r="E1651" i="2"/>
  <c r="H1651" i="2"/>
  <c r="E1653" i="2"/>
  <c r="H1653" i="2"/>
  <c r="E1655" i="2"/>
  <c r="H1655" i="2"/>
  <c r="E1657" i="2"/>
  <c r="H1657" i="2"/>
  <c r="E1659" i="2"/>
  <c r="H1659" i="2"/>
  <c r="E1661" i="2"/>
  <c r="H1661" i="2"/>
  <c r="E1663" i="2"/>
  <c r="H1663" i="2"/>
  <c r="E1665" i="2"/>
  <c r="H1665" i="2"/>
  <c r="E1667" i="2"/>
  <c r="H1667" i="2"/>
  <c r="E1669" i="2"/>
  <c r="H1669" i="2"/>
  <c r="E1671" i="2"/>
  <c r="H1671" i="2"/>
  <c r="E1673" i="2"/>
  <c r="H1673" i="2"/>
  <c r="E1675" i="2"/>
  <c r="H1675" i="2"/>
  <c r="E1677" i="2"/>
  <c r="H1677" i="2"/>
  <c r="E1679" i="2"/>
  <c r="H1679" i="2"/>
  <c r="E1681" i="2"/>
  <c r="H1681" i="2"/>
  <c r="E1683" i="2"/>
  <c r="H1683" i="2"/>
  <c r="E1685" i="2"/>
  <c r="H1685" i="2"/>
  <c r="E1687" i="2"/>
  <c r="H1687" i="2"/>
  <c r="E1689" i="2"/>
  <c r="H1689" i="2"/>
  <c r="E1691" i="2"/>
  <c r="H1691" i="2"/>
  <c r="E1693" i="2"/>
  <c r="H1693" i="2"/>
  <c r="E1695" i="2"/>
  <c r="H1695" i="2"/>
  <c r="E1697" i="2"/>
  <c r="H1697" i="2"/>
  <c r="E1699" i="2"/>
  <c r="H1699" i="2"/>
  <c r="E1701" i="2"/>
  <c r="H1701" i="2"/>
  <c r="E1703" i="2"/>
  <c r="H1703" i="2"/>
  <c r="E1705" i="2"/>
  <c r="H1705" i="2"/>
  <c r="E1707" i="2"/>
  <c r="H1707" i="2"/>
  <c r="E1709" i="2"/>
  <c r="H1709" i="2"/>
  <c r="E1711" i="2"/>
  <c r="H1711" i="2"/>
  <c r="E1713" i="2"/>
  <c r="H1713" i="2"/>
  <c r="E1715" i="2"/>
  <c r="H1715" i="2"/>
  <c r="E1717" i="2"/>
  <c r="H1717" i="2"/>
  <c r="E1719" i="2"/>
  <c r="H1719" i="2"/>
  <c r="E1721" i="2"/>
  <c r="H1721" i="2"/>
  <c r="E1723" i="2"/>
  <c r="H1723" i="2"/>
  <c r="E1725" i="2"/>
  <c r="H1725" i="2"/>
  <c r="E1727" i="2"/>
  <c r="H1727" i="2"/>
  <c r="E1729" i="2"/>
  <c r="H1729" i="2"/>
  <c r="E1731" i="2"/>
  <c r="H1731" i="2"/>
  <c r="E1733" i="2"/>
  <c r="H1733" i="2"/>
  <c r="E1735" i="2"/>
  <c r="H1735" i="2"/>
  <c r="E1737" i="2"/>
  <c r="H1737" i="2"/>
  <c r="E1739" i="2"/>
  <c r="H1739" i="2"/>
  <c r="E1741" i="2"/>
  <c r="H1741" i="2"/>
  <c r="E1743" i="2"/>
  <c r="H1743" i="2"/>
  <c r="E1745" i="2"/>
  <c r="H1745" i="2"/>
  <c r="E1747" i="2"/>
  <c r="H1747" i="2"/>
  <c r="E1749" i="2"/>
  <c r="H1749" i="2"/>
  <c r="E1751" i="2"/>
  <c r="H1751" i="2"/>
  <c r="E1753" i="2"/>
  <c r="H1753" i="2"/>
  <c r="E1755" i="2"/>
  <c r="H1755" i="2"/>
  <c r="E1757" i="2"/>
  <c r="H1757" i="2"/>
  <c r="E1759" i="2"/>
  <c r="H1759" i="2"/>
  <c r="E1761" i="2"/>
  <c r="H1761" i="2"/>
  <c r="E1763" i="2"/>
  <c r="H1763" i="2"/>
  <c r="E1765" i="2"/>
  <c r="H1765" i="2"/>
  <c r="E1767" i="2"/>
  <c r="H1767" i="2"/>
  <c r="E1769" i="2"/>
  <c r="H1769" i="2"/>
  <c r="E1771" i="2"/>
  <c r="H1771" i="2"/>
  <c r="E1773" i="2"/>
  <c r="H1773" i="2"/>
  <c r="E1775" i="2"/>
  <c r="H1775" i="2"/>
  <c r="E1777" i="2"/>
  <c r="H1777" i="2"/>
  <c r="E1779" i="2"/>
  <c r="H1779" i="2"/>
  <c r="E1781" i="2"/>
  <c r="H1781" i="2"/>
  <c r="E1783" i="2"/>
  <c r="H1783" i="2"/>
  <c r="E1785" i="2"/>
  <c r="H1785" i="2"/>
  <c r="E1787" i="2"/>
  <c r="H1787" i="2"/>
  <c r="E1789" i="2"/>
  <c r="H1789" i="2"/>
  <c r="E1791" i="2"/>
  <c r="H1791" i="2"/>
  <c r="E1793" i="2"/>
  <c r="H1793" i="2"/>
  <c r="E1795" i="2"/>
  <c r="H1795" i="2"/>
  <c r="E1797" i="2"/>
  <c r="H1797" i="2"/>
  <c r="E1799" i="2"/>
  <c r="H1799" i="2"/>
  <c r="E1801" i="2"/>
  <c r="H1801" i="2"/>
  <c r="E1803" i="2"/>
  <c r="H1803" i="2"/>
  <c r="E1805" i="2"/>
  <c r="H1805" i="2"/>
  <c r="E1807" i="2"/>
  <c r="H1807" i="2"/>
  <c r="E1809" i="2"/>
  <c r="H1809" i="2"/>
  <c r="E1811" i="2"/>
  <c r="H1811" i="2"/>
  <c r="E1813" i="2"/>
  <c r="H1813" i="2"/>
  <c r="E1815" i="2"/>
  <c r="H1815" i="2"/>
  <c r="E1817" i="2"/>
  <c r="H1817" i="2"/>
  <c r="E1819" i="2"/>
  <c r="H1819" i="2"/>
  <c r="E1821" i="2"/>
  <c r="H1821" i="2"/>
  <c r="E1823" i="2"/>
  <c r="H1823" i="2"/>
  <c r="E1825" i="2"/>
  <c r="H1825" i="2"/>
  <c r="E1827" i="2"/>
  <c r="H1827" i="2"/>
  <c r="E1829" i="2"/>
  <c r="H1829" i="2"/>
  <c r="E1831" i="2"/>
  <c r="H1831" i="2"/>
  <c r="E1833" i="2"/>
  <c r="H1833" i="2"/>
  <c r="E1835" i="2"/>
  <c r="H1835" i="2"/>
  <c r="E1837" i="2"/>
  <c r="H1837" i="2"/>
  <c r="E1839" i="2"/>
  <c r="H1839" i="2"/>
  <c r="E1841" i="2"/>
  <c r="H1841" i="2"/>
  <c r="E1843" i="2"/>
  <c r="H1843" i="2"/>
  <c r="E1845" i="2"/>
  <c r="H1845" i="2"/>
  <c r="E1847" i="2"/>
  <c r="H1847" i="2"/>
  <c r="E1849" i="2"/>
  <c r="H1849" i="2"/>
  <c r="E1851" i="2"/>
  <c r="H1851" i="2"/>
  <c r="E1853" i="2"/>
  <c r="H1853" i="2"/>
  <c r="H1867" i="2"/>
  <c r="E1867" i="2"/>
  <c r="H1869" i="2"/>
  <c r="E1869" i="2"/>
  <c r="H1871" i="2"/>
  <c r="E1871" i="2"/>
  <c r="H1873" i="2"/>
  <c r="E1873" i="2"/>
  <c r="H1875" i="2"/>
  <c r="E1875" i="2"/>
  <c r="H1877" i="2"/>
  <c r="E1877" i="2"/>
  <c r="H1879" i="2"/>
  <c r="E1879" i="2"/>
  <c r="H1881" i="2"/>
  <c r="E1881" i="2"/>
  <c r="H1883" i="2"/>
  <c r="E1883" i="2"/>
  <c r="H1885" i="2"/>
  <c r="E1885" i="2"/>
  <c r="H1887" i="2"/>
  <c r="E1887" i="2"/>
  <c r="H1889" i="2"/>
  <c r="E1889" i="2"/>
  <c r="H1891" i="2"/>
  <c r="E1891" i="2"/>
  <c r="H1893" i="2"/>
  <c r="E1893" i="2"/>
  <c r="H1895" i="2"/>
  <c r="E1895" i="2"/>
  <c r="H1897" i="2"/>
  <c r="E1897" i="2"/>
  <c r="H1899" i="2"/>
  <c r="E1899" i="2"/>
  <c r="H1901" i="2"/>
  <c r="E1901" i="2"/>
  <c r="H1903" i="2"/>
  <c r="E1903" i="2"/>
  <c r="H1905" i="2"/>
  <c r="E1905" i="2"/>
  <c r="H1907" i="2"/>
  <c r="E1907" i="2"/>
  <c r="H1909" i="2"/>
  <c r="E1909" i="2"/>
  <c r="H1911" i="2"/>
  <c r="E1911" i="2"/>
  <c r="H1913" i="2"/>
  <c r="E1913" i="2"/>
  <c r="H1915" i="2"/>
  <c r="E1915" i="2"/>
  <c r="H1917" i="2"/>
  <c r="E1917" i="2"/>
  <c r="H1919" i="2"/>
  <c r="E1919" i="2"/>
  <c r="H1921" i="2"/>
  <c r="E1921" i="2"/>
  <c r="H1923" i="2"/>
  <c r="E1923" i="2"/>
  <c r="H1925" i="2"/>
  <c r="E1925" i="2"/>
  <c r="H1927" i="2"/>
  <c r="E1927" i="2"/>
  <c r="H1929" i="2"/>
  <c r="E1929" i="2"/>
  <c r="H1931" i="2"/>
  <c r="E1931" i="2"/>
  <c r="H1933" i="2"/>
  <c r="E1933" i="2"/>
  <c r="H1935" i="2"/>
  <c r="E1935" i="2"/>
  <c r="H1937" i="2"/>
  <c r="E1937" i="2"/>
  <c r="H1939" i="2"/>
  <c r="E1939" i="2"/>
  <c r="H1941" i="2"/>
  <c r="E1941" i="2"/>
  <c r="H1943" i="2"/>
  <c r="E1943" i="2"/>
  <c r="H1945" i="2"/>
  <c r="E1945" i="2"/>
  <c r="H1947" i="2"/>
  <c r="E1947" i="2"/>
  <c r="H1949" i="2"/>
  <c r="E1949" i="2"/>
  <c r="H1951" i="2"/>
  <c r="E1951" i="2"/>
  <c r="H1953" i="2"/>
  <c r="E1953" i="2"/>
  <c r="H1955" i="2"/>
  <c r="E1955" i="2"/>
  <c r="H1957" i="2"/>
  <c r="E1957" i="2"/>
  <c r="H1959" i="2"/>
  <c r="E1959" i="2"/>
  <c r="H1961" i="2"/>
  <c r="E1961" i="2"/>
  <c r="H1963" i="2"/>
  <c r="E1963" i="2"/>
  <c r="H1965" i="2"/>
  <c r="E1965" i="2"/>
  <c r="H1967" i="2"/>
  <c r="E1967" i="2"/>
  <c r="H1969" i="2"/>
  <c r="E1969" i="2"/>
  <c r="H1971" i="2"/>
  <c r="E1971" i="2"/>
  <c r="H1973" i="2"/>
  <c r="E1973" i="2"/>
  <c r="H1975" i="2"/>
  <c r="E1975" i="2"/>
  <c r="H1977" i="2"/>
  <c r="E1977" i="2"/>
  <c r="H1979" i="2"/>
  <c r="E1979" i="2"/>
  <c r="H1981" i="2"/>
  <c r="E1981" i="2"/>
  <c r="H1983" i="2"/>
  <c r="E1983" i="2"/>
  <c r="H1985" i="2"/>
  <c r="E1985" i="2"/>
  <c r="H1987" i="2"/>
  <c r="E1987" i="2"/>
  <c r="H1989" i="2"/>
  <c r="E1989" i="2"/>
  <c r="H1991" i="2"/>
  <c r="E1991" i="2"/>
  <c r="H1993" i="2"/>
  <c r="E1993" i="2"/>
  <c r="H1995" i="2"/>
  <c r="E1995" i="2"/>
  <c r="H1997" i="2"/>
  <c r="E1997" i="2"/>
  <c r="H1999" i="2"/>
  <c r="E1999" i="2"/>
  <c r="H2001" i="2"/>
  <c r="E2001" i="2"/>
  <c r="H2003" i="2"/>
  <c r="E2003" i="2"/>
  <c r="H2005" i="2"/>
  <c r="E2005" i="2"/>
  <c r="H2007" i="2"/>
  <c r="E2007" i="2"/>
  <c r="H2009" i="2"/>
  <c r="E2009" i="2"/>
  <c r="H2011" i="2"/>
  <c r="E2011" i="2"/>
  <c r="H2013" i="2"/>
  <c r="E2013" i="2"/>
  <c r="H2015" i="2"/>
  <c r="E2015" i="2"/>
  <c r="G1010" i="3"/>
  <c r="F18" i="2"/>
  <c r="D18" i="2"/>
  <c r="B18" i="2"/>
  <c r="K18" i="2"/>
  <c r="I18" i="2"/>
  <c r="G18" i="2"/>
  <c r="C18" i="2"/>
  <c r="F22" i="2"/>
  <c r="D22" i="2"/>
  <c r="B22" i="2"/>
  <c r="K22" i="2"/>
  <c r="I22" i="2"/>
  <c r="G22" i="2"/>
  <c r="C22" i="2"/>
  <c r="F26" i="2"/>
  <c r="D26" i="2"/>
  <c r="B26" i="2"/>
  <c r="K26" i="2"/>
  <c r="I26" i="2"/>
  <c r="G26" i="2"/>
  <c r="C26" i="2"/>
  <c r="F30" i="2"/>
  <c r="D30" i="2"/>
  <c r="B30" i="2"/>
  <c r="K30" i="2"/>
  <c r="I30" i="2"/>
  <c r="G30" i="2"/>
  <c r="C30" i="2"/>
  <c r="F34" i="2"/>
  <c r="D34" i="2"/>
  <c r="B34" i="2"/>
  <c r="K34" i="2"/>
  <c r="I34" i="2"/>
  <c r="G34" i="2"/>
  <c r="C34" i="2"/>
  <c r="F38" i="2"/>
  <c r="D38" i="2"/>
  <c r="B38" i="2"/>
  <c r="K38" i="2"/>
  <c r="I38" i="2"/>
  <c r="G38" i="2"/>
  <c r="C38" i="2"/>
  <c r="K42" i="2"/>
  <c r="I42" i="2"/>
  <c r="G42" i="2"/>
  <c r="C42" i="2"/>
  <c r="D42" i="2"/>
  <c r="F42" i="2"/>
  <c r="B42" i="2"/>
  <c r="K46" i="2"/>
  <c r="I46" i="2"/>
  <c r="G46" i="2"/>
  <c r="C46" i="2"/>
  <c r="D46" i="2"/>
  <c r="F46" i="2"/>
  <c r="B46" i="2"/>
  <c r="K50" i="2"/>
  <c r="I50" i="2"/>
  <c r="G50" i="2"/>
  <c r="C50" i="2"/>
  <c r="D50" i="2"/>
  <c r="F50" i="2"/>
  <c r="B50" i="2"/>
  <c r="J50" i="2" s="1"/>
  <c r="K54" i="2"/>
  <c r="I54" i="2"/>
  <c r="G54" i="2"/>
  <c r="C54" i="2"/>
  <c r="F54" i="2"/>
  <c r="D54" i="2"/>
  <c r="B54" i="2"/>
  <c r="J54" i="2" s="1"/>
  <c r="K58" i="2"/>
  <c r="I58" i="2"/>
  <c r="G58" i="2"/>
  <c r="C58" i="2"/>
  <c r="F58" i="2"/>
  <c r="D58" i="2"/>
  <c r="B58" i="2"/>
  <c r="J58" i="2" s="1"/>
  <c r="K62" i="2"/>
  <c r="I62" i="2"/>
  <c r="G62" i="2"/>
  <c r="C62" i="2"/>
  <c r="F62" i="2"/>
  <c r="D62" i="2"/>
  <c r="B62" i="2"/>
  <c r="J62" i="2" s="1"/>
  <c r="K66" i="2"/>
  <c r="I66" i="2"/>
  <c r="G66" i="2"/>
  <c r="C66" i="2"/>
  <c r="F66" i="2"/>
  <c r="D66" i="2"/>
  <c r="B66" i="2"/>
  <c r="J66" i="2" s="1"/>
  <c r="K70" i="2"/>
  <c r="I70" i="2"/>
  <c r="G70" i="2"/>
  <c r="C70" i="2"/>
  <c r="F70" i="2"/>
  <c r="D70" i="2"/>
  <c r="B70" i="2"/>
  <c r="J70" i="2" s="1"/>
  <c r="K74" i="2"/>
  <c r="I74" i="2"/>
  <c r="G74" i="2"/>
  <c r="C74" i="2"/>
  <c r="F74" i="2"/>
  <c r="D74" i="2"/>
  <c r="B74" i="2"/>
  <c r="J74" i="2" s="1"/>
  <c r="K78" i="2"/>
  <c r="I78" i="2"/>
  <c r="G78" i="2"/>
  <c r="C78" i="2"/>
  <c r="F78" i="2"/>
  <c r="D78" i="2"/>
  <c r="B78" i="2"/>
  <c r="J78" i="2" s="1"/>
  <c r="K82" i="2"/>
  <c r="I82" i="2"/>
  <c r="G82" i="2"/>
  <c r="C82" i="2"/>
  <c r="F82" i="2"/>
  <c r="D82" i="2"/>
  <c r="B82" i="2"/>
  <c r="J82" i="2" s="1"/>
  <c r="K86" i="2"/>
  <c r="I86" i="2"/>
  <c r="G86" i="2"/>
  <c r="C86" i="2"/>
  <c r="F86" i="2"/>
  <c r="D86" i="2"/>
  <c r="B86" i="2"/>
  <c r="J86" i="2" s="1"/>
  <c r="K90" i="2"/>
  <c r="I90" i="2"/>
  <c r="G90" i="2"/>
  <c r="C90" i="2"/>
  <c r="F90" i="2"/>
  <c r="D90" i="2"/>
  <c r="B90" i="2"/>
  <c r="J90" i="2" s="1"/>
  <c r="F17" i="2"/>
  <c r="D17" i="2"/>
  <c r="B17" i="2"/>
  <c r="K17" i="2"/>
  <c r="I17" i="2"/>
  <c r="G17" i="2"/>
  <c r="C17" i="2"/>
  <c r="F19" i="2"/>
  <c r="D19" i="2"/>
  <c r="B19" i="2"/>
  <c r="K19" i="2"/>
  <c r="I19" i="2"/>
  <c r="G19" i="2"/>
  <c r="C19" i="2"/>
  <c r="F21" i="2"/>
  <c r="D21" i="2"/>
  <c r="B21" i="2"/>
  <c r="K21" i="2"/>
  <c r="I21" i="2"/>
  <c r="G21" i="2"/>
  <c r="C21" i="2"/>
  <c r="F23" i="2"/>
  <c r="D23" i="2"/>
  <c r="B23" i="2"/>
  <c r="K23" i="2"/>
  <c r="I23" i="2"/>
  <c r="G23" i="2"/>
  <c r="C23" i="2"/>
  <c r="F25" i="2"/>
  <c r="D25" i="2"/>
  <c r="B25" i="2"/>
  <c r="K25" i="2"/>
  <c r="I25" i="2"/>
  <c r="G25" i="2"/>
  <c r="C25" i="2"/>
  <c r="F27" i="2"/>
  <c r="D27" i="2"/>
  <c r="B27" i="2"/>
  <c r="K27" i="2"/>
  <c r="I27" i="2"/>
  <c r="G27" i="2"/>
  <c r="C27" i="2"/>
  <c r="F29" i="2"/>
  <c r="D29" i="2"/>
  <c r="B29" i="2"/>
  <c r="K29" i="2"/>
  <c r="I29" i="2"/>
  <c r="G29" i="2"/>
  <c r="C29" i="2"/>
  <c r="F31" i="2"/>
  <c r="D31" i="2"/>
  <c r="B31" i="2"/>
  <c r="K31" i="2"/>
  <c r="I31" i="2"/>
  <c r="G31" i="2"/>
  <c r="C31" i="2"/>
  <c r="F33" i="2"/>
  <c r="D33" i="2"/>
  <c r="B33" i="2"/>
  <c r="K33" i="2"/>
  <c r="I33" i="2"/>
  <c r="G33" i="2"/>
  <c r="C33" i="2"/>
  <c r="F35" i="2"/>
  <c r="D35" i="2"/>
  <c r="B35" i="2"/>
  <c r="K35" i="2"/>
  <c r="I35" i="2"/>
  <c r="G35" i="2"/>
  <c r="C35" i="2"/>
  <c r="F37" i="2"/>
  <c r="D37" i="2"/>
  <c r="B37" i="2"/>
  <c r="K37" i="2"/>
  <c r="I37" i="2"/>
  <c r="G37" i="2"/>
  <c r="C37" i="2"/>
  <c r="F39" i="2"/>
  <c r="D39" i="2"/>
  <c r="B39" i="2"/>
  <c r="K39" i="2"/>
  <c r="I39" i="2"/>
  <c r="G39" i="2"/>
  <c r="C39" i="2"/>
  <c r="K41" i="2"/>
  <c r="I41" i="2"/>
  <c r="G41" i="2"/>
  <c r="C41" i="2"/>
  <c r="D41" i="2"/>
  <c r="F41" i="2"/>
  <c r="B41" i="2"/>
  <c r="K43" i="2"/>
  <c r="I43" i="2"/>
  <c r="G43" i="2"/>
  <c r="C43" i="2"/>
  <c r="D43" i="2"/>
  <c r="F43" i="2"/>
  <c r="B43" i="2"/>
  <c r="K45" i="2"/>
  <c r="I45" i="2"/>
  <c r="G45" i="2"/>
  <c r="C45" i="2"/>
  <c r="D45" i="2"/>
  <c r="F45" i="2"/>
  <c r="B45" i="2"/>
  <c r="K47" i="2"/>
  <c r="I47" i="2"/>
  <c r="G47" i="2"/>
  <c r="C47" i="2"/>
  <c r="D47" i="2"/>
  <c r="F47" i="2"/>
  <c r="B47" i="2"/>
  <c r="K49" i="2"/>
  <c r="I49" i="2"/>
  <c r="G49" i="2"/>
  <c r="C49" i="2"/>
  <c r="D49" i="2"/>
  <c r="F49" i="2"/>
  <c r="B49" i="2"/>
  <c r="J49" i="2" s="1"/>
  <c r="K51" i="2"/>
  <c r="I51" i="2"/>
  <c r="G51" i="2"/>
  <c r="C51" i="2"/>
  <c r="F51" i="2"/>
  <c r="D51" i="2"/>
  <c r="B51" i="2"/>
  <c r="J51" i="2" s="1"/>
  <c r="K53" i="2"/>
  <c r="I53" i="2"/>
  <c r="G53" i="2"/>
  <c r="C53" i="2"/>
  <c r="F53" i="2"/>
  <c r="D53" i="2"/>
  <c r="B53" i="2"/>
  <c r="J53" i="2" s="1"/>
  <c r="K55" i="2"/>
  <c r="I55" i="2"/>
  <c r="G55" i="2"/>
  <c r="C55" i="2"/>
  <c r="F55" i="2"/>
  <c r="D55" i="2"/>
  <c r="B55" i="2"/>
  <c r="J55" i="2" s="1"/>
  <c r="K57" i="2"/>
  <c r="I57" i="2"/>
  <c r="G57" i="2"/>
  <c r="C57" i="2"/>
  <c r="F57" i="2"/>
  <c r="D57" i="2"/>
  <c r="B57" i="2"/>
  <c r="J57" i="2" s="1"/>
  <c r="K59" i="2"/>
  <c r="I59" i="2"/>
  <c r="G59" i="2"/>
  <c r="C59" i="2"/>
  <c r="F59" i="2"/>
  <c r="D59" i="2"/>
  <c r="B59" i="2"/>
  <c r="J59" i="2" s="1"/>
  <c r="K61" i="2"/>
  <c r="I61" i="2"/>
  <c r="G61" i="2"/>
  <c r="C61" i="2"/>
  <c r="F61" i="2"/>
  <c r="D61" i="2"/>
  <c r="B61" i="2"/>
  <c r="J61" i="2" s="1"/>
  <c r="K63" i="2"/>
  <c r="I63" i="2"/>
  <c r="G63" i="2"/>
  <c r="C63" i="2"/>
  <c r="F63" i="2"/>
  <c r="D63" i="2"/>
  <c r="B63" i="2"/>
  <c r="J63" i="2" s="1"/>
  <c r="K65" i="2"/>
  <c r="I65" i="2"/>
  <c r="G65" i="2"/>
  <c r="C65" i="2"/>
  <c r="F65" i="2"/>
  <c r="D65" i="2"/>
  <c r="B65" i="2"/>
  <c r="J65" i="2" s="1"/>
  <c r="K67" i="2"/>
  <c r="I67" i="2"/>
  <c r="G67" i="2"/>
  <c r="C67" i="2"/>
  <c r="F67" i="2"/>
  <c r="D67" i="2"/>
  <c r="B67" i="2"/>
  <c r="J67" i="2" s="1"/>
  <c r="K69" i="2"/>
  <c r="I69" i="2"/>
  <c r="G69" i="2"/>
  <c r="C69" i="2"/>
  <c r="F69" i="2"/>
  <c r="D69" i="2"/>
  <c r="B69" i="2"/>
  <c r="J69" i="2" s="1"/>
  <c r="K71" i="2"/>
  <c r="I71" i="2"/>
  <c r="G71" i="2"/>
  <c r="C71" i="2"/>
  <c r="F71" i="2"/>
  <c r="D71" i="2"/>
  <c r="B71" i="2"/>
  <c r="J71" i="2" s="1"/>
  <c r="K73" i="2"/>
  <c r="I73" i="2"/>
  <c r="G73" i="2"/>
  <c r="C73" i="2"/>
  <c r="F73" i="2"/>
  <c r="D73" i="2"/>
  <c r="B73" i="2"/>
  <c r="J73" i="2" s="1"/>
  <c r="K75" i="2"/>
  <c r="I75" i="2"/>
  <c r="G75" i="2"/>
  <c r="C75" i="2"/>
  <c r="F75" i="2"/>
  <c r="D75" i="2"/>
  <c r="B75" i="2"/>
  <c r="J75" i="2" s="1"/>
  <c r="K77" i="2"/>
  <c r="I77" i="2"/>
  <c r="G77" i="2"/>
  <c r="C77" i="2"/>
  <c r="F77" i="2"/>
  <c r="D77" i="2"/>
  <c r="B77" i="2"/>
  <c r="J77" i="2" s="1"/>
  <c r="K79" i="2"/>
  <c r="I79" i="2"/>
  <c r="G79" i="2"/>
  <c r="C79" i="2"/>
  <c r="F79" i="2"/>
  <c r="D79" i="2"/>
  <c r="B79" i="2"/>
  <c r="J79" i="2" s="1"/>
  <c r="K81" i="2"/>
  <c r="I81" i="2"/>
  <c r="G81" i="2"/>
  <c r="C81" i="2"/>
  <c r="F81" i="2"/>
  <c r="D81" i="2"/>
  <c r="B81" i="2"/>
  <c r="J81" i="2" s="1"/>
  <c r="K83" i="2"/>
  <c r="I83" i="2"/>
  <c r="G83" i="2"/>
  <c r="C83" i="2"/>
  <c r="F83" i="2"/>
  <c r="D83" i="2"/>
  <c r="B83" i="2"/>
  <c r="J83" i="2" s="1"/>
  <c r="K85" i="2"/>
  <c r="I85" i="2"/>
  <c r="G85" i="2"/>
  <c r="C85" i="2"/>
  <c r="F85" i="2"/>
  <c r="D85" i="2"/>
  <c r="B85" i="2"/>
  <c r="J85" i="2" s="1"/>
  <c r="K87" i="2"/>
  <c r="I87" i="2"/>
  <c r="G87" i="2"/>
  <c r="C87" i="2"/>
  <c r="F87" i="2"/>
  <c r="D87" i="2"/>
  <c r="B87" i="2"/>
  <c r="J87" i="2" s="1"/>
  <c r="K89" i="2"/>
  <c r="I89" i="2"/>
  <c r="G89" i="2"/>
  <c r="C89" i="2"/>
  <c r="F89" i="2"/>
  <c r="D89" i="2"/>
  <c r="B89" i="2"/>
  <c r="J89" i="2" s="1"/>
  <c r="K91" i="2"/>
  <c r="I91" i="2"/>
  <c r="G91" i="2"/>
  <c r="C91" i="2"/>
  <c r="F91" i="2"/>
  <c r="D91" i="2"/>
  <c r="B91" i="2"/>
  <c r="J91" i="2" s="1"/>
  <c r="K93" i="2"/>
  <c r="I93" i="2"/>
  <c r="G93" i="2"/>
  <c r="C93" i="2"/>
  <c r="F93" i="2"/>
  <c r="D93" i="2"/>
  <c r="B93" i="2"/>
  <c r="J93" i="2" s="1"/>
  <c r="K95" i="2"/>
  <c r="I95" i="2"/>
  <c r="G95" i="2"/>
  <c r="C95" i="2"/>
  <c r="F95" i="2"/>
  <c r="D95" i="2"/>
  <c r="B95" i="2"/>
  <c r="J95" i="2" s="1"/>
  <c r="K97" i="2"/>
  <c r="I97" i="2"/>
  <c r="G97" i="2"/>
  <c r="C97" i="2"/>
  <c r="F97" i="2"/>
  <c r="D97" i="2"/>
  <c r="B97" i="2"/>
  <c r="J97" i="2" s="1"/>
  <c r="K99" i="2"/>
  <c r="I99" i="2"/>
  <c r="G99" i="2"/>
  <c r="C99" i="2"/>
  <c r="F99" i="2"/>
  <c r="D99" i="2"/>
  <c r="B99" i="2"/>
  <c r="J99" i="2" s="1"/>
  <c r="K101" i="2"/>
  <c r="I101" i="2"/>
  <c r="G101" i="2"/>
  <c r="C101" i="2"/>
  <c r="F101" i="2"/>
  <c r="D101" i="2"/>
  <c r="B101" i="2"/>
  <c r="J101" i="2" s="1"/>
  <c r="K103" i="2"/>
  <c r="I103" i="2"/>
  <c r="G103" i="2"/>
  <c r="C103" i="2"/>
  <c r="F103" i="2"/>
  <c r="D103" i="2"/>
  <c r="B103" i="2"/>
  <c r="J103" i="2" s="1"/>
  <c r="K105" i="2"/>
  <c r="I105" i="2"/>
  <c r="G105" i="2"/>
  <c r="C105" i="2"/>
  <c r="F105" i="2"/>
  <c r="D105" i="2"/>
  <c r="B105" i="2"/>
  <c r="J105" i="2" s="1"/>
  <c r="K107" i="2"/>
  <c r="I107" i="2"/>
  <c r="G107" i="2"/>
  <c r="C107" i="2"/>
  <c r="F107" i="2"/>
  <c r="D107" i="2"/>
  <c r="B107" i="2"/>
  <c r="J107" i="2" s="1"/>
  <c r="K109" i="2"/>
  <c r="I109" i="2"/>
  <c r="G109" i="2"/>
  <c r="C109" i="2"/>
  <c r="F109" i="2"/>
  <c r="D109" i="2"/>
  <c r="B109" i="2"/>
  <c r="J109" i="2" s="1"/>
  <c r="K111" i="2"/>
  <c r="I111" i="2"/>
  <c r="G111" i="2"/>
  <c r="C111" i="2"/>
  <c r="F111" i="2"/>
  <c r="D111" i="2"/>
  <c r="B111" i="2"/>
  <c r="J111" i="2" s="1"/>
  <c r="K113" i="2"/>
  <c r="I113" i="2"/>
  <c r="G113" i="2"/>
  <c r="C113" i="2"/>
  <c r="F113" i="2"/>
  <c r="D113" i="2"/>
  <c r="B113" i="2"/>
  <c r="J113" i="2" s="1"/>
  <c r="K115" i="2"/>
  <c r="I115" i="2"/>
  <c r="G115" i="2"/>
  <c r="C115" i="2"/>
  <c r="F115" i="2"/>
  <c r="D115" i="2"/>
  <c r="B115" i="2"/>
  <c r="J115" i="2" s="1"/>
  <c r="K117" i="2"/>
  <c r="I117" i="2"/>
  <c r="G117" i="2"/>
  <c r="C117" i="2"/>
  <c r="F117" i="2"/>
  <c r="D117" i="2"/>
  <c r="B117" i="2"/>
  <c r="J117" i="2" s="1"/>
  <c r="K119" i="2"/>
  <c r="I119" i="2"/>
  <c r="G119" i="2"/>
  <c r="C119" i="2"/>
  <c r="F119" i="2"/>
  <c r="D119" i="2"/>
  <c r="B119" i="2"/>
  <c r="J119" i="2" s="1"/>
  <c r="K121" i="2"/>
  <c r="I121" i="2"/>
  <c r="G121" i="2"/>
  <c r="C121" i="2"/>
  <c r="F121" i="2"/>
  <c r="D121" i="2"/>
  <c r="B121" i="2"/>
  <c r="J121" i="2" s="1"/>
  <c r="K123" i="2"/>
  <c r="I123" i="2"/>
  <c r="G123" i="2"/>
  <c r="C123" i="2"/>
  <c r="F123" i="2"/>
  <c r="D123" i="2"/>
  <c r="B123" i="2"/>
  <c r="J123" i="2" s="1"/>
  <c r="K125" i="2"/>
  <c r="I125" i="2"/>
  <c r="G125" i="2"/>
  <c r="C125" i="2"/>
  <c r="F125" i="2"/>
  <c r="D125" i="2"/>
  <c r="B125" i="2"/>
  <c r="J125" i="2" s="1"/>
  <c r="K127" i="2"/>
  <c r="I127" i="2"/>
  <c r="G127" i="2"/>
  <c r="C127" i="2"/>
  <c r="F127" i="2"/>
  <c r="D127" i="2"/>
  <c r="B127" i="2"/>
  <c r="J127" i="2" s="1"/>
  <c r="K129" i="2"/>
  <c r="I129" i="2"/>
  <c r="G129" i="2"/>
  <c r="C129" i="2"/>
  <c r="F129" i="2"/>
  <c r="D129" i="2"/>
  <c r="B129" i="2"/>
  <c r="J129" i="2" s="1"/>
  <c r="K131" i="2"/>
  <c r="I131" i="2"/>
  <c r="G131" i="2"/>
  <c r="C131" i="2"/>
  <c r="F131" i="2"/>
  <c r="D131" i="2"/>
  <c r="B131" i="2"/>
  <c r="J131" i="2" s="1"/>
  <c r="K133" i="2"/>
  <c r="I133" i="2"/>
  <c r="G133" i="2"/>
  <c r="C133" i="2"/>
  <c r="F133" i="2"/>
  <c r="D133" i="2"/>
  <c r="B133" i="2"/>
  <c r="J133" i="2" s="1"/>
  <c r="K135" i="2"/>
  <c r="I135" i="2"/>
  <c r="G135" i="2"/>
  <c r="C135" i="2"/>
  <c r="F135" i="2"/>
  <c r="D135" i="2"/>
  <c r="B135" i="2"/>
  <c r="J135" i="2" s="1"/>
  <c r="K137" i="2"/>
  <c r="I137" i="2"/>
  <c r="G137" i="2"/>
  <c r="C137" i="2"/>
  <c r="F137" i="2"/>
  <c r="D137" i="2"/>
  <c r="B137" i="2"/>
  <c r="J137" i="2" s="1"/>
  <c r="K139" i="2"/>
  <c r="I139" i="2"/>
  <c r="G139" i="2"/>
  <c r="C139" i="2"/>
  <c r="F139" i="2"/>
  <c r="D139" i="2"/>
  <c r="B139" i="2"/>
  <c r="J139" i="2" s="1"/>
  <c r="K141" i="2"/>
  <c r="I141" i="2"/>
  <c r="G141" i="2"/>
  <c r="C141" i="2"/>
  <c r="F141" i="2"/>
  <c r="D141" i="2"/>
  <c r="B141" i="2"/>
  <c r="J141" i="2" s="1"/>
  <c r="K143" i="2"/>
  <c r="I143" i="2"/>
  <c r="G143" i="2"/>
  <c r="C143" i="2"/>
  <c r="F143" i="2"/>
  <c r="D143" i="2"/>
  <c r="B143" i="2"/>
  <c r="J143" i="2" s="1"/>
  <c r="K145" i="2"/>
  <c r="I145" i="2"/>
  <c r="G145" i="2"/>
  <c r="C145" i="2"/>
  <c r="F145" i="2"/>
  <c r="D145" i="2"/>
  <c r="B145" i="2"/>
  <c r="J145" i="2" s="1"/>
  <c r="K147" i="2"/>
  <c r="I147" i="2"/>
  <c r="G147" i="2"/>
  <c r="C147" i="2"/>
  <c r="F147" i="2"/>
  <c r="D147" i="2"/>
  <c r="B147" i="2"/>
  <c r="J147" i="2" s="1"/>
  <c r="K149" i="2"/>
  <c r="I149" i="2"/>
  <c r="G149" i="2"/>
  <c r="C149" i="2"/>
  <c r="F149" i="2"/>
  <c r="D149" i="2"/>
  <c r="B149" i="2"/>
  <c r="J149" i="2" s="1"/>
  <c r="K151" i="2"/>
  <c r="I151" i="2"/>
  <c r="G151" i="2"/>
  <c r="C151" i="2"/>
  <c r="F151" i="2"/>
  <c r="D151" i="2"/>
  <c r="B151" i="2"/>
  <c r="J151" i="2" s="1"/>
  <c r="K153" i="2"/>
  <c r="I153" i="2"/>
  <c r="G153" i="2"/>
  <c r="C153" i="2"/>
  <c r="F153" i="2"/>
  <c r="D153" i="2"/>
  <c r="B153" i="2"/>
  <c r="J153" i="2" s="1"/>
  <c r="K155" i="2"/>
  <c r="I155" i="2"/>
  <c r="G155" i="2"/>
  <c r="C155" i="2"/>
  <c r="F155" i="2"/>
  <c r="D155" i="2"/>
  <c r="B155" i="2"/>
  <c r="J155" i="2" s="1"/>
  <c r="K157" i="2"/>
  <c r="I157" i="2"/>
  <c r="G157" i="2"/>
  <c r="C157" i="2"/>
  <c r="F157" i="2"/>
  <c r="D157" i="2"/>
  <c r="B157" i="2"/>
  <c r="J157" i="2" s="1"/>
  <c r="K159" i="2"/>
  <c r="I159" i="2"/>
  <c r="G159" i="2"/>
  <c r="C159" i="2"/>
  <c r="F159" i="2"/>
  <c r="D159" i="2"/>
  <c r="B159" i="2"/>
  <c r="J159" i="2" s="1"/>
  <c r="K161" i="2"/>
  <c r="I161" i="2"/>
  <c r="G161" i="2"/>
  <c r="C161" i="2"/>
  <c r="F161" i="2"/>
  <c r="D161" i="2"/>
  <c r="B161" i="2"/>
  <c r="J161" i="2" s="1"/>
  <c r="K163" i="2"/>
  <c r="I163" i="2"/>
  <c r="G163" i="2"/>
  <c r="C163" i="2"/>
  <c r="F163" i="2"/>
  <c r="D163" i="2"/>
  <c r="B163" i="2"/>
  <c r="J163" i="2" s="1"/>
  <c r="K165" i="2"/>
  <c r="I165" i="2"/>
  <c r="G165" i="2"/>
  <c r="C165" i="2"/>
  <c r="F165" i="2"/>
  <c r="D165" i="2"/>
  <c r="B165" i="2"/>
  <c r="J165" i="2" s="1"/>
  <c r="K167" i="2"/>
  <c r="I167" i="2"/>
  <c r="G167" i="2"/>
  <c r="C167" i="2"/>
  <c r="F167" i="2"/>
  <c r="D167" i="2"/>
  <c r="B167" i="2"/>
  <c r="J167" i="2" s="1"/>
  <c r="K169" i="2"/>
  <c r="I169" i="2"/>
  <c r="G169" i="2"/>
  <c r="C169" i="2"/>
  <c r="F169" i="2"/>
  <c r="D169" i="2"/>
  <c r="B169" i="2"/>
  <c r="J169" i="2" s="1"/>
  <c r="K171" i="2"/>
  <c r="I171" i="2"/>
  <c r="G171" i="2"/>
  <c r="C171" i="2"/>
  <c r="F171" i="2"/>
  <c r="D171" i="2"/>
  <c r="B171" i="2"/>
  <c r="J171" i="2" s="1"/>
  <c r="K173" i="2"/>
  <c r="I173" i="2"/>
  <c r="G173" i="2"/>
  <c r="C173" i="2"/>
  <c r="F173" i="2"/>
  <c r="D173" i="2"/>
  <c r="B173" i="2"/>
  <c r="J173" i="2" s="1"/>
  <c r="K175" i="2"/>
  <c r="I175" i="2"/>
  <c r="G175" i="2"/>
  <c r="C175" i="2"/>
  <c r="F175" i="2"/>
  <c r="D175" i="2"/>
  <c r="B175" i="2"/>
  <c r="J175" i="2" s="1"/>
  <c r="K177" i="2"/>
  <c r="I177" i="2"/>
  <c r="G177" i="2"/>
  <c r="C177" i="2"/>
  <c r="F177" i="2"/>
  <c r="D177" i="2"/>
  <c r="B177" i="2"/>
  <c r="J177" i="2" s="1"/>
  <c r="K179" i="2"/>
  <c r="I179" i="2"/>
  <c r="G179" i="2"/>
  <c r="C179" i="2"/>
  <c r="F179" i="2"/>
  <c r="D179" i="2"/>
  <c r="B179" i="2"/>
  <c r="J179" i="2" s="1"/>
  <c r="K181" i="2"/>
  <c r="I181" i="2"/>
  <c r="G181" i="2"/>
  <c r="C181" i="2"/>
  <c r="F181" i="2"/>
  <c r="D181" i="2"/>
  <c r="B181" i="2"/>
  <c r="J181" i="2" s="1"/>
  <c r="K183" i="2"/>
  <c r="I183" i="2"/>
  <c r="G183" i="2"/>
  <c r="C183" i="2"/>
  <c r="F183" i="2"/>
  <c r="D183" i="2"/>
  <c r="B183" i="2"/>
  <c r="J183" i="2" s="1"/>
  <c r="K185" i="2"/>
  <c r="I185" i="2"/>
  <c r="G185" i="2"/>
  <c r="C185" i="2"/>
  <c r="F185" i="2"/>
  <c r="D185" i="2"/>
  <c r="B185" i="2"/>
  <c r="J185" i="2" s="1"/>
  <c r="K187" i="2"/>
  <c r="I187" i="2"/>
  <c r="G187" i="2"/>
  <c r="C187" i="2"/>
  <c r="F187" i="2"/>
  <c r="D187" i="2"/>
  <c r="B187" i="2"/>
  <c r="J187" i="2" s="1"/>
  <c r="K189" i="2"/>
  <c r="I189" i="2"/>
  <c r="G189" i="2"/>
  <c r="C189" i="2"/>
  <c r="F189" i="2"/>
  <c r="D189" i="2"/>
  <c r="B189" i="2"/>
  <c r="J189" i="2" s="1"/>
  <c r="K191" i="2"/>
  <c r="I191" i="2"/>
  <c r="G191" i="2"/>
  <c r="C191" i="2"/>
  <c r="F191" i="2"/>
  <c r="D191" i="2"/>
  <c r="B191" i="2"/>
  <c r="J191" i="2" s="1"/>
  <c r="K193" i="2"/>
  <c r="I193" i="2"/>
  <c r="G193" i="2"/>
  <c r="C193" i="2"/>
  <c r="F193" i="2"/>
  <c r="D193" i="2"/>
  <c r="B193" i="2"/>
  <c r="J193" i="2" s="1"/>
  <c r="K195" i="2"/>
  <c r="I195" i="2"/>
  <c r="G195" i="2"/>
  <c r="C195" i="2"/>
  <c r="F195" i="2"/>
  <c r="D195" i="2"/>
  <c r="B195" i="2"/>
  <c r="J195" i="2" s="1"/>
  <c r="K197" i="2"/>
  <c r="I197" i="2"/>
  <c r="G197" i="2"/>
  <c r="C197" i="2"/>
  <c r="F197" i="2"/>
  <c r="D197" i="2"/>
  <c r="B197" i="2"/>
  <c r="J197" i="2" s="1"/>
  <c r="K199" i="2"/>
  <c r="I199" i="2"/>
  <c r="G199" i="2"/>
  <c r="C199" i="2"/>
  <c r="F199" i="2"/>
  <c r="D199" i="2"/>
  <c r="B199" i="2"/>
  <c r="J199" i="2" s="1"/>
  <c r="K201" i="2"/>
  <c r="I201" i="2"/>
  <c r="G201" i="2"/>
  <c r="C201" i="2"/>
  <c r="F201" i="2"/>
  <c r="D201" i="2"/>
  <c r="B201" i="2"/>
  <c r="J201" i="2" s="1"/>
  <c r="K203" i="2"/>
  <c r="I203" i="2"/>
  <c r="G203" i="2"/>
  <c r="C203" i="2"/>
  <c r="F203" i="2"/>
  <c r="D203" i="2"/>
  <c r="B203" i="2"/>
  <c r="J203" i="2" s="1"/>
  <c r="K205" i="2"/>
  <c r="I205" i="2"/>
  <c r="G205" i="2"/>
  <c r="C205" i="2"/>
  <c r="F205" i="2"/>
  <c r="D205" i="2"/>
  <c r="B205" i="2"/>
  <c r="J205" i="2" s="1"/>
  <c r="K207" i="2"/>
  <c r="I207" i="2"/>
  <c r="G207" i="2"/>
  <c r="C207" i="2"/>
  <c r="F207" i="2"/>
  <c r="D207" i="2"/>
  <c r="B207" i="2"/>
  <c r="J207" i="2" s="1"/>
  <c r="K209" i="2"/>
  <c r="I209" i="2"/>
  <c r="G209" i="2"/>
  <c r="C209" i="2"/>
  <c r="F209" i="2"/>
  <c r="D209" i="2"/>
  <c r="B209" i="2"/>
  <c r="J209" i="2" s="1"/>
  <c r="K211" i="2"/>
  <c r="I211" i="2"/>
  <c r="G211" i="2"/>
  <c r="C211" i="2"/>
  <c r="F211" i="2"/>
  <c r="D211" i="2"/>
  <c r="B211" i="2"/>
  <c r="J211" i="2" s="1"/>
  <c r="K213" i="2"/>
  <c r="I213" i="2"/>
  <c r="G213" i="2"/>
  <c r="C213" i="2"/>
  <c r="F213" i="2"/>
  <c r="D213" i="2"/>
  <c r="B213" i="2"/>
  <c r="J213" i="2" s="1"/>
  <c r="K215" i="2"/>
  <c r="I215" i="2"/>
  <c r="G215" i="2"/>
  <c r="C215" i="2"/>
  <c r="F215" i="2"/>
  <c r="D215" i="2"/>
  <c r="B215" i="2"/>
  <c r="J215" i="2" s="1"/>
  <c r="K217" i="2"/>
  <c r="I217" i="2"/>
  <c r="G217" i="2"/>
  <c r="C217" i="2"/>
  <c r="F217" i="2"/>
  <c r="D217" i="2"/>
  <c r="B217" i="2"/>
  <c r="J217" i="2" s="1"/>
  <c r="K219" i="2"/>
  <c r="I219" i="2"/>
  <c r="G219" i="2"/>
  <c r="C219" i="2"/>
  <c r="F219" i="2"/>
  <c r="D219" i="2"/>
  <c r="B219" i="2"/>
  <c r="J219" i="2" s="1"/>
  <c r="K221" i="2"/>
  <c r="I221" i="2"/>
  <c r="G221" i="2"/>
  <c r="C221" i="2"/>
  <c r="F221" i="2"/>
  <c r="D221" i="2"/>
  <c r="B221" i="2"/>
  <c r="J221" i="2" s="1"/>
  <c r="K223" i="2"/>
  <c r="I223" i="2"/>
  <c r="G223" i="2"/>
  <c r="C223" i="2"/>
  <c r="F223" i="2"/>
  <c r="D223" i="2"/>
  <c r="B223" i="2"/>
  <c r="J223" i="2" s="1"/>
  <c r="K225" i="2"/>
  <c r="I225" i="2"/>
  <c r="G225" i="2"/>
  <c r="C225" i="2"/>
  <c r="F225" i="2"/>
  <c r="D225" i="2"/>
  <c r="B225" i="2"/>
  <c r="J225" i="2" s="1"/>
  <c r="K227" i="2"/>
  <c r="I227" i="2"/>
  <c r="G227" i="2"/>
  <c r="C227" i="2"/>
  <c r="F227" i="2"/>
  <c r="D227" i="2"/>
  <c r="B227" i="2"/>
  <c r="J227" i="2" s="1"/>
  <c r="K229" i="2"/>
  <c r="I229" i="2"/>
  <c r="G229" i="2"/>
  <c r="C229" i="2"/>
  <c r="F229" i="2"/>
  <c r="D229" i="2"/>
  <c r="B229" i="2"/>
  <c r="J229" i="2" s="1"/>
  <c r="K231" i="2"/>
  <c r="I231" i="2"/>
  <c r="G231" i="2"/>
  <c r="C231" i="2"/>
  <c r="F231" i="2"/>
  <c r="D231" i="2"/>
  <c r="B231" i="2"/>
  <c r="J231" i="2" s="1"/>
  <c r="K233" i="2"/>
  <c r="I233" i="2"/>
  <c r="G233" i="2"/>
  <c r="C233" i="2"/>
  <c r="F233" i="2"/>
  <c r="D233" i="2"/>
  <c r="B233" i="2"/>
  <c r="J233" i="2" s="1"/>
  <c r="K235" i="2"/>
  <c r="I235" i="2"/>
  <c r="G235" i="2"/>
  <c r="C235" i="2"/>
  <c r="F235" i="2"/>
  <c r="D235" i="2"/>
  <c r="B235" i="2"/>
  <c r="J235" i="2" s="1"/>
  <c r="K237" i="2"/>
  <c r="I237" i="2"/>
  <c r="G237" i="2"/>
  <c r="C237" i="2"/>
  <c r="F237" i="2"/>
  <c r="D237" i="2"/>
  <c r="B237" i="2"/>
  <c r="J237" i="2" s="1"/>
  <c r="K239" i="2"/>
  <c r="I239" i="2"/>
  <c r="G239" i="2"/>
  <c r="C239" i="2"/>
  <c r="F239" i="2"/>
  <c r="D239" i="2"/>
  <c r="B239" i="2"/>
  <c r="J239" i="2" s="1"/>
  <c r="K241" i="2"/>
  <c r="I241" i="2"/>
  <c r="G241" i="2"/>
  <c r="C241" i="2"/>
  <c r="F241" i="2"/>
  <c r="D241" i="2"/>
  <c r="B241" i="2"/>
  <c r="J241" i="2" s="1"/>
  <c r="K243" i="2"/>
  <c r="I243" i="2"/>
  <c r="G243" i="2"/>
  <c r="C243" i="2"/>
  <c r="F243" i="2"/>
  <c r="D243" i="2"/>
  <c r="B243" i="2"/>
  <c r="J243" i="2" s="1"/>
  <c r="K245" i="2"/>
  <c r="I245" i="2"/>
  <c r="G245" i="2"/>
  <c r="C245" i="2"/>
  <c r="F245" i="2"/>
  <c r="D245" i="2"/>
  <c r="B245" i="2"/>
  <c r="J245" i="2" s="1"/>
  <c r="K247" i="2"/>
  <c r="I247" i="2"/>
  <c r="G247" i="2"/>
  <c r="C247" i="2"/>
  <c r="F247" i="2"/>
  <c r="D247" i="2"/>
  <c r="B247" i="2"/>
  <c r="J247" i="2" s="1"/>
  <c r="K249" i="2"/>
  <c r="I249" i="2"/>
  <c r="G249" i="2"/>
  <c r="C249" i="2"/>
  <c r="F249" i="2"/>
  <c r="D249" i="2"/>
  <c r="B249" i="2"/>
  <c r="J249" i="2" s="1"/>
  <c r="K251" i="2"/>
  <c r="I251" i="2"/>
  <c r="G251" i="2"/>
  <c r="C251" i="2"/>
  <c r="F251" i="2"/>
  <c r="D251" i="2"/>
  <c r="B251" i="2"/>
  <c r="J251" i="2" s="1"/>
  <c r="K253" i="2"/>
  <c r="I253" i="2"/>
  <c r="G253" i="2"/>
  <c r="C253" i="2"/>
  <c r="F253" i="2"/>
  <c r="D253" i="2"/>
  <c r="B253" i="2"/>
  <c r="J253" i="2" s="1"/>
  <c r="K255" i="2"/>
  <c r="I255" i="2"/>
  <c r="G255" i="2"/>
  <c r="C255" i="2"/>
  <c r="F255" i="2"/>
  <c r="D255" i="2"/>
  <c r="B255" i="2"/>
  <c r="J255" i="2" s="1"/>
  <c r="K257" i="2"/>
  <c r="I257" i="2"/>
  <c r="G257" i="2"/>
  <c r="C257" i="2"/>
  <c r="F257" i="2"/>
  <c r="D257" i="2"/>
  <c r="B257" i="2"/>
  <c r="J257" i="2" s="1"/>
  <c r="K259" i="2"/>
  <c r="I259" i="2"/>
  <c r="G259" i="2"/>
  <c r="C259" i="2"/>
  <c r="F259" i="2"/>
  <c r="D259" i="2"/>
  <c r="B259" i="2"/>
  <c r="J259" i="2" s="1"/>
  <c r="K261" i="2"/>
  <c r="I261" i="2"/>
  <c r="G261" i="2"/>
  <c r="C261" i="2"/>
  <c r="F261" i="2"/>
  <c r="D261" i="2"/>
  <c r="B261" i="2"/>
  <c r="J261" i="2" s="1"/>
  <c r="K263" i="2"/>
  <c r="I263" i="2"/>
  <c r="G263" i="2"/>
  <c r="C263" i="2"/>
  <c r="F263" i="2"/>
  <c r="D263" i="2"/>
  <c r="B263" i="2"/>
  <c r="J263" i="2" s="1"/>
  <c r="K265" i="2"/>
  <c r="I265" i="2"/>
  <c r="G265" i="2"/>
  <c r="C265" i="2"/>
  <c r="F265" i="2"/>
  <c r="D265" i="2"/>
  <c r="B265" i="2"/>
  <c r="J265" i="2" s="1"/>
  <c r="K267" i="2"/>
  <c r="I267" i="2"/>
  <c r="G267" i="2"/>
  <c r="C267" i="2"/>
  <c r="F267" i="2"/>
  <c r="D267" i="2"/>
  <c r="B267" i="2"/>
  <c r="J267" i="2" s="1"/>
  <c r="K269" i="2"/>
  <c r="I269" i="2"/>
  <c r="G269" i="2"/>
  <c r="C269" i="2"/>
  <c r="F269" i="2"/>
  <c r="D269" i="2"/>
  <c r="B269" i="2"/>
  <c r="J269" i="2" s="1"/>
  <c r="K271" i="2"/>
  <c r="I271" i="2"/>
  <c r="G271" i="2"/>
  <c r="C271" i="2"/>
  <c r="F271" i="2"/>
  <c r="D271" i="2"/>
  <c r="B271" i="2"/>
  <c r="J271" i="2" s="1"/>
  <c r="K273" i="2"/>
  <c r="I273" i="2"/>
  <c r="G273" i="2"/>
  <c r="C273" i="2"/>
  <c r="F273" i="2"/>
  <c r="D273" i="2"/>
  <c r="B273" i="2"/>
  <c r="J273" i="2" s="1"/>
  <c r="K275" i="2"/>
  <c r="I275" i="2"/>
  <c r="G275" i="2"/>
  <c r="C275" i="2"/>
  <c r="F275" i="2"/>
  <c r="D275" i="2"/>
  <c r="B275" i="2"/>
  <c r="J275" i="2" s="1"/>
  <c r="K277" i="2"/>
  <c r="I277" i="2"/>
  <c r="G277" i="2"/>
  <c r="C277" i="2"/>
  <c r="F277" i="2"/>
  <c r="D277" i="2"/>
  <c r="B277" i="2"/>
  <c r="J277" i="2" s="1"/>
  <c r="K279" i="2"/>
  <c r="I279" i="2"/>
  <c r="G279" i="2"/>
  <c r="C279" i="2"/>
  <c r="F279" i="2"/>
  <c r="D279" i="2"/>
  <c r="B279" i="2"/>
  <c r="J279" i="2" s="1"/>
  <c r="K281" i="2"/>
  <c r="I281" i="2"/>
  <c r="G281" i="2"/>
  <c r="C281" i="2"/>
  <c r="F281" i="2"/>
  <c r="D281" i="2"/>
  <c r="B281" i="2"/>
  <c r="J281" i="2" s="1"/>
  <c r="K283" i="2"/>
  <c r="I283" i="2"/>
  <c r="G283" i="2"/>
  <c r="C283" i="2"/>
  <c r="F283" i="2"/>
  <c r="D283" i="2"/>
  <c r="B283" i="2"/>
  <c r="J283" i="2" s="1"/>
  <c r="K285" i="2"/>
  <c r="I285" i="2"/>
  <c r="G285" i="2"/>
  <c r="C285" i="2"/>
  <c r="F285" i="2"/>
  <c r="D285" i="2"/>
  <c r="B285" i="2"/>
  <c r="J285" i="2" s="1"/>
  <c r="K287" i="2"/>
  <c r="I287" i="2"/>
  <c r="G287" i="2"/>
  <c r="C287" i="2"/>
  <c r="F287" i="2"/>
  <c r="D287" i="2"/>
  <c r="B287" i="2"/>
  <c r="J287" i="2" s="1"/>
  <c r="K289" i="2"/>
  <c r="I289" i="2"/>
  <c r="G289" i="2"/>
  <c r="C289" i="2"/>
  <c r="F289" i="2"/>
  <c r="D289" i="2"/>
  <c r="B289" i="2"/>
  <c r="J289" i="2" s="1"/>
  <c r="K291" i="2"/>
  <c r="I291" i="2"/>
  <c r="G291" i="2"/>
  <c r="C291" i="2"/>
  <c r="F291" i="2"/>
  <c r="D291" i="2"/>
  <c r="B291" i="2"/>
  <c r="J291" i="2" s="1"/>
  <c r="K293" i="2"/>
  <c r="I293" i="2"/>
  <c r="G293" i="2"/>
  <c r="C293" i="2"/>
  <c r="F293" i="2"/>
  <c r="D293" i="2"/>
  <c r="B293" i="2"/>
  <c r="J293" i="2" s="1"/>
  <c r="K295" i="2"/>
  <c r="I295" i="2"/>
  <c r="G295" i="2"/>
  <c r="C295" i="2"/>
  <c r="F295" i="2"/>
  <c r="D295" i="2"/>
  <c r="B295" i="2"/>
  <c r="J295" i="2" s="1"/>
  <c r="K297" i="2"/>
  <c r="I297" i="2"/>
  <c r="G297" i="2"/>
  <c r="C297" i="2"/>
  <c r="F297" i="2"/>
  <c r="D297" i="2"/>
  <c r="B297" i="2"/>
  <c r="J297" i="2" s="1"/>
  <c r="K299" i="2"/>
  <c r="I299" i="2"/>
  <c r="G299" i="2"/>
  <c r="C299" i="2"/>
  <c r="F299" i="2"/>
  <c r="D299" i="2"/>
  <c r="B299" i="2"/>
  <c r="J299" i="2" s="1"/>
  <c r="K301" i="2"/>
  <c r="I301" i="2"/>
  <c r="G301" i="2"/>
  <c r="C301" i="2"/>
  <c r="F301" i="2"/>
  <c r="D301" i="2"/>
  <c r="B301" i="2"/>
  <c r="J301" i="2" s="1"/>
  <c r="K303" i="2"/>
  <c r="I303" i="2"/>
  <c r="G303" i="2"/>
  <c r="C303" i="2"/>
  <c r="F303" i="2"/>
  <c r="D303" i="2"/>
  <c r="B303" i="2"/>
  <c r="J303" i="2" s="1"/>
  <c r="K305" i="2"/>
  <c r="I305" i="2"/>
  <c r="G305" i="2"/>
  <c r="C305" i="2"/>
  <c r="F305" i="2"/>
  <c r="D305" i="2"/>
  <c r="B305" i="2"/>
  <c r="J305" i="2" s="1"/>
  <c r="K307" i="2"/>
  <c r="I307" i="2"/>
  <c r="G307" i="2"/>
  <c r="C307" i="2"/>
  <c r="F307" i="2"/>
  <c r="D307" i="2"/>
  <c r="B307" i="2"/>
  <c r="J307" i="2" s="1"/>
  <c r="K309" i="2"/>
  <c r="I309" i="2"/>
  <c r="G309" i="2"/>
  <c r="C309" i="2"/>
  <c r="F309" i="2"/>
  <c r="D309" i="2"/>
  <c r="B309" i="2"/>
  <c r="J309" i="2" s="1"/>
  <c r="K311" i="2"/>
  <c r="I311" i="2"/>
  <c r="G311" i="2"/>
  <c r="C311" i="2"/>
  <c r="F311" i="2"/>
  <c r="D311" i="2"/>
  <c r="B311" i="2"/>
  <c r="J311" i="2" s="1"/>
  <c r="K313" i="2"/>
  <c r="I313" i="2"/>
  <c r="G313" i="2"/>
  <c r="C313" i="2"/>
  <c r="F313" i="2"/>
  <c r="D313" i="2"/>
  <c r="B313" i="2"/>
  <c r="J313" i="2" s="1"/>
  <c r="K315" i="2"/>
  <c r="I315" i="2"/>
  <c r="G315" i="2"/>
  <c r="C315" i="2"/>
  <c r="F315" i="2"/>
  <c r="D315" i="2"/>
  <c r="B315" i="2"/>
  <c r="J315" i="2" s="1"/>
  <c r="K317" i="2"/>
  <c r="I317" i="2"/>
  <c r="G317" i="2"/>
  <c r="C317" i="2"/>
  <c r="F317" i="2"/>
  <c r="D317" i="2"/>
  <c r="B317" i="2"/>
  <c r="J317" i="2" s="1"/>
  <c r="K319" i="2"/>
  <c r="I319" i="2"/>
  <c r="G319" i="2"/>
  <c r="C319" i="2"/>
  <c r="F319" i="2"/>
  <c r="D319" i="2"/>
  <c r="B319" i="2"/>
  <c r="J319" i="2" s="1"/>
  <c r="K321" i="2"/>
  <c r="I321" i="2"/>
  <c r="G321" i="2"/>
  <c r="C321" i="2"/>
  <c r="F321" i="2"/>
  <c r="D321" i="2"/>
  <c r="B321" i="2"/>
  <c r="J321" i="2" s="1"/>
  <c r="K323" i="2"/>
  <c r="I323" i="2"/>
  <c r="G323" i="2"/>
  <c r="C323" i="2"/>
  <c r="F323" i="2"/>
  <c r="D323" i="2"/>
  <c r="B323" i="2"/>
  <c r="J323" i="2" s="1"/>
  <c r="K325" i="2"/>
  <c r="I325" i="2"/>
  <c r="G325" i="2"/>
  <c r="C325" i="2"/>
  <c r="F325" i="2"/>
  <c r="D325" i="2"/>
  <c r="B325" i="2"/>
  <c r="J325" i="2" s="1"/>
  <c r="K327" i="2"/>
  <c r="I327" i="2"/>
  <c r="G327" i="2"/>
  <c r="C327" i="2"/>
  <c r="F327" i="2"/>
  <c r="D327" i="2"/>
  <c r="B327" i="2"/>
  <c r="J327" i="2" s="1"/>
  <c r="K329" i="2"/>
  <c r="I329" i="2"/>
  <c r="G329" i="2"/>
  <c r="C329" i="2"/>
  <c r="F329" i="2"/>
  <c r="D329" i="2"/>
  <c r="B329" i="2"/>
  <c r="J329" i="2" s="1"/>
  <c r="K331" i="2"/>
  <c r="I331" i="2"/>
  <c r="G331" i="2"/>
  <c r="C331" i="2"/>
  <c r="F331" i="2"/>
  <c r="D331" i="2"/>
  <c r="B331" i="2"/>
  <c r="J331" i="2" s="1"/>
  <c r="K333" i="2"/>
  <c r="I333" i="2"/>
  <c r="G333" i="2"/>
  <c r="C333" i="2"/>
  <c r="F333" i="2"/>
  <c r="D333" i="2"/>
  <c r="B333" i="2"/>
  <c r="J333" i="2" s="1"/>
  <c r="K335" i="2"/>
  <c r="I335" i="2"/>
  <c r="G335" i="2"/>
  <c r="C335" i="2"/>
  <c r="F335" i="2"/>
  <c r="D335" i="2"/>
  <c r="B335" i="2"/>
  <c r="J335" i="2" s="1"/>
  <c r="K337" i="2"/>
  <c r="I337" i="2"/>
  <c r="G337" i="2"/>
  <c r="C337" i="2"/>
  <c r="F337" i="2"/>
  <c r="D337" i="2"/>
  <c r="B337" i="2"/>
  <c r="J337" i="2" s="1"/>
  <c r="K339" i="2"/>
  <c r="I339" i="2"/>
  <c r="G339" i="2"/>
  <c r="C339" i="2"/>
  <c r="F339" i="2"/>
  <c r="D339" i="2"/>
  <c r="B339" i="2"/>
  <c r="J339" i="2" s="1"/>
  <c r="K341" i="2"/>
  <c r="I341" i="2"/>
  <c r="G341" i="2"/>
  <c r="C341" i="2"/>
  <c r="F341" i="2"/>
  <c r="D341" i="2"/>
  <c r="B341" i="2"/>
  <c r="J341" i="2" s="1"/>
  <c r="K343" i="2"/>
  <c r="I343" i="2"/>
  <c r="G343" i="2"/>
  <c r="C343" i="2"/>
  <c r="F343" i="2"/>
  <c r="D343" i="2"/>
  <c r="B343" i="2"/>
  <c r="J343" i="2" s="1"/>
  <c r="K345" i="2"/>
  <c r="I345" i="2"/>
  <c r="G345" i="2"/>
  <c r="C345" i="2"/>
  <c r="F345" i="2"/>
  <c r="D345" i="2"/>
  <c r="B345" i="2"/>
  <c r="J345" i="2" s="1"/>
  <c r="K347" i="2"/>
  <c r="I347" i="2"/>
  <c r="G347" i="2"/>
  <c r="C347" i="2"/>
  <c r="F347" i="2"/>
  <c r="D347" i="2"/>
  <c r="B347" i="2"/>
  <c r="J347" i="2" s="1"/>
  <c r="K349" i="2"/>
  <c r="I349" i="2"/>
  <c r="G349" i="2"/>
  <c r="C349" i="2"/>
  <c r="F349" i="2"/>
  <c r="D349" i="2"/>
  <c r="B349" i="2"/>
  <c r="J349" i="2" s="1"/>
  <c r="K351" i="2"/>
  <c r="I351" i="2"/>
  <c r="G351" i="2"/>
  <c r="C351" i="2"/>
  <c r="F351" i="2"/>
  <c r="D351" i="2"/>
  <c r="B351" i="2"/>
  <c r="J351" i="2" s="1"/>
  <c r="K353" i="2"/>
  <c r="I353" i="2"/>
  <c r="G353" i="2"/>
  <c r="C353" i="2"/>
  <c r="F353" i="2"/>
  <c r="D353" i="2"/>
  <c r="B353" i="2"/>
  <c r="J353" i="2" s="1"/>
  <c r="K355" i="2"/>
  <c r="I355" i="2"/>
  <c r="G355" i="2"/>
  <c r="C355" i="2"/>
  <c r="F355" i="2"/>
  <c r="D355" i="2"/>
  <c r="B355" i="2"/>
  <c r="J355" i="2" s="1"/>
  <c r="K357" i="2"/>
  <c r="I357" i="2"/>
  <c r="G357" i="2"/>
  <c r="C357" i="2"/>
  <c r="F357" i="2"/>
  <c r="D357" i="2"/>
  <c r="B357" i="2"/>
  <c r="J357" i="2" s="1"/>
  <c r="K359" i="2"/>
  <c r="I359" i="2"/>
  <c r="G359" i="2"/>
  <c r="C359" i="2"/>
  <c r="F359" i="2"/>
  <c r="D359" i="2"/>
  <c r="B359" i="2"/>
  <c r="J359" i="2" s="1"/>
  <c r="K361" i="2"/>
  <c r="I361" i="2"/>
  <c r="G361" i="2"/>
  <c r="C361" i="2"/>
  <c r="F361" i="2"/>
  <c r="D361" i="2"/>
  <c r="B361" i="2"/>
  <c r="J361" i="2" s="1"/>
  <c r="K363" i="2"/>
  <c r="I363" i="2"/>
  <c r="G363" i="2"/>
  <c r="C363" i="2"/>
  <c r="F363" i="2"/>
  <c r="D363" i="2"/>
  <c r="B363" i="2"/>
  <c r="J363" i="2" s="1"/>
  <c r="K365" i="2"/>
  <c r="I365" i="2"/>
  <c r="G365" i="2"/>
  <c r="C365" i="2"/>
  <c r="F365" i="2"/>
  <c r="D365" i="2"/>
  <c r="B365" i="2"/>
  <c r="J365" i="2" s="1"/>
  <c r="K367" i="2"/>
  <c r="I367" i="2"/>
  <c r="G367" i="2"/>
  <c r="C367" i="2"/>
  <c r="F367" i="2"/>
  <c r="D367" i="2"/>
  <c r="B367" i="2"/>
  <c r="J367" i="2" s="1"/>
  <c r="K369" i="2"/>
  <c r="I369" i="2"/>
  <c r="G369" i="2"/>
  <c r="C369" i="2"/>
  <c r="F369" i="2"/>
  <c r="D369" i="2"/>
  <c r="B369" i="2"/>
  <c r="J369" i="2" s="1"/>
  <c r="K371" i="2"/>
  <c r="I371" i="2"/>
  <c r="G371" i="2"/>
  <c r="C371" i="2"/>
  <c r="F371" i="2"/>
  <c r="D371" i="2"/>
  <c r="B371" i="2"/>
  <c r="J371" i="2" s="1"/>
  <c r="K373" i="2"/>
  <c r="I373" i="2"/>
  <c r="G373" i="2"/>
  <c r="C373" i="2"/>
  <c r="F373" i="2"/>
  <c r="D373" i="2"/>
  <c r="B373" i="2"/>
  <c r="J373" i="2" s="1"/>
  <c r="K375" i="2"/>
  <c r="I375" i="2"/>
  <c r="G375" i="2"/>
  <c r="C375" i="2"/>
  <c r="F375" i="2"/>
  <c r="D375" i="2"/>
  <c r="B375" i="2"/>
  <c r="J375" i="2" s="1"/>
  <c r="K377" i="2"/>
  <c r="I377" i="2"/>
  <c r="G377" i="2"/>
  <c r="C377" i="2"/>
  <c r="F377" i="2"/>
  <c r="D377" i="2"/>
  <c r="B377" i="2"/>
  <c r="J377" i="2" s="1"/>
  <c r="K379" i="2"/>
  <c r="I379" i="2"/>
  <c r="G379" i="2"/>
  <c r="C379" i="2"/>
  <c r="F379" i="2"/>
  <c r="D379" i="2"/>
  <c r="B379" i="2"/>
  <c r="J379" i="2" s="1"/>
  <c r="K381" i="2"/>
  <c r="I381" i="2"/>
  <c r="G381" i="2"/>
  <c r="C381" i="2"/>
  <c r="F381" i="2"/>
  <c r="D381" i="2"/>
  <c r="B381" i="2"/>
  <c r="J381" i="2" s="1"/>
  <c r="K383" i="2"/>
  <c r="I383" i="2"/>
  <c r="G383" i="2"/>
  <c r="C383" i="2"/>
  <c r="F383" i="2"/>
  <c r="D383" i="2"/>
  <c r="B383" i="2"/>
  <c r="J383" i="2" s="1"/>
  <c r="K385" i="2"/>
  <c r="I385" i="2"/>
  <c r="G385" i="2"/>
  <c r="C385" i="2"/>
  <c r="F385" i="2"/>
  <c r="D385" i="2"/>
  <c r="B385" i="2"/>
  <c r="J385" i="2" s="1"/>
  <c r="K387" i="2"/>
  <c r="I387" i="2"/>
  <c r="G387" i="2"/>
  <c r="C387" i="2"/>
  <c r="F387" i="2"/>
  <c r="D387" i="2"/>
  <c r="B387" i="2"/>
  <c r="J387" i="2" s="1"/>
  <c r="K389" i="2"/>
  <c r="I389" i="2"/>
  <c r="G389" i="2"/>
  <c r="C389" i="2"/>
  <c r="F389" i="2"/>
  <c r="D389" i="2"/>
  <c r="B389" i="2"/>
  <c r="J389" i="2" s="1"/>
  <c r="K391" i="2"/>
  <c r="I391" i="2"/>
  <c r="G391" i="2"/>
  <c r="C391" i="2"/>
  <c r="F391" i="2"/>
  <c r="D391" i="2"/>
  <c r="B391" i="2"/>
  <c r="J391" i="2" s="1"/>
  <c r="K393" i="2"/>
  <c r="I393" i="2"/>
  <c r="G393" i="2"/>
  <c r="C393" i="2"/>
  <c r="F393" i="2"/>
  <c r="D393" i="2"/>
  <c r="B393" i="2"/>
  <c r="J393" i="2" s="1"/>
  <c r="K395" i="2"/>
  <c r="I395" i="2"/>
  <c r="G395" i="2"/>
  <c r="C395" i="2"/>
  <c r="F395" i="2"/>
  <c r="D395" i="2"/>
  <c r="B395" i="2"/>
  <c r="J395" i="2" s="1"/>
  <c r="K397" i="2"/>
  <c r="I397" i="2"/>
  <c r="G397" i="2"/>
  <c r="C397" i="2"/>
  <c r="F397" i="2"/>
  <c r="D397" i="2"/>
  <c r="B397" i="2"/>
  <c r="J397" i="2" s="1"/>
  <c r="K399" i="2"/>
  <c r="I399" i="2"/>
  <c r="G399" i="2"/>
  <c r="C399" i="2"/>
  <c r="F399" i="2"/>
  <c r="D399" i="2"/>
  <c r="B399" i="2"/>
  <c r="J399" i="2" s="1"/>
  <c r="K401" i="2"/>
  <c r="I401" i="2"/>
  <c r="G401" i="2"/>
  <c r="C401" i="2"/>
  <c r="F401" i="2"/>
  <c r="D401" i="2"/>
  <c r="B401" i="2"/>
  <c r="J401" i="2" s="1"/>
  <c r="K403" i="2"/>
  <c r="I403" i="2"/>
  <c r="G403" i="2"/>
  <c r="C403" i="2"/>
  <c r="F403" i="2"/>
  <c r="D403" i="2"/>
  <c r="B403" i="2"/>
  <c r="J403" i="2" s="1"/>
  <c r="K405" i="2"/>
  <c r="I405" i="2"/>
  <c r="G405" i="2"/>
  <c r="C405" i="2"/>
  <c r="F405" i="2"/>
  <c r="D405" i="2"/>
  <c r="B405" i="2"/>
  <c r="J405" i="2" s="1"/>
  <c r="K407" i="2"/>
  <c r="I407" i="2"/>
  <c r="G407" i="2"/>
  <c r="C407" i="2"/>
  <c r="F407" i="2"/>
  <c r="D407" i="2"/>
  <c r="B407" i="2"/>
  <c r="J407" i="2" s="1"/>
  <c r="K409" i="2"/>
  <c r="I409" i="2"/>
  <c r="G409" i="2"/>
  <c r="C409" i="2"/>
  <c r="F409" i="2"/>
  <c r="D409" i="2"/>
  <c r="B409" i="2"/>
  <c r="J409" i="2" s="1"/>
  <c r="K411" i="2"/>
  <c r="I411" i="2"/>
  <c r="G411" i="2"/>
  <c r="C411" i="2"/>
  <c r="F411" i="2"/>
  <c r="D411" i="2"/>
  <c r="B411" i="2"/>
  <c r="J411" i="2" s="1"/>
  <c r="K413" i="2"/>
  <c r="I413" i="2"/>
  <c r="G413" i="2"/>
  <c r="C413" i="2"/>
  <c r="F413" i="2"/>
  <c r="D413" i="2"/>
  <c r="B413" i="2"/>
  <c r="J413" i="2" s="1"/>
  <c r="K415" i="2"/>
  <c r="I415" i="2"/>
  <c r="G415" i="2"/>
  <c r="C415" i="2"/>
  <c r="F415" i="2"/>
  <c r="D415" i="2"/>
  <c r="B415" i="2"/>
  <c r="J415" i="2" s="1"/>
  <c r="K417" i="2"/>
  <c r="I417" i="2"/>
  <c r="G417" i="2"/>
  <c r="C417" i="2"/>
  <c r="F417" i="2"/>
  <c r="D417" i="2"/>
  <c r="B417" i="2"/>
  <c r="J417" i="2" s="1"/>
  <c r="K419" i="2"/>
  <c r="I419" i="2"/>
  <c r="G419" i="2"/>
  <c r="C419" i="2"/>
  <c r="F419" i="2"/>
  <c r="D419" i="2"/>
  <c r="B419" i="2"/>
  <c r="J419" i="2" s="1"/>
  <c r="K421" i="2"/>
  <c r="I421" i="2"/>
  <c r="G421" i="2"/>
  <c r="C421" i="2"/>
  <c r="F421" i="2"/>
  <c r="D421" i="2"/>
  <c r="B421" i="2"/>
  <c r="J421" i="2" s="1"/>
  <c r="K423" i="2"/>
  <c r="I423" i="2"/>
  <c r="G423" i="2"/>
  <c r="C423" i="2"/>
  <c r="F423" i="2"/>
  <c r="D423" i="2"/>
  <c r="B423" i="2"/>
  <c r="J423" i="2" s="1"/>
  <c r="K425" i="2"/>
  <c r="I425" i="2"/>
  <c r="G425" i="2"/>
  <c r="C425" i="2"/>
  <c r="F425" i="2"/>
  <c r="D425" i="2"/>
  <c r="B425" i="2"/>
  <c r="J425" i="2" s="1"/>
  <c r="K427" i="2"/>
  <c r="I427" i="2"/>
  <c r="G427" i="2"/>
  <c r="C427" i="2"/>
  <c r="F427" i="2"/>
  <c r="D427" i="2"/>
  <c r="B427" i="2"/>
  <c r="J427" i="2" s="1"/>
  <c r="K429" i="2"/>
  <c r="I429" i="2"/>
  <c r="G429" i="2"/>
  <c r="C429" i="2"/>
  <c r="F429" i="2"/>
  <c r="D429" i="2"/>
  <c r="B429" i="2"/>
  <c r="J429" i="2" s="1"/>
  <c r="K431" i="2"/>
  <c r="I431" i="2"/>
  <c r="G431" i="2"/>
  <c r="C431" i="2"/>
  <c r="F431" i="2"/>
  <c r="D431" i="2"/>
  <c r="B431" i="2"/>
  <c r="J431" i="2" s="1"/>
  <c r="K433" i="2"/>
  <c r="I433" i="2"/>
  <c r="G433" i="2"/>
  <c r="C433" i="2"/>
  <c r="F433" i="2"/>
  <c r="D433" i="2"/>
  <c r="B433" i="2"/>
  <c r="J433" i="2" s="1"/>
  <c r="K435" i="2"/>
  <c r="I435" i="2"/>
  <c r="G435" i="2"/>
  <c r="C435" i="2"/>
  <c r="F435" i="2"/>
  <c r="D435" i="2"/>
  <c r="B435" i="2"/>
  <c r="J435" i="2" s="1"/>
  <c r="K437" i="2"/>
  <c r="I437" i="2"/>
  <c r="G437" i="2"/>
  <c r="C437" i="2"/>
  <c r="F437" i="2"/>
  <c r="D437" i="2"/>
  <c r="B437" i="2"/>
  <c r="J437" i="2" s="1"/>
  <c r="K439" i="2"/>
  <c r="I439" i="2"/>
  <c r="G439" i="2"/>
  <c r="C439" i="2"/>
  <c r="F439" i="2"/>
  <c r="D439" i="2"/>
  <c r="B439" i="2"/>
  <c r="J439" i="2" s="1"/>
  <c r="K441" i="2"/>
  <c r="I441" i="2"/>
  <c r="G441" i="2"/>
  <c r="C441" i="2"/>
  <c r="F441" i="2"/>
  <c r="D441" i="2"/>
  <c r="B441" i="2"/>
  <c r="J441" i="2" s="1"/>
  <c r="K443" i="2"/>
  <c r="I443" i="2"/>
  <c r="G443" i="2"/>
  <c r="C443" i="2"/>
  <c r="F443" i="2"/>
  <c r="D443" i="2"/>
  <c r="B443" i="2"/>
  <c r="J443" i="2" s="1"/>
  <c r="K445" i="2"/>
  <c r="I445" i="2"/>
  <c r="G445" i="2"/>
  <c r="C445" i="2"/>
  <c r="F445" i="2"/>
  <c r="D445" i="2"/>
  <c r="B445" i="2"/>
  <c r="J445" i="2" s="1"/>
  <c r="K447" i="2"/>
  <c r="I447" i="2"/>
  <c r="G447" i="2"/>
  <c r="C447" i="2"/>
  <c r="F447" i="2"/>
  <c r="D447" i="2"/>
  <c r="B447" i="2"/>
  <c r="J447" i="2" s="1"/>
  <c r="K449" i="2"/>
  <c r="I449" i="2"/>
  <c r="G449" i="2"/>
  <c r="C449" i="2"/>
  <c r="F449" i="2"/>
  <c r="D449" i="2"/>
  <c r="B449" i="2"/>
  <c r="J449" i="2" s="1"/>
  <c r="K451" i="2"/>
  <c r="I451" i="2"/>
  <c r="G451" i="2"/>
  <c r="C451" i="2"/>
  <c r="F451" i="2"/>
  <c r="D451" i="2"/>
  <c r="B451" i="2"/>
  <c r="J451" i="2" s="1"/>
  <c r="K453" i="2"/>
  <c r="I453" i="2"/>
  <c r="G453" i="2"/>
  <c r="C453" i="2"/>
  <c r="F453" i="2"/>
  <c r="D453" i="2"/>
  <c r="B453" i="2"/>
  <c r="J453" i="2" s="1"/>
  <c r="K455" i="2"/>
  <c r="I455" i="2"/>
  <c r="G455" i="2"/>
  <c r="C455" i="2"/>
  <c r="F455" i="2"/>
  <c r="D455" i="2"/>
  <c r="B455" i="2"/>
  <c r="J455" i="2" s="1"/>
  <c r="K457" i="2"/>
  <c r="I457" i="2"/>
  <c r="G457" i="2"/>
  <c r="C457" i="2"/>
  <c r="F457" i="2"/>
  <c r="D457" i="2"/>
  <c r="B457" i="2"/>
  <c r="J457" i="2" s="1"/>
  <c r="K459" i="2"/>
  <c r="I459" i="2"/>
  <c r="G459" i="2"/>
  <c r="C459" i="2"/>
  <c r="F459" i="2"/>
  <c r="D459" i="2"/>
  <c r="B459" i="2"/>
  <c r="J459" i="2" s="1"/>
  <c r="K461" i="2"/>
  <c r="I461" i="2"/>
  <c r="G461" i="2"/>
  <c r="C461" i="2"/>
  <c r="F461" i="2"/>
  <c r="D461" i="2"/>
  <c r="B461" i="2"/>
  <c r="J461" i="2" s="1"/>
  <c r="K463" i="2"/>
  <c r="I463" i="2"/>
  <c r="G463" i="2"/>
  <c r="C463" i="2"/>
  <c r="F463" i="2"/>
  <c r="D463" i="2"/>
  <c r="B463" i="2"/>
  <c r="J463" i="2" s="1"/>
  <c r="K465" i="2"/>
  <c r="I465" i="2"/>
  <c r="G465" i="2"/>
  <c r="C465" i="2"/>
  <c r="F465" i="2"/>
  <c r="D465" i="2"/>
  <c r="B465" i="2"/>
  <c r="J465" i="2" s="1"/>
  <c r="K467" i="2"/>
  <c r="I467" i="2"/>
  <c r="G467" i="2"/>
  <c r="C467" i="2"/>
  <c r="F467" i="2"/>
  <c r="D467" i="2"/>
  <c r="B467" i="2"/>
  <c r="J467" i="2" s="1"/>
  <c r="K469" i="2"/>
  <c r="I469" i="2"/>
  <c r="G469" i="2"/>
  <c r="C469" i="2"/>
  <c r="F469" i="2"/>
  <c r="D469" i="2"/>
  <c r="B469" i="2"/>
  <c r="J469" i="2" s="1"/>
  <c r="K471" i="2"/>
  <c r="I471" i="2"/>
  <c r="G471" i="2"/>
  <c r="C471" i="2"/>
  <c r="F471" i="2"/>
  <c r="D471" i="2"/>
  <c r="B471" i="2"/>
  <c r="J471" i="2" s="1"/>
  <c r="K473" i="2"/>
  <c r="I473" i="2"/>
  <c r="G473" i="2"/>
  <c r="C473" i="2"/>
  <c r="F473" i="2"/>
  <c r="D473" i="2"/>
  <c r="B473" i="2"/>
  <c r="J473" i="2" s="1"/>
  <c r="K475" i="2"/>
  <c r="I475" i="2"/>
  <c r="G475" i="2"/>
  <c r="C475" i="2"/>
  <c r="F475" i="2"/>
  <c r="D475" i="2"/>
  <c r="B475" i="2"/>
  <c r="J475" i="2" s="1"/>
  <c r="K477" i="2"/>
  <c r="I477" i="2"/>
  <c r="G477" i="2"/>
  <c r="C477" i="2"/>
  <c r="F477" i="2"/>
  <c r="D477" i="2"/>
  <c r="B477" i="2"/>
  <c r="J477" i="2" s="1"/>
  <c r="K479" i="2"/>
  <c r="I479" i="2"/>
  <c r="G479" i="2"/>
  <c r="C479" i="2"/>
  <c r="F479" i="2"/>
  <c r="D479" i="2"/>
  <c r="B479" i="2"/>
  <c r="J479" i="2" s="1"/>
  <c r="K481" i="2"/>
  <c r="I481" i="2"/>
  <c r="G481" i="2"/>
  <c r="C481" i="2"/>
  <c r="F481" i="2"/>
  <c r="D481" i="2"/>
  <c r="B481" i="2"/>
  <c r="J481" i="2" s="1"/>
  <c r="K483" i="2"/>
  <c r="I483" i="2"/>
  <c r="G483" i="2"/>
  <c r="C483" i="2"/>
  <c r="F483" i="2"/>
  <c r="D483" i="2"/>
  <c r="B483" i="2"/>
  <c r="J483" i="2" s="1"/>
  <c r="K485" i="2"/>
  <c r="I485" i="2"/>
  <c r="G485" i="2"/>
  <c r="C485" i="2"/>
  <c r="F485" i="2"/>
  <c r="D485" i="2"/>
  <c r="B485" i="2"/>
  <c r="J485" i="2" s="1"/>
  <c r="K487" i="2"/>
  <c r="I487" i="2"/>
  <c r="G487" i="2"/>
  <c r="C487" i="2"/>
  <c r="F487" i="2"/>
  <c r="D487" i="2"/>
  <c r="B487" i="2"/>
  <c r="J487" i="2" s="1"/>
  <c r="K489" i="2"/>
  <c r="I489" i="2"/>
  <c r="G489" i="2"/>
  <c r="C489" i="2"/>
  <c r="F489" i="2"/>
  <c r="D489" i="2"/>
  <c r="B489" i="2"/>
  <c r="J489" i="2" s="1"/>
  <c r="K491" i="2"/>
  <c r="I491" i="2"/>
  <c r="G491" i="2"/>
  <c r="C491" i="2"/>
  <c r="F491" i="2"/>
  <c r="D491" i="2"/>
  <c r="B491" i="2"/>
  <c r="J491" i="2" s="1"/>
  <c r="K493" i="2"/>
  <c r="I493" i="2"/>
  <c r="G493" i="2"/>
  <c r="C493" i="2"/>
  <c r="F493" i="2"/>
  <c r="D493" i="2"/>
  <c r="B493" i="2"/>
  <c r="J493" i="2" s="1"/>
  <c r="K495" i="2"/>
  <c r="I495" i="2"/>
  <c r="G495" i="2"/>
  <c r="C495" i="2"/>
  <c r="F495" i="2"/>
  <c r="D495" i="2"/>
  <c r="B495" i="2"/>
  <c r="J495" i="2" s="1"/>
  <c r="K497" i="2"/>
  <c r="I497" i="2"/>
  <c r="G497" i="2"/>
  <c r="C497" i="2"/>
  <c r="F497" i="2"/>
  <c r="D497" i="2"/>
  <c r="B497" i="2"/>
  <c r="J497" i="2" s="1"/>
  <c r="K499" i="2"/>
  <c r="I499" i="2"/>
  <c r="G499" i="2"/>
  <c r="C499" i="2"/>
  <c r="F499" i="2"/>
  <c r="D499" i="2"/>
  <c r="B499" i="2"/>
  <c r="J499" i="2" s="1"/>
  <c r="K501" i="2"/>
  <c r="I501" i="2"/>
  <c r="G501" i="2"/>
  <c r="C501" i="2"/>
  <c r="F501" i="2"/>
  <c r="D501" i="2"/>
  <c r="B501" i="2"/>
  <c r="J501" i="2" s="1"/>
  <c r="K503" i="2"/>
  <c r="I503" i="2"/>
  <c r="G503" i="2"/>
  <c r="C503" i="2"/>
  <c r="F503" i="2"/>
  <c r="D503" i="2"/>
  <c r="B503" i="2"/>
  <c r="J503" i="2" s="1"/>
  <c r="K505" i="2"/>
  <c r="I505" i="2"/>
  <c r="G505" i="2"/>
  <c r="C505" i="2"/>
  <c r="F505" i="2"/>
  <c r="D505" i="2"/>
  <c r="B505" i="2"/>
  <c r="J505" i="2" s="1"/>
  <c r="K507" i="2"/>
  <c r="I507" i="2"/>
  <c r="G507" i="2"/>
  <c r="C507" i="2"/>
  <c r="F507" i="2"/>
  <c r="D507" i="2"/>
  <c r="B507" i="2"/>
  <c r="J507" i="2" s="1"/>
  <c r="K509" i="2"/>
  <c r="I509" i="2"/>
  <c r="G509" i="2"/>
  <c r="C509" i="2"/>
  <c r="F509" i="2"/>
  <c r="D509" i="2"/>
  <c r="B509" i="2"/>
  <c r="J509" i="2" s="1"/>
  <c r="K511" i="2"/>
  <c r="I511" i="2"/>
  <c r="G511" i="2"/>
  <c r="C511" i="2"/>
  <c r="F511" i="2"/>
  <c r="D511" i="2"/>
  <c r="B511" i="2"/>
  <c r="J511" i="2" s="1"/>
  <c r="K513" i="2"/>
  <c r="I513" i="2"/>
  <c r="G513" i="2"/>
  <c r="C513" i="2"/>
  <c r="F513" i="2"/>
  <c r="D513" i="2"/>
  <c r="B513" i="2"/>
  <c r="J513" i="2" s="1"/>
  <c r="K515" i="2"/>
  <c r="I515" i="2"/>
  <c r="G515" i="2"/>
  <c r="C515" i="2"/>
  <c r="F515" i="2"/>
  <c r="D515" i="2"/>
  <c r="B515" i="2"/>
  <c r="J515" i="2" s="1"/>
  <c r="K517" i="2"/>
  <c r="I517" i="2"/>
  <c r="G517" i="2"/>
  <c r="C517" i="2"/>
  <c r="F517" i="2"/>
  <c r="D517" i="2"/>
  <c r="B517" i="2"/>
  <c r="J517" i="2" s="1"/>
  <c r="K519" i="2"/>
  <c r="I519" i="2"/>
  <c r="G519" i="2"/>
  <c r="C519" i="2"/>
  <c r="F519" i="2"/>
  <c r="D519" i="2"/>
  <c r="B519" i="2"/>
  <c r="J519" i="2" s="1"/>
  <c r="K521" i="2"/>
  <c r="I521" i="2"/>
  <c r="G521" i="2"/>
  <c r="C521" i="2"/>
  <c r="F521" i="2"/>
  <c r="D521" i="2"/>
  <c r="B521" i="2"/>
  <c r="J521" i="2" s="1"/>
  <c r="K523" i="2"/>
  <c r="I523" i="2"/>
  <c r="G523" i="2"/>
  <c r="C523" i="2"/>
  <c r="F523" i="2"/>
  <c r="D523" i="2"/>
  <c r="B523" i="2"/>
  <c r="J523" i="2" s="1"/>
  <c r="K525" i="2"/>
  <c r="I525" i="2"/>
  <c r="G525" i="2"/>
  <c r="C525" i="2"/>
  <c r="F525" i="2"/>
  <c r="D525" i="2"/>
  <c r="B525" i="2"/>
  <c r="J525" i="2" s="1"/>
  <c r="K527" i="2"/>
  <c r="I527" i="2"/>
  <c r="G527" i="2"/>
  <c r="C527" i="2"/>
  <c r="F527" i="2"/>
  <c r="D527" i="2"/>
  <c r="B527" i="2"/>
  <c r="J527" i="2" s="1"/>
  <c r="K529" i="2"/>
  <c r="I529" i="2"/>
  <c r="G529" i="2"/>
  <c r="C529" i="2"/>
  <c r="F529" i="2"/>
  <c r="D529" i="2"/>
  <c r="B529" i="2"/>
  <c r="J529" i="2" s="1"/>
  <c r="K531" i="2"/>
  <c r="I531" i="2"/>
  <c r="G531" i="2"/>
  <c r="C531" i="2"/>
  <c r="F531" i="2"/>
  <c r="D531" i="2"/>
  <c r="B531" i="2"/>
  <c r="J531" i="2" s="1"/>
  <c r="K533" i="2"/>
  <c r="I533" i="2"/>
  <c r="G533" i="2"/>
  <c r="C533" i="2"/>
  <c r="F533" i="2"/>
  <c r="D533" i="2"/>
  <c r="B533" i="2"/>
  <c r="J533" i="2" s="1"/>
  <c r="K535" i="2"/>
  <c r="I535" i="2"/>
  <c r="G535" i="2"/>
  <c r="C535" i="2"/>
  <c r="F535" i="2"/>
  <c r="D535" i="2"/>
  <c r="B535" i="2"/>
  <c r="J535" i="2" s="1"/>
  <c r="K537" i="2"/>
  <c r="I537" i="2"/>
  <c r="G537" i="2"/>
  <c r="C537" i="2"/>
  <c r="F537" i="2"/>
  <c r="D537" i="2"/>
  <c r="B537" i="2"/>
  <c r="J537" i="2" s="1"/>
  <c r="K539" i="2"/>
  <c r="I539" i="2"/>
  <c r="G539" i="2"/>
  <c r="C539" i="2"/>
  <c r="F539" i="2"/>
  <c r="D539" i="2"/>
  <c r="B539" i="2"/>
  <c r="J539" i="2" s="1"/>
  <c r="K541" i="2"/>
  <c r="I541" i="2"/>
  <c r="G541" i="2"/>
  <c r="C541" i="2"/>
  <c r="F541" i="2"/>
  <c r="D541" i="2"/>
  <c r="B541" i="2"/>
  <c r="J541" i="2" s="1"/>
  <c r="K543" i="2"/>
  <c r="I543" i="2"/>
  <c r="G543" i="2"/>
  <c r="C543" i="2"/>
  <c r="F543" i="2"/>
  <c r="D543" i="2"/>
  <c r="B543" i="2"/>
  <c r="J543" i="2" s="1"/>
  <c r="K545" i="2"/>
  <c r="I545" i="2"/>
  <c r="G545" i="2"/>
  <c r="C545" i="2"/>
  <c r="F545" i="2"/>
  <c r="D545" i="2"/>
  <c r="B545" i="2"/>
  <c r="J545" i="2" s="1"/>
  <c r="K547" i="2"/>
  <c r="I547" i="2"/>
  <c r="G547" i="2"/>
  <c r="C547" i="2"/>
  <c r="F547" i="2"/>
  <c r="D547" i="2"/>
  <c r="B547" i="2"/>
  <c r="J547" i="2" s="1"/>
  <c r="K549" i="2"/>
  <c r="I549" i="2"/>
  <c r="G549" i="2"/>
  <c r="C549" i="2"/>
  <c r="F549" i="2"/>
  <c r="D549" i="2"/>
  <c r="B549" i="2"/>
  <c r="J549" i="2" s="1"/>
  <c r="K551" i="2"/>
  <c r="I551" i="2"/>
  <c r="G551" i="2"/>
  <c r="C551" i="2"/>
  <c r="F551" i="2"/>
  <c r="D551" i="2"/>
  <c r="B551" i="2"/>
  <c r="J551" i="2" s="1"/>
  <c r="K553" i="2"/>
  <c r="I553" i="2"/>
  <c r="G553" i="2"/>
  <c r="C553" i="2"/>
  <c r="F553" i="2"/>
  <c r="D553" i="2"/>
  <c r="B553" i="2"/>
  <c r="J553" i="2" s="1"/>
  <c r="K555" i="2"/>
  <c r="I555" i="2"/>
  <c r="G555" i="2"/>
  <c r="C555" i="2"/>
  <c r="F555" i="2"/>
  <c r="D555" i="2"/>
  <c r="B555" i="2"/>
  <c r="J555" i="2" s="1"/>
  <c r="K557" i="2"/>
  <c r="I557" i="2"/>
  <c r="G557" i="2"/>
  <c r="C557" i="2"/>
  <c r="F557" i="2"/>
  <c r="D557" i="2"/>
  <c r="B557" i="2"/>
  <c r="J557" i="2" s="1"/>
  <c r="K559" i="2"/>
  <c r="I559" i="2"/>
  <c r="G559" i="2"/>
  <c r="C559" i="2"/>
  <c r="F559" i="2"/>
  <c r="D559" i="2"/>
  <c r="B559" i="2"/>
  <c r="J559" i="2" s="1"/>
  <c r="K561" i="2"/>
  <c r="I561" i="2"/>
  <c r="G561" i="2"/>
  <c r="C561" i="2"/>
  <c r="F561" i="2"/>
  <c r="D561" i="2"/>
  <c r="B561" i="2"/>
  <c r="J561" i="2" s="1"/>
  <c r="K563" i="2"/>
  <c r="I563" i="2"/>
  <c r="G563" i="2"/>
  <c r="C563" i="2"/>
  <c r="F563" i="2"/>
  <c r="D563" i="2"/>
  <c r="B563" i="2"/>
  <c r="J563" i="2" s="1"/>
  <c r="K565" i="2"/>
  <c r="I565" i="2"/>
  <c r="G565" i="2"/>
  <c r="C565" i="2"/>
  <c r="F565" i="2"/>
  <c r="D565" i="2"/>
  <c r="B565" i="2"/>
  <c r="J565" i="2" s="1"/>
  <c r="K567" i="2"/>
  <c r="I567" i="2"/>
  <c r="G567" i="2"/>
  <c r="C567" i="2"/>
  <c r="F567" i="2"/>
  <c r="D567" i="2"/>
  <c r="B567" i="2"/>
  <c r="J567" i="2" s="1"/>
  <c r="K569" i="2"/>
  <c r="I569" i="2"/>
  <c r="G569" i="2"/>
  <c r="C569" i="2"/>
  <c r="F569" i="2"/>
  <c r="D569" i="2"/>
  <c r="B569" i="2"/>
  <c r="J569" i="2" s="1"/>
  <c r="K571" i="2"/>
  <c r="I571" i="2"/>
  <c r="G571" i="2"/>
  <c r="C571" i="2"/>
  <c r="F571" i="2"/>
  <c r="D571" i="2"/>
  <c r="B571" i="2"/>
  <c r="J571" i="2" s="1"/>
  <c r="K573" i="2"/>
  <c r="I573" i="2"/>
  <c r="G573" i="2"/>
  <c r="C573" i="2"/>
  <c r="F573" i="2"/>
  <c r="D573" i="2"/>
  <c r="B573" i="2"/>
  <c r="J573" i="2" s="1"/>
  <c r="K575" i="2"/>
  <c r="I575" i="2"/>
  <c r="G575" i="2"/>
  <c r="C575" i="2"/>
  <c r="F575" i="2"/>
  <c r="D575" i="2"/>
  <c r="B575" i="2"/>
  <c r="J575" i="2" s="1"/>
  <c r="K577" i="2"/>
  <c r="I577" i="2"/>
  <c r="G577" i="2"/>
  <c r="C577" i="2"/>
  <c r="F577" i="2"/>
  <c r="D577" i="2"/>
  <c r="B577" i="2"/>
  <c r="J577" i="2" s="1"/>
  <c r="K579" i="2"/>
  <c r="I579" i="2"/>
  <c r="G579" i="2"/>
  <c r="C579" i="2"/>
  <c r="F579" i="2"/>
  <c r="D579" i="2"/>
  <c r="B579" i="2"/>
  <c r="J579" i="2" s="1"/>
  <c r="K581" i="2"/>
  <c r="I581" i="2"/>
  <c r="G581" i="2"/>
  <c r="C581" i="2"/>
  <c r="F581" i="2"/>
  <c r="D581" i="2"/>
  <c r="B581" i="2"/>
  <c r="J581" i="2" s="1"/>
  <c r="K583" i="2"/>
  <c r="I583" i="2"/>
  <c r="G583" i="2"/>
  <c r="C583" i="2"/>
  <c r="F583" i="2"/>
  <c r="D583" i="2"/>
  <c r="B583" i="2"/>
  <c r="J583" i="2" s="1"/>
  <c r="K585" i="2"/>
  <c r="I585" i="2"/>
  <c r="G585" i="2"/>
  <c r="C585" i="2"/>
  <c r="F585" i="2"/>
  <c r="D585" i="2"/>
  <c r="B585" i="2"/>
  <c r="J585" i="2" s="1"/>
  <c r="K587" i="2"/>
  <c r="I587" i="2"/>
  <c r="G587" i="2"/>
  <c r="C587" i="2"/>
  <c r="F587" i="2"/>
  <c r="D587" i="2"/>
  <c r="B587" i="2"/>
  <c r="J587" i="2" s="1"/>
  <c r="K589" i="2"/>
  <c r="I589" i="2"/>
  <c r="G589" i="2"/>
  <c r="C589" i="2"/>
  <c r="F589" i="2"/>
  <c r="D589" i="2"/>
  <c r="B589" i="2"/>
  <c r="J589" i="2" s="1"/>
  <c r="K591" i="2"/>
  <c r="I591" i="2"/>
  <c r="G591" i="2"/>
  <c r="C591" i="2"/>
  <c r="F591" i="2"/>
  <c r="D591" i="2"/>
  <c r="B591" i="2"/>
  <c r="J591" i="2" s="1"/>
  <c r="K593" i="2"/>
  <c r="I593" i="2"/>
  <c r="G593" i="2"/>
  <c r="C593" i="2"/>
  <c r="F593" i="2"/>
  <c r="D593" i="2"/>
  <c r="B593" i="2"/>
  <c r="J593" i="2" s="1"/>
  <c r="K595" i="2"/>
  <c r="I595" i="2"/>
  <c r="G595" i="2"/>
  <c r="C595" i="2"/>
  <c r="F595" i="2"/>
  <c r="D595" i="2"/>
  <c r="B595" i="2"/>
  <c r="J595" i="2" s="1"/>
  <c r="K597" i="2"/>
  <c r="I597" i="2"/>
  <c r="G597" i="2"/>
  <c r="C597" i="2"/>
  <c r="F597" i="2"/>
  <c r="D597" i="2"/>
  <c r="B597" i="2"/>
  <c r="J597" i="2" s="1"/>
  <c r="K599" i="2"/>
  <c r="I599" i="2"/>
  <c r="G599" i="2"/>
  <c r="C599" i="2"/>
  <c r="F599" i="2"/>
  <c r="D599" i="2"/>
  <c r="B599" i="2"/>
  <c r="J599" i="2" s="1"/>
  <c r="K601" i="2"/>
  <c r="I601" i="2"/>
  <c r="G601" i="2"/>
  <c r="C601" i="2"/>
  <c r="F601" i="2"/>
  <c r="D601" i="2"/>
  <c r="B601" i="2"/>
  <c r="J601" i="2" s="1"/>
  <c r="K603" i="2"/>
  <c r="I603" i="2"/>
  <c r="G603" i="2"/>
  <c r="C603" i="2"/>
  <c r="F603" i="2"/>
  <c r="D603" i="2"/>
  <c r="B603" i="2"/>
  <c r="J603" i="2" s="1"/>
  <c r="K605" i="2"/>
  <c r="I605" i="2"/>
  <c r="G605" i="2"/>
  <c r="C605" i="2"/>
  <c r="F605" i="2"/>
  <c r="D605" i="2"/>
  <c r="B605" i="2"/>
  <c r="J605" i="2" s="1"/>
  <c r="K607" i="2"/>
  <c r="I607" i="2"/>
  <c r="G607" i="2"/>
  <c r="C607" i="2"/>
  <c r="F607" i="2"/>
  <c r="D607" i="2"/>
  <c r="B607" i="2"/>
  <c r="J607" i="2" s="1"/>
  <c r="K609" i="2"/>
  <c r="I609" i="2"/>
  <c r="G609" i="2"/>
  <c r="C609" i="2"/>
  <c r="F609" i="2"/>
  <c r="D609" i="2"/>
  <c r="B609" i="2"/>
  <c r="J609" i="2" s="1"/>
  <c r="K611" i="2"/>
  <c r="I611" i="2"/>
  <c r="G611" i="2"/>
  <c r="C611" i="2"/>
  <c r="F611" i="2"/>
  <c r="D611" i="2"/>
  <c r="B611" i="2"/>
  <c r="J611" i="2" s="1"/>
  <c r="K613" i="2"/>
  <c r="I613" i="2"/>
  <c r="G613" i="2"/>
  <c r="C613" i="2"/>
  <c r="F613" i="2"/>
  <c r="D613" i="2"/>
  <c r="B613" i="2"/>
  <c r="J613" i="2" s="1"/>
  <c r="K615" i="2"/>
  <c r="I615" i="2"/>
  <c r="G615" i="2"/>
  <c r="C615" i="2"/>
  <c r="F615" i="2"/>
  <c r="D615" i="2"/>
  <c r="B615" i="2"/>
  <c r="J615" i="2" s="1"/>
  <c r="K617" i="2"/>
  <c r="I617" i="2"/>
  <c r="G617" i="2"/>
  <c r="C617" i="2"/>
  <c r="F617" i="2"/>
  <c r="D617" i="2"/>
  <c r="B617" i="2"/>
  <c r="J617" i="2" s="1"/>
  <c r="K619" i="2"/>
  <c r="I619" i="2"/>
  <c r="G619" i="2"/>
  <c r="C619" i="2"/>
  <c r="F619" i="2"/>
  <c r="D619" i="2"/>
  <c r="B619" i="2"/>
  <c r="J619" i="2" s="1"/>
  <c r="K621" i="2"/>
  <c r="I621" i="2"/>
  <c r="G621" i="2"/>
  <c r="C621" i="2"/>
  <c r="F621" i="2"/>
  <c r="D621" i="2"/>
  <c r="B621" i="2"/>
  <c r="J621" i="2" s="1"/>
  <c r="K623" i="2"/>
  <c r="I623" i="2"/>
  <c r="G623" i="2"/>
  <c r="C623" i="2"/>
  <c r="F623" i="2"/>
  <c r="D623" i="2"/>
  <c r="B623" i="2"/>
  <c r="J623" i="2" s="1"/>
  <c r="K625" i="2"/>
  <c r="I625" i="2"/>
  <c r="G625" i="2"/>
  <c r="C625" i="2"/>
  <c r="F625" i="2"/>
  <c r="D625" i="2"/>
  <c r="B625" i="2"/>
  <c r="J625" i="2" s="1"/>
  <c r="K627" i="2"/>
  <c r="I627" i="2"/>
  <c r="G627" i="2"/>
  <c r="C627" i="2"/>
  <c r="F627" i="2"/>
  <c r="D627" i="2"/>
  <c r="B627" i="2"/>
  <c r="J627" i="2" s="1"/>
  <c r="K629" i="2"/>
  <c r="I629" i="2"/>
  <c r="G629" i="2"/>
  <c r="C629" i="2"/>
  <c r="F629" i="2"/>
  <c r="D629" i="2"/>
  <c r="B629" i="2"/>
  <c r="J629" i="2" s="1"/>
  <c r="K631" i="2"/>
  <c r="I631" i="2"/>
  <c r="G631" i="2"/>
  <c r="C631" i="2"/>
  <c r="F631" i="2"/>
  <c r="D631" i="2"/>
  <c r="B631" i="2"/>
  <c r="J631" i="2" s="1"/>
  <c r="K633" i="2"/>
  <c r="I633" i="2"/>
  <c r="G633" i="2"/>
  <c r="C633" i="2"/>
  <c r="F633" i="2"/>
  <c r="D633" i="2"/>
  <c r="B633" i="2"/>
  <c r="J633" i="2" s="1"/>
  <c r="K635" i="2"/>
  <c r="I635" i="2"/>
  <c r="G635" i="2"/>
  <c r="C635" i="2"/>
  <c r="F635" i="2"/>
  <c r="D635" i="2"/>
  <c r="B635" i="2"/>
  <c r="J635" i="2" s="1"/>
  <c r="K637" i="2"/>
  <c r="I637" i="2"/>
  <c r="G637" i="2"/>
  <c r="C637" i="2"/>
  <c r="F637" i="2"/>
  <c r="D637" i="2"/>
  <c r="B637" i="2"/>
  <c r="J637" i="2" s="1"/>
  <c r="K639" i="2"/>
  <c r="I639" i="2"/>
  <c r="G639" i="2"/>
  <c r="C639" i="2"/>
  <c r="F639" i="2"/>
  <c r="D639" i="2"/>
  <c r="B639" i="2"/>
  <c r="J639" i="2" s="1"/>
  <c r="K641" i="2"/>
  <c r="I641" i="2"/>
  <c r="G641" i="2"/>
  <c r="C641" i="2"/>
  <c r="F641" i="2"/>
  <c r="D641" i="2"/>
  <c r="B641" i="2"/>
  <c r="J641" i="2" s="1"/>
  <c r="K643" i="2"/>
  <c r="I643" i="2"/>
  <c r="G643" i="2"/>
  <c r="C643" i="2"/>
  <c r="F643" i="2"/>
  <c r="D643" i="2"/>
  <c r="B643" i="2"/>
  <c r="J643" i="2" s="1"/>
  <c r="K645" i="2"/>
  <c r="I645" i="2"/>
  <c r="G645" i="2"/>
  <c r="C645" i="2"/>
  <c r="F645" i="2"/>
  <c r="D645" i="2"/>
  <c r="B645" i="2"/>
  <c r="J645" i="2" s="1"/>
  <c r="K647" i="2"/>
  <c r="I647" i="2"/>
  <c r="G647" i="2"/>
  <c r="C647" i="2"/>
  <c r="F647" i="2"/>
  <c r="D647" i="2"/>
  <c r="B647" i="2"/>
  <c r="J647" i="2" s="1"/>
  <c r="K649" i="2"/>
  <c r="I649" i="2"/>
  <c r="G649" i="2"/>
  <c r="C649" i="2"/>
  <c r="F649" i="2"/>
  <c r="D649" i="2"/>
  <c r="B649" i="2"/>
  <c r="J649" i="2" s="1"/>
  <c r="K651" i="2"/>
  <c r="I651" i="2"/>
  <c r="G651" i="2"/>
  <c r="C651" i="2"/>
  <c r="F651" i="2"/>
  <c r="D651" i="2"/>
  <c r="B651" i="2"/>
  <c r="J651" i="2" s="1"/>
  <c r="K653" i="2"/>
  <c r="I653" i="2"/>
  <c r="G653" i="2"/>
  <c r="C653" i="2"/>
  <c r="F653" i="2"/>
  <c r="D653" i="2"/>
  <c r="B653" i="2"/>
  <c r="J653" i="2" s="1"/>
  <c r="K655" i="2"/>
  <c r="I655" i="2"/>
  <c r="G655" i="2"/>
  <c r="C655" i="2"/>
  <c r="F655" i="2"/>
  <c r="D655" i="2"/>
  <c r="B655" i="2"/>
  <c r="J655" i="2" s="1"/>
  <c r="K657" i="2"/>
  <c r="I657" i="2"/>
  <c r="G657" i="2"/>
  <c r="C657" i="2"/>
  <c r="F657" i="2"/>
  <c r="D657" i="2"/>
  <c r="B657" i="2"/>
  <c r="J657" i="2" s="1"/>
  <c r="K659" i="2"/>
  <c r="I659" i="2"/>
  <c r="G659" i="2"/>
  <c r="C659" i="2"/>
  <c r="F659" i="2"/>
  <c r="D659" i="2"/>
  <c r="B659" i="2"/>
  <c r="J659" i="2" s="1"/>
  <c r="K661" i="2"/>
  <c r="I661" i="2"/>
  <c r="G661" i="2"/>
  <c r="C661" i="2"/>
  <c r="F661" i="2"/>
  <c r="D661" i="2"/>
  <c r="B661" i="2"/>
  <c r="J661" i="2" s="1"/>
  <c r="K663" i="2"/>
  <c r="I663" i="2"/>
  <c r="G663" i="2"/>
  <c r="C663" i="2"/>
  <c r="F663" i="2"/>
  <c r="D663" i="2"/>
  <c r="B663" i="2"/>
  <c r="J663" i="2" s="1"/>
  <c r="K665" i="2"/>
  <c r="I665" i="2"/>
  <c r="G665" i="2"/>
  <c r="C665" i="2"/>
  <c r="F665" i="2"/>
  <c r="D665" i="2"/>
  <c r="B665" i="2"/>
  <c r="J665" i="2" s="1"/>
  <c r="K667" i="2"/>
  <c r="I667" i="2"/>
  <c r="G667" i="2"/>
  <c r="C667" i="2"/>
  <c r="F667" i="2"/>
  <c r="D667" i="2"/>
  <c r="B667" i="2"/>
  <c r="J667" i="2" s="1"/>
  <c r="K669" i="2"/>
  <c r="I669" i="2"/>
  <c r="G669" i="2"/>
  <c r="C669" i="2"/>
  <c r="F669" i="2"/>
  <c r="D669" i="2"/>
  <c r="B669" i="2"/>
  <c r="J669" i="2" s="1"/>
  <c r="K671" i="2"/>
  <c r="I671" i="2"/>
  <c r="G671" i="2"/>
  <c r="C671" i="2"/>
  <c r="F671" i="2"/>
  <c r="D671" i="2"/>
  <c r="B671" i="2"/>
  <c r="J671" i="2" s="1"/>
  <c r="K673" i="2"/>
  <c r="I673" i="2"/>
  <c r="G673" i="2"/>
  <c r="C673" i="2"/>
  <c r="F673" i="2"/>
  <c r="D673" i="2"/>
  <c r="B673" i="2"/>
  <c r="J673" i="2" s="1"/>
  <c r="K675" i="2"/>
  <c r="I675" i="2"/>
  <c r="G675" i="2"/>
  <c r="C675" i="2"/>
  <c r="F675" i="2"/>
  <c r="D675" i="2"/>
  <c r="B675" i="2"/>
  <c r="J675" i="2" s="1"/>
  <c r="K677" i="2"/>
  <c r="I677" i="2"/>
  <c r="G677" i="2"/>
  <c r="C677" i="2"/>
  <c r="F677" i="2"/>
  <c r="D677" i="2"/>
  <c r="B677" i="2"/>
  <c r="J677" i="2" s="1"/>
  <c r="K679" i="2"/>
  <c r="I679" i="2"/>
  <c r="G679" i="2"/>
  <c r="C679" i="2"/>
  <c r="F679" i="2"/>
  <c r="D679" i="2"/>
  <c r="B679" i="2"/>
  <c r="J679" i="2" s="1"/>
  <c r="K681" i="2"/>
  <c r="I681" i="2"/>
  <c r="G681" i="2"/>
  <c r="C681" i="2"/>
  <c r="F681" i="2"/>
  <c r="D681" i="2"/>
  <c r="B681" i="2"/>
  <c r="J681" i="2" s="1"/>
  <c r="K683" i="2"/>
  <c r="I683" i="2"/>
  <c r="G683" i="2"/>
  <c r="C683" i="2"/>
  <c r="F683" i="2"/>
  <c r="D683" i="2"/>
  <c r="B683" i="2"/>
  <c r="J683" i="2" s="1"/>
  <c r="K685" i="2"/>
  <c r="I685" i="2"/>
  <c r="G685" i="2"/>
  <c r="C685" i="2"/>
  <c r="F685" i="2"/>
  <c r="D685" i="2"/>
  <c r="B685" i="2"/>
  <c r="J685" i="2" s="1"/>
  <c r="K687" i="2"/>
  <c r="I687" i="2"/>
  <c r="G687" i="2"/>
  <c r="C687" i="2"/>
  <c r="F687" i="2"/>
  <c r="D687" i="2"/>
  <c r="B687" i="2"/>
  <c r="J687" i="2" s="1"/>
  <c r="K689" i="2"/>
  <c r="I689" i="2"/>
  <c r="G689" i="2"/>
  <c r="C689" i="2"/>
  <c r="F689" i="2"/>
  <c r="D689" i="2"/>
  <c r="B689" i="2"/>
  <c r="J689" i="2" s="1"/>
  <c r="K691" i="2"/>
  <c r="I691" i="2"/>
  <c r="G691" i="2"/>
  <c r="C691" i="2"/>
  <c r="F691" i="2"/>
  <c r="D691" i="2"/>
  <c r="B691" i="2"/>
  <c r="J691" i="2" s="1"/>
  <c r="K693" i="2"/>
  <c r="I693" i="2"/>
  <c r="G693" i="2"/>
  <c r="C693" i="2"/>
  <c r="F693" i="2"/>
  <c r="D693" i="2"/>
  <c r="B693" i="2"/>
  <c r="J693" i="2" s="1"/>
  <c r="K695" i="2"/>
  <c r="I695" i="2"/>
  <c r="G695" i="2"/>
  <c r="C695" i="2"/>
  <c r="F695" i="2"/>
  <c r="D695" i="2"/>
  <c r="B695" i="2"/>
  <c r="J695" i="2" s="1"/>
  <c r="K697" i="2"/>
  <c r="I697" i="2"/>
  <c r="G697" i="2"/>
  <c r="C697" i="2"/>
  <c r="F697" i="2"/>
  <c r="D697" i="2"/>
  <c r="B697" i="2"/>
  <c r="J697" i="2" s="1"/>
  <c r="K699" i="2"/>
  <c r="I699" i="2"/>
  <c r="G699" i="2"/>
  <c r="C699" i="2"/>
  <c r="F699" i="2"/>
  <c r="D699" i="2"/>
  <c r="B699" i="2"/>
  <c r="J699" i="2" s="1"/>
  <c r="K701" i="2"/>
  <c r="I701" i="2"/>
  <c r="G701" i="2"/>
  <c r="C701" i="2"/>
  <c r="F701" i="2"/>
  <c r="D701" i="2"/>
  <c r="B701" i="2"/>
  <c r="J701" i="2" s="1"/>
  <c r="K703" i="2"/>
  <c r="I703" i="2"/>
  <c r="G703" i="2"/>
  <c r="C703" i="2"/>
  <c r="F703" i="2"/>
  <c r="D703" i="2"/>
  <c r="B703" i="2"/>
  <c r="J703" i="2" s="1"/>
  <c r="K705" i="2"/>
  <c r="I705" i="2"/>
  <c r="G705" i="2"/>
  <c r="C705" i="2"/>
  <c r="F705" i="2"/>
  <c r="D705" i="2"/>
  <c r="B705" i="2"/>
  <c r="J705" i="2" s="1"/>
  <c r="K707" i="2"/>
  <c r="I707" i="2"/>
  <c r="G707" i="2"/>
  <c r="C707" i="2"/>
  <c r="F707" i="2"/>
  <c r="D707" i="2"/>
  <c r="B707" i="2"/>
  <c r="J707" i="2" s="1"/>
  <c r="K709" i="2"/>
  <c r="I709" i="2"/>
  <c r="G709" i="2"/>
  <c r="C709" i="2"/>
  <c r="F709" i="2"/>
  <c r="D709" i="2"/>
  <c r="B709" i="2"/>
  <c r="J709" i="2" s="1"/>
  <c r="K711" i="2"/>
  <c r="I711" i="2"/>
  <c r="G711" i="2"/>
  <c r="C711" i="2"/>
  <c r="F711" i="2"/>
  <c r="D711" i="2"/>
  <c r="B711" i="2"/>
  <c r="J711" i="2" s="1"/>
  <c r="K713" i="2"/>
  <c r="I713" i="2"/>
  <c r="G713" i="2"/>
  <c r="C713" i="2"/>
  <c r="F713" i="2"/>
  <c r="D713" i="2"/>
  <c r="B713" i="2"/>
  <c r="J713" i="2" s="1"/>
  <c r="K715" i="2"/>
  <c r="I715" i="2"/>
  <c r="G715" i="2"/>
  <c r="C715" i="2"/>
  <c r="F715" i="2"/>
  <c r="D715" i="2"/>
  <c r="B715" i="2"/>
  <c r="J715" i="2" s="1"/>
  <c r="K717" i="2"/>
  <c r="I717" i="2"/>
  <c r="G717" i="2"/>
  <c r="C717" i="2"/>
  <c r="F717" i="2"/>
  <c r="D717" i="2"/>
  <c r="B717" i="2"/>
  <c r="J717" i="2" s="1"/>
  <c r="K719" i="2"/>
  <c r="I719" i="2"/>
  <c r="G719" i="2"/>
  <c r="C719" i="2"/>
  <c r="F719" i="2"/>
  <c r="D719" i="2"/>
  <c r="B719" i="2"/>
  <c r="J719" i="2" s="1"/>
  <c r="K721" i="2"/>
  <c r="I721" i="2"/>
  <c r="G721" i="2"/>
  <c r="C721" i="2"/>
  <c r="F721" i="2"/>
  <c r="D721" i="2"/>
  <c r="B721" i="2"/>
  <c r="J721" i="2" s="1"/>
  <c r="K723" i="2"/>
  <c r="I723" i="2"/>
  <c r="G723" i="2"/>
  <c r="C723" i="2"/>
  <c r="F723" i="2"/>
  <c r="D723" i="2"/>
  <c r="B723" i="2"/>
  <c r="J723" i="2" s="1"/>
  <c r="K725" i="2"/>
  <c r="I725" i="2"/>
  <c r="G725" i="2"/>
  <c r="C725" i="2"/>
  <c r="F725" i="2"/>
  <c r="D725" i="2"/>
  <c r="B725" i="2"/>
  <c r="J725" i="2" s="1"/>
  <c r="K727" i="2"/>
  <c r="I727" i="2"/>
  <c r="G727" i="2"/>
  <c r="C727" i="2"/>
  <c r="F727" i="2"/>
  <c r="D727" i="2"/>
  <c r="B727" i="2"/>
  <c r="J727" i="2" s="1"/>
  <c r="K729" i="2"/>
  <c r="I729" i="2"/>
  <c r="G729" i="2"/>
  <c r="C729" i="2"/>
  <c r="F729" i="2"/>
  <c r="D729" i="2"/>
  <c r="B729" i="2"/>
  <c r="J729" i="2" s="1"/>
  <c r="K731" i="2"/>
  <c r="I731" i="2"/>
  <c r="G731" i="2"/>
  <c r="C731" i="2"/>
  <c r="F731" i="2"/>
  <c r="D731" i="2"/>
  <c r="B731" i="2"/>
  <c r="J731" i="2" s="1"/>
  <c r="K733" i="2"/>
  <c r="I733" i="2"/>
  <c r="G733" i="2"/>
  <c r="C733" i="2"/>
  <c r="F733" i="2"/>
  <c r="D733" i="2"/>
  <c r="B733" i="2"/>
  <c r="J733" i="2" s="1"/>
  <c r="K735" i="2"/>
  <c r="I735" i="2"/>
  <c r="G735" i="2"/>
  <c r="C735" i="2"/>
  <c r="F735" i="2"/>
  <c r="D735" i="2"/>
  <c r="B735" i="2"/>
  <c r="J735" i="2" s="1"/>
  <c r="K737" i="2"/>
  <c r="I737" i="2"/>
  <c r="G737" i="2"/>
  <c r="C737" i="2"/>
  <c r="F737" i="2"/>
  <c r="D737" i="2"/>
  <c r="B737" i="2"/>
  <c r="J737" i="2" s="1"/>
  <c r="K739" i="2"/>
  <c r="I739" i="2"/>
  <c r="G739" i="2"/>
  <c r="C739" i="2"/>
  <c r="F739" i="2"/>
  <c r="D739" i="2"/>
  <c r="B739" i="2"/>
  <c r="J739" i="2" s="1"/>
  <c r="K741" i="2"/>
  <c r="I741" i="2"/>
  <c r="G741" i="2"/>
  <c r="C741" i="2"/>
  <c r="F741" i="2"/>
  <c r="D741" i="2"/>
  <c r="B741" i="2"/>
  <c r="J741" i="2" s="1"/>
  <c r="K743" i="2"/>
  <c r="I743" i="2"/>
  <c r="G743" i="2"/>
  <c r="C743" i="2"/>
  <c r="F743" i="2"/>
  <c r="D743" i="2"/>
  <c r="B743" i="2"/>
  <c r="J743" i="2" s="1"/>
  <c r="K745" i="2"/>
  <c r="I745" i="2"/>
  <c r="G745" i="2"/>
  <c r="C745" i="2"/>
  <c r="F745" i="2"/>
  <c r="D745" i="2"/>
  <c r="B745" i="2"/>
  <c r="J745" i="2" s="1"/>
  <c r="K747" i="2"/>
  <c r="I747" i="2"/>
  <c r="G747" i="2"/>
  <c r="C747" i="2"/>
  <c r="F747" i="2"/>
  <c r="D747" i="2"/>
  <c r="B747" i="2"/>
  <c r="J747" i="2" s="1"/>
  <c r="K749" i="2"/>
  <c r="I749" i="2"/>
  <c r="G749" i="2"/>
  <c r="C749" i="2"/>
  <c r="F749" i="2"/>
  <c r="D749" i="2"/>
  <c r="B749" i="2"/>
  <c r="J749" i="2" s="1"/>
  <c r="K751" i="2"/>
  <c r="I751" i="2"/>
  <c r="G751" i="2"/>
  <c r="C751" i="2"/>
  <c r="F751" i="2"/>
  <c r="D751" i="2"/>
  <c r="B751" i="2"/>
  <c r="J751" i="2" s="1"/>
  <c r="K753" i="2"/>
  <c r="I753" i="2"/>
  <c r="G753" i="2"/>
  <c r="C753" i="2"/>
  <c r="F753" i="2"/>
  <c r="D753" i="2"/>
  <c r="B753" i="2"/>
  <c r="J753" i="2" s="1"/>
  <c r="K755" i="2"/>
  <c r="I755" i="2"/>
  <c r="G755" i="2"/>
  <c r="C755" i="2"/>
  <c r="F755" i="2"/>
  <c r="D755" i="2"/>
  <c r="B755" i="2"/>
  <c r="J755" i="2" s="1"/>
  <c r="K757" i="2"/>
  <c r="I757" i="2"/>
  <c r="G757" i="2"/>
  <c r="C757" i="2"/>
  <c r="F757" i="2"/>
  <c r="D757" i="2"/>
  <c r="B757" i="2"/>
  <c r="J757" i="2" s="1"/>
  <c r="K759" i="2"/>
  <c r="I759" i="2"/>
  <c r="G759" i="2"/>
  <c r="C759" i="2"/>
  <c r="F759" i="2"/>
  <c r="D759" i="2"/>
  <c r="B759" i="2"/>
  <c r="J759" i="2" s="1"/>
  <c r="K761" i="2"/>
  <c r="I761" i="2"/>
  <c r="G761" i="2"/>
  <c r="C761" i="2"/>
  <c r="F761" i="2"/>
  <c r="D761" i="2"/>
  <c r="B761" i="2"/>
  <c r="J761" i="2" s="1"/>
  <c r="K763" i="2"/>
  <c r="I763" i="2"/>
  <c r="G763" i="2"/>
  <c r="C763" i="2"/>
  <c r="F763" i="2"/>
  <c r="D763" i="2"/>
  <c r="B763" i="2"/>
  <c r="J763" i="2" s="1"/>
  <c r="K765" i="2"/>
  <c r="I765" i="2"/>
  <c r="G765" i="2"/>
  <c r="C765" i="2"/>
  <c r="F765" i="2"/>
  <c r="D765" i="2"/>
  <c r="B765" i="2"/>
  <c r="J765" i="2" s="1"/>
  <c r="K767" i="2"/>
  <c r="I767" i="2"/>
  <c r="G767" i="2"/>
  <c r="C767" i="2"/>
  <c r="F767" i="2"/>
  <c r="D767" i="2"/>
  <c r="B767" i="2"/>
  <c r="J767" i="2" s="1"/>
  <c r="K769" i="2"/>
  <c r="I769" i="2"/>
  <c r="G769" i="2"/>
  <c r="C769" i="2"/>
  <c r="F769" i="2"/>
  <c r="D769" i="2"/>
  <c r="B769" i="2"/>
  <c r="J769" i="2" s="1"/>
  <c r="K771" i="2"/>
  <c r="I771" i="2"/>
  <c r="G771" i="2"/>
  <c r="C771" i="2"/>
  <c r="F771" i="2"/>
  <c r="D771" i="2"/>
  <c r="B771" i="2"/>
  <c r="J771" i="2" s="1"/>
  <c r="K773" i="2"/>
  <c r="I773" i="2"/>
  <c r="G773" i="2"/>
  <c r="C773" i="2"/>
  <c r="F773" i="2"/>
  <c r="D773" i="2"/>
  <c r="B773" i="2"/>
  <c r="J773" i="2" s="1"/>
  <c r="K775" i="2"/>
  <c r="I775" i="2"/>
  <c r="G775" i="2"/>
  <c r="C775" i="2"/>
  <c r="F775" i="2"/>
  <c r="D775" i="2"/>
  <c r="B775" i="2"/>
  <c r="J775" i="2" s="1"/>
  <c r="K777" i="2"/>
  <c r="I777" i="2"/>
  <c r="G777" i="2"/>
  <c r="C777" i="2"/>
  <c r="F777" i="2"/>
  <c r="D777" i="2"/>
  <c r="B777" i="2"/>
  <c r="J777" i="2" s="1"/>
  <c r="K779" i="2"/>
  <c r="I779" i="2"/>
  <c r="G779" i="2"/>
  <c r="C779" i="2"/>
  <c r="F779" i="2"/>
  <c r="D779" i="2"/>
  <c r="B779" i="2"/>
  <c r="J779" i="2" s="1"/>
  <c r="K781" i="2"/>
  <c r="I781" i="2"/>
  <c r="G781" i="2"/>
  <c r="C781" i="2"/>
  <c r="F781" i="2"/>
  <c r="D781" i="2"/>
  <c r="B781" i="2"/>
  <c r="J781" i="2" s="1"/>
  <c r="K783" i="2"/>
  <c r="I783" i="2"/>
  <c r="G783" i="2"/>
  <c r="C783" i="2"/>
  <c r="F783" i="2"/>
  <c r="D783" i="2"/>
  <c r="B783" i="2"/>
  <c r="J783" i="2" s="1"/>
  <c r="K785" i="2"/>
  <c r="I785" i="2"/>
  <c r="G785" i="2"/>
  <c r="C785" i="2"/>
  <c r="F785" i="2"/>
  <c r="D785" i="2"/>
  <c r="B785" i="2"/>
  <c r="J785" i="2" s="1"/>
  <c r="K787" i="2"/>
  <c r="I787" i="2"/>
  <c r="G787" i="2"/>
  <c r="C787" i="2"/>
  <c r="F787" i="2"/>
  <c r="D787" i="2"/>
  <c r="B787" i="2"/>
  <c r="J787" i="2" s="1"/>
  <c r="K789" i="2"/>
  <c r="I789" i="2"/>
  <c r="G789" i="2"/>
  <c r="C789" i="2"/>
  <c r="F789" i="2"/>
  <c r="D789" i="2"/>
  <c r="B789" i="2"/>
  <c r="J789" i="2" s="1"/>
  <c r="K791" i="2"/>
  <c r="I791" i="2"/>
  <c r="G791" i="2"/>
  <c r="C791" i="2"/>
  <c r="F791" i="2"/>
  <c r="D791" i="2"/>
  <c r="B791" i="2"/>
  <c r="J791" i="2" s="1"/>
  <c r="K793" i="2"/>
  <c r="I793" i="2"/>
  <c r="G793" i="2"/>
  <c r="C793" i="2"/>
  <c r="F793" i="2"/>
  <c r="D793" i="2"/>
  <c r="B793" i="2"/>
  <c r="J793" i="2" s="1"/>
  <c r="K795" i="2"/>
  <c r="I795" i="2"/>
  <c r="G795" i="2"/>
  <c r="C795" i="2"/>
  <c r="F795" i="2"/>
  <c r="D795" i="2"/>
  <c r="B795" i="2"/>
  <c r="J795" i="2" s="1"/>
  <c r="K797" i="2"/>
  <c r="I797" i="2"/>
  <c r="G797" i="2"/>
  <c r="C797" i="2"/>
  <c r="F797" i="2"/>
  <c r="D797" i="2"/>
  <c r="B797" i="2"/>
  <c r="J797" i="2" s="1"/>
  <c r="K799" i="2"/>
  <c r="I799" i="2"/>
  <c r="G799" i="2"/>
  <c r="C799" i="2"/>
  <c r="F799" i="2"/>
  <c r="D799" i="2"/>
  <c r="B799" i="2"/>
  <c r="J799" i="2" s="1"/>
  <c r="K801" i="2"/>
  <c r="I801" i="2"/>
  <c r="G801" i="2"/>
  <c r="C801" i="2"/>
  <c r="F801" i="2"/>
  <c r="D801" i="2"/>
  <c r="B801" i="2"/>
  <c r="J801" i="2" s="1"/>
  <c r="K803" i="2"/>
  <c r="I803" i="2"/>
  <c r="G803" i="2"/>
  <c r="C803" i="2"/>
  <c r="F803" i="2"/>
  <c r="D803" i="2"/>
  <c r="B803" i="2"/>
  <c r="J803" i="2" s="1"/>
  <c r="K805" i="2"/>
  <c r="I805" i="2"/>
  <c r="G805" i="2"/>
  <c r="C805" i="2"/>
  <c r="F805" i="2"/>
  <c r="D805" i="2"/>
  <c r="B805" i="2"/>
  <c r="J805" i="2" s="1"/>
  <c r="K807" i="2"/>
  <c r="I807" i="2"/>
  <c r="G807" i="2"/>
  <c r="C807" i="2"/>
  <c r="F807" i="2"/>
  <c r="D807" i="2"/>
  <c r="B807" i="2"/>
  <c r="J807" i="2" s="1"/>
  <c r="K809" i="2"/>
  <c r="I809" i="2"/>
  <c r="G809" i="2"/>
  <c r="C809" i="2"/>
  <c r="F809" i="2"/>
  <c r="D809" i="2"/>
  <c r="B809" i="2"/>
  <c r="J809" i="2" s="1"/>
  <c r="K811" i="2"/>
  <c r="I811" i="2"/>
  <c r="G811" i="2"/>
  <c r="C811" i="2"/>
  <c r="F811" i="2"/>
  <c r="D811" i="2"/>
  <c r="B811" i="2"/>
  <c r="J811" i="2" s="1"/>
  <c r="K813" i="2"/>
  <c r="I813" i="2"/>
  <c r="G813" i="2"/>
  <c r="C813" i="2"/>
  <c r="F813" i="2"/>
  <c r="D813" i="2"/>
  <c r="B813" i="2"/>
  <c r="J813" i="2" s="1"/>
  <c r="K815" i="2"/>
  <c r="I815" i="2"/>
  <c r="G815" i="2"/>
  <c r="C815" i="2"/>
  <c r="F815" i="2"/>
  <c r="D815" i="2"/>
  <c r="B815" i="2"/>
  <c r="J815" i="2" s="1"/>
  <c r="K817" i="2"/>
  <c r="I817" i="2"/>
  <c r="G817" i="2"/>
  <c r="C817" i="2"/>
  <c r="F817" i="2"/>
  <c r="D817" i="2"/>
  <c r="B817" i="2"/>
  <c r="J817" i="2" s="1"/>
  <c r="K819" i="2"/>
  <c r="I819" i="2"/>
  <c r="G819" i="2"/>
  <c r="C819" i="2"/>
  <c r="F819" i="2"/>
  <c r="D819" i="2"/>
  <c r="B819" i="2"/>
  <c r="J819" i="2" s="1"/>
  <c r="K821" i="2"/>
  <c r="I821" i="2"/>
  <c r="G821" i="2"/>
  <c r="C821" i="2"/>
  <c r="F821" i="2"/>
  <c r="D821" i="2"/>
  <c r="B821" i="2"/>
  <c r="J821" i="2" s="1"/>
  <c r="K823" i="2"/>
  <c r="I823" i="2"/>
  <c r="G823" i="2"/>
  <c r="C823" i="2"/>
  <c r="F823" i="2"/>
  <c r="D823" i="2"/>
  <c r="B823" i="2"/>
  <c r="J823" i="2" s="1"/>
  <c r="K825" i="2"/>
  <c r="I825" i="2"/>
  <c r="G825" i="2"/>
  <c r="C825" i="2"/>
  <c r="F825" i="2"/>
  <c r="D825" i="2"/>
  <c r="B825" i="2"/>
  <c r="J825" i="2" s="1"/>
  <c r="K827" i="2"/>
  <c r="I827" i="2"/>
  <c r="G827" i="2"/>
  <c r="C827" i="2"/>
  <c r="F827" i="2"/>
  <c r="D827" i="2"/>
  <c r="B827" i="2"/>
  <c r="J827" i="2" s="1"/>
  <c r="K829" i="2"/>
  <c r="I829" i="2"/>
  <c r="G829" i="2"/>
  <c r="C829" i="2"/>
  <c r="F829" i="2"/>
  <c r="D829" i="2"/>
  <c r="B829" i="2"/>
  <c r="J829" i="2" s="1"/>
  <c r="K831" i="2"/>
  <c r="I831" i="2"/>
  <c r="G831" i="2"/>
  <c r="C831" i="2"/>
  <c r="F831" i="2"/>
  <c r="D831" i="2"/>
  <c r="B831" i="2"/>
  <c r="J831" i="2" s="1"/>
  <c r="K833" i="2"/>
  <c r="I833" i="2"/>
  <c r="G833" i="2"/>
  <c r="C833" i="2"/>
  <c r="F833" i="2"/>
  <c r="D833" i="2"/>
  <c r="B833" i="2"/>
  <c r="J833" i="2" s="1"/>
  <c r="K835" i="2"/>
  <c r="I835" i="2"/>
  <c r="G835" i="2"/>
  <c r="C835" i="2"/>
  <c r="F835" i="2"/>
  <c r="D835" i="2"/>
  <c r="B835" i="2"/>
  <c r="J835" i="2" s="1"/>
  <c r="K837" i="2"/>
  <c r="I837" i="2"/>
  <c r="G837" i="2"/>
  <c r="C837" i="2"/>
  <c r="F837" i="2"/>
  <c r="D837" i="2"/>
  <c r="B837" i="2"/>
  <c r="J837" i="2" s="1"/>
  <c r="K839" i="2"/>
  <c r="I839" i="2"/>
  <c r="G839" i="2"/>
  <c r="C839" i="2"/>
  <c r="F839" i="2"/>
  <c r="D839" i="2"/>
  <c r="B839" i="2"/>
  <c r="J839" i="2" s="1"/>
  <c r="K841" i="2"/>
  <c r="I841" i="2"/>
  <c r="G841" i="2"/>
  <c r="C841" i="2"/>
  <c r="F841" i="2"/>
  <c r="D841" i="2"/>
  <c r="B841" i="2"/>
  <c r="J841" i="2" s="1"/>
  <c r="K843" i="2"/>
  <c r="I843" i="2"/>
  <c r="G843" i="2"/>
  <c r="C843" i="2"/>
  <c r="F843" i="2"/>
  <c r="D843" i="2"/>
  <c r="B843" i="2"/>
  <c r="J843" i="2" s="1"/>
  <c r="K845" i="2"/>
  <c r="I845" i="2"/>
  <c r="G845" i="2"/>
  <c r="C845" i="2"/>
  <c r="F845" i="2"/>
  <c r="D845" i="2"/>
  <c r="B845" i="2"/>
  <c r="J845" i="2" s="1"/>
  <c r="K847" i="2"/>
  <c r="I847" i="2"/>
  <c r="G847" i="2"/>
  <c r="C847" i="2"/>
  <c r="F847" i="2"/>
  <c r="D847" i="2"/>
  <c r="B847" i="2"/>
  <c r="J847" i="2" s="1"/>
  <c r="K849" i="2"/>
  <c r="I849" i="2"/>
  <c r="G849" i="2"/>
  <c r="C849" i="2"/>
  <c r="F849" i="2"/>
  <c r="D849" i="2"/>
  <c r="B849" i="2"/>
  <c r="J849" i="2" s="1"/>
  <c r="K851" i="2"/>
  <c r="I851" i="2"/>
  <c r="G851" i="2"/>
  <c r="C851" i="2"/>
  <c r="F851" i="2"/>
  <c r="D851" i="2"/>
  <c r="B851" i="2"/>
  <c r="J851" i="2" s="1"/>
  <c r="K853" i="2"/>
  <c r="I853" i="2"/>
  <c r="G853" i="2"/>
  <c r="C853" i="2"/>
  <c r="F853" i="2"/>
  <c r="D853" i="2"/>
  <c r="B853" i="2"/>
  <c r="J853" i="2" s="1"/>
  <c r="K855" i="2"/>
  <c r="I855" i="2"/>
  <c r="G855" i="2"/>
  <c r="C855" i="2"/>
  <c r="F855" i="2"/>
  <c r="D855" i="2"/>
  <c r="B855" i="2"/>
  <c r="J855" i="2" s="1"/>
  <c r="K857" i="2"/>
  <c r="I857" i="2"/>
  <c r="G857" i="2"/>
  <c r="C857" i="2"/>
  <c r="F857" i="2"/>
  <c r="D857" i="2"/>
  <c r="B857" i="2"/>
  <c r="J857" i="2" s="1"/>
  <c r="K859" i="2"/>
  <c r="I859" i="2"/>
  <c r="G859" i="2"/>
  <c r="C859" i="2"/>
  <c r="F859" i="2"/>
  <c r="D859" i="2"/>
  <c r="B859" i="2"/>
  <c r="J859" i="2" s="1"/>
  <c r="K861" i="2"/>
  <c r="I861" i="2"/>
  <c r="G861" i="2"/>
  <c r="C861" i="2"/>
  <c r="F861" i="2"/>
  <c r="D861" i="2"/>
  <c r="B861" i="2"/>
  <c r="J861" i="2" s="1"/>
  <c r="K863" i="2"/>
  <c r="I863" i="2"/>
  <c r="G863" i="2"/>
  <c r="C863" i="2"/>
  <c r="F863" i="2"/>
  <c r="D863" i="2"/>
  <c r="B863" i="2"/>
  <c r="J863" i="2" s="1"/>
  <c r="K865" i="2"/>
  <c r="I865" i="2"/>
  <c r="G865" i="2"/>
  <c r="C865" i="2"/>
  <c r="F865" i="2"/>
  <c r="D865" i="2"/>
  <c r="B865" i="2"/>
  <c r="J865" i="2" s="1"/>
  <c r="K867" i="2"/>
  <c r="I867" i="2"/>
  <c r="G867" i="2"/>
  <c r="C867" i="2"/>
  <c r="F867" i="2"/>
  <c r="D867" i="2"/>
  <c r="B867" i="2"/>
  <c r="J867" i="2" s="1"/>
  <c r="K869" i="2"/>
  <c r="I869" i="2"/>
  <c r="G869" i="2"/>
  <c r="C869" i="2"/>
  <c r="F869" i="2"/>
  <c r="D869" i="2"/>
  <c r="B869" i="2"/>
  <c r="J869" i="2" s="1"/>
  <c r="K871" i="2"/>
  <c r="I871" i="2"/>
  <c r="G871" i="2"/>
  <c r="C871" i="2"/>
  <c r="F871" i="2"/>
  <c r="D871" i="2"/>
  <c r="B871" i="2"/>
  <c r="J871" i="2" s="1"/>
  <c r="K873" i="2"/>
  <c r="I873" i="2"/>
  <c r="G873" i="2"/>
  <c r="C873" i="2"/>
  <c r="F873" i="2"/>
  <c r="D873" i="2"/>
  <c r="B873" i="2"/>
  <c r="J873" i="2" s="1"/>
  <c r="K875" i="2"/>
  <c r="I875" i="2"/>
  <c r="G875" i="2"/>
  <c r="C875" i="2"/>
  <c r="F875" i="2"/>
  <c r="D875" i="2"/>
  <c r="B875" i="2"/>
  <c r="J875" i="2" s="1"/>
  <c r="K877" i="2"/>
  <c r="I877" i="2"/>
  <c r="G877" i="2"/>
  <c r="C877" i="2"/>
  <c r="F877" i="2"/>
  <c r="D877" i="2"/>
  <c r="B877" i="2"/>
  <c r="J877" i="2" s="1"/>
  <c r="K879" i="2"/>
  <c r="I879" i="2"/>
  <c r="G879" i="2"/>
  <c r="C879" i="2"/>
  <c r="F879" i="2"/>
  <c r="D879" i="2"/>
  <c r="B879" i="2"/>
  <c r="J879" i="2" s="1"/>
  <c r="K881" i="2"/>
  <c r="I881" i="2"/>
  <c r="G881" i="2"/>
  <c r="C881" i="2"/>
  <c r="F881" i="2"/>
  <c r="D881" i="2"/>
  <c r="B881" i="2"/>
  <c r="J881" i="2" s="1"/>
  <c r="K883" i="2"/>
  <c r="I883" i="2"/>
  <c r="G883" i="2"/>
  <c r="C883" i="2"/>
  <c r="F883" i="2"/>
  <c r="D883" i="2"/>
  <c r="B883" i="2"/>
  <c r="J883" i="2" s="1"/>
  <c r="K885" i="2"/>
  <c r="I885" i="2"/>
  <c r="G885" i="2"/>
  <c r="C885" i="2"/>
  <c r="F885" i="2"/>
  <c r="D885" i="2"/>
  <c r="B885" i="2"/>
  <c r="J885" i="2" s="1"/>
  <c r="K887" i="2"/>
  <c r="I887" i="2"/>
  <c r="G887" i="2"/>
  <c r="C887" i="2"/>
  <c r="F887" i="2"/>
  <c r="D887" i="2"/>
  <c r="B887" i="2"/>
  <c r="J887" i="2" s="1"/>
  <c r="K889" i="2"/>
  <c r="I889" i="2"/>
  <c r="G889" i="2"/>
  <c r="C889" i="2"/>
  <c r="F889" i="2"/>
  <c r="D889" i="2"/>
  <c r="B889" i="2"/>
  <c r="J889" i="2" s="1"/>
  <c r="K891" i="2"/>
  <c r="I891" i="2"/>
  <c r="G891" i="2"/>
  <c r="C891" i="2"/>
  <c r="F891" i="2"/>
  <c r="D891" i="2"/>
  <c r="B891" i="2"/>
  <c r="J891" i="2" s="1"/>
  <c r="K893" i="2"/>
  <c r="I893" i="2"/>
  <c r="G893" i="2"/>
  <c r="C893" i="2"/>
  <c r="F893" i="2"/>
  <c r="D893" i="2"/>
  <c r="B893" i="2"/>
  <c r="J893" i="2" s="1"/>
  <c r="K895" i="2"/>
  <c r="I895" i="2"/>
  <c r="G895" i="2"/>
  <c r="C895" i="2"/>
  <c r="F895" i="2"/>
  <c r="D895" i="2"/>
  <c r="B895" i="2"/>
  <c r="J895" i="2" s="1"/>
  <c r="K897" i="2"/>
  <c r="I897" i="2"/>
  <c r="G897" i="2"/>
  <c r="C897" i="2"/>
  <c r="F897" i="2"/>
  <c r="D897" i="2"/>
  <c r="B897" i="2"/>
  <c r="J897" i="2" s="1"/>
  <c r="K899" i="2"/>
  <c r="I899" i="2"/>
  <c r="G899" i="2"/>
  <c r="C899" i="2"/>
  <c r="F899" i="2"/>
  <c r="D899" i="2"/>
  <c r="B899" i="2"/>
  <c r="J899" i="2" s="1"/>
  <c r="K901" i="2"/>
  <c r="I901" i="2"/>
  <c r="G901" i="2"/>
  <c r="C901" i="2"/>
  <c r="F901" i="2"/>
  <c r="D901" i="2"/>
  <c r="B901" i="2"/>
  <c r="J901" i="2" s="1"/>
  <c r="K903" i="2"/>
  <c r="I903" i="2"/>
  <c r="G903" i="2"/>
  <c r="C903" i="2"/>
  <c r="F903" i="2"/>
  <c r="D903" i="2"/>
  <c r="B903" i="2"/>
  <c r="J903" i="2" s="1"/>
  <c r="K905" i="2"/>
  <c r="I905" i="2"/>
  <c r="G905" i="2"/>
  <c r="C905" i="2"/>
  <c r="F905" i="2"/>
  <c r="D905" i="2"/>
  <c r="B905" i="2"/>
  <c r="J905" i="2" s="1"/>
  <c r="K907" i="2"/>
  <c r="I907" i="2"/>
  <c r="G907" i="2"/>
  <c r="C907" i="2"/>
  <c r="F907" i="2"/>
  <c r="D907" i="2"/>
  <c r="B907" i="2"/>
  <c r="J907" i="2" s="1"/>
  <c r="K909" i="2"/>
  <c r="I909" i="2"/>
  <c r="G909" i="2"/>
  <c r="C909" i="2"/>
  <c r="F909" i="2"/>
  <c r="D909" i="2"/>
  <c r="B909" i="2"/>
  <c r="J909" i="2" s="1"/>
  <c r="K911" i="2"/>
  <c r="I911" i="2"/>
  <c r="G911" i="2"/>
  <c r="C911" i="2"/>
  <c r="F911" i="2"/>
  <c r="D911" i="2"/>
  <c r="B911" i="2"/>
  <c r="J911" i="2" s="1"/>
  <c r="K913" i="2"/>
  <c r="I913" i="2"/>
  <c r="G913" i="2"/>
  <c r="C913" i="2"/>
  <c r="F913" i="2"/>
  <c r="D913" i="2"/>
  <c r="B913" i="2"/>
  <c r="J913" i="2" s="1"/>
  <c r="K915" i="2"/>
  <c r="I915" i="2"/>
  <c r="G915" i="2"/>
  <c r="C915" i="2"/>
  <c r="F915" i="2"/>
  <c r="D915" i="2"/>
  <c r="B915" i="2"/>
  <c r="J915" i="2" s="1"/>
  <c r="K917" i="2"/>
  <c r="I917" i="2"/>
  <c r="G917" i="2"/>
  <c r="C917" i="2"/>
  <c r="F917" i="2"/>
  <c r="D917" i="2"/>
  <c r="B917" i="2"/>
  <c r="J917" i="2" s="1"/>
  <c r="K919" i="2"/>
  <c r="I919" i="2"/>
  <c r="G919" i="2"/>
  <c r="C919" i="2"/>
  <c r="F919" i="2"/>
  <c r="D919" i="2"/>
  <c r="B919" i="2"/>
  <c r="J919" i="2" s="1"/>
  <c r="K921" i="2"/>
  <c r="I921" i="2"/>
  <c r="G921" i="2"/>
  <c r="C921" i="2"/>
  <c r="F921" i="2"/>
  <c r="D921" i="2"/>
  <c r="B921" i="2"/>
  <c r="J921" i="2" s="1"/>
  <c r="K923" i="2"/>
  <c r="I923" i="2"/>
  <c r="G923" i="2"/>
  <c r="C923" i="2"/>
  <c r="F923" i="2"/>
  <c r="D923" i="2"/>
  <c r="B923" i="2"/>
  <c r="J923" i="2" s="1"/>
  <c r="K925" i="2"/>
  <c r="I925" i="2"/>
  <c r="G925" i="2"/>
  <c r="C925" i="2"/>
  <c r="F925" i="2"/>
  <c r="D925" i="2"/>
  <c r="B925" i="2"/>
  <c r="J925" i="2" s="1"/>
  <c r="K927" i="2"/>
  <c r="I927" i="2"/>
  <c r="G927" i="2"/>
  <c r="C927" i="2"/>
  <c r="F927" i="2"/>
  <c r="D927" i="2"/>
  <c r="B927" i="2"/>
  <c r="J927" i="2" s="1"/>
  <c r="K929" i="2"/>
  <c r="I929" i="2"/>
  <c r="G929" i="2"/>
  <c r="C929" i="2"/>
  <c r="F929" i="2"/>
  <c r="D929" i="2"/>
  <c r="B929" i="2"/>
  <c r="J929" i="2" s="1"/>
  <c r="K931" i="2"/>
  <c r="I931" i="2"/>
  <c r="G931" i="2"/>
  <c r="C931" i="2"/>
  <c r="F931" i="2"/>
  <c r="D931" i="2"/>
  <c r="B931" i="2"/>
  <c r="J931" i="2" s="1"/>
  <c r="K933" i="2"/>
  <c r="I933" i="2"/>
  <c r="G933" i="2"/>
  <c r="C933" i="2"/>
  <c r="F933" i="2"/>
  <c r="D933" i="2"/>
  <c r="B933" i="2"/>
  <c r="J933" i="2" s="1"/>
  <c r="K935" i="2"/>
  <c r="I935" i="2"/>
  <c r="G935" i="2"/>
  <c r="C935" i="2"/>
  <c r="F935" i="2"/>
  <c r="D935" i="2"/>
  <c r="B935" i="2"/>
  <c r="J935" i="2" s="1"/>
  <c r="K937" i="2"/>
  <c r="I937" i="2"/>
  <c r="G937" i="2"/>
  <c r="C937" i="2"/>
  <c r="F937" i="2"/>
  <c r="D937" i="2"/>
  <c r="B937" i="2"/>
  <c r="J937" i="2" s="1"/>
  <c r="K939" i="2"/>
  <c r="I939" i="2"/>
  <c r="G939" i="2"/>
  <c r="C939" i="2"/>
  <c r="F939" i="2"/>
  <c r="D939" i="2"/>
  <c r="B939" i="2"/>
  <c r="J939" i="2" s="1"/>
  <c r="K941" i="2"/>
  <c r="I941" i="2"/>
  <c r="G941" i="2"/>
  <c r="C941" i="2"/>
  <c r="F941" i="2"/>
  <c r="D941" i="2"/>
  <c r="B941" i="2"/>
  <c r="J941" i="2" s="1"/>
  <c r="K943" i="2"/>
  <c r="I943" i="2"/>
  <c r="G943" i="2"/>
  <c r="C943" i="2"/>
  <c r="F943" i="2"/>
  <c r="D943" i="2"/>
  <c r="B943" i="2"/>
  <c r="J943" i="2" s="1"/>
  <c r="K945" i="2"/>
  <c r="I945" i="2"/>
  <c r="G945" i="2"/>
  <c r="C945" i="2"/>
  <c r="F945" i="2"/>
  <c r="D945" i="2"/>
  <c r="B945" i="2"/>
  <c r="J945" i="2" s="1"/>
  <c r="K947" i="2"/>
  <c r="I947" i="2"/>
  <c r="G947" i="2"/>
  <c r="C947" i="2"/>
  <c r="F947" i="2"/>
  <c r="D947" i="2"/>
  <c r="B947" i="2"/>
  <c r="J947" i="2" s="1"/>
  <c r="K949" i="2"/>
  <c r="I949" i="2"/>
  <c r="G949" i="2"/>
  <c r="C949" i="2"/>
  <c r="F949" i="2"/>
  <c r="D949" i="2"/>
  <c r="B949" i="2"/>
  <c r="J949" i="2" s="1"/>
  <c r="K951" i="2"/>
  <c r="I951" i="2"/>
  <c r="G951" i="2"/>
  <c r="C951" i="2"/>
  <c r="F951" i="2"/>
  <c r="D951" i="2"/>
  <c r="B951" i="2"/>
  <c r="J951" i="2" s="1"/>
  <c r="K953" i="2"/>
  <c r="I953" i="2"/>
  <c r="G953" i="2"/>
  <c r="C953" i="2"/>
  <c r="F953" i="2"/>
  <c r="D953" i="2"/>
  <c r="B953" i="2"/>
  <c r="J953" i="2" s="1"/>
  <c r="K955" i="2"/>
  <c r="I955" i="2"/>
  <c r="G955" i="2"/>
  <c r="C955" i="2"/>
  <c r="F955" i="2"/>
  <c r="D955" i="2"/>
  <c r="B955" i="2"/>
  <c r="J955" i="2" s="1"/>
  <c r="K957" i="2"/>
  <c r="I957" i="2"/>
  <c r="G957" i="2"/>
  <c r="C957" i="2"/>
  <c r="F957" i="2"/>
  <c r="D957" i="2"/>
  <c r="B957" i="2"/>
  <c r="J957" i="2" s="1"/>
  <c r="K959" i="2"/>
  <c r="I959" i="2"/>
  <c r="G959" i="2"/>
  <c r="C959" i="2"/>
  <c r="F959" i="2"/>
  <c r="D959" i="2"/>
  <c r="B959" i="2"/>
  <c r="J959" i="2" s="1"/>
  <c r="K961" i="2"/>
  <c r="I961" i="2"/>
  <c r="G961" i="2"/>
  <c r="C961" i="2"/>
  <c r="F961" i="2"/>
  <c r="D961" i="2"/>
  <c r="B961" i="2"/>
  <c r="J961" i="2" s="1"/>
  <c r="K963" i="2"/>
  <c r="I963" i="2"/>
  <c r="G963" i="2"/>
  <c r="C963" i="2"/>
  <c r="F963" i="2"/>
  <c r="D963" i="2"/>
  <c r="B963" i="2"/>
  <c r="J963" i="2" s="1"/>
  <c r="K965" i="2"/>
  <c r="I965" i="2"/>
  <c r="G965" i="2"/>
  <c r="C965" i="2"/>
  <c r="F965" i="2"/>
  <c r="D965" i="2"/>
  <c r="B965" i="2"/>
  <c r="J965" i="2" s="1"/>
  <c r="K967" i="2"/>
  <c r="I967" i="2"/>
  <c r="G967" i="2"/>
  <c r="C967" i="2"/>
  <c r="F967" i="2"/>
  <c r="D967" i="2"/>
  <c r="B967" i="2"/>
  <c r="J967" i="2" s="1"/>
  <c r="K969" i="2"/>
  <c r="I969" i="2"/>
  <c r="G969" i="2"/>
  <c r="C969" i="2"/>
  <c r="F969" i="2"/>
  <c r="D969" i="2"/>
  <c r="B969" i="2"/>
  <c r="J969" i="2" s="1"/>
  <c r="K971" i="2"/>
  <c r="I971" i="2"/>
  <c r="G971" i="2"/>
  <c r="C971" i="2"/>
  <c r="F971" i="2"/>
  <c r="D971" i="2"/>
  <c r="B971" i="2"/>
  <c r="J971" i="2" s="1"/>
  <c r="K973" i="2"/>
  <c r="I973" i="2"/>
  <c r="G973" i="2"/>
  <c r="C973" i="2"/>
  <c r="F973" i="2"/>
  <c r="D973" i="2"/>
  <c r="B973" i="2"/>
  <c r="J973" i="2" s="1"/>
  <c r="K975" i="2"/>
  <c r="I975" i="2"/>
  <c r="G975" i="2"/>
  <c r="C975" i="2"/>
  <c r="F975" i="2"/>
  <c r="D975" i="2"/>
  <c r="B975" i="2"/>
  <c r="J975" i="2" s="1"/>
  <c r="K977" i="2"/>
  <c r="I977" i="2"/>
  <c r="G977" i="2"/>
  <c r="C977" i="2"/>
  <c r="F977" i="2"/>
  <c r="D977" i="2"/>
  <c r="B977" i="2"/>
  <c r="J977" i="2" s="1"/>
  <c r="K979" i="2"/>
  <c r="I979" i="2"/>
  <c r="G979" i="2"/>
  <c r="C979" i="2"/>
  <c r="F979" i="2"/>
  <c r="D979" i="2"/>
  <c r="B979" i="2"/>
  <c r="J979" i="2" s="1"/>
  <c r="K981" i="2"/>
  <c r="I981" i="2"/>
  <c r="G981" i="2"/>
  <c r="C981" i="2"/>
  <c r="F981" i="2"/>
  <c r="D981" i="2"/>
  <c r="B981" i="2"/>
  <c r="J981" i="2" s="1"/>
  <c r="K983" i="2"/>
  <c r="I983" i="2"/>
  <c r="G983" i="2"/>
  <c r="C983" i="2"/>
  <c r="F983" i="2"/>
  <c r="D983" i="2"/>
  <c r="B983" i="2"/>
  <c r="J983" i="2" s="1"/>
  <c r="K985" i="2"/>
  <c r="I985" i="2"/>
  <c r="G985" i="2"/>
  <c r="C985" i="2"/>
  <c r="F985" i="2"/>
  <c r="D985" i="2"/>
  <c r="B985" i="2"/>
  <c r="J985" i="2" s="1"/>
  <c r="K987" i="2"/>
  <c r="I987" i="2"/>
  <c r="G987" i="2"/>
  <c r="C987" i="2"/>
  <c r="F987" i="2"/>
  <c r="D987" i="2"/>
  <c r="B987" i="2"/>
  <c r="J987" i="2" s="1"/>
  <c r="K989" i="2"/>
  <c r="I989" i="2"/>
  <c r="G989" i="2"/>
  <c r="C989" i="2"/>
  <c r="F989" i="2"/>
  <c r="D989" i="2"/>
  <c r="B989" i="2"/>
  <c r="J989" i="2" s="1"/>
  <c r="K991" i="2"/>
  <c r="I991" i="2"/>
  <c r="G991" i="2"/>
  <c r="C991" i="2"/>
  <c r="F991" i="2"/>
  <c r="D991" i="2"/>
  <c r="B991" i="2"/>
  <c r="J991" i="2" s="1"/>
  <c r="K993" i="2"/>
  <c r="I993" i="2"/>
  <c r="G993" i="2"/>
  <c r="C993" i="2"/>
  <c r="F993" i="2"/>
  <c r="D993" i="2"/>
  <c r="B993" i="2"/>
  <c r="J993" i="2" s="1"/>
  <c r="K995" i="2"/>
  <c r="I995" i="2"/>
  <c r="G995" i="2"/>
  <c r="C995" i="2"/>
  <c r="F995" i="2"/>
  <c r="D995" i="2"/>
  <c r="B995" i="2"/>
  <c r="J995" i="2" s="1"/>
  <c r="K997" i="2"/>
  <c r="I997" i="2"/>
  <c r="G997" i="2"/>
  <c r="C997" i="2"/>
  <c r="F997" i="2"/>
  <c r="D997" i="2"/>
  <c r="B997" i="2"/>
  <c r="J997" i="2" s="1"/>
  <c r="K999" i="2"/>
  <c r="I999" i="2"/>
  <c r="G999" i="2"/>
  <c r="C999" i="2"/>
  <c r="F999" i="2"/>
  <c r="D999" i="2"/>
  <c r="B999" i="2"/>
  <c r="J999" i="2" s="1"/>
  <c r="K1001" i="2"/>
  <c r="I1001" i="2"/>
  <c r="G1001" i="2"/>
  <c r="C1001" i="2"/>
  <c r="F1001" i="2"/>
  <c r="D1001" i="2"/>
  <c r="B1001" i="2"/>
  <c r="J1001" i="2" s="1"/>
  <c r="K1003" i="2"/>
  <c r="I1003" i="2"/>
  <c r="G1003" i="2"/>
  <c r="C1003" i="2"/>
  <c r="F1003" i="2"/>
  <c r="D1003" i="2"/>
  <c r="B1003" i="2"/>
  <c r="J1003" i="2" s="1"/>
  <c r="K1005" i="2"/>
  <c r="I1005" i="2"/>
  <c r="G1005" i="2"/>
  <c r="C1005" i="2"/>
  <c r="F1005" i="2"/>
  <c r="D1005" i="2"/>
  <c r="B1005" i="2"/>
  <c r="J1005" i="2" s="1"/>
  <c r="K1007" i="2"/>
  <c r="I1007" i="2"/>
  <c r="G1007" i="2"/>
  <c r="C1007" i="2"/>
  <c r="F1007" i="2"/>
  <c r="D1007" i="2"/>
  <c r="B1007" i="2"/>
  <c r="J1007" i="2" s="1"/>
  <c r="K1009" i="2"/>
  <c r="I1009" i="2"/>
  <c r="G1009" i="2"/>
  <c r="C1009" i="2"/>
  <c r="F1009" i="2"/>
  <c r="D1009" i="2"/>
  <c r="B1009" i="2"/>
  <c r="J1009" i="2" s="1"/>
  <c r="K1011" i="2"/>
  <c r="I1011" i="2"/>
  <c r="G1011" i="2"/>
  <c r="C1011" i="2"/>
  <c r="F1011" i="2"/>
  <c r="D1011" i="2"/>
  <c r="B1011" i="2"/>
  <c r="J1011" i="2" s="1"/>
  <c r="K1013" i="2"/>
  <c r="I1013" i="2"/>
  <c r="G1013" i="2"/>
  <c r="C1013" i="2"/>
  <c r="F1013" i="2"/>
  <c r="D1013" i="2"/>
  <c r="B1013" i="2"/>
  <c r="J1013" i="2" s="1"/>
  <c r="K1015" i="2"/>
  <c r="I1015" i="2"/>
  <c r="G1015" i="2"/>
  <c r="C1015" i="2"/>
  <c r="F1015" i="2"/>
  <c r="D1015" i="2"/>
  <c r="B1015" i="2"/>
  <c r="J1015" i="2" s="1"/>
  <c r="K1017" i="2"/>
  <c r="I1017" i="2"/>
  <c r="G1017" i="2"/>
  <c r="C1017" i="2"/>
  <c r="F1017" i="2"/>
  <c r="D1017" i="2"/>
  <c r="B1017" i="2"/>
  <c r="J1017" i="2" s="1"/>
  <c r="K1019" i="2"/>
  <c r="I1019" i="2"/>
  <c r="G1019" i="2"/>
  <c r="C1019" i="2"/>
  <c r="F1019" i="2"/>
  <c r="D1019" i="2"/>
  <c r="B1019" i="2"/>
  <c r="J1019" i="2" s="1"/>
  <c r="K1021" i="2"/>
  <c r="I1021" i="2"/>
  <c r="G1021" i="2"/>
  <c r="C1021" i="2"/>
  <c r="F1021" i="2"/>
  <c r="D1021" i="2"/>
  <c r="B1021" i="2"/>
  <c r="J1021" i="2" s="1"/>
  <c r="K1023" i="2"/>
  <c r="I1023" i="2"/>
  <c r="G1023" i="2"/>
  <c r="C1023" i="2"/>
  <c r="F1023" i="2"/>
  <c r="D1023" i="2"/>
  <c r="B1023" i="2"/>
  <c r="J1023" i="2" s="1"/>
  <c r="K1025" i="2"/>
  <c r="I1025" i="2"/>
  <c r="G1025" i="2"/>
  <c r="C1025" i="2"/>
  <c r="F1025" i="2"/>
  <c r="D1025" i="2"/>
  <c r="B1025" i="2"/>
  <c r="J1025" i="2" s="1"/>
  <c r="K1027" i="2"/>
  <c r="I1027" i="2"/>
  <c r="G1027" i="2"/>
  <c r="C1027" i="2"/>
  <c r="F1027" i="2"/>
  <c r="D1027" i="2"/>
  <c r="B1027" i="2"/>
  <c r="J1027" i="2" s="1"/>
  <c r="K1029" i="2"/>
  <c r="I1029" i="2"/>
  <c r="G1029" i="2"/>
  <c r="C1029" i="2"/>
  <c r="F1029" i="2"/>
  <c r="D1029" i="2"/>
  <c r="B1029" i="2"/>
  <c r="J1029" i="2" s="1"/>
  <c r="K1031" i="2"/>
  <c r="I1031" i="2"/>
  <c r="G1031" i="2"/>
  <c r="C1031" i="2"/>
  <c r="F1031" i="2"/>
  <c r="D1031" i="2"/>
  <c r="B1031" i="2"/>
  <c r="J1031" i="2" s="1"/>
  <c r="K1033" i="2"/>
  <c r="I1033" i="2"/>
  <c r="G1033" i="2"/>
  <c r="C1033" i="2"/>
  <c r="F1033" i="2"/>
  <c r="D1033" i="2"/>
  <c r="B1033" i="2"/>
  <c r="J1033" i="2" s="1"/>
  <c r="K1035" i="2"/>
  <c r="I1035" i="2"/>
  <c r="G1035" i="2"/>
  <c r="C1035" i="2"/>
  <c r="F1035" i="2"/>
  <c r="D1035" i="2"/>
  <c r="B1035" i="2"/>
  <c r="J1035" i="2" s="1"/>
  <c r="K1037" i="2"/>
  <c r="I1037" i="2"/>
  <c r="G1037" i="2"/>
  <c r="C1037" i="2"/>
  <c r="F1037" i="2"/>
  <c r="D1037" i="2"/>
  <c r="B1037" i="2"/>
  <c r="J1037" i="2" s="1"/>
  <c r="K1039" i="2"/>
  <c r="I1039" i="2"/>
  <c r="G1039" i="2"/>
  <c r="C1039" i="2"/>
  <c r="F1039" i="2"/>
  <c r="D1039" i="2"/>
  <c r="B1039" i="2"/>
  <c r="J1039" i="2" s="1"/>
  <c r="K1041" i="2"/>
  <c r="I1041" i="2"/>
  <c r="G1041" i="2"/>
  <c r="C1041" i="2"/>
  <c r="F1041" i="2"/>
  <c r="D1041" i="2"/>
  <c r="B1041" i="2"/>
  <c r="J1041" i="2" s="1"/>
  <c r="K1043" i="2"/>
  <c r="I1043" i="2"/>
  <c r="G1043" i="2"/>
  <c r="C1043" i="2"/>
  <c r="F1043" i="2"/>
  <c r="D1043" i="2"/>
  <c r="B1043" i="2"/>
  <c r="J1043" i="2" s="1"/>
  <c r="K1045" i="2"/>
  <c r="I1045" i="2"/>
  <c r="G1045" i="2"/>
  <c r="C1045" i="2"/>
  <c r="F1045" i="2"/>
  <c r="D1045" i="2"/>
  <c r="B1045" i="2"/>
  <c r="J1045" i="2" s="1"/>
  <c r="K1047" i="2"/>
  <c r="I1047" i="2"/>
  <c r="G1047" i="2"/>
  <c r="C1047" i="2"/>
  <c r="F1047" i="2"/>
  <c r="D1047" i="2"/>
  <c r="B1047" i="2"/>
  <c r="J1047" i="2" s="1"/>
  <c r="K1049" i="2"/>
  <c r="I1049" i="2"/>
  <c r="G1049" i="2"/>
  <c r="C1049" i="2"/>
  <c r="F1049" i="2"/>
  <c r="D1049" i="2"/>
  <c r="B1049" i="2"/>
  <c r="J1049" i="2" s="1"/>
  <c r="K1051" i="2"/>
  <c r="I1051" i="2"/>
  <c r="G1051" i="2"/>
  <c r="C1051" i="2"/>
  <c r="F1051" i="2"/>
  <c r="D1051" i="2"/>
  <c r="B1051" i="2"/>
  <c r="J1051" i="2" s="1"/>
  <c r="K1053" i="2"/>
  <c r="I1053" i="2"/>
  <c r="G1053" i="2"/>
  <c r="C1053" i="2"/>
  <c r="F1053" i="2"/>
  <c r="D1053" i="2"/>
  <c r="B1053" i="2"/>
  <c r="J1053" i="2" s="1"/>
  <c r="K1055" i="2"/>
  <c r="I1055" i="2"/>
  <c r="G1055" i="2"/>
  <c r="C1055" i="2"/>
  <c r="F1055" i="2"/>
  <c r="D1055" i="2"/>
  <c r="B1055" i="2"/>
  <c r="J1055" i="2" s="1"/>
  <c r="K1057" i="2"/>
  <c r="I1057" i="2"/>
  <c r="G1057" i="2"/>
  <c r="C1057" i="2"/>
  <c r="F1057" i="2"/>
  <c r="D1057" i="2"/>
  <c r="B1057" i="2"/>
  <c r="J1057" i="2" s="1"/>
  <c r="K1059" i="2"/>
  <c r="I1059" i="2"/>
  <c r="G1059" i="2"/>
  <c r="C1059" i="2"/>
  <c r="F1059" i="2"/>
  <c r="D1059" i="2"/>
  <c r="B1059" i="2"/>
  <c r="J1059" i="2" s="1"/>
  <c r="K1061" i="2"/>
  <c r="I1061" i="2"/>
  <c r="G1061" i="2"/>
  <c r="C1061" i="2"/>
  <c r="F1061" i="2"/>
  <c r="D1061" i="2"/>
  <c r="B1061" i="2"/>
  <c r="J1061" i="2" s="1"/>
  <c r="K1063" i="2"/>
  <c r="I1063" i="2"/>
  <c r="G1063" i="2"/>
  <c r="C1063" i="2"/>
  <c r="F1063" i="2"/>
  <c r="D1063" i="2"/>
  <c r="B1063" i="2"/>
  <c r="J1063" i="2" s="1"/>
  <c r="K1065" i="2"/>
  <c r="I1065" i="2"/>
  <c r="G1065" i="2"/>
  <c r="C1065" i="2"/>
  <c r="F1065" i="2"/>
  <c r="D1065" i="2"/>
  <c r="B1065" i="2"/>
  <c r="J1065" i="2" s="1"/>
  <c r="K1067" i="2"/>
  <c r="I1067" i="2"/>
  <c r="G1067" i="2"/>
  <c r="C1067" i="2"/>
  <c r="F1067" i="2"/>
  <c r="D1067" i="2"/>
  <c r="B1067" i="2"/>
  <c r="J1067" i="2" s="1"/>
  <c r="K1069" i="2"/>
  <c r="I1069" i="2"/>
  <c r="G1069" i="2"/>
  <c r="C1069" i="2"/>
  <c r="F1069" i="2"/>
  <c r="D1069" i="2"/>
  <c r="B1069" i="2"/>
  <c r="J1069" i="2" s="1"/>
  <c r="K1071" i="2"/>
  <c r="I1071" i="2"/>
  <c r="G1071" i="2"/>
  <c r="C1071" i="2"/>
  <c r="F1071" i="2"/>
  <c r="D1071" i="2"/>
  <c r="B1071" i="2"/>
  <c r="J1071" i="2" s="1"/>
  <c r="K1073" i="2"/>
  <c r="I1073" i="2"/>
  <c r="G1073" i="2"/>
  <c r="C1073" i="2"/>
  <c r="F1073" i="2"/>
  <c r="D1073" i="2"/>
  <c r="B1073" i="2"/>
  <c r="J1073" i="2" s="1"/>
  <c r="K1075" i="2"/>
  <c r="I1075" i="2"/>
  <c r="G1075" i="2"/>
  <c r="C1075" i="2"/>
  <c r="F1075" i="2"/>
  <c r="D1075" i="2"/>
  <c r="B1075" i="2"/>
  <c r="J1075" i="2" s="1"/>
  <c r="K1077" i="2"/>
  <c r="I1077" i="2"/>
  <c r="G1077" i="2"/>
  <c r="C1077" i="2"/>
  <c r="F1077" i="2"/>
  <c r="D1077" i="2"/>
  <c r="B1077" i="2"/>
  <c r="J1077" i="2" s="1"/>
  <c r="K1079" i="2"/>
  <c r="I1079" i="2"/>
  <c r="G1079" i="2"/>
  <c r="C1079" i="2"/>
  <c r="F1079" i="2"/>
  <c r="D1079" i="2"/>
  <c r="B1079" i="2"/>
  <c r="J1079" i="2" s="1"/>
  <c r="K1081" i="2"/>
  <c r="I1081" i="2"/>
  <c r="G1081" i="2"/>
  <c r="C1081" i="2"/>
  <c r="F1081" i="2"/>
  <c r="D1081" i="2"/>
  <c r="B1081" i="2"/>
  <c r="J1081" i="2" s="1"/>
  <c r="K1083" i="2"/>
  <c r="I1083" i="2"/>
  <c r="G1083" i="2"/>
  <c r="C1083" i="2"/>
  <c r="F1083" i="2"/>
  <c r="D1083" i="2"/>
  <c r="B1083" i="2"/>
  <c r="J1083" i="2" s="1"/>
  <c r="K1085" i="2"/>
  <c r="I1085" i="2"/>
  <c r="G1085" i="2"/>
  <c r="C1085" i="2"/>
  <c r="F1085" i="2"/>
  <c r="D1085" i="2"/>
  <c r="B1085" i="2"/>
  <c r="J1085" i="2" s="1"/>
  <c r="K1087" i="2"/>
  <c r="I1087" i="2"/>
  <c r="G1087" i="2"/>
  <c r="C1087" i="2"/>
  <c r="F1087" i="2"/>
  <c r="D1087" i="2"/>
  <c r="B1087" i="2"/>
  <c r="J1087" i="2" s="1"/>
  <c r="K1089" i="2"/>
  <c r="I1089" i="2"/>
  <c r="G1089" i="2"/>
  <c r="C1089" i="2"/>
  <c r="F1089" i="2"/>
  <c r="D1089" i="2"/>
  <c r="B1089" i="2"/>
  <c r="J1089" i="2" s="1"/>
  <c r="K1091" i="2"/>
  <c r="I1091" i="2"/>
  <c r="G1091" i="2"/>
  <c r="C1091" i="2"/>
  <c r="F1091" i="2"/>
  <c r="D1091" i="2"/>
  <c r="B1091" i="2"/>
  <c r="J1091" i="2" s="1"/>
  <c r="K1093" i="2"/>
  <c r="I1093" i="2"/>
  <c r="G1093" i="2"/>
  <c r="C1093" i="2"/>
  <c r="F1093" i="2"/>
  <c r="D1093" i="2"/>
  <c r="B1093" i="2"/>
  <c r="J1093" i="2" s="1"/>
  <c r="K1095" i="2"/>
  <c r="I1095" i="2"/>
  <c r="G1095" i="2"/>
  <c r="C1095" i="2"/>
  <c r="F1095" i="2"/>
  <c r="D1095" i="2"/>
  <c r="B1095" i="2"/>
  <c r="J1095" i="2" s="1"/>
  <c r="K1097" i="2"/>
  <c r="I1097" i="2"/>
  <c r="G1097" i="2"/>
  <c r="C1097" i="2"/>
  <c r="F1097" i="2"/>
  <c r="D1097" i="2"/>
  <c r="B1097" i="2"/>
  <c r="J1097" i="2" s="1"/>
  <c r="K1099" i="2"/>
  <c r="I1099" i="2"/>
  <c r="G1099" i="2"/>
  <c r="C1099" i="2"/>
  <c r="F1099" i="2"/>
  <c r="D1099" i="2"/>
  <c r="B1099" i="2"/>
  <c r="J1099" i="2" s="1"/>
  <c r="K1101" i="2"/>
  <c r="I1101" i="2"/>
  <c r="G1101" i="2"/>
  <c r="C1101" i="2"/>
  <c r="F1101" i="2"/>
  <c r="D1101" i="2"/>
  <c r="B1101" i="2"/>
  <c r="J1101" i="2" s="1"/>
  <c r="K1103" i="2"/>
  <c r="I1103" i="2"/>
  <c r="G1103" i="2"/>
  <c r="C1103" i="2"/>
  <c r="F1103" i="2"/>
  <c r="D1103" i="2"/>
  <c r="B1103" i="2"/>
  <c r="J1103" i="2" s="1"/>
  <c r="K1105" i="2"/>
  <c r="I1105" i="2"/>
  <c r="G1105" i="2"/>
  <c r="C1105" i="2"/>
  <c r="F1105" i="2"/>
  <c r="D1105" i="2"/>
  <c r="B1105" i="2"/>
  <c r="J1105" i="2" s="1"/>
  <c r="K1107" i="2"/>
  <c r="I1107" i="2"/>
  <c r="G1107" i="2"/>
  <c r="C1107" i="2"/>
  <c r="F1107" i="2"/>
  <c r="D1107" i="2"/>
  <c r="B1107" i="2"/>
  <c r="J1107" i="2" s="1"/>
  <c r="K1109" i="2"/>
  <c r="I1109" i="2"/>
  <c r="G1109" i="2"/>
  <c r="C1109" i="2"/>
  <c r="F1109" i="2"/>
  <c r="D1109" i="2"/>
  <c r="B1109" i="2"/>
  <c r="J1109" i="2" s="1"/>
  <c r="K1111" i="2"/>
  <c r="I1111" i="2"/>
  <c r="G1111" i="2"/>
  <c r="C1111" i="2"/>
  <c r="F1111" i="2"/>
  <c r="D1111" i="2"/>
  <c r="B1111" i="2"/>
  <c r="J1111" i="2" s="1"/>
  <c r="K1113" i="2"/>
  <c r="I1113" i="2"/>
  <c r="G1113" i="2"/>
  <c r="C1113" i="2"/>
  <c r="F1113" i="2"/>
  <c r="D1113" i="2"/>
  <c r="B1113" i="2"/>
  <c r="J1113" i="2" s="1"/>
  <c r="K1115" i="2"/>
  <c r="I1115" i="2"/>
  <c r="G1115" i="2"/>
  <c r="C1115" i="2"/>
  <c r="F1115" i="2"/>
  <c r="D1115" i="2"/>
  <c r="B1115" i="2"/>
  <c r="J1115" i="2" s="1"/>
  <c r="K1117" i="2"/>
  <c r="I1117" i="2"/>
  <c r="G1117" i="2"/>
  <c r="C1117" i="2"/>
  <c r="F1117" i="2"/>
  <c r="D1117" i="2"/>
  <c r="B1117" i="2"/>
  <c r="J1117" i="2" s="1"/>
  <c r="K1119" i="2"/>
  <c r="I1119" i="2"/>
  <c r="G1119" i="2"/>
  <c r="C1119" i="2"/>
  <c r="F1119" i="2"/>
  <c r="D1119" i="2"/>
  <c r="B1119" i="2"/>
  <c r="J1119" i="2" s="1"/>
  <c r="K1121" i="2"/>
  <c r="I1121" i="2"/>
  <c r="G1121" i="2"/>
  <c r="C1121" i="2"/>
  <c r="F1121" i="2"/>
  <c r="D1121" i="2"/>
  <c r="B1121" i="2"/>
  <c r="J1121" i="2" s="1"/>
  <c r="K1123" i="2"/>
  <c r="I1123" i="2"/>
  <c r="G1123" i="2"/>
  <c r="C1123" i="2"/>
  <c r="F1123" i="2"/>
  <c r="D1123" i="2"/>
  <c r="B1123" i="2"/>
  <c r="J1123" i="2" s="1"/>
  <c r="K1125" i="2"/>
  <c r="I1125" i="2"/>
  <c r="G1125" i="2"/>
  <c r="C1125" i="2"/>
  <c r="F1125" i="2"/>
  <c r="D1125" i="2"/>
  <c r="B1125" i="2"/>
  <c r="J1125" i="2" s="1"/>
  <c r="K1127" i="2"/>
  <c r="I1127" i="2"/>
  <c r="G1127" i="2"/>
  <c r="C1127" i="2"/>
  <c r="F1127" i="2"/>
  <c r="D1127" i="2"/>
  <c r="B1127" i="2"/>
  <c r="J1127" i="2" s="1"/>
  <c r="K1129" i="2"/>
  <c r="I1129" i="2"/>
  <c r="G1129" i="2"/>
  <c r="C1129" i="2"/>
  <c r="F1129" i="2"/>
  <c r="D1129" i="2"/>
  <c r="B1129" i="2"/>
  <c r="J1129" i="2" s="1"/>
  <c r="K1131" i="2"/>
  <c r="I1131" i="2"/>
  <c r="G1131" i="2"/>
  <c r="C1131" i="2"/>
  <c r="F1131" i="2"/>
  <c r="D1131" i="2"/>
  <c r="B1131" i="2"/>
  <c r="J1131" i="2" s="1"/>
  <c r="K1133" i="2"/>
  <c r="I1133" i="2"/>
  <c r="G1133" i="2"/>
  <c r="C1133" i="2"/>
  <c r="F1133" i="2"/>
  <c r="D1133" i="2"/>
  <c r="B1133" i="2"/>
  <c r="J1133" i="2" s="1"/>
  <c r="K1135" i="2"/>
  <c r="I1135" i="2"/>
  <c r="G1135" i="2"/>
  <c r="C1135" i="2"/>
  <c r="F1135" i="2"/>
  <c r="D1135" i="2"/>
  <c r="B1135" i="2"/>
  <c r="J1135" i="2" s="1"/>
  <c r="K1137" i="2"/>
  <c r="I1137" i="2"/>
  <c r="G1137" i="2"/>
  <c r="C1137" i="2"/>
  <c r="F1137" i="2"/>
  <c r="D1137" i="2"/>
  <c r="B1137" i="2"/>
  <c r="J1137" i="2" s="1"/>
  <c r="K1139" i="2"/>
  <c r="I1139" i="2"/>
  <c r="G1139" i="2"/>
  <c r="C1139" i="2"/>
  <c r="F1139" i="2"/>
  <c r="D1139" i="2"/>
  <c r="B1139" i="2"/>
  <c r="J1139" i="2" s="1"/>
  <c r="K1141" i="2"/>
  <c r="I1141" i="2"/>
  <c r="G1141" i="2"/>
  <c r="C1141" i="2"/>
  <c r="F1141" i="2"/>
  <c r="D1141" i="2"/>
  <c r="B1141" i="2"/>
  <c r="J1141" i="2" s="1"/>
  <c r="K1143" i="2"/>
  <c r="I1143" i="2"/>
  <c r="G1143" i="2"/>
  <c r="C1143" i="2"/>
  <c r="F1143" i="2"/>
  <c r="D1143" i="2"/>
  <c r="B1143" i="2"/>
  <c r="J1143" i="2" s="1"/>
  <c r="K1145" i="2"/>
  <c r="I1145" i="2"/>
  <c r="G1145" i="2"/>
  <c r="C1145" i="2"/>
  <c r="F1145" i="2"/>
  <c r="D1145" i="2"/>
  <c r="B1145" i="2"/>
  <c r="J1145" i="2" s="1"/>
  <c r="K1147" i="2"/>
  <c r="I1147" i="2"/>
  <c r="G1147" i="2"/>
  <c r="C1147" i="2"/>
  <c r="F1147" i="2"/>
  <c r="D1147" i="2"/>
  <c r="B1147" i="2"/>
  <c r="J1147" i="2" s="1"/>
  <c r="K1149" i="2"/>
  <c r="I1149" i="2"/>
  <c r="G1149" i="2"/>
  <c r="C1149" i="2"/>
  <c r="F1149" i="2"/>
  <c r="D1149" i="2"/>
  <c r="B1149" i="2"/>
  <c r="J1149" i="2" s="1"/>
  <c r="K1151" i="2"/>
  <c r="I1151" i="2"/>
  <c r="G1151" i="2"/>
  <c r="C1151" i="2"/>
  <c r="F1151" i="2"/>
  <c r="D1151" i="2"/>
  <c r="B1151" i="2"/>
  <c r="J1151" i="2" s="1"/>
  <c r="K1153" i="2"/>
  <c r="I1153" i="2"/>
  <c r="G1153" i="2"/>
  <c r="C1153" i="2"/>
  <c r="F1153" i="2"/>
  <c r="D1153" i="2"/>
  <c r="B1153" i="2"/>
  <c r="J1153" i="2" s="1"/>
  <c r="K1155" i="2"/>
  <c r="I1155" i="2"/>
  <c r="G1155" i="2"/>
  <c r="C1155" i="2"/>
  <c r="F1155" i="2"/>
  <c r="D1155" i="2"/>
  <c r="B1155" i="2"/>
  <c r="J1155" i="2" s="1"/>
  <c r="K1157" i="2"/>
  <c r="I1157" i="2"/>
  <c r="G1157" i="2"/>
  <c r="C1157" i="2"/>
  <c r="F1157" i="2"/>
  <c r="D1157" i="2"/>
  <c r="B1157" i="2"/>
  <c r="J1157" i="2" s="1"/>
  <c r="K1159" i="2"/>
  <c r="I1159" i="2"/>
  <c r="G1159" i="2"/>
  <c r="C1159" i="2"/>
  <c r="F1159" i="2"/>
  <c r="D1159" i="2"/>
  <c r="B1159" i="2"/>
  <c r="J1159" i="2" s="1"/>
  <c r="K1161" i="2"/>
  <c r="I1161" i="2"/>
  <c r="G1161" i="2"/>
  <c r="C1161" i="2"/>
  <c r="F1161" i="2"/>
  <c r="D1161" i="2"/>
  <c r="B1161" i="2"/>
  <c r="J1161" i="2" s="1"/>
  <c r="K1163" i="2"/>
  <c r="I1163" i="2"/>
  <c r="G1163" i="2"/>
  <c r="C1163" i="2"/>
  <c r="F1163" i="2"/>
  <c r="D1163" i="2"/>
  <c r="B1163" i="2"/>
  <c r="J1163" i="2" s="1"/>
  <c r="K1165" i="2"/>
  <c r="I1165" i="2"/>
  <c r="G1165" i="2"/>
  <c r="C1165" i="2"/>
  <c r="F1165" i="2"/>
  <c r="D1165" i="2"/>
  <c r="B1165" i="2"/>
  <c r="J1165" i="2" s="1"/>
  <c r="K1167" i="2"/>
  <c r="I1167" i="2"/>
  <c r="G1167" i="2"/>
  <c r="C1167" i="2"/>
  <c r="F1167" i="2"/>
  <c r="D1167" i="2"/>
  <c r="B1167" i="2"/>
  <c r="J1167" i="2" s="1"/>
  <c r="K1169" i="2"/>
  <c r="I1169" i="2"/>
  <c r="G1169" i="2"/>
  <c r="C1169" i="2"/>
  <c r="F1169" i="2"/>
  <c r="D1169" i="2"/>
  <c r="B1169" i="2"/>
  <c r="J1169" i="2" s="1"/>
  <c r="K1171" i="2"/>
  <c r="I1171" i="2"/>
  <c r="G1171" i="2"/>
  <c r="C1171" i="2"/>
  <c r="F1171" i="2"/>
  <c r="D1171" i="2"/>
  <c r="B1171" i="2"/>
  <c r="J1171" i="2" s="1"/>
  <c r="K1173" i="2"/>
  <c r="I1173" i="2"/>
  <c r="G1173" i="2"/>
  <c r="C1173" i="2"/>
  <c r="F1173" i="2"/>
  <c r="D1173" i="2"/>
  <c r="B1173" i="2"/>
  <c r="J1173" i="2" s="1"/>
  <c r="K1175" i="2"/>
  <c r="I1175" i="2"/>
  <c r="G1175" i="2"/>
  <c r="C1175" i="2"/>
  <c r="F1175" i="2"/>
  <c r="D1175" i="2"/>
  <c r="B1175" i="2"/>
  <c r="J1175" i="2" s="1"/>
  <c r="K1177" i="2"/>
  <c r="I1177" i="2"/>
  <c r="G1177" i="2"/>
  <c r="C1177" i="2"/>
  <c r="F1177" i="2"/>
  <c r="D1177" i="2"/>
  <c r="B1177" i="2"/>
  <c r="J1177" i="2" s="1"/>
  <c r="K1179" i="2"/>
  <c r="I1179" i="2"/>
  <c r="G1179" i="2"/>
  <c r="C1179" i="2"/>
  <c r="F1179" i="2"/>
  <c r="D1179" i="2"/>
  <c r="B1179" i="2"/>
  <c r="J1179" i="2" s="1"/>
  <c r="K1181" i="2"/>
  <c r="I1181" i="2"/>
  <c r="G1181" i="2"/>
  <c r="C1181" i="2"/>
  <c r="F1181" i="2"/>
  <c r="D1181" i="2"/>
  <c r="B1181" i="2"/>
  <c r="J1181" i="2" s="1"/>
  <c r="K1183" i="2"/>
  <c r="I1183" i="2"/>
  <c r="G1183" i="2"/>
  <c r="C1183" i="2"/>
  <c r="F1183" i="2"/>
  <c r="D1183" i="2"/>
  <c r="B1183" i="2"/>
  <c r="J1183" i="2" s="1"/>
  <c r="K1185" i="2"/>
  <c r="I1185" i="2"/>
  <c r="G1185" i="2"/>
  <c r="C1185" i="2"/>
  <c r="F1185" i="2"/>
  <c r="D1185" i="2"/>
  <c r="B1185" i="2"/>
  <c r="J1185" i="2" s="1"/>
  <c r="K1187" i="2"/>
  <c r="I1187" i="2"/>
  <c r="G1187" i="2"/>
  <c r="C1187" i="2"/>
  <c r="F1187" i="2"/>
  <c r="D1187" i="2"/>
  <c r="B1187" i="2"/>
  <c r="J1187" i="2" s="1"/>
  <c r="K1189" i="2"/>
  <c r="I1189" i="2"/>
  <c r="G1189" i="2"/>
  <c r="C1189" i="2"/>
  <c r="F1189" i="2"/>
  <c r="D1189" i="2"/>
  <c r="B1189" i="2"/>
  <c r="J1189" i="2" s="1"/>
  <c r="K1191" i="2"/>
  <c r="I1191" i="2"/>
  <c r="G1191" i="2"/>
  <c r="C1191" i="2"/>
  <c r="F1191" i="2"/>
  <c r="D1191" i="2"/>
  <c r="B1191" i="2"/>
  <c r="J1191" i="2" s="1"/>
  <c r="K1193" i="2"/>
  <c r="I1193" i="2"/>
  <c r="G1193" i="2"/>
  <c r="C1193" i="2"/>
  <c r="F1193" i="2"/>
  <c r="D1193" i="2"/>
  <c r="B1193" i="2"/>
  <c r="J1193" i="2" s="1"/>
  <c r="K1195" i="2"/>
  <c r="I1195" i="2"/>
  <c r="G1195" i="2"/>
  <c r="C1195" i="2"/>
  <c r="F1195" i="2"/>
  <c r="D1195" i="2"/>
  <c r="B1195" i="2"/>
  <c r="J1195" i="2" s="1"/>
  <c r="K1197" i="2"/>
  <c r="I1197" i="2"/>
  <c r="G1197" i="2"/>
  <c r="C1197" i="2"/>
  <c r="F1197" i="2"/>
  <c r="D1197" i="2"/>
  <c r="B1197" i="2"/>
  <c r="J1197" i="2" s="1"/>
  <c r="K1199" i="2"/>
  <c r="I1199" i="2"/>
  <c r="G1199" i="2"/>
  <c r="C1199" i="2"/>
  <c r="F1199" i="2"/>
  <c r="D1199" i="2"/>
  <c r="B1199" i="2"/>
  <c r="J1199" i="2" s="1"/>
  <c r="K1201" i="2"/>
  <c r="I1201" i="2"/>
  <c r="G1201" i="2"/>
  <c r="C1201" i="2"/>
  <c r="F1201" i="2"/>
  <c r="D1201" i="2"/>
  <c r="B1201" i="2"/>
  <c r="J1201" i="2" s="1"/>
  <c r="K1203" i="2"/>
  <c r="I1203" i="2"/>
  <c r="G1203" i="2"/>
  <c r="C1203" i="2"/>
  <c r="F1203" i="2"/>
  <c r="D1203" i="2"/>
  <c r="B1203" i="2"/>
  <c r="J1203" i="2" s="1"/>
  <c r="K1205" i="2"/>
  <c r="I1205" i="2"/>
  <c r="G1205" i="2"/>
  <c r="C1205" i="2"/>
  <c r="F1205" i="2"/>
  <c r="D1205" i="2"/>
  <c r="B1205" i="2"/>
  <c r="J1205" i="2" s="1"/>
  <c r="K1207" i="2"/>
  <c r="I1207" i="2"/>
  <c r="G1207" i="2"/>
  <c r="C1207" i="2"/>
  <c r="F1207" i="2"/>
  <c r="D1207" i="2"/>
  <c r="B1207" i="2"/>
  <c r="J1207" i="2" s="1"/>
  <c r="K1209" i="2"/>
  <c r="I1209" i="2"/>
  <c r="G1209" i="2"/>
  <c r="C1209" i="2"/>
  <c r="F1209" i="2"/>
  <c r="D1209" i="2"/>
  <c r="B1209" i="2"/>
  <c r="J1209" i="2" s="1"/>
  <c r="K1211" i="2"/>
  <c r="I1211" i="2"/>
  <c r="G1211" i="2"/>
  <c r="C1211" i="2"/>
  <c r="F1211" i="2"/>
  <c r="D1211" i="2"/>
  <c r="B1211" i="2"/>
  <c r="J1211" i="2" s="1"/>
  <c r="K1213" i="2"/>
  <c r="I1213" i="2"/>
  <c r="G1213" i="2"/>
  <c r="C1213" i="2"/>
  <c r="F1213" i="2"/>
  <c r="D1213" i="2"/>
  <c r="B1213" i="2"/>
  <c r="J1213" i="2" s="1"/>
  <c r="K1215" i="2"/>
  <c r="I1215" i="2"/>
  <c r="G1215" i="2"/>
  <c r="C1215" i="2"/>
  <c r="F1215" i="2"/>
  <c r="D1215" i="2"/>
  <c r="B1215" i="2"/>
  <c r="J1215" i="2" s="1"/>
  <c r="K1217" i="2"/>
  <c r="I1217" i="2"/>
  <c r="G1217" i="2"/>
  <c r="C1217" i="2"/>
  <c r="F1217" i="2"/>
  <c r="D1217" i="2"/>
  <c r="B1217" i="2"/>
  <c r="J1217" i="2" s="1"/>
  <c r="K1219" i="2"/>
  <c r="I1219" i="2"/>
  <c r="G1219" i="2"/>
  <c r="C1219" i="2"/>
  <c r="F1219" i="2"/>
  <c r="D1219" i="2"/>
  <c r="B1219" i="2"/>
  <c r="J1219" i="2" s="1"/>
  <c r="K1221" i="2"/>
  <c r="I1221" i="2"/>
  <c r="G1221" i="2"/>
  <c r="C1221" i="2"/>
  <c r="F1221" i="2"/>
  <c r="D1221" i="2"/>
  <c r="B1221" i="2"/>
  <c r="J1221" i="2" s="1"/>
  <c r="K1223" i="2"/>
  <c r="I1223" i="2"/>
  <c r="G1223" i="2"/>
  <c r="C1223" i="2"/>
  <c r="F1223" i="2"/>
  <c r="D1223" i="2"/>
  <c r="B1223" i="2"/>
  <c r="J1223" i="2" s="1"/>
  <c r="K1225" i="2"/>
  <c r="I1225" i="2"/>
  <c r="G1225" i="2"/>
  <c r="C1225" i="2"/>
  <c r="F1225" i="2"/>
  <c r="D1225" i="2"/>
  <c r="B1225" i="2"/>
  <c r="J1225" i="2" s="1"/>
  <c r="K1227" i="2"/>
  <c r="I1227" i="2"/>
  <c r="G1227" i="2"/>
  <c r="C1227" i="2"/>
  <c r="F1227" i="2"/>
  <c r="D1227" i="2"/>
  <c r="B1227" i="2"/>
  <c r="J1227" i="2" s="1"/>
  <c r="K1229" i="2"/>
  <c r="I1229" i="2"/>
  <c r="G1229" i="2"/>
  <c r="C1229" i="2"/>
  <c r="F1229" i="2"/>
  <c r="D1229" i="2"/>
  <c r="B1229" i="2"/>
  <c r="J1229" i="2" s="1"/>
  <c r="K1231" i="2"/>
  <c r="I1231" i="2"/>
  <c r="G1231" i="2"/>
  <c r="C1231" i="2"/>
  <c r="F1231" i="2"/>
  <c r="D1231" i="2"/>
  <c r="B1231" i="2"/>
  <c r="J1231" i="2" s="1"/>
  <c r="K1233" i="2"/>
  <c r="I1233" i="2"/>
  <c r="G1233" i="2"/>
  <c r="C1233" i="2"/>
  <c r="F1233" i="2"/>
  <c r="D1233" i="2"/>
  <c r="B1233" i="2"/>
  <c r="J1233" i="2" s="1"/>
  <c r="K1235" i="2"/>
  <c r="I1235" i="2"/>
  <c r="G1235" i="2"/>
  <c r="C1235" i="2"/>
  <c r="F1235" i="2"/>
  <c r="D1235" i="2"/>
  <c r="B1235" i="2"/>
  <c r="J1235" i="2" s="1"/>
  <c r="K1237" i="2"/>
  <c r="I1237" i="2"/>
  <c r="G1237" i="2"/>
  <c r="C1237" i="2"/>
  <c r="F1237" i="2"/>
  <c r="D1237" i="2"/>
  <c r="B1237" i="2"/>
  <c r="J1237" i="2" s="1"/>
  <c r="K1239" i="2"/>
  <c r="I1239" i="2"/>
  <c r="G1239" i="2"/>
  <c r="C1239" i="2"/>
  <c r="F1239" i="2"/>
  <c r="D1239" i="2"/>
  <c r="B1239" i="2"/>
  <c r="J1239" i="2" s="1"/>
  <c r="K1241" i="2"/>
  <c r="I1241" i="2"/>
  <c r="G1241" i="2"/>
  <c r="C1241" i="2"/>
  <c r="F1241" i="2"/>
  <c r="D1241" i="2"/>
  <c r="B1241" i="2"/>
  <c r="J1241" i="2" s="1"/>
  <c r="K1243" i="2"/>
  <c r="I1243" i="2"/>
  <c r="G1243" i="2"/>
  <c r="C1243" i="2"/>
  <c r="F1243" i="2"/>
  <c r="D1243" i="2"/>
  <c r="B1243" i="2"/>
  <c r="J1243" i="2" s="1"/>
  <c r="K1245" i="2"/>
  <c r="I1245" i="2"/>
  <c r="G1245" i="2"/>
  <c r="C1245" i="2"/>
  <c r="F1245" i="2"/>
  <c r="D1245" i="2"/>
  <c r="B1245" i="2"/>
  <c r="J1245" i="2" s="1"/>
  <c r="K1247" i="2"/>
  <c r="I1247" i="2"/>
  <c r="G1247" i="2"/>
  <c r="C1247" i="2"/>
  <c r="F1247" i="2"/>
  <c r="D1247" i="2"/>
  <c r="B1247" i="2"/>
  <c r="J1247" i="2" s="1"/>
  <c r="K1249" i="2"/>
  <c r="I1249" i="2"/>
  <c r="G1249" i="2"/>
  <c r="C1249" i="2"/>
  <c r="F1249" i="2"/>
  <c r="D1249" i="2"/>
  <c r="B1249" i="2"/>
  <c r="J1249" i="2" s="1"/>
  <c r="K1251" i="2"/>
  <c r="I1251" i="2"/>
  <c r="G1251" i="2"/>
  <c r="C1251" i="2"/>
  <c r="F1251" i="2"/>
  <c r="D1251" i="2"/>
  <c r="B1251" i="2"/>
  <c r="J1251" i="2" s="1"/>
  <c r="K1253" i="2"/>
  <c r="I1253" i="2"/>
  <c r="G1253" i="2"/>
  <c r="C1253" i="2"/>
  <c r="F1253" i="2"/>
  <c r="D1253" i="2"/>
  <c r="B1253" i="2"/>
  <c r="J1253" i="2" s="1"/>
  <c r="K1255" i="2"/>
  <c r="I1255" i="2"/>
  <c r="G1255" i="2"/>
  <c r="C1255" i="2"/>
  <c r="F1255" i="2"/>
  <c r="D1255" i="2"/>
  <c r="B1255" i="2"/>
  <c r="J1255" i="2" s="1"/>
  <c r="K1257" i="2"/>
  <c r="I1257" i="2"/>
  <c r="G1257" i="2"/>
  <c r="C1257" i="2"/>
  <c r="F1257" i="2"/>
  <c r="D1257" i="2"/>
  <c r="B1257" i="2"/>
  <c r="J1257" i="2" s="1"/>
  <c r="K1259" i="2"/>
  <c r="I1259" i="2"/>
  <c r="G1259" i="2"/>
  <c r="C1259" i="2"/>
  <c r="F1259" i="2"/>
  <c r="D1259" i="2"/>
  <c r="B1259" i="2"/>
  <c r="J1259" i="2" s="1"/>
  <c r="K1261" i="2"/>
  <c r="I1261" i="2"/>
  <c r="G1261" i="2"/>
  <c r="C1261" i="2"/>
  <c r="F1261" i="2"/>
  <c r="D1261" i="2"/>
  <c r="B1261" i="2"/>
  <c r="J1261" i="2" s="1"/>
  <c r="K1263" i="2"/>
  <c r="I1263" i="2"/>
  <c r="G1263" i="2"/>
  <c r="C1263" i="2"/>
  <c r="F1263" i="2"/>
  <c r="D1263" i="2"/>
  <c r="B1263" i="2"/>
  <c r="J1263" i="2" s="1"/>
  <c r="K1265" i="2"/>
  <c r="I1265" i="2"/>
  <c r="G1265" i="2"/>
  <c r="C1265" i="2"/>
  <c r="F1265" i="2"/>
  <c r="D1265" i="2"/>
  <c r="B1265" i="2"/>
  <c r="J1265" i="2" s="1"/>
  <c r="K1267" i="2"/>
  <c r="I1267" i="2"/>
  <c r="G1267" i="2"/>
  <c r="C1267" i="2"/>
  <c r="F1267" i="2"/>
  <c r="D1267" i="2"/>
  <c r="B1267" i="2"/>
  <c r="J1267" i="2" s="1"/>
  <c r="K1269" i="2"/>
  <c r="I1269" i="2"/>
  <c r="G1269" i="2"/>
  <c r="C1269" i="2"/>
  <c r="F1269" i="2"/>
  <c r="D1269" i="2"/>
  <c r="B1269" i="2"/>
  <c r="J1269" i="2" s="1"/>
  <c r="K1271" i="2"/>
  <c r="I1271" i="2"/>
  <c r="G1271" i="2"/>
  <c r="C1271" i="2"/>
  <c r="F1271" i="2"/>
  <c r="D1271" i="2"/>
  <c r="B1271" i="2"/>
  <c r="J1271" i="2" s="1"/>
  <c r="K1273" i="2"/>
  <c r="I1273" i="2"/>
  <c r="G1273" i="2"/>
  <c r="C1273" i="2"/>
  <c r="F1273" i="2"/>
  <c r="D1273" i="2"/>
  <c r="B1273" i="2"/>
  <c r="J1273" i="2" s="1"/>
  <c r="K1275" i="2"/>
  <c r="I1275" i="2"/>
  <c r="G1275" i="2"/>
  <c r="C1275" i="2"/>
  <c r="F1275" i="2"/>
  <c r="D1275" i="2"/>
  <c r="B1275" i="2"/>
  <c r="J1275" i="2" s="1"/>
  <c r="K1277" i="2"/>
  <c r="I1277" i="2"/>
  <c r="G1277" i="2"/>
  <c r="C1277" i="2"/>
  <c r="F1277" i="2"/>
  <c r="D1277" i="2"/>
  <c r="B1277" i="2"/>
  <c r="J1277" i="2" s="1"/>
  <c r="K1279" i="2"/>
  <c r="I1279" i="2"/>
  <c r="G1279" i="2"/>
  <c r="C1279" i="2"/>
  <c r="F1279" i="2"/>
  <c r="D1279" i="2"/>
  <c r="B1279" i="2"/>
  <c r="J1279" i="2" s="1"/>
  <c r="K1281" i="2"/>
  <c r="I1281" i="2"/>
  <c r="G1281" i="2"/>
  <c r="C1281" i="2"/>
  <c r="F1281" i="2"/>
  <c r="D1281" i="2"/>
  <c r="B1281" i="2"/>
  <c r="J1281" i="2" s="1"/>
  <c r="K1283" i="2"/>
  <c r="I1283" i="2"/>
  <c r="G1283" i="2"/>
  <c r="C1283" i="2"/>
  <c r="F1283" i="2"/>
  <c r="D1283" i="2"/>
  <c r="B1283" i="2"/>
  <c r="J1283" i="2" s="1"/>
  <c r="K1285" i="2"/>
  <c r="I1285" i="2"/>
  <c r="G1285" i="2"/>
  <c r="C1285" i="2"/>
  <c r="F1285" i="2"/>
  <c r="D1285" i="2"/>
  <c r="B1285" i="2"/>
  <c r="J1285" i="2" s="1"/>
  <c r="K1287" i="2"/>
  <c r="I1287" i="2"/>
  <c r="G1287" i="2"/>
  <c r="C1287" i="2"/>
  <c r="F1287" i="2"/>
  <c r="D1287" i="2"/>
  <c r="B1287" i="2"/>
  <c r="J1287" i="2" s="1"/>
  <c r="K1289" i="2"/>
  <c r="I1289" i="2"/>
  <c r="G1289" i="2"/>
  <c r="C1289" i="2"/>
  <c r="F1289" i="2"/>
  <c r="D1289" i="2"/>
  <c r="B1289" i="2"/>
  <c r="J1289" i="2" s="1"/>
  <c r="K1291" i="2"/>
  <c r="I1291" i="2"/>
  <c r="G1291" i="2"/>
  <c r="C1291" i="2"/>
  <c r="F1291" i="2"/>
  <c r="D1291" i="2"/>
  <c r="B1291" i="2"/>
  <c r="J1291" i="2" s="1"/>
  <c r="K1293" i="2"/>
  <c r="I1293" i="2"/>
  <c r="G1293" i="2"/>
  <c r="C1293" i="2"/>
  <c r="F1293" i="2"/>
  <c r="D1293" i="2"/>
  <c r="B1293" i="2"/>
  <c r="J1293" i="2" s="1"/>
  <c r="K1295" i="2"/>
  <c r="I1295" i="2"/>
  <c r="G1295" i="2"/>
  <c r="C1295" i="2"/>
  <c r="F1295" i="2"/>
  <c r="D1295" i="2"/>
  <c r="B1295" i="2"/>
  <c r="J1295" i="2" s="1"/>
  <c r="K1297" i="2"/>
  <c r="I1297" i="2"/>
  <c r="G1297" i="2"/>
  <c r="C1297" i="2"/>
  <c r="F1297" i="2"/>
  <c r="D1297" i="2"/>
  <c r="B1297" i="2"/>
  <c r="J1297" i="2" s="1"/>
  <c r="K1299" i="2"/>
  <c r="I1299" i="2"/>
  <c r="G1299" i="2"/>
  <c r="C1299" i="2"/>
  <c r="F1299" i="2"/>
  <c r="D1299" i="2"/>
  <c r="B1299" i="2"/>
  <c r="J1299" i="2" s="1"/>
  <c r="K1301" i="2"/>
  <c r="I1301" i="2"/>
  <c r="G1301" i="2"/>
  <c r="C1301" i="2"/>
  <c r="F1301" i="2"/>
  <c r="D1301" i="2"/>
  <c r="B1301" i="2"/>
  <c r="J1301" i="2" s="1"/>
  <c r="K1303" i="2"/>
  <c r="I1303" i="2"/>
  <c r="G1303" i="2"/>
  <c r="C1303" i="2"/>
  <c r="F1303" i="2"/>
  <c r="D1303" i="2"/>
  <c r="B1303" i="2"/>
  <c r="J1303" i="2" s="1"/>
  <c r="K1305" i="2"/>
  <c r="I1305" i="2"/>
  <c r="G1305" i="2"/>
  <c r="C1305" i="2"/>
  <c r="F1305" i="2"/>
  <c r="D1305" i="2"/>
  <c r="B1305" i="2"/>
  <c r="J1305" i="2" s="1"/>
  <c r="K1307" i="2"/>
  <c r="I1307" i="2"/>
  <c r="G1307" i="2"/>
  <c r="C1307" i="2"/>
  <c r="F1307" i="2"/>
  <c r="D1307" i="2"/>
  <c r="B1307" i="2"/>
  <c r="J1307" i="2" s="1"/>
  <c r="K1309" i="2"/>
  <c r="I1309" i="2"/>
  <c r="G1309" i="2"/>
  <c r="C1309" i="2"/>
  <c r="F1309" i="2"/>
  <c r="D1309" i="2"/>
  <c r="B1309" i="2"/>
  <c r="J1309" i="2" s="1"/>
  <c r="K1311" i="2"/>
  <c r="I1311" i="2"/>
  <c r="G1311" i="2"/>
  <c r="C1311" i="2"/>
  <c r="F1311" i="2"/>
  <c r="D1311" i="2"/>
  <c r="B1311" i="2"/>
  <c r="J1311" i="2" s="1"/>
  <c r="K1313" i="2"/>
  <c r="I1313" i="2"/>
  <c r="G1313" i="2"/>
  <c r="C1313" i="2"/>
  <c r="F1313" i="2"/>
  <c r="D1313" i="2"/>
  <c r="B1313" i="2"/>
  <c r="J1313" i="2" s="1"/>
  <c r="K1315" i="2"/>
  <c r="I1315" i="2"/>
  <c r="G1315" i="2"/>
  <c r="C1315" i="2"/>
  <c r="F1315" i="2"/>
  <c r="D1315" i="2"/>
  <c r="B1315" i="2"/>
  <c r="J1315" i="2" s="1"/>
  <c r="K1317" i="2"/>
  <c r="I1317" i="2"/>
  <c r="G1317" i="2"/>
  <c r="C1317" i="2"/>
  <c r="F1317" i="2"/>
  <c r="D1317" i="2"/>
  <c r="B1317" i="2"/>
  <c r="J1317" i="2" s="1"/>
  <c r="K1319" i="2"/>
  <c r="I1319" i="2"/>
  <c r="G1319" i="2"/>
  <c r="C1319" i="2"/>
  <c r="F1319" i="2"/>
  <c r="D1319" i="2"/>
  <c r="B1319" i="2"/>
  <c r="J1319" i="2" s="1"/>
  <c r="K1321" i="2"/>
  <c r="I1321" i="2"/>
  <c r="G1321" i="2"/>
  <c r="C1321" i="2"/>
  <c r="F1321" i="2"/>
  <c r="D1321" i="2"/>
  <c r="B1321" i="2"/>
  <c r="J1321" i="2" s="1"/>
  <c r="K1323" i="2"/>
  <c r="I1323" i="2"/>
  <c r="G1323" i="2"/>
  <c r="C1323" i="2"/>
  <c r="F1323" i="2"/>
  <c r="D1323" i="2"/>
  <c r="B1323" i="2"/>
  <c r="J1323" i="2" s="1"/>
  <c r="K1325" i="2"/>
  <c r="I1325" i="2"/>
  <c r="G1325" i="2"/>
  <c r="C1325" i="2"/>
  <c r="F1325" i="2"/>
  <c r="D1325" i="2"/>
  <c r="B1325" i="2"/>
  <c r="J1325" i="2" s="1"/>
  <c r="K1327" i="2"/>
  <c r="I1327" i="2"/>
  <c r="G1327" i="2"/>
  <c r="C1327" i="2"/>
  <c r="F1327" i="2"/>
  <c r="D1327" i="2"/>
  <c r="B1327" i="2"/>
  <c r="J1327" i="2" s="1"/>
  <c r="K1329" i="2"/>
  <c r="I1329" i="2"/>
  <c r="G1329" i="2"/>
  <c r="C1329" i="2"/>
  <c r="F1329" i="2"/>
  <c r="D1329" i="2"/>
  <c r="B1329" i="2"/>
  <c r="J1329" i="2" s="1"/>
  <c r="K1331" i="2"/>
  <c r="I1331" i="2"/>
  <c r="G1331" i="2"/>
  <c r="C1331" i="2"/>
  <c r="F1331" i="2"/>
  <c r="D1331" i="2"/>
  <c r="B1331" i="2"/>
  <c r="J1331" i="2" s="1"/>
  <c r="K1333" i="2"/>
  <c r="I1333" i="2"/>
  <c r="G1333" i="2"/>
  <c r="C1333" i="2"/>
  <c r="F1333" i="2"/>
  <c r="D1333" i="2"/>
  <c r="B1333" i="2"/>
  <c r="J1333" i="2" s="1"/>
  <c r="K1335" i="2"/>
  <c r="I1335" i="2"/>
  <c r="G1335" i="2"/>
  <c r="C1335" i="2"/>
  <c r="F1335" i="2"/>
  <c r="D1335" i="2"/>
  <c r="B1335" i="2"/>
  <c r="J1335" i="2" s="1"/>
  <c r="K1337" i="2"/>
  <c r="I1337" i="2"/>
  <c r="G1337" i="2"/>
  <c r="C1337" i="2"/>
  <c r="F1337" i="2"/>
  <c r="D1337" i="2"/>
  <c r="B1337" i="2"/>
  <c r="J1337" i="2" s="1"/>
  <c r="K1339" i="2"/>
  <c r="I1339" i="2"/>
  <c r="G1339" i="2"/>
  <c r="C1339" i="2"/>
  <c r="F1339" i="2"/>
  <c r="D1339" i="2"/>
  <c r="B1339" i="2"/>
  <c r="J1339" i="2" s="1"/>
  <c r="K1341" i="2"/>
  <c r="I1341" i="2"/>
  <c r="G1341" i="2"/>
  <c r="C1341" i="2"/>
  <c r="F1341" i="2"/>
  <c r="D1341" i="2"/>
  <c r="B1341" i="2"/>
  <c r="J1341" i="2" s="1"/>
  <c r="K1343" i="2"/>
  <c r="I1343" i="2"/>
  <c r="G1343" i="2"/>
  <c r="C1343" i="2"/>
  <c r="F1343" i="2"/>
  <c r="D1343" i="2"/>
  <c r="B1343" i="2"/>
  <c r="J1343" i="2" s="1"/>
  <c r="K1345" i="2"/>
  <c r="I1345" i="2"/>
  <c r="G1345" i="2"/>
  <c r="C1345" i="2"/>
  <c r="F1345" i="2"/>
  <c r="D1345" i="2"/>
  <c r="B1345" i="2"/>
  <c r="J1345" i="2" s="1"/>
  <c r="K1347" i="2"/>
  <c r="I1347" i="2"/>
  <c r="G1347" i="2"/>
  <c r="C1347" i="2"/>
  <c r="F1347" i="2"/>
  <c r="D1347" i="2"/>
  <c r="B1347" i="2"/>
  <c r="J1347" i="2" s="1"/>
  <c r="K1349" i="2"/>
  <c r="I1349" i="2"/>
  <c r="G1349" i="2"/>
  <c r="C1349" i="2"/>
  <c r="F1349" i="2"/>
  <c r="D1349" i="2"/>
  <c r="B1349" i="2"/>
  <c r="J1349" i="2" s="1"/>
  <c r="K1351" i="2"/>
  <c r="I1351" i="2"/>
  <c r="G1351" i="2"/>
  <c r="C1351" i="2"/>
  <c r="F1351" i="2"/>
  <c r="D1351" i="2"/>
  <c r="B1351" i="2"/>
  <c r="J1351" i="2" s="1"/>
  <c r="K1353" i="2"/>
  <c r="I1353" i="2"/>
  <c r="G1353" i="2"/>
  <c r="C1353" i="2"/>
  <c r="F1353" i="2"/>
  <c r="D1353" i="2"/>
  <c r="B1353" i="2"/>
  <c r="J1353" i="2" s="1"/>
  <c r="K1355" i="2"/>
  <c r="I1355" i="2"/>
  <c r="G1355" i="2"/>
  <c r="C1355" i="2"/>
  <c r="F1355" i="2"/>
  <c r="D1355" i="2"/>
  <c r="B1355" i="2"/>
  <c r="J1355" i="2" s="1"/>
  <c r="K1357" i="2"/>
  <c r="I1357" i="2"/>
  <c r="G1357" i="2"/>
  <c r="C1357" i="2"/>
  <c r="F1357" i="2"/>
  <c r="D1357" i="2"/>
  <c r="B1357" i="2"/>
  <c r="J1357" i="2" s="1"/>
  <c r="K1359" i="2"/>
  <c r="I1359" i="2"/>
  <c r="G1359" i="2"/>
  <c r="C1359" i="2"/>
  <c r="F1359" i="2"/>
  <c r="D1359" i="2"/>
  <c r="B1359" i="2"/>
  <c r="J1359" i="2" s="1"/>
  <c r="K1361" i="2"/>
  <c r="I1361" i="2"/>
  <c r="G1361" i="2"/>
  <c r="C1361" i="2"/>
  <c r="F1361" i="2"/>
  <c r="D1361" i="2"/>
  <c r="B1361" i="2"/>
  <c r="J1361" i="2" s="1"/>
  <c r="K1363" i="2"/>
  <c r="I1363" i="2"/>
  <c r="G1363" i="2"/>
  <c r="C1363" i="2"/>
  <c r="F1363" i="2"/>
  <c r="D1363" i="2"/>
  <c r="B1363" i="2"/>
  <c r="J1363" i="2" s="1"/>
  <c r="K1365" i="2"/>
  <c r="I1365" i="2"/>
  <c r="G1365" i="2"/>
  <c r="C1365" i="2"/>
  <c r="F1365" i="2"/>
  <c r="D1365" i="2"/>
  <c r="B1365" i="2"/>
  <c r="J1365" i="2" s="1"/>
  <c r="K1367" i="2"/>
  <c r="I1367" i="2"/>
  <c r="G1367" i="2"/>
  <c r="C1367" i="2"/>
  <c r="F1367" i="2"/>
  <c r="D1367" i="2"/>
  <c r="B1367" i="2"/>
  <c r="J1367" i="2" s="1"/>
  <c r="K1369" i="2"/>
  <c r="I1369" i="2"/>
  <c r="G1369" i="2"/>
  <c r="C1369" i="2"/>
  <c r="F1369" i="2"/>
  <c r="D1369" i="2"/>
  <c r="B1369" i="2"/>
  <c r="J1369" i="2" s="1"/>
  <c r="K1371" i="2"/>
  <c r="I1371" i="2"/>
  <c r="G1371" i="2"/>
  <c r="C1371" i="2"/>
  <c r="F1371" i="2"/>
  <c r="D1371" i="2"/>
  <c r="B1371" i="2"/>
  <c r="J1371" i="2" s="1"/>
  <c r="K1373" i="2"/>
  <c r="I1373" i="2"/>
  <c r="G1373" i="2"/>
  <c r="C1373" i="2"/>
  <c r="F1373" i="2"/>
  <c r="D1373" i="2"/>
  <c r="B1373" i="2"/>
  <c r="J1373" i="2" s="1"/>
  <c r="K1375" i="2"/>
  <c r="I1375" i="2"/>
  <c r="G1375" i="2"/>
  <c r="C1375" i="2"/>
  <c r="F1375" i="2"/>
  <c r="D1375" i="2"/>
  <c r="B1375" i="2"/>
  <c r="J1375" i="2" s="1"/>
  <c r="K1377" i="2"/>
  <c r="I1377" i="2"/>
  <c r="G1377" i="2"/>
  <c r="C1377" i="2"/>
  <c r="F1377" i="2"/>
  <c r="D1377" i="2"/>
  <c r="B1377" i="2"/>
  <c r="J1377" i="2" s="1"/>
  <c r="K1379" i="2"/>
  <c r="I1379" i="2"/>
  <c r="G1379" i="2"/>
  <c r="C1379" i="2"/>
  <c r="F1379" i="2"/>
  <c r="D1379" i="2"/>
  <c r="B1379" i="2"/>
  <c r="J1379" i="2" s="1"/>
  <c r="K1381" i="2"/>
  <c r="I1381" i="2"/>
  <c r="G1381" i="2"/>
  <c r="C1381" i="2"/>
  <c r="F1381" i="2"/>
  <c r="D1381" i="2"/>
  <c r="B1381" i="2"/>
  <c r="J1381" i="2" s="1"/>
  <c r="K1383" i="2"/>
  <c r="I1383" i="2"/>
  <c r="G1383" i="2"/>
  <c r="C1383" i="2"/>
  <c r="F1383" i="2"/>
  <c r="D1383" i="2"/>
  <c r="B1383" i="2"/>
  <c r="J1383" i="2" s="1"/>
  <c r="K1385" i="2"/>
  <c r="I1385" i="2"/>
  <c r="G1385" i="2"/>
  <c r="C1385" i="2"/>
  <c r="F1385" i="2"/>
  <c r="D1385" i="2"/>
  <c r="B1385" i="2"/>
  <c r="J1385" i="2" s="1"/>
  <c r="K1387" i="2"/>
  <c r="I1387" i="2"/>
  <c r="G1387" i="2"/>
  <c r="C1387" i="2"/>
  <c r="F1387" i="2"/>
  <c r="D1387" i="2"/>
  <c r="B1387" i="2"/>
  <c r="J1387" i="2" s="1"/>
  <c r="K1389" i="2"/>
  <c r="I1389" i="2"/>
  <c r="G1389" i="2"/>
  <c r="C1389" i="2"/>
  <c r="F1389" i="2"/>
  <c r="D1389" i="2"/>
  <c r="B1389" i="2"/>
  <c r="J1389" i="2" s="1"/>
  <c r="K1391" i="2"/>
  <c r="I1391" i="2"/>
  <c r="G1391" i="2"/>
  <c r="C1391" i="2"/>
  <c r="F1391" i="2"/>
  <c r="D1391" i="2"/>
  <c r="B1391" i="2"/>
  <c r="J1391" i="2" s="1"/>
  <c r="K1393" i="2"/>
  <c r="I1393" i="2"/>
  <c r="G1393" i="2"/>
  <c r="C1393" i="2"/>
  <c r="F1393" i="2"/>
  <c r="D1393" i="2"/>
  <c r="B1393" i="2"/>
  <c r="J1393" i="2" s="1"/>
  <c r="K1395" i="2"/>
  <c r="I1395" i="2"/>
  <c r="G1395" i="2"/>
  <c r="C1395" i="2"/>
  <c r="F1395" i="2"/>
  <c r="D1395" i="2"/>
  <c r="B1395" i="2"/>
  <c r="J1395" i="2" s="1"/>
  <c r="K1397" i="2"/>
  <c r="I1397" i="2"/>
  <c r="G1397" i="2"/>
  <c r="C1397" i="2"/>
  <c r="F1397" i="2"/>
  <c r="D1397" i="2"/>
  <c r="B1397" i="2"/>
  <c r="J1397" i="2" s="1"/>
  <c r="K1399" i="2"/>
  <c r="I1399" i="2"/>
  <c r="G1399" i="2"/>
  <c r="C1399" i="2"/>
  <c r="F1399" i="2"/>
  <c r="D1399" i="2"/>
  <c r="B1399" i="2"/>
  <c r="J1399" i="2" s="1"/>
  <c r="K1401" i="2"/>
  <c r="I1401" i="2"/>
  <c r="G1401" i="2"/>
  <c r="C1401" i="2"/>
  <c r="F1401" i="2"/>
  <c r="D1401" i="2"/>
  <c r="B1401" i="2"/>
  <c r="J1401" i="2" s="1"/>
  <c r="K1403" i="2"/>
  <c r="I1403" i="2"/>
  <c r="G1403" i="2"/>
  <c r="C1403" i="2"/>
  <c r="F1403" i="2"/>
  <c r="D1403" i="2"/>
  <c r="B1403" i="2"/>
  <c r="J1403" i="2" s="1"/>
  <c r="K1405" i="2"/>
  <c r="I1405" i="2"/>
  <c r="G1405" i="2"/>
  <c r="C1405" i="2"/>
  <c r="F1405" i="2"/>
  <c r="D1405" i="2"/>
  <c r="B1405" i="2"/>
  <c r="J1405" i="2" s="1"/>
  <c r="K1407" i="2"/>
  <c r="I1407" i="2"/>
  <c r="G1407" i="2"/>
  <c r="C1407" i="2"/>
  <c r="F1407" i="2"/>
  <c r="D1407" i="2"/>
  <c r="B1407" i="2"/>
  <c r="J1407" i="2" s="1"/>
  <c r="K1409" i="2"/>
  <c r="I1409" i="2"/>
  <c r="G1409" i="2"/>
  <c r="C1409" i="2"/>
  <c r="F1409" i="2"/>
  <c r="D1409" i="2"/>
  <c r="B1409" i="2"/>
  <c r="J1409" i="2" s="1"/>
  <c r="K1411" i="2"/>
  <c r="I1411" i="2"/>
  <c r="G1411" i="2"/>
  <c r="C1411" i="2"/>
  <c r="F1411" i="2"/>
  <c r="D1411" i="2"/>
  <c r="B1411" i="2"/>
  <c r="J1411" i="2" s="1"/>
  <c r="K1413" i="2"/>
  <c r="I1413" i="2"/>
  <c r="G1413" i="2"/>
  <c r="C1413" i="2"/>
  <c r="F1413" i="2"/>
  <c r="D1413" i="2"/>
  <c r="B1413" i="2"/>
  <c r="J1413" i="2" s="1"/>
  <c r="K1415" i="2"/>
  <c r="I1415" i="2"/>
  <c r="G1415" i="2"/>
  <c r="C1415" i="2"/>
  <c r="F1415" i="2"/>
  <c r="D1415" i="2"/>
  <c r="B1415" i="2"/>
  <c r="J1415" i="2" s="1"/>
  <c r="K1417" i="2"/>
  <c r="I1417" i="2"/>
  <c r="G1417" i="2"/>
  <c r="C1417" i="2"/>
  <c r="F1417" i="2"/>
  <c r="D1417" i="2"/>
  <c r="B1417" i="2"/>
  <c r="J1417" i="2" s="1"/>
  <c r="K1419" i="2"/>
  <c r="I1419" i="2"/>
  <c r="G1419" i="2"/>
  <c r="C1419" i="2"/>
  <c r="F1419" i="2"/>
  <c r="D1419" i="2"/>
  <c r="B1419" i="2"/>
  <c r="J1419" i="2" s="1"/>
  <c r="K1421" i="2"/>
  <c r="I1421" i="2"/>
  <c r="G1421" i="2"/>
  <c r="C1421" i="2"/>
  <c r="F1421" i="2"/>
  <c r="D1421" i="2"/>
  <c r="B1421" i="2"/>
  <c r="J1421" i="2" s="1"/>
  <c r="K1423" i="2"/>
  <c r="I1423" i="2"/>
  <c r="G1423" i="2"/>
  <c r="C1423" i="2"/>
  <c r="F1423" i="2"/>
  <c r="D1423" i="2"/>
  <c r="B1423" i="2"/>
  <c r="J1423" i="2" s="1"/>
  <c r="K1425" i="2"/>
  <c r="I1425" i="2"/>
  <c r="G1425" i="2"/>
  <c r="C1425" i="2"/>
  <c r="F1425" i="2"/>
  <c r="D1425" i="2"/>
  <c r="B1425" i="2"/>
  <c r="J1425" i="2" s="1"/>
  <c r="K1427" i="2"/>
  <c r="I1427" i="2"/>
  <c r="G1427" i="2"/>
  <c r="C1427" i="2"/>
  <c r="F1427" i="2"/>
  <c r="D1427" i="2"/>
  <c r="B1427" i="2"/>
  <c r="J1427" i="2" s="1"/>
  <c r="K1429" i="2"/>
  <c r="I1429" i="2"/>
  <c r="G1429" i="2"/>
  <c r="C1429" i="2"/>
  <c r="F1429" i="2"/>
  <c r="D1429" i="2"/>
  <c r="B1429" i="2"/>
  <c r="J1429" i="2" s="1"/>
  <c r="K1431" i="2"/>
  <c r="I1431" i="2"/>
  <c r="G1431" i="2"/>
  <c r="C1431" i="2"/>
  <c r="F1431" i="2"/>
  <c r="D1431" i="2"/>
  <c r="B1431" i="2"/>
  <c r="J1431" i="2" s="1"/>
  <c r="K1433" i="2"/>
  <c r="I1433" i="2"/>
  <c r="G1433" i="2"/>
  <c r="C1433" i="2"/>
  <c r="F1433" i="2"/>
  <c r="D1433" i="2"/>
  <c r="B1433" i="2"/>
  <c r="J1433" i="2" s="1"/>
  <c r="K1435" i="2"/>
  <c r="I1435" i="2"/>
  <c r="G1435" i="2"/>
  <c r="C1435" i="2"/>
  <c r="F1435" i="2"/>
  <c r="D1435" i="2"/>
  <c r="B1435" i="2"/>
  <c r="J1435" i="2" s="1"/>
  <c r="K1437" i="2"/>
  <c r="I1437" i="2"/>
  <c r="G1437" i="2"/>
  <c r="C1437" i="2"/>
  <c r="F1437" i="2"/>
  <c r="D1437" i="2"/>
  <c r="B1437" i="2"/>
  <c r="J1437" i="2" s="1"/>
  <c r="K1439" i="2"/>
  <c r="I1439" i="2"/>
  <c r="G1439" i="2"/>
  <c r="C1439" i="2"/>
  <c r="F1439" i="2"/>
  <c r="D1439" i="2"/>
  <c r="B1439" i="2"/>
  <c r="J1439" i="2" s="1"/>
  <c r="K1441" i="2"/>
  <c r="I1441" i="2"/>
  <c r="G1441" i="2"/>
  <c r="C1441" i="2"/>
  <c r="F1441" i="2"/>
  <c r="D1441" i="2"/>
  <c r="B1441" i="2"/>
  <c r="J1441" i="2" s="1"/>
  <c r="K1443" i="2"/>
  <c r="I1443" i="2"/>
  <c r="G1443" i="2"/>
  <c r="C1443" i="2"/>
  <c r="F1443" i="2"/>
  <c r="D1443" i="2"/>
  <c r="B1443" i="2"/>
  <c r="J1443" i="2" s="1"/>
  <c r="K1445" i="2"/>
  <c r="I1445" i="2"/>
  <c r="G1445" i="2"/>
  <c r="C1445" i="2"/>
  <c r="F1445" i="2"/>
  <c r="D1445" i="2"/>
  <c r="B1445" i="2"/>
  <c r="J1445" i="2" s="1"/>
  <c r="K1447" i="2"/>
  <c r="I1447" i="2"/>
  <c r="G1447" i="2"/>
  <c r="C1447" i="2"/>
  <c r="F1447" i="2"/>
  <c r="D1447" i="2"/>
  <c r="B1447" i="2"/>
  <c r="J1447" i="2" s="1"/>
  <c r="K1449" i="2"/>
  <c r="I1449" i="2"/>
  <c r="G1449" i="2"/>
  <c r="C1449" i="2"/>
  <c r="F1449" i="2"/>
  <c r="D1449" i="2"/>
  <c r="B1449" i="2"/>
  <c r="J1449" i="2" s="1"/>
  <c r="K1451" i="2"/>
  <c r="I1451" i="2"/>
  <c r="G1451" i="2"/>
  <c r="C1451" i="2"/>
  <c r="F1451" i="2"/>
  <c r="D1451" i="2"/>
  <c r="B1451" i="2"/>
  <c r="J1451" i="2" s="1"/>
  <c r="K1453" i="2"/>
  <c r="I1453" i="2"/>
  <c r="G1453" i="2"/>
  <c r="C1453" i="2"/>
  <c r="F1453" i="2"/>
  <c r="D1453" i="2"/>
  <c r="B1453" i="2"/>
  <c r="J1453" i="2" s="1"/>
  <c r="K1455" i="2"/>
  <c r="I1455" i="2"/>
  <c r="G1455" i="2"/>
  <c r="C1455" i="2"/>
  <c r="F1455" i="2"/>
  <c r="D1455" i="2"/>
  <c r="B1455" i="2"/>
  <c r="J1455" i="2" s="1"/>
  <c r="K1457" i="2"/>
  <c r="I1457" i="2"/>
  <c r="G1457" i="2"/>
  <c r="C1457" i="2"/>
  <c r="F1457" i="2"/>
  <c r="D1457" i="2"/>
  <c r="B1457" i="2"/>
  <c r="J1457" i="2" s="1"/>
  <c r="K1459" i="2"/>
  <c r="I1459" i="2"/>
  <c r="G1459" i="2"/>
  <c r="C1459" i="2"/>
  <c r="F1459" i="2"/>
  <c r="D1459" i="2"/>
  <c r="B1459" i="2"/>
  <c r="J1459" i="2" s="1"/>
  <c r="K1461" i="2"/>
  <c r="I1461" i="2"/>
  <c r="G1461" i="2"/>
  <c r="C1461" i="2"/>
  <c r="F1461" i="2"/>
  <c r="D1461" i="2"/>
  <c r="B1461" i="2"/>
  <c r="J1461" i="2" s="1"/>
  <c r="K1463" i="2"/>
  <c r="I1463" i="2"/>
  <c r="G1463" i="2"/>
  <c r="C1463" i="2"/>
  <c r="F1463" i="2"/>
  <c r="D1463" i="2"/>
  <c r="B1463" i="2"/>
  <c r="J1463" i="2" s="1"/>
  <c r="K1465" i="2"/>
  <c r="I1465" i="2"/>
  <c r="G1465" i="2"/>
  <c r="C1465" i="2"/>
  <c r="F1465" i="2"/>
  <c r="D1465" i="2"/>
  <c r="B1465" i="2"/>
  <c r="J1465" i="2" s="1"/>
  <c r="K1467" i="2"/>
  <c r="I1467" i="2"/>
  <c r="G1467" i="2"/>
  <c r="C1467" i="2"/>
  <c r="F1467" i="2"/>
  <c r="D1467" i="2"/>
  <c r="B1467" i="2"/>
  <c r="J1467" i="2" s="1"/>
  <c r="K1469" i="2"/>
  <c r="I1469" i="2"/>
  <c r="G1469" i="2"/>
  <c r="C1469" i="2"/>
  <c r="F1469" i="2"/>
  <c r="D1469" i="2"/>
  <c r="B1469" i="2"/>
  <c r="J1469" i="2" s="1"/>
  <c r="K1471" i="2"/>
  <c r="I1471" i="2"/>
  <c r="G1471" i="2"/>
  <c r="C1471" i="2"/>
  <c r="F1471" i="2"/>
  <c r="D1471" i="2"/>
  <c r="B1471" i="2"/>
  <c r="J1471" i="2" s="1"/>
  <c r="K1473" i="2"/>
  <c r="I1473" i="2"/>
  <c r="G1473" i="2"/>
  <c r="C1473" i="2"/>
  <c r="F1473" i="2"/>
  <c r="D1473" i="2"/>
  <c r="B1473" i="2"/>
  <c r="J1473" i="2" s="1"/>
  <c r="K1475" i="2"/>
  <c r="I1475" i="2"/>
  <c r="G1475" i="2"/>
  <c r="C1475" i="2"/>
  <c r="F1475" i="2"/>
  <c r="D1475" i="2"/>
  <c r="B1475" i="2"/>
  <c r="J1475" i="2" s="1"/>
  <c r="K1477" i="2"/>
  <c r="I1477" i="2"/>
  <c r="G1477" i="2"/>
  <c r="C1477" i="2"/>
  <c r="F1477" i="2"/>
  <c r="D1477" i="2"/>
  <c r="B1477" i="2"/>
  <c r="J1477" i="2" s="1"/>
  <c r="K1479" i="2"/>
  <c r="I1479" i="2"/>
  <c r="G1479" i="2"/>
  <c r="C1479" i="2"/>
  <c r="F1479" i="2"/>
  <c r="D1479" i="2"/>
  <c r="B1479" i="2"/>
  <c r="J1479" i="2" s="1"/>
  <c r="K1481" i="2"/>
  <c r="I1481" i="2"/>
  <c r="G1481" i="2"/>
  <c r="C1481" i="2"/>
  <c r="F1481" i="2"/>
  <c r="D1481" i="2"/>
  <c r="B1481" i="2"/>
  <c r="J1481" i="2" s="1"/>
  <c r="K1483" i="2"/>
  <c r="I1483" i="2"/>
  <c r="G1483" i="2"/>
  <c r="C1483" i="2"/>
  <c r="F1483" i="2"/>
  <c r="D1483" i="2"/>
  <c r="B1483" i="2"/>
  <c r="J1483" i="2" s="1"/>
  <c r="K1485" i="2"/>
  <c r="I1485" i="2"/>
  <c r="G1485" i="2"/>
  <c r="C1485" i="2"/>
  <c r="F1485" i="2"/>
  <c r="D1485" i="2"/>
  <c r="B1485" i="2"/>
  <c r="J1485" i="2" s="1"/>
  <c r="K1487" i="2"/>
  <c r="I1487" i="2"/>
  <c r="G1487" i="2"/>
  <c r="C1487" i="2"/>
  <c r="F1487" i="2"/>
  <c r="D1487" i="2"/>
  <c r="B1487" i="2"/>
  <c r="J1487" i="2" s="1"/>
  <c r="K1489" i="2"/>
  <c r="I1489" i="2"/>
  <c r="G1489" i="2"/>
  <c r="C1489" i="2"/>
  <c r="F1489" i="2"/>
  <c r="D1489" i="2"/>
  <c r="B1489" i="2"/>
  <c r="J1489" i="2" s="1"/>
  <c r="K1491" i="2"/>
  <c r="I1491" i="2"/>
  <c r="G1491" i="2"/>
  <c r="C1491" i="2"/>
  <c r="F1491" i="2"/>
  <c r="D1491" i="2"/>
  <c r="B1491" i="2"/>
  <c r="J1491" i="2" s="1"/>
  <c r="K1493" i="2"/>
  <c r="I1493" i="2"/>
  <c r="G1493" i="2"/>
  <c r="C1493" i="2"/>
  <c r="F1493" i="2"/>
  <c r="D1493" i="2"/>
  <c r="B1493" i="2"/>
  <c r="J1493" i="2" s="1"/>
  <c r="K1495" i="2"/>
  <c r="I1495" i="2"/>
  <c r="G1495" i="2"/>
  <c r="C1495" i="2"/>
  <c r="F1495" i="2"/>
  <c r="D1495" i="2"/>
  <c r="B1495" i="2"/>
  <c r="J1495" i="2" s="1"/>
  <c r="K1497" i="2"/>
  <c r="I1497" i="2"/>
  <c r="G1497" i="2"/>
  <c r="C1497" i="2"/>
  <c r="F1497" i="2"/>
  <c r="D1497" i="2"/>
  <c r="B1497" i="2"/>
  <c r="J1497" i="2" s="1"/>
  <c r="K1499" i="2"/>
  <c r="I1499" i="2"/>
  <c r="G1499" i="2"/>
  <c r="C1499" i="2"/>
  <c r="F1499" i="2"/>
  <c r="D1499" i="2"/>
  <c r="B1499" i="2"/>
  <c r="J1499" i="2" s="1"/>
  <c r="K1501" i="2"/>
  <c r="I1501" i="2"/>
  <c r="G1501" i="2"/>
  <c r="C1501" i="2"/>
  <c r="F1501" i="2"/>
  <c r="D1501" i="2"/>
  <c r="B1501" i="2"/>
  <c r="J1501" i="2" s="1"/>
  <c r="K1503" i="2"/>
  <c r="I1503" i="2"/>
  <c r="G1503" i="2"/>
  <c r="C1503" i="2"/>
  <c r="F1503" i="2"/>
  <c r="D1503" i="2"/>
  <c r="B1503" i="2"/>
  <c r="J1503" i="2" s="1"/>
  <c r="K1505" i="2"/>
  <c r="I1505" i="2"/>
  <c r="G1505" i="2"/>
  <c r="C1505" i="2"/>
  <c r="F1505" i="2"/>
  <c r="D1505" i="2"/>
  <c r="B1505" i="2"/>
  <c r="J1505" i="2" s="1"/>
  <c r="K1507" i="2"/>
  <c r="I1507" i="2"/>
  <c r="G1507" i="2"/>
  <c r="C1507" i="2"/>
  <c r="F1507" i="2"/>
  <c r="D1507" i="2"/>
  <c r="B1507" i="2"/>
  <c r="J1507" i="2" s="1"/>
  <c r="K1509" i="2"/>
  <c r="I1509" i="2"/>
  <c r="G1509" i="2"/>
  <c r="C1509" i="2"/>
  <c r="F1509" i="2"/>
  <c r="D1509" i="2"/>
  <c r="B1509" i="2"/>
  <c r="J1509" i="2" s="1"/>
  <c r="K1511" i="2"/>
  <c r="I1511" i="2"/>
  <c r="G1511" i="2"/>
  <c r="C1511" i="2"/>
  <c r="F1511" i="2"/>
  <c r="D1511" i="2"/>
  <c r="B1511" i="2"/>
  <c r="J1511" i="2" s="1"/>
  <c r="K1513" i="2"/>
  <c r="I1513" i="2"/>
  <c r="G1513" i="2"/>
  <c r="C1513" i="2"/>
  <c r="F1513" i="2"/>
  <c r="D1513" i="2"/>
  <c r="B1513" i="2"/>
  <c r="J1513" i="2" s="1"/>
  <c r="K1515" i="2"/>
  <c r="I1515" i="2"/>
  <c r="G1515" i="2"/>
  <c r="C1515" i="2"/>
  <c r="F1515" i="2"/>
  <c r="D1515" i="2"/>
  <c r="B1515" i="2"/>
  <c r="J1515" i="2" s="1"/>
  <c r="K1517" i="2"/>
  <c r="I1517" i="2"/>
  <c r="G1517" i="2"/>
  <c r="C1517" i="2"/>
  <c r="F1517" i="2"/>
  <c r="D1517" i="2"/>
  <c r="B1517" i="2"/>
  <c r="J1517" i="2" s="1"/>
  <c r="K1519" i="2"/>
  <c r="I1519" i="2"/>
  <c r="G1519" i="2"/>
  <c r="C1519" i="2"/>
  <c r="F1519" i="2"/>
  <c r="D1519" i="2"/>
  <c r="B1519" i="2"/>
  <c r="J1519" i="2" s="1"/>
  <c r="K1521" i="2"/>
  <c r="I1521" i="2"/>
  <c r="G1521" i="2"/>
  <c r="C1521" i="2"/>
  <c r="F1521" i="2"/>
  <c r="D1521" i="2"/>
  <c r="B1521" i="2"/>
  <c r="J1521" i="2" s="1"/>
  <c r="K1523" i="2"/>
  <c r="I1523" i="2"/>
  <c r="G1523" i="2"/>
  <c r="C1523" i="2"/>
  <c r="F1523" i="2"/>
  <c r="D1523" i="2"/>
  <c r="B1523" i="2"/>
  <c r="J1523" i="2" s="1"/>
  <c r="K1525" i="2"/>
  <c r="I1525" i="2"/>
  <c r="G1525" i="2"/>
  <c r="C1525" i="2"/>
  <c r="F1525" i="2"/>
  <c r="D1525" i="2"/>
  <c r="B1525" i="2"/>
  <c r="J1525" i="2" s="1"/>
  <c r="K1527" i="2"/>
  <c r="I1527" i="2"/>
  <c r="G1527" i="2"/>
  <c r="C1527" i="2"/>
  <c r="F1527" i="2"/>
  <c r="D1527" i="2"/>
  <c r="B1527" i="2"/>
  <c r="J1527" i="2" s="1"/>
  <c r="K1529" i="2"/>
  <c r="I1529" i="2"/>
  <c r="G1529" i="2"/>
  <c r="C1529" i="2"/>
  <c r="F1529" i="2"/>
  <c r="D1529" i="2"/>
  <c r="B1529" i="2"/>
  <c r="J1529" i="2" s="1"/>
  <c r="K1531" i="2"/>
  <c r="I1531" i="2"/>
  <c r="G1531" i="2"/>
  <c r="C1531" i="2"/>
  <c r="F1531" i="2"/>
  <c r="D1531" i="2"/>
  <c r="B1531" i="2"/>
  <c r="J1531" i="2" s="1"/>
  <c r="K1533" i="2"/>
  <c r="I1533" i="2"/>
  <c r="G1533" i="2"/>
  <c r="C1533" i="2"/>
  <c r="F1533" i="2"/>
  <c r="D1533" i="2"/>
  <c r="B1533" i="2"/>
  <c r="J1533" i="2" s="1"/>
  <c r="K1535" i="2"/>
  <c r="I1535" i="2"/>
  <c r="G1535" i="2"/>
  <c r="C1535" i="2"/>
  <c r="F1535" i="2"/>
  <c r="D1535" i="2"/>
  <c r="B1535" i="2"/>
  <c r="J1535" i="2" s="1"/>
  <c r="K1537" i="2"/>
  <c r="I1537" i="2"/>
  <c r="G1537" i="2"/>
  <c r="C1537" i="2"/>
  <c r="F1537" i="2"/>
  <c r="D1537" i="2"/>
  <c r="B1537" i="2"/>
  <c r="J1537" i="2" s="1"/>
  <c r="K1539" i="2"/>
  <c r="I1539" i="2"/>
  <c r="G1539" i="2"/>
  <c r="C1539" i="2"/>
  <c r="F1539" i="2"/>
  <c r="D1539" i="2"/>
  <c r="B1539" i="2"/>
  <c r="J1539" i="2" s="1"/>
  <c r="K1541" i="2"/>
  <c r="I1541" i="2"/>
  <c r="G1541" i="2"/>
  <c r="C1541" i="2"/>
  <c r="F1541" i="2"/>
  <c r="D1541" i="2"/>
  <c r="B1541" i="2"/>
  <c r="J1541" i="2" s="1"/>
  <c r="K1543" i="2"/>
  <c r="I1543" i="2"/>
  <c r="G1543" i="2"/>
  <c r="C1543" i="2"/>
  <c r="F1543" i="2"/>
  <c r="D1543" i="2"/>
  <c r="B1543" i="2"/>
  <c r="J1543" i="2" s="1"/>
  <c r="K1545" i="2"/>
  <c r="I1545" i="2"/>
  <c r="G1545" i="2"/>
  <c r="C1545" i="2"/>
  <c r="F1545" i="2"/>
  <c r="D1545" i="2"/>
  <c r="B1545" i="2"/>
  <c r="J1545" i="2" s="1"/>
  <c r="K1547" i="2"/>
  <c r="I1547" i="2"/>
  <c r="G1547" i="2"/>
  <c r="C1547" i="2"/>
  <c r="F1547" i="2"/>
  <c r="D1547" i="2"/>
  <c r="B1547" i="2"/>
  <c r="J1547" i="2" s="1"/>
  <c r="K1549" i="2"/>
  <c r="I1549" i="2"/>
  <c r="G1549" i="2"/>
  <c r="C1549" i="2"/>
  <c r="F1549" i="2"/>
  <c r="D1549" i="2"/>
  <c r="B1549" i="2"/>
  <c r="J1549" i="2" s="1"/>
  <c r="K1551" i="2"/>
  <c r="I1551" i="2"/>
  <c r="G1551" i="2"/>
  <c r="C1551" i="2"/>
  <c r="F1551" i="2"/>
  <c r="D1551" i="2"/>
  <c r="B1551" i="2"/>
  <c r="J1551" i="2" s="1"/>
  <c r="K1553" i="2"/>
  <c r="I1553" i="2"/>
  <c r="G1553" i="2"/>
  <c r="C1553" i="2"/>
  <c r="F1553" i="2"/>
  <c r="D1553" i="2"/>
  <c r="B1553" i="2"/>
  <c r="J1553" i="2" s="1"/>
  <c r="K1555" i="2"/>
  <c r="I1555" i="2"/>
  <c r="G1555" i="2"/>
  <c r="C1555" i="2"/>
  <c r="F1555" i="2"/>
  <c r="D1555" i="2"/>
  <c r="B1555" i="2"/>
  <c r="J1555" i="2" s="1"/>
  <c r="K1557" i="2"/>
  <c r="I1557" i="2"/>
  <c r="G1557" i="2"/>
  <c r="C1557" i="2"/>
  <c r="F1557" i="2"/>
  <c r="D1557" i="2"/>
  <c r="B1557" i="2"/>
  <c r="J1557" i="2" s="1"/>
  <c r="K1559" i="2"/>
  <c r="I1559" i="2"/>
  <c r="G1559" i="2"/>
  <c r="C1559" i="2"/>
  <c r="F1559" i="2"/>
  <c r="D1559" i="2"/>
  <c r="B1559" i="2"/>
  <c r="J1559" i="2" s="1"/>
  <c r="K1561" i="2"/>
  <c r="I1561" i="2"/>
  <c r="G1561" i="2"/>
  <c r="C1561" i="2"/>
  <c r="F1561" i="2"/>
  <c r="D1561" i="2"/>
  <c r="B1561" i="2"/>
  <c r="J1561" i="2" s="1"/>
  <c r="K1563" i="2"/>
  <c r="I1563" i="2"/>
  <c r="G1563" i="2"/>
  <c r="C1563" i="2"/>
  <c r="F1563" i="2"/>
  <c r="D1563" i="2"/>
  <c r="B1563" i="2"/>
  <c r="J1563" i="2" s="1"/>
  <c r="K1565" i="2"/>
  <c r="I1565" i="2"/>
  <c r="G1565" i="2"/>
  <c r="C1565" i="2"/>
  <c r="F1565" i="2"/>
  <c r="D1565" i="2"/>
  <c r="B1565" i="2"/>
  <c r="J1565" i="2" s="1"/>
  <c r="K1567" i="2"/>
  <c r="I1567" i="2"/>
  <c r="G1567" i="2"/>
  <c r="C1567" i="2"/>
  <c r="F1567" i="2"/>
  <c r="D1567" i="2"/>
  <c r="B1567" i="2"/>
  <c r="J1567" i="2" s="1"/>
  <c r="K1569" i="2"/>
  <c r="I1569" i="2"/>
  <c r="G1569" i="2"/>
  <c r="C1569" i="2"/>
  <c r="F1569" i="2"/>
  <c r="D1569" i="2"/>
  <c r="B1569" i="2"/>
  <c r="J1569" i="2" s="1"/>
  <c r="K1571" i="2"/>
  <c r="I1571" i="2"/>
  <c r="G1571" i="2"/>
  <c r="C1571" i="2"/>
  <c r="F1571" i="2"/>
  <c r="D1571" i="2"/>
  <c r="B1571" i="2"/>
  <c r="J1571" i="2" s="1"/>
  <c r="K1573" i="2"/>
  <c r="I1573" i="2"/>
  <c r="G1573" i="2"/>
  <c r="C1573" i="2"/>
  <c r="F1573" i="2"/>
  <c r="D1573" i="2"/>
  <c r="B1573" i="2"/>
  <c r="J1573" i="2" s="1"/>
  <c r="K1575" i="2"/>
  <c r="I1575" i="2"/>
  <c r="G1575" i="2"/>
  <c r="C1575" i="2"/>
  <c r="F1575" i="2"/>
  <c r="D1575" i="2"/>
  <c r="B1575" i="2"/>
  <c r="J1575" i="2" s="1"/>
  <c r="K1577" i="2"/>
  <c r="I1577" i="2"/>
  <c r="G1577" i="2"/>
  <c r="C1577" i="2"/>
  <c r="F1577" i="2"/>
  <c r="D1577" i="2"/>
  <c r="B1577" i="2"/>
  <c r="J1577" i="2" s="1"/>
  <c r="K1579" i="2"/>
  <c r="I1579" i="2"/>
  <c r="G1579" i="2"/>
  <c r="C1579" i="2"/>
  <c r="F1579" i="2"/>
  <c r="D1579" i="2"/>
  <c r="B1579" i="2"/>
  <c r="J1579" i="2" s="1"/>
  <c r="K1581" i="2"/>
  <c r="I1581" i="2"/>
  <c r="G1581" i="2"/>
  <c r="C1581" i="2"/>
  <c r="F1581" i="2"/>
  <c r="D1581" i="2"/>
  <c r="B1581" i="2"/>
  <c r="J1581" i="2" s="1"/>
  <c r="K1583" i="2"/>
  <c r="I1583" i="2"/>
  <c r="G1583" i="2"/>
  <c r="C1583" i="2"/>
  <c r="F1583" i="2"/>
  <c r="D1583" i="2"/>
  <c r="B1583" i="2"/>
  <c r="J1583" i="2" s="1"/>
  <c r="K1585" i="2"/>
  <c r="I1585" i="2"/>
  <c r="G1585" i="2"/>
  <c r="C1585" i="2"/>
  <c r="F1585" i="2"/>
  <c r="D1585" i="2"/>
  <c r="B1585" i="2"/>
  <c r="J1585" i="2" s="1"/>
  <c r="K1587" i="2"/>
  <c r="I1587" i="2"/>
  <c r="G1587" i="2"/>
  <c r="C1587" i="2"/>
  <c r="F1587" i="2"/>
  <c r="D1587" i="2"/>
  <c r="B1587" i="2"/>
  <c r="J1587" i="2" s="1"/>
  <c r="K1589" i="2"/>
  <c r="I1589" i="2"/>
  <c r="G1589" i="2"/>
  <c r="C1589" i="2"/>
  <c r="F1589" i="2"/>
  <c r="D1589" i="2"/>
  <c r="B1589" i="2"/>
  <c r="J1589" i="2" s="1"/>
  <c r="K1591" i="2"/>
  <c r="I1591" i="2"/>
  <c r="G1591" i="2"/>
  <c r="C1591" i="2"/>
  <c r="F1591" i="2"/>
  <c r="D1591" i="2"/>
  <c r="B1591" i="2"/>
  <c r="J1591" i="2" s="1"/>
  <c r="K1593" i="2"/>
  <c r="I1593" i="2"/>
  <c r="G1593" i="2"/>
  <c r="C1593" i="2"/>
  <c r="F1593" i="2"/>
  <c r="D1593" i="2"/>
  <c r="B1593" i="2"/>
  <c r="J1593" i="2" s="1"/>
  <c r="K1595" i="2"/>
  <c r="I1595" i="2"/>
  <c r="G1595" i="2"/>
  <c r="C1595" i="2"/>
  <c r="F1595" i="2"/>
  <c r="D1595" i="2"/>
  <c r="B1595" i="2"/>
  <c r="J1595" i="2" s="1"/>
  <c r="K1597" i="2"/>
  <c r="I1597" i="2"/>
  <c r="G1597" i="2"/>
  <c r="C1597" i="2"/>
  <c r="F1597" i="2"/>
  <c r="D1597" i="2"/>
  <c r="B1597" i="2"/>
  <c r="J1597" i="2" s="1"/>
  <c r="K1599" i="2"/>
  <c r="I1599" i="2"/>
  <c r="G1599" i="2"/>
  <c r="C1599" i="2"/>
  <c r="F1599" i="2"/>
  <c r="D1599" i="2"/>
  <c r="B1599" i="2"/>
  <c r="J1599" i="2" s="1"/>
  <c r="K1601" i="2"/>
  <c r="I1601" i="2"/>
  <c r="G1601" i="2"/>
  <c r="C1601" i="2"/>
  <c r="F1601" i="2"/>
  <c r="D1601" i="2"/>
  <c r="B1601" i="2"/>
  <c r="J1601" i="2" s="1"/>
  <c r="K1603" i="2"/>
  <c r="I1603" i="2"/>
  <c r="G1603" i="2"/>
  <c r="C1603" i="2"/>
  <c r="F1603" i="2"/>
  <c r="D1603" i="2"/>
  <c r="B1603" i="2"/>
  <c r="J1603" i="2" s="1"/>
  <c r="K1605" i="2"/>
  <c r="I1605" i="2"/>
  <c r="G1605" i="2"/>
  <c r="C1605" i="2"/>
  <c r="F1605" i="2"/>
  <c r="D1605" i="2"/>
  <c r="B1605" i="2"/>
  <c r="J1605" i="2" s="1"/>
  <c r="K1607" i="2"/>
  <c r="I1607" i="2"/>
  <c r="G1607" i="2"/>
  <c r="C1607" i="2"/>
  <c r="F1607" i="2"/>
  <c r="D1607" i="2"/>
  <c r="B1607" i="2"/>
  <c r="J1607" i="2" s="1"/>
  <c r="K1609" i="2"/>
  <c r="I1609" i="2"/>
  <c r="G1609" i="2"/>
  <c r="C1609" i="2"/>
  <c r="F1609" i="2"/>
  <c r="D1609" i="2"/>
  <c r="B1609" i="2"/>
  <c r="J1609" i="2" s="1"/>
  <c r="K1611" i="2"/>
  <c r="I1611" i="2"/>
  <c r="G1611" i="2"/>
  <c r="C1611" i="2"/>
  <c r="F1611" i="2"/>
  <c r="D1611" i="2"/>
  <c r="B1611" i="2"/>
  <c r="J1611" i="2" s="1"/>
  <c r="K1613" i="2"/>
  <c r="I1613" i="2"/>
  <c r="G1613" i="2"/>
  <c r="C1613" i="2"/>
  <c r="F1613" i="2"/>
  <c r="D1613" i="2"/>
  <c r="B1613" i="2"/>
  <c r="J1613" i="2" s="1"/>
  <c r="K1615" i="2"/>
  <c r="I1615" i="2"/>
  <c r="G1615" i="2"/>
  <c r="C1615" i="2"/>
  <c r="F1615" i="2"/>
  <c r="D1615" i="2"/>
  <c r="B1615" i="2"/>
  <c r="J1615" i="2" s="1"/>
  <c r="K1617" i="2"/>
  <c r="I1617" i="2"/>
  <c r="G1617" i="2"/>
  <c r="C1617" i="2"/>
  <c r="F1617" i="2"/>
  <c r="D1617" i="2"/>
  <c r="B1617" i="2"/>
  <c r="J1617" i="2" s="1"/>
  <c r="K1619" i="2"/>
  <c r="I1619" i="2"/>
  <c r="G1619" i="2"/>
  <c r="C1619" i="2"/>
  <c r="F1619" i="2"/>
  <c r="D1619" i="2"/>
  <c r="B1619" i="2"/>
  <c r="J1619" i="2" s="1"/>
  <c r="K1621" i="2"/>
  <c r="I1621" i="2"/>
  <c r="G1621" i="2"/>
  <c r="C1621" i="2"/>
  <c r="F1621" i="2"/>
  <c r="D1621" i="2"/>
  <c r="B1621" i="2"/>
  <c r="J1621" i="2" s="1"/>
  <c r="K1623" i="2"/>
  <c r="I1623" i="2"/>
  <c r="G1623" i="2"/>
  <c r="C1623" i="2"/>
  <c r="F1623" i="2"/>
  <c r="D1623" i="2"/>
  <c r="B1623" i="2"/>
  <c r="J1623" i="2" s="1"/>
  <c r="K1625" i="2"/>
  <c r="I1625" i="2"/>
  <c r="G1625" i="2"/>
  <c r="C1625" i="2"/>
  <c r="F1625" i="2"/>
  <c r="D1625" i="2"/>
  <c r="B1625" i="2"/>
  <c r="J1625" i="2" s="1"/>
  <c r="K1627" i="2"/>
  <c r="I1627" i="2"/>
  <c r="G1627" i="2"/>
  <c r="C1627" i="2"/>
  <c r="F1627" i="2"/>
  <c r="D1627" i="2"/>
  <c r="B1627" i="2"/>
  <c r="J1627" i="2" s="1"/>
  <c r="K1629" i="2"/>
  <c r="I1629" i="2"/>
  <c r="G1629" i="2"/>
  <c r="C1629" i="2"/>
  <c r="F1629" i="2"/>
  <c r="D1629" i="2"/>
  <c r="B1629" i="2"/>
  <c r="J1629" i="2" s="1"/>
  <c r="K1631" i="2"/>
  <c r="I1631" i="2"/>
  <c r="G1631" i="2"/>
  <c r="C1631" i="2"/>
  <c r="F1631" i="2"/>
  <c r="D1631" i="2"/>
  <c r="B1631" i="2"/>
  <c r="J1631" i="2" s="1"/>
  <c r="K1633" i="2"/>
  <c r="I1633" i="2"/>
  <c r="G1633" i="2"/>
  <c r="C1633" i="2"/>
  <c r="F1633" i="2"/>
  <c r="D1633" i="2"/>
  <c r="B1633" i="2"/>
  <c r="J1633" i="2" s="1"/>
  <c r="K1635" i="2"/>
  <c r="I1635" i="2"/>
  <c r="G1635" i="2"/>
  <c r="C1635" i="2"/>
  <c r="F1635" i="2"/>
  <c r="D1635" i="2"/>
  <c r="B1635" i="2"/>
  <c r="J1635" i="2" s="1"/>
  <c r="K1637" i="2"/>
  <c r="I1637" i="2"/>
  <c r="G1637" i="2"/>
  <c r="C1637" i="2"/>
  <c r="F1637" i="2"/>
  <c r="D1637" i="2"/>
  <c r="B1637" i="2"/>
  <c r="J1637" i="2" s="1"/>
  <c r="K1639" i="2"/>
  <c r="I1639" i="2"/>
  <c r="G1639" i="2"/>
  <c r="C1639" i="2"/>
  <c r="F1639" i="2"/>
  <c r="D1639" i="2"/>
  <c r="B1639" i="2"/>
  <c r="J1639" i="2" s="1"/>
  <c r="K1641" i="2"/>
  <c r="I1641" i="2"/>
  <c r="G1641" i="2"/>
  <c r="C1641" i="2"/>
  <c r="F1641" i="2"/>
  <c r="D1641" i="2"/>
  <c r="B1641" i="2"/>
  <c r="J1641" i="2" s="1"/>
  <c r="K1643" i="2"/>
  <c r="I1643" i="2"/>
  <c r="G1643" i="2"/>
  <c r="C1643" i="2"/>
  <c r="F1643" i="2"/>
  <c r="D1643" i="2"/>
  <c r="B1643" i="2"/>
  <c r="J1643" i="2" s="1"/>
  <c r="K1645" i="2"/>
  <c r="I1645" i="2"/>
  <c r="G1645" i="2"/>
  <c r="C1645" i="2"/>
  <c r="F1645" i="2"/>
  <c r="D1645" i="2"/>
  <c r="B1645" i="2"/>
  <c r="J1645" i="2" s="1"/>
  <c r="K1647" i="2"/>
  <c r="I1647" i="2"/>
  <c r="G1647" i="2"/>
  <c r="C1647" i="2"/>
  <c r="F1647" i="2"/>
  <c r="D1647" i="2"/>
  <c r="B1647" i="2"/>
  <c r="J1647" i="2" s="1"/>
  <c r="K1649" i="2"/>
  <c r="I1649" i="2"/>
  <c r="G1649" i="2"/>
  <c r="C1649" i="2"/>
  <c r="F1649" i="2"/>
  <c r="D1649" i="2"/>
  <c r="B1649" i="2"/>
  <c r="J1649" i="2" s="1"/>
  <c r="K1651" i="2"/>
  <c r="I1651" i="2"/>
  <c r="G1651" i="2"/>
  <c r="C1651" i="2"/>
  <c r="F1651" i="2"/>
  <c r="D1651" i="2"/>
  <c r="B1651" i="2"/>
  <c r="J1651" i="2" s="1"/>
  <c r="K1653" i="2"/>
  <c r="I1653" i="2"/>
  <c r="G1653" i="2"/>
  <c r="C1653" i="2"/>
  <c r="F1653" i="2"/>
  <c r="D1653" i="2"/>
  <c r="B1653" i="2"/>
  <c r="J1653" i="2" s="1"/>
  <c r="K1655" i="2"/>
  <c r="I1655" i="2"/>
  <c r="G1655" i="2"/>
  <c r="C1655" i="2"/>
  <c r="F1655" i="2"/>
  <c r="D1655" i="2"/>
  <c r="B1655" i="2"/>
  <c r="J1655" i="2" s="1"/>
  <c r="K1657" i="2"/>
  <c r="I1657" i="2"/>
  <c r="G1657" i="2"/>
  <c r="C1657" i="2"/>
  <c r="F1657" i="2"/>
  <c r="D1657" i="2"/>
  <c r="B1657" i="2"/>
  <c r="J1657" i="2" s="1"/>
  <c r="K1659" i="2"/>
  <c r="I1659" i="2"/>
  <c r="G1659" i="2"/>
  <c r="C1659" i="2"/>
  <c r="F1659" i="2"/>
  <c r="D1659" i="2"/>
  <c r="B1659" i="2"/>
  <c r="J1659" i="2" s="1"/>
  <c r="K1661" i="2"/>
  <c r="I1661" i="2"/>
  <c r="G1661" i="2"/>
  <c r="C1661" i="2"/>
  <c r="F1661" i="2"/>
  <c r="D1661" i="2"/>
  <c r="B1661" i="2"/>
  <c r="J1661" i="2" s="1"/>
  <c r="K1663" i="2"/>
  <c r="I1663" i="2"/>
  <c r="G1663" i="2"/>
  <c r="C1663" i="2"/>
  <c r="F1663" i="2"/>
  <c r="D1663" i="2"/>
  <c r="B1663" i="2"/>
  <c r="J1663" i="2" s="1"/>
  <c r="K1665" i="2"/>
  <c r="I1665" i="2"/>
  <c r="G1665" i="2"/>
  <c r="C1665" i="2"/>
  <c r="F1665" i="2"/>
  <c r="D1665" i="2"/>
  <c r="B1665" i="2"/>
  <c r="J1665" i="2" s="1"/>
  <c r="K1667" i="2"/>
  <c r="I1667" i="2"/>
  <c r="G1667" i="2"/>
  <c r="C1667" i="2"/>
  <c r="F1667" i="2"/>
  <c r="D1667" i="2"/>
  <c r="B1667" i="2"/>
  <c r="J1667" i="2" s="1"/>
  <c r="K1669" i="2"/>
  <c r="I1669" i="2"/>
  <c r="G1669" i="2"/>
  <c r="C1669" i="2"/>
  <c r="F1669" i="2"/>
  <c r="D1669" i="2"/>
  <c r="B1669" i="2"/>
  <c r="J1669" i="2" s="1"/>
  <c r="K1671" i="2"/>
  <c r="I1671" i="2"/>
  <c r="G1671" i="2"/>
  <c r="C1671" i="2"/>
  <c r="F1671" i="2"/>
  <c r="D1671" i="2"/>
  <c r="B1671" i="2"/>
  <c r="J1671" i="2" s="1"/>
  <c r="K1673" i="2"/>
  <c r="I1673" i="2"/>
  <c r="G1673" i="2"/>
  <c r="C1673" i="2"/>
  <c r="F1673" i="2"/>
  <c r="D1673" i="2"/>
  <c r="B1673" i="2"/>
  <c r="J1673" i="2" s="1"/>
  <c r="K1675" i="2"/>
  <c r="I1675" i="2"/>
  <c r="G1675" i="2"/>
  <c r="C1675" i="2"/>
  <c r="F1675" i="2"/>
  <c r="D1675" i="2"/>
  <c r="B1675" i="2"/>
  <c r="J1675" i="2" s="1"/>
  <c r="K1677" i="2"/>
  <c r="I1677" i="2"/>
  <c r="G1677" i="2"/>
  <c r="C1677" i="2"/>
  <c r="F1677" i="2"/>
  <c r="D1677" i="2"/>
  <c r="B1677" i="2"/>
  <c r="J1677" i="2" s="1"/>
  <c r="K1679" i="2"/>
  <c r="I1679" i="2"/>
  <c r="G1679" i="2"/>
  <c r="C1679" i="2"/>
  <c r="F1679" i="2"/>
  <c r="D1679" i="2"/>
  <c r="B1679" i="2"/>
  <c r="J1679" i="2" s="1"/>
  <c r="K1681" i="2"/>
  <c r="I1681" i="2"/>
  <c r="G1681" i="2"/>
  <c r="C1681" i="2"/>
  <c r="F1681" i="2"/>
  <c r="D1681" i="2"/>
  <c r="B1681" i="2"/>
  <c r="J1681" i="2" s="1"/>
  <c r="K1683" i="2"/>
  <c r="I1683" i="2"/>
  <c r="G1683" i="2"/>
  <c r="C1683" i="2"/>
  <c r="F1683" i="2"/>
  <c r="D1683" i="2"/>
  <c r="B1683" i="2"/>
  <c r="J1683" i="2" s="1"/>
  <c r="K1685" i="2"/>
  <c r="I1685" i="2"/>
  <c r="G1685" i="2"/>
  <c r="C1685" i="2"/>
  <c r="F1685" i="2"/>
  <c r="D1685" i="2"/>
  <c r="B1685" i="2"/>
  <c r="J1685" i="2" s="1"/>
  <c r="K1687" i="2"/>
  <c r="I1687" i="2"/>
  <c r="G1687" i="2"/>
  <c r="C1687" i="2"/>
  <c r="F1687" i="2"/>
  <c r="D1687" i="2"/>
  <c r="B1687" i="2"/>
  <c r="J1687" i="2" s="1"/>
  <c r="K1689" i="2"/>
  <c r="I1689" i="2"/>
  <c r="G1689" i="2"/>
  <c r="C1689" i="2"/>
  <c r="F1689" i="2"/>
  <c r="D1689" i="2"/>
  <c r="B1689" i="2"/>
  <c r="J1689" i="2" s="1"/>
  <c r="K1691" i="2"/>
  <c r="I1691" i="2"/>
  <c r="G1691" i="2"/>
  <c r="C1691" i="2"/>
  <c r="F1691" i="2"/>
  <c r="D1691" i="2"/>
  <c r="B1691" i="2"/>
  <c r="J1691" i="2" s="1"/>
  <c r="K1693" i="2"/>
  <c r="I1693" i="2"/>
  <c r="G1693" i="2"/>
  <c r="C1693" i="2"/>
  <c r="F1693" i="2"/>
  <c r="D1693" i="2"/>
  <c r="B1693" i="2"/>
  <c r="J1693" i="2" s="1"/>
  <c r="K1695" i="2"/>
  <c r="I1695" i="2"/>
  <c r="G1695" i="2"/>
  <c r="C1695" i="2"/>
  <c r="F1695" i="2"/>
  <c r="D1695" i="2"/>
  <c r="B1695" i="2"/>
  <c r="J1695" i="2" s="1"/>
  <c r="K1697" i="2"/>
  <c r="I1697" i="2"/>
  <c r="G1697" i="2"/>
  <c r="C1697" i="2"/>
  <c r="F1697" i="2"/>
  <c r="D1697" i="2"/>
  <c r="B1697" i="2"/>
  <c r="J1697" i="2" s="1"/>
  <c r="K1699" i="2"/>
  <c r="I1699" i="2"/>
  <c r="G1699" i="2"/>
  <c r="C1699" i="2"/>
  <c r="F1699" i="2"/>
  <c r="D1699" i="2"/>
  <c r="B1699" i="2"/>
  <c r="J1699" i="2" s="1"/>
  <c r="K1701" i="2"/>
  <c r="I1701" i="2"/>
  <c r="G1701" i="2"/>
  <c r="C1701" i="2"/>
  <c r="F1701" i="2"/>
  <c r="D1701" i="2"/>
  <c r="B1701" i="2"/>
  <c r="J1701" i="2" s="1"/>
  <c r="K1703" i="2"/>
  <c r="I1703" i="2"/>
  <c r="G1703" i="2"/>
  <c r="C1703" i="2"/>
  <c r="F1703" i="2"/>
  <c r="D1703" i="2"/>
  <c r="B1703" i="2"/>
  <c r="J1703" i="2" s="1"/>
  <c r="K1705" i="2"/>
  <c r="I1705" i="2"/>
  <c r="G1705" i="2"/>
  <c r="C1705" i="2"/>
  <c r="F1705" i="2"/>
  <c r="D1705" i="2"/>
  <c r="B1705" i="2"/>
  <c r="J1705" i="2" s="1"/>
  <c r="K1707" i="2"/>
  <c r="I1707" i="2"/>
  <c r="G1707" i="2"/>
  <c r="C1707" i="2"/>
  <c r="F1707" i="2"/>
  <c r="D1707" i="2"/>
  <c r="B1707" i="2"/>
  <c r="J1707" i="2" s="1"/>
  <c r="K1709" i="2"/>
  <c r="I1709" i="2"/>
  <c r="G1709" i="2"/>
  <c r="C1709" i="2"/>
  <c r="F1709" i="2"/>
  <c r="D1709" i="2"/>
  <c r="B1709" i="2"/>
  <c r="J1709" i="2" s="1"/>
  <c r="K1711" i="2"/>
  <c r="I1711" i="2"/>
  <c r="G1711" i="2"/>
  <c r="C1711" i="2"/>
  <c r="F1711" i="2"/>
  <c r="D1711" i="2"/>
  <c r="B1711" i="2"/>
  <c r="J1711" i="2" s="1"/>
  <c r="K1713" i="2"/>
  <c r="I1713" i="2"/>
  <c r="G1713" i="2"/>
  <c r="C1713" i="2"/>
  <c r="F1713" i="2"/>
  <c r="D1713" i="2"/>
  <c r="B1713" i="2"/>
  <c r="J1713" i="2" s="1"/>
  <c r="K1715" i="2"/>
  <c r="I1715" i="2"/>
  <c r="G1715" i="2"/>
  <c r="C1715" i="2"/>
  <c r="F1715" i="2"/>
  <c r="D1715" i="2"/>
  <c r="B1715" i="2"/>
  <c r="J1715" i="2" s="1"/>
  <c r="K1717" i="2"/>
  <c r="I1717" i="2"/>
  <c r="G1717" i="2"/>
  <c r="C1717" i="2"/>
  <c r="F1717" i="2"/>
  <c r="D1717" i="2"/>
  <c r="B1717" i="2"/>
  <c r="J1717" i="2" s="1"/>
  <c r="K1719" i="2"/>
  <c r="I1719" i="2"/>
  <c r="G1719" i="2"/>
  <c r="C1719" i="2"/>
  <c r="F1719" i="2"/>
  <c r="D1719" i="2"/>
  <c r="B1719" i="2"/>
  <c r="J1719" i="2" s="1"/>
  <c r="K1721" i="2"/>
  <c r="I1721" i="2"/>
  <c r="G1721" i="2"/>
  <c r="C1721" i="2"/>
  <c r="F1721" i="2"/>
  <c r="D1721" i="2"/>
  <c r="B1721" i="2"/>
  <c r="J1721" i="2" s="1"/>
  <c r="K1723" i="2"/>
  <c r="I1723" i="2"/>
  <c r="G1723" i="2"/>
  <c r="C1723" i="2"/>
  <c r="F1723" i="2"/>
  <c r="D1723" i="2"/>
  <c r="B1723" i="2"/>
  <c r="J1723" i="2" s="1"/>
  <c r="K1725" i="2"/>
  <c r="I1725" i="2"/>
  <c r="G1725" i="2"/>
  <c r="C1725" i="2"/>
  <c r="F1725" i="2"/>
  <c r="D1725" i="2"/>
  <c r="B1725" i="2"/>
  <c r="J1725" i="2" s="1"/>
  <c r="K1727" i="2"/>
  <c r="I1727" i="2"/>
  <c r="G1727" i="2"/>
  <c r="C1727" i="2"/>
  <c r="F1727" i="2"/>
  <c r="D1727" i="2"/>
  <c r="B1727" i="2"/>
  <c r="J1727" i="2" s="1"/>
  <c r="K1729" i="2"/>
  <c r="I1729" i="2"/>
  <c r="G1729" i="2"/>
  <c r="C1729" i="2"/>
  <c r="F1729" i="2"/>
  <c r="D1729" i="2"/>
  <c r="B1729" i="2"/>
  <c r="J1729" i="2" s="1"/>
  <c r="K1731" i="2"/>
  <c r="I1731" i="2"/>
  <c r="G1731" i="2"/>
  <c r="C1731" i="2"/>
  <c r="F1731" i="2"/>
  <c r="D1731" i="2"/>
  <c r="B1731" i="2"/>
  <c r="J1731" i="2" s="1"/>
  <c r="K1733" i="2"/>
  <c r="I1733" i="2"/>
  <c r="G1733" i="2"/>
  <c r="C1733" i="2"/>
  <c r="F1733" i="2"/>
  <c r="D1733" i="2"/>
  <c r="B1733" i="2"/>
  <c r="J1733" i="2" s="1"/>
  <c r="K1735" i="2"/>
  <c r="I1735" i="2"/>
  <c r="G1735" i="2"/>
  <c r="C1735" i="2"/>
  <c r="F1735" i="2"/>
  <c r="D1735" i="2"/>
  <c r="B1735" i="2"/>
  <c r="J1735" i="2" s="1"/>
  <c r="K1737" i="2"/>
  <c r="I1737" i="2"/>
  <c r="G1737" i="2"/>
  <c r="C1737" i="2"/>
  <c r="F1737" i="2"/>
  <c r="D1737" i="2"/>
  <c r="B1737" i="2"/>
  <c r="J1737" i="2" s="1"/>
  <c r="K1739" i="2"/>
  <c r="I1739" i="2"/>
  <c r="G1739" i="2"/>
  <c r="C1739" i="2"/>
  <c r="F1739" i="2"/>
  <c r="D1739" i="2"/>
  <c r="B1739" i="2"/>
  <c r="J1739" i="2" s="1"/>
  <c r="K1741" i="2"/>
  <c r="I1741" i="2"/>
  <c r="G1741" i="2"/>
  <c r="C1741" i="2"/>
  <c r="F1741" i="2"/>
  <c r="D1741" i="2"/>
  <c r="B1741" i="2"/>
  <c r="J1741" i="2" s="1"/>
  <c r="K1743" i="2"/>
  <c r="I1743" i="2"/>
  <c r="G1743" i="2"/>
  <c r="C1743" i="2"/>
  <c r="F1743" i="2"/>
  <c r="D1743" i="2"/>
  <c r="B1743" i="2"/>
  <c r="J1743" i="2" s="1"/>
  <c r="K1745" i="2"/>
  <c r="I1745" i="2"/>
  <c r="G1745" i="2"/>
  <c r="C1745" i="2"/>
  <c r="F1745" i="2"/>
  <c r="D1745" i="2"/>
  <c r="B1745" i="2"/>
  <c r="J1745" i="2" s="1"/>
  <c r="K1747" i="2"/>
  <c r="I1747" i="2"/>
  <c r="G1747" i="2"/>
  <c r="C1747" i="2"/>
  <c r="F1747" i="2"/>
  <c r="D1747" i="2"/>
  <c r="B1747" i="2"/>
  <c r="J1747" i="2" s="1"/>
  <c r="K1749" i="2"/>
  <c r="I1749" i="2"/>
  <c r="G1749" i="2"/>
  <c r="C1749" i="2"/>
  <c r="F1749" i="2"/>
  <c r="D1749" i="2"/>
  <c r="B1749" i="2"/>
  <c r="J1749" i="2" s="1"/>
  <c r="K1751" i="2"/>
  <c r="I1751" i="2"/>
  <c r="G1751" i="2"/>
  <c r="C1751" i="2"/>
  <c r="F1751" i="2"/>
  <c r="D1751" i="2"/>
  <c r="B1751" i="2"/>
  <c r="J1751" i="2" s="1"/>
  <c r="K1753" i="2"/>
  <c r="I1753" i="2"/>
  <c r="G1753" i="2"/>
  <c r="C1753" i="2"/>
  <c r="F1753" i="2"/>
  <c r="D1753" i="2"/>
  <c r="B1753" i="2"/>
  <c r="J1753" i="2" s="1"/>
  <c r="K1755" i="2"/>
  <c r="I1755" i="2"/>
  <c r="G1755" i="2"/>
  <c r="C1755" i="2"/>
  <c r="F1755" i="2"/>
  <c r="D1755" i="2"/>
  <c r="B1755" i="2"/>
  <c r="J1755" i="2" s="1"/>
  <c r="K1757" i="2"/>
  <c r="I1757" i="2"/>
  <c r="G1757" i="2"/>
  <c r="C1757" i="2"/>
  <c r="F1757" i="2"/>
  <c r="D1757" i="2"/>
  <c r="B1757" i="2"/>
  <c r="J1757" i="2" s="1"/>
  <c r="K1759" i="2"/>
  <c r="I1759" i="2"/>
  <c r="G1759" i="2"/>
  <c r="C1759" i="2"/>
  <c r="F1759" i="2"/>
  <c r="D1759" i="2"/>
  <c r="B1759" i="2"/>
  <c r="J1759" i="2" s="1"/>
  <c r="K1761" i="2"/>
  <c r="I1761" i="2"/>
  <c r="G1761" i="2"/>
  <c r="C1761" i="2"/>
  <c r="F1761" i="2"/>
  <c r="D1761" i="2"/>
  <c r="B1761" i="2"/>
  <c r="J1761" i="2" s="1"/>
  <c r="K1763" i="2"/>
  <c r="I1763" i="2"/>
  <c r="G1763" i="2"/>
  <c r="C1763" i="2"/>
  <c r="F1763" i="2"/>
  <c r="D1763" i="2"/>
  <c r="B1763" i="2"/>
  <c r="J1763" i="2" s="1"/>
  <c r="K1765" i="2"/>
  <c r="I1765" i="2"/>
  <c r="G1765" i="2"/>
  <c r="C1765" i="2"/>
  <c r="F1765" i="2"/>
  <c r="D1765" i="2"/>
  <c r="B1765" i="2"/>
  <c r="J1765" i="2" s="1"/>
  <c r="K1767" i="2"/>
  <c r="I1767" i="2"/>
  <c r="G1767" i="2"/>
  <c r="C1767" i="2"/>
  <c r="F1767" i="2"/>
  <c r="D1767" i="2"/>
  <c r="B1767" i="2"/>
  <c r="J1767" i="2" s="1"/>
  <c r="K1769" i="2"/>
  <c r="I1769" i="2"/>
  <c r="G1769" i="2"/>
  <c r="C1769" i="2"/>
  <c r="F1769" i="2"/>
  <c r="D1769" i="2"/>
  <c r="B1769" i="2"/>
  <c r="J1769" i="2" s="1"/>
  <c r="K1771" i="2"/>
  <c r="I1771" i="2"/>
  <c r="G1771" i="2"/>
  <c r="C1771" i="2"/>
  <c r="F1771" i="2"/>
  <c r="D1771" i="2"/>
  <c r="B1771" i="2"/>
  <c r="J1771" i="2" s="1"/>
  <c r="K1773" i="2"/>
  <c r="I1773" i="2"/>
  <c r="G1773" i="2"/>
  <c r="C1773" i="2"/>
  <c r="F1773" i="2"/>
  <c r="D1773" i="2"/>
  <c r="B1773" i="2"/>
  <c r="J1773" i="2" s="1"/>
  <c r="K1775" i="2"/>
  <c r="I1775" i="2"/>
  <c r="G1775" i="2"/>
  <c r="C1775" i="2"/>
  <c r="F1775" i="2"/>
  <c r="D1775" i="2"/>
  <c r="B1775" i="2"/>
  <c r="J1775" i="2" s="1"/>
  <c r="K1777" i="2"/>
  <c r="I1777" i="2"/>
  <c r="G1777" i="2"/>
  <c r="C1777" i="2"/>
  <c r="F1777" i="2"/>
  <c r="D1777" i="2"/>
  <c r="B1777" i="2"/>
  <c r="J1777" i="2" s="1"/>
  <c r="K1779" i="2"/>
  <c r="I1779" i="2"/>
  <c r="G1779" i="2"/>
  <c r="C1779" i="2"/>
  <c r="F1779" i="2"/>
  <c r="D1779" i="2"/>
  <c r="B1779" i="2"/>
  <c r="J1779" i="2" s="1"/>
  <c r="K1781" i="2"/>
  <c r="I1781" i="2"/>
  <c r="G1781" i="2"/>
  <c r="C1781" i="2"/>
  <c r="F1781" i="2"/>
  <c r="D1781" i="2"/>
  <c r="B1781" i="2"/>
  <c r="J1781" i="2" s="1"/>
  <c r="K1783" i="2"/>
  <c r="I1783" i="2"/>
  <c r="G1783" i="2"/>
  <c r="C1783" i="2"/>
  <c r="F1783" i="2"/>
  <c r="D1783" i="2"/>
  <c r="B1783" i="2"/>
  <c r="J1783" i="2" s="1"/>
  <c r="K1785" i="2"/>
  <c r="I1785" i="2"/>
  <c r="G1785" i="2"/>
  <c r="C1785" i="2"/>
  <c r="F1785" i="2"/>
  <c r="D1785" i="2"/>
  <c r="B1785" i="2"/>
  <c r="J1785" i="2" s="1"/>
  <c r="K1787" i="2"/>
  <c r="I1787" i="2"/>
  <c r="G1787" i="2"/>
  <c r="C1787" i="2"/>
  <c r="F1787" i="2"/>
  <c r="D1787" i="2"/>
  <c r="B1787" i="2"/>
  <c r="J1787" i="2" s="1"/>
  <c r="K1789" i="2"/>
  <c r="I1789" i="2"/>
  <c r="G1789" i="2"/>
  <c r="C1789" i="2"/>
  <c r="F1789" i="2"/>
  <c r="D1789" i="2"/>
  <c r="B1789" i="2"/>
  <c r="J1789" i="2" s="1"/>
  <c r="K1791" i="2"/>
  <c r="I1791" i="2"/>
  <c r="G1791" i="2"/>
  <c r="C1791" i="2"/>
  <c r="F1791" i="2"/>
  <c r="D1791" i="2"/>
  <c r="B1791" i="2"/>
  <c r="J1791" i="2" s="1"/>
  <c r="K1793" i="2"/>
  <c r="I1793" i="2"/>
  <c r="G1793" i="2"/>
  <c r="C1793" i="2"/>
  <c r="F1793" i="2"/>
  <c r="D1793" i="2"/>
  <c r="B1793" i="2"/>
  <c r="J1793" i="2" s="1"/>
  <c r="K1795" i="2"/>
  <c r="I1795" i="2"/>
  <c r="G1795" i="2"/>
  <c r="C1795" i="2"/>
  <c r="F1795" i="2"/>
  <c r="D1795" i="2"/>
  <c r="B1795" i="2"/>
  <c r="J1795" i="2" s="1"/>
  <c r="K1797" i="2"/>
  <c r="I1797" i="2"/>
  <c r="G1797" i="2"/>
  <c r="C1797" i="2"/>
  <c r="F1797" i="2"/>
  <c r="D1797" i="2"/>
  <c r="B1797" i="2"/>
  <c r="J1797" i="2" s="1"/>
  <c r="K1799" i="2"/>
  <c r="I1799" i="2"/>
  <c r="G1799" i="2"/>
  <c r="C1799" i="2"/>
  <c r="F1799" i="2"/>
  <c r="D1799" i="2"/>
  <c r="B1799" i="2"/>
  <c r="J1799" i="2" s="1"/>
  <c r="K1801" i="2"/>
  <c r="I1801" i="2"/>
  <c r="G1801" i="2"/>
  <c r="C1801" i="2"/>
  <c r="F1801" i="2"/>
  <c r="D1801" i="2"/>
  <c r="B1801" i="2"/>
  <c r="J1801" i="2" s="1"/>
  <c r="K1803" i="2"/>
  <c r="I1803" i="2"/>
  <c r="G1803" i="2"/>
  <c r="C1803" i="2"/>
  <c r="F1803" i="2"/>
  <c r="D1803" i="2"/>
  <c r="B1803" i="2"/>
  <c r="J1803" i="2" s="1"/>
  <c r="K1805" i="2"/>
  <c r="I1805" i="2"/>
  <c r="G1805" i="2"/>
  <c r="C1805" i="2"/>
  <c r="F1805" i="2"/>
  <c r="D1805" i="2"/>
  <c r="B1805" i="2"/>
  <c r="J1805" i="2" s="1"/>
  <c r="K1807" i="2"/>
  <c r="I1807" i="2"/>
  <c r="G1807" i="2"/>
  <c r="C1807" i="2"/>
  <c r="F1807" i="2"/>
  <c r="D1807" i="2"/>
  <c r="B1807" i="2"/>
  <c r="J1807" i="2" s="1"/>
  <c r="K1809" i="2"/>
  <c r="I1809" i="2"/>
  <c r="G1809" i="2"/>
  <c r="C1809" i="2"/>
  <c r="F1809" i="2"/>
  <c r="D1809" i="2"/>
  <c r="B1809" i="2"/>
  <c r="J1809" i="2" s="1"/>
  <c r="K1811" i="2"/>
  <c r="I1811" i="2"/>
  <c r="G1811" i="2"/>
  <c r="C1811" i="2"/>
  <c r="F1811" i="2"/>
  <c r="D1811" i="2"/>
  <c r="B1811" i="2"/>
  <c r="J1811" i="2" s="1"/>
  <c r="K1813" i="2"/>
  <c r="I1813" i="2"/>
  <c r="G1813" i="2"/>
  <c r="C1813" i="2"/>
  <c r="F1813" i="2"/>
  <c r="D1813" i="2"/>
  <c r="B1813" i="2"/>
  <c r="J1813" i="2" s="1"/>
  <c r="K1815" i="2"/>
  <c r="I1815" i="2"/>
  <c r="G1815" i="2"/>
  <c r="C1815" i="2"/>
  <c r="F1815" i="2"/>
  <c r="D1815" i="2"/>
  <c r="B1815" i="2"/>
  <c r="J1815" i="2" s="1"/>
  <c r="K1817" i="2"/>
  <c r="I1817" i="2"/>
  <c r="G1817" i="2"/>
  <c r="C1817" i="2"/>
  <c r="F1817" i="2"/>
  <c r="D1817" i="2"/>
  <c r="B1817" i="2"/>
  <c r="J1817" i="2" s="1"/>
  <c r="K1819" i="2"/>
  <c r="I1819" i="2"/>
  <c r="G1819" i="2"/>
  <c r="C1819" i="2"/>
  <c r="F1819" i="2"/>
  <c r="D1819" i="2"/>
  <c r="B1819" i="2"/>
  <c r="J1819" i="2" s="1"/>
  <c r="K1821" i="2"/>
  <c r="I1821" i="2"/>
  <c r="G1821" i="2"/>
  <c r="C1821" i="2"/>
  <c r="F1821" i="2"/>
  <c r="D1821" i="2"/>
  <c r="B1821" i="2"/>
  <c r="J1821" i="2" s="1"/>
  <c r="K1823" i="2"/>
  <c r="I1823" i="2"/>
  <c r="G1823" i="2"/>
  <c r="C1823" i="2"/>
  <c r="F1823" i="2"/>
  <c r="D1823" i="2"/>
  <c r="B1823" i="2"/>
  <c r="J1823" i="2" s="1"/>
  <c r="K1825" i="2"/>
  <c r="I1825" i="2"/>
  <c r="G1825" i="2"/>
  <c r="C1825" i="2"/>
  <c r="F1825" i="2"/>
  <c r="D1825" i="2"/>
  <c r="B1825" i="2"/>
  <c r="J1825" i="2" s="1"/>
  <c r="K1827" i="2"/>
  <c r="I1827" i="2"/>
  <c r="G1827" i="2"/>
  <c r="C1827" i="2"/>
  <c r="F1827" i="2"/>
  <c r="D1827" i="2"/>
  <c r="B1827" i="2"/>
  <c r="J1827" i="2" s="1"/>
  <c r="K1829" i="2"/>
  <c r="I1829" i="2"/>
  <c r="G1829" i="2"/>
  <c r="C1829" i="2"/>
  <c r="F1829" i="2"/>
  <c r="D1829" i="2"/>
  <c r="B1829" i="2"/>
  <c r="J1829" i="2" s="1"/>
  <c r="K1831" i="2"/>
  <c r="I1831" i="2"/>
  <c r="G1831" i="2"/>
  <c r="C1831" i="2"/>
  <c r="F1831" i="2"/>
  <c r="D1831" i="2"/>
  <c r="B1831" i="2"/>
  <c r="J1831" i="2" s="1"/>
  <c r="K1833" i="2"/>
  <c r="I1833" i="2"/>
  <c r="G1833" i="2"/>
  <c r="C1833" i="2"/>
  <c r="F1833" i="2"/>
  <c r="D1833" i="2"/>
  <c r="B1833" i="2"/>
  <c r="J1833" i="2" s="1"/>
  <c r="K1835" i="2"/>
  <c r="I1835" i="2"/>
  <c r="G1835" i="2"/>
  <c r="C1835" i="2"/>
  <c r="F1835" i="2"/>
  <c r="D1835" i="2"/>
  <c r="B1835" i="2"/>
  <c r="J1835" i="2" s="1"/>
  <c r="K1837" i="2"/>
  <c r="I1837" i="2"/>
  <c r="G1837" i="2"/>
  <c r="C1837" i="2"/>
  <c r="F1837" i="2"/>
  <c r="D1837" i="2"/>
  <c r="B1837" i="2"/>
  <c r="J1837" i="2" s="1"/>
  <c r="K1839" i="2"/>
  <c r="I1839" i="2"/>
  <c r="G1839" i="2"/>
  <c r="C1839" i="2"/>
  <c r="F1839" i="2"/>
  <c r="D1839" i="2"/>
  <c r="B1839" i="2"/>
  <c r="J1839" i="2" s="1"/>
  <c r="K1841" i="2"/>
  <c r="I1841" i="2"/>
  <c r="G1841" i="2"/>
  <c r="C1841" i="2"/>
  <c r="F1841" i="2"/>
  <c r="D1841" i="2"/>
  <c r="B1841" i="2"/>
  <c r="J1841" i="2" s="1"/>
  <c r="K1843" i="2"/>
  <c r="I1843" i="2"/>
  <c r="G1843" i="2"/>
  <c r="C1843" i="2"/>
  <c r="F1843" i="2"/>
  <c r="D1843" i="2"/>
  <c r="B1843" i="2"/>
  <c r="J1843" i="2" s="1"/>
  <c r="K1845" i="2"/>
  <c r="I1845" i="2"/>
  <c r="G1845" i="2"/>
  <c r="C1845" i="2"/>
  <c r="F1845" i="2"/>
  <c r="D1845" i="2"/>
  <c r="B1845" i="2"/>
  <c r="J1845" i="2" s="1"/>
  <c r="K1847" i="2"/>
  <c r="I1847" i="2"/>
  <c r="G1847" i="2"/>
  <c r="C1847" i="2"/>
  <c r="F1847" i="2"/>
  <c r="D1847" i="2"/>
  <c r="B1847" i="2"/>
  <c r="J1847" i="2" s="1"/>
  <c r="K1849" i="2"/>
  <c r="I1849" i="2"/>
  <c r="G1849" i="2"/>
  <c r="C1849" i="2"/>
  <c r="F1849" i="2"/>
  <c r="D1849" i="2"/>
  <c r="B1849" i="2"/>
  <c r="J1849" i="2" s="1"/>
  <c r="K1851" i="2"/>
  <c r="I1851" i="2"/>
  <c r="G1851" i="2"/>
  <c r="C1851" i="2"/>
  <c r="F1851" i="2"/>
  <c r="D1851" i="2"/>
  <c r="B1851" i="2"/>
  <c r="J1851" i="2" s="1"/>
  <c r="K1853" i="2"/>
  <c r="I1853" i="2"/>
  <c r="G1853" i="2"/>
  <c r="C1853" i="2"/>
  <c r="F1853" i="2"/>
  <c r="D1853" i="2"/>
  <c r="B1853" i="2"/>
  <c r="J1853" i="2" s="1"/>
  <c r="F1855" i="2"/>
  <c r="D1855" i="2"/>
  <c r="B1855" i="2"/>
  <c r="J1855" i="2" s="1"/>
  <c r="K1855" i="2"/>
  <c r="G1855" i="2"/>
  <c r="C1855" i="2"/>
  <c r="I1855" i="2"/>
  <c r="F1857" i="2"/>
  <c r="D1857" i="2"/>
  <c r="B1857" i="2"/>
  <c r="J1857" i="2" s="1"/>
  <c r="K1857" i="2"/>
  <c r="G1857" i="2"/>
  <c r="C1857" i="2"/>
  <c r="I1857" i="2"/>
  <c r="F1859" i="2"/>
  <c r="D1859" i="2"/>
  <c r="B1859" i="2"/>
  <c r="J1859" i="2" s="1"/>
  <c r="K1859" i="2"/>
  <c r="G1859" i="2"/>
  <c r="C1859" i="2"/>
  <c r="I1859" i="2"/>
  <c r="F1861" i="2"/>
  <c r="D1861" i="2"/>
  <c r="B1861" i="2"/>
  <c r="J1861" i="2" s="1"/>
  <c r="K1861" i="2"/>
  <c r="G1861" i="2"/>
  <c r="C1861" i="2"/>
  <c r="I1861" i="2"/>
  <c r="F1863" i="2"/>
  <c r="D1863" i="2"/>
  <c r="B1863" i="2"/>
  <c r="J1863" i="2" s="1"/>
  <c r="K1863" i="2"/>
  <c r="G1863" i="2"/>
  <c r="C1863" i="2"/>
  <c r="I1863" i="2"/>
  <c r="F1865" i="2"/>
  <c r="D1865" i="2"/>
  <c r="B1865" i="2"/>
  <c r="J1865" i="2" s="1"/>
  <c r="K1865" i="2"/>
  <c r="G1865" i="2"/>
  <c r="C1865" i="2"/>
  <c r="I1865" i="2"/>
  <c r="F1867" i="2"/>
  <c r="D1867" i="2"/>
  <c r="B1867" i="2"/>
  <c r="J1867" i="2" s="1"/>
  <c r="K1867" i="2"/>
  <c r="I1867" i="2"/>
  <c r="G1867" i="2"/>
  <c r="C1867" i="2"/>
  <c r="F1869" i="2"/>
  <c r="D1869" i="2"/>
  <c r="B1869" i="2"/>
  <c r="J1869" i="2" s="1"/>
  <c r="K1869" i="2"/>
  <c r="I1869" i="2"/>
  <c r="G1869" i="2"/>
  <c r="C1869" i="2"/>
  <c r="F1871" i="2"/>
  <c r="D1871" i="2"/>
  <c r="B1871" i="2"/>
  <c r="J1871" i="2" s="1"/>
  <c r="K1871" i="2"/>
  <c r="I1871" i="2"/>
  <c r="G1871" i="2"/>
  <c r="C1871" i="2"/>
  <c r="F1873" i="2"/>
  <c r="D1873" i="2"/>
  <c r="B1873" i="2"/>
  <c r="J1873" i="2" s="1"/>
  <c r="K1873" i="2"/>
  <c r="I1873" i="2"/>
  <c r="G1873" i="2"/>
  <c r="C1873" i="2"/>
  <c r="F1875" i="2"/>
  <c r="D1875" i="2"/>
  <c r="B1875" i="2"/>
  <c r="J1875" i="2" s="1"/>
  <c r="K1875" i="2"/>
  <c r="I1875" i="2"/>
  <c r="G1875" i="2"/>
  <c r="C1875" i="2"/>
  <c r="F1877" i="2"/>
  <c r="D1877" i="2"/>
  <c r="B1877" i="2"/>
  <c r="J1877" i="2" s="1"/>
  <c r="K1877" i="2"/>
  <c r="I1877" i="2"/>
  <c r="G1877" i="2"/>
  <c r="C1877" i="2"/>
  <c r="F1879" i="2"/>
  <c r="D1879" i="2"/>
  <c r="B1879" i="2"/>
  <c r="J1879" i="2" s="1"/>
  <c r="K1879" i="2"/>
  <c r="I1879" i="2"/>
  <c r="G1879" i="2"/>
  <c r="C1879" i="2"/>
  <c r="F1881" i="2"/>
  <c r="D1881" i="2"/>
  <c r="B1881" i="2"/>
  <c r="J1881" i="2" s="1"/>
  <c r="K1881" i="2"/>
  <c r="I1881" i="2"/>
  <c r="G1881" i="2"/>
  <c r="C1881" i="2"/>
  <c r="F1883" i="2"/>
  <c r="D1883" i="2"/>
  <c r="B1883" i="2"/>
  <c r="J1883" i="2" s="1"/>
  <c r="K1883" i="2"/>
  <c r="I1883" i="2"/>
  <c r="G1883" i="2"/>
  <c r="C1883" i="2"/>
  <c r="F1885" i="2"/>
  <c r="D1885" i="2"/>
  <c r="B1885" i="2"/>
  <c r="J1885" i="2" s="1"/>
  <c r="K1885" i="2"/>
  <c r="I1885" i="2"/>
  <c r="G1885" i="2"/>
  <c r="C1885" i="2"/>
  <c r="F1887" i="2"/>
  <c r="D1887" i="2"/>
  <c r="B1887" i="2"/>
  <c r="J1887" i="2" s="1"/>
  <c r="K1887" i="2"/>
  <c r="I1887" i="2"/>
  <c r="G1887" i="2"/>
  <c r="C1887" i="2"/>
  <c r="F1889" i="2"/>
  <c r="D1889" i="2"/>
  <c r="B1889" i="2"/>
  <c r="J1889" i="2" s="1"/>
  <c r="K1889" i="2"/>
  <c r="I1889" i="2"/>
  <c r="G1889" i="2"/>
  <c r="C1889" i="2"/>
  <c r="F1891" i="2"/>
  <c r="D1891" i="2"/>
  <c r="B1891" i="2"/>
  <c r="J1891" i="2" s="1"/>
  <c r="K1891" i="2"/>
  <c r="I1891" i="2"/>
  <c r="G1891" i="2"/>
  <c r="C1891" i="2"/>
  <c r="F1893" i="2"/>
  <c r="D1893" i="2"/>
  <c r="B1893" i="2"/>
  <c r="J1893" i="2" s="1"/>
  <c r="K1893" i="2"/>
  <c r="I1893" i="2"/>
  <c r="G1893" i="2"/>
  <c r="C1893" i="2"/>
  <c r="F1895" i="2"/>
  <c r="D1895" i="2"/>
  <c r="B1895" i="2"/>
  <c r="J1895" i="2" s="1"/>
  <c r="K1895" i="2"/>
  <c r="I1895" i="2"/>
  <c r="G1895" i="2"/>
  <c r="C1895" i="2"/>
  <c r="F1897" i="2"/>
  <c r="D1897" i="2"/>
  <c r="B1897" i="2"/>
  <c r="J1897" i="2" s="1"/>
  <c r="K1897" i="2"/>
  <c r="I1897" i="2"/>
  <c r="G1897" i="2"/>
  <c r="C1897" i="2"/>
  <c r="F1899" i="2"/>
  <c r="D1899" i="2"/>
  <c r="B1899" i="2"/>
  <c r="J1899" i="2" s="1"/>
  <c r="K1899" i="2"/>
  <c r="I1899" i="2"/>
  <c r="G1899" i="2"/>
  <c r="C1899" i="2"/>
  <c r="F1901" i="2"/>
  <c r="D1901" i="2"/>
  <c r="B1901" i="2"/>
  <c r="J1901" i="2" s="1"/>
  <c r="K1901" i="2"/>
  <c r="I1901" i="2"/>
  <c r="G1901" i="2"/>
  <c r="C1901" i="2"/>
  <c r="F1903" i="2"/>
  <c r="D1903" i="2"/>
  <c r="B1903" i="2"/>
  <c r="J1903" i="2" s="1"/>
  <c r="K1903" i="2"/>
  <c r="I1903" i="2"/>
  <c r="G1903" i="2"/>
  <c r="C1903" i="2"/>
  <c r="F1905" i="2"/>
  <c r="D1905" i="2"/>
  <c r="B1905" i="2"/>
  <c r="J1905" i="2" s="1"/>
  <c r="K1905" i="2"/>
  <c r="I1905" i="2"/>
  <c r="G1905" i="2"/>
  <c r="C1905" i="2"/>
  <c r="F1907" i="2"/>
  <c r="D1907" i="2"/>
  <c r="B1907" i="2"/>
  <c r="J1907" i="2" s="1"/>
  <c r="K1907" i="2"/>
  <c r="I1907" i="2"/>
  <c r="G1907" i="2"/>
  <c r="C1907" i="2"/>
  <c r="F1909" i="2"/>
  <c r="D1909" i="2"/>
  <c r="B1909" i="2"/>
  <c r="J1909" i="2" s="1"/>
  <c r="K1909" i="2"/>
  <c r="I1909" i="2"/>
  <c r="G1909" i="2"/>
  <c r="C1909" i="2"/>
  <c r="F1911" i="2"/>
  <c r="D1911" i="2"/>
  <c r="B1911" i="2"/>
  <c r="J1911" i="2" s="1"/>
  <c r="K1911" i="2"/>
  <c r="I1911" i="2"/>
  <c r="G1911" i="2"/>
  <c r="C1911" i="2"/>
  <c r="F1913" i="2"/>
  <c r="D1913" i="2"/>
  <c r="B1913" i="2"/>
  <c r="J1913" i="2" s="1"/>
  <c r="K1913" i="2"/>
  <c r="I1913" i="2"/>
  <c r="G1913" i="2"/>
  <c r="C1913" i="2"/>
  <c r="F1915" i="2"/>
  <c r="D1915" i="2"/>
  <c r="B1915" i="2"/>
  <c r="J1915" i="2" s="1"/>
  <c r="K1915" i="2"/>
  <c r="I1915" i="2"/>
  <c r="G1915" i="2"/>
  <c r="C1915" i="2"/>
  <c r="F1917" i="2"/>
  <c r="D1917" i="2"/>
  <c r="B1917" i="2"/>
  <c r="J1917" i="2" s="1"/>
  <c r="K1917" i="2"/>
  <c r="I1917" i="2"/>
  <c r="G1917" i="2"/>
  <c r="C1917" i="2"/>
  <c r="F1919" i="2"/>
  <c r="D1919" i="2"/>
  <c r="B1919" i="2"/>
  <c r="J1919" i="2" s="1"/>
  <c r="K1919" i="2"/>
  <c r="I1919" i="2"/>
  <c r="G1919" i="2"/>
  <c r="C1919" i="2"/>
  <c r="F1921" i="2"/>
  <c r="D1921" i="2"/>
  <c r="B1921" i="2"/>
  <c r="J1921" i="2" s="1"/>
  <c r="K1921" i="2"/>
  <c r="I1921" i="2"/>
  <c r="G1921" i="2"/>
  <c r="C1921" i="2"/>
  <c r="F1923" i="2"/>
  <c r="D1923" i="2"/>
  <c r="B1923" i="2"/>
  <c r="J1923" i="2" s="1"/>
  <c r="K1923" i="2"/>
  <c r="I1923" i="2"/>
  <c r="G1923" i="2"/>
  <c r="C1923" i="2"/>
  <c r="F1925" i="2"/>
  <c r="D1925" i="2"/>
  <c r="B1925" i="2"/>
  <c r="J1925" i="2" s="1"/>
  <c r="K1925" i="2"/>
  <c r="I1925" i="2"/>
  <c r="G1925" i="2"/>
  <c r="C1925" i="2"/>
  <c r="F1927" i="2"/>
  <c r="D1927" i="2"/>
  <c r="B1927" i="2"/>
  <c r="J1927" i="2" s="1"/>
  <c r="K1927" i="2"/>
  <c r="I1927" i="2"/>
  <c r="G1927" i="2"/>
  <c r="C1927" i="2"/>
  <c r="F1929" i="2"/>
  <c r="D1929" i="2"/>
  <c r="B1929" i="2"/>
  <c r="J1929" i="2" s="1"/>
  <c r="K1929" i="2"/>
  <c r="I1929" i="2"/>
  <c r="G1929" i="2"/>
  <c r="C1929" i="2"/>
  <c r="F1931" i="2"/>
  <c r="D1931" i="2"/>
  <c r="B1931" i="2"/>
  <c r="J1931" i="2" s="1"/>
  <c r="K1931" i="2"/>
  <c r="I1931" i="2"/>
  <c r="G1931" i="2"/>
  <c r="C1931" i="2"/>
  <c r="F1933" i="2"/>
  <c r="D1933" i="2"/>
  <c r="B1933" i="2"/>
  <c r="J1933" i="2" s="1"/>
  <c r="K1933" i="2"/>
  <c r="I1933" i="2"/>
  <c r="G1933" i="2"/>
  <c r="C1933" i="2"/>
  <c r="F1935" i="2"/>
  <c r="D1935" i="2"/>
  <c r="B1935" i="2"/>
  <c r="J1935" i="2" s="1"/>
  <c r="K1935" i="2"/>
  <c r="I1935" i="2"/>
  <c r="G1935" i="2"/>
  <c r="C1935" i="2"/>
  <c r="F1937" i="2"/>
  <c r="D1937" i="2"/>
  <c r="B1937" i="2"/>
  <c r="J1937" i="2" s="1"/>
  <c r="K1937" i="2"/>
  <c r="I1937" i="2"/>
  <c r="G1937" i="2"/>
  <c r="C1937" i="2"/>
  <c r="F1939" i="2"/>
  <c r="D1939" i="2"/>
  <c r="B1939" i="2"/>
  <c r="J1939" i="2" s="1"/>
  <c r="K1939" i="2"/>
  <c r="I1939" i="2"/>
  <c r="G1939" i="2"/>
  <c r="C1939" i="2"/>
  <c r="F1941" i="2"/>
  <c r="D1941" i="2"/>
  <c r="B1941" i="2"/>
  <c r="J1941" i="2" s="1"/>
  <c r="K1941" i="2"/>
  <c r="I1941" i="2"/>
  <c r="G1941" i="2"/>
  <c r="C1941" i="2"/>
  <c r="F1943" i="2"/>
  <c r="D1943" i="2"/>
  <c r="B1943" i="2"/>
  <c r="J1943" i="2" s="1"/>
  <c r="K1943" i="2"/>
  <c r="I1943" i="2"/>
  <c r="G1943" i="2"/>
  <c r="C1943" i="2"/>
  <c r="F1945" i="2"/>
  <c r="D1945" i="2"/>
  <c r="B1945" i="2"/>
  <c r="J1945" i="2" s="1"/>
  <c r="K1945" i="2"/>
  <c r="I1945" i="2"/>
  <c r="G1945" i="2"/>
  <c r="C1945" i="2"/>
  <c r="F1947" i="2"/>
  <c r="D1947" i="2"/>
  <c r="B1947" i="2"/>
  <c r="J1947" i="2" s="1"/>
  <c r="K1947" i="2"/>
  <c r="I1947" i="2"/>
  <c r="G1947" i="2"/>
  <c r="C1947" i="2"/>
  <c r="F1949" i="2"/>
  <c r="D1949" i="2"/>
  <c r="B1949" i="2"/>
  <c r="J1949" i="2" s="1"/>
  <c r="K1949" i="2"/>
  <c r="I1949" i="2"/>
  <c r="G1949" i="2"/>
  <c r="C1949" i="2"/>
  <c r="F1951" i="2"/>
  <c r="D1951" i="2"/>
  <c r="B1951" i="2"/>
  <c r="J1951" i="2" s="1"/>
  <c r="K1951" i="2"/>
  <c r="I1951" i="2"/>
  <c r="G1951" i="2"/>
  <c r="C1951" i="2"/>
  <c r="F1953" i="2"/>
  <c r="D1953" i="2"/>
  <c r="B1953" i="2"/>
  <c r="J1953" i="2" s="1"/>
  <c r="K1953" i="2"/>
  <c r="I1953" i="2"/>
  <c r="G1953" i="2"/>
  <c r="C1953" i="2"/>
  <c r="F1955" i="2"/>
  <c r="D1955" i="2"/>
  <c r="B1955" i="2"/>
  <c r="J1955" i="2" s="1"/>
  <c r="K1955" i="2"/>
  <c r="I1955" i="2"/>
  <c r="G1955" i="2"/>
  <c r="C1955" i="2"/>
  <c r="F1957" i="2"/>
  <c r="D1957" i="2"/>
  <c r="B1957" i="2"/>
  <c r="J1957" i="2" s="1"/>
  <c r="K1957" i="2"/>
  <c r="I1957" i="2"/>
  <c r="G1957" i="2"/>
  <c r="C1957" i="2"/>
  <c r="F1959" i="2"/>
  <c r="D1959" i="2"/>
  <c r="B1959" i="2"/>
  <c r="J1959" i="2" s="1"/>
  <c r="K1959" i="2"/>
  <c r="I1959" i="2"/>
  <c r="G1959" i="2"/>
  <c r="C1959" i="2"/>
  <c r="F1961" i="2"/>
  <c r="D1961" i="2"/>
  <c r="B1961" i="2"/>
  <c r="J1961" i="2" s="1"/>
  <c r="K1961" i="2"/>
  <c r="I1961" i="2"/>
  <c r="G1961" i="2"/>
  <c r="C1961" i="2"/>
  <c r="F1963" i="2"/>
  <c r="D1963" i="2"/>
  <c r="B1963" i="2"/>
  <c r="J1963" i="2" s="1"/>
  <c r="K1963" i="2"/>
  <c r="I1963" i="2"/>
  <c r="G1963" i="2"/>
  <c r="C1963" i="2"/>
  <c r="F1965" i="2"/>
  <c r="D1965" i="2"/>
  <c r="B1965" i="2"/>
  <c r="J1965" i="2" s="1"/>
  <c r="K1965" i="2"/>
  <c r="I1965" i="2"/>
  <c r="G1965" i="2"/>
  <c r="C1965" i="2"/>
  <c r="F1967" i="2"/>
  <c r="D1967" i="2"/>
  <c r="B1967" i="2"/>
  <c r="J1967" i="2" s="1"/>
  <c r="K1967" i="2"/>
  <c r="I1967" i="2"/>
  <c r="G1967" i="2"/>
  <c r="C1967" i="2"/>
  <c r="F1969" i="2"/>
  <c r="D1969" i="2"/>
  <c r="B1969" i="2"/>
  <c r="J1969" i="2" s="1"/>
  <c r="K1969" i="2"/>
  <c r="I1969" i="2"/>
  <c r="G1969" i="2"/>
  <c r="C1969" i="2"/>
  <c r="F1971" i="2"/>
  <c r="D1971" i="2"/>
  <c r="B1971" i="2"/>
  <c r="J1971" i="2" s="1"/>
  <c r="K1971" i="2"/>
  <c r="I1971" i="2"/>
  <c r="G1971" i="2"/>
  <c r="C1971" i="2"/>
  <c r="F1973" i="2"/>
  <c r="D1973" i="2"/>
  <c r="B1973" i="2"/>
  <c r="J1973" i="2" s="1"/>
  <c r="K1973" i="2"/>
  <c r="I1973" i="2"/>
  <c r="G1973" i="2"/>
  <c r="C1973" i="2"/>
  <c r="F1975" i="2"/>
  <c r="D1975" i="2"/>
  <c r="B1975" i="2"/>
  <c r="J1975" i="2" s="1"/>
  <c r="K1975" i="2"/>
  <c r="I1975" i="2"/>
  <c r="G1975" i="2"/>
  <c r="C1975" i="2"/>
  <c r="F1977" i="2"/>
  <c r="D1977" i="2"/>
  <c r="B1977" i="2"/>
  <c r="J1977" i="2" s="1"/>
  <c r="K1977" i="2"/>
  <c r="I1977" i="2"/>
  <c r="G1977" i="2"/>
  <c r="C1977" i="2"/>
  <c r="F1979" i="2"/>
  <c r="D1979" i="2"/>
  <c r="B1979" i="2"/>
  <c r="J1979" i="2" s="1"/>
  <c r="K1979" i="2"/>
  <c r="I1979" i="2"/>
  <c r="G1979" i="2"/>
  <c r="C1979" i="2"/>
  <c r="F1981" i="2"/>
  <c r="D1981" i="2"/>
  <c r="B1981" i="2"/>
  <c r="J1981" i="2" s="1"/>
  <c r="K1981" i="2"/>
  <c r="I1981" i="2"/>
  <c r="G1981" i="2"/>
  <c r="C1981" i="2"/>
  <c r="F1983" i="2"/>
  <c r="D1983" i="2"/>
  <c r="B1983" i="2"/>
  <c r="J1983" i="2" s="1"/>
  <c r="K1983" i="2"/>
  <c r="I1983" i="2"/>
  <c r="G1983" i="2"/>
  <c r="C1983" i="2"/>
  <c r="F1985" i="2"/>
  <c r="D1985" i="2"/>
  <c r="B1985" i="2"/>
  <c r="J1985" i="2" s="1"/>
  <c r="K1985" i="2"/>
  <c r="I1985" i="2"/>
  <c r="G1985" i="2"/>
  <c r="C1985" i="2"/>
  <c r="F1987" i="2"/>
  <c r="D1987" i="2"/>
  <c r="B1987" i="2"/>
  <c r="J1987" i="2" s="1"/>
  <c r="K1987" i="2"/>
  <c r="I1987" i="2"/>
  <c r="G1987" i="2"/>
  <c r="C1987" i="2"/>
  <c r="F1989" i="2"/>
  <c r="D1989" i="2"/>
  <c r="B1989" i="2"/>
  <c r="J1989" i="2" s="1"/>
  <c r="K1989" i="2"/>
  <c r="I1989" i="2"/>
  <c r="G1989" i="2"/>
  <c r="C1989" i="2"/>
  <c r="F1991" i="2"/>
  <c r="D1991" i="2"/>
  <c r="B1991" i="2"/>
  <c r="J1991" i="2" s="1"/>
  <c r="K1991" i="2"/>
  <c r="I1991" i="2"/>
  <c r="G1991" i="2"/>
  <c r="C1991" i="2"/>
  <c r="F1993" i="2"/>
  <c r="D1993" i="2"/>
  <c r="B1993" i="2"/>
  <c r="J1993" i="2" s="1"/>
  <c r="K1993" i="2"/>
  <c r="I1993" i="2"/>
  <c r="G1993" i="2"/>
  <c r="C1993" i="2"/>
  <c r="F1995" i="2"/>
  <c r="D1995" i="2"/>
  <c r="B1995" i="2"/>
  <c r="J1995" i="2" s="1"/>
  <c r="K1995" i="2"/>
  <c r="I1995" i="2"/>
  <c r="G1995" i="2"/>
  <c r="C1995" i="2"/>
  <c r="F1997" i="2"/>
  <c r="D1997" i="2"/>
  <c r="B1997" i="2"/>
  <c r="J1997" i="2" s="1"/>
  <c r="K1997" i="2"/>
  <c r="I1997" i="2"/>
  <c r="G1997" i="2"/>
  <c r="C1997" i="2"/>
  <c r="F1999" i="2"/>
  <c r="D1999" i="2"/>
  <c r="B1999" i="2"/>
  <c r="J1999" i="2" s="1"/>
  <c r="K1999" i="2"/>
  <c r="I1999" i="2"/>
  <c r="G1999" i="2"/>
  <c r="C1999" i="2"/>
  <c r="F2001" i="2"/>
  <c r="D2001" i="2"/>
  <c r="B2001" i="2"/>
  <c r="J2001" i="2" s="1"/>
  <c r="K2001" i="2"/>
  <c r="I2001" i="2"/>
  <c r="G2001" i="2"/>
  <c r="C2001" i="2"/>
  <c r="F2003" i="2"/>
  <c r="D2003" i="2"/>
  <c r="B2003" i="2"/>
  <c r="J2003" i="2" s="1"/>
  <c r="K2003" i="2"/>
  <c r="I2003" i="2"/>
  <c r="G2003" i="2"/>
  <c r="C2003" i="2"/>
  <c r="F2005" i="2"/>
  <c r="D2005" i="2"/>
  <c r="B2005" i="2"/>
  <c r="J2005" i="2" s="1"/>
  <c r="K2005" i="2"/>
  <c r="I2005" i="2"/>
  <c r="G2005" i="2"/>
  <c r="C2005" i="2"/>
  <c r="F2007" i="2"/>
  <c r="D2007" i="2"/>
  <c r="B2007" i="2"/>
  <c r="J2007" i="2" s="1"/>
  <c r="K2007" i="2"/>
  <c r="I2007" i="2"/>
  <c r="G2007" i="2"/>
  <c r="C2007" i="2"/>
  <c r="F2009" i="2"/>
  <c r="D2009" i="2"/>
  <c r="B2009" i="2"/>
  <c r="J2009" i="2" s="1"/>
  <c r="K2009" i="2"/>
  <c r="I2009" i="2"/>
  <c r="G2009" i="2"/>
  <c r="C2009" i="2"/>
  <c r="F2011" i="2"/>
  <c r="D2011" i="2"/>
  <c r="B2011" i="2"/>
  <c r="J2011" i="2" s="1"/>
  <c r="K2011" i="2"/>
  <c r="I2011" i="2"/>
  <c r="G2011" i="2"/>
  <c r="C2011" i="2"/>
  <c r="F2013" i="2"/>
  <c r="D2013" i="2"/>
  <c r="B2013" i="2"/>
  <c r="J2013" i="2" s="1"/>
  <c r="K2013" i="2"/>
  <c r="I2013" i="2"/>
  <c r="G2013" i="2"/>
  <c r="C2013" i="2"/>
  <c r="F2015" i="2"/>
  <c r="D2015" i="2"/>
  <c r="B2015" i="2"/>
  <c r="J2015" i="2" s="1"/>
  <c r="K2015" i="2"/>
  <c r="I2015" i="2"/>
  <c r="G2015" i="2"/>
  <c r="C2015" i="2"/>
  <c r="E1045" i="3"/>
  <c r="E1043" i="3"/>
  <c r="E1041" i="3"/>
  <c r="E1039" i="3"/>
  <c r="E1037" i="3"/>
  <c r="E1035" i="3"/>
  <c r="E1033" i="3"/>
  <c r="E1031" i="3"/>
  <c r="E1029" i="3"/>
  <c r="E1027" i="3"/>
  <c r="E1025" i="3"/>
  <c r="E1023" i="3"/>
  <c r="E1021" i="3"/>
  <c r="E1019" i="3"/>
  <c r="E1017" i="3"/>
  <c r="E1015" i="3"/>
  <c r="E1044" i="3"/>
  <c r="E1042" i="3"/>
  <c r="E1040" i="3"/>
  <c r="E1038" i="3"/>
  <c r="E1036" i="3"/>
  <c r="E1034" i="3"/>
  <c r="E1032" i="3"/>
  <c r="E1030" i="3"/>
  <c r="E1028" i="3"/>
  <c r="E1026" i="3"/>
  <c r="E1024" i="3"/>
  <c r="E1022" i="3"/>
  <c r="E1020" i="3"/>
  <c r="E1018" i="3"/>
  <c r="E1016" i="3"/>
  <c r="H18" i="2"/>
  <c r="E18" i="2"/>
  <c r="H20" i="2"/>
  <c r="E20" i="2"/>
  <c r="H22" i="2"/>
  <c r="E22" i="2"/>
  <c r="H24" i="2"/>
  <c r="E24" i="2"/>
  <c r="H26" i="2"/>
  <c r="E26" i="2"/>
  <c r="H28" i="2"/>
  <c r="E28" i="2"/>
  <c r="H30" i="2"/>
  <c r="E30" i="2"/>
  <c r="H32" i="2"/>
  <c r="E32" i="2"/>
  <c r="H34" i="2"/>
  <c r="E34" i="2"/>
  <c r="H36" i="2"/>
  <c r="E36" i="2"/>
  <c r="H38" i="2"/>
  <c r="E38" i="2"/>
  <c r="E1854" i="2"/>
  <c r="H1854" i="2"/>
  <c r="H1856" i="2"/>
  <c r="E1856" i="2"/>
  <c r="H1858" i="2"/>
  <c r="E1858" i="2"/>
  <c r="H1860" i="2"/>
  <c r="E1860" i="2"/>
  <c r="H1862" i="2"/>
  <c r="E1862" i="2"/>
  <c r="H1864" i="2"/>
  <c r="E1864" i="2"/>
  <c r="E40" i="2"/>
  <c r="H40" i="2"/>
  <c r="E42" i="2"/>
  <c r="H42" i="2"/>
  <c r="E44" i="2"/>
  <c r="H44" i="2"/>
  <c r="E46" i="2"/>
  <c r="H46" i="2"/>
  <c r="E48" i="2"/>
  <c r="H48" i="2"/>
  <c r="E50" i="2"/>
  <c r="H50" i="2"/>
  <c r="E52" i="2"/>
  <c r="H52" i="2"/>
  <c r="E54" i="2"/>
  <c r="H54" i="2"/>
  <c r="E56" i="2"/>
  <c r="H56" i="2"/>
  <c r="E58" i="2"/>
  <c r="H58" i="2"/>
  <c r="E60" i="2"/>
  <c r="H60" i="2"/>
  <c r="E62" i="2"/>
  <c r="H62" i="2"/>
  <c r="E64" i="2"/>
  <c r="H64" i="2"/>
  <c r="E66" i="2"/>
  <c r="H66" i="2"/>
  <c r="E68" i="2"/>
  <c r="H68" i="2"/>
  <c r="E70" i="2"/>
  <c r="H70" i="2"/>
  <c r="E72" i="2"/>
  <c r="H72" i="2"/>
  <c r="E74" i="2"/>
  <c r="H74" i="2"/>
  <c r="E76" i="2"/>
  <c r="H76" i="2"/>
  <c r="E78" i="2"/>
  <c r="H78" i="2"/>
  <c r="E80" i="2"/>
  <c r="H80" i="2"/>
  <c r="E82" i="2"/>
  <c r="H82" i="2"/>
  <c r="E84" i="2"/>
  <c r="H84" i="2"/>
  <c r="E86" i="2"/>
  <c r="H86" i="2"/>
  <c r="E88" i="2"/>
  <c r="H88" i="2"/>
  <c r="E90" i="2"/>
  <c r="H90" i="2"/>
  <c r="E92" i="2"/>
  <c r="H92" i="2"/>
  <c r="E94" i="2"/>
  <c r="H94" i="2"/>
  <c r="E96" i="2"/>
  <c r="H96" i="2"/>
  <c r="E98" i="2"/>
  <c r="H98" i="2"/>
  <c r="E100" i="2"/>
  <c r="H100" i="2"/>
  <c r="E102" i="2"/>
  <c r="H102" i="2"/>
  <c r="E104" i="2"/>
  <c r="H104" i="2"/>
  <c r="E106" i="2"/>
  <c r="H106" i="2"/>
  <c r="E108" i="2"/>
  <c r="H108" i="2"/>
  <c r="E110" i="2"/>
  <c r="H110" i="2"/>
  <c r="E112" i="2"/>
  <c r="H112" i="2"/>
  <c r="E114" i="2"/>
  <c r="H114" i="2"/>
  <c r="E116" i="2"/>
  <c r="H116" i="2"/>
  <c r="E118" i="2"/>
  <c r="H118" i="2"/>
  <c r="E120" i="2"/>
  <c r="H120" i="2"/>
  <c r="E122" i="2"/>
  <c r="H122" i="2"/>
  <c r="E124" i="2"/>
  <c r="H124" i="2"/>
  <c r="E126" i="2"/>
  <c r="H126" i="2"/>
  <c r="E128" i="2"/>
  <c r="H128" i="2"/>
  <c r="E130" i="2"/>
  <c r="H130" i="2"/>
  <c r="E132" i="2"/>
  <c r="H132" i="2"/>
  <c r="E134" i="2"/>
  <c r="H134" i="2"/>
  <c r="E136" i="2"/>
  <c r="H136" i="2"/>
  <c r="E138" i="2"/>
  <c r="H138" i="2"/>
  <c r="E140" i="2"/>
  <c r="H140" i="2"/>
  <c r="E142" i="2"/>
  <c r="H142" i="2"/>
  <c r="E144" i="2"/>
  <c r="H144" i="2"/>
  <c r="E146" i="2"/>
  <c r="H146" i="2"/>
  <c r="E148" i="2"/>
  <c r="H148" i="2"/>
  <c r="E150" i="2"/>
  <c r="H150" i="2"/>
  <c r="E152" i="2"/>
  <c r="H152" i="2"/>
  <c r="E154" i="2"/>
  <c r="H154" i="2"/>
  <c r="E156" i="2"/>
  <c r="H156" i="2"/>
  <c r="E158" i="2"/>
  <c r="H158" i="2"/>
  <c r="E160" i="2"/>
  <c r="H160" i="2"/>
  <c r="E162" i="2"/>
  <c r="H162" i="2"/>
  <c r="E164" i="2"/>
  <c r="H164" i="2"/>
  <c r="E166" i="2"/>
  <c r="H166" i="2"/>
  <c r="E168" i="2"/>
  <c r="H168" i="2"/>
  <c r="E170" i="2"/>
  <c r="H170" i="2"/>
  <c r="E172" i="2"/>
  <c r="H172" i="2"/>
  <c r="E174" i="2"/>
  <c r="H174" i="2"/>
  <c r="E176" i="2"/>
  <c r="H176" i="2"/>
  <c r="E178" i="2"/>
  <c r="H178" i="2"/>
  <c r="E180" i="2"/>
  <c r="H180" i="2"/>
  <c r="E182" i="2"/>
  <c r="H182" i="2"/>
  <c r="E184" i="2"/>
  <c r="H184" i="2"/>
  <c r="E186" i="2"/>
  <c r="H186" i="2"/>
  <c r="E188" i="2"/>
  <c r="H188" i="2"/>
  <c r="E190" i="2"/>
  <c r="H190" i="2"/>
  <c r="E192" i="2"/>
  <c r="H192" i="2"/>
  <c r="E194" i="2"/>
  <c r="H194" i="2"/>
  <c r="E196" i="2"/>
  <c r="H196" i="2"/>
  <c r="E198" i="2"/>
  <c r="H198" i="2"/>
  <c r="E200" i="2"/>
  <c r="H200" i="2"/>
  <c r="E202" i="2"/>
  <c r="H202" i="2"/>
  <c r="E204" i="2"/>
  <c r="H204" i="2"/>
  <c r="E206" i="2"/>
  <c r="H206" i="2"/>
  <c r="E208" i="2"/>
  <c r="H208" i="2"/>
  <c r="E210" i="2"/>
  <c r="H210" i="2"/>
  <c r="E212" i="2"/>
  <c r="H212" i="2"/>
  <c r="E214" i="2"/>
  <c r="H214" i="2"/>
  <c r="E216" i="2"/>
  <c r="H216" i="2"/>
  <c r="E218" i="2"/>
  <c r="H218" i="2"/>
  <c r="E220" i="2"/>
  <c r="H220" i="2"/>
  <c r="E222" i="2"/>
  <c r="H222" i="2"/>
  <c r="E224" i="2"/>
  <c r="H224" i="2"/>
  <c r="E226" i="2"/>
  <c r="H226" i="2"/>
  <c r="E228" i="2"/>
  <c r="H228" i="2"/>
  <c r="E230" i="2"/>
  <c r="H230" i="2"/>
  <c r="E232" i="2"/>
  <c r="H232" i="2"/>
  <c r="E234" i="2"/>
  <c r="H234" i="2"/>
  <c r="E236" i="2"/>
  <c r="H236" i="2"/>
  <c r="E238" i="2"/>
  <c r="H238" i="2"/>
  <c r="E240" i="2"/>
  <c r="H240" i="2"/>
  <c r="E242" i="2"/>
  <c r="H242" i="2"/>
  <c r="E244" i="2"/>
  <c r="H244" i="2"/>
  <c r="E246" i="2"/>
  <c r="H246" i="2"/>
  <c r="E248" i="2"/>
  <c r="H248" i="2"/>
  <c r="E250" i="2"/>
  <c r="H250" i="2"/>
  <c r="E252" i="2"/>
  <c r="H252" i="2"/>
  <c r="E254" i="2"/>
  <c r="H254" i="2"/>
  <c r="E256" i="2"/>
  <c r="H256" i="2"/>
  <c r="E258" i="2"/>
  <c r="H258" i="2"/>
  <c r="E260" i="2"/>
  <c r="H260" i="2"/>
  <c r="E262" i="2"/>
  <c r="H262" i="2"/>
  <c r="E264" i="2"/>
  <c r="H264" i="2"/>
  <c r="E266" i="2"/>
  <c r="H266" i="2"/>
  <c r="E268" i="2"/>
  <c r="H268" i="2"/>
  <c r="E270" i="2"/>
  <c r="H270" i="2"/>
  <c r="E272" i="2"/>
  <c r="H272" i="2"/>
  <c r="E274" i="2"/>
  <c r="H274" i="2"/>
  <c r="E276" i="2"/>
  <c r="H276" i="2"/>
  <c r="E278" i="2"/>
  <c r="H278" i="2"/>
  <c r="E280" i="2"/>
  <c r="H280" i="2"/>
  <c r="E282" i="2"/>
  <c r="H282" i="2"/>
  <c r="E284" i="2"/>
  <c r="H284" i="2"/>
  <c r="E286" i="2"/>
  <c r="H286" i="2"/>
  <c r="E288" i="2"/>
  <c r="H288" i="2"/>
  <c r="E290" i="2"/>
  <c r="H290" i="2"/>
  <c r="E292" i="2"/>
  <c r="H292" i="2"/>
  <c r="E294" i="2"/>
  <c r="H294" i="2"/>
  <c r="E296" i="2"/>
  <c r="H296" i="2"/>
  <c r="E298" i="2"/>
  <c r="H298" i="2"/>
  <c r="E300" i="2"/>
  <c r="H300" i="2"/>
  <c r="E302" i="2"/>
  <c r="H302" i="2"/>
  <c r="E304" i="2"/>
  <c r="H304" i="2"/>
  <c r="E306" i="2"/>
  <c r="H306" i="2"/>
  <c r="E308" i="2"/>
  <c r="H308" i="2"/>
  <c r="E310" i="2"/>
  <c r="H310" i="2"/>
  <c r="E312" i="2"/>
  <c r="H312" i="2"/>
  <c r="E314" i="2"/>
  <c r="H314" i="2"/>
  <c r="E316" i="2"/>
  <c r="H316" i="2"/>
  <c r="E318" i="2"/>
  <c r="H318" i="2"/>
  <c r="E320" i="2"/>
  <c r="H320" i="2"/>
  <c r="E322" i="2"/>
  <c r="H322" i="2"/>
  <c r="E324" i="2"/>
  <c r="H324" i="2"/>
  <c r="E326" i="2"/>
  <c r="H326" i="2"/>
  <c r="E328" i="2"/>
  <c r="H328" i="2"/>
  <c r="E330" i="2"/>
  <c r="H330" i="2"/>
  <c r="E332" i="2"/>
  <c r="H332" i="2"/>
  <c r="E334" i="2"/>
  <c r="H334" i="2"/>
  <c r="E336" i="2"/>
  <c r="H336" i="2"/>
  <c r="E338" i="2"/>
  <c r="H338" i="2"/>
  <c r="E340" i="2"/>
  <c r="H340" i="2"/>
  <c r="E342" i="2"/>
  <c r="H342" i="2"/>
  <c r="E344" i="2"/>
  <c r="H344" i="2"/>
  <c r="E346" i="2"/>
  <c r="H346" i="2"/>
  <c r="E348" i="2"/>
  <c r="H348" i="2"/>
  <c r="E350" i="2"/>
  <c r="H350" i="2"/>
  <c r="E352" i="2"/>
  <c r="H352" i="2"/>
  <c r="E354" i="2"/>
  <c r="H354" i="2"/>
  <c r="E356" i="2"/>
  <c r="H356" i="2"/>
  <c r="E358" i="2"/>
  <c r="H358" i="2"/>
  <c r="E360" i="2"/>
  <c r="H360" i="2"/>
  <c r="E362" i="2"/>
  <c r="H362" i="2"/>
  <c r="E364" i="2"/>
  <c r="H364" i="2"/>
  <c r="E366" i="2"/>
  <c r="H366" i="2"/>
  <c r="E368" i="2"/>
  <c r="H368" i="2"/>
  <c r="E370" i="2"/>
  <c r="H370" i="2"/>
  <c r="E372" i="2"/>
  <c r="H372" i="2"/>
  <c r="E374" i="2"/>
  <c r="H374" i="2"/>
  <c r="E376" i="2"/>
  <c r="H376" i="2"/>
  <c r="E378" i="2"/>
  <c r="H378" i="2"/>
  <c r="E380" i="2"/>
  <c r="H380" i="2"/>
  <c r="E382" i="2"/>
  <c r="H382" i="2"/>
  <c r="E384" i="2"/>
  <c r="H384" i="2"/>
  <c r="E386" i="2"/>
  <c r="H386" i="2"/>
  <c r="E388" i="2"/>
  <c r="H388" i="2"/>
  <c r="E390" i="2"/>
  <c r="H390" i="2"/>
  <c r="E392" i="2"/>
  <c r="H392" i="2"/>
  <c r="E394" i="2"/>
  <c r="H394" i="2"/>
  <c r="E396" i="2"/>
  <c r="H396" i="2"/>
  <c r="E398" i="2"/>
  <c r="H398" i="2"/>
  <c r="E400" i="2"/>
  <c r="H400" i="2"/>
  <c r="E402" i="2"/>
  <c r="H402" i="2"/>
  <c r="E404" i="2"/>
  <c r="H404" i="2"/>
  <c r="E406" i="2"/>
  <c r="H406" i="2"/>
  <c r="E408" i="2"/>
  <c r="H408" i="2"/>
  <c r="E410" i="2"/>
  <c r="H410" i="2"/>
  <c r="E412" i="2"/>
  <c r="H412" i="2"/>
  <c r="E414" i="2"/>
  <c r="H414" i="2"/>
  <c r="E416" i="2"/>
  <c r="H416" i="2"/>
  <c r="E418" i="2"/>
  <c r="H418" i="2"/>
  <c r="E420" i="2"/>
  <c r="H420" i="2"/>
  <c r="E422" i="2"/>
  <c r="H422" i="2"/>
  <c r="E424" i="2"/>
  <c r="H424" i="2"/>
  <c r="E426" i="2"/>
  <c r="H426" i="2"/>
  <c r="E428" i="2"/>
  <c r="H428" i="2"/>
  <c r="E430" i="2"/>
  <c r="H430" i="2"/>
  <c r="E432" i="2"/>
  <c r="H432" i="2"/>
  <c r="E434" i="2"/>
  <c r="H434" i="2"/>
  <c r="E436" i="2"/>
  <c r="H436" i="2"/>
  <c r="E438" i="2"/>
  <c r="H438" i="2"/>
  <c r="E440" i="2"/>
  <c r="H440" i="2"/>
  <c r="E442" i="2"/>
  <c r="H442" i="2"/>
  <c r="E444" i="2"/>
  <c r="H444" i="2"/>
  <c r="E446" i="2"/>
  <c r="H446" i="2"/>
  <c r="E448" i="2"/>
  <c r="H448" i="2"/>
  <c r="E450" i="2"/>
  <c r="H450" i="2"/>
  <c r="E452" i="2"/>
  <c r="H452" i="2"/>
  <c r="E454" i="2"/>
  <c r="H454" i="2"/>
  <c r="E456" i="2"/>
  <c r="H456" i="2"/>
  <c r="E458" i="2"/>
  <c r="H458" i="2"/>
  <c r="E460" i="2"/>
  <c r="H460" i="2"/>
  <c r="E462" i="2"/>
  <c r="H462" i="2"/>
  <c r="E464" i="2"/>
  <c r="H464" i="2"/>
  <c r="E466" i="2"/>
  <c r="H466" i="2"/>
  <c r="E468" i="2"/>
  <c r="H468" i="2"/>
  <c r="E470" i="2"/>
  <c r="H470" i="2"/>
  <c r="E472" i="2"/>
  <c r="H472" i="2"/>
  <c r="E474" i="2"/>
  <c r="H474" i="2"/>
  <c r="E476" i="2"/>
  <c r="H476" i="2"/>
  <c r="E478" i="2"/>
  <c r="H478" i="2"/>
  <c r="E480" i="2"/>
  <c r="H480" i="2"/>
  <c r="E482" i="2"/>
  <c r="H482" i="2"/>
  <c r="E484" i="2"/>
  <c r="H484" i="2"/>
  <c r="E486" i="2"/>
  <c r="H486" i="2"/>
  <c r="E488" i="2"/>
  <c r="H488" i="2"/>
  <c r="E490" i="2"/>
  <c r="H490" i="2"/>
  <c r="E492" i="2"/>
  <c r="H492" i="2"/>
  <c r="E494" i="2"/>
  <c r="H494" i="2"/>
  <c r="E496" i="2"/>
  <c r="H496" i="2"/>
  <c r="E498" i="2"/>
  <c r="H498" i="2"/>
  <c r="E500" i="2"/>
  <c r="H500" i="2"/>
  <c r="E502" i="2"/>
  <c r="H502" i="2"/>
  <c r="E504" i="2"/>
  <c r="H504" i="2"/>
  <c r="E506" i="2"/>
  <c r="H506" i="2"/>
  <c r="E508" i="2"/>
  <c r="H508" i="2"/>
  <c r="E510" i="2"/>
  <c r="H510" i="2"/>
  <c r="E512" i="2"/>
  <c r="H512" i="2"/>
  <c r="E514" i="2"/>
  <c r="H514" i="2"/>
  <c r="E516" i="2"/>
  <c r="H516" i="2"/>
  <c r="E518" i="2"/>
  <c r="H518" i="2"/>
  <c r="E520" i="2"/>
  <c r="H520" i="2"/>
  <c r="E522" i="2"/>
  <c r="H522" i="2"/>
  <c r="E524" i="2"/>
  <c r="H524" i="2"/>
  <c r="E526" i="2"/>
  <c r="H526" i="2"/>
  <c r="E528" i="2"/>
  <c r="H528" i="2"/>
  <c r="E530" i="2"/>
  <c r="H530" i="2"/>
  <c r="E532" i="2"/>
  <c r="H532" i="2"/>
  <c r="E534" i="2"/>
  <c r="H534" i="2"/>
  <c r="E536" i="2"/>
  <c r="H536" i="2"/>
  <c r="E538" i="2"/>
  <c r="H538" i="2"/>
  <c r="E540" i="2"/>
  <c r="H540" i="2"/>
  <c r="E542" i="2"/>
  <c r="H542" i="2"/>
  <c r="E544" i="2"/>
  <c r="H544" i="2"/>
  <c r="E546" i="2"/>
  <c r="H546" i="2"/>
  <c r="E548" i="2"/>
  <c r="H548" i="2"/>
  <c r="E550" i="2"/>
  <c r="H550" i="2"/>
  <c r="E552" i="2"/>
  <c r="H552" i="2"/>
  <c r="E554" i="2"/>
  <c r="H554" i="2"/>
  <c r="E556" i="2"/>
  <c r="H556" i="2"/>
  <c r="E558" i="2"/>
  <c r="H558" i="2"/>
  <c r="E560" i="2"/>
  <c r="H560" i="2"/>
  <c r="E562" i="2"/>
  <c r="H562" i="2"/>
  <c r="E564" i="2"/>
  <c r="H564" i="2"/>
  <c r="E566" i="2"/>
  <c r="H566" i="2"/>
  <c r="E568" i="2"/>
  <c r="H568" i="2"/>
  <c r="E570" i="2"/>
  <c r="H570" i="2"/>
  <c r="E572" i="2"/>
  <c r="H572" i="2"/>
  <c r="E574" i="2"/>
  <c r="H574" i="2"/>
  <c r="E576" i="2"/>
  <c r="H576" i="2"/>
  <c r="E578" i="2"/>
  <c r="H578" i="2"/>
  <c r="E580" i="2"/>
  <c r="H580" i="2"/>
  <c r="E582" i="2"/>
  <c r="H582" i="2"/>
  <c r="E584" i="2"/>
  <c r="H584" i="2"/>
  <c r="E586" i="2"/>
  <c r="H586" i="2"/>
  <c r="E588" i="2"/>
  <c r="H588" i="2"/>
  <c r="E590" i="2"/>
  <c r="H590" i="2"/>
  <c r="E592" i="2"/>
  <c r="H592" i="2"/>
  <c r="E594" i="2"/>
  <c r="H594" i="2"/>
  <c r="E596" i="2"/>
  <c r="H596" i="2"/>
  <c r="E598" i="2"/>
  <c r="H598" i="2"/>
  <c r="E600" i="2"/>
  <c r="H600" i="2"/>
  <c r="E602" i="2"/>
  <c r="H602" i="2"/>
  <c r="E604" i="2"/>
  <c r="H604" i="2"/>
  <c r="E606" i="2"/>
  <c r="H606" i="2"/>
  <c r="E608" i="2"/>
  <c r="H608" i="2"/>
  <c r="E610" i="2"/>
  <c r="H610" i="2"/>
  <c r="E612" i="2"/>
  <c r="H612" i="2"/>
  <c r="E614" i="2"/>
  <c r="H614" i="2"/>
  <c r="E616" i="2"/>
  <c r="H616" i="2"/>
  <c r="E618" i="2"/>
  <c r="H618" i="2"/>
  <c r="E620" i="2"/>
  <c r="H620" i="2"/>
  <c r="E622" i="2"/>
  <c r="H622" i="2"/>
  <c r="E624" i="2"/>
  <c r="H624" i="2"/>
  <c r="E626" i="2"/>
  <c r="H626" i="2"/>
  <c r="E628" i="2"/>
  <c r="H628" i="2"/>
  <c r="E630" i="2"/>
  <c r="H630" i="2"/>
  <c r="E632" i="2"/>
  <c r="H632" i="2"/>
  <c r="E634" i="2"/>
  <c r="H634" i="2"/>
  <c r="E636" i="2"/>
  <c r="H636" i="2"/>
  <c r="E638" i="2"/>
  <c r="H638" i="2"/>
  <c r="E640" i="2"/>
  <c r="H640" i="2"/>
  <c r="E642" i="2"/>
  <c r="H642" i="2"/>
  <c r="E644" i="2"/>
  <c r="H644" i="2"/>
  <c r="E646" i="2"/>
  <c r="H646" i="2"/>
  <c r="E648" i="2"/>
  <c r="H648" i="2"/>
  <c r="E650" i="2"/>
  <c r="H650" i="2"/>
  <c r="E652" i="2"/>
  <c r="H652" i="2"/>
  <c r="E654" i="2"/>
  <c r="H654" i="2"/>
  <c r="E656" i="2"/>
  <c r="H656" i="2"/>
  <c r="E658" i="2"/>
  <c r="H658" i="2"/>
  <c r="E660" i="2"/>
  <c r="H660" i="2"/>
  <c r="E662" i="2"/>
  <c r="H662" i="2"/>
  <c r="E664" i="2"/>
  <c r="H664" i="2"/>
  <c r="E666" i="2"/>
  <c r="H666" i="2"/>
  <c r="E668" i="2"/>
  <c r="H668" i="2"/>
  <c r="E670" i="2"/>
  <c r="H670" i="2"/>
  <c r="E672" i="2"/>
  <c r="H672" i="2"/>
  <c r="E674" i="2"/>
  <c r="H674" i="2"/>
  <c r="E676" i="2"/>
  <c r="H676" i="2"/>
  <c r="E678" i="2"/>
  <c r="H678" i="2"/>
  <c r="E680" i="2"/>
  <c r="H680" i="2"/>
  <c r="E682" i="2"/>
  <c r="H682" i="2"/>
  <c r="E684" i="2"/>
  <c r="H684" i="2"/>
  <c r="E686" i="2"/>
  <c r="H686" i="2"/>
  <c r="E688" i="2"/>
  <c r="H688" i="2"/>
  <c r="E690" i="2"/>
  <c r="H690" i="2"/>
  <c r="E692" i="2"/>
  <c r="H692" i="2"/>
  <c r="E694" i="2"/>
  <c r="H694" i="2"/>
  <c r="E696" i="2"/>
  <c r="H696" i="2"/>
  <c r="E698" i="2"/>
  <c r="H698" i="2"/>
  <c r="E700" i="2"/>
  <c r="H700" i="2"/>
  <c r="E702" i="2"/>
  <c r="H702" i="2"/>
  <c r="E704" i="2"/>
  <c r="H704" i="2"/>
  <c r="E706" i="2"/>
  <c r="H706" i="2"/>
  <c r="E708" i="2"/>
  <c r="H708" i="2"/>
  <c r="E710" i="2"/>
  <c r="H710" i="2"/>
  <c r="E712" i="2"/>
  <c r="H712" i="2"/>
  <c r="E714" i="2"/>
  <c r="H714" i="2"/>
  <c r="E716" i="2"/>
  <c r="H716" i="2"/>
  <c r="E718" i="2"/>
  <c r="H718" i="2"/>
  <c r="E720" i="2"/>
  <c r="H720" i="2"/>
  <c r="E722" i="2"/>
  <c r="H722" i="2"/>
  <c r="E724" i="2"/>
  <c r="H724" i="2"/>
  <c r="E726" i="2"/>
  <c r="H726" i="2"/>
  <c r="E728" i="2"/>
  <c r="H728" i="2"/>
  <c r="E730" i="2"/>
  <c r="H730" i="2"/>
  <c r="E732" i="2"/>
  <c r="H732" i="2"/>
  <c r="E734" i="2"/>
  <c r="H734" i="2"/>
  <c r="E736" i="2"/>
  <c r="H736" i="2"/>
  <c r="E738" i="2"/>
  <c r="H738" i="2"/>
  <c r="E740" i="2"/>
  <c r="H740" i="2"/>
  <c r="E742" i="2"/>
  <c r="H742" i="2"/>
  <c r="E744" i="2"/>
  <c r="H744" i="2"/>
  <c r="E746" i="2"/>
  <c r="H746" i="2"/>
  <c r="E748" i="2"/>
  <c r="H748" i="2"/>
  <c r="E750" i="2"/>
  <c r="H750" i="2"/>
  <c r="E752" i="2"/>
  <c r="H752" i="2"/>
  <c r="E754" i="2"/>
  <c r="H754" i="2"/>
  <c r="E756" i="2"/>
  <c r="H756" i="2"/>
  <c r="E758" i="2"/>
  <c r="H758" i="2"/>
  <c r="E760" i="2"/>
  <c r="H760" i="2"/>
  <c r="E762" i="2"/>
  <c r="H762" i="2"/>
  <c r="E764" i="2"/>
  <c r="H764" i="2"/>
  <c r="E766" i="2"/>
  <c r="H766" i="2"/>
  <c r="E768" i="2"/>
  <c r="H768" i="2"/>
  <c r="E770" i="2"/>
  <c r="H770" i="2"/>
  <c r="E772" i="2"/>
  <c r="H772" i="2"/>
  <c r="E774" i="2"/>
  <c r="H774" i="2"/>
  <c r="E776" i="2"/>
  <c r="H776" i="2"/>
  <c r="E778" i="2"/>
  <c r="H778" i="2"/>
  <c r="E780" i="2"/>
  <c r="H780" i="2"/>
  <c r="E782" i="2"/>
  <c r="H782" i="2"/>
  <c r="E784" i="2"/>
  <c r="H784" i="2"/>
  <c r="E786" i="2"/>
  <c r="H786" i="2"/>
  <c r="E788" i="2"/>
  <c r="H788" i="2"/>
  <c r="E790" i="2"/>
  <c r="H790" i="2"/>
  <c r="E792" i="2"/>
  <c r="H792" i="2"/>
  <c r="E794" i="2"/>
  <c r="H794" i="2"/>
  <c r="E796" i="2"/>
  <c r="H796" i="2"/>
  <c r="E798" i="2"/>
  <c r="H798" i="2"/>
  <c r="E800" i="2"/>
  <c r="H800" i="2"/>
  <c r="E802" i="2"/>
  <c r="H802" i="2"/>
  <c r="E804" i="2"/>
  <c r="H804" i="2"/>
  <c r="E806" i="2"/>
  <c r="H806" i="2"/>
  <c r="E808" i="2"/>
  <c r="H808" i="2"/>
  <c r="E810" i="2"/>
  <c r="H810" i="2"/>
  <c r="E812" i="2"/>
  <c r="H812" i="2"/>
  <c r="E814" i="2"/>
  <c r="H814" i="2"/>
  <c r="E816" i="2"/>
  <c r="H816" i="2"/>
  <c r="E818" i="2"/>
  <c r="H818" i="2"/>
  <c r="E820" i="2"/>
  <c r="H820" i="2"/>
  <c r="E822" i="2"/>
  <c r="H822" i="2"/>
  <c r="E824" i="2"/>
  <c r="H824" i="2"/>
  <c r="E826" i="2"/>
  <c r="H826" i="2"/>
  <c r="E828" i="2"/>
  <c r="H828" i="2"/>
  <c r="E830" i="2"/>
  <c r="H830" i="2"/>
  <c r="E832" i="2"/>
  <c r="H832" i="2"/>
  <c r="E834" i="2"/>
  <c r="H834" i="2"/>
  <c r="E836" i="2"/>
  <c r="H836" i="2"/>
  <c r="E838" i="2"/>
  <c r="H838" i="2"/>
  <c r="E840" i="2"/>
  <c r="H840" i="2"/>
  <c r="E842" i="2"/>
  <c r="H842" i="2"/>
  <c r="E844" i="2"/>
  <c r="H844" i="2"/>
  <c r="E846" i="2"/>
  <c r="H846" i="2"/>
  <c r="E848" i="2"/>
  <c r="H848" i="2"/>
  <c r="E850" i="2"/>
  <c r="H850" i="2"/>
  <c r="E852" i="2"/>
  <c r="H852" i="2"/>
  <c r="E854" i="2"/>
  <c r="H854" i="2"/>
  <c r="E856" i="2"/>
  <c r="H856" i="2"/>
  <c r="E858" i="2"/>
  <c r="H858" i="2"/>
  <c r="E860" i="2"/>
  <c r="H860" i="2"/>
  <c r="E862" i="2"/>
  <c r="H862" i="2"/>
  <c r="E864" i="2"/>
  <c r="H864" i="2"/>
  <c r="E866" i="2"/>
  <c r="H866" i="2"/>
  <c r="E868" i="2"/>
  <c r="H868" i="2"/>
  <c r="E870" i="2"/>
  <c r="H870" i="2"/>
  <c r="E872" i="2"/>
  <c r="H872" i="2"/>
  <c r="E874" i="2"/>
  <c r="H874" i="2"/>
  <c r="E876" i="2"/>
  <c r="H876" i="2"/>
  <c r="E878" i="2"/>
  <c r="H878" i="2"/>
  <c r="E880" i="2"/>
  <c r="H880" i="2"/>
  <c r="E882" i="2"/>
  <c r="H882" i="2"/>
  <c r="E884" i="2"/>
  <c r="H884" i="2"/>
  <c r="E886" i="2"/>
  <c r="H886" i="2"/>
  <c r="E888" i="2"/>
  <c r="H888" i="2"/>
  <c r="E890" i="2"/>
  <c r="H890" i="2"/>
  <c r="E892" i="2"/>
  <c r="H892" i="2"/>
  <c r="E894" i="2"/>
  <c r="H894" i="2"/>
  <c r="E896" i="2"/>
  <c r="H896" i="2"/>
  <c r="E898" i="2"/>
  <c r="H898" i="2"/>
  <c r="E900" i="2"/>
  <c r="H900" i="2"/>
  <c r="E902" i="2"/>
  <c r="H902" i="2"/>
  <c r="E904" i="2"/>
  <c r="H904" i="2"/>
  <c r="E906" i="2"/>
  <c r="H906" i="2"/>
  <c r="E908" i="2"/>
  <c r="H908" i="2"/>
  <c r="E910" i="2"/>
  <c r="H910" i="2"/>
  <c r="E912" i="2"/>
  <c r="H912" i="2"/>
  <c r="E914" i="2"/>
  <c r="H914" i="2"/>
  <c r="E916" i="2"/>
  <c r="H916" i="2"/>
  <c r="E918" i="2"/>
  <c r="H918" i="2"/>
  <c r="E920" i="2"/>
  <c r="H920" i="2"/>
  <c r="E922" i="2"/>
  <c r="H922" i="2"/>
  <c r="E924" i="2"/>
  <c r="H924" i="2"/>
  <c r="E926" i="2"/>
  <c r="H926" i="2"/>
  <c r="E928" i="2"/>
  <c r="H928" i="2"/>
  <c r="E930" i="2"/>
  <c r="H930" i="2"/>
  <c r="E932" i="2"/>
  <c r="H932" i="2"/>
  <c r="E934" i="2"/>
  <c r="H934" i="2"/>
  <c r="E936" i="2"/>
  <c r="H936" i="2"/>
  <c r="E938" i="2"/>
  <c r="H938" i="2"/>
  <c r="E940" i="2"/>
  <c r="H940" i="2"/>
  <c r="E942" i="2"/>
  <c r="H942" i="2"/>
  <c r="E944" i="2"/>
  <c r="H944" i="2"/>
  <c r="E946" i="2"/>
  <c r="H946" i="2"/>
  <c r="E948" i="2"/>
  <c r="H948" i="2"/>
  <c r="E950" i="2"/>
  <c r="H950" i="2"/>
  <c r="E952" i="2"/>
  <c r="H952" i="2"/>
  <c r="E954" i="2"/>
  <c r="H954" i="2"/>
  <c r="E956" i="2"/>
  <c r="H956" i="2"/>
  <c r="E958" i="2"/>
  <c r="H958" i="2"/>
  <c r="E960" i="2"/>
  <c r="H960" i="2"/>
  <c r="E962" i="2"/>
  <c r="H962" i="2"/>
  <c r="E964" i="2"/>
  <c r="H964" i="2"/>
  <c r="E966" i="2"/>
  <c r="H966" i="2"/>
  <c r="E968" i="2"/>
  <c r="H968" i="2"/>
  <c r="E970" i="2"/>
  <c r="H970" i="2"/>
  <c r="E972" i="2"/>
  <c r="H972" i="2"/>
  <c r="E974" i="2"/>
  <c r="H974" i="2"/>
  <c r="E976" i="2"/>
  <c r="H976" i="2"/>
  <c r="E978" i="2"/>
  <c r="H978" i="2"/>
  <c r="E980" i="2"/>
  <c r="H980" i="2"/>
  <c r="E982" i="2"/>
  <c r="H982" i="2"/>
  <c r="E984" i="2"/>
  <c r="H984" i="2"/>
  <c r="E986" i="2"/>
  <c r="H986" i="2"/>
  <c r="E988" i="2"/>
  <c r="H988" i="2"/>
  <c r="E990" i="2"/>
  <c r="H990" i="2"/>
  <c r="E992" i="2"/>
  <c r="H992" i="2"/>
  <c r="E994" i="2"/>
  <c r="H994" i="2"/>
  <c r="E996" i="2"/>
  <c r="H996" i="2"/>
  <c r="E998" i="2"/>
  <c r="H998" i="2"/>
  <c r="E1000" i="2"/>
  <c r="H1000" i="2"/>
  <c r="E1002" i="2"/>
  <c r="H1002" i="2"/>
  <c r="E1004" i="2"/>
  <c r="H1004" i="2"/>
  <c r="E1006" i="2"/>
  <c r="H1006" i="2"/>
  <c r="E1008" i="2"/>
  <c r="H1008" i="2"/>
  <c r="E1010" i="2"/>
  <c r="H1010" i="2"/>
  <c r="E1012" i="2"/>
  <c r="H1012" i="2"/>
  <c r="E1014" i="2"/>
  <c r="H1014" i="2"/>
  <c r="E1016" i="2"/>
  <c r="H1016" i="2"/>
  <c r="E1018" i="2"/>
  <c r="H1018" i="2"/>
  <c r="E1020" i="2"/>
  <c r="H1020" i="2"/>
  <c r="E1022" i="2"/>
  <c r="H1022" i="2"/>
  <c r="E1024" i="2"/>
  <c r="H1024" i="2"/>
  <c r="E1026" i="2"/>
  <c r="H1026" i="2"/>
  <c r="E1028" i="2"/>
  <c r="H1028" i="2"/>
  <c r="E1030" i="2"/>
  <c r="H1030" i="2"/>
  <c r="E1032" i="2"/>
  <c r="H1032" i="2"/>
  <c r="E1034" i="2"/>
  <c r="H1034" i="2"/>
  <c r="E1036" i="2"/>
  <c r="H1036" i="2"/>
  <c r="E1038" i="2"/>
  <c r="H1038" i="2"/>
  <c r="E1040" i="2"/>
  <c r="H1040" i="2"/>
  <c r="E1042" i="2"/>
  <c r="H1042" i="2"/>
  <c r="E1044" i="2"/>
  <c r="H1044" i="2"/>
  <c r="E1046" i="2"/>
  <c r="H1046" i="2"/>
  <c r="E1048" i="2"/>
  <c r="H1048" i="2"/>
  <c r="E1050" i="2"/>
  <c r="H1050" i="2"/>
  <c r="E1052" i="2"/>
  <c r="H1052" i="2"/>
  <c r="E1054" i="2"/>
  <c r="H1054" i="2"/>
  <c r="E1056" i="2"/>
  <c r="H1056" i="2"/>
  <c r="E1058" i="2"/>
  <c r="H1058" i="2"/>
  <c r="E1060" i="2"/>
  <c r="H1060" i="2"/>
  <c r="E1062" i="2"/>
  <c r="H1062" i="2"/>
  <c r="E1064" i="2"/>
  <c r="H1064" i="2"/>
  <c r="E1066" i="2"/>
  <c r="H1066" i="2"/>
  <c r="E1068" i="2"/>
  <c r="H1068" i="2"/>
  <c r="E1070" i="2"/>
  <c r="H1070" i="2"/>
  <c r="E1072" i="2"/>
  <c r="H1072" i="2"/>
  <c r="E1074" i="2"/>
  <c r="H1074" i="2"/>
  <c r="E1076" i="2"/>
  <c r="H1076" i="2"/>
  <c r="E1078" i="2"/>
  <c r="H1078" i="2"/>
  <c r="E1080" i="2"/>
  <c r="H1080" i="2"/>
  <c r="E1082" i="2"/>
  <c r="H1082" i="2"/>
  <c r="E1084" i="2"/>
  <c r="H1084" i="2"/>
  <c r="E1086" i="2"/>
  <c r="H1086" i="2"/>
  <c r="E1088" i="2"/>
  <c r="H1088" i="2"/>
  <c r="E1090" i="2"/>
  <c r="H1090" i="2"/>
  <c r="E1092" i="2"/>
  <c r="H1092" i="2"/>
  <c r="E1094" i="2"/>
  <c r="H1094" i="2"/>
  <c r="E1096" i="2"/>
  <c r="H1096" i="2"/>
  <c r="E1098" i="2"/>
  <c r="H1098" i="2"/>
  <c r="E1100" i="2"/>
  <c r="H1100" i="2"/>
  <c r="E1102" i="2"/>
  <c r="H1102" i="2"/>
  <c r="E1104" i="2"/>
  <c r="H1104" i="2"/>
  <c r="E1106" i="2"/>
  <c r="H1106" i="2"/>
  <c r="E1108" i="2"/>
  <c r="H1108" i="2"/>
  <c r="E1110" i="2"/>
  <c r="H1110" i="2"/>
  <c r="E1112" i="2"/>
  <c r="H1112" i="2"/>
  <c r="E1114" i="2"/>
  <c r="H1114" i="2"/>
  <c r="E1116" i="2"/>
  <c r="H1116" i="2"/>
  <c r="E1118" i="2"/>
  <c r="H1118" i="2"/>
  <c r="E1120" i="2"/>
  <c r="H1120" i="2"/>
  <c r="E1122" i="2"/>
  <c r="H1122" i="2"/>
  <c r="E1124" i="2"/>
  <c r="H1124" i="2"/>
  <c r="E1126" i="2"/>
  <c r="H1126" i="2"/>
  <c r="E1128" i="2"/>
  <c r="H1128" i="2"/>
  <c r="E1130" i="2"/>
  <c r="H1130" i="2"/>
  <c r="E1132" i="2"/>
  <c r="H1132" i="2"/>
  <c r="E1134" i="2"/>
  <c r="H1134" i="2"/>
  <c r="E1136" i="2"/>
  <c r="H1136" i="2"/>
  <c r="E1138" i="2"/>
  <c r="H1138" i="2"/>
  <c r="E1140" i="2"/>
  <c r="H1140" i="2"/>
  <c r="E1142" i="2"/>
  <c r="H1142" i="2"/>
  <c r="E1144" i="2"/>
  <c r="H1144" i="2"/>
  <c r="E1146" i="2"/>
  <c r="H1146" i="2"/>
  <c r="E1148" i="2"/>
  <c r="H1148" i="2"/>
  <c r="E1150" i="2"/>
  <c r="H1150" i="2"/>
  <c r="E1152" i="2"/>
  <c r="H1152" i="2"/>
  <c r="E1154" i="2"/>
  <c r="H1154" i="2"/>
  <c r="E1156" i="2"/>
  <c r="H1156" i="2"/>
  <c r="E1158" i="2"/>
  <c r="H1158" i="2"/>
  <c r="E1160" i="2"/>
  <c r="H1160" i="2"/>
  <c r="E1162" i="2"/>
  <c r="H1162" i="2"/>
  <c r="E1164" i="2"/>
  <c r="H1164" i="2"/>
  <c r="E1166" i="2"/>
  <c r="H1166" i="2"/>
  <c r="E1168" i="2"/>
  <c r="H1168" i="2"/>
  <c r="E1170" i="2"/>
  <c r="H1170" i="2"/>
  <c r="E1172" i="2"/>
  <c r="H1172" i="2"/>
  <c r="E1174" i="2"/>
  <c r="H1174" i="2"/>
  <c r="E1176" i="2"/>
  <c r="H1176" i="2"/>
  <c r="E1178" i="2"/>
  <c r="H1178" i="2"/>
  <c r="E1180" i="2"/>
  <c r="H1180" i="2"/>
  <c r="E1182" i="2"/>
  <c r="H1182" i="2"/>
  <c r="E1184" i="2"/>
  <c r="H1184" i="2"/>
  <c r="E1186" i="2"/>
  <c r="H1186" i="2"/>
  <c r="E1188" i="2"/>
  <c r="H1188" i="2"/>
  <c r="E1190" i="2"/>
  <c r="H1190" i="2"/>
  <c r="E1192" i="2"/>
  <c r="H1192" i="2"/>
  <c r="E1194" i="2"/>
  <c r="H1194" i="2"/>
  <c r="E1196" i="2"/>
  <c r="H1196" i="2"/>
  <c r="E1198" i="2"/>
  <c r="H1198" i="2"/>
  <c r="E1200" i="2"/>
  <c r="H1200" i="2"/>
  <c r="E1202" i="2"/>
  <c r="H1202" i="2"/>
  <c r="E1204" i="2"/>
  <c r="H1204" i="2"/>
  <c r="E1206" i="2"/>
  <c r="H1206" i="2"/>
  <c r="E1208" i="2"/>
  <c r="H1208" i="2"/>
  <c r="E1210" i="2"/>
  <c r="H1210" i="2"/>
  <c r="E1212" i="2"/>
  <c r="H1212" i="2"/>
  <c r="E1214" i="2"/>
  <c r="H1214" i="2"/>
  <c r="E1216" i="2"/>
  <c r="H1216" i="2"/>
  <c r="E1218" i="2"/>
  <c r="H1218" i="2"/>
  <c r="E1220" i="2"/>
  <c r="H1220" i="2"/>
  <c r="E1222" i="2"/>
  <c r="H1222" i="2"/>
  <c r="E1224" i="2"/>
  <c r="H1224" i="2"/>
  <c r="E1226" i="2"/>
  <c r="H1226" i="2"/>
  <c r="E1228" i="2"/>
  <c r="H1228" i="2"/>
  <c r="E1230" i="2"/>
  <c r="H1230" i="2"/>
  <c r="E1232" i="2"/>
  <c r="H1232" i="2"/>
  <c r="E1234" i="2"/>
  <c r="H1234" i="2"/>
  <c r="E1236" i="2"/>
  <c r="H1236" i="2"/>
  <c r="E1238" i="2"/>
  <c r="H1238" i="2"/>
  <c r="E1240" i="2"/>
  <c r="H1240" i="2"/>
  <c r="E1242" i="2"/>
  <c r="H1242" i="2"/>
  <c r="E1244" i="2"/>
  <c r="H1244" i="2"/>
  <c r="E1246" i="2"/>
  <c r="H1246" i="2"/>
  <c r="E1248" i="2"/>
  <c r="H1248" i="2"/>
  <c r="E1250" i="2"/>
  <c r="H1250" i="2"/>
  <c r="E1252" i="2"/>
  <c r="H1252" i="2"/>
  <c r="E1254" i="2"/>
  <c r="H1254" i="2"/>
  <c r="E1256" i="2"/>
  <c r="H1256" i="2"/>
  <c r="E1258" i="2"/>
  <c r="H1258" i="2"/>
  <c r="E1260" i="2"/>
  <c r="H1260" i="2"/>
  <c r="E1262" i="2"/>
  <c r="H1262" i="2"/>
  <c r="E1264" i="2"/>
  <c r="H1264" i="2"/>
  <c r="E1266" i="2"/>
  <c r="H1266" i="2"/>
  <c r="E1268" i="2"/>
  <c r="H1268" i="2"/>
  <c r="E1270" i="2"/>
  <c r="H1270" i="2"/>
  <c r="E1272" i="2"/>
  <c r="H1272" i="2"/>
  <c r="E1274" i="2"/>
  <c r="H1274" i="2"/>
  <c r="E1276" i="2"/>
  <c r="H1276" i="2"/>
  <c r="E1278" i="2"/>
  <c r="H1278" i="2"/>
  <c r="E1280" i="2"/>
  <c r="H1280" i="2"/>
  <c r="E1282" i="2"/>
  <c r="H1282" i="2"/>
  <c r="E1284" i="2"/>
  <c r="H1284" i="2"/>
  <c r="E1286" i="2"/>
  <c r="H1286" i="2"/>
  <c r="E1288" i="2"/>
  <c r="H1288" i="2"/>
  <c r="E1290" i="2"/>
  <c r="H1290" i="2"/>
  <c r="E1292" i="2"/>
  <c r="H1292" i="2"/>
  <c r="E1294" i="2"/>
  <c r="H1294" i="2"/>
  <c r="E1296" i="2"/>
  <c r="H1296" i="2"/>
  <c r="E1298" i="2"/>
  <c r="H1298" i="2"/>
  <c r="E1300" i="2"/>
  <c r="H1300" i="2"/>
  <c r="E1302" i="2"/>
  <c r="H1302" i="2"/>
  <c r="E1304" i="2"/>
  <c r="H1304" i="2"/>
  <c r="E1306" i="2"/>
  <c r="H1306" i="2"/>
  <c r="E1308" i="2"/>
  <c r="H1308" i="2"/>
  <c r="E1310" i="2"/>
  <c r="H1310" i="2"/>
  <c r="E1312" i="2"/>
  <c r="H1312" i="2"/>
  <c r="E1314" i="2"/>
  <c r="H1314" i="2"/>
  <c r="E1316" i="2"/>
  <c r="H1316" i="2"/>
  <c r="E1318" i="2"/>
  <c r="H1318" i="2"/>
  <c r="E1320" i="2"/>
  <c r="H1320" i="2"/>
  <c r="E1322" i="2"/>
  <c r="H1322" i="2"/>
  <c r="E1324" i="2"/>
  <c r="H1324" i="2"/>
  <c r="E1326" i="2"/>
  <c r="H1326" i="2"/>
  <c r="E1328" i="2"/>
  <c r="H1328" i="2"/>
  <c r="E1330" i="2"/>
  <c r="H1330" i="2"/>
  <c r="E1332" i="2"/>
  <c r="H1332" i="2"/>
  <c r="E1334" i="2"/>
  <c r="H1334" i="2"/>
  <c r="E1336" i="2"/>
  <c r="H1336" i="2"/>
  <c r="E1338" i="2"/>
  <c r="H1338" i="2"/>
  <c r="E1340" i="2"/>
  <c r="H1340" i="2"/>
  <c r="E1342" i="2"/>
  <c r="H1342" i="2"/>
  <c r="E1344" i="2"/>
  <c r="H1344" i="2"/>
  <c r="E1346" i="2"/>
  <c r="H1346" i="2"/>
  <c r="E1348" i="2"/>
  <c r="H1348" i="2"/>
  <c r="E1350" i="2"/>
  <c r="H1350" i="2"/>
  <c r="E1352" i="2"/>
  <c r="H1352" i="2"/>
  <c r="E1354" i="2"/>
  <c r="H1354" i="2"/>
  <c r="E1356" i="2"/>
  <c r="H1356" i="2"/>
  <c r="E1358" i="2"/>
  <c r="H1358" i="2"/>
  <c r="E1360" i="2"/>
  <c r="H1360" i="2"/>
  <c r="E1362" i="2"/>
  <c r="H1362" i="2"/>
  <c r="E1364" i="2"/>
  <c r="H1364" i="2"/>
  <c r="E1366" i="2"/>
  <c r="H1366" i="2"/>
  <c r="E1368" i="2"/>
  <c r="H1368" i="2"/>
  <c r="E1370" i="2"/>
  <c r="H1370" i="2"/>
  <c r="E1372" i="2"/>
  <c r="H1372" i="2"/>
  <c r="E1374" i="2"/>
  <c r="H1374" i="2"/>
  <c r="E1376" i="2"/>
  <c r="H1376" i="2"/>
  <c r="E1378" i="2"/>
  <c r="H1378" i="2"/>
  <c r="E1380" i="2"/>
  <c r="H1380" i="2"/>
  <c r="E1382" i="2"/>
  <c r="H1382" i="2"/>
  <c r="E1384" i="2"/>
  <c r="H1384" i="2"/>
  <c r="E1386" i="2"/>
  <c r="H1386" i="2"/>
  <c r="E1388" i="2"/>
  <c r="H1388" i="2"/>
  <c r="E1390" i="2"/>
  <c r="H1390" i="2"/>
  <c r="E1392" i="2"/>
  <c r="H1392" i="2"/>
  <c r="E1394" i="2"/>
  <c r="H1394" i="2"/>
  <c r="E1396" i="2"/>
  <c r="H1396" i="2"/>
  <c r="E1398" i="2"/>
  <c r="H1398" i="2"/>
  <c r="E1400" i="2"/>
  <c r="H1400" i="2"/>
  <c r="E1402" i="2"/>
  <c r="H1402" i="2"/>
  <c r="E1404" i="2"/>
  <c r="H1404" i="2"/>
  <c r="E1406" i="2"/>
  <c r="H1406" i="2"/>
  <c r="E1408" i="2"/>
  <c r="H1408" i="2"/>
  <c r="E1410" i="2"/>
  <c r="H1410" i="2"/>
  <c r="E1412" i="2"/>
  <c r="H1412" i="2"/>
  <c r="E1414" i="2"/>
  <c r="H1414" i="2"/>
  <c r="E1416" i="2"/>
  <c r="H1416" i="2"/>
  <c r="E1418" i="2"/>
  <c r="H1418" i="2"/>
  <c r="E1420" i="2"/>
  <c r="H1420" i="2"/>
  <c r="E1422" i="2"/>
  <c r="H1422" i="2"/>
  <c r="E1424" i="2"/>
  <c r="H1424" i="2"/>
  <c r="E1426" i="2"/>
  <c r="H1426" i="2"/>
  <c r="E1428" i="2"/>
  <c r="H1428" i="2"/>
  <c r="E1430" i="2"/>
  <c r="H1430" i="2"/>
  <c r="E1432" i="2"/>
  <c r="H1432" i="2"/>
  <c r="E1434" i="2"/>
  <c r="H1434" i="2"/>
  <c r="E1436" i="2"/>
  <c r="H1436" i="2"/>
  <c r="E1438" i="2"/>
  <c r="H1438" i="2"/>
  <c r="E1440" i="2"/>
  <c r="H1440" i="2"/>
  <c r="E1442" i="2"/>
  <c r="H1442" i="2"/>
  <c r="E1444" i="2"/>
  <c r="H1444" i="2"/>
  <c r="E1446" i="2"/>
  <c r="H1446" i="2"/>
  <c r="E1448" i="2"/>
  <c r="H1448" i="2"/>
  <c r="E1450" i="2"/>
  <c r="H1450" i="2"/>
  <c r="E1452" i="2"/>
  <c r="H1452" i="2"/>
  <c r="E1454" i="2"/>
  <c r="H1454" i="2"/>
  <c r="E1456" i="2"/>
  <c r="H1456" i="2"/>
  <c r="E1458" i="2"/>
  <c r="H1458" i="2"/>
  <c r="E1460" i="2"/>
  <c r="H1460" i="2"/>
  <c r="E1462" i="2"/>
  <c r="H1462" i="2"/>
  <c r="E1464" i="2"/>
  <c r="H1464" i="2"/>
  <c r="E1466" i="2"/>
  <c r="H1466" i="2"/>
  <c r="E1468" i="2"/>
  <c r="H1468" i="2"/>
  <c r="E1470" i="2"/>
  <c r="H1470" i="2"/>
  <c r="E1472" i="2"/>
  <c r="H1472" i="2"/>
  <c r="E1474" i="2"/>
  <c r="H1474" i="2"/>
  <c r="E1476" i="2"/>
  <c r="H1476" i="2"/>
  <c r="E1478" i="2"/>
  <c r="H1478" i="2"/>
  <c r="E1480" i="2"/>
  <c r="H1480" i="2"/>
  <c r="E1482" i="2"/>
  <c r="H1482" i="2"/>
  <c r="E1484" i="2"/>
  <c r="H1484" i="2"/>
  <c r="E1486" i="2"/>
  <c r="H1486" i="2"/>
  <c r="E1488" i="2"/>
  <c r="H1488" i="2"/>
  <c r="E1490" i="2"/>
  <c r="H1490" i="2"/>
  <c r="E1492" i="2"/>
  <c r="H1492" i="2"/>
  <c r="E1494" i="2"/>
  <c r="H1494" i="2"/>
  <c r="E1496" i="2"/>
  <c r="H1496" i="2"/>
  <c r="E1498" i="2"/>
  <c r="H1498" i="2"/>
  <c r="E1500" i="2"/>
  <c r="H1500" i="2"/>
  <c r="E1502" i="2"/>
  <c r="H1502" i="2"/>
  <c r="E1504" i="2"/>
  <c r="H1504" i="2"/>
  <c r="E1506" i="2"/>
  <c r="H1506" i="2"/>
  <c r="E1508" i="2"/>
  <c r="H1508" i="2"/>
  <c r="E1510" i="2"/>
  <c r="H1510" i="2"/>
  <c r="E1512" i="2"/>
  <c r="H1512" i="2"/>
  <c r="E1514" i="2"/>
  <c r="H1514" i="2"/>
  <c r="E1516" i="2"/>
  <c r="H1516" i="2"/>
  <c r="E1518" i="2"/>
  <c r="H1518" i="2"/>
  <c r="E1520" i="2"/>
  <c r="H1520" i="2"/>
  <c r="E1522" i="2"/>
  <c r="H1522" i="2"/>
  <c r="E1524" i="2"/>
  <c r="H1524" i="2"/>
  <c r="E1526" i="2"/>
  <c r="H1526" i="2"/>
  <c r="E1528" i="2"/>
  <c r="H1528" i="2"/>
  <c r="E1530" i="2"/>
  <c r="H1530" i="2"/>
  <c r="E1532" i="2"/>
  <c r="H1532" i="2"/>
  <c r="E1534" i="2"/>
  <c r="H1534" i="2"/>
  <c r="E1536" i="2"/>
  <c r="H1536" i="2"/>
  <c r="E1538" i="2"/>
  <c r="H1538" i="2"/>
  <c r="E1540" i="2"/>
  <c r="H1540" i="2"/>
  <c r="E1542" i="2"/>
  <c r="H1542" i="2"/>
  <c r="E1544" i="2"/>
  <c r="H1544" i="2"/>
  <c r="E1546" i="2"/>
  <c r="H1546" i="2"/>
  <c r="E1548" i="2"/>
  <c r="H1548" i="2"/>
  <c r="E1550" i="2"/>
  <c r="H1550" i="2"/>
  <c r="E1552" i="2"/>
  <c r="H1552" i="2"/>
  <c r="E1554" i="2"/>
  <c r="H1554" i="2"/>
  <c r="E1556" i="2"/>
  <c r="H1556" i="2"/>
  <c r="E1558" i="2"/>
  <c r="H1558" i="2"/>
  <c r="E1560" i="2"/>
  <c r="H1560" i="2"/>
  <c r="E1562" i="2"/>
  <c r="H1562" i="2"/>
  <c r="E1564" i="2"/>
  <c r="H1564" i="2"/>
  <c r="E1566" i="2"/>
  <c r="H1566" i="2"/>
  <c r="E1568" i="2"/>
  <c r="H1568" i="2"/>
  <c r="E1570" i="2"/>
  <c r="H1570" i="2"/>
  <c r="E1572" i="2"/>
  <c r="H1572" i="2"/>
  <c r="E1574" i="2"/>
  <c r="H1574" i="2"/>
  <c r="E1576" i="2"/>
  <c r="H1576" i="2"/>
  <c r="E1578" i="2"/>
  <c r="H1578" i="2"/>
  <c r="E1580" i="2"/>
  <c r="H1580" i="2"/>
  <c r="E1582" i="2"/>
  <c r="H1582" i="2"/>
  <c r="E1584" i="2"/>
  <c r="H1584" i="2"/>
  <c r="E1586" i="2"/>
  <c r="H1586" i="2"/>
  <c r="E1588" i="2"/>
  <c r="H1588" i="2"/>
  <c r="E1590" i="2"/>
  <c r="H1590" i="2"/>
  <c r="E1592" i="2"/>
  <c r="H1592" i="2"/>
  <c r="E1594" i="2"/>
  <c r="H1594" i="2"/>
  <c r="E1596" i="2"/>
  <c r="H1596" i="2"/>
  <c r="E1598" i="2"/>
  <c r="H1598" i="2"/>
  <c r="E1600" i="2"/>
  <c r="H1600" i="2"/>
  <c r="E1602" i="2"/>
  <c r="H1602" i="2"/>
  <c r="E1604" i="2"/>
  <c r="H1604" i="2"/>
  <c r="E1606" i="2"/>
  <c r="H1606" i="2"/>
  <c r="E1608" i="2"/>
  <c r="H1608" i="2"/>
  <c r="E1610" i="2"/>
  <c r="H1610" i="2"/>
  <c r="E1612" i="2"/>
  <c r="H1612" i="2"/>
  <c r="E1614" i="2"/>
  <c r="H1614" i="2"/>
  <c r="E1616" i="2"/>
  <c r="H1616" i="2"/>
  <c r="E1618" i="2"/>
  <c r="H1618" i="2"/>
  <c r="E1620" i="2"/>
  <c r="H1620" i="2"/>
  <c r="E1622" i="2"/>
  <c r="H1622" i="2"/>
  <c r="E1624" i="2"/>
  <c r="H1624" i="2"/>
  <c r="E1626" i="2"/>
  <c r="H1626" i="2"/>
  <c r="E1628" i="2"/>
  <c r="H1628" i="2"/>
  <c r="E1630" i="2"/>
  <c r="H1630" i="2"/>
  <c r="E1632" i="2"/>
  <c r="H1632" i="2"/>
  <c r="E1634" i="2"/>
  <c r="H1634" i="2"/>
  <c r="E1636" i="2"/>
  <c r="H1636" i="2"/>
  <c r="E1638" i="2"/>
  <c r="H1638" i="2"/>
  <c r="E1640" i="2"/>
  <c r="H1640" i="2"/>
  <c r="E1642" i="2"/>
  <c r="H1642" i="2"/>
  <c r="E1644" i="2"/>
  <c r="H1644" i="2"/>
  <c r="E1646" i="2"/>
  <c r="H1646" i="2"/>
  <c r="E1648" i="2"/>
  <c r="H1648" i="2"/>
  <c r="E1650" i="2"/>
  <c r="H1650" i="2"/>
  <c r="E1652" i="2"/>
  <c r="H1652" i="2"/>
  <c r="E1654" i="2"/>
  <c r="H1654" i="2"/>
  <c r="E1656" i="2"/>
  <c r="H1656" i="2"/>
  <c r="E1658" i="2"/>
  <c r="H1658" i="2"/>
  <c r="E1660" i="2"/>
  <c r="H1660" i="2"/>
  <c r="E1662" i="2"/>
  <c r="H1662" i="2"/>
  <c r="E1664" i="2"/>
  <c r="H1664" i="2"/>
  <c r="E1666" i="2"/>
  <c r="H1666" i="2"/>
  <c r="E1668" i="2"/>
  <c r="H1668" i="2"/>
  <c r="E1670" i="2"/>
  <c r="H1670" i="2"/>
  <c r="E1672" i="2"/>
  <c r="H1672" i="2"/>
  <c r="E1674" i="2"/>
  <c r="H1674" i="2"/>
  <c r="E1676" i="2"/>
  <c r="H1676" i="2"/>
  <c r="E1678" i="2"/>
  <c r="H1678" i="2"/>
  <c r="E1680" i="2"/>
  <c r="H1680" i="2"/>
  <c r="E1682" i="2"/>
  <c r="H1682" i="2"/>
  <c r="E1684" i="2"/>
  <c r="H1684" i="2"/>
  <c r="E1686" i="2"/>
  <c r="H1686" i="2"/>
  <c r="E1688" i="2"/>
  <c r="H1688" i="2"/>
  <c r="E1690" i="2"/>
  <c r="H1690" i="2"/>
  <c r="E1692" i="2"/>
  <c r="H1692" i="2"/>
  <c r="E1694" i="2"/>
  <c r="H1694" i="2"/>
  <c r="E1696" i="2"/>
  <c r="H1696" i="2"/>
  <c r="E1698" i="2"/>
  <c r="H1698" i="2"/>
  <c r="E1700" i="2"/>
  <c r="H1700" i="2"/>
  <c r="E1702" i="2"/>
  <c r="H1702" i="2"/>
  <c r="E1704" i="2"/>
  <c r="H1704" i="2"/>
  <c r="E1706" i="2"/>
  <c r="H1706" i="2"/>
  <c r="E1708" i="2"/>
  <c r="H1708" i="2"/>
  <c r="E1710" i="2"/>
  <c r="H1710" i="2"/>
  <c r="E1712" i="2"/>
  <c r="H1712" i="2"/>
  <c r="E1714" i="2"/>
  <c r="H1714" i="2"/>
  <c r="E1716" i="2"/>
  <c r="H1716" i="2"/>
  <c r="E1718" i="2"/>
  <c r="H1718" i="2"/>
  <c r="E1720" i="2"/>
  <c r="H1720" i="2"/>
  <c r="E1722" i="2"/>
  <c r="H1722" i="2"/>
  <c r="E1724" i="2"/>
  <c r="H1724" i="2"/>
  <c r="E1726" i="2"/>
  <c r="H1726" i="2"/>
  <c r="E1728" i="2"/>
  <c r="H1728" i="2"/>
  <c r="E1730" i="2"/>
  <c r="H1730" i="2"/>
  <c r="E1732" i="2"/>
  <c r="H1732" i="2"/>
  <c r="E1734" i="2"/>
  <c r="H1734" i="2"/>
  <c r="E1736" i="2"/>
  <c r="H1736" i="2"/>
  <c r="E1738" i="2"/>
  <c r="H1738" i="2"/>
  <c r="E1740" i="2"/>
  <c r="H1740" i="2"/>
  <c r="E1742" i="2"/>
  <c r="H1742" i="2"/>
  <c r="E1744" i="2"/>
  <c r="H1744" i="2"/>
  <c r="E1746" i="2"/>
  <c r="H1746" i="2"/>
  <c r="E1748" i="2"/>
  <c r="H1748" i="2"/>
  <c r="E1750" i="2"/>
  <c r="H1750" i="2"/>
  <c r="E1752" i="2"/>
  <c r="H1752" i="2"/>
  <c r="E1754" i="2"/>
  <c r="H1754" i="2"/>
  <c r="E1756" i="2"/>
  <c r="H1756" i="2"/>
  <c r="E1758" i="2"/>
  <c r="H1758" i="2"/>
  <c r="E1760" i="2"/>
  <c r="H1760" i="2"/>
  <c r="E1762" i="2"/>
  <c r="H1762" i="2"/>
  <c r="E1764" i="2"/>
  <c r="H1764" i="2"/>
  <c r="E1766" i="2"/>
  <c r="H1766" i="2"/>
  <c r="E1768" i="2"/>
  <c r="H1768" i="2"/>
  <c r="E1770" i="2"/>
  <c r="H1770" i="2"/>
  <c r="E1772" i="2"/>
  <c r="H1772" i="2"/>
  <c r="E1774" i="2"/>
  <c r="H1774" i="2"/>
  <c r="E1776" i="2"/>
  <c r="H1776" i="2"/>
  <c r="E1778" i="2"/>
  <c r="H1778" i="2"/>
  <c r="E1780" i="2"/>
  <c r="H1780" i="2"/>
  <c r="E1782" i="2"/>
  <c r="H1782" i="2"/>
  <c r="E1784" i="2"/>
  <c r="H1784" i="2"/>
  <c r="E1786" i="2"/>
  <c r="H1786" i="2"/>
  <c r="E1788" i="2"/>
  <c r="H1788" i="2"/>
  <c r="E1790" i="2"/>
  <c r="H1790" i="2"/>
  <c r="E1792" i="2"/>
  <c r="H1792" i="2"/>
  <c r="E1794" i="2"/>
  <c r="H1794" i="2"/>
  <c r="E1796" i="2"/>
  <c r="H1796" i="2"/>
  <c r="E1798" i="2"/>
  <c r="H1798" i="2"/>
  <c r="E1800" i="2"/>
  <c r="H1800" i="2"/>
  <c r="E1802" i="2"/>
  <c r="H1802" i="2"/>
  <c r="E1804" i="2"/>
  <c r="H1804" i="2"/>
  <c r="E1806" i="2"/>
  <c r="H1806" i="2"/>
  <c r="E1808" i="2"/>
  <c r="H1808" i="2"/>
  <c r="E1810" i="2"/>
  <c r="H1810" i="2"/>
  <c r="E1812" i="2"/>
  <c r="H1812" i="2"/>
  <c r="E1814" i="2"/>
  <c r="H1814" i="2"/>
  <c r="E1816" i="2"/>
  <c r="H1816" i="2"/>
  <c r="E1818" i="2"/>
  <c r="H1818" i="2"/>
  <c r="E1820" i="2"/>
  <c r="H1820" i="2"/>
  <c r="E1822" i="2"/>
  <c r="H1822" i="2"/>
  <c r="E1824" i="2"/>
  <c r="H1824" i="2"/>
  <c r="E1826" i="2"/>
  <c r="H1826" i="2"/>
  <c r="E1828" i="2"/>
  <c r="H1828" i="2"/>
  <c r="E1830" i="2"/>
  <c r="H1830" i="2"/>
  <c r="E1832" i="2"/>
  <c r="H1832" i="2"/>
  <c r="E1834" i="2"/>
  <c r="H1834" i="2"/>
  <c r="E1836" i="2"/>
  <c r="H1836" i="2"/>
  <c r="E1838" i="2"/>
  <c r="H1838" i="2"/>
  <c r="E1840" i="2"/>
  <c r="H1840" i="2"/>
  <c r="E1842" i="2"/>
  <c r="H1842" i="2"/>
  <c r="E1844" i="2"/>
  <c r="H1844" i="2"/>
  <c r="E1846" i="2"/>
  <c r="H1846" i="2"/>
  <c r="E1848" i="2"/>
  <c r="H1848" i="2"/>
  <c r="E1850" i="2"/>
  <c r="H1850" i="2"/>
  <c r="E1852" i="2"/>
  <c r="H1852" i="2"/>
  <c r="H1866" i="2"/>
  <c r="E1866" i="2"/>
  <c r="H1868" i="2"/>
  <c r="E1868" i="2"/>
  <c r="H1870" i="2"/>
  <c r="E1870" i="2"/>
  <c r="H1872" i="2"/>
  <c r="E1872" i="2"/>
  <c r="H1874" i="2"/>
  <c r="E1874" i="2"/>
  <c r="H1876" i="2"/>
  <c r="E1876" i="2"/>
  <c r="H1878" i="2"/>
  <c r="E1878" i="2"/>
  <c r="H1880" i="2"/>
  <c r="E1880" i="2"/>
  <c r="H1882" i="2"/>
  <c r="E1882" i="2"/>
  <c r="H1884" i="2"/>
  <c r="E1884" i="2"/>
  <c r="H1886" i="2"/>
  <c r="E1886" i="2"/>
  <c r="H1888" i="2"/>
  <c r="E1888" i="2"/>
  <c r="H1890" i="2"/>
  <c r="E1890" i="2"/>
  <c r="H1892" i="2"/>
  <c r="E1892" i="2"/>
  <c r="H1894" i="2"/>
  <c r="E1894" i="2"/>
  <c r="H1896" i="2"/>
  <c r="E1896" i="2"/>
  <c r="H1898" i="2"/>
  <c r="E1898" i="2"/>
  <c r="H1900" i="2"/>
  <c r="E1900" i="2"/>
  <c r="H1902" i="2"/>
  <c r="E1902" i="2"/>
  <c r="H1904" i="2"/>
  <c r="E1904" i="2"/>
  <c r="H1906" i="2"/>
  <c r="E1906" i="2"/>
  <c r="H1908" i="2"/>
  <c r="E1908" i="2"/>
  <c r="H1910" i="2"/>
  <c r="E1910" i="2"/>
  <c r="H1912" i="2"/>
  <c r="E1912" i="2"/>
  <c r="H1914" i="2"/>
  <c r="E1914" i="2"/>
  <c r="H1916" i="2"/>
  <c r="E1916" i="2"/>
  <c r="H1918" i="2"/>
  <c r="E1918" i="2"/>
  <c r="H1920" i="2"/>
  <c r="E1920" i="2"/>
  <c r="H1922" i="2"/>
  <c r="E1922" i="2"/>
  <c r="H1924" i="2"/>
  <c r="E1924" i="2"/>
  <c r="H1926" i="2"/>
  <c r="E1926" i="2"/>
  <c r="H1928" i="2"/>
  <c r="E1928" i="2"/>
  <c r="H1930" i="2"/>
  <c r="E1930" i="2"/>
  <c r="H1932" i="2"/>
  <c r="E1932" i="2"/>
  <c r="H1934" i="2"/>
  <c r="E1934" i="2"/>
  <c r="H1936" i="2"/>
  <c r="E1936" i="2"/>
  <c r="H1938" i="2"/>
  <c r="E1938" i="2"/>
  <c r="H1940" i="2"/>
  <c r="E1940" i="2"/>
  <c r="H1942" i="2"/>
  <c r="E1942" i="2"/>
  <c r="H1944" i="2"/>
  <c r="E1944" i="2"/>
  <c r="H1946" i="2"/>
  <c r="E1946" i="2"/>
  <c r="H1948" i="2"/>
  <c r="E1948" i="2"/>
  <c r="H1950" i="2"/>
  <c r="E1950" i="2"/>
  <c r="H1952" i="2"/>
  <c r="E1952" i="2"/>
  <c r="H1954" i="2"/>
  <c r="E1954" i="2"/>
  <c r="H1956" i="2"/>
  <c r="E1956" i="2"/>
  <c r="H1958" i="2"/>
  <c r="E1958" i="2"/>
  <c r="H1960" i="2"/>
  <c r="E1960" i="2"/>
  <c r="H1962" i="2"/>
  <c r="E1962" i="2"/>
  <c r="H1964" i="2"/>
  <c r="E1964" i="2"/>
  <c r="H1966" i="2"/>
  <c r="E1966" i="2"/>
  <c r="H1968" i="2"/>
  <c r="E1968" i="2"/>
  <c r="H1970" i="2"/>
  <c r="E1970" i="2"/>
  <c r="H1972" i="2"/>
  <c r="E1972" i="2"/>
  <c r="H1974" i="2"/>
  <c r="E1974" i="2"/>
  <c r="H1976" i="2"/>
  <c r="E1976" i="2"/>
  <c r="H1978" i="2"/>
  <c r="E1978" i="2"/>
  <c r="H1980" i="2"/>
  <c r="E1980" i="2"/>
  <c r="H1982" i="2"/>
  <c r="E1982" i="2"/>
  <c r="H1984" i="2"/>
  <c r="E1984" i="2"/>
  <c r="H1986" i="2"/>
  <c r="E1986" i="2"/>
  <c r="H1988" i="2"/>
  <c r="E1988" i="2"/>
  <c r="H1990" i="2"/>
  <c r="E1990" i="2"/>
  <c r="H1992" i="2"/>
  <c r="E1992" i="2"/>
  <c r="H1994" i="2"/>
  <c r="E1994" i="2"/>
  <c r="H1996" i="2"/>
  <c r="E1996" i="2"/>
  <c r="H1998" i="2"/>
  <c r="E1998" i="2"/>
  <c r="H2000" i="2"/>
  <c r="E2000" i="2"/>
  <c r="H2002" i="2"/>
  <c r="E2002" i="2"/>
  <c r="H2004" i="2"/>
  <c r="E2004" i="2"/>
  <c r="H2006" i="2"/>
  <c r="E2006" i="2"/>
  <c r="H2008" i="2"/>
  <c r="E2008" i="2"/>
  <c r="H2010" i="2"/>
  <c r="E2010" i="2"/>
  <c r="H2012" i="2"/>
  <c r="E2012" i="2"/>
  <c r="H2014" i="2"/>
  <c r="E2014" i="2"/>
  <c r="H2016" i="2"/>
  <c r="E2016" i="2"/>
  <c r="F1010" i="3"/>
  <c r="E1010" i="3"/>
  <c r="H13" i="3" l="1"/>
  <c r="I13" i="3" s="1"/>
  <c r="H1010" i="3"/>
  <c r="I10" i="3"/>
  <c r="C11" i="2"/>
  <c r="E14" i="2"/>
  <c r="C14" i="2"/>
  <c r="A11" i="2"/>
  <c r="J17" i="2"/>
  <c r="J18" i="2" s="1"/>
  <c r="J19" i="2" s="1"/>
  <c r="A14" i="2"/>
  <c r="E11" i="2"/>
  <c r="J20" i="2" l="1"/>
  <c r="G11" i="2" l="1"/>
  <c r="I11" i="2" s="1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G14" i="2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r>
          <rPr>
            <sz val="11"/>
            <color theme="1"/>
            <rFont val="Arial"/>
            <family val="2"/>
            <scheme val="minor"/>
          </rPr>
          <t>تاریخ خرید سبد با قالب 1405/07/02 یا 14050702 — با ارقام لاتین.
ترتیب وارد کردن مهم نیست؛ مانده‌ها بر اساس تاریخ و ساعت مرتب می‌شوند.</t>
        </r>
      </text>
    </comment>
    <comment ref="C7" authorId="0" shapeId="0">
      <text>
        <r>
          <rPr>
            <sz val="11"/>
            <color theme="1"/>
            <rFont val="Arial"/>
            <family val="2"/>
            <scheme val="minor"/>
          </rPr>
          <t>ساعت اختیاری با قالب 09:30 — فقط برای ترتیب دقیق رویدادهای هم‌تاریخ.</t>
        </r>
      </text>
    </comment>
    <comment ref="E7" authorId="0" shapeId="0">
      <text>
        <r>
          <rPr>
            <sz val="11"/>
            <color theme="1"/>
            <rFont val="Arial"/>
            <family val="2"/>
            <scheme val="minor"/>
          </rPr>
          <t>کد حساب فروشنده سبد از INFO ← Accounts (مثل S004).
خرید سبد این حساب را بستانکار می‌کند (به او بدهکار می‌شویم) و پرداخت بانکی تسویه‌اش می‌کند.</t>
        </r>
      </text>
    </comment>
    <comment ref="F7" authorId="0" shapeId="0">
      <text>
        <r>
          <rPr>
            <sz val="11"/>
            <color theme="1"/>
            <rFont val="Arial"/>
            <family val="2"/>
            <scheme val="minor"/>
          </rPr>
          <t>نام فروشنده — خودکار از INFO خوانده می‌شود؛ اینجا چیزی ننویسید.</t>
        </r>
      </text>
    </comment>
    <comment ref="G7" authorId="0" shapeId="0">
      <text>
        <r>
          <rPr>
            <sz val="11"/>
            <color theme="1"/>
            <rFont val="Arial"/>
            <family val="2"/>
            <scheme val="minor"/>
          </rPr>
          <t>نوع سبد از کشویی: انواع در INFO ← Baskets تعریف می‌شوند (سبد ۵ کیلویی، جعبه و…).</t>
        </r>
      </text>
    </comment>
    <comment ref="H7" authorId="0" shapeId="0">
      <text>
        <r>
          <rPr>
            <sz val="11"/>
            <color theme="1"/>
            <rFont val="Arial"/>
            <family val="2"/>
            <scheme val="minor"/>
          </rPr>
          <t>تعداد سبد خریداری‌شده (عدد صحیح).</t>
        </r>
      </text>
    </comment>
    <comment ref="I7" authorId="0" shapeId="0">
      <text>
        <r>
          <rPr>
            <sz val="11"/>
            <color theme="1"/>
            <rFont val="Arial"/>
            <family val="2"/>
            <scheme val="minor"/>
          </rPr>
          <t>قیمت هر عدد سبد (فی — ریال).</t>
        </r>
      </text>
    </comment>
    <comment ref="J7" authorId="0" shapeId="0">
      <text>
        <r>
          <rPr>
            <sz val="11"/>
            <color theme="1"/>
            <rFont val="Arial"/>
            <family val="2"/>
            <scheme val="minor"/>
          </rPr>
          <t>مبلغ = تعداد × فی — خودکار محاسبه می‌شود.</t>
        </r>
      </text>
    </comment>
    <comment ref="K7" authorId="0" shapeId="0">
      <text>
        <r>
          <rPr>
            <sz val="11"/>
            <color theme="1"/>
            <rFont val="Arial"/>
            <family val="2"/>
            <scheme val="minor"/>
          </rPr>
          <t>مانده حساب فروشنده تا همین سطر (خودکار):
جمع خرید سبد تا این لحظه − پرداخت‌های بانکی تا این لحظه + دریافت‌های بانکی.
مثبت = بستانکار — به او بدهکاریم · منفی = بدهکار — به ما بدهکار است.
این مانده در همه ردیف‌های همان حساب به‌روز می‌شود؛ کارتکس کامل در شیت Report.</t>
        </r>
      </text>
    </comment>
    <comment ref="L7" authorId="0" shapeId="0">
      <text>
        <r>
          <rPr>
            <sz val="11"/>
            <color theme="1"/>
            <rFont val="Arial"/>
            <family val="2"/>
            <scheme val="minor"/>
          </rPr>
          <t>توضیح آزاد (مثل شماره فاکتور کارگاه سبدسازی).</t>
        </r>
      </text>
    </comment>
  </commentList>
</comments>
</file>

<file path=xl/comments2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r>
          <rPr>
            <sz val="11"/>
            <color theme="1"/>
            <rFont val="Arial"/>
            <family val="2"/>
            <scheme val="minor"/>
          </rPr>
          <t>کد حساب فروشنده سبد (مثل S004) از INFO ← Accounts.
کل کارتکس — سربرگ، کارت‌ها و ردیف‌ها — خودکار به‌روز می‌شود.</t>
        </r>
      </text>
    </comment>
    <comment ref="C8" authorId="0" shapeId="0">
      <text>
        <r>
          <rPr>
            <sz val="11"/>
            <color theme="1"/>
            <rFont val="Arial"/>
            <family val="2"/>
            <scheme val="minor"/>
          </rPr>
          <t>اگر قبل از راه‌اندازی سیستم به او بدهی داشتید اینجا بنویسید (مثبت).</t>
        </r>
      </text>
    </comment>
    <comment ref="E11" authorId="0" shapeId="0">
      <text>
        <r>
          <rPr>
            <sz val="11"/>
            <color theme="1"/>
            <rFont val="Arial"/>
            <family val="2"/>
            <scheme val="minor"/>
          </rPr>
          <t>مانده از دید حساب فروشنده: مثبت = بستانکار او = بدهی ما.</t>
        </r>
      </text>
    </comment>
    <comment ref="C15" authorId="0" shapeId="0">
      <text>
        <r>
          <rPr>
            <sz val="11"/>
            <color theme="1"/>
            <rFont val="Arial"/>
            <family val="2"/>
            <scheme val="minor"/>
          </rPr>
          <t>نوع رویداد:
· خرید سبد = خرید نسیه از کارگاه (حساب او بستانکار می‌شود)
· پرداخت بانکی = برداشت از بانک با همین کد در Transactions
· دریافت بانکی = برگشت پول از او به بانک</t>
        </r>
      </text>
    </comment>
  </commentList>
</comments>
</file>

<file path=xl/comments3.xml><?xml version="1.0" encoding="utf-8"?>
<comments xmlns="http://schemas.openxmlformats.org/spreadsheetml/2006/main">
  <authors>
    <author>راهنمای مازندشت</author>
  </authors>
  <commentList>
    <comment ref="A6" authorId="0" shapeId="0">
      <text>
        <r>
          <rPr>
            <sz val="11"/>
            <color theme="1"/>
            <rFont val="Arial"/>
            <family val="2"/>
            <scheme val="minor"/>
          </rPr>
          <t>جمع مبلغ همه ردیف‌های خرید سبد (تعداد × فی).</t>
        </r>
      </text>
    </comment>
    <comment ref="E6" authorId="0" shapeId="0">
      <text>
        <r>
          <rPr>
            <sz val="11"/>
            <color theme="1"/>
            <rFont val="Arial"/>
            <family val="2"/>
            <scheme val="minor"/>
          </rPr>
          <t>بدهی تسویه‌نشده به فروشندگان سبد = جمع خرید − پرداخت‌ها + دریافت‌ها.</t>
        </r>
      </text>
    </comment>
  </commentList>
</comments>
</file>

<file path=xl/sharedStrings.xml><?xml version="1.0" encoding="utf-8"?>
<sst xmlns="http://schemas.openxmlformats.org/spreadsheetml/2006/main" count="284" uniqueCount="159">
  <si>
    <t>دفتر سبد و ظروف — خرید سبد از فروشنده (هر ردیف = یک خرید)</t>
  </si>
  <si>
    <t>هر ردیف: تاریخ، کد فروشنده سبد (از INFO ← Accounts — مثل S004)، نوع سبد (کشویی از INFO ← Baskets)، تعداد و فی. مبلغ و نام فروشنده و «مانده حساب» خودکار است: مانده = جمع خرید سبد تا این سطر − پرداخت‌های بانکی تا همین لحظه (به همه ردیف‌های همان حساب اعمال می‌شود). پرداخت به فروشنده را در Transactions.xlsx (برداشت با همان کد) ثبت کنید — اینجا خودش کم می‌شود.</t>
  </si>
  <si>
    <t>ردیف</t>
  </si>
  <si>
    <t>تاریخ</t>
  </si>
  <si>
    <t>ساعت</t>
  </si>
  <si>
    <t>شماره سند</t>
  </si>
  <si>
    <t>کد فروشنده</t>
  </si>
  <si>
    <t>نام فروشنده</t>
  </si>
  <si>
    <t>نوع سبد</t>
  </si>
  <si>
    <t>تعداد</t>
  </si>
  <si>
    <t>فی (ریال)</t>
  </si>
  <si>
    <t>مبلغ (ریال)</t>
  </si>
  <si>
    <t>مانده حساب (ریال)</t>
  </si>
  <si>
    <t>توضیحات</t>
  </si>
  <si>
    <t>No.</t>
  </si>
  <si>
    <t>Date</t>
  </si>
  <si>
    <t>Time</t>
  </si>
  <si>
    <t>Doc</t>
  </si>
  <si>
    <t>Seller Code</t>
  </si>
  <si>
    <t>Seller Name</t>
  </si>
  <si>
    <t>Basket Type</t>
  </si>
  <si>
    <t>Qty</t>
  </si>
  <si>
    <t>Unit Price</t>
  </si>
  <si>
    <t>Amount</t>
  </si>
  <si>
    <t>Account Balance</t>
  </si>
  <si>
    <t>Notes</t>
  </si>
  <si>
    <t>1405/07/14</t>
  </si>
  <si>
    <t>کد فروشنده سبد (ورود دستی):</t>
  </si>
  <si>
    <t>کد را از INFO (شیت Accounts) وارد کنید — کل گردش خودکار به‌روز می‌شود. برای فروشنده دیگر، همین شیت را کپی و کد را عوض کنید.</t>
  </si>
  <si>
    <t>نام صاحب حساب:</t>
  </si>
  <si>
    <t>نوع و زیرمجموعه:</t>
  </si>
  <si>
    <t>مانده اولیه (دستی):</t>
  </si>
  <si>
    <t>مثبت = بدهی قبلی ما به او. در مانده اولِ ردیف‌ها اثر می‌گذارد.</t>
  </si>
  <si>
    <t>جمع خرید سبد (ریال)</t>
  </si>
  <si>
    <t>جمع پرداخت به او (ریال)</t>
  </si>
  <si>
    <t>جمع دریافت از او (ریال)</t>
  </si>
  <si>
    <t>مانده نهایی (ریال)</t>
  </si>
  <si>
    <t>وضعیت</t>
  </si>
  <si>
    <t>تعداد کل سبد خریداری‌شده</t>
  </si>
  <si>
    <t>تعداد ردیف خرید سبد</t>
  </si>
  <si>
    <t>تعداد پرداخت/دریافت</t>
  </si>
  <si>
    <t>آخرین رویداد</t>
  </si>
  <si>
    <t>نوع رویداد</t>
  </si>
  <si>
    <t>سند / بانک</t>
  </si>
  <si>
    <t>دریافت (ریال)</t>
  </si>
  <si>
    <t>تعداد سبد</t>
  </si>
  <si>
    <t>پرداخت (ریال)</t>
  </si>
  <si>
    <t>خرید سبد (ریال)</t>
  </si>
  <si>
    <t>مانده (ریال)</t>
  </si>
  <si>
    <t>Type</t>
  </si>
  <si>
    <t>Doc / Bank</t>
  </si>
  <si>
    <t>Received</t>
  </si>
  <si>
    <t>Paid</t>
  </si>
  <si>
    <t>Purchase</t>
  </si>
  <si>
    <t>Balance</t>
  </si>
  <si>
    <t>خلاصه دفتر سبد — همه فروشندگان و انواع سبد</t>
  </si>
  <si>
    <t>جدول بالا: گردش هر فروشنده سبد (از Entry و پرداخت‌های Transactions) — جدول پایین: جمع خرید به تفکیک نوع سبد. همه‌چیز خودکار.</t>
  </si>
  <si>
    <t>جمع کل خرید سبد (ریال)</t>
  </si>
  <si>
    <t>جمع پرداخت به فروشندگان (ریال)</t>
  </si>
  <si>
    <t>مانده کل (بدهی ما)</t>
  </si>
  <si>
    <t>تعداد فروشندگان سبد</t>
  </si>
  <si>
    <t>الف) گردش فروشندگان سبد</t>
  </si>
  <si>
    <t>کد</t>
  </si>
  <si>
    <t>جمع خرید (ریال)</t>
  </si>
  <si>
    <t>جمع پرداخت (ریال)</t>
  </si>
  <si>
    <t>جمع دریافت (ریال)</t>
  </si>
  <si>
    <t>جمع کل</t>
  </si>
  <si>
    <t>ب) جمع خرید به تفکیک نوع سبد</t>
  </si>
  <si>
    <t>جمع مبلغ (ریال)</t>
  </si>
  <si>
    <t>سهم از مبلغ</t>
  </si>
  <si>
    <t>Share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</si>
  <si>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</si>
  <si>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</si>
  <si>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فایل مادر (INFO: حساب‌ها و انواع سبد) و تراکنش‌های بانکی (پرداخت به فروشندگان سبد). فرمول‌ها را تغییر ندهید. اگر همه سلول‌ها خالی شدند یعنی لینک به‌روز نشده: Data ← Edit Links ← Update Values.</t>
  </si>
  <si>
    <t>Accounts · Code</t>
  </si>
  <si>
    <t>· Nature</t>
  </si>
  <si>
    <t>· Sub</t>
  </si>
  <si>
    <t>· Name</t>
  </si>
  <si>
    <t>· Acct Group</t>
  </si>
  <si>
    <t>· Audit Group</t>
  </si>
  <si>
    <t>Baskets · Type</t>
  </si>
  <si>
    <t>Txn Entry · C</t>
  </si>
  <si>
    <t>Txn Entry · D</t>
  </si>
  <si>
    <t>Txn Entry · E</t>
  </si>
  <si>
    <t>Txn Entry · G</t>
  </si>
  <si>
    <t>Txn Entry · M</t>
  </si>
  <si>
    <t>Txn Entry · N</t>
  </si>
  <si>
    <t>Txn Entry · R</t>
  </si>
  <si>
    <t>برگه فنی — موتور دفتر سبد: نرمال‌سازی تاریخ، کلید ترتیبی (تاریخ+ساعت)، رتبه هر رویداد در حساب و پک فروشندگان. فرمول‌ها را تغییر ندهید.</t>
  </si>
  <si>
    <t>پک·flg</t>
  </si>
  <si>
    <t>پک·cum</t>
  </si>
  <si>
    <t>پک·کد</t>
  </si>
  <si>
    <t>A·رتبه‌کلید</t>
  </si>
  <si>
    <t>A·تاریخ</t>
  </si>
  <si>
    <t>A·ساعت</t>
  </si>
  <si>
    <t>A·نوع</t>
  </si>
  <si>
    <t>A·تعداد</t>
  </si>
  <si>
    <t>A·فی</t>
  </si>
  <si>
    <t>A·مبلغ</t>
  </si>
  <si>
    <t>A·سند</t>
  </si>
  <si>
    <t>A·توضیح</t>
  </si>
  <si>
    <t>B·طرف</t>
  </si>
  <si>
    <t>B·تاریخ</t>
  </si>
  <si>
    <t>B·کلید</t>
  </si>
  <si>
    <t>B·رتبه</t>
  </si>
  <si>
    <t>B·رتبه‌کلید</t>
  </si>
  <si>
    <t>B·واریز</t>
  </si>
  <si>
    <t>B·برداشت</t>
  </si>
  <si>
    <t>B·بانک</t>
  </si>
  <si>
    <t>B·توضیح</t>
  </si>
  <si>
    <t>راهنمای دفتر سبد (Baskets.xlsx)</t>
  </si>
  <si>
    <t>۱) این فایل چیست؟</t>
  </si>
  <si>
    <t>• دفتر خرید سبد و ظروف از فروشندگان سبد + کارتکس هر فروشنده — مثل فایل‌های فروش/خرید مرکبات ولی مخصوص سبد.</t>
  </si>
  <si>
    <t>• فروشنده سبد یک حساب عادی است: در INFO ← Accounts با ماهیت «تأمین‌کننده» و زیرمجموعه «فروشنده سبد» تعریف می‌شود (کد S…).</t>
  </si>
  <si>
    <t>• انواع سبد در INFO ← Baskets تعریف می‌شوند (BK…: سبد ۵ کیلویی، جعبه ۱۰ کیلویی و…).</t>
  </si>
  <si>
    <t>۲) شیت Entry — ورود خرید سبد</t>
  </si>
  <si>
    <t>• هر ردیف: تاریخ | ساعت | شماره سند | کد فروشنده | نام (خودکار) | نوع سبد (کشویی) | تعداد | فی | مبلغ (خودکار = تعداد × فی) | مانده حساب (خودکار) | توضیح.</t>
  </si>
  <si>
    <t>• «مانده حساب» در هر سطر = جمع خرید سبد تا آن لحظه − پرداخت‌های بانکی تا آن لحظه + دریافت‌ها؛ با افزودن هر ردیف، مانده همه ردیف‌های همان حساب به‌روز می‌شود.</t>
  </si>
  <si>
    <t>• مثبت = بستانکار — به او بدهکاریم · منفی = بدهکار — به ما بدهکار است.</t>
  </si>
  <si>
    <t>• ترتیب وارد کردن ردیف‌ها مهم نیست؛ مانده‌ها بر اساس تاریخ و ساعت مرتب می‌شوند.</t>
  </si>
  <si>
    <t>۳) پرداخت به فروشنده سبد</t>
  </si>
  <si>
    <t>• پرداخت در Transactions.xlsx ثبت می‌شود: برداشت با کد همان فروشنده (مثل S004).</t>
  </si>
  <si>
    <t>• پرداخت در Entry و کارتکس خودکار کم می‌شود — اینجا چیزی ثبت نکنید.</t>
  </si>
  <si>
    <t>۴) شیت Report — کارتکس فروشنده</t>
  </si>
  <si>
    <t>• کد فروشنده را در سلول زرد وارد کنید: کل رویدادها (خرید سبد + پرداخت/دریافت بانکی) به ترتیب تاریخ با مانده تجمعی.</t>
  </si>
  <si>
    <t>• برای فروشنده دیگر، شیت را کپی و کد را عوض کنید.</t>
  </si>
  <si>
    <t>۵) شیت Summary — خلاصه</t>
  </si>
  <si>
    <t>• جدول الف: گردش همه فروشندگان سبد (تعداد، جمع خرید، پرداخت، مانده).</t>
  </si>
  <si>
    <t>• جدول ب: جمع خرید به تفکیک نوع سبد (تعداد و مبلغ و سهم).</t>
  </si>
  <si>
    <t>۶) ارتباط با حسابداری</t>
  </si>
  <si>
    <t>• تراز آزمایشی (Accounting.xlsx) مبنا نقدی است: خرید نسیه سبد وقتی اثر ترازنامه‌ای می‌گذارد که پرداخت شود.</t>
  </si>
  <si>
    <t>• بدهی تسویه‌نشده سبد را کارتکس و خلاصه همین فایل نشان می‌دهد — مانده هر فروشنده را همین‌جا دنبال کنید.</t>
  </si>
  <si>
    <t>1405/07/13</t>
  </si>
  <si>
    <t>1405/07/16</t>
  </si>
  <si>
    <t>S001</t>
  </si>
  <si>
    <t>S002</t>
  </si>
  <si>
    <t>درب6ک</t>
  </si>
  <si>
    <t>سبد6ک مشکی</t>
  </si>
  <si>
    <t>1405/07/17</t>
  </si>
  <si>
    <t>1405/07/18</t>
  </si>
  <si>
    <t>1405/07/12</t>
  </si>
  <si>
    <t>9ک مشکی</t>
  </si>
  <si>
    <t>ریلی کوچک آبی</t>
  </si>
  <si>
    <t>تک رج آبی بزرگ</t>
  </si>
  <si>
    <t>آبی25*20</t>
  </si>
  <si>
    <t>1405/07/24</t>
  </si>
  <si>
    <t>S003</t>
  </si>
  <si>
    <t>1405/07/19</t>
  </si>
  <si>
    <t>1405/07/20</t>
  </si>
  <si>
    <t>1405/07/23</t>
  </si>
  <si>
    <t>6ک مشکی</t>
  </si>
  <si>
    <t>8ک مشکی</t>
  </si>
  <si>
    <t>1405/07/22</t>
  </si>
  <si>
    <t>1405/07/25</t>
  </si>
  <si>
    <t>1405/08/01</t>
  </si>
  <si>
    <t>1405/07/26</t>
  </si>
  <si>
    <t>1405/07/28</t>
  </si>
  <si>
    <t>1405/07/29</t>
  </si>
  <si>
    <t>1405/08/03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</si>
</sst>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11"/>
      <color theme="1"/>
      <name val="Arial"/>
      <family val="2"/>
      <scheme val="minor"/>
    </font>
    <font>
      <b/>
      <sz val="15"/>
      <color rgb="FFFFFFFF"/>
      <name val="Tahoma"/>
      <family val="2"/>
    </font>
    <font>
      <sz val="8"/>
      <color rgb="FFC8E6C9"/>
      <name val="Tahoma"/>
      <family val="2"/>
    </font>
    <font>
      <b/>
      <sz val="8"/>
      <color rgb="FFC62828"/>
      <name val="Tahoma"/>
      <family val="2"/>
    </font>
    <font>
      <b/>
      <sz val="8"/>
      <color rgb="FFFFFFFF"/>
      <name val="Tahoma"/>
      <family val="2"/>
    </font>
    <font>
      <b/>
      <sz val="13"/>
      <color rgb="FFE65100"/>
      <name val="Tahoma"/>
      <family val="2"/>
    </font>
    <font>
      <i/>
      <sz val="8"/>
      <color rgb="FF607D8B"/>
      <name val="Tahoma"/>
      <family val="2"/>
    </font>
    <font>
      <b/>
      <sz val="9.5"/>
      <color rgb="FFFFFFFF"/>
      <name val="Tahoma"/>
      <family val="2"/>
    </font>
    <font>
      <sz val="6.5"/>
      <color rgb="FF546E7A"/>
      <name val="Tahoma"/>
      <family val="2"/>
    </font>
    <font>
      <sz val="9"/>
      <color rgb="FF263238"/>
      <name val="Tahoma"/>
      <family val="2"/>
    </font>
    <font>
      <b/>
      <sz val="9"/>
      <color rgb="FF263238"/>
      <name val="Tahoma"/>
      <family val="2"/>
    </font>
    <font>
      <b/>
      <sz val="9"/>
      <color rgb="FF607D8B"/>
      <name val="Tahoma"/>
      <family val="2"/>
    </font>
    <font>
      <b/>
      <sz val="12"/>
      <color rgb="FFE65100"/>
      <name val="Tahoma"/>
      <family val="2"/>
    </font>
    <font>
      <i/>
      <sz val="7.5"/>
      <color rgb="FF607D8B"/>
      <name val="Tahoma"/>
      <family val="2"/>
    </font>
    <font>
      <b/>
      <sz val="8.5"/>
      <color rgb="FF607D8B"/>
      <name val="Tahoma"/>
      <family val="2"/>
    </font>
    <font>
      <sz val="10"/>
      <color rgb="FF263238"/>
      <name val="Tahoma"/>
      <family val="2"/>
    </font>
    <font>
      <b/>
      <sz val="10"/>
      <color rgb="FF263238"/>
      <name val="Tahoma"/>
      <family val="2"/>
    </font>
    <font>
      <b/>
      <sz val="7.5"/>
      <color rgb="FF607D8B"/>
      <name val="Tahoma"/>
      <family val="2"/>
    </font>
    <font>
      <b/>
      <sz val="11"/>
      <color rgb="FF263238"/>
      <name val="Tahoma"/>
      <family val="2"/>
    </font>
    <font>
      <sz val="9"/>
      <color rgb="FF607D8B"/>
      <name val="Tahoma"/>
      <family val="2"/>
    </font>
    <font>
      <b/>
      <sz val="10"/>
      <color rgb="FFFFFFFF"/>
      <name val="Tahoma"/>
      <family val="2"/>
    </font>
    <font>
      <b/>
      <sz val="9"/>
      <color rgb="FF1B5E20"/>
      <name val="Tahoma"/>
      <family val="2"/>
    </font>
    <font>
      <b/>
      <sz val="10"/>
      <color rgb="FF1B5E20"/>
      <name val="Tahoma"/>
      <family val="2"/>
    </font>
    <font>
      <b/>
      <sz val="10.5"/>
      <color rgb="FFFFFFFF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607D8B"/>
      </patternFill>
    </fill>
    <fill>
      <patternFill patternType="solid">
        <fgColor rgb="FFE65100"/>
      </patternFill>
    </fill>
    <fill>
      <patternFill patternType="solid">
        <fgColor rgb="FFF1F8F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EF3F1"/>
      </patternFill>
    </fill>
    <fill>
      <patternFill patternType="solid">
        <fgColor rgb="FFFFF9C4"/>
      </patternFill>
    </fill>
    <fill>
      <patternFill patternType="solid">
        <fgColor rgb="FFF3F8F3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  <border>
      <left style="medium">
        <color rgb="FF78909C"/>
      </left>
      <right style="medium">
        <color rgb="FF78909C"/>
      </right>
      <top style="medium">
        <color rgb="FF78909C"/>
      </top>
      <bottom style="medium">
        <color rgb="FF78909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 vertical="center"/>
    </xf>
    <xf numFmtId="3" fontId="10" fillId="10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3" fontId="22" fillId="9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9" fontId="22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right" vertical="center" wrapText="1"/>
    </xf>
    <xf numFmtId="3" fontId="18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right" vertical="center"/>
    </xf>
    <xf numFmtId="3" fontId="16" fillId="11" borderId="4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right" vertical="center"/>
    </xf>
    <xf numFmtId="49" fontId="12" fillId="11" borderId="4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9" fillId="12" borderId="1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right" vertical="center" wrapText="1"/>
    </xf>
    <xf numFmtId="0" fontId="12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sz val="9"/>
        <color rgb="FFC62828"/>
        <name val="Tahoma"/>
      </font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</dxf>
    <dxf>
      <font>
        <b/>
        <sz val="9"/>
        <color rgb="FFE65100"/>
        <name val="Tahoma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Help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  <cell r="B10" t="str">
            <v>فروشنده</v>
          </cell>
          <cell r="C10"/>
          <cell r="D10" t="str">
            <v>امید زاهدی</v>
          </cell>
          <cell r="J10"/>
          <cell r="K10"/>
        </row>
        <row r="11">
          <cell r="A11" t="str">
            <v>C005</v>
          </cell>
          <cell r="B11" t="str">
            <v>فروشنده</v>
          </cell>
          <cell r="C11"/>
          <cell r="D11" t="str">
            <v>بار شخصی قاسم زاهدی</v>
          </cell>
          <cell r="J11"/>
          <cell r="K11"/>
        </row>
        <row r="12">
          <cell r="A12" t="str">
            <v>C006</v>
          </cell>
          <cell r="B12" t="str">
            <v>فروشنده</v>
          </cell>
          <cell r="C12"/>
          <cell r="D12" t="str">
            <v>هوشنگ عیسی پور</v>
          </cell>
          <cell r="J12"/>
          <cell r="K12"/>
        </row>
        <row r="13">
          <cell r="A13" t="str">
            <v>C007</v>
          </cell>
          <cell r="B13" t="str">
            <v>فروشنده</v>
          </cell>
          <cell r="C13"/>
          <cell r="D13" t="str">
            <v>علی آهنگر</v>
          </cell>
          <cell r="J13"/>
          <cell r="K13"/>
        </row>
        <row r="14">
          <cell r="A14" t="str">
            <v>C008</v>
          </cell>
          <cell r="B14" t="str">
            <v>فروشنده</v>
          </cell>
          <cell r="C14"/>
          <cell r="D14" t="str">
            <v>صفدر مسلمی</v>
          </cell>
          <cell r="J14"/>
          <cell r="K14"/>
        </row>
        <row r="15">
          <cell r="A15" t="str">
            <v>C009</v>
          </cell>
          <cell r="B15" t="str">
            <v>فروشنده</v>
          </cell>
          <cell r="C15"/>
          <cell r="D15" t="str">
            <v>همایون بابایی</v>
          </cell>
          <cell r="J15"/>
          <cell r="K15"/>
        </row>
        <row r="16">
          <cell r="A16" t="str">
            <v>C010</v>
          </cell>
          <cell r="B16" t="str">
            <v>فروشنده</v>
          </cell>
          <cell r="C16"/>
          <cell r="D16" t="str">
            <v>دبیر فرجی</v>
          </cell>
          <cell r="J16"/>
          <cell r="K16"/>
        </row>
        <row r="17">
          <cell r="A17" t="str">
            <v>C011</v>
          </cell>
          <cell r="B17" t="str">
            <v>فروشنده</v>
          </cell>
          <cell r="C17"/>
          <cell r="D17" t="str">
            <v>محمود علیجانی</v>
          </cell>
          <cell r="J17"/>
          <cell r="K17"/>
        </row>
        <row r="18">
          <cell r="A18" t="str">
            <v>C012</v>
          </cell>
          <cell r="B18" t="str">
            <v>فروشنده</v>
          </cell>
          <cell r="C18"/>
          <cell r="D18" t="str">
            <v>افشین بشتکار</v>
          </cell>
          <cell r="J18"/>
          <cell r="K18"/>
        </row>
        <row r="19">
          <cell r="A19" t="str">
            <v>C013</v>
          </cell>
          <cell r="B19" t="str">
            <v>فروشنده</v>
          </cell>
          <cell r="C19"/>
          <cell r="D19" t="str">
            <v>میرقربان موسویان</v>
          </cell>
          <cell r="J19"/>
          <cell r="K19"/>
        </row>
        <row r="20">
          <cell r="A20" t="str">
            <v>C014</v>
          </cell>
          <cell r="B20" t="str">
            <v>فروشنده</v>
          </cell>
          <cell r="C20"/>
          <cell r="D20" t="str">
            <v>باباجانی (تراجیکلا)</v>
          </cell>
          <cell r="J20"/>
          <cell r="K20"/>
        </row>
        <row r="21">
          <cell r="A21" t="str">
            <v>C015</v>
          </cell>
          <cell r="B21" t="str">
            <v>فروشنده</v>
          </cell>
          <cell r="C21"/>
          <cell r="D21" t="str">
            <v>کاظم میرزازاده</v>
          </cell>
          <cell r="J21"/>
          <cell r="K21"/>
        </row>
        <row r="22">
          <cell r="A22" t="str">
            <v>C016</v>
          </cell>
          <cell r="B22" t="str">
            <v>فروشنده</v>
          </cell>
          <cell r="C22"/>
          <cell r="D22" t="str">
            <v>علی جانبرارپور</v>
          </cell>
          <cell r="J22"/>
          <cell r="K22"/>
        </row>
        <row r="23">
          <cell r="A23" t="str">
            <v>C017</v>
          </cell>
          <cell r="B23" t="str">
            <v>فروشنده</v>
          </cell>
          <cell r="C23"/>
          <cell r="D23" t="str">
            <v>لیلا محمودنیا</v>
          </cell>
          <cell r="J23"/>
          <cell r="K23"/>
        </row>
        <row r="24">
          <cell r="A24" t="str">
            <v>C018</v>
          </cell>
          <cell r="B24" t="str">
            <v>فروشنده</v>
          </cell>
          <cell r="C24"/>
          <cell r="D24" t="str">
            <v>اسماعیل خانیا</v>
          </cell>
          <cell r="J24"/>
          <cell r="K24"/>
        </row>
        <row r="25">
          <cell r="A25" t="str">
            <v>C019</v>
          </cell>
          <cell r="B25" t="str">
            <v>فروشنده</v>
          </cell>
          <cell r="C25"/>
          <cell r="D25" t="str">
            <v>یوسف یوسف نژاد</v>
          </cell>
          <cell r="J25"/>
          <cell r="K25"/>
        </row>
        <row r="26">
          <cell r="A26" t="str">
            <v>C020</v>
          </cell>
          <cell r="B26" t="str">
            <v>فروشنده</v>
          </cell>
          <cell r="C26"/>
          <cell r="D26" t="str">
            <v>علی نوایی</v>
          </cell>
          <cell r="J26"/>
          <cell r="K26"/>
        </row>
        <row r="27">
          <cell r="A27" t="str">
            <v>C021</v>
          </cell>
          <cell r="B27" t="str">
            <v>فروشنده</v>
          </cell>
          <cell r="C27"/>
          <cell r="D27" t="str">
            <v>دومیری</v>
          </cell>
          <cell r="J27"/>
          <cell r="K27"/>
        </row>
        <row r="28">
          <cell r="A28" t="str">
            <v>C022</v>
          </cell>
          <cell r="B28" t="str">
            <v>فروشنده</v>
          </cell>
          <cell r="C28"/>
          <cell r="D28" t="str">
            <v>شمسعلی علیجانی</v>
          </cell>
          <cell r="J28"/>
          <cell r="K28"/>
        </row>
        <row r="29">
          <cell r="A29" t="str">
            <v>C023</v>
          </cell>
          <cell r="B29" t="str">
            <v>فروشنده</v>
          </cell>
          <cell r="C29"/>
          <cell r="D29" t="str">
            <v>یوسف نیا(موزیج)</v>
          </cell>
          <cell r="J29"/>
          <cell r="K29"/>
        </row>
        <row r="30">
          <cell r="A30" t="str">
            <v>C024</v>
          </cell>
          <cell r="B30" t="str">
            <v>فروشنده</v>
          </cell>
          <cell r="C30"/>
          <cell r="D30" t="str">
            <v>کاظم ذبیح پور</v>
          </cell>
          <cell r="J30"/>
          <cell r="K30"/>
        </row>
        <row r="31">
          <cell r="A31" t="str">
            <v>C025</v>
          </cell>
          <cell r="B31" t="str">
            <v>فروشنده</v>
          </cell>
          <cell r="C31"/>
          <cell r="D31" t="str">
            <v>علی غلام رضاپور</v>
          </cell>
          <cell r="J31"/>
          <cell r="K31"/>
        </row>
        <row r="32">
          <cell r="A32" t="str">
            <v>C026</v>
          </cell>
          <cell r="B32" t="str">
            <v>فروشنده</v>
          </cell>
          <cell r="C32"/>
          <cell r="D32" t="str">
            <v>حسین شکرالله نیا</v>
          </cell>
          <cell r="J32"/>
          <cell r="K32"/>
        </row>
        <row r="33">
          <cell r="A33" t="str">
            <v>C027</v>
          </cell>
          <cell r="B33" t="str">
            <v>فروشنده</v>
          </cell>
          <cell r="C33"/>
          <cell r="D33" t="str">
            <v>سید مهدی حسینی(دوست حاج هوشنگ)</v>
          </cell>
          <cell r="J33"/>
          <cell r="K33"/>
        </row>
        <row r="34">
          <cell r="A34" t="str">
            <v>C028</v>
          </cell>
          <cell r="B34" t="str">
            <v>فروشنده</v>
          </cell>
          <cell r="C34"/>
          <cell r="D34" t="str">
            <v>آقای عزیزی</v>
          </cell>
          <cell r="J34"/>
          <cell r="K34"/>
        </row>
        <row r="35">
          <cell r="A35" t="str">
            <v>C029</v>
          </cell>
          <cell r="B35" t="str">
            <v>فروشنده</v>
          </cell>
          <cell r="C35"/>
          <cell r="D35" t="str">
            <v>آقای حبیبی(بانک صادرات)</v>
          </cell>
          <cell r="J35"/>
          <cell r="K35"/>
        </row>
        <row r="36">
          <cell r="A36" t="str">
            <v>C030</v>
          </cell>
          <cell r="B36" t="str">
            <v>فروشنده</v>
          </cell>
          <cell r="C36"/>
          <cell r="D36" t="str">
            <v>محمد علی اصغرزاده</v>
          </cell>
          <cell r="J36"/>
          <cell r="K36"/>
        </row>
        <row r="37">
          <cell r="A37" t="str">
            <v>C031</v>
          </cell>
          <cell r="B37" t="str">
            <v>فروشنده</v>
          </cell>
          <cell r="C37"/>
          <cell r="D37" t="str">
            <v>فغان پور</v>
          </cell>
          <cell r="J37"/>
          <cell r="K37"/>
        </row>
        <row r="38">
          <cell r="A38" t="str">
            <v>C032</v>
          </cell>
          <cell r="B38" t="str">
            <v>فروشنده</v>
          </cell>
          <cell r="C38"/>
          <cell r="D38" t="str">
            <v>عباس پور(بهنمیر)</v>
          </cell>
          <cell r="J38"/>
          <cell r="K38"/>
        </row>
        <row r="39">
          <cell r="A39" t="str">
            <v>C033</v>
          </cell>
          <cell r="B39" t="str">
            <v>فروشنده</v>
          </cell>
          <cell r="C39"/>
          <cell r="D39" t="str">
            <v>رمضان خانیا(فرهاد پلنگ)</v>
          </cell>
          <cell r="J39"/>
          <cell r="K39"/>
        </row>
        <row r="40">
          <cell r="A40" t="str">
            <v>C034</v>
          </cell>
          <cell r="B40" t="str">
            <v>فروشنده</v>
          </cell>
          <cell r="C40"/>
          <cell r="D40" t="str">
            <v>محمد رضایی</v>
          </cell>
          <cell r="J40"/>
          <cell r="K40"/>
        </row>
        <row r="41">
          <cell r="A41" t="str">
            <v>C035</v>
          </cell>
          <cell r="B41" t="str">
            <v>فروشنده</v>
          </cell>
          <cell r="C41"/>
          <cell r="D41" t="str">
            <v>داریوش اسماعیلی</v>
          </cell>
          <cell r="J41"/>
          <cell r="K41"/>
        </row>
        <row r="42">
          <cell r="A42" t="str">
            <v>C036</v>
          </cell>
          <cell r="B42" t="str">
            <v>فروشنده</v>
          </cell>
          <cell r="C42"/>
          <cell r="D42" t="str">
            <v>محسن قبادی</v>
          </cell>
          <cell r="J42"/>
          <cell r="K42"/>
        </row>
        <row r="43">
          <cell r="A43" t="str">
            <v>C037</v>
          </cell>
          <cell r="B43" t="str">
            <v>فروشنده</v>
          </cell>
          <cell r="C43"/>
          <cell r="D43" t="str">
            <v>خانم قلی پور(یوسف نیا)</v>
          </cell>
          <cell r="J43"/>
          <cell r="K43"/>
        </row>
        <row r="44">
          <cell r="A44" t="str">
            <v>C038</v>
          </cell>
          <cell r="B44" t="str">
            <v>فروشنده</v>
          </cell>
          <cell r="C44"/>
          <cell r="D44" t="str">
            <v>مهدی ولیپور</v>
          </cell>
          <cell r="J44"/>
          <cell r="K44"/>
        </row>
        <row r="45">
          <cell r="A45" t="str">
            <v>C039</v>
          </cell>
          <cell r="B45" t="str">
            <v>فروشنده</v>
          </cell>
          <cell r="C45"/>
          <cell r="D45" t="str">
            <v>رمضان علی محمدیان</v>
          </cell>
          <cell r="J45"/>
          <cell r="K45"/>
        </row>
        <row r="46">
          <cell r="A46" t="str">
            <v>C040</v>
          </cell>
          <cell r="B46" t="str">
            <v>فروشنده</v>
          </cell>
          <cell r="C46"/>
          <cell r="D46" t="str">
            <v>محمود آهنگر</v>
          </cell>
          <cell r="J46"/>
          <cell r="K46"/>
        </row>
        <row r="47">
          <cell r="A47" t="str">
            <v>C041</v>
          </cell>
          <cell r="B47" t="str">
            <v>فروشنده</v>
          </cell>
          <cell r="C47"/>
          <cell r="D47" t="str">
            <v>محمد حسین عزیزی</v>
          </cell>
          <cell r="J47"/>
          <cell r="K47"/>
        </row>
        <row r="48">
          <cell r="A48" t="str">
            <v>C042</v>
          </cell>
          <cell r="B48" t="str">
            <v>فروشنده</v>
          </cell>
          <cell r="C48"/>
          <cell r="D48" t="str">
            <v>مغداد طلایی</v>
          </cell>
          <cell r="J48"/>
          <cell r="K48"/>
        </row>
        <row r="49">
          <cell r="A49" t="str">
            <v>C043</v>
          </cell>
          <cell r="B49" t="str">
            <v>فروشنده</v>
          </cell>
          <cell r="C49"/>
          <cell r="D49" t="str">
            <v>سید عبدالله میراقازاده</v>
          </cell>
          <cell r="J49"/>
          <cell r="K49"/>
        </row>
        <row r="50">
          <cell r="A50" t="str">
            <v>C044</v>
          </cell>
          <cell r="B50" t="str">
            <v>فروشنده</v>
          </cell>
          <cell r="C50"/>
          <cell r="D50" t="str">
            <v>رجب پور</v>
          </cell>
          <cell r="J50"/>
          <cell r="K50"/>
        </row>
        <row r="51">
          <cell r="A51" t="str">
            <v>C045</v>
          </cell>
          <cell r="B51" t="str">
            <v>فروشنده</v>
          </cell>
          <cell r="C51"/>
          <cell r="D51" t="str">
            <v>سعید بابایی</v>
          </cell>
          <cell r="J51"/>
          <cell r="K51"/>
        </row>
        <row r="52">
          <cell r="A52" t="str">
            <v>C046</v>
          </cell>
          <cell r="B52" t="str">
            <v>فروشنده</v>
          </cell>
          <cell r="C52"/>
          <cell r="D52" t="str">
            <v>مطلب عیسی پور</v>
          </cell>
          <cell r="J52"/>
          <cell r="K52"/>
        </row>
        <row r="53">
          <cell r="A53" t="str">
            <v>C047</v>
          </cell>
          <cell r="B53" t="str">
            <v>فروشنده</v>
          </cell>
          <cell r="C53"/>
          <cell r="D53"/>
          <cell r="J53"/>
          <cell r="K53"/>
        </row>
        <row r="54">
          <cell r="A54" t="str">
            <v>C048</v>
          </cell>
          <cell r="B54" t="str">
            <v>فروشنده</v>
          </cell>
          <cell r="C54"/>
          <cell r="D54" t="str">
            <v>تقی اصغرنیا</v>
          </cell>
          <cell r="J54"/>
          <cell r="K54"/>
        </row>
        <row r="55">
          <cell r="A55" t="str">
            <v>C049</v>
          </cell>
          <cell r="B55" t="str">
            <v>فروشنده</v>
          </cell>
          <cell r="C55"/>
          <cell r="D55" t="str">
            <v>مدانلو</v>
          </cell>
          <cell r="J55"/>
          <cell r="K55"/>
        </row>
        <row r="56">
          <cell r="A56" t="str">
            <v>C050</v>
          </cell>
          <cell r="B56" t="str">
            <v>فروشنده</v>
          </cell>
          <cell r="C56"/>
          <cell r="D56" t="str">
            <v>خدیجه اصغرنیا</v>
          </cell>
          <cell r="J56"/>
          <cell r="K56"/>
        </row>
        <row r="57">
          <cell r="A57" t="str">
            <v>C051</v>
          </cell>
          <cell r="B57" t="str">
            <v>فروشنده</v>
          </cell>
          <cell r="C57"/>
          <cell r="D57" t="str">
            <v>اصغر عزیزی</v>
          </cell>
          <cell r="J57"/>
          <cell r="K57"/>
        </row>
        <row r="58">
          <cell r="A58" t="str">
            <v>C052</v>
          </cell>
          <cell r="B58" t="str">
            <v>فروشنده</v>
          </cell>
          <cell r="C58"/>
          <cell r="D58" t="str">
            <v>غلامی</v>
          </cell>
          <cell r="J58"/>
          <cell r="K58"/>
        </row>
        <row r="59">
          <cell r="A59" t="str">
            <v>C053</v>
          </cell>
          <cell r="B59" t="str">
            <v>فروشنده</v>
          </cell>
          <cell r="C59"/>
          <cell r="D59" t="str">
            <v>علی عزیزنژاد</v>
          </cell>
          <cell r="J59"/>
          <cell r="K59"/>
        </row>
        <row r="60">
          <cell r="A60" t="str">
            <v>C054</v>
          </cell>
          <cell r="B60" t="str">
            <v>فروشنده</v>
          </cell>
          <cell r="C60"/>
          <cell r="D60" t="str">
            <v>حسن عیسی پور</v>
          </cell>
          <cell r="J60"/>
          <cell r="K60"/>
        </row>
        <row r="61">
          <cell r="A61" t="str">
            <v>C055</v>
          </cell>
          <cell r="B61" t="str">
            <v>فروشنده</v>
          </cell>
          <cell r="C61"/>
          <cell r="D61" t="str">
            <v>عسگری محمودی</v>
          </cell>
          <cell r="J61"/>
          <cell r="K61"/>
        </row>
        <row r="62">
          <cell r="A62" t="str">
            <v>C056</v>
          </cell>
          <cell r="B62" t="str">
            <v>فروشنده</v>
          </cell>
          <cell r="C62"/>
          <cell r="D62" t="str">
            <v>اسماعیل حیدری</v>
          </cell>
          <cell r="J62"/>
          <cell r="K62"/>
        </row>
        <row r="63">
          <cell r="A63" t="str">
            <v>C057</v>
          </cell>
          <cell r="B63" t="str">
            <v>فروشنده</v>
          </cell>
          <cell r="C63"/>
          <cell r="D63" t="str">
            <v>کبری اصغرنیا</v>
          </cell>
          <cell r="J63"/>
          <cell r="K63"/>
        </row>
        <row r="64">
          <cell r="A64" t="str">
            <v>C058</v>
          </cell>
          <cell r="B64" t="str">
            <v>فروشنده</v>
          </cell>
          <cell r="C64"/>
          <cell r="D64" t="str">
            <v>حسین زاده(کیاکلا)</v>
          </cell>
          <cell r="J64"/>
          <cell r="K64"/>
        </row>
        <row r="65">
          <cell r="A65" t="str">
            <v>C059</v>
          </cell>
          <cell r="B65" t="str">
            <v>فروشنده</v>
          </cell>
          <cell r="C65"/>
          <cell r="D65" t="str">
            <v>مجتبی اتش پیکر</v>
          </cell>
          <cell r="J65"/>
          <cell r="K65"/>
        </row>
        <row r="66">
          <cell r="A66" t="str">
            <v>C060</v>
          </cell>
          <cell r="B66" t="str">
            <v>فروشنده</v>
          </cell>
          <cell r="C66"/>
          <cell r="D66" t="str">
            <v>سید جلیل میرحسینی</v>
          </cell>
          <cell r="J66"/>
          <cell r="K66"/>
        </row>
        <row r="67">
          <cell r="A67" t="str">
            <v>C061</v>
          </cell>
          <cell r="B67" t="str">
            <v>فروشنده</v>
          </cell>
          <cell r="C67"/>
          <cell r="D67" t="str">
            <v>عبدالله  مهدی پور روشن</v>
          </cell>
          <cell r="J67"/>
          <cell r="K67"/>
        </row>
        <row r="68">
          <cell r="A68" t="str">
            <v>C062</v>
          </cell>
          <cell r="B68" t="str">
            <v>فروشنده</v>
          </cell>
          <cell r="C68"/>
          <cell r="D68"/>
          <cell r="J68"/>
          <cell r="K68"/>
        </row>
        <row r="69">
          <cell r="A69" t="str">
            <v>C063</v>
          </cell>
          <cell r="B69" t="str">
            <v>فروشنده</v>
          </cell>
          <cell r="C69"/>
          <cell r="D69"/>
          <cell r="J69"/>
          <cell r="K69"/>
        </row>
        <row r="70">
          <cell r="A70" t="str">
            <v>C064</v>
          </cell>
          <cell r="B70"/>
          <cell r="C70"/>
          <cell r="D70"/>
          <cell r="J70"/>
          <cell r="K70"/>
        </row>
        <row r="71">
          <cell r="A71" t="str">
            <v>C065</v>
          </cell>
          <cell r="B71"/>
          <cell r="C71"/>
          <cell r="D71"/>
          <cell r="J71"/>
          <cell r="K71"/>
        </row>
        <row r="72">
          <cell r="A72" t="str">
            <v>C066</v>
          </cell>
          <cell r="B72"/>
          <cell r="C72"/>
          <cell r="D72"/>
          <cell r="J72"/>
          <cell r="K72"/>
        </row>
        <row r="73">
          <cell r="A73" t="str">
            <v>C067</v>
          </cell>
          <cell r="B73"/>
          <cell r="C73"/>
          <cell r="D73"/>
          <cell r="J73"/>
          <cell r="K73"/>
        </row>
        <row r="74">
          <cell r="A74" t="str">
            <v>C068</v>
          </cell>
          <cell r="B74"/>
          <cell r="C74"/>
          <cell r="D74"/>
          <cell r="J74"/>
          <cell r="K74"/>
        </row>
        <row r="75">
          <cell r="A75" t="str">
            <v>C069</v>
          </cell>
          <cell r="B75"/>
          <cell r="C75"/>
          <cell r="D75"/>
          <cell r="J75"/>
          <cell r="K75"/>
        </row>
        <row r="76">
          <cell r="A76" t="str">
            <v>C070</v>
          </cell>
          <cell r="B76"/>
          <cell r="C76"/>
          <cell r="D76"/>
          <cell r="J76"/>
          <cell r="K76"/>
        </row>
        <row r="77">
          <cell r="A77" t="str">
            <v>C071</v>
          </cell>
          <cell r="B77"/>
          <cell r="C77"/>
          <cell r="D77"/>
          <cell r="J77"/>
          <cell r="K77"/>
        </row>
        <row r="78">
          <cell r="A78" t="str">
            <v>C072</v>
          </cell>
          <cell r="B78"/>
          <cell r="C78"/>
          <cell r="D78"/>
          <cell r="J78"/>
          <cell r="K78"/>
        </row>
        <row r="79">
          <cell r="A79" t="str">
            <v>C073</v>
          </cell>
          <cell r="B79"/>
          <cell r="C79"/>
          <cell r="D79"/>
          <cell r="J79"/>
          <cell r="K79"/>
        </row>
        <row r="80">
          <cell r="A80" t="str">
            <v>C074</v>
          </cell>
          <cell r="B80"/>
          <cell r="C80"/>
          <cell r="D80"/>
          <cell r="J80"/>
          <cell r="K80"/>
        </row>
        <row r="81">
          <cell r="A81" t="str">
            <v>C075</v>
          </cell>
          <cell r="B81"/>
          <cell r="C81"/>
          <cell r="D81"/>
          <cell r="J81"/>
          <cell r="K81"/>
        </row>
        <row r="82">
          <cell r="A82" t="str">
            <v>C076</v>
          </cell>
          <cell r="B82"/>
          <cell r="C82"/>
          <cell r="D82"/>
          <cell r="J82"/>
          <cell r="K82"/>
        </row>
        <row r="83">
          <cell r="A83" t="str">
            <v>C077</v>
          </cell>
          <cell r="B83"/>
          <cell r="C83"/>
          <cell r="D83"/>
          <cell r="J83"/>
          <cell r="K83"/>
        </row>
        <row r="84">
          <cell r="A84" t="str">
            <v>C078</v>
          </cell>
          <cell r="B84"/>
          <cell r="C84"/>
          <cell r="D84"/>
          <cell r="J84"/>
          <cell r="K84"/>
        </row>
        <row r="85">
          <cell r="A85" t="str">
            <v>C079</v>
          </cell>
          <cell r="B85"/>
          <cell r="C85"/>
          <cell r="D85"/>
          <cell r="J85"/>
          <cell r="K85"/>
        </row>
        <row r="86">
          <cell r="A86" t="str">
            <v>C080</v>
          </cell>
          <cell r="B86"/>
          <cell r="C86"/>
          <cell r="D86"/>
          <cell r="J86"/>
          <cell r="K86"/>
        </row>
        <row r="87">
          <cell r="A87" t="str">
            <v>C081</v>
          </cell>
          <cell r="B87"/>
          <cell r="C87"/>
          <cell r="D87"/>
          <cell r="J87"/>
          <cell r="K87"/>
        </row>
        <row r="88">
          <cell r="A88" t="str">
            <v>C082</v>
          </cell>
          <cell r="B88"/>
          <cell r="C88"/>
          <cell r="D88"/>
          <cell r="J88"/>
          <cell r="K88"/>
        </row>
        <row r="89">
          <cell r="A89" t="str">
            <v>C083</v>
          </cell>
          <cell r="B89"/>
          <cell r="C89"/>
          <cell r="D89"/>
          <cell r="J89"/>
          <cell r="K89"/>
        </row>
        <row r="90">
          <cell r="A90" t="str">
            <v>C084</v>
          </cell>
          <cell r="B90"/>
          <cell r="C90"/>
          <cell r="D90"/>
          <cell r="J90"/>
          <cell r="K90"/>
        </row>
        <row r="91">
          <cell r="A91" t="str">
            <v>C085</v>
          </cell>
          <cell r="B91"/>
          <cell r="C91"/>
          <cell r="D91"/>
          <cell r="J91"/>
          <cell r="K91"/>
        </row>
        <row r="92">
          <cell r="A92" t="str">
            <v>C086</v>
          </cell>
          <cell r="B92"/>
          <cell r="C92"/>
          <cell r="D92"/>
          <cell r="J92"/>
          <cell r="K92"/>
        </row>
        <row r="93">
          <cell r="A93" t="str">
            <v>C087</v>
          </cell>
          <cell r="B93"/>
          <cell r="C93"/>
          <cell r="D93"/>
          <cell r="J93"/>
          <cell r="K93"/>
        </row>
        <row r="94">
          <cell r="A94" t="str">
            <v>C088</v>
          </cell>
          <cell r="B94"/>
          <cell r="C94"/>
          <cell r="D94"/>
          <cell r="J94"/>
          <cell r="K94"/>
        </row>
        <row r="95">
          <cell r="A95" t="str">
            <v>C089</v>
          </cell>
          <cell r="B95"/>
          <cell r="C95"/>
          <cell r="D95"/>
          <cell r="J95"/>
          <cell r="K95"/>
        </row>
        <row r="96">
          <cell r="A96" t="str">
            <v>C090</v>
          </cell>
          <cell r="B96"/>
          <cell r="C96"/>
          <cell r="D96"/>
          <cell r="J96"/>
          <cell r="K96"/>
        </row>
        <row r="97">
          <cell r="A97" t="str">
            <v>C091</v>
          </cell>
          <cell r="B97"/>
          <cell r="C97"/>
          <cell r="D97"/>
          <cell r="J97"/>
          <cell r="K97"/>
        </row>
        <row r="98">
          <cell r="A98" t="str">
            <v>C092</v>
          </cell>
          <cell r="B98"/>
          <cell r="C98"/>
          <cell r="D98"/>
          <cell r="J98"/>
          <cell r="K98"/>
        </row>
        <row r="99">
          <cell r="A99" t="str">
            <v>C093</v>
          </cell>
          <cell r="B99"/>
          <cell r="C99"/>
          <cell r="D99"/>
          <cell r="J99"/>
          <cell r="K99"/>
        </row>
        <row r="100">
          <cell r="A100" t="str">
            <v>C094</v>
          </cell>
          <cell r="B100"/>
          <cell r="C100"/>
          <cell r="D100"/>
          <cell r="J100"/>
          <cell r="K100"/>
        </row>
        <row r="101">
          <cell r="A101" t="str">
            <v>C095</v>
          </cell>
          <cell r="B101"/>
          <cell r="C101"/>
          <cell r="D101"/>
          <cell r="J101"/>
          <cell r="K101"/>
        </row>
        <row r="102">
          <cell r="A102" t="str">
            <v>C096</v>
          </cell>
          <cell r="B102"/>
          <cell r="C102"/>
          <cell r="D102"/>
          <cell r="J102"/>
          <cell r="K102"/>
        </row>
        <row r="103">
          <cell r="A103" t="str">
            <v>C097</v>
          </cell>
          <cell r="B103"/>
          <cell r="C103"/>
          <cell r="D103"/>
          <cell r="J103"/>
          <cell r="K103"/>
        </row>
        <row r="104">
          <cell r="A104" t="str">
            <v>C098</v>
          </cell>
          <cell r="B104"/>
          <cell r="C104"/>
          <cell r="D104"/>
          <cell r="J104"/>
          <cell r="K104"/>
        </row>
        <row r="105">
          <cell r="A105" t="str">
            <v>C099</v>
          </cell>
          <cell r="B105"/>
          <cell r="C105"/>
          <cell r="D105"/>
          <cell r="J105"/>
          <cell r="K105"/>
        </row>
        <row r="106">
          <cell r="A106" t="str">
            <v>C100</v>
          </cell>
          <cell r="B106"/>
          <cell r="C106"/>
          <cell r="D106"/>
          <cell r="J106"/>
          <cell r="K106"/>
        </row>
        <row r="107">
          <cell r="A107" t="str">
            <v>C101</v>
          </cell>
          <cell r="B107"/>
          <cell r="C107"/>
          <cell r="D107"/>
          <cell r="J107"/>
          <cell r="K107"/>
        </row>
        <row r="108">
          <cell r="A108" t="str">
            <v>C102</v>
          </cell>
          <cell r="B108"/>
          <cell r="C108"/>
          <cell r="D108"/>
          <cell r="J108"/>
          <cell r="K108"/>
        </row>
        <row r="109">
          <cell r="A109" t="str">
            <v>C103</v>
          </cell>
          <cell r="B109"/>
          <cell r="C109"/>
          <cell r="D109"/>
          <cell r="J109"/>
          <cell r="K109"/>
        </row>
        <row r="110">
          <cell r="A110" t="str">
            <v>C104</v>
          </cell>
          <cell r="B110"/>
          <cell r="C110"/>
          <cell r="D110"/>
          <cell r="J110"/>
          <cell r="K110"/>
        </row>
        <row r="111">
          <cell r="A111" t="str">
            <v>C105</v>
          </cell>
          <cell r="B111"/>
          <cell r="C111"/>
          <cell r="D111"/>
          <cell r="J111"/>
          <cell r="K111"/>
        </row>
        <row r="112">
          <cell r="A112" t="str">
            <v>C106</v>
          </cell>
          <cell r="B112"/>
          <cell r="C112"/>
          <cell r="D112"/>
          <cell r="J112"/>
          <cell r="K112"/>
        </row>
        <row r="113">
          <cell r="A113" t="str">
            <v>C107</v>
          </cell>
          <cell r="B113"/>
          <cell r="C113"/>
          <cell r="D113"/>
          <cell r="J113"/>
          <cell r="K113"/>
        </row>
        <row r="114">
          <cell r="A114" t="str">
            <v>C108</v>
          </cell>
          <cell r="B114"/>
          <cell r="C114"/>
          <cell r="D114"/>
          <cell r="J114"/>
          <cell r="K114"/>
        </row>
        <row r="115">
          <cell r="A115" t="str">
            <v>C109</v>
          </cell>
          <cell r="B115"/>
          <cell r="C115"/>
          <cell r="D115"/>
          <cell r="J115"/>
          <cell r="K115"/>
        </row>
        <row r="116">
          <cell r="A116" t="str">
            <v>C110</v>
          </cell>
          <cell r="B116"/>
          <cell r="C116"/>
          <cell r="D116"/>
          <cell r="J116"/>
          <cell r="K116"/>
        </row>
        <row r="117">
          <cell r="A117" t="str">
            <v>C111</v>
          </cell>
          <cell r="B117"/>
          <cell r="C117"/>
          <cell r="D117"/>
          <cell r="J117"/>
          <cell r="K117"/>
        </row>
        <row r="118">
          <cell r="A118" t="str">
            <v>C112</v>
          </cell>
          <cell r="B118"/>
          <cell r="C118"/>
          <cell r="D118"/>
          <cell r="J118"/>
          <cell r="K118"/>
        </row>
        <row r="119">
          <cell r="A119" t="str">
            <v>C113</v>
          </cell>
          <cell r="B119"/>
          <cell r="C119"/>
          <cell r="D119"/>
          <cell r="J119"/>
          <cell r="K119"/>
        </row>
        <row r="120">
          <cell r="A120" t="str">
            <v>C114</v>
          </cell>
          <cell r="B120"/>
          <cell r="C120"/>
          <cell r="D120"/>
          <cell r="J120"/>
          <cell r="K120"/>
        </row>
        <row r="121">
          <cell r="A121" t="str">
            <v>C115</v>
          </cell>
          <cell r="B121"/>
          <cell r="C121"/>
          <cell r="D121"/>
          <cell r="J121"/>
          <cell r="K121"/>
        </row>
        <row r="122">
          <cell r="A122" t="str">
            <v>C116</v>
          </cell>
          <cell r="B122"/>
          <cell r="C122"/>
          <cell r="D122"/>
          <cell r="J122"/>
          <cell r="K122"/>
        </row>
        <row r="123">
          <cell r="A123" t="str">
            <v>C117</v>
          </cell>
          <cell r="B123"/>
          <cell r="C123"/>
          <cell r="D123"/>
          <cell r="J123"/>
          <cell r="K123"/>
        </row>
        <row r="124">
          <cell r="A124" t="str">
            <v>C118</v>
          </cell>
          <cell r="B124"/>
          <cell r="C124"/>
          <cell r="D124"/>
          <cell r="J124"/>
          <cell r="K124"/>
        </row>
        <row r="125">
          <cell r="A125" t="str">
            <v>C119</v>
          </cell>
          <cell r="B125"/>
          <cell r="C125"/>
          <cell r="D125"/>
          <cell r="J125"/>
          <cell r="K125"/>
        </row>
        <row r="126">
          <cell r="A126" t="str">
            <v>C120</v>
          </cell>
          <cell r="B126"/>
          <cell r="C126"/>
          <cell r="D126"/>
          <cell r="J126"/>
          <cell r="K126"/>
        </row>
        <row r="127">
          <cell r="A127" t="str">
            <v>C121</v>
          </cell>
          <cell r="B127"/>
          <cell r="C127"/>
          <cell r="D127"/>
          <cell r="J127"/>
          <cell r="K127"/>
        </row>
        <row r="128">
          <cell r="A128" t="str">
            <v>C122</v>
          </cell>
          <cell r="B128"/>
          <cell r="C128"/>
          <cell r="D128"/>
          <cell r="J128"/>
          <cell r="K128"/>
        </row>
        <row r="129">
          <cell r="A129" t="str">
            <v>C123</v>
          </cell>
          <cell r="B129"/>
          <cell r="C129"/>
          <cell r="D129"/>
          <cell r="J129"/>
          <cell r="K129"/>
        </row>
        <row r="130">
          <cell r="A130" t="str">
            <v>C124</v>
          </cell>
          <cell r="B130"/>
          <cell r="C130"/>
          <cell r="D130"/>
          <cell r="J130"/>
          <cell r="K130"/>
        </row>
        <row r="131">
          <cell r="A131" t="str">
            <v>C125</v>
          </cell>
          <cell r="B131"/>
          <cell r="C131"/>
          <cell r="D131"/>
          <cell r="J131"/>
          <cell r="K131"/>
        </row>
        <row r="132">
          <cell r="A132" t="str">
            <v>C126</v>
          </cell>
          <cell r="B132"/>
          <cell r="C132"/>
          <cell r="D132"/>
          <cell r="J132"/>
          <cell r="K132"/>
        </row>
        <row r="133">
          <cell r="A133" t="str">
            <v>C127</v>
          </cell>
          <cell r="B133"/>
          <cell r="C133"/>
          <cell r="D133"/>
          <cell r="J133"/>
          <cell r="K133"/>
        </row>
        <row r="134">
          <cell r="A134" t="str">
            <v>C128</v>
          </cell>
          <cell r="B134"/>
          <cell r="C134"/>
          <cell r="D134"/>
          <cell r="J134"/>
          <cell r="K134"/>
        </row>
        <row r="135">
          <cell r="A135" t="str">
            <v>C129</v>
          </cell>
          <cell r="B135"/>
          <cell r="C135"/>
          <cell r="D135"/>
          <cell r="J135"/>
          <cell r="K135"/>
        </row>
        <row r="136">
          <cell r="A136" t="str">
            <v>C130</v>
          </cell>
          <cell r="B136"/>
          <cell r="C136"/>
          <cell r="D136"/>
          <cell r="J136"/>
          <cell r="K136"/>
        </row>
        <row r="137">
          <cell r="A137" t="str">
            <v>C131</v>
          </cell>
          <cell r="B137"/>
          <cell r="C137"/>
          <cell r="D137"/>
          <cell r="J137"/>
          <cell r="K137"/>
        </row>
        <row r="138">
          <cell r="A138" t="str">
            <v>C132</v>
          </cell>
          <cell r="B138"/>
          <cell r="C138"/>
          <cell r="D138"/>
          <cell r="J138"/>
          <cell r="K138"/>
        </row>
        <row r="139">
          <cell r="A139" t="str">
            <v>C133</v>
          </cell>
          <cell r="B139"/>
          <cell r="C139"/>
          <cell r="D139"/>
          <cell r="J139"/>
          <cell r="K139"/>
        </row>
        <row r="140">
          <cell r="A140" t="str">
            <v>C134</v>
          </cell>
          <cell r="B140"/>
          <cell r="C140"/>
          <cell r="D140"/>
          <cell r="J140"/>
          <cell r="K140"/>
        </row>
        <row r="141">
          <cell r="A141" t="str">
            <v>C135</v>
          </cell>
          <cell r="B141"/>
          <cell r="C141"/>
          <cell r="D141"/>
          <cell r="J141"/>
          <cell r="K141"/>
        </row>
        <row r="142">
          <cell r="A142" t="str">
            <v>C136</v>
          </cell>
          <cell r="B142"/>
          <cell r="C142"/>
          <cell r="D142"/>
          <cell r="J142"/>
          <cell r="K142"/>
        </row>
        <row r="143">
          <cell r="A143" t="str">
            <v>C137</v>
          </cell>
          <cell r="B143"/>
          <cell r="C143"/>
          <cell r="D143"/>
          <cell r="J143"/>
          <cell r="K143"/>
        </row>
        <row r="144">
          <cell r="A144" t="str">
            <v>C138</v>
          </cell>
          <cell r="B144"/>
          <cell r="C144"/>
          <cell r="D144"/>
          <cell r="J144"/>
          <cell r="K144"/>
        </row>
        <row r="145">
          <cell r="A145" t="str">
            <v>C139</v>
          </cell>
          <cell r="B145"/>
          <cell r="C145"/>
          <cell r="D145"/>
          <cell r="J145"/>
          <cell r="K145"/>
        </row>
        <row r="146">
          <cell r="A146" t="str">
            <v>C140</v>
          </cell>
          <cell r="B146"/>
          <cell r="C146"/>
          <cell r="D146"/>
          <cell r="J146"/>
          <cell r="K146"/>
        </row>
        <row r="147">
          <cell r="A147" t="str">
            <v>C141</v>
          </cell>
          <cell r="B147"/>
          <cell r="C147"/>
          <cell r="D147"/>
          <cell r="J147"/>
          <cell r="K147"/>
        </row>
        <row r="148">
          <cell r="A148" t="str">
            <v>C142</v>
          </cell>
          <cell r="B148"/>
          <cell r="C148"/>
          <cell r="D148"/>
          <cell r="J148"/>
          <cell r="K148"/>
        </row>
        <row r="149">
          <cell r="A149" t="str">
            <v>C143</v>
          </cell>
          <cell r="B149"/>
          <cell r="C149"/>
          <cell r="D149"/>
          <cell r="J149"/>
          <cell r="K149"/>
        </row>
        <row r="150">
          <cell r="A150" t="str">
            <v>C144</v>
          </cell>
          <cell r="B150"/>
          <cell r="C150"/>
          <cell r="D150"/>
          <cell r="J150"/>
          <cell r="K150"/>
        </row>
        <row r="151">
          <cell r="A151" t="str">
            <v>C145</v>
          </cell>
          <cell r="B151"/>
          <cell r="C151"/>
          <cell r="D151"/>
          <cell r="J151"/>
          <cell r="K151"/>
        </row>
        <row r="152">
          <cell r="A152" t="str">
            <v>C146</v>
          </cell>
          <cell r="B152"/>
          <cell r="C152"/>
          <cell r="D152"/>
          <cell r="J152"/>
          <cell r="K152"/>
        </row>
        <row r="153">
          <cell r="A153" t="str">
            <v>C147</v>
          </cell>
          <cell r="B153"/>
          <cell r="C153"/>
          <cell r="D153"/>
          <cell r="J153"/>
          <cell r="K153"/>
        </row>
        <row r="154">
          <cell r="A154" t="str">
            <v>C148</v>
          </cell>
          <cell r="B154"/>
          <cell r="C154"/>
          <cell r="D154"/>
          <cell r="J154"/>
          <cell r="K154"/>
        </row>
        <row r="155">
          <cell r="A155" t="str">
            <v>C149</v>
          </cell>
          <cell r="B155"/>
          <cell r="C155"/>
          <cell r="D155"/>
          <cell r="J155"/>
          <cell r="K155"/>
        </row>
        <row r="156">
          <cell r="A156" t="str">
            <v>C150</v>
          </cell>
          <cell r="B156"/>
          <cell r="C156"/>
          <cell r="D156"/>
          <cell r="J156"/>
          <cell r="K156"/>
        </row>
        <row r="157">
          <cell r="A157" t="str">
            <v>C151</v>
          </cell>
          <cell r="B157"/>
          <cell r="C157"/>
          <cell r="D157"/>
          <cell r="J157"/>
          <cell r="K157"/>
        </row>
        <row r="158">
          <cell r="A158" t="str">
            <v>C152</v>
          </cell>
          <cell r="B158"/>
          <cell r="C158"/>
          <cell r="D158"/>
          <cell r="J158"/>
          <cell r="K158"/>
        </row>
        <row r="159">
          <cell r="A159" t="str">
            <v>C153</v>
          </cell>
          <cell r="B159"/>
          <cell r="C159"/>
          <cell r="D159"/>
          <cell r="J159"/>
          <cell r="K159"/>
        </row>
        <row r="160">
          <cell r="A160" t="str">
            <v>C154</v>
          </cell>
          <cell r="B160"/>
          <cell r="C160"/>
          <cell r="D160"/>
          <cell r="J160"/>
          <cell r="K160"/>
        </row>
        <row r="161">
          <cell r="A161" t="str">
            <v>C155</v>
          </cell>
          <cell r="B161"/>
          <cell r="C161"/>
          <cell r="D161"/>
          <cell r="J161"/>
          <cell r="K161"/>
        </row>
        <row r="162">
          <cell r="A162" t="str">
            <v>C156</v>
          </cell>
          <cell r="B162"/>
          <cell r="C162"/>
          <cell r="D162"/>
          <cell r="J162"/>
          <cell r="K162"/>
        </row>
        <row r="163">
          <cell r="A163" t="str">
            <v>C157</v>
          </cell>
          <cell r="B163"/>
          <cell r="C163"/>
          <cell r="D163"/>
          <cell r="J163"/>
          <cell r="K163"/>
        </row>
        <row r="164">
          <cell r="A164" t="str">
            <v>C158</v>
          </cell>
          <cell r="B164"/>
          <cell r="C164"/>
          <cell r="D164"/>
          <cell r="J164"/>
          <cell r="K164"/>
        </row>
        <row r="165">
          <cell r="A165" t="str">
            <v>C159</v>
          </cell>
          <cell r="B165"/>
          <cell r="C165"/>
          <cell r="D165"/>
          <cell r="J165"/>
          <cell r="K165"/>
        </row>
        <row r="166">
          <cell r="A166" t="str">
            <v>C160</v>
          </cell>
          <cell r="B166"/>
          <cell r="C166"/>
          <cell r="D166"/>
          <cell r="J166"/>
          <cell r="K166"/>
        </row>
        <row r="167">
          <cell r="A167" t="str">
            <v>C161</v>
          </cell>
          <cell r="B167"/>
          <cell r="C167"/>
          <cell r="D167"/>
          <cell r="J167"/>
          <cell r="K167"/>
        </row>
        <row r="168">
          <cell r="A168" t="str">
            <v>C162</v>
          </cell>
          <cell r="B168"/>
          <cell r="C168"/>
          <cell r="D168"/>
          <cell r="J168"/>
          <cell r="K168"/>
        </row>
        <row r="169">
          <cell r="A169" t="str">
            <v>C163</v>
          </cell>
          <cell r="B169"/>
          <cell r="C169"/>
          <cell r="D169"/>
          <cell r="J169"/>
          <cell r="K169"/>
        </row>
        <row r="170">
          <cell r="A170" t="str">
            <v>C164</v>
          </cell>
          <cell r="B170"/>
          <cell r="C170"/>
          <cell r="D170"/>
          <cell r="J170"/>
          <cell r="K170"/>
        </row>
        <row r="171">
          <cell r="A171" t="str">
            <v>C165</v>
          </cell>
          <cell r="B171"/>
          <cell r="C171"/>
          <cell r="D171"/>
          <cell r="J171"/>
          <cell r="K171"/>
        </row>
        <row r="172">
          <cell r="A172" t="str">
            <v>C166</v>
          </cell>
          <cell r="B172"/>
          <cell r="C172"/>
          <cell r="D172"/>
          <cell r="J172"/>
          <cell r="K172"/>
        </row>
        <row r="173">
          <cell r="A173" t="str">
            <v>C167</v>
          </cell>
          <cell r="B173"/>
          <cell r="C173"/>
          <cell r="D173"/>
          <cell r="J173"/>
          <cell r="K173"/>
        </row>
        <row r="174">
          <cell r="A174" t="str">
            <v>C168</v>
          </cell>
          <cell r="B174"/>
          <cell r="C174"/>
          <cell r="D174"/>
          <cell r="J174"/>
          <cell r="K174"/>
        </row>
        <row r="175">
          <cell r="A175" t="str">
            <v>C169</v>
          </cell>
          <cell r="B175"/>
          <cell r="C175"/>
          <cell r="D175"/>
          <cell r="J175"/>
          <cell r="K175"/>
        </row>
        <row r="176">
          <cell r="A176" t="str">
            <v>C170</v>
          </cell>
          <cell r="B176"/>
          <cell r="C176"/>
          <cell r="D176"/>
          <cell r="J176"/>
          <cell r="K176"/>
        </row>
        <row r="177">
          <cell r="A177" t="str">
            <v>C171</v>
          </cell>
          <cell r="B177"/>
          <cell r="C177"/>
          <cell r="D177"/>
          <cell r="J177"/>
          <cell r="K177"/>
        </row>
        <row r="178">
          <cell r="A178" t="str">
            <v>C172</v>
          </cell>
          <cell r="B178"/>
          <cell r="C178"/>
          <cell r="D178"/>
          <cell r="J178"/>
          <cell r="K178"/>
        </row>
        <row r="179">
          <cell r="A179" t="str">
            <v>C173</v>
          </cell>
          <cell r="B179"/>
          <cell r="C179"/>
          <cell r="D179"/>
          <cell r="J179"/>
          <cell r="K179"/>
        </row>
        <row r="180">
          <cell r="A180" t="str">
            <v>C174</v>
          </cell>
          <cell r="B180"/>
          <cell r="C180"/>
          <cell r="D180"/>
          <cell r="J180"/>
          <cell r="K180"/>
        </row>
        <row r="181">
          <cell r="A181" t="str">
            <v>C175</v>
          </cell>
          <cell r="B181"/>
          <cell r="C181"/>
          <cell r="D181"/>
          <cell r="J181"/>
          <cell r="K181"/>
        </row>
        <row r="182">
          <cell r="A182" t="str">
            <v>C176</v>
          </cell>
          <cell r="B182"/>
          <cell r="C182"/>
          <cell r="D182"/>
          <cell r="J182"/>
          <cell r="K182"/>
        </row>
        <row r="183">
          <cell r="A183" t="str">
            <v>C177</v>
          </cell>
          <cell r="B183"/>
          <cell r="C183"/>
          <cell r="D183"/>
          <cell r="J183"/>
          <cell r="K183"/>
        </row>
        <row r="184">
          <cell r="A184" t="str">
            <v>C178</v>
          </cell>
          <cell r="B184"/>
          <cell r="C184"/>
          <cell r="D184"/>
          <cell r="J184"/>
          <cell r="K184"/>
        </row>
        <row r="185">
          <cell r="A185" t="str">
            <v>C179</v>
          </cell>
          <cell r="B185"/>
          <cell r="C185"/>
          <cell r="D185"/>
          <cell r="J185"/>
          <cell r="K185"/>
        </row>
        <row r="186">
          <cell r="A186" t="str">
            <v>C180</v>
          </cell>
          <cell r="B186"/>
          <cell r="C186"/>
          <cell r="D186"/>
          <cell r="J186"/>
          <cell r="K186"/>
        </row>
        <row r="187">
          <cell r="A187" t="str">
            <v>C181</v>
          </cell>
          <cell r="B187"/>
          <cell r="C187"/>
          <cell r="D187"/>
          <cell r="J187"/>
          <cell r="K187"/>
        </row>
        <row r="188">
          <cell r="A188" t="str">
            <v>C182</v>
          </cell>
          <cell r="B188"/>
          <cell r="C188"/>
          <cell r="D188"/>
          <cell r="J188"/>
          <cell r="K188"/>
        </row>
        <row r="189">
          <cell r="A189" t="str">
            <v>C183</v>
          </cell>
          <cell r="B189"/>
          <cell r="C189"/>
          <cell r="D189"/>
          <cell r="J189"/>
          <cell r="K189"/>
        </row>
        <row r="190">
          <cell r="A190" t="str">
            <v>C184</v>
          </cell>
          <cell r="B190"/>
          <cell r="C190"/>
          <cell r="D190"/>
          <cell r="J190"/>
          <cell r="K190"/>
        </row>
        <row r="191">
          <cell r="A191" t="str">
            <v>C185</v>
          </cell>
          <cell r="B191"/>
          <cell r="C191"/>
          <cell r="D191"/>
          <cell r="J191"/>
          <cell r="K191"/>
        </row>
        <row r="192">
          <cell r="A192" t="str">
            <v>C186</v>
          </cell>
          <cell r="B192"/>
          <cell r="C192"/>
          <cell r="D192"/>
          <cell r="J192"/>
          <cell r="K192"/>
        </row>
        <row r="193">
          <cell r="A193" t="str">
            <v>C187</v>
          </cell>
          <cell r="B193"/>
          <cell r="C193"/>
          <cell r="D193"/>
          <cell r="J193"/>
          <cell r="K193"/>
        </row>
        <row r="194">
          <cell r="A194" t="str">
            <v>C188</v>
          </cell>
          <cell r="B194"/>
          <cell r="C194"/>
          <cell r="D194"/>
          <cell r="J194"/>
          <cell r="K194"/>
        </row>
        <row r="195">
          <cell r="A195" t="str">
            <v>C189</v>
          </cell>
          <cell r="B195"/>
          <cell r="C195"/>
          <cell r="D195"/>
          <cell r="J195"/>
          <cell r="K195"/>
        </row>
        <row r="196">
          <cell r="A196" t="str">
            <v>C190</v>
          </cell>
          <cell r="B196"/>
          <cell r="C196"/>
          <cell r="D196"/>
          <cell r="J196"/>
          <cell r="K196"/>
        </row>
        <row r="197">
          <cell r="A197" t="str">
            <v>C191</v>
          </cell>
          <cell r="B197"/>
          <cell r="C197"/>
          <cell r="D197"/>
          <cell r="J197"/>
          <cell r="K197"/>
        </row>
        <row r="198">
          <cell r="A198" t="str">
            <v>C192</v>
          </cell>
          <cell r="B198"/>
          <cell r="C198"/>
          <cell r="D198"/>
          <cell r="J198"/>
          <cell r="K198"/>
        </row>
        <row r="199">
          <cell r="A199" t="str">
            <v>C193</v>
          </cell>
          <cell r="B199"/>
          <cell r="C199"/>
          <cell r="D199"/>
          <cell r="J199"/>
          <cell r="K199"/>
        </row>
        <row r="200">
          <cell r="A200" t="str">
            <v>C194</v>
          </cell>
          <cell r="B200"/>
          <cell r="C200"/>
          <cell r="D200"/>
          <cell r="J200"/>
          <cell r="K200"/>
        </row>
        <row r="201">
          <cell r="A201" t="str">
            <v>C195</v>
          </cell>
          <cell r="B201"/>
          <cell r="C201"/>
          <cell r="D201"/>
          <cell r="J201"/>
          <cell r="K201"/>
        </row>
        <row r="202">
          <cell r="A202" t="str">
            <v>C196</v>
          </cell>
          <cell r="B202"/>
          <cell r="C202"/>
          <cell r="D202"/>
          <cell r="J202"/>
          <cell r="K202"/>
        </row>
        <row r="203">
          <cell r="A203" t="str">
            <v>C197</v>
          </cell>
          <cell r="B203"/>
          <cell r="C203"/>
          <cell r="D203"/>
          <cell r="J203"/>
          <cell r="K203"/>
        </row>
        <row r="204">
          <cell r="A204" t="str">
            <v>C198</v>
          </cell>
          <cell r="B204"/>
          <cell r="C204"/>
          <cell r="D204"/>
          <cell r="J204"/>
          <cell r="K204"/>
        </row>
        <row r="205">
          <cell r="A205" t="str">
            <v>C199</v>
          </cell>
          <cell r="B205"/>
          <cell r="C205"/>
          <cell r="D205"/>
          <cell r="J205"/>
          <cell r="K205"/>
        </row>
        <row r="206">
          <cell r="A206" t="str">
            <v>C200</v>
          </cell>
          <cell r="B206"/>
          <cell r="C206"/>
          <cell r="D206"/>
          <cell r="J206"/>
          <cell r="K206"/>
        </row>
        <row r="207">
          <cell r="A207" t="str">
            <v>SL001</v>
          </cell>
          <cell r="B207" t="str">
            <v>فروشنده</v>
          </cell>
          <cell r="C207"/>
          <cell r="D207" t="str">
            <v>قم-سید حسین حسینی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/>
          <cell r="D208" t="str">
            <v>مشهد-محمد توکلی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/>
          <cell r="D209" t="str">
            <v>اراک-پوریا خوشنمکیان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/>
          <cell r="D210" t="str">
            <v>نورزاده-تبریز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  <cell r="B211" t="str">
            <v>فروشنده</v>
          </cell>
          <cell r="C211"/>
          <cell r="D211" t="str">
            <v>زنجان-خانی</v>
          </cell>
          <cell r="J211"/>
          <cell r="K211"/>
        </row>
        <row r="212">
          <cell r="A212" t="str">
            <v>SL006</v>
          </cell>
          <cell r="B212" t="str">
            <v>فروشنده</v>
          </cell>
          <cell r="C212"/>
          <cell r="D212" t="str">
            <v>بوکان</v>
          </cell>
          <cell r="J212"/>
          <cell r="K212"/>
        </row>
        <row r="213">
          <cell r="A213" t="str">
            <v>SL007</v>
          </cell>
          <cell r="B213"/>
          <cell r="C213"/>
          <cell r="D213"/>
          <cell r="J213"/>
          <cell r="K213"/>
        </row>
        <row r="214">
          <cell r="A214" t="str">
            <v>SL008</v>
          </cell>
          <cell r="B214"/>
          <cell r="C214"/>
          <cell r="D214"/>
          <cell r="J214"/>
          <cell r="K214"/>
        </row>
        <row r="215">
          <cell r="A215" t="str">
            <v>SL009</v>
          </cell>
          <cell r="B215"/>
          <cell r="C215"/>
          <cell r="D215"/>
          <cell r="J215"/>
          <cell r="K215"/>
        </row>
        <row r="216">
          <cell r="A216" t="str">
            <v>SL010</v>
          </cell>
          <cell r="B216"/>
          <cell r="C216"/>
          <cell r="D216"/>
          <cell r="J216"/>
          <cell r="K216"/>
        </row>
        <row r="217">
          <cell r="A217" t="str">
            <v>SL011</v>
          </cell>
          <cell r="B217"/>
          <cell r="C217"/>
          <cell r="D217"/>
          <cell r="J217"/>
          <cell r="K217"/>
        </row>
        <row r="218">
          <cell r="A218" t="str">
            <v>SL012</v>
          </cell>
          <cell r="B218"/>
          <cell r="C218"/>
          <cell r="D218"/>
          <cell r="J218"/>
          <cell r="K218"/>
        </row>
        <row r="219">
          <cell r="A219" t="str">
            <v>SL013</v>
          </cell>
          <cell r="B219"/>
          <cell r="C219"/>
          <cell r="D219"/>
          <cell r="J219"/>
          <cell r="K219"/>
        </row>
        <row r="220">
          <cell r="A220" t="str">
            <v>SL014</v>
          </cell>
          <cell r="B220"/>
          <cell r="C220"/>
          <cell r="D220"/>
          <cell r="J220"/>
          <cell r="K220"/>
        </row>
        <row r="221">
          <cell r="A221" t="str">
            <v>SL015</v>
          </cell>
          <cell r="B221"/>
          <cell r="C221"/>
          <cell r="D221"/>
          <cell r="J221"/>
          <cell r="K221"/>
        </row>
        <row r="222">
          <cell r="A222" t="str">
            <v>SL016</v>
          </cell>
          <cell r="B222"/>
          <cell r="C222"/>
          <cell r="D222"/>
          <cell r="J222"/>
          <cell r="K222"/>
        </row>
        <row r="223">
          <cell r="A223" t="str">
            <v>SL017</v>
          </cell>
          <cell r="B223"/>
          <cell r="C223"/>
          <cell r="D223"/>
          <cell r="J223"/>
          <cell r="K223"/>
        </row>
        <row r="224">
          <cell r="A224" t="str">
            <v>SL018</v>
          </cell>
          <cell r="B224"/>
          <cell r="C224"/>
          <cell r="D224"/>
          <cell r="J224"/>
          <cell r="K224"/>
        </row>
        <row r="225">
          <cell r="A225" t="str">
            <v>SL019</v>
          </cell>
          <cell r="B225"/>
          <cell r="C225"/>
          <cell r="D225"/>
          <cell r="J225"/>
          <cell r="K225"/>
        </row>
        <row r="226">
          <cell r="A226" t="str">
            <v>SL020</v>
          </cell>
          <cell r="B226"/>
          <cell r="C226"/>
          <cell r="D226"/>
          <cell r="J226"/>
          <cell r="K226"/>
        </row>
        <row r="227">
          <cell r="A227" t="str">
            <v>SL021</v>
          </cell>
          <cell r="B227"/>
          <cell r="C227"/>
          <cell r="D227"/>
          <cell r="J227"/>
          <cell r="K227"/>
        </row>
        <row r="228">
          <cell r="A228" t="str">
            <v>SL022</v>
          </cell>
          <cell r="B228"/>
          <cell r="C228"/>
          <cell r="D228"/>
          <cell r="J228"/>
          <cell r="K228"/>
        </row>
        <row r="229">
          <cell r="A229" t="str">
            <v>SL023</v>
          </cell>
          <cell r="B229"/>
          <cell r="C229"/>
          <cell r="D229"/>
          <cell r="J229"/>
          <cell r="K229"/>
        </row>
        <row r="230">
          <cell r="A230" t="str">
            <v>SL024</v>
          </cell>
          <cell r="B230"/>
          <cell r="C230"/>
          <cell r="D230"/>
          <cell r="J230"/>
          <cell r="K230"/>
        </row>
        <row r="231">
          <cell r="A231" t="str">
            <v>SL025</v>
          </cell>
          <cell r="B231"/>
          <cell r="C231"/>
          <cell r="D231"/>
          <cell r="J231"/>
          <cell r="K231"/>
        </row>
        <row r="232">
          <cell r="A232" t="str">
            <v>SL026</v>
          </cell>
          <cell r="B232"/>
          <cell r="C232"/>
          <cell r="D232"/>
          <cell r="J232"/>
          <cell r="K232"/>
        </row>
        <row r="233">
          <cell r="A233" t="str">
            <v>SL027</v>
          </cell>
          <cell r="B233"/>
          <cell r="C233"/>
          <cell r="D233"/>
          <cell r="J233"/>
          <cell r="K233"/>
        </row>
        <row r="234">
          <cell r="A234" t="str">
            <v>SL028</v>
          </cell>
          <cell r="B234"/>
          <cell r="C234"/>
          <cell r="D234"/>
          <cell r="J234"/>
          <cell r="K234"/>
        </row>
        <row r="235">
          <cell r="A235" t="str">
            <v>SL029</v>
          </cell>
          <cell r="B235"/>
          <cell r="C235"/>
          <cell r="D235"/>
          <cell r="J235"/>
          <cell r="K235"/>
        </row>
        <row r="236">
          <cell r="A236" t="str">
            <v>SL030</v>
          </cell>
          <cell r="B236"/>
          <cell r="C236"/>
          <cell r="D236"/>
          <cell r="J236"/>
          <cell r="K236"/>
        </row>
        <row r="237">
          <cell r="A237" t="str">
            <v>SL031</v>
          </cell>
          <cell r="B237"/>
          <cell r="C237"/>
          <cell r="D237"/>
          <cell r="J237"/>
          <cell r="K237"/>
        </row>
        <row r="238">
          <cell r="A238" t="str">
            <v>SL032</v>
          </cell>
          <cell r="B238"/>
          <cell r="C238"/>
          <cell r="D238"/>
          <cell r="J238"/>
          <cell r="K238"/>
        </row>
        <row r="239">
          <cell r="A239" t="str">
            <v>SL033</v>
          </cell>
          <cell r="B239"/>
          <cell r="C239"/>
          <cell r="D239"/>
          <cell r="J239"/>
          <cell r="K239"/>
        </row>
        <row r="240">
          <cell r="A240" t="str">
            <v>SL034</v>
          </cell>
          <cell r="B240"/>
          <cell r="C240"/>
          <cell r="D240"/>
          <cell r="J240"/>
          <cell r="K240"/>
        </row>
        <row r="241">
          <cell r="A241" t="str">
            <v>SL035</v>
          </cell>
          <cell r="B241"/>
          <cell r="C241"/>
          <cell r="D241"/>
          <cell r="J241"/>
          <cell r="K241"/>
        </row>
        <row r="242">
          <cell r="A242" t="str">
            <v>SL036</v>
          </cell>
          <cell r="B242"/>
          <cell r="C242"/>
          <cell r="D242"/>
          <cell r="J242"/>
          <cell r="K242"/>
        </row>
        <row r="243">
          <cell r="A243" t="str">
            <v>SL037</v>
          </cell>
          <cell r="B243"/>
          <cell r="C243"/>
          <cell r="D243"/>
          <cell r="J243"/>
          <cell r="K243"/>
        </row>
        <row r="244">
          <cell r="A244" t="str">
            <v>SL038</v>
          </cell>
          <cell r="B244"/>
          <cell r="C244"/>
          <cell r="D244"/>
          <cell r="J244"/>
          <cell r="K244"/>
        </row>
        <row r="245">
          <cell r="A245" t="str">
            <v>SL039</v>
          </cell>
          <cell r="B245"/>
          <cell r="C245"/>
          <cell r="D245"/>
          <cell r="J245"/>
          <cell r="K245"/>
        </row>
        <row r="246">
          <cell r="A246" t="str">
            <v>SL040</v>
          </cell>
          <cell r="B246"/>
          <cell r="C246"/>
          <cell r="D246"/>
          <cell r="J246"/>
          <cell r="K246"/>
        </row>
        <row r="247">
          <cell r="A247" t="str">
            <v>SL041</v>
          </cell>
          <cell r="B247"/>
          <cell r="C247"/>
          <cell r="D247"/>
          <cell r="J247"/>
          <cell r="K247"/>
        </row>
        <row r="248">
          <cell r="A248" t="str">
            <v>SL042</v>
          </cell>
          <cell r="B248"/>
          <cell r="C248"/>
          <cell r="D248"/>
          <cell r="J248"/>
          <cell r="K248"/>
        </row>
        <row r="249">
          <cell r="A249" t="str">
            <v>SL043</v>
          </cell>
          <cell r="B249"/>
          <cell r="C249"/>
          <cell r="D249"/>
          <cell r="J249"/>
          <cell r="K249"/>
        </row>
        <row r="250">
          <cell r="A250" t="str">
            <v>SL044</v>
          </cell>
          <cell r="B250"/>
          <cell r="C250"/>
          <cell r="D250"/>
          <cell r="J250"/>
          <cell r="K250"/>
        </row>
        <row r="251">
          <cell r="A251" t="str">
            <v>SL045</v>
          </cell>
          <cell r="B251"/>
          <cell r="C251"/>
          <cell r="D251"/>
          <cell r="J251"/>
          <cell r="K251"/>
        </row>
        <row r="252">
          <cell r="A252" t="str">
            <v>SL046</v>
          </cell>
          <cell r="B252"/>
          <cell r="C252"/>
          <cell r="D252"/>
          <cell r="J252"/>
          <cell r="K252"/>
        </row>
        <row r="253">
          <cell r="A253" t="str">
            <v>SL047</v>
          </cell>
          <cell r="B253"/>
          <cell r="C253"/>
          <cell r="D253"/>
          <cell r="J253"/>
          <cell r="K253"/>
        </row>
        <row r="254">
          <cell r="A254" t="str">
            <v>SL048</v>
          </cell>
          <cell r="B254"/>
          <cell r="C254"/>
          <cell r="D254"/>
          <cell r="J254"/>
          <cell r="K254"/>
        </row>
        <row r="255">
          <cell r="A255" t="str">
            <v>SL049</v>
          </cell>
          <cell r="B255"/>
          <cell r="C255"/>
          <cell r="D255"/>
          <cell r="J255"/>
          <cell r="K255"/>
        </row>
        <row r="256">
          <cell r="A256" t="str">
            <v>SL050</v>
          </cell>
          <cell r="B256"/>
          <cell r="C256"/>
          <cell r="D256"/>
          <cell r="J256"/>
          <cell r="K256"/>
        </row>
        <row r="257">
          <cell r="A257" t="str">
            <v>SL051</v>
          </cell>
          <cell r="B257"/>
          <cell r="C257"/>
          <cell r="D257"/>
          <cell r="J257"/>
          <cell r="K257"/>
        </row>
        <row r="258">
          <cell r="A258" t="str">
            <v>SL052</v>
          </cell>
          <cell r="B258"/>
          <cell r="C258"/>
          <cell r="D258"/>
          <cell r="J258"/>
          <cell r="K258"/>
        </row>
        <row r="259">
          <cell r="A259" t="str">
            <v>SL053</v>
          </cell>
          <cell r="B259"/>
          <cell r="C259"/>
          <cell r="D259"/>
          <cell r="J259"/>
          <cell r="K259"/>
        </row>
        <row r="260">
          <cell r="A260" t="str">
            <v>SL054</v>
          </cell>
          <cell r="B260"/>
          <cell r="C260"/>
          <cell r="D260"/>
          <cell r="J260"/>
          <cell r="K260"/>
        </row>
        <row r="261">
          <cell r="A261" t="str">
            <v>SL055</v>
          </cell>
          <cell r="B261"/>
          <cell r="C261"/>
          <cell r="D261"/>
          <cell r="J261"/>
          <cell r="K261"/>
        </row>
        <row r="262">
          <cell r="A262" t="str">
            <v>SL056</v>
          </cell>
          <cell r="B262"/>
          <cell r="C262"/>
          <cell r="D262"/>
          <cell r="J262"/>
          <cell r="K262"/>
        </row>
        <row r="263">
          <cell r="A263" t="str">
            <v>SL057</v>
          </cell>
          <cell r="B263"/>
          <cell r="C263"/>
          <cell r="D263"/>
          <cell r="J263"/>
          <cell r="K263"/>
        </row>
        <row r="264">
          <cell r="A264" t="str">
            <v>SL058</v>
          </cell>
          <cell r="B264"/>
          <cell r="C264"/>
          <cell r="D264"/>
          <cell r="J264"/>
          <cell r="K264"/>
        </row>
        <row r="265">
          <cell r="A265" t="str">
            <v>SL059</v>
          </cell>
          <cell r="B265"/>
          <cell r="C265"/>
          <cell r="D265"/>
          <cell r="J265"/>
          <cell r="K265"/>
        </row>
        <row r="266">
          <cell r="A266" t="str">
            <v>SL060</v>
          </cell>
          <cell r="B266"/>
          <cell r="C266"/>
          <cell r="D266"/>
          <cell r="J266"/>
          <cell r="K266"/>
        </row>
        <row r="267">
          <cell r="A267" t="str">
            <v>SL061</v>
          </cell>
          <cell r="B267"/>
          <cell r="C267"/>
          <cell r="D267"/>
          <cell r="J267"/>
          <cell r="K267"/>
        </row>
        <row r="268">
          <cell r="A268" t="str">
            <v>SL062</v>
          </cell>
          <cell r="B268"/>
          <cell r="C268"/>
          <cell r="D268"/>
          <cell r="J268"/>
          <cell r="K268"/>
        </row>
        <row r="269">
          <cell r="A269" t="str">
            <v>SL063</v>
          </cell>
          <cell r="B269"/>
          <cell r="C269"/>
          <cell r="D269"/>
          <cell r="J269"/>
          <cell r="K269"/>
        </row>
        <row r="270">
          <cell r="A270" t="str">
            <v>SL064</v>
          </cell>
          <cell r="B270"/>
          <cell r="C270"/>
          <cell r="D270"/>
          <cell r="J270"/>
          <cell r="K270"/>
        </row>
        <row r="271">
          <cell r="A271" t="str">
            <v>SL065</v>
          </cell>
          <cell r="B271"/>
          <cell r="C271"/>
          <cell r="D271"/>
          <cell r="J271"/>
          <cell r="K271"/>
        </row>
        <row r="272">
          <cell r="A272" t="str">
            <v>SL066</v>
          </cell>
          <cell r="B272"/>
          <cell r="C272"/>
          <cell r="D272"/>
          <cell r="J272"/>
          <cell r="K272"/>
        </row>
        <row r="273">
          <cell r="A273" t="str">
            <v>SL067</v>
          </cell>
          <cell r="B273"/>
          <cell r="C273"/>
          <cell r="D273"/>
          <cell r="J273"/>
          <cell r="K273"/>
        </row>
        <row r="274">
          <cell r="A274" t="str">
            <v>SL068</v>
          </cell>
          <cell r="B274"/>
          <cell r="C274"/>
          <cell r="D274"/>
          <cell r="J274"/>
          <cell r="K274"/>
        </row>
        <row r="275">
          <cell r="A275" t="str">
            <v>SL069</v>
          </cell>
          <cell r="B275"/>
          <cell r="C275"/>
          <cell r="D275"/>
          <cell r="J275"/>
          <cell r="K275"/>
        </row>
        <row r="276">
          <cell r="A276" t="str">
            <v>SL070</v>
          </cell>
          <cell r="B276"/>
          <cell r="C276"/>
          <cell r="D276"/>
          <cell r="J276"/>
          <cell r="K276"/>
        </row>
        <row r="277">
          <cell r="A277" t="str">
            <v>SL071</v>
          </cell>
          <cell r="B277"/>
          <cell r="C277"/>
          <cell r="D277"/>
          <cell r="J277"/>
          <cell r="K277"/>
        </row>
        <row r="278">
          <cell r="A278" t="str">
            <v>SL072</v>
          </cell>
          <cell r="B278"/>
          <cell r="C278"/>
          <cell r="D278"/>
          <cell r="J278"/>
          <cell r="K278"/>
        </row>
        <row r="279">
          <cell r="A279" t="str">
            <v>SL073</v>
          </cell>
          <cell r="B279"/>
          <cell r="C279"/>
          <cell r="D279"/>
          <cell r="J279"/>
          <cell r="K279"/>
        </row>
        <row r="280">
          <cell r="A280" t="str">
            <v>SL074</v>
          </cell>
          <cell r="B280"/>
          <cell r="C280"/>
          <cell r="D280"/>
          <cell r="J280"/>
          <cell r="K280"/>
        </row>
        <row r="281">
          <cell r="A281" t="str">
            <v>SL075</v>
          </cell>
          <cell r="B281"/>
          <cell r="C281"/>
          <cell r="D281"/>
          <cell r="J281"/>
          <cell r="K281"/>
        </row>
        <row r="282">
          <cell r="A282" t="str">
            <v>SL076</v>
          </cell>
          <cell r="B282"/>
          <cell r="C282"/>
          <cell r="D282"/>
          <cell r="J282"/>
          <cell r="K282"/>
        </row>
        <row r="283">
          <cell r="A283" t="str">
            <v>SL077</v>
          </cell>
          <cell r="B283"/>
          <cell r="C283"/>
          <cell r="D283"/>
          <cell r="J283"/>
          <cell r="K283"/>
        </row>
        <row r="284">
          <cell r="A284" t="str">
            <v>SL078</v>
          </cell>
          <cell r="B284"/>
          <cell r="C284"/>
          <cell r="D284"/>
          <cell r="J284"/>
          <cell r="K284"/>
        </row>
        <row r="285">
          <cell r="A285" t="str">
            <v>SL079</v>
          </cell>
          <cell r="B285"/>
          <cell r="C285"/>
          <cell r="D285"/>
          <cell r="J285"/>
          <cell r="K285"/>
        </row>
        <row r="286">
          <cell r="A286" t="str">
            <v>SL080</v>
          </cell>
          <cell r="B286"/>
          <cell r="C286"/>
          <cell r="D286"/>
          <cell r="J286"/>
          <cell r="K286"/>
        </row>
        <row r="287">
          <cell r="A287" t="str">
            <v>SL081</v>
          </cell>
          <cell r="B287"/>
          <cell r="C287"/>
          <cell r="D287"/>
          <cell r="J287"/>
          <cell r="K287"/>
        </row>
        <row r="288">
          <cell r="A288" t="str">
            <v>SL082</v>
          </cell>
          <cell r="B288"/>
          <cell r="C288"/>
          <cell r="D288"/>
          <cell r="J288"/>
          <cell r="K288"/>
        </row>
        <row r="289">
          <cell r="A289" t="str">
            <v>SL083</v>
          </cell>
          <cell r="B289"/>
          <cell r="C289"/>
          <cell r="D289"/>
          <cell r="J289"/>
          <cell r="K289"/>
        </row>
        <row r="290">
          <cell r="A290" t="str">
            <v>SL084</v>
          </cell>
          <cell r="B290"/>
          <cell r="C290"/>
          <cell r="D290"/>
          <cell r="J290"/>
          <cell r="K290"/>
        </row>
        <row r="291">
          <cell r="A291" t="str">
            <v>SL085</v>
          </cell>
          <cell r="B291"/>
          <cell r="C291"/>
          <cell r="D291"/>
          <cell r="J291"/>
          <cell r="K291"/>
        </row>
        <row r="292">
          <cell r="A292" t="str">
            <v>SL086</v>
          </cell>
          <cell r="B292"/>
          <cell r="C292"/>
          <cell r="D292"/>
          <cell r="J292"/>
          <cell r="K292"/>
        </row>
        <row r="293">
          <cell r="A293" t="str">
            <v>SL087</v>
          </cell>
          <cell r="B293"/>
          <cell r="C293"/>
          <cell r="D293"/>
          <cell r="J293"/>
          <cell r="K293"/>
        </row>
        <row r="294">
          <cell r="A294" t="str">
            <v>SL088</v>
          </cell>
          <cell r="B294"/>
          <cell r="C294"/>
          <cell r="D294"/>
          <cell r="J294"/>
          <cell r="K294"/>
        </row>
        <row r="295">
          <cell r="A295" t="str">
            <v>SL089</v>
          </cell>
          <cell r="B295"/>
          <cell r="C295"/>
          <cell r="D295"/>
          <cell r="J295"/>
          <cell r="K295"/>
        </row>
        <row r="296">
          <cell r="A296" t="str">
            <v>SL090</v>
          </cell>
          <cell r="B296"/>
          <cell r="C296"/>
          <cell r="D296"/>
          <cell r="J296"/>
          <cell r="K296"/>
        </row>
        <row r="297">
          <cell r="A297" t="str">
            <v>SL091</v>
          </cell>
          <cell r="B297"/>
          <cell r="C297"/>
          <cell r="D297"/>
          <cell r="J297"/>
          <cell r="K297"/>
        </row>
        <row r="298">
          <cell r="A298" t="str">
            <v>SL092</v>
          </cell>
          <cell r="B298"/>
          <cell r="C298"/>
          <cell r="D298"/>
          <cell r="J298"/>
          <cell r="K298"/>
        </row>
        <row r="299">
          <cell r="A299" t="str">
            <v>SL093</v>
          </cell>
          <cell r="B299"/>
          <cell r="C299"/>
          <cell r="D299"/>
          <cell r="J299"/>
          <cell r="K299"/>
        </row>
        <row r="300">
          <cell r="A300" t="str">
            <v>SL094</v>
          </cell>
          <cell r="B300"/>
          <cell r="C300"/>
          <cell r="D300"/>
          <cell r="J300"/>
          <cell r="K300"/>
        </row>
        <row r="301">
          <cell r="A301" t="str">
            <v>SL095</v>
          </cell>
          <cell r="B301"/>
          <cell r="C301"/>
          <cell r="D301"/>
          <cell r="J301"/>
          <cell r="K301"/>
        </row>
        <row r="302">
          <cell r="A302" t="str">
            <v>SL096</v>
          </cell>
          <cell r="B302"/>
          <cell r="C302"/>
          <cell r="D302"/>
          <cell r="J302"/>
          <cell r="K302"/>
        </row>
        <row r="303">
          <cell r="A303" t="str">
            <v>SL097</v>
          </cell>
          <cell r="B303"/>
          <cell r="C303"/>
          <cell r="D303"/>
          <cell r="J303"/>
          <cell r="K303"/>
        </row>
        <row r="304">
          <cell r="A304" t="str">
            <v>SL098</v>
          </cell>
          <cell r="B304"/>
          <cell r="C304"/>
          <cell r="D304"/>
          <cell r="J304"/>
          <cell r="K304"/>
        </row>
        <row r="305">
          <cell r="A305" t="str">
            <v>SL099</v>
          </cell>
          <cell r="B305"/>
          <cell r="C305"/>
          <cell r="D305"/>
          <cell r="J305"/>
          <cell r="K305"/>
        </row>
        <row r="306">
          <cell r="A306" t="str">
            <v>SL100</v>
          </cell>
          <cell r="B306"/>
          <cell r="C306"/>
          <cell r="D306"/>
          <cell r="J306"/>
          <cell r="K306"/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  <cell r="D309" t="str">
            <v>سید ربیع موسویان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/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  <cell r="B311"/>
          <cell r="C311"/>
          <cell r="D311"/>
          <cell r="J311"/>
          <cell r="K311"/>
        </row>
        <row r="312">
          <cell r="A312" t="str">
            <v>S006</v>
          </cell>
          <cell r="B312"/>
          <cell r="C312"/>
          <cell r="D312"/>
          <cell r="J312"/>
          <cell r="K312"/>
        </row>
        <row r="313">
          <cell r="A313" t="str">
            <v>S007</v>
          </cell>
          <cell r="B313"/>
          <cell r="C313"/>
          <cell r="D313"/>
          <cell r="J313"/>
          <cell r="K313"/>
        </row>
        <row r="314">
          <cell r="A314" t="str">
            <v>S008</v>
          </cell>
          <cell r="B314"/>
          <cell r="C314"/>
          <cell r="D314"/>
          <cell r="J314"/>
          <cell r="K314"/>
        </row>
        <row r="315">
          <cell r="A315" t="str">
            <v>S009</v>
          </cell>
          <cell r="B315"/>
          <cell r="C315"/>
          <cell r="D315"/>
          <cell r="J315"/>
          <cell r="K315"/>
        </row>
        <row r="316">
          <cell r="A316" t="str">
            <v>S010</v>
          </cell>
          <cell r="B316"/>
          <cell r="C316"/>
          <cell r="D316"/>
          <cell r="J316"/>
          <cell r="K316"/>
        </row>
        <row r="317">
          <cell r="A317" t="str">
            <v>S011</v>
          </cell>
          <cell r="B317"/>
          <cell r="C317"/>
          <cell r="D317"/>
          <cell r="J317"/>
          <cell r="K317"/>
        </row>
        <row r="318">
          <cell r="A318" t="str">
            <v>S012</v>
          </cell>
          <cell r="B318"/>
          <cell r="C318"/>
          <cell r="D318"/>
          <cell r="J318"/>
          <cell r="K318"/>
        </row>
        <row r="319">
          <cell r="A319" t="str">
            <v>S013</v>
          </cell>
          <cell r="B319"/>
          <cell r="C319"/>
          <cell r="D319"/>
          <cell r="J319"/>
          <cell r="K319"/>
        </row>
        <row r="320">
          <cell r="A320" t="str">
            <v>S014</v>
          </cell>
          <cell r="B320"/>
          <cell r="C320"/>
          <cell r="D320"/>
          <cell r="J320"/>
          <cell r="K320"/>
        </row>
        <row r="321">
          <cell r="A321" t="str">
            <v>S015</v>
          </cell>
          <cell r="B321"/>
          <cell r="C321"/>
          <cell r="D321"/>
          <cell r="J321"/>
          <cell r="K321"/>
        </row>
        <row r="322">
          <cell r="A322" t="str">
            <v>S016</v>
          </cell>
          <cell r="B322"/>
          <cell r="C322"/>
          <cell r="D322"/>
          <cell r="J322"/>
          <cell r="K322"/>
        </row>
        <row r="323">
          <cell r="A323" t="str">
            <v>S017</v>
          </cell>
          <cell r="B323"/>
          <cell r="C323"/>
          <cell r="D323"/>
          <cell r="J323"/>
          <cell r="K323"/>
        </row>
        <row r="324">
          <cell r="A324" t="str">
            <v>S018</v>
          </cell>
          <cell r="B324"/>
          <cell r="C324"/>
          <cell r="D324"/>
          <cell r="J324"/>
          <cell r="K324"/>
        </row>
        <row r="325">
          <cell r="A325" t="str">
            <v>S019</v>
          </cell>
          <cell r="B325"/>
          <cell r="C325"/>
          <cell r="D325"/>
          <cell r="J325"/>
          <cell r="K325"/>
        </row>
        <row r="326">
          <cell r="A326" t="str">
            <v>S020</v>
          </cell>
          <cell r="B326"/>
          <cell r="C326"/>
          <cell r="D326"/>
          <cell r="J326"/>
          <cell r="K326"/>
        </row>
        <row r="327">
          <cell r="A327" t="str">
            <v>S021</v>
          </cell>
          <cell r="B327"/>
          <cell r="C327"/>
          <cell r="D327"/>
          <cell r="J327"/>
          <cell r="K327"/>
        </row>
        <row r="328">
          <cell r="A328" t="str">
            <v>S022</v>
          </cell>
          <cell r="B328"/>
          <cell r="C328"/>
          <cell r="D328"/>
          <cell r="J328"/>
          <cell r="K328"/>
        </row>
        <row r="329">
          <cell r="A329" t="str">
            <v>S023</v>
          </cell>
          <cell r="B329"/>
          <cell r="C329"/>
          <cell r="D329"/>
          <cell r="J329"/>
          <cell r="K329"/>
        </row>
        <row r="330">
          <cell r="A330" t="str">
            <v>S024</v>
          </cell>
          <cell r="B330"/>
          <cell r="C330"/>
          <cell r="D330"/>
          <cell r="J330"/>
          <cell r="K330"/>
        </row>
        <row r="331">
          <cell r="A331" t="str">
            <v>S025</v>
          </cell>
          <cell r="B331"/>
          <cell r="C331"/>
          <cell r="D331"/>
          <cell r="J331"/>
          <cell r="K331"/>
        </row>
        <row r="332">
          <cell r="A332" t="str">
            <v>S026</v>
          </cell>
          <cell r="B332"/>
          <cell r="C332"/>
          <cell r="D332"/>
          <cell r="J332"/>
          <cell r="K332"/>
        </row>
        <row r="333">
          <cell r="A333" t="str">
            <v>S027</v>
          </cell>
          <cell r="B333"/>
          <cell r="C333"/>
          <cell r="D333"/>
          <cell r="J333"/>
          <cell r="K333"/>
        </row>
        <row r="334">
          <cell r="A334" t="str">
            <v>S028</v>
          </cell>
          <cell r="B334"/>
          <cell r="C334"/>
          <cell r="D334"/>
          <cell r="J334"/>
          <cell r="K334"/>
        </row>
        <row r="335">
          <cell r="A335" t="str">
            <v>S029</v>
          </cell>
          <cell r="B335"/>
          <cell r="C335"/>
          <cell r="D335"/>
          <cell r="J335"/>
          <cell r="K335"/>
        </row>
        <row r="336">
          <cell r="A336" t="str">
            <v>S030</v>
          </cell>
          <cell r="B336"/>
          <cell r="C336"/>
          <cell r="D336"/>
          <cell r="J336"/>
          <cell r="K336"/>
        </row>
        <row r="337">
          <cell r="A337" t="str">
            <v>S031</v>
          </cell>
          <cell r="B337"/>
          <cell r="C337"/>
          <cell r="D337"/>
          <cell r="J337"/>
          <cell r="K337"/>
        </row>
        <row r="338">
          <cell r="A338" t="str">
            <v>S032</v>
          </cell>
          <cell r="B338"/>
          <cell r="C338"/>
          <cell r="D338"/>
          <cell r="J338"/>
          <cell r="K338"/>
        </row>
        <row r="339">
          <cell r="A339" t="str">
            <v>S033</v>
          </cell>
          <cell r="B339"/>
          <cell r="C339"/>
          <cell r="D339"/>
          <cell r="J339"/>
          <cell r="K339"/>
        </row>
        <row r="340">
          <cell r="A340" t="str">
            <v>S034</v>
          </cell>
          <cell r="B340"/>
          <cell r="C340"/>
          <cell r="D340"/>
          <cell r="J340"/>
          <cell r="K340"/>
        </row>
        <row r="341">
          <cell r="A341" t="str">
            <v>S035</v>
          </cell>
          <cell r="B341"/>
          <cell r="C341"/>
          <cell r="D341"/>
          <cell r="J341"/>
          <cell r="K341"/>
        </row>
        <row r="342">
          <cell r="A342" t="str">
            <v>S036</v>
          </cell>
          <cell r="B342"/>
          <cell r="C342"/>
          <cell r="D342"/>
          <cell r="J342"/>
          <cell r="K342"/>
        </row>
        <row r="343">
          <cell r="A343" t="str">
            <v>S037</v>
          </cell>
          <cell r="B343"/>
          <cell r="C343"/>
          <cell r="D343"/>
          <cell r="J343"/>
          <cell r="K343"/>
        </row>
        <row r="344">
          <cell r="A344" t="str">
            <v>S038</v>
          </cell>
          <cell r="B344"/>
          <cell r="C344"/>
          <cell r="D344"/>
          <cell r="J344"/>
          <cell r="K344"/>
        </row>
        <row r="345">
          <cell r="A345" t="str">
            <v>S039</v>
          </cell>
          <cell r="B345"/>
          <cell r="C345"/>
          <cell r="D345"/>
          <cell r="J345"/>
          <cell r="K345"/>
        </row>
        <row r="346">
          <cell r="A346" t="str">
            <v>S040</v>
          </cell>
          <cell r="B346"/>
          <cell r="C346"/>
          <cell r="D346"/>
          <cell r="J346"/>
          <cell r="K346"/>
        </row>
        <row r="347">
          <cell r="A347" t="str">
            <v>S041</v>
          </cell>
          <cell r="B347"/>
          <cell r="C347"/>
          <cell r="D347"/>
          <cell r="J347"/>
          <cell r="K347"/>
        </row>
        <row r="348">
          <cell r="A348" t="str">
            <v>S042</v>
          </cell>
          <cell r="B348"/>
          <cell r="C348"/>
          <cell r="D348"/>
          <cell r="J348"/>
          <cell r="K348"/>
        </row>
        <row r="349">
          <cell r="A349" t="str">
            <v>S043</v>
          </cell>
          <cell r="B349"/>
          <cell r="C349"/>
          <cell r="D349"/>
          <cell r="J349"/>
          <cell r="K349"/>
        </row>
        <row r="350">
          <cell r="A350" t="str">
            <v>S044</v>
          </cell>
          <cell r="B350"/>
          <cell r="C350"/>
          <cell r="D350"/>
          <cell r="J350"/>
          <cell r="K350"/>
        </row>
        <row r="351">
          <cell r="A351" t="str">
            <v>S045</v>
          </cell>
          <cell r="B351"/>
          <cell r="C351"/>
          <cell r="D351"/>
          <cell r="J351"/>
          <cell r="K351"/>
        </row>
        <row r="352">
          <cell r="A352" t="str">
            <v>S046</v>
          </cell>
          <cell r="B352"/>
          <cell r="C352"/>
          <cell r="D352"/>
          <cell r="J352"/>
          <cell r="K352"/>
        </row>
        <row r="353">
          <cell r="A353" t="str">
            <v>S047</v>
          </cell>
          <cell r="B353"/>
          <cell r="C353"/>
          <cell r="D353"/>
          <cell r="J353"/>
          <cell r="K353"/>
        </row>
        <row r="354">
          <cell r="A354" t="str">
            <v>S048</v>
          </cell>
          <cell r="B354"/>
          <cell r="C354"/>
          <cell r="D354"/>
          <cell r="J354"/>
          <cell r="K354"/>
        </row>
        <row r="355">
          <cell r="A355" t="str">
            <v>S049</v>
          </cell>
          <cell r="B355"/>
          <cell r="C355"/>
          <cell r="D355"/>
          <cell r="J355"/>
          <cell r="K355"/>
        </row>
        <row r="356">
          <cell r="A356" t="str">
            <v>S050</v>
          </cell>
          <cell r="B356"/>
          <cell r="C356"/>
          <cell r="D356"/>
          <cell r="J356"/>
          <cell r="K356"/>
        </row>
        <row r="357">
          <cell r="A357" t="str">
            <v>S051</v>
          </cell>
          <cell r="B357"/>
          <cell r="C357"/>
          <cell r="D357"/>
          <cell r="J357"/>
          <cell r="K357"/>
        </row>
        <row r="358">
          <cell r="A358" t="str">
            <v>S052</v>
          </cell>
          <cell r="B358"/>
          <cell r="C358"/>
          <cell r="D358"/>
          <cell r="J358"/>
          <cell r="K358"/>
        </row>
        <row r="359">
          <cell r="A359" t="str">
            <v>S053</v>
          </cell>
          <cell r="B359"/>
          <cell r="C359"/>
          <cell r="D359"/>
          <cell r="J359"/>
          <cell r="K359"/>
        </row>
        <row r="360">
          <cell r="A360" t="str">
            <v>S054</v>
          </cell>
          <cell r="B360"/>
          <cell r="C360"/>
          <cell r="D360"/>
          <cell r="J360"/>
          <cell r="K360"/>
        </row>
        <row r="361">
          <cell r="A361" t="str">
            <v>S055</v>
          </cell>
          <cell r="B361"/>
          <cell r="C361"/>
          <cell r="D361"/>
          <cell r="J361"/>
          <cell r="K361"/>
        </row>
        <row r="362">
          <cell r="A362" t="str">
            <v>S056</v>
          </cell>
          <cell r="B362"/>
          <cell r="C362"/>
          <cell r="D362"/>
          <cell r="J362"/>
          <cell r="K362"/>
        </row>
        <row r="363">
          <cell r="A363" t="str">
            <v>S057</v>
          </cell>
          <cell r="B363"/>
          <cell r="C363"/>
          <cell r="D363"/>
          <cell r="J363"/>
          <cell r="K363"/>
        </row>
        <row r="364">
          <cell r="A364" t="str">
            <v>S058</v>
          </cell>
          <cell r="B364"/>
          <cell r="C364"/>
          <cell r="D364"/>
          <cell r="J364"/>
          <cell r="K364"/>
        </row>
        <row r="365">
          <cell r="A365" t="str">
            <v>S059</v>
          </cell>
          <cell r="B365"/>
          <cell r="C365"/>
          <cell r="D365"/>
          <cell r="J365"/>
          <cell r="K365"/>
        </row>
        <row r="366">
          <cell r="A366" t="str">
            <v>S060</v>
          </cell>
          <cell r="B366"/>
          <cell r="C366"/>
          <cell r="D366"/>
          <cell r="J366"/>
          <cell r="K366"/>
        </row>
        <row r="367">
          <cell r="A367" t="str">
            <v>S061</v>
          </cell>
          <cell r="B367"/>
          <cell r="C367"/>
          <cell r="D367"/>
          <cell r="J367"/>
          <cell r="K367"/>
        </row>
        <row r="368">
          <cell r="A368" t="str">
            <v>S062</v>
          </cell>
          <cell r="B368"/>
          <cell r="C368"/>
          <cell r="D368"/>
          <cell r="J368"/>
          <cell r="K368"/>
        </row>
        <row r="369">
          <cell r="A369" t="str">
            <v>S063</v>
          </cell>
          <cell r="B369"/>
          <cell r="C369"/>
          <cell r="D369"/>
          <cell r="J369"/>
          <cell r="K369"/>
        </row>
        <row r="370">
          <cell r="A370" t="str">
            <v>S064</v>
          </cell>
          <cell r="B370"/>
          <cell r="C370"/>
          <cell r="D370"/>
          <cell r="J370"/>
          <cell r="K370"/>
        </row>
        <row r="371">
          <cell r="A371" t="str">
            <v>S065</v>
          </cell>
          <cell r="B371"/>
          <cell r="C371"/>
          <cell r="D371"/>
          <cell r="J371"/>
          <cell r="K371"/>
        </row>
        <row r="372">
          <cell r="A372" t="str">
            <v>S066</v>
          </cell>
          <cell r="B372"/>
          <cell r="C372"/>
          <cell r="D372"/>
          <cell r="J372"/>
          <cell r="K372"/>
        </row>
        <row r="373">
          <cell r="A373" t="str">
            <v>S067</v>
          </cell>
          <cell r="B373"/>
          <cell r="C373"/>
          <cell r="D373"/>
          <cell r="J373"/>
          <cell r="K373"/>
        </row>
        <row r="374">
          <cell r="A374" t="str">
            <v>S068</v>
          </cell>
          <cell r="B374"/>
          <cell r="C374"/>
          <cell r="D374"/>
          <cell r="J374"/>
          <cell r="K374"/>
        </row>
        <row r="375">
          <cell r="A375" t="str">
            <v>S069</v>
          </cell>
          <cell r="B375"/>
          <cell r="C375"/>
          <cell r="D375"/>
          <cell r="J375"/>
          <cell r="K375"/>
        </row>
        <row r="376">
          <cell r="A376" t="str">
            <v>S070</v>
          </cell>
          <cell r="B376"/>
          <cell r="C376"/>
          <cell r="D376"/>
          <cell r="J376"/>
          <cell r="K376"/>
        </row>
        <row r="377">
          <cell r="A377" t="str">
            <v>S071</v>
          </cell>
          <cell r="B377"/>
          <cell r="C377"/>
          <cell r="D377"/>
          <cell r="J377"/>
          <cell r="K377"/>
        </row>
        <row r="378">
          <cell r="A378" t="str">
            <v>S072</v>
          </cell>
          <cell r="B378"/>
          <cell r="C378"/>
          <cell r="D378"/>
          <cell r="J378"/>
          <cell r="K378"/>
        </row>
        <row r="379">
          <cell r="A379" t="str">
            <v>S073</v>
          </cell>
          <cell r="B379"/>
          <cell r="C379"/>
          <cell r="D379"/>
          <cell r="J379"/>
          <cell r="K379"/>
        </row>
        <row r="380">
          <cell r="A380" t="str">
            <v>S074</v>
          </cell>
          <cell r="B380"/>
          <cell r="C380"/>
          <cell r="D380"/>
          <cell r="J380"/>
          <cell r="K380"/>
        </row>
        <row r="381">
          <cell r="A381" t="str">
            <v>S075</v>
          </cell>
          <cell r="B381"/>
          <cell r="C381"/>
          <cell r="D381"/>
          <cell r="J381"/>
          <cell r="K381"/>
        </row>
        <row r="382">
          <cell r="A382" t="str">
            <v>S076</v>
          </cell>
          <cell r="B382"/>
          <cell r="C382"/>
          <cell r="D382"/>
          <cell r="J382"/>
          <cell r="K382"/>
        </row>
        <row r="383">
          <cell r="A383" t="str">
            <v>S077</v>
          </cell>
          <cell r="B383"/>
          <cell r="C383"/>
          <cell r="D383"/>
          <cell r="J383"/>
          <cell r="K383"/>
        </row>
        <row r="384">
          <cell r="A384" t="str">
            <v>S078</v>
          </cell>
          <cell r="B384"/>
          <cell r="C384"/>
          <cell r="D384"/>
          <cell r="J384"/>
          <cell r="K384"/>
        </row>
        <row r="385">
          <cell r="A385" t="str">
            <v>S079</v>
          </cell>
          <cell r="B385"/>
          <cell r="C385"/>
          <cell r="D385"/>
          <cell r="J385"/>
          <cell r="K385"/>
        </row>
        <row r="386">
          <cell r="A386" t="str">
            <v>S080</v>
          </cell>
          <cell r="B386"/>
          <cell r="C386"/>
          <cell r="D386"/>
          <cell r="J386"/>
          <cell r="K386"/>
        </row>
        <row r="387">
          <cell r="A387" t="str">
            <v>S081</v>
          </cell>
          <cell r="B387"/>
          <cell r="C387"/>
          <cell r="D387"/>
          <cell r="J387"/>
          <cell r="K387"/>
        </row>
        <row r="388">
          <cell r="A388" t="str">
            <v>S082</v>
          </cell>
          <cell r="B388"/>
          <cell r="C388"/>
          <cell r="D388"/>
          <cell r="J388"/>
          <cell r="K388"/>
        </row>
        <row r="389">
          <cell r="A389" t="str">
            <v>S083</v>
          </cell>
          <cell r="B389"/>
          <cell r="C389"/>
          <cell r="D389"/>
          <cell r="J389"/>
          <cell r="K389"/>
        </row>
        <row r="390">
          <cell r="A390" t="str">
            <v>S084</v>
          </cell>
          <cell r="B390"/>
          <cell r="C390"/>
          <cell r="D390"/>
          <cell r="J390"/>
          <cell r="K390"/>
        </row>
        <row r="391">
          <cell r="A391" t="str">
            <v>S085</v>
          </cell>
          <cell r="B391"/>
          <cell r="C391"/>
          <cell r="D391"/>
          <cell r="J391"/>
          <cell r="K391"/>
        </row>
        <row r="392">
          <cell r="A392" t="str">
            <v>S086</v>
          </cell>
          <cell r="B392"/>
          <cell r="C392"/>
          <cell r="D392"/>
          <cell r="J392"/>
          <cell r="K392"/>
        </row>
        <row r="393">
          <cell r="A393" t="str">
            <v>S087</v>
          </cell>
          <cell r="B393"/>
          <cell r="C393"/>
          <cell r="D393"/>
          <cell r="J393"/>
          <cell r="K393"/>
        </row>
        <row r="394">
          <cell r="A394" t="str">
            <v>S088</v>
          </cell>
          <cell r="B394"/>
          <cell r="C394"/>
          <cell r="D394"/>
          <cell r="J394"/>
          <cell r="K394"/>
        </row>
        <row r="395">
          <cell r="A395" t="str">
            <v>S089</v>
          </cell>
          <cell r="B395"/>
          <cell r="C395"/>
          <cell r="D395"/>
          <cell r="J395"/>
          <cell r="K395"/>
        </row>
        <row r="396">
          <cell r="A396" t="str">
            <v>S090</v>
          </cell>
          <cell r="B396"/>
          <cell r="C396"/>
          <cell r="D396"/>
          <cell r="J396"/>
          <cell r="K396"/>
        </row>
        <row r="397">
          <cell r="A397" t="str">
            <v>S091</v>
          </cell>
          <cell r="B397"/>
          <cell r="C397"/>
          <cell r="D397"/>
          <cell r="J397"/>
          <cell r="K397"/>
        </row>
        <row r="398">
          <cell r="A398" t="str">
            <v>S092</v>
          </cell>
          <cell r="B398"/>
          <cell r="C398"/>
          <cell r="D398"/>
          <cell r="J398"/>
          <cell r="K398"/>
        </row>
        <row r="399">
          <cell r="A399" t="str">
            <v>S093</v>
          </cell>
          <cell r="B399"/>
          <cell r="C399"/>
          <cell r="D399"/>
          <cell r="J399"/>
          <cell r="K399"/>
        </row>
        <row r="400">
          <cell r="A400" t="str">
            <v>S094</v>
          </cell>
          <cell r="B400"/>
          <cell r="C400"/>
          <cell r="D400"/>
          <cell r="J400"/>
          <cell r="K400"/>
        </row>
        <row r="401">
          <cell r="A401" t="str">
            <v>S095</v>
          </cell>
          <cell r="B401"/>
          <cell r="C401"/>
          <cell r="D401"/>
          <cell r="J401"/>
          <cell r="K401"/>
        </row>
        <row r="402">
          <cell r="A402" t="str">
            <v>S096</v>
          </cell>
          <cell r="B402"/>
          <cell r="C402"/>
          <cell r="D402"/>
          <cell r="J402"/>
          <cell r="K402"/>
        </row>
        <row r="403">
          <cell r="A403" t="str">
            <v>S097</v>
          </cell>
          <cell r="B403"/>
          <cell r="C403"/>
          <cell r="D403"/>
          <cell r="J403"/>
          <cell r="K403"/>
        </row>
        <row r="404">
          <cell r="A404" t="str">
            <v>S098</v>
          </cell>
          <cell r="B404"/>
          <cell r="C404"/>
          <cell r="D404"/>
          <cell r="J404"/>
          <cell r="K404"/>
        </row>
        <row r="405">
          <cell r="A405" t="str">
            <v>S099</v>
          </cell>
          <cell r="B405"/>
          <cell r="C405"/>
          <cell r="D405"/>
          <cell r="J405"/>
          <cell r="K405"/>
        </row>
        <row r="406">
          <cell r="A406" t="str">
            <v>S100</v>
          </cell>
          <cell r="B406"/>
          <cell r="C406"/>
          <cell r="D406"/>
          <cell r="J406"/>
          <cell r="K406"/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  <cell r="B413"/>
          <cell r="C413"/>
          <cell r="D413"/>
          <cell r="J413"/>
          <cell r="K413"/>
        </row>
        <row r="414">
          <cell r="A414" t="str">
            <v>E008</v>
          </cell>
          <cell r="B414"/>
          <cell r="C414"/>
          <cell r="D414"/>
          <cell r="J414"/>
          <cell r="K414"/>
        </row>
        <row r="415">
          <cell r="A415" t="str">
            <v>E009</v>
          </cell>
          <cell r="B415"/>
          <cell r="C415"/>
          <cell r="D415"/>
          <cell r="J415"/>
          <cell r="K415"/>
        </row>
        <row r="416">
          <cell r="A416" t="str">
            <v>E010</v>
          </cell>
          <cell r="B416"/>
          <cell r="C416"/>
          <cell r="D416"/>
          <cell r="J416"/>
          <cell r="K416"/>
        </row>
        <row r="417">
          <cell r="A417" t="str">
            <v>E011</v>
          </cell>
          <cell r="B417"/>
          <cell r="C417"/>
          <cell r="D417"/>
          <cell r="J417"/>
          <cell r="K417"/>
        </row>
        <row r="418">
          <cell r="A418" t="str">
            <v>E012</v>
          </cell>
          <cell r="B418"/>
          <cell r="C418"/>
          <cell r="D418"/>
          <cell r="J418"/>
          <cell r="K418"/>
        </row>
        <row r="419">
          <cell r="A419" t="str">
            <v>E013</v>
          </cell>
          <cell r="B419"/>
          <cell r="C419"/>
          <cell r="D419"/>
          <cell r="J419"/>
          <cell r="K419"/>
        </row>
        <row r="420">
          <cell r="A420" t="str">
            <v>E014</v>
          </cell>
          <cell r="B420"/>
          <cell r="C420"/>
          <cell r="D420"/>
          <cell r="J420"/>
          <cell r="K420"/>
        </row>
        <row r="421">
          <cell r="A421" t="str">
            <v>E015</v>
          </cell>
          <cell r="B421"/>
          <cell r="C421"/>
          <cell r="D421"/>
          <cell r="J421"/>
          <cell r="K421"/>
        </row>
        <row r="422">
          <cell r="A422" t="str">
            <v>E016</v>
          </cell>
          <cell r="B422"/>
          <cell r="C422"/>
          <cell r="D422"/>
          <cell r="J422"/>
          <cell r="K422"/>
        </row>
        <row r="423">
          <cell r="A423" t="str">
            <v>E017</v>
          </cell>
          <cell r="B423"/>
          <cell r="C423"/>
          <cell r="D423"/>
          <cell r="J423"/>
          <cell r="K423"/>
        </row>
        <row r="424">
          <cell r="A424" t="str">
            <v>E018</v>
          </cell>
          <cell r="B424"/>
          <cell r="C424"/>
          <cell r="D424"/>
          <cell r="J424"/>
          <cell r="K424"/>
        </row>
        <row r="425">
          <cell r="A425" t="str">
            <v>E019</v>
          </cell>
          <cell r="B425"/>
          <cell r="C425"/>
          <cell r="D425"/>
          <cell r="J425"/>
          <cell r="K425"/>
        </row>
        <row r="426">
          <cell r="A426" t="str">
            <v>E020</v>
          </cell>
          <cell r="B426"/>
          <cell r="C426"/>
          <cell r="D426"/>
          <cell r="J426"/>
          <cell r="K426"/>
        </row>
        <row r="427">
          <cell r="A427" t="str">
            <v>E021</v>
          </cell>
          <cell r="B427"/>
          <cell r="C427"/>
          <cell r="D427"/>
          <cell r="J427"/>
          <cell r="K427"/>
        </row>
        <row r="428">
          <cell r="A428" t="str">
            <v>E022</v>
          </cell>
          <cell r="B428"/>
          <cell r="C428"/>
          <cell r="D428"/>
          <cell r="J428"/>
          <cell r="K428"/>
        </row>
        <row r="429">
          <cell r="A429" t="str">
            <v>E023</v>
          </cell>
          <cell r="B429"/>
          <cell r="C429"/>
          <cell r="D429"/>
          <cell r="J429"/>
          <cell r="K429"/>
        </row>
        <row r="430">
          <cell r="A430" t="str">
            <v>E024</v>
          </cell>
          <cell r="B430"/>
          <cell r="C430"/>
          <cell r="D430"/>
          <cell r="J430"/>
          <cell r="K430"/>
        </row>
        <row r="431">
          <cell r="A431" t="str">
            <v>E025</v>
          </cell>
          <cell r="B431"/>
          <cell r="C431"/>
          <cell r="D431"/>
          <cell r="J431"/>
          <cell r="K431"/>
        </row>
        <row r="432">
          <cell r="A432" t="str">
            <v>E026</v>
          </cell>
          <cell r="B432"/>
          <cell r="C432"/>
          <cell r="D432"/>
          <cell r="J432"/>
          <cell r="K432"/>
        </row>
        <row r="433">
          <cell r="A433" t="str">
            <v>E027</v>
          </cell>
          <cell r="B433"/>
          <cell r="C433"/>
          <cell r="D433"/>
          <cell r="J433"/>
          <cell r="K433"/>
        </row>
        <row r="434">
          <cell r="A434" t="str">
            <v>E028</v>
          </cell>
          <cell r="B434"/>
          <cell r="C434"/>
          <cell r="D434"/>
          <cell r="J434"/>
          <cell r="K434"/>
        </row>
        <row r="435">
          <cell r="A435" t="str">
            <v>E029</v>
          </cell>
          <cell r="B435"/>
          <cell r="C435"/>
          <cell r="D435"/>
          <cell r="J435"/>
          <cell r="K435"/>
        </row>
        <row r="436">
          <cell r="A436" t="str">
            <v>E030</v>
          </cell>
          <cell r="B436"/>
          <cell r="C436"/>
          <cell r="D436"/>
          <cell r="J436"/>
          <cell r="K436"/>
        </row>
        <row r="437">
          <cell r="A437" t="str">
            <v>E031</v>
          </cell>
          <cell r="B437"/>
          <cell r="C437"/>
          <cell r="D437"/>
          <cell r="J437"/>
          <cell r="K437"/>
        </row>
        <row r="438">
          <cell r="A438" t="str">
            <v>E032</v>
          </cell>
          <cell r="B438"/>
          <cell r="C438"/>
          <cell r="D438"/>
          <cell r="J438"/>
          <cell r="K438"/>
        </row>
        <row r="439">
          <cell r="A439" t="str">
            <v>E033</v>
          </cell>
          <cell r="B439"/>
          <cell r="C439"/>
          <cell r="D439"/>
          <cell r="J439"/>
          <cell r="K439"/>
        </row>
        <row r="440">
          <cell r="A440" t="str">
            <v>E034</v>
          </cell>
          <cell r="B440"/>
          <cell r="C440"/>
          <cell r="D440"/>
          <cell r="J440"/>
          <cell r="K440"/>
        </row>
        <row r="441">
          <cell r="A441" t="str">
            <v>E035</v>
          </cell>
          <cell r="B441"/>
          <cell r="C441"/>
          <cell r="D441"/>
          <cell r="J441"/>
          <cell r="K441"/>
        </row>
        <row r="442">
          <cell r="A442" t="str">
            <v>E036</v>
          </cell>
          <cell r="B442"/>
          <cell r="C442"/>
          <cell r="D442"/>
          <cell r="J442"/>
          <cell r="K442"/>
        </row>
        <row r="443">
          <cell r="A443" t="str">
            <v>E037</v>
          </cell>
          <cell r="B443"/>
          <cell r="C443"/>
          <cell r="D443"/>
          <cell r="J443"/>
          <cell r="K443"/>
        </row>
        <row r="444">
          <cell r="A444" t="str">
            <v>E038</v>
          </cell>
          <cell r="B444"/>
          <cell r="C444"/>
          <cell r="D444"/>
          <cell r="J444"/>
          <cell r="K444"/>
        </row>
        <row r="445">
          <cell r="A445" t="str">
            <v>E039</v>
          </cell>
          <cell r="B445"/>
          <cell r="C445"/>
          <cell r="D445"/>
          <cell r="J445"/>
          <cell r="K445"/>
        </row>
        <row r="446">
          <cell r="A446" t="str">
            <v>E040</v>
          </cell>
          <cell r="B446"/>
          <cell r="C446"/>
          <cell r="D446"/>
          <cell r="J446"/>
          <cell r="K446"/>
        </row>
        <row r="447">
          <cell r="A447" t="str">
            <v>E041</v>
          </cell>
          <cell r="B447"/>
          <cell r="C447"/>
          <cell r="D447"/>
          <cell r="J447"/>
          <cell r="K447"/>
        </row>
        <row r="448">
          <cell r="A448" t="str">
            <v>E042</v>
          </cell>
          <cell r="B448"/>
          <cell r="C448"/>
          <cell r="D448"/>
          <cell r="J448"/>
          <cell r="K448"/>
        </row>
        <row r="449">
          <cell r="A449" t="str">
            <v>E043</v>
          </cell>
          <cell r="B449"/>
          <cell r="C449"/>
          <cell r="D449"/>
          <cell r="J449"/>
          <cell r="K449"/>
        </row>
        <row r="450">
          <cell r="A450" t="str">
            <v>E044</v>
          </cell>
          <cell r="B450"/>
          <cell r="C450"/>
          <cell r="D450"/>
          <cell r="J450"/>
          <cell r="K450"/>
        </row>
        <row r="451">
          <cell r="A451" t="str">
            <v>E045</v>
          </cell>
          <cell r="B451"/>
          <cell r="C451"/>
          <cell r="D451"/>
          <cell r="J451"/>
          <cell r="K451"/>
        </row>
        <row r="452">
          <cell r="A452" t="str">
            <v>E046</v>
          </cell>
          <cell r="B452"/>
          <cell r="C452"/>
          <cell r="D452"/>
          <cell r="J452"/>
          <cell r="K452"/>
        </row>
        <row r="453">
          <cell r="A453" t="str">
            <v>E047</v>
          </cell>
          <cell r="B453"/>
          <cell r="C453"/>
          <cell r="D453"/>
          <cell r="J453"/>
          <cell r="K453"/>
        </row>
        <row r="454">
          <cell r="A454" t="str">
            <v>E048</v>
          </cell>
          <cell r="B454"/>
          <cell r="C454"/>
          <cell r="D454"/>
          <cell r="J454"/>
          <cell r="K454"/>
        </row>
        <row r="455">
          <cell r="A455" t="str">
            <v>E049</v>
          </cell>
          <cell r="B455"/>
          <cell r="C455"/>
          <cell r="D455"/>
          <cell r="J455"/>
          <cell r="K455"/>
        </row>
        <row r="456">
          <cell r="A456" t="str">
            <v>E050</v>
          </cell>
          <cell r="B456"/>
          <cell r="C456"/>
          <cell r="D456"/>
          <cell r="J456"/>
          <cell r="K456"/>
        </row>
        <row r="457">
          <cell r="A457" t="str">
            <v>X001</v>
          </cell>
          <cell r="B457"/>
          <cell r="C457"/>
          <cell r="D457" t="str">
            <v>انعام مصطفی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/>
          <cell r="C458"/>
          <cell r="D458" t="str">
            <v>درامد باسکول(احمد زاهدی)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/>
          <cell r="C459"/>
          <cell r="D459"/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  <cell r="B460"/>
          <cell r="C460"/>
          <cell r="D460"/>
          <cell r="J460"/>
          <cell r="K460"/>
        </row>
        <row r="461">
          <cell r="A461" t="str">
            <v>X005</v>
          </cell>
          <cell r="B461"/>
          <cell r="C461"/>
          <cell r="D461"/>
          <cell r="J461"/>
          <cell r="K461"/>
        </row>
        <row r="462">
          <cell r="A462" t="str">
            <v>X006</v>
          </cell>
          <cell r="B462"/>
          <cell r="C462"/>
          <cell r="D462"/>
          <cell r="J462"/>
          <cell r="K462"/>
        </row>
        <row r="463">
          <cell r="A463" t="str">
            <v>X007</v>
          </cell>
          <cell r="B463"/>
          <cell r="C463"/>
          <cell r="D463"/>
          <cell r="J463"/>
          <cell r="K463"/>
        </row>
        <row r="464">
          <cell r="A464" t="str">
            <v>X008</v>
          </cell>
          <cell r="B464"/>
          <cell r="C464"/>
          <cell r="D464"/>
          <cell r="J464"/>
          <cell r="K464"/>
        </row>
        <row r="465">
          <cell r="A465" t="str">
            <v>X009</v>
          </cell>
          <cell r="B465"/>
          <cell r="C465"/>
          <cell r="D465"/>
          <cell r="J465"/>
          <cell r="K465"/>
        </row>
        <row r="466">
          <cell r="A466" t="str">
            <v>X010</v>
          </cell>
          <cell r="B466"/>
          <cell r="C466"/>
          <cell r="D466"/>
          <cell r="J466"/>
          <cell r="K466"/>
        </row>
        <row r="467">
          <cell r="A467" t="str">
            <v>X011</v>
          </cell>
          <cell r="B467"/>
          <cell r="C467"/>
          <cell r="D467"/>
          <cell r="J467"/>
          <cell r="K467"/>
        </row>
        <row r="468">
          <cell r="A468" t="str">
            <v>X012</v>
          </cell>
          <cell r="B468"/>
          <cell r="C468"/>
          <cell r="D468"/>
          <cell r="J468"/>
          <cell r="K468"/>
        </row>
        <row r="469">
          <cell r="A469" t="str">
            <v>X013</v>
          </cell>
          <cell r="B469"/>
          <cell r="C469"/>
          <cell r="D469"/>
          <cell r="J469"/>
          <cell r="K469"/>
        </row>
        <row r="470">
          <cell r="A470" t="str">
            <v>X014</v>
          </cell>
          <cell r="B470"/>
          <cell r="C470"/>
          <cell r="D470"/>
          <cell r="J470"/>
          <cell r="K470"/>
        </row>
        <row r="471">
          <cell r="A471" t="str">
            <v>X015</v>
          </cell>
          <cell r="B471"/>
          <cell r="C471"/>
          <cell r="D471"/>
          <cell r="J471"/>
          <cell r="K471"/>
        </row>
        <row r="472">
          <cell r="A472" t="str">
            <v>X016</v>
          </cell>
          <cell r="B472"/>
          <cell r="C472"/>
          <cell r="D472"/>
          <cell r="J472"/>
          <cell r="K472"/>
        </row>
        <row r="473">
          <cell r="A473" t="str">
            <v>X017</v>
          </cell>
          <cell r="B473"/>
          <cell r="C473"/>
          <cell r="D473"/>
          <cell r="J473"/>
          <cell r="K473"/>
        </row>
        <row r="474">
          <cell r="A474" t="str">
            <v>X018</v>
          </cell>
          <cell r="B474"/>
          <cell r="C474"/>
          <cell r="D474"/>
          <cell r="J474"/>
          <cell r="K474"/>
        </row>
        <row r="475">
          <cell r="A475" t="str">
            <v>X019</v>
          </cell>
          <cell r="B475"/>
          <cell r="C475"/>
          <cell r="D475"/>
          <cell r="J475"/>
          <cell r="K475"/>
        </row>
        <row r="476">
          <cell r="A476" t="str">
            <v>X020</v>
          </cell>
          <cell r="B476"/>
          <cell r="C476"/>
          <cell r="D476"/>
          <cell r="J476"/>
          <cell r="K476"/>
        </row>
        <row r="477">
          <cell r="A477" t="str">
            <v>X021</v>
          </cell>
          <cell r="B477"/>
          <cell r="C477"/>
          <cell r="D477"/>
          <cell r="J477"/>
          <cell r="K477"/>
        </row>
        <row r="478">
          <cell r="A478" t="str">
            <v>X022</v>
          </cell>
          <cell r="B478"/>
          <cell r="C478"/>
          <cell r="D478"/>
          <cell r="J478"/>
          <cell r="K478"/>
        </row>
        <row r="479">
          <cell r="A479" t="str">
            <v>X023</v>
          </cell>
          <cell r="B479"/>
          <cell r="C479"/>
          <cell r="D479"/>
          <cell r="J479"/>
          <cell r="K479"/>
        </row>
        <row r="480">
          <cell r="A480" t="str">
            <v>X024</v>
          </cell>
          <cell r="B480"/>
          <cell r="C480"/>
          <cell r="D480"/>
          <cell r="J480"/>
          <cell r="K480"/>
        </row>
        <row r="481">
          <cell r="A481" t="str">
            <v>X025</v>
          </cell>
          <cell r="B481"/>
          <cell r="C481"/>
          <cell r="D481"/>
          <cell r="J481"/>
          <cell r="K481"/>
        </row>
        <row r="482">
          <cell r="A482" t="str">
            <v>X026</v>
          </cell>
          <cell r="B482"/>
          <cell r="C482"/>
          <cell r="D482"/>
          <cell r="J482"/>
          <cell r="K482"/>
        </row>
        <row r="483">
          <cell r="A483" t="str">
            <v>X027</v>
          </cell>
          <cell r="B483"/>
          <cell r="C483"/>
          <cell r="D483"/>
          <cell r="J483"/>
          <cell r="K483"/>
        </row>
        <row r="484">
          <cell r="A484" t="str">
            <v>X028</v>
          </cell>
          <cell r="B484"/>
          <cell r="C484"/>
          <cell r="D484"/>
          <cell r="J484"/>
          <cell r="K484"/>
        </row>
        <row r="485">
          <cell r="A485" t="str">
            <v>X029</v>
          </cell>
          <cell r="B485"/>
          <cell r="C485"/>
          <cell r="D485"/>
          <cell r="J485"/>
          <cell r="K485"/>
        </row>
        <row r="486">
          <cell r="A486" t="str">
            <v>X030</v>
          </cell>
          <cell r="B486"/>
          <cell r="C486"/>
          <cell r="D486"/>
          <cell r="J486"/>
          <cell r="K486"/>
        </row>
        <row r="487">
          <cell r="A487" t="str">
            <v>X031</v>
          </cell>
          <cell r="B487"/>
          <cell r="C487"/>
          <cell r="D487"/>
          <cell r="J487"/>
          <cell r="K487"/>
        </row>
        <row r="488">
          <cell r="A488" t="str">
            <v>X032</v>
          </cell>
          <cell r="B488"/>
          <cell r="C488"/>
          <cell r="D488"/>
          <cell r="J488"/>
          <cell r="K488"/>
        </row>
        <row r="489">
          <cell r="A489" t="str">
            <v>X033</v>
          </cell>
          <cell r="B489"/>
          <cell r="C489"/>
          <cell r="D489"/>
          <cell r="J489"/>
          <cell r="K489"/>
        </row>
        <row r="490">
          <cell r="A490" t="str">
            <v>X034</v>
          </cell>
          <cell r="B490"/>
          <cell r="C490"/>
          <cell r="D490"/>
          <cell r="J490"/>
          <cell r="K490"/>
        </row>
        <row r="491">
          <cell r="A491" t="str">
            <v>X035</v>
          </cell>
          <cell r="B491"/>
          <cell r="C491"/>
          <cell r="D491"/>
          <cell r="J491"/>
          <cell r="K491"/>
        </row>
        <row r="492">
          <cell r="A492" t="str">
            <v>X036</v>
          </cell>
          <cell r="B492"/>
          <cell r="C492"/>
          <cell r="D492"/>
          <cell r="J492"/>
          <cell r="K492"/>
        </row>
        <row r="493">
          <cell r="A493" t="str">
            <v>X037</v>
          </cell>
          <cell r="B493"/>
          <cell r="C493"/>
          <cell r="D493"/>
          <cell r="J493"/>
          <cell r="K493"/>
        </row>
        <row r="494">
          <cell r="A494" t="str">
            <v>X038</v>
          </cell>
          <cell r="B494"/>
          <cell r="C494"/>
          <cell r="D494"/>
          <cell r="J494"/>
          <cell r="K494"/>
        </row>
        <row r="495">
          <cell r="A495" t="str">
            <v>X039</v>
          </cell>
          <cell r="B495"/>
          <cell r="C495"/>
          <cell r="D495"/>
          <cell r="J495"/>
          <cell r="K495"/>
        </row>
        <row r="496">
          <cell r="A496" t="str">
            <v>X040</v>
          </cell>
          <cell r="B496"/>
          <cell r="C496"/>
          <cell r="D496"/>
          <cell r="J496"/>
          <cell r="K496"/>
        </row>
        <row r="497">
          <cell r="A497" t="str">
            <v>X041</v>
          </cell>
          <cell r="B497"/>
          <cell r="C497"/>
          <cell r="D497"/>
          <cell r="J497"/>
          <cell r="K497"/>
        </row>
        <row r="498">
          <cell r="A498" t="str">
            <v>X042</v>
          </cell>
          <cell r="B498"/>
          <cell r="C498"/>
          <cell r="D498"/>
          <cell r="J498"/>
          <cell r="K498"/>
        </row>
        <row r="499">
          <cell r="A499" t="str">
            <v>X043</v>
          </cell>
          <cell r="B499"/>
          <cell r="C499"/>
          <cell r="D499"/>
          <cell r="J499"/>
          <cell r="K499"/>
        </row>
        <row r="500">
          <cell r="A500" t="str">
            <v>X044</v>
          </cell>
          <cell r="B500"/>
          <cell r="C500"/>
          <cell r="D500"/>
          <cell r="J500"/>
          <cell r="K500"/>
        </row>
        <row r="501">
          <cell r="A501" t="str">
            <v>X045</v>
          </cell>
          <cell r="B501"/>
          <cell r="C501"/>
          <cell r="D501"/>
          <cell r="J501"/>
          <cell r="K501"/>
        </row>
        <row r="502">
          <cell r="A502" t="str">
            <v>X046</v>
          </cell>
          <cell r="B502"/>
          <cell r="C502"/>
          <cell r="D502"/>
          <cell r="J502"/>
          <cell r="K502"/>
        </row>
        <row r="503">
          <cell r="A503" t="str">
            <v>X047</v>
          </cell>
          <cell r="B503"/>
          <cell r="C503"/>
          <cell r="D503"/>
          <cell r="J503"/>
          <cell r="K503"/>
        </row>
        <row r="504">
          <cell r="A504" t="str">
            <v>X048</v>
          </cell>
          <cell r="B504"/>
          <cell r="C504"/>
          <cell r="D504"/>
          <cell r="J504"/>
          <cell r="K504"/>
        </row>
        <row r="505">
          <cell r="A505" t="str">
            <v>X049</v>
          </cell>
          <cell r="B505"/>
          <cell r="C505"/>
          <cell r="D505"/>
          <cell r="J505"/>
          <cell r="K505"/>
        </row>
        <row r="506">
          <cell r="A506" t="str">
            <v>X050</v>
          </cell>
          <cell r="B506"/>
          <cell r="C506"/>
          <cell r="D506"/>
          <cell r="J506"/>
          <cell r="K506"/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  <cell r="B510"/>
          <cell r="C510"/>
          <cell r="D510"/>
          <cell r="J510"/>
          <cell r="K510"/>
        </row>
        <row r="511">
          <cell r="A511" t="str">
            <v>F005</v>
          </cell>
          <cell r="B511"/>
          <cell r="C511"/>
          <cell r="D511"/>
          <cell r="J511"/>
          <cell r="K511"/>
        </row>
        <row r="512">
          <cell r="A512" t="str">
            <v>F006</v>
          </cell>
          <cell r="B512"/>
          <cell r="C512"/>
          <cell r="D512"/>
          <cell r="J512"/>
          <cell r="K512"/>
        </row>
        <row r="513">
          <cell r="A513" t="str">
            <v>F007</v>
          </cell>
          <cell r="B513"/>
          <cell r="C513"/>
          <cell r="D513"/>
          <cell r="J513"/>
          <cell r="K513"/>
        </row>
        <row r="514">
          <cell r="A514" t="str">
            <v>F008</v>
          </cell>
          <cell r="B514"/>
          <cell r="C514"/>
          <cell r="D514"/>
          <cell r="J514"/>
          <cell r="K514"/>
        </row>
        <row r="515">
          <cell r="A515" t="str">
            <v>F009</v>
          </cell>
          <cell r="B515"/>
          <cell r="C515"/>
          <cell r="D515"/>
          <cell r="J515"/>
          <cell r="K515"/>
        </row>
        <row r="516">
          <cell r="A516" t="str">
            <v>F010</v>
          </cell>
          <cell r="B516"/>
          <cell r="C516"/>
          <cell r="D516"/>
          <cell r="J516"/>
          <cell r="K516"/>
        </row>
        <row r="517">
          <cell r="A517" t="str">
            <v>F011</v>
          </cell>
          <cell r="B517"/>
          <cell r="C517"/>
          <cell r="D517"/>
          <cell r="J517"/>
          <cell r="K517"/>
        </row>
        <row r="518">
          <cell r="A518" t="str">
            <v>F012</v>
          </cell>
          <cell r="B518"/>
          <cell r="C518"/>
          <cell r="D518"/>
          <cell r="J518"/>
          <cell r="K518"/>
        </row>
        <row r="519">
          <cell r="A519" t="str">
            <v>F013</v>
          </cell>
          <cell r="B519"/>
          <cell r="C519"/>
          <cell r="D519"/>
          <cell r="J519"/>
          <cell r="K519"/>
        </row>
        <row r="520">
          <cell r="A520" t="str">
            <v>F014</v>
          </cell>
          <cell r="B520"/>
          <cell r="C520"/>
          <cell r="D520"/>
          <cell r="J520"/>
          <cell r="K520"/>
        </row>
        <row r="521">
          <cell r="A521" t="str">
            <v>F015</v>
          </cell>
          <cell r="B521"/>
          <cell r="C521"/>
          <cell r="D521"/>
          <cell r="J521"/>
          <cell r="K521"/>
        </row>
        <row r="522">
          <cell r="A522" t="str">
            <v>F016</v>
          </cell>
          <cell r="B522"/>
          <cell r="C522"/>
          <cell r="D522"/>
          <cell r="J522"/>
          <cell r="K522"/>
        </row>
        <row r="523">
          <cell r="A523" t="str">
            <v>F017</v>
          </cell>
          <cell r="B523"/>
          <cell r="C523"/>
          <cell r="D523"/>
          <cell r="J523"/>
          <cell r="K523"/>
        </row>
        <row r="524">
          <cell r="A524" t="str">
            <v>F018</v>
          </cell>
          <cell r="B524"/>
          <cell r="C524"/>
          <cell r="D524"/>
          <cell r="J524"/>
          <cell r="K524"/>
        </row>
        <row r="525">
          <cell r="A525" t="str">
            <v>F019</v>
          </cell>
          <cell r="B525"/>
          <cell r="C525"/>
          <cell r="D525"/>
          <cell r="J525"/>
          <cell r="K525"/>
        </row>
        <row r="526">
          <cell r="A526" t="str">
            <v>F020</v>
          </cell>
          <cell r="B526"/>
          <cell r="C526"/>
          <cell r="D526"/>
          <cell r="J526"/>
          <cell r="K526"/>
        </row>
        <row r="527">
          <cell r="A527" t="str">
            <v>F021</v>
          </cell>
          <cell r="B527"/>
          <cell r="C527"/>
          <cell r="D527"/>
          <cell r="J527"/>
          <cell r="K527"/>
        </row>
        <row r="528">
          <cell r="A528" t="str">
            <v>F022</v>
          </cell>
          <cell r="B528"/>
          <cell r="C528"/>
          <cell r="D528"/>
          <cell r="J528"/>
          <cell r="K528"/>
        </row>
        <row r="529">
          <cell r="A529" t="str">
            <v>F023</v>
          </cell>
          <cell r="B529"/>
          <cell r="C529"/>
          <cell r="D529"/>
          <cell r="J529"/>
          <cell r="K529"/>
        </row>
        <row r="530">
          <cell r="A530" t="str">
            <v>F024</v>
          </cell>
          <cell r="B530"/>
          <cell r="C530"/>
          <cell r="D530"/>
          <cell r="J530"/>
          <cell r="K530"/>
        </row>
        <row r="531">
          <cell r="A531" t="str">
            <v>F025</v>
          </cell>
          <cell r="B531"/>
          <cell r="C531"/>
          <cell r="D531"/>
          <cell r="J531"/>
          <cell r="K531"/>
        </row>
        <row r="532">
          <cell r="A532" t="str">
            <v>F026</v>
          </cell>
          <cell r="B532"/>
          <cell r="C532"/>
          <cell r="D532"/>
          <cell r="J532"/>
          <cell r="K532"/>
        </row>
        <row r="533">
          <cell r="A533" t="str">
            <v>F027</v>
          </cell>
          <cell r="B533"/>
          <cell r="C533"/>
          <cell r="D533"/>
          <cell r="J533"/>
          <cell r="K533"/>
        </row>
        <row r="534">
          <cell r="A534" t="str">
            <v>F028</v>
          </cell>
          <cell r="B534"/>
          <cell r="C534"/>
          <cell r="D534"/>
          <cell r="J534"/>
          <cell r="K534"/>
        </row>
        <row r="535">
          <cell r="A535" t="str">
            <v>F029</v>
          </cell>
          <cell r="B535"/>
          <cell r="C535"/>
          <cell r="D535"/>
          <cell r="J535"/>
          <cell r="K535"/>
        </row>
        <row r="536">
          <cell r="A536" t="str">
            <v>F030</v>
          </cell>
          <cell r="B536"/>
          <cell r="C536"/>
          <cell r="D536"/>
          <cell r="J536"/>
          <cell r="K536"/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  <cell r="B538"/>
          <cell r="C538"/>
          <cell r="D538"/>
          <cell r="J538"/>
          <cell r="K538"/>
        </row>
        <row r="539">
          <cell r="A539" t="str">
            <v>L003</v>
          </cell>
          <cell r="B539"/>
          <cell r="C539"/>
          <cell r="D539"/>
          <cell r="J539"/>
          <cell r="K539"/>
        </row>
        <row r="540">
          <cell r="A540" t="str">
            <v>L004</v>
          </cell>
          <cell r="B540"/>
          <cell r="C540"/>
          <cell r="D540"/>
          <cell r="J540"/>
          <cell r="K540"/>
        </row>
        <row r="541">
          <cell r="A541" t="str">
            <v>L005</v>
          </cell>
          <cell r="B541"/>
          <cell r="C541"/>
          <cell r="D541"/>
          <cell r="J541"/>
          <cell r="K541"/>
        </row>
        <row r="542">
          <cell r="A542" t="str">
            <v>L006</v>
          </cell>
          <cell r="B542"/>
          <cell r="C542"/>
          <cell r="D542"/>
          <cell r="J542"/>
          <cell r="K542"/>
        </row>
        <row r="543">
          <cell r="A543" t="str">
            <v>L007</v>
          </cell>
          <cell r="B543"/>
          <cell r="C543"/>
          <cell r="D543"/>
          <cell r="J543"/>
          <cell r="K543"/>
        </row>
        <row r="544">
          <cell r="A544" t="str">
            <v>L008</v>
          </cell>
          <cell r="B544"/>
          <cell r="C544"/>
          <cell r="D544"/>
          <cell r="J544"/>
          <cell r="K544"/>
        </row>
        <row r="545">
          <cell r="A545" t="str">
            <v>L009</v>
          </cell>
          <cell r="B545"/>
          <cell r="C545"/>
          <cell r="D545"/>
          <cell r="J545"/>
          <cell r="K545"/>
        </row>
        <row r="546">
          <cell r="A546" t="str">
            <v>L010</v>
          </cell>
          <cell r="B546"/>
          <cell r="C546"/>
          <cell r="D546"/>
          <cell r="J546"/>
          <cell r="K546"/>
        </row>
        <row r="547">
          <cell r="A547" t="str">
            <v>L011</v>
          </cell>
          <cell r="B547"/>
          <cell r="C547"/>
          <cell r="D547"/>
          <cell r="J547"/>
          <cell r="K547"/>
        </row>
        <row r="548">
          <cell r="A548" t="str">
            <v>L012</v>
          </cell>
          <cell r="B548"/>
          <cell r="C548"/>
          <cell r="D548"/>
          <cell r="J548"/>
          <cell r="K548"/>
        </row>
        <row r="549">
          <cell r="A549" t="str">
            <v>L013</v>
          </cell>
          <cell r="B549"/>
          <cell r="C549"/>
          <cell r="D549"/>
          <cell r="J549"/>
          <cell r="K549"/>
        </row>
        <row r="550">
          <cell r="A550" t="str">
            <v>L014</v>
          </cell>
          <cell r="B550"/>
          <cell r="C550"/>
          <cell r="D550"/>
          <cell r="J550"/>
          <cell r="K550"/>
        </row>
        <row r="551">
          <cell r="A551" t="str">
            <v>L015</v>
          </cell>
          <cell r="B551"/>
          <cell r="C551"/>
          <cell r="D551"/>
          <cell r="J551"/>
          <cell r="K551"/>
        </row>
        <row r="552">
          <cell r="A552" t="str">
            <v>L016</v>
          </cell>
          <cell r="B552"/>
          <cell r="C552"/>
          <cell r="D552"/>
          <cell r="J552"/>
          <cell r="K552"/>
        </row>
        <row r="553">
          <cell r="A553" t="str">
            <v>L017</v>
          </cell>
          <cell r="B553"/>
          <cell r="C553"/>
          <cell r="D553"/>
          <cell r="J553"/>
          <cell r="K553"/>
        </row>
        <row r="554">
          <cell r="A554" t="str">
            <v>L018</v>
          </cell>
          <cell r="B554"/>
          <cell r="C554"/>
          <cell r="D554"/>
          <cell r="J554"/>
          <cell r="K554"/>
        </row>
        <row r="555">
          <cell r="A555" t="str">
            <v>L019</v>
          </cell>
          <cell r="B555"/>
          <cell r="C555"/>
          <cell r="D555"/>
          <cell r="J555"/>
          <cell r="K555"/>
        </row>
        <row r="556">
          <cell r="A556" t="str">
            <v>L020</v>
          </cell>
          <cell r="B556"/>
          <cell r="C556"/>
          <cell r="D556"/>
          <cell r="J556"/>
          <cell r="K556"/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  <cell r="B558"/>
          <cell r="C558"/>
          <cell r="D558"/>
          <cell r="J558"/>
          <cell r="K558"/>
        </row>
        <row r="559">
          <cell r="A559" t="str">
            <v>CAP003</v>
          </cell>
          <cell r="B559"/>
          <cell r="C559"/>
          <cell r="D559"/>
          <cell r="J559"/>
          <cell r="K559"/>
        </row>
        <row r="560">
          <cell r="A560" t="str">
            <v>CAP004</v>
          </cell>
          <cell r="B560"/>
          <cell r="C560"/>
          <cell r="D560"/>
          <cell r="J560"/>
          <cell r="K560"/>
        </row>
        <row r="561">
          <cell r="A561" t="str">
            <v>CAP005</v>
          </cell>
          <cell r="B561"/>
          <cell r="C561"/>
          <cell r="D561"/>
          <cell r="J561"/>
          <cell r="K561"/>
        </row>
        <row r="562">
          <cell r="A562" t="str">
            <v>CAP006</v>
          </cell>
          <cell r="B562"/>
          <cell r="C562"/>
          <cell r="D562"/>
          <cell r="J562"/>
          <cell r="K562"/>
        </row>
        <row r="563">
          <cell r="A563" t="str">
            <v>CAP007</v>
          </cell>
          <cell r="B563"/>
          <cell r="C563"/>
          <cell r="D563"/>
          <cell r="J563"/>
          <cell r="K563"/>
        </row>
        <row r="564">
          <cell r="A564" t="str">
            <v>CAP008</v>
          </cell>
          <cell r="B564"/>
          <cell r="C564"/>
          <cell r="D564"/>
          <cell r="J564"/>
          <cell r="K564"/>
        </row>
        <row r="565">
          <cell r="A565" t="str">
            <v>CAP009</v>
          </cell>
          <cell r="B565"/>
          <cell r="C565"/>
          <cell r="D565"/>
          <cell r="J565"/>
          <cell r="K565"/>
        </row>
        <row r="566">
          <cell r="A566" t="str">
            <v>CAP010</v>
          </cell>
          <cell r="B566"/>
          <cell r="C566"/>
          <cell r="D566"/>
          <cell r="J566"/>
          <cell r="K566"/>
        </row>
      </sheetData>
      <sheetData sheetId="9"/>
      <sheetData sheetId="10"/>
      <sheetData sheetId="11"/>
      <sheetData sheetId="12"/>
      <sheetData sheetId="13"/>
      <sheetData sheetId="14"/>
      <sheetData sheetId="15">
        <row r="7">
          <cell r="B7" t="str">
            <v>6ک مشکی</v>
          </cell>
        </row>
        <row r="8">
          <cell r="B8" t="str">
            <v>درب6ک</v>
          </cell>
        </row>
        <row r="9">
          <cell r="B9" t="str">
            <v>9ک مشکی</v>
          </cell>
        </row>
        <row r="10">
          <cell r="B10" t="str">
            <v>ریلی کوچک آبی</v>
          </cell>
        </row>
        <row r="11">
          <cell r="B11" t="str">
            <v>تک رج آبی بزرگ</v>
          </cell>
        </row>
        <row r="12">
          <cell r="B12" t="str">
            <v>آبی25*20</v>
          </cell>
        </row>
        <row r="13">
          <cell r="B13" t="str">
            <v>8ک مشکی</v>
          </cell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M9">
            <v>250000000</v>
          </cell>
          <cell r="N9"/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M10"/>
          <cell r="N10">
            <v>1200000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M11"/>
          <cell r="N11">
            <v>80000000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M12">
            <v>90000000</v>
          </cell>
          <cell r="N12"/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M13"/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M14">
            <v>250000000</v>
          </cell>
          <cell r="N14"/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M15">
            <v>300000000</v>
          </cell>
          <cell r="N15"/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M16">
            <v>1600000000</v>
          </cell>
          <cell r="N16"/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M17"/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M18"/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M19"/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M20"/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M21"/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M22"/>
          <cell r="N22">
            <v>80000000</v>
          </cell>
          <cell r="R22" t="str">
            <v>پاس شدن چک ۲۴۰۱۲۳۴۵ — تسویه خرید باغ (نمونه)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M23">
            <v>400000000</v>
          </cell>
          <cell r="N23"/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M24">
            <v>200000000</v>
          </cell>
          <cell r="N24"/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M25"/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M26"/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M27"/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M28"/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M29">
            <v>5000000</v>
          </cell>
          <cell r="N29"/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M30"/>
          <cell r="N30">
            <v>3000000</v>
          </cell>
          <cell r="R30" t="str">
            <v>هزینه بدون زیرگروه — برای نمایش در شیت کنترل (نمونه)</v>
          </cell>
        </row>
        <row r="31">
          <cell r="C31"/>
          <cell r="D31"/>
          <cell r="E31"/>
          <cell r="G31"/>
          <cell r="M31"/>
          <cell r="N31"/>
          <cell r="R31"/>
        </row>
        <row r="32">
          <cell r="C32"/>
          <cell r="D32"/>
          <cell r="E32"/>
          <cell r="G32"/>
          <cell r="M32"/>
          <cell r="N32"/>
          <cell r="R32"/>
        </row>
        <row r="33">
          <cell r="C33"/>
          <cell r="D33"/>
          <cell r="E33"/>
          <cell r="G33"/>
          <cell r="M33"/>
          <cell r="N33"/>
          <cell r="R33"/>
        </row>
        <row r="34">
          <cell r="C34"/>
          <cell r="D34"/>
          <cell r="E34"/>
          <cell r="G34"/>
          <cell r="M34"/>
          <cell r="N34"/>
          <cell r="R34"/>
        </row>
        <row r="35">
          <cell r="C35"/>
          <cell r="D35"/>
          <cell r="E35"/>
          <cell r="G35"/>
          <cell r="M35"/>
          <cell r="N35"/>
          <cell r="R35"/>
        </row>
        <row r="36">
          <cell r="C36"/>
          <cell r="D36"/>
          <cell r="E36"/>
          <cell r="G36"/>
          <cell r="M36"/>
          <cell r="N36"/>
          <cell r="R36"/>
        </row>
        <row r="37">
          <cell r="C37"/>
          <cell r="D37"/>
          <cell r="E37"/>
          <cell r="G37"/>
          <cell r="M37"/>
          <cell r="N37"/>
          <cell r="R37"/>
        </row>
        <row r="38">
          <cell r="C38"/>
          <cell r="D38"/>
          <cell r="E38"/>
          <cell r="G38"/>
          <cell r="M38"/>
          <cell r="N38"/>
          <cell r="R38"/>
        </row>
        <row r="39">
          <cell r="C39"/>
          <cell r="D39"/>
          <cell r="E39"/>
          <cell r="G39"/>
          <cell r="M39"/>
          <cell r="N39"/>
          <cell r="R39"/>
        </row>
        <row r="40">
          <cell r="C40"/>
          <cell r="D40"/>
          <cell r="E40"/>
          <cell r="G40"/>
          <cell r="M40"/>
          <cell r="N40"/>
          <cell r="R40"/>
        </row>
        <row r="41">
          <cell r="C41"/>
          <cell r="D41"/>
          <cell r="E41"/>
          <cell r="G41"/>
          <cell r="M41"/>
          <cell r="N41"/>
          <cell r="R41"/>
        </row>
        <row r="42">
          <cell r="C42"/>
          <cell r="D42"/>
          <cell r="E42"/>
          <cell r="G42"/>
          <cell r="M42"/>
          <cell r="N42"/>
          <cell r="R42"/>
        </row>
        <row r="43">
          <cell r="C43"/>
          <cell r="D43"/>
          <cell r="E43"/>
          <cell r="G43"/>
          <cell r="M43"/>
          <cell r="N43"/>
          <cell r="R43"/>
        </row>
        <row r="44">
          <cell r="C44"/>
          <cell r="D44"/>
          <cell r="E44"/>
          <cell r="G44"/>
          <cell r="M44"/>
          <cell r="N44"/>
          <cell r="R44"/>
        </row>
        <row r="45">
          <cell r="C45"/>
          <cell r="D45"/>
          <cell r="E45"/>
          <cell r="G45"/>
          <cell r="M45"/>
          <cell r="N45"/>
          <cell r="R45"/>
        </row>
        <row r="46">
          <cell r="C46"/>
          <cell r="D46"/>
          <cell r="E46"/>
          <cell r="G46"/>
          <cell r="M46"/>
          <cell r="N46"/>
          <cell r="R46"/>
        </row>
        <row r="47">
          <cell r="C47"/>
          <cell r="D47"/>
          <cell r="E47"/>
          <cell r="G47"/>
          <cell r="M47"/>
          <cell r="N47"/>
          <cell r="R47"/>
        </row>
        <row r="48">
          <cell r="C48"/>
          <cell r="D48"/>
          <cell r="E48"/>
          <cell r="G48"/>
          <cell r="M48"/>
          <cell r="N48"/>
          <cell r="R48"/>
        </row>
        <row r="49">
          <cell r="C49"/>
          <cell r="D49"/>
          <cell r="E49"/>
          <cell r="G49"/>
          <cell r="M49"/>
          <cell r="N49"/>
          <cell r="R49"/>
        </row>
        <row r="50">
          <cell r="C50"/>
          <cell r="D50"/>
          <cell r="E50"/>
          <cell r="G50"/>
          <cell r="M50"/>
          <cell r="N50"/>
          <cell r="R50"/>
        </row>
        <row r="51">
          <cell r="C51"/>
          <cell r="D51"/>
          <cell r="E51"/>
          <cell r="G51"/>
          <cell r="M51"/>
          <cell r="N51"/>
          <cell r="R51"/>
        </row>
        <row r="52">
          <cell r="C52"/>
          <cell r="D52"/>
          <cell r="E52"/>
          <cell r="G52"/>
          <cell r="M52"/>
          <cell r="N52"/>
          <cell r="R52"/>
        </row>
        <row r="53">
          <cell r="C53"/>
          <cell r="D53"/>
          <cell r="E53"/>
          <cell r="G53"/>
          <cell r="M53"/>
          <cell r="N53"/>
          <cell r="R53"/>
        </row>
        <row r="54">
          <cell r="C54"/>
          <cell r="D54"/>
          <cell r="E54"/>
          <cell r="G54"/>
          <cell r="M54"/>
          <cell r="N54"/>
          <cell r="R54"/>
        </row>
        <row r="55">
          <cell r="C55"/>
          <cell r="D55"/>
          <cell r="E55"/>
          <cell r="G55"/>
          <cell r="M55"/>
          <cell r="N55"/>
          <cell r="R55"/>
        </row>
        <row r="56">
          <cell r="C56"/>
          <cell r="D56"/>
          <cell r="E56"/>
          <cell r="G56"/>
          <cell r="M56"/>
          <cell r="N56"/>
          <cell r="R56"/>
        </row>
        <row r="57">
          <cell r="C57"/>
          <cell r="D57"/>
          <cell r="E57"/>
          <cell r="G57"/>
          <cell r="M57"/>
          <cell r="N57"/>
          <cell r="R57"/>
        </row>
        <row r="58">
          <cell r="C58"/>
          <cell r="D58"/>
          <cell r="E58"/>
          <cell r="G58"/>
          <cell r="M58"/>
          <cell r="N58"/>
          <cell r="R58"/>
        </row>
        <row r="59">
          <cell r="C59"/>
          <cell r="D59"/>
          <cell r="E59"/>
          <cell r="G59"/>
          <cell r="M59"/>
          <cell r="N59"/>
          <cell r="R59"/>
        </row>
        <row r="60">
          <cell r="C60"/>
          <cell r="D60"/>
          <cell r="E60"/>
          <cell r="G60"/>
          <cell r="M60"/>
          <cell r="N60"/>
          <cell r="R60"/>
        </row>
        <row r="61">
          <cell r="C61"/>
          <cell r="D61"/>
          <cell r="E61"/>
          <cell r="G61"/>
          <cell r="M61"/>
          <cell r="N61"/>
          <cell r="R61"/>
        </row>
        <row r="62">
          <cell r="C62"/>
          <cell r="D62"/>
          <cell r="E62"/>
          <cell r="G62"/>
          <cell r="M62"/>
          <cell r="N62"/>
          <cell r="R62"/>
        </row>
        <row r="63">
          <cell r="C63"/>
          <cell r="D63"/>
          <cell r="E63"/>
          <cell r="G63"/>
          <cell r="M63"/>
          <cell r="N63"/>
          <cell r="R63"/>
        </row>
        <row r="64">
          <cell r="C64"/>
          <cell r="D64"/>
          <cell r="E64"/>
          <cell r="G64"/>
          <cell r="M64"/>
          <cell r="N64"/>
          <cell r="R64"/>
        </row>
        <row r="65">
          <cell r="C65"/>
          <cell r="D65"/>
          <cell r="E65"/>
          <cell r="G65"/>
          <cell r="M65"/>
          <cell r="N65"/>
          <cell r="R65"/>
        </row>
        <row r="66">
          <cell r="C66"/>
          <cell r="D66"/>
          <cell r="E66"/>
          <cell r="G66"/>
          <cell r="M66"/>
          <cell r="N66"/>
          <cell r="R66"/>
        </row>
        <row r="67">
          <cell r="C67"/>
          <cell r="D67"/>
          <cell r="E67"/>
          <cell r="G67"/>
          <cell r="M67"/>
          <cell r="N67"/>
          <cell r="R67"/>
        </row>
        <row r="68">
          <cell r="C68"/>
          <cell r="D68"/>
          <cell r="E68"/>
          <cell r="G68"/>
          <cell r="M68"/>
          <cell r="N68"/>
          <cell r="R68"/>
        </row>
        <row r="69">
          <cell r="C69"/>
          <cell r="D69"/>
          <cell r="E69"/>
          <cell r="G69"/>
          <cell r="M69"/>
          <cell r="N69"/>
          <cell r="R69"/>
        </row>
        <row r="70">
          <cell r="C70"/>
          <cell r="D70"/>
          <cell r="E70"/>
          <cell r="G70"/>
          <cell r="M70"/>
          <cell r="N70"/>
          <cell r="R70"/>
        </row>
        <row r="71">
          <cell r="C71"/>
          <cell r="D71"/>
          <cell r="E71"/>
          <cell r="G71"/>
          <cell r="M71"/>
          <cell r="N71"/>
          <cell r="R71"/>
        </row>
        <row r="72">
          <cell r="C72"/>
          <cell r="D72"/>
          <cell r="E72"/>
          <cell r="G72"/>
          <cell r="M72"/>
          <cell r="N72"/>
          <cell r="R72"/>
        </row>
        <row r="73">
          <cell r="C73"/>
          <cell r="D73"/>
          <cell r="E73"/>
          <cell r="G73"/>
          <cell r="M73"/>
          <cell r="N73"/>
          <cell r="R73"/>
        </row>
        <row r="74">
          <cell r="C74"/>
          <cell r="D74"/>
          <cell r="E74"/>
          <cell r="G74"/>
          <cell r="M74"/>
          <cell r="N74"/>
          <cell r="R74"/>
        </row>
        <row r="75">
          <cell r="C75"/>
          <cell r="D75"/>
          <cell r="E75"/>
          <cell r="G75"/>
          <cell r="M75"/>
          <cell r="N75"/>
          <cell r="R75"/>
        </row>
        <row r="76">
          <cell r="C76"/>
          <cell r="D76"/>
          <cell r="E76"/>
          <cell r="G76"/>
          <cell r="M76"/>
          <cell r="N76"/>
          <cell r="R76"/>
        </row>
        <row r="77">
          <cell r="C77"/>
          <cell r="D77"/>
          <cell r="E77"/>
          <cell r="G77"/>
          <cell r="M77"/>
          <cell r="N77"/>
          <cell r="R77"/>
        </row>
        <row r="78">
          <cell r="C78"/>
          <cell r="D78"/>
          <cell r="E78"/>
          <cell r="G78"/>
          <cell r="M78"/>
          <cell r="N78"/>
          <cell r="R78"/>
        </row>
        <row r="79">
          <cell r="C79"/>
          <cell r="D79"/>
          <cell r="E79"/>
          <cell r="G79"/>
          <cell r="M79"/>
          <cell r="N79"/>
          <cell r="R79"/>
        </row>
        <row r="80">
          <cell r="C80"/>
          <cell r="D80"/>
          <cell r="E80"/>
          <cell r="G80"/>
          <cell r="M80"/>
          <cell r="N80"/>
          <cell r="R80"/>
        </row>
        <row r="81">
          <cell r="C81"/>
          <cell r="D81"/>
          <cell r="E81"/>
          <cell r="G81"/>
          <cell r="M81"/>
          <cell r="N81"/>
          <cell r="R81"/>
        </row>
        <row r="82">
          <cell r="C82"/>
          <cell r="D82"/>
          <cell r="E82"/>
          <cell r="G82"/>
          <cell r="M82"/>
          <cell r="N82"/>
          <cell r="R82"/>
        </row>
        <row r="83">
          <cell r="C83"/>
          <cell r="D83"/>
          <cell r="E83"/>
          <cell r="G83"/>
          <cell r="M83"/>
          <cell r="N83"/>
          <cell r="R83"/>
        </row>
        <row r="84">
          <cell r="C84"/>
          <cell r="D84"/>
          <cell r="E84"/>
          <cell r="G84"/>
          <cell r="M84"/>
          <cell r="N84"/>
          <cell r="R84"/>
        </row>
        <row r="85">
          <cell r="C85"/>
          <cell r="D85"/>
          <cell r="E85"/>
          <cell r="G85"/>
          <cell r="M85"/>
          <cell r="N85"/>
          <cell r="R85"/>
        </row>
        <row r="86">
          <cell r="C86"/>
          <cell r="D86"/>
          <cell r="E86"/>
          <cell r="G86"/>
          <cell r="M86"/>
          <cell r="N86"/>
          <cell r="R86"/>
        </row>
        <row r="87">
          <cell r="C87"/>
          <cell r="D87"/>
          <cell r="E87"/>
          <cell r="G87"/>
          <cell r="M87"/>
          <cell r="N87"/>
          <cell r="R87"/>
        </row>
        <row r="88">
          <cell r="C88"/>
          <cell r="D88"/>
          <cell r="E88"/>
          <cell r="G88"/>
          <cell r="M88"/>
          <cell r="N88"/>
          <cell r="R88"/>
        </row>
        <row r="89">
          <cell r="C89"/>
          <cell r="D89"/>
          <cell r="E89"/>
          <cell r="G89"/>
          <cell r="M89"/>
          <cell r="N89"/>
          <cell r="R89"/>
        </row>
        <row r="90">
          <cell r="C90"/>
          <cell r="D90"/>
          <cell r="E90"/>
          <cell r="G90"/>
          <cell r="M90"/>
          <cell r="N90"/>
          <cell r="R90"/>
        </row>
        <row r="91">
          <cell r="C91"/>
          <cell r="D91"/>
          <cell r="E91"/>
          <cell r="G91"/>
          <cell r="M91"/>
          <cell r="N91"/>
          <cell r="R91"/>
        </row>
        <row r="92">
          <cell r="C92"/>
          <cell r="D92"/>
          <cell r="E92"/>
          <cell r="G92"/>
          <cell r="M92"/>
          <cell r="N92"/>
          <cell r="R92"/>
        </row>
        <row r="93">
          <cell r="C93"/>
          <cell r="D93"/>
          <cell r="E93"/>
          <cell r="G93"/>
          <cell r="M93"/>
          <cell r="N93"/>
          <cell r="R93"/>
        </row>
        <row r="94">
          <cell r="C94"/>
          <cell r="D94"/>
          <cell r="E94"/>
          <cell r="G94"/>
          <cell r="M94"/>
          <cell r="N94"/>
          <cell r="R94"/>
        </row>
        <row r="95">
          <cell r="C95"/>
          <cell r="D95"/>
          <cell r="E95"/>
          <cell r="G95"/>
          <cell r="M95"/>
          <cell r="N95"/>
          <cell r="R95"/>
        </row>
        <row r="96">
          <cell r="C96"/>
          <cell r="D96"/>
          <cell r="E96"/>
          <cell r="G96"/>
          <cell r="M96"/>
          <cell r="N96"/>
          <cell r="R96"/>
        </row>
        <row r="97">
          <cell r="C97"/>
          <cell r="D97"/>
          <cell r="E97"/>
          <cell r="G97"/>
          <cell r="M97"/>
          <cell r="N97"/>
          <cell r="R97"/>
        </row>
        <row r="98">
          <cell r="C98"/>
          <cell r="D98"/>
          <cell r="E98"/>
          <cell r="G98"/>
          <cell r="M98"/>
          <cell r="N98"/>
          <cell r="R98"/>
        </row>
        <row r="99">
          <cell r="C99"/>
          <cell r="D99"/>
          <cell r="E99"/>
          <cell r="G99"/>
          <cell r="M99"/>
          <cell r="N99"/>
          <cell r="R99"/>
        </row>
        <row r="100">
          <cell r="C100"/>
          <cell r="D100"/>
          <cell r="E100"/>
          <cell r="G100"/>
          <cell r="M100"/>
          <cell r="N100"/>
          <cell r="R100"/>
        </row>
        <row r="101">
          <cell r="C101"/>
          <cell r="D101"/>
          <cell r="E101"/>
          <cell r="G101"/>
          <cell r="M101"/>
          <cell r="N101"/>
          <cell r="R101"/>
        </row>
        <row r="102">
          <cell r="C102"/>
          <cell r="D102"/>
          <cell r="E102"/>
          <cell r="G102"/>
          <cell r="M102"/>
          <cell r="N102"/>
          <cell r="R102"/>
        </row>
        <row r="103">
          <cell r="C103"/>
          <cell r="D103"/>
          <cell r="E103"/>
          <cell r="G103"/>
          <cell r="M103"/>
          <cell r="N103"/>
          <cell r="R103"/>
        </row>
        <row r="104">
          <cell r="C104"/>
          <cell r="D104"/>
          <cell r="E104"/>
          <cell r="G104"/>
          <cell r="M104"/>
          <cell r="N104"/>
          <cell r="R104"/>
        </row>
        <row r="105">
          <cell r="C105"/>
          <cell r="D105"/>
          <cell r="E105"/>
          <cell r="G105"/>
          <cell r="M105"/>
          <cell r="N105"/>
          <cell r="R105"/>
        </row>
        <row r="106">
          <cell r="C106"/>
          <cell r="D106"/>
          <cell r="E106"/>
          <cell r="G106"/>
          <cell r="M106"/>
          <cell r="N106"/>
          <cell r="R106"/>
        </row>
        <row r="107">
          <cell r="C107"/>
          <cell r="D107"/>
          <cell r="E107"/>
          <cell r="G107"/>
          <cell r="M107"/>
          <cell r="N107"/>
          <cell r="R107"/>
        </row>
        <row r="108">
          <cell r="C108"/>
          <cell r="D108"/>
          <cell r="E108"/>
          <cell r="G108"/>
          <cell r="M108"/>
          <cell r="N108"/>
          <cell r="R108"/>
        </row>
        <row r="109">
          <cell r="C109"/>
          <cell r="D109"/>
          <cell r="E109"/>
          <cell r="G109"/>
          <cell r="M109"/>
          <cell r="N109"/>
          <cell r="R109"/>
        </row>
        <row r="110">
          <cell r="C110"/>
          <cell r="D110"/>
          <cell r="E110"/>
          <cell r="G110"/>
          <cell r="M110"/>
          <cell r="N110"/>
          <cell r="R110"/>
        </row>
        <row r="111">
          <cell r="C111"/>
          <cell r="D111"/>
          <cell r="E111"/>
          <cell r="G111"/>
          <cell r="M111"/>
          <cell r="N111"/>
          <cell r="R111"/>
        </row>
        <row r="112">
          <cell r="C112"/>
          <cell r="D112"/>
          <cell r="E112"/>
          <cell r="G112"/>
          <cell r="M112"/>
          <cell r="N112"/>
          <cell r="R112"/>
        </row>
        <row r="113">
          <cell r="C113"/>
          <cell r="D113"/>
          <cell r="E113"/>
          <cell r="G113"/>
          <cell r="M113"/>
          <cell r="N113"/>
          <cell r="R113"/>
        </row>
        <row r="114">
          <cell r="C114"/>
          <cell r="D114"/>
          <cell r="E114"/>
          <cell r="G114"/>
          <cell r="M114"/>
          <cell r="N114"/>
          <cell r="R114"/>
        </row>
        <row r="115">
          <cell r="C115"/>
          <cell r="D115"/>
          <cell r="E115"/>
          <cell r="G115"/>
          <cell r="M115"/>
          <cell r="N115"/>
          <cell r="R115"/>
        </row>
        <row r="116">
          <cell r="C116"/>
          <cell r="D116"/>
          <cell r="E116"/>
          <cell r="G116"/>
          <cell r="M116"/>
          <cell r="N116"/>
          <cell r="R116"/>
        </row>
        <row r="117">
          <cell r="C117"/>
          <cell r="D117"/>
          <cell r="E117"/>
          <cell r="G117"/>
          <cell r="M117"/>
          <cell r="N117"/>
          <cell r="R117"/>
        </row>
        <row r="118">
          <cell r="C118"/>
          <cell r="D118"/>
          <cell r="E118"/>
          <cell r="G118"/>
          <cell r="M118"/>
          <cell r="N118"/>
          <cell r="R118"/>
        </row>
        <row r="119">
          <cell r="C119"/>
          <cell r="D119"/>
          <cell r="E119"/>
          <cell r="G119"/>
          <cell r="M119"/>
          <cell r="N119"/>
          <cell r="R119"/>
        </row>
        <row r="120">
          <cell r="C120"/>
          <cell r="D120"/>
          <cell r="E120"/>
          <cell r="G120"/>
          <cell r="M120"/>
          <cell r="N120"/>
          <cell r="R120"/>
        </row>
        <row r="121">
          <cell r="C121"/>
          <cell r="D121"/>
          <cell r="E121"/>
          <cell r="G121"/>
          <cell r="M121"/>
          <cell r="N121"/>
          <cell r="R121"/>
        </row>
        <row r="122">
          <cell r="C122"/>
          <cell r="D122"/>
          <cell r="E122"/>
          <cell r="G122"/>
          <cell r="M122"/>
          <cell r="N122"/>
          <cell r="R122"/>
        </row>
        <row r="123">
          <cell r="C123"/>
          <cell r="D123"/>
          <cell r="E123"/>
          <cell r="G123"/>
          <cell r="M123"/>
          <cell r="N123"/>
          <cell r="R123"/>
        </row>
        <row r="124">
          <cell r="C124"/>
          <cell r="D124"/>
          <cell r="E124"/>
          <cell r="G124"/>
          <cell r="M124"/>
          <cell r="N124"/>
          <cell r="R124"/>
        </row>
        <row r="125">
          <cell r="C125"/>
          <cell r="D125"/>
          <cell r="E125"/>
          <cell r="G125"/>
          <cell r="M125"/>
          <cell r="N125"/>
          <cell r="R125"/>
        </row>
        <row r="126">
          <cell r="C126"/>
          <cell r="D126"/>
          <cell r="E126"/>
          <cell r="G126"/>
          <cell r="M126"/>
          <cell r="N126"/>
          <cell r="R126"/>
        </row>
        <row r="127">
          <cell r="C127"/>
          <cell r="D127"/>
          <cell r="E127"/>
          <cell r="G127"/>
          <cell r="M127"/>
          <cell r="N127"/>
          <cell r="R127"/>
        </row>
        <row r="128">
          <cell r="C128"/>
          <cell r="D128"/>
          <cell r="E128"/>
          <cell r="G128"/>
          <cell r="M128"/>
          <cell r="N128"/>
          <cell r="R128"/>
        </row>
        <row r="129">
          <cell r="C129"/>
          <cell r="D129"/>
          <cell r="E129"/>
          <cell r="G129"/>
          <cell r="M129"/>
          <cell r="N129"/>
          <cell r="R129"/>
        </row>
        <row r="130">
          <cell r="C130"/>
          <cell r="D130"/>
          <cell r="E130"/>
          <cell r="G130"/>
          <cell r="M130"/>
          <cell r="N130"/>
          <cell r="R130"/>
        </row>
        <row r="131">
          <cell r="C131"/>
          <cell r="D131"/>
          <cell r="E131"/>
          <cell r="G131"/>
          <cell r="M131"/>
          <cell r="N131"/>
          <cell r="R131"/>
        </row>
        <row r="132">
          <cell r="C132"/>
          <cell r="D132"/>
          <cell r="E132"/>
          <cell r="G132"/>
          <cell r="M132"/>
          <cell r="N132"/>
          <cell r="R132"/>
        </row>
        <row r="133">
          <cell r="C133"/>
          <cell r="D133"/>
          <cell r="E133"/>
          <cell r="G133"/>
          <cell r="M133"/>
          <cell r="N133"/>
          <cell r="R133"/>
        </row>
        <row r="134">
          <cell r="C134"/>
          <cell r="D134"/>
          <cell r="E134"/>
          <cell r="G134"/>
          <cell r="M134"/>
          <cell r="N134"/>
          <cell r="R134"/>
        </row>
        <row r="135">
          <cell r="C135"/>
          <cell r="D135"/>
          <cell r="E135"/>
          <cell r="G135"/>
          <cell r="M135"/>
          <cell r="N135"/>
          <cell r="R135"/>
        </row>
        <row r="136">
          <cell r="C136"/>
          <cell r="D136"/>
          <cell r="E136"/>
          <cell r="G136"/>
          <cell r="M136"/>
          <cell r="N136"/>
          <cell r="R136"/>
        </row>
        <row r="137">
          <cell r="C137"/>
          <cell r="D137"/>
          <cell r="E137"/>
          <cell r="G137"/>
          <cell r="M137"/>
          <cell r="N137"/>
          <cell r="R137"/>
        </row>
        <row r="138">
          <cell r="C138"/>
          <cell r="D138"/>
          <cell r="E138"/>
          <cell r="G138"/>
          <cell r="M138"/>
          <cell r="N138"/>
          <cell r="R138"/>
        </row>
        <row r="139">
          <cell r="C139"/>
          <cell r="D139"/>
          <cell r="E139"/>
          <cell r="G139"/>
          <cell r="M139"/>
          <cell r="N139"/>
          <cell r="R139"/>
        </row>
        <row r="140">
          <cell r="C140"/>
          <cell r="D140"/>
          <cell r="E140"/>
          <cell r="G140"/>
          <cell r="M140"/>
          <cell r="N140"/>
          <cell r="R140"/>
        </row>
        <row r="141">
          <cell r="C141"/>
          <cell r="D141"/>
          <cell r="E141"/>
          <cell r="G141"/>
          <cell r="M141"/>
          <cell r="N141"/>
          <cell r="R141"/>
        </row>
        <row r="142">
          <cell r="C142"/>
          <cell r="D142"/>
          <cell r="E142"/>
          <cell r="G142"/>
          <cell r="M142"/>
          <cell r="N142"/>
          <cell r="R142"/>
        </row>
        <row r="143">
          <cell r="C143"/>
          <cell r="D143"/>
          <cell r="E143"/>
          <cell r="G143"/>
          <cell r="M143"/>
          <cell r="N143"/>
          <cell r="R143"/>
        </row>
        <row r="144">
          <cell r="C144"/>
          <cell r="D144"/>
          <cell r="E144"/>
          <cell r="G144"/>
          <cell r="M144"/>
          <cell r="N144"/>
          <cell r="R144"/>
        </row>
        <row r="145">
          <cell r="C145"/>
          <cell r="D145"/>
          <cell r="E145"/>
          <cell r="G145"/>
          <cell r="M145"/>
          <cell r="N145"/>
          <cell r="R145"/>
        </row>
        <row r="146">
          <cell r="C146"/>
          <cell r="D146"/>
          <cell r="E146"/>
          <cell r="G146"/>
          <cell r="M146"/>
          <cell r="N146"/>
          <cell r="R146"/>
        </row>
        <row r="147">
          <cell r="C147"/>
          <cell r="D147"/>
          <cell r="E147"/>
          <cell r="G147"/>
          <cell r="M147"/>
          <cell r="N147"/>
          <cell r="R147"/>
        </row>
        <row r="148">
          <cell r="C148"/>
          <cell r="D148"/>
          <cell r="E148"/>
          <cell r="G148"/>
          <cell r="M148"/>
          <cell r="N148"/>
          <cell r="R148"/>
        </row>
        <row r="149">
          <cell r="C149"/>
          <cell r="D149"/>
          <cell r="E149"/>
          <cell r="G149"/>
          <cell r="M149"/>
          <cell r="N149"/>
          <cell r="R149"/>
        </row>
        <row r="150">
          <cell r="C150"/>
          <cell r="D150"/>
          <cell r="E150"/>
          <cell r="G150"/>
          <cell r="M150"/>
          <cell r="N150"/>
          <cell r="R150"/>
        </row>
        <row r="151">
          <cell r="C151"/>
          <cell r="D151"/>
          <cell r="E151"/>
          <cell r="G151"/>
          <cell r="M151"/>
          <cell r="N151"/>
          <cell r="R151"/>
        </row>
        <row r="152">
          <cell r="C152"/>
          <cell r="D152"/>
          <cell r="E152"/>
          <cell r="G152"/>
          <cell r="M152"/>
          <cell r="N152"/>
          <cell r="R152"/>
        </row>
        <row r="153">
          <cell r="C153"/>
          <cell r="D153"/>
          <cell r="E153"/>
          <cell r="G153"/>
          <cell r="M153"/>
          <cell r="N153"/>
          <cell r="R153"/>
        </row>
        <row r="154">
          <cell r="C154"/>
          <cell r="D154"/>
          <cell r="E154"/>
          <cell r="G154"/>
          <cell r="M154"/>
          <cell r="N154"/>
          <cell r="R154"/>
        </row>
        <row r="155">
          <cell r="C155"/>
          <cell r="D155"/>
          <cell r="E155"/>
          <cell r="G155"/>
          <cell r="M155"/>
          <cell r="N155"/>
          <cell r="R155"/>
        </row>
        <row r="156">
          <cell r="C156"/>
          <cell r="D156"/>
          <cell r="E156"/>
          <cell r="G156"/>
          <cell r="M156"/>
          <cell r="N156"/>
          <cell r="R156"/>
        </row>
        <row r="157">
          <cell r="C157"/>
          <cell r="D157"/>
          <cell r="E157"/>
          <cell r="G157"/>
          <cell r="M157"/>
          <cell r="N157"/>
          <cell r="R157"/>
        </row>
        <row r="158">
          <cell r="C158"/>
          <cell r="D158"/>
          <cell r="E158"/>
          <cell r="G158"/>
          <cell r="M158"/>
          <cell r="N158"/>
          <cell r="R158"/>
        </row>
        <row r="159">
          <cell r="C159"/>
          <cell r="D159"/>
          <cell r="E159"/>
          <cell r="G159"/>
          <cell r="M159"/>
          <cell r="N159"/>
          <cell r="R159"/>
        </row>
        <row r="160">
          <cell r="C160"/>
          <cell r="D160"/>
          <cell r="E160"/>
          <cell r="G160"/>
          <cell r="M160"/>
          <cell r="N160"/>
          <cell r="R160"/>
        </row>
        <row r="161">
          <cell r="C161"/>
          <cell r="D161"/>
          <cell r="E161"/>
          <cell r="G161"/>
          <cell r="M161"/>
          <cell r="N161"/>
          <cell r="R161"/>
        </row>
        <row r="162">
          <cell r="C162"/>
          <cell r="D162"/>
          <cell r="E162"/>
          <cell r="G162"/>
          <cell r="M162"/>
          <cell r="N162"/>
          <cell r="R162"/>
        </row>
        <row r="163">
          <cell r="C163"/>
          <cell r="D163"/>
          <cell r="E163"/>
          <cell r="G163"/>
          <cell r="M163"/>
          <cell r="N163"/>
          <cell r="R163"/>
        </row>
        <row r="164">
          <cell r="C164"/>
          <cell r="D164"/>
          <cell r="E164"/>
          <cell r="G164"/>
          <cell r="M164"/>
          <cell r="N164"/>
          <cell r="R164"/>
        </row>
        <row r="165">
          <cell r="C165"/>
          <cell r="D165"/>
          <cell r="E165"/>
          <cell r="G165"/>
          <cell r="M165"/>
          <cell r="N165"/>
          <cell r="R165"/>
        </row>
        <row r="166">
          <cell r="C166"/>
          <cell r="D166"/>
          <cell r="E166"/>
          <cell r="G166"/>
          <cell r="M166"/>
          <cell r="N166"/>
          <cell r="R166"/>
        </row>
        <row r="167">
          <cell r="C167"/>
          <cell r="D167"/>
          <cell r="E167"/>
          <cell r="G167"/>
          <cell r="M167"/>
          <cell r="N167"/>
          <cell r="R167"/>
        </row>
        <row r="168">
          <cell r="C168"/>
          <cell r="D168"/>
          <cell r="E168"/>
          <cell r="G168"/>
          <cell r="M168"/>
          <cell r="N168"/>
          <cell r="R168"/>
        </row>
        <row r="169">
          <cell r="C169"/>
          <cell r="D169"/>
          <cell r="E169"/>
          <cell r="G169"/>
          <cell r="M169"/>
          <cell r="N169"/>
          <cell r="R169"/>
        </row>
        <row r="170">
          <cell r="C170"/>
          <cell r="D170"/>
          <cell r="E170"/>
          <cell r="G170"/>
          <cell r="M170"/>
          <cell r="N170"/>
          <cell r="R170"/>
        </row>
        <row r="171">
          <cell r="C171"/>
          <cell r="D171"/>
          <cell r="E171"/>
          <cell r="G171"/>
          <cell r="M171"/>
          <cell r="N171"/>
          <cell r="R171"/>
        </row>
        <row r="172">
          <cell r="C172"/>
          <cell r="D172"/>
          <cell r="E172"/>
          <cell r="G172"/>
          <cell r="M172"/>
          <cell r="N172"/>
          <cell r="R172"/>
        </row>
        <row r="173">
          <cell r="C173"/>
          <cell r="D173"/>
          <cell r="E173"/>
          <cell r="G173"/>
          <cell r="M173"/>
          <cell r="N173"/>
          <cell r="R173"/>
        </row>
        <row r="174">
          <cell r="C174"/>
          <cell r="D174"/>
          <cell r="E174"/>
          <cell r="G174"/>
          <cell r="M174"/>
          <cell r="N174"/>
          <cell r="R174"/>
        </row>
        <row r="175">
          <cell r="C175"/>
          <cell r="D175"/>
          <cell r="E175"/>
          <cell r="G175"/>
          <cell r="M175"/>
          <cell r="N175"/>
          <cell r="R175"/>
        </row>
        <row r="176">
          <cell r="C176"/>
          <cell r="D176"/>
          <cell r="E176"/>
          <cell r="G176"/>
          <cell r="M176"/>
          <cell r="N176"/>
          <cell r="R176"/>
        </row>
        <row r="177">
          <cell r="C177"/>
          <cell r="D177"/>
          <cell r="E177"/>
          <cell r="G177"/>
          <cell r="M177"/>
          <cell r="N177"/>
          <cell r="R177"/>
        </row>
        <row r="178">
          <cell r="C178"/>
          <cell r="D178"/>
          <cell r="E178"/>
          <cell r="G178"/>
          <cell r="M178"/>
          <cell r="N178"/>
          <cell r="R178"/>
        </row>
        <row r="179">
          <cell r="C179"/>
          <cell r="D179"/>
          <cell r="E179"/>
          <cell r="G179"/>
          <cell r="M179"/>
          <cell r="N179"/>
          <cell r="R179"/>
        </row>
        <row r="180">
          <cell r="C180"/>
          <cell r="D180"/>
          <cell r="E180"/>
          <cell r="G180"/>
          <cell r="M180"/>
          <cell r="N180"/>
          <cell r="R180"/>
        </row>
        <row r="181">
          <cell r="C181"/>
          <cell r="D181"/>
          <cell r="E181"/>
          <cell r="G181"/>
          <cell r="M181"/>
          <cell r="N181"/>
          <cell r="R181"/>
        </row>
        <row r="182">
          <cell r="C182"/>
          <cell r="D182"/>
          <cell r="E182"/>
          <cell r="G182"/>
          <cell r="M182"/>
          <cell r="N182"/>
          <cell r="R182"/>
        </row>
        <row r="183">
          <cell r="C183"/>
          <cell r="D183"/>
          <cell r="E183"/>
          <cell r="G183"/>
          <cell r="M183"/>
          <cell r="N183"/>
          <cell r="R183"/>
        </row>
        <row r="184">
          <cell r="C184"/>
          <cell r="D184"/>
          <cell r="E184"/>
          <cell r="G184"/>
          <cell r="M184"/>
          <cell r="N184"/>
          <cell r="R184"/>
        </row>
        <row r="185">
          <cell r="C185"/>
          <cell r="D185"/>
          <cell r="E185"/>
          <cell r="G185"/>
          <cell r="M185"/>
          <cell r="N185"/>
          <cell r="R185"/>
        </row>
        <row r="186">
          <cell r="C186"/>
          <cell r="D186"/>
          <cell r="E186"/>
          <cell r="G186"/>
          <cell r="M186"/>
          <cell r="N186"/>
          <cell r="R186"/>
        </row>
        <row r="187">
          <cell r="C187"/>
          <cell r="D187"/>
          <cell r="E187"/>
          <cell r="G187"/>
          <cell r="M187"/>
          <cell r="N187"/>
          <cell r="R187"/>
        </row>
        <row r="188">
          <cell r="C188"/>
          <cell r="D188"/>
          <cell r="E188"/>
          <cell r="G188"/>
          <cell r="M188"/>
          <cell r="N188"/>
          <cell r="R188"/>
        </row>
        <row r="189">
          <cell r="C189"/>
          <cell r="D189"/>
          <cell r="E189"/>
          <cell r="G189"/>
          <cell r="M189"/>
          <cell r="N189"/>
          <cell r="R189"/>
        </row>
        <row r="190">
          <cell r="C190"/>
          <cell r="D190"/>
          <cell r="E190"/>
          <cell r="G190"/>
          <cell r="M190"/>
          <cell r="N190"/>
          <cell r="R190"/>
        </row>
        <row r="191">
          <cell r="C191"/>
          <cell r="D191"/>
          <cell r="E191"/>
          <cell r="G191"/>
          <cell r="M191"/>
          <cell r="N191"/>
          <cell r="R191"/>
        </row>
        <row r="192">
          <cell r="C192"/>
          <cell r="D192"/>
          <cell r="E192"/>
          <cell r="G192"/>
          <cell r="M192"/>
          <cell r="N192"/>
          <cell r="R192"/>
        </row>
        <row r="193">
          <cell r="C193"/>
          <cell r="D193"/>
          <cell r="E193"/>
          <cell r="G193"/>
          <cell r="M193"/>
          <cell r="N193"/>
          <cell r="R193"/>
        </row>
        <row r="194">
          <cell r="C194"/>
          <cell r="D194"/>
          <cell r="E194"/>
          <cell r="G194"/>
          <cell r="M194"/>
          <cell r="N194"/>
          <cell r="R194"/>
        </row>
        <row r="195">
          <cell r="C195"/>
          <cell r="D195"/>
          <cell r="E195"/>
          <cell r="G195"/>
          <cell r="M195"/>
          <cell r="N195"/>
          <cell r="R195"/>
        </row>
        <row r="196">
          <cell r="C196"/>
          <cell r="D196"/>
          <cell r="E196"/>
          <cell r="G196"/>
          <cell r="M196"/>
          <cell r="N196"/>
          <cell r="R196"/>
        </row>
        <row r="197">
          <cell r="C197"/>
          <cell r="D197"/>
          <cell r="E197"/>
          <cell r="G197"/>
          <cell r="M197"/>
          <cell r="N197"/>
          <cell r="R197"/>
        </row>
        <row r="198">
          <cell r="C198"/>
          <cell r="D198"/>
          <cell r="E198"/>
          <cell r="G198"/>
          <cell r="M198"/>
          <cell r="N198"/>
          <cell r="R198"/>
        </row>
        <row r="199">
          <cell r="C199"/>
          <cell r="D199"/>
          <cell r="E199"/>
          <cell r="G199"/>
          <cell r="M199"/>
          <cell r="N199"/>
          <cell r="R199"/>
        </row>
        <row r="200">
          <cell r="C200"/>
          <cell r="D200"/>
          <cell r="E200"/>
          <cell r="G200"/>
          <cell r="M200"/>
          <cell r="N200"/>
          <cell r="R200"/>
        </row>
        <row r="201">
          <cell r="C201"/>
          <cell r="D201"/>
          <cell r="E201"/>
          <cell r="G201"/>
          <cell r="M201"/>
          <cell r="N201"/>
          <cell r="R201"/>
        </row>
        <row r="202">
          <cell r="C202"/>
          <cell r="D202"/>
          <cell r="E202"/>
          <cell r="G202"/>
          <cell r="M202"/>
          <cell r="N202"/>
          <cell r="R202"/>
        </row>
        <row r="203">
          <cell r="C203"/>
          <cell r="D203"/>
          <cell r="E203"/>
          <cell r="G203"/>
          <cell r="M203"/>
          <cell r="N203"/>
          <cell r="R203"/>
        </row>
        <row r="204">
          <cell r="C204"/>
          <cell r="D204"/>
          <cell r="E204"/>
          <cell r="G204"/>
          <cell r="M204"/>
          <cell r="N204"/>
          <cell r="R204"/>
        </row>
        <row r="205">
          <cell r="C205"/>
          <cell r="D205"/>
          <cell r="E205"/>
          <cell r="G205"/>
          <cell r="M205"/>
          <cell r="N205"/>
          <cell r="R205"/>
        </row>
        <row r="206">
          <cell r="C206"/>
          <cell r="D206"/>
          <cell r="E206"/>
          <cell r="G206"/>
          <cell r="M206"/>
          <cell r="N206"/>
          <cell r="R206"/>
        </row>
        <row r="207">
          <cell r="C207"/>
          <cell r="D207"/>
          <cell r="E207"/>
          <cell r="G207"/>
          <cell r="M207"/>
          <cell r="N207"/>
          <cell r="R207"/>
        </row>
        <row r="208">
          <cell r="C208"/>
          <cell r="D208"/>
          <cell r="E208"/>
          <cell r="G208"/>
          <cell r="M208"/>
          <cell r="N208"/>
          <cell r="R208"/>
        </row>
        <row r="209">
          <cell r="C209"/>
          <cell r="D209"/>
          <cell r="E209"/>
          <cell r="G209"/>
          <cell r="M209"/>
          <cell r="N209"/>
          <cell r="R209"/>
        </row>
        <row r="210">
          <cell r="C210"/>
          <cell r="D210"/>
          <cell r="E210"/>
          <cell r="G210"/>
          <cell r="M210"/>
          <cell r="N210"/>
          <cell r="R210"/>
        </row>
        <row r="211">
          <cell r="C211"/>
          <cell r="D211"/>
          <cell r="E211"/>
          <cell r="G211"/>
          <cell r="M211"/>
          <cell r="N211"/>
          <cell r="R211"/>
        </row>
        <row r="212">
          <cell r="C212"/>
          <cell r="D212"/>
          <cell r="E212"/>
          <cell r="G212"/>
          <cell r="M212"/>
          <cell r="N212"/>
          <cell r="R212"/>
        </row>
        <row r="213">
          <cell r="C213"/>
          <cell r="D213"/>
          <cell r="E213"/>
          <cell r="G213"/>
          <cell r="M213"/>
          <cell r="N213"/>
          <cell r="R213"/>
        </row>
        <row r="214">
          <cell r="C214"/>
          <cell r="D214"/>
          <cell r="E214"/>
          <cell r="G214"/>
          <cell r="M214"/>
          <cell r="N214"/>
          <cell r="R214"/>
        </row>
        <row r="215">
          <cell r="C215"/>
          <cell r="D215"/>
          <cell r="E215"/>
          <cell r="G215"/>
          <cell r="M215"/>
          <cell r="N215"/>
          <cell r="R215"/>
        </row>
        <row r="216">
          <cell r="C216"/>
          <cell r="D216"/>
          <cell r="E216"/>
          <cell r="G216"/>
          <cell r="M216"/>
          <cell r="N216"/>
          <cell r="R216"/>
        </row>
        <row r="217">
          <cell r="C217"/>
          <cell r="D217"/>
          <cell r="E217"/>
          <cell r="G217"/>
          <cell r="M217"/>
          <cell r="N217"/>
          <cell r="R217"/>
        </row>
        <row r="218">
          <cell r="C218"/>
          <cell r="D218"/>
          <cell r="E218"/>
          <cell r="G218"/>
          <cell r="M218"/>
          <cell r="N218"/>
          <cell r="R218"/>
        </row>
        <row r="219">
          <cell r="C219"/>
          <cell r="D219"/>
          <cell r="E219"/>
          <cell r="G219"/>
          <cell r="M219"/>
          <cell r="N219"/>
          <cell r="R219"/>
        </row>
        <row r="220">
          <cell r="C220"/>
          <cell r="D220"/>
          <cell r="E220"/>
          <cell r="G220"/>
          <cell r="M220"/>
          <cell r="N220"/>
          <cell r="R220"/>
        </row>
        <row r="221">
          <cell r="C221"/>
          <cell r="D221"/>
          <cell r="E221"/>
          <cell r="G221"/>
          <cell r="M221"/>
          <cell r="N221"/>
          <cell r="R221"/>
        </row>
        <row r="222">
          <cell r="C222"/>
          <cell r="D222"/>
          <cell r="E222"/>
          <cell r="G222"/>
          <cell r="M222"/>
          <cell r="N222"/>
          <cell r="R222"/>
        </row>
        <row r="223">
          <cell r="C223"/>
          <cell r="D223"/>
          <cell r="E223"/>
          <cell r="G223"/>
          <cell r="M223"/>
          <cell r="N223"/>
          <cell r="R223"/>
        </row>
        <row r="224">
          <cell r="C224"/>
          <cell r="D224"/>
          <cell r="E224"/>
          <cell r="G224"/>
          <cell r="M224"/>
          <cell r="N224"/>
          <cell r="R224"/>
        </row>
        <row r="225">
          <cell r="C225"/>
          <cell r="D225"/>
          <cell r="E225"/>
          <cell r="G225"/>
          <cell r="M225"/>
          <cell r="N225"/>
          <cell r="R225"/>
        </row>
        <row r="226">
          <cell r="C226"/>
          <cell r="D226"/>
          <cell r="E226"/>
          <cell r="G226"/>
          <cell r="M226"/>
          <cell r="N226"/>
          <cell r="R226"/>
        </row>
        <row r="227">
          <cell r="C227"/>
          <cell r="D227"/>
          <cell r="E227"/>
          <cell r="G227"/>
          <cell r="M227"/>
          <cell r="N227"/>
          <cell r="R227"/>
        </row>
        <row r="228">
          <cell r="C228"/>
          <cell r="D228"/>
          <cell r="E228"/>
          <cell r="G228"/>
          <cell r="M228"/>
          <cell r="N228"/>
          <cell r="R228"/>
        </row>
        <row r="229">
          <cell r="C229"/>
          <cell r="D229"/>
          <cell r="E229"/>
          <cell r="G229"/>
          <cell r="M229"/>
          <cell r="N229"/>
          <cell r="R229"/>
        </row>
        <row r="230">
          <cell r="C230"/>
          <cell r="D230"/>
          <cell r="E230"/>
          <cell r="G230"/>
          <cell r="M230"/>
          <cell r="N230"/>
          <cell r="R230"/>
        </row>
        <row r="231">
          <cell r="C231"/>
          <cell r="D231"/>
          <cell r="E231"/>
          <cell r="G231"/>
          <cell r="M231"/>
          <cell r="N231"/>
          <cell r="R231"/>
        </row>
        <row r="232">
          <cell r="C232"/>
          <cell r="D232"/>
          <cell r="E232"/>
          <cell r="G232"/>
          <cell r="M232"/>
          <cell r="N232"/>
          <cell r="R232"/>
        </row>
        <row r="233">
          <cell r="C233"/>
          <cell r="D233"/>
          <cell r="E233"/>
          <cell r="G233"/>
          <cell r="M233"/>
          <cell r="N233"/>
          <cell r="R233"/>
        </row>
        <row r="234">
          <cell r="C234"/>
          <cell r="D234"/>
          <cell r="E234"/>
          <cell r="G234"/>
          <cell r="M234"/>
          <cell r="N234"/>
          <cell r="R234"/>
        </row>
        <row r="235">
          <cell r="C235"/>
          <cell r="D235"/>
          <cell r="E235"/>
          <cell r="G235"/>
          <cell r="M235"/>
          <cell r="N235"/>
          <cell r="R235"/>
        </row>
        <row r="236">
          <cell r="C236"/>
          <cell r="D236"/>
          <cell r="E236"/>
          <cell r="G236"/>
          <cell r="M236"/>
          <cell r="N236"/>
          <cell r="R236"/>
        </row>
        <row r="237">
          <cell r="C237"/>
          <cell r="D237"/>
          <cell r="E237"/>
          <cell r="G237"/>
          <cell r="M237"/>
          <cell r="N237"/>
          <cell r="R237"/>
        </row>
        <row r="238">
          <cell r="C238"/>
          <cell r="D238"/>
          <cell r="E238"/>
          <cell r="G238"/>
          <cell r="M238"/>
          <cell r="N238"/>
          <cell r="R238"/>
        </row>
        <row r="239">
          <cell r="C239"/>
          <cell r="D239"/>
          <cell r="E239"/>
          <cell r="G239"/>
          <cell r="M239"/>
          <cell r="N239"/>
          <cell r="R239"/>
        </row>
        <row r="240">
          <cell r="C240"/>
          <cell r="D240"/>
          <cell r="E240"/>
          <cell r="G240"/>
          <cell r="M240"/>
          <cell r="N240"/>
          <cell r="R240"/>
        </row>
        <row r="241">
          <cell r="C241"/>
          <cell r="D241"/>
          <cell r="E241"/>
          <cell r="G241"/>
          <cell r="M241"/>
          <cell r="N241"/>
          <cell r="R241"/>
        </row>
        <row r="242">
          <cell r="C242"/>
          <cell r="D242"/>
          <cell r="E242"/>
          <cell r="G242"/>
          <cell r="M242"/>
          <cell r="N242"/>
          <cell r="R242"/>
        </row>
        <row r="243">
          <cell r="C243"/>
          <cell r="D243"/>
          <cell r="E243"/>
          <cell r="G243"/>
          <cell r="M243"/>
          <cell r="N243"/>
          <cell r="R243"/>
        </row>
        <row r="244">
          <cell r="C244"/>
          <cell r="D244"/>
          <cell r="E244"/>
          <cell r="G244"/>
          <cell r="M244"/>
          <cell r="N244"/>
          <cell r="R244"/>
        </row>
        <row r="245">
          <cell r="C245"/>
          <cell r="D245"/>
          <cell r="E245"/>
          <cell r="G245"/>
          <cell r="M245"/>
          <cell r="N245"/>
          <cell r="R245"/>
        </row>
        <row r="246">
          <cell r="C246"/>
          <cell r="D246"/>
          <cell r="E246"/>
          <cell r="G246"/>
          <cell r="M246"/>
          <cell r="N246"/>
          <cell r="R246"/>
        </row>
        <row r="247">
          <cell r="C247"/>
          <cell r="D247"/>
          <cell r="E247"/>
          <cell r="G247"/>
          <cell r="M247"/>
          <cell r="N247"/>
          <cell r="R247"/>
        </row>
        <row r="248">
          <cell r="C248"/>
          <cell r="D248"/>
          <cell r="E248"/>
          <cell r="G248"/>
          <cell r="M248"/>
          <cell r="N248"/>
          <cell r="R248"/>
        </row>
        <row r="249">
          <cell r="C249"/>
          <cell r="D249"/>
          <cell r="E249"/>
          <cell r="G249"/>
          <cell r="M249"/>
          <cell r="N249"/>
          <cell r="R249"/>
        </row>
        <row r="250">
          <cell r="C250"/>
          <cell r="D250"/>
          <cell r="E250"/>
          <cell r="G250"/>
          <cell r="M250"/>
          <cell r="N250"/>
          <cell r="R250"/>
        </row>
        <row r="251">
          <cell r="C251"/>
          <cell r="D251"/>
          <cell r="E251"/>
          <cell r="G251"/>
          <cell r="M251"/>
          <cell r="N251"/>
          <cell r="R251"/>
        </row>
        <row r="252">
          <cell r="C252"/>
          <cell r="D252"/>
          <cell r="E252"/>
          <cell r="G252"/>
          <cell r="M252"/>
          <cell r="N252"/>
          <cell r="R252"/>
        </row>
        <row r="253">
          <cell r="C253"/>
          <cell r="D253"/>
          <cell r="E253"/>
          <cell r="G253"/>
          <cell r="M253"/>
          <cell r="N253"/>
          <cell r="R253"/>
        </row>
        <row r="254">
          <cell r="C254"/>
          <cell r="D254"/>
          <cell r="E254"/>
          <cell r="G254"/>
          <cell r="M254"/>
          <cell r="N254"/>
          <cell r="R254"/>
        </row>
        <row r="255">
          <cell r="C255"/>
          <cell r="D255"/>
          <cell r="E255"/>
          <cell r="G255"/>
          <cell r="M255"/>
          <cell r="N255"/>
          <cell r="R255"/>
        </row>
        <row r="256">
          <cell r="C256"/>
          <cell r="D256"/>
          <cell r="E256"/>
          <cell r="G256"/>
          <cell r="M256"/>
          <cell r="N256"/>
          <cell r="R256"/>
        </row>
        <row r="257">
          <cell r="C257"/>
          <cell r="D257"/>
          <cell r="E257"/>
          <cell r="G257"/>
          <cell r="M257"/>
          <cell r="N257"/>
          <cell r="R257"/>
        </row>
        <row r="258">
          <cell r="C258"/>
          <cell r="D258"/>
          <cell r="E258"/>
          <cell r="G258"/>
          <cell r="M258"/>
          <cell r="N258"/>
          <cell r="R258"/>
        </row>
        <row r="259">
          <cell r="C259"/>
          <cell r="D259"/>
          <cell r="E259"/>
          <cell r="G259"/>
          <cell r="M259"/>
          <cell r="N259"/>
          <cell r="R259"/>
        </row>
        <row r="260">
          <cell r="C260"/>
          <cell r="D260"/>
          <cell r="E260"/>
          <cell r="G260"/>
          <cell r="M260"/>
          <cell r="N260"/>
          <cell r="R260"/>
        </row>
        <row r="261">
          <cell r="C261"/>
          <cell r="D261"/>
          <cell r="E261"/>
          <cell r="G261"/>
          <cell r="M261"/>
          <cell r="N261"/>
          <cell r="R261"/>
        </row>
        <row r="262">
          <cell r="C262"/>
          <cell r="D262"/>
          <cell r="E262"/>
          <cell r="G262"/>
          <cell r="M262"/>
          <cell r="N262"/>
          <cell r="R262"/>
        </row>
        <row r="263">
          <cell r="C263"/>
          <cell r="D263"/>
          <cell r="E263"/>
          <cell r="G263"/>
          <cell r="M263"/>
          <cell r="N263"/>
          <cell r="R263"/>
        </row>
        <row r="264">
          <cell r="C264"/>
          <cell r="D264"/>
          <cell r="E264"/>
          <cell r="G264"/>
          <cell r="M264"/>
          <cell r="N264"/>
          <cell r="R264"/>
        </row>
        <row r="265">
          <cell r="C265"/>
          <cell r="D265"/>
          <cell r="E265"/>
          <cell r="G265"/>
          <cell r="M265"/>
          <cell r="N265"/>
          <cell r="R265"/>
        </row>
        <row r="266">
          <cell r="C266"/>
          <cell r="D266"/>
          <cell r="E266"/>
          <cell r="G266"/>
          <cell r="M266"/>
          <cell r="N266"/>
          <cell r="R266"/>
        </row>
        <row r="267">
          <cell r="C267"/>
          <cell r="D267"/>
          <cell r="E267"/>
          <cell r="G267"/>
          <cell r="M267"/>
          <cell r="N267"/>
          <cell r="R267"/>
        </row>
        <row r="268">
          <cell r="C268"/>
          <cell r="D268"/>
          <cell r="E268"/>
          <cell r="G268"/>
          <cell r="M268"/>
          <cell r="N268"/>
          <cell r="R268"/>
        </row>
        <row r="269">
          <cell r="C269"/>
          <cell r="D269"/>
          <cell r="E269"/>
          <cell r="G269"/>
          <cell r="M269"/>
          <cell r="N269"/>
          <cell r="R269"/>
        </row>
        <row r="270">
          <cell r="C270"/>
          <cell r="D270"/>
          <cell r="E270"/>
          <cell r="G270"/>
          <cell r="M270"/>
          <cell r="N270"/>
          <cell r="R270"/>
        </row>
        <row r="271">
          <cell r="C271"/>
          <cell r="D271"/>
          <cell r="E271"/>
          <cell r="G271"/>
          <cell r="M271"/>
          <cell r="N271"/>
          <cell r="R271"/>
        </row>
        <row r="272">
          <cell r="C272"/>
          <cell r="D272"/>
          <cell r="E272"/>
          <cell r="G272"/>
          <cell r="M272"/>
          <cell r="N272"/>
          <cell r="R272"/>
        </row>
        <row r="273">
          <cell r="C273"/>
          <cell r="D273"/>
          <cell r="E273"/>
          <cell r="G273"/>
          <cell r="M273"/>
          <cell r="N273"/>
          <cell r="R273"/>
        </row>
        <row r="274">
          <cell r="C274"/>
          <cell r="D274"/>
          <cell r="E274"/>
          <cell r="G274"/>
          <cell r="M274"/>
          <cell r="N274"/>
          <cell r="R274"/>
        </row>
        <row r="275">
          <cell r="C275"/>
          <cell r="D275"/>
          <cell r="E275"/>
          <cell r="G275"/>
          <cell r="M275"/>
          <cell r="N275"/>
          <cell r="R275"/>
        </row>
        <row r="276">
          <cell r="C276"/>
          <cell r="D276"/>
          <cell r="E276"/>
          <cell r="G276"/>
          <cell r="M276"/>
          <cell r="N276"/>
          <cell r="R276"/>
        </row>
        <row r="277">
          <cell r="C277"/>
          <cell r="D277"/>
          <cell r="E277"/>
          <cell r="G277"/>
          <cell r="M277"/>
          <cell r="N277"/>
          <cell r="R277"/>
        </row>
        <row r="278">
          <cell r="C278"/>
          <cell r="D278"/>
          <cell r="E278"/>
          <cell r="G278"/>
          <cell r="M278"/>
          <cell r="N278"/>
          <cell r="R278"/>
        </row>
        <row r="279">
          <cell r="C279"/>
          <cell r="D279"/>
          <cell r="E279"/>
          <cell r="G279"/>
          <cell r="M279"/>
          <cell r="N279"/>
          <cell r="R279"/>
        </row>
        <row r="280">
          <cell r="C280"/>
          <cell r="D280"/>
          <cell r="E280"/>
          <cell r="G280"/>
          <cell r="M280"/>
          <cell r="N280"/>
          <cell r="R280"/>
        </row>
        <row r="281">
          <cell r="C281"/>
          <cell r="D281"/>
          <cell r="E281"/>
          <cell r="G281"/>
          <cell r="M281"/>
          <cell r="N281"/>
          <cell r="R281"/>
        </row>
        <row r="282">
          <cell r="C282"/>
          <cell r="D282"/>
          <cell r="E282"/>
          <cell r="G282"/>
          <cell r="M282"/>
          <cell r="N282"/>
          <cell r="R282"/>
        </row>
        <row r="283">
          <cell r="C283"/>
          <cell r="D283"/>
          <cell r="E283"/>
          <cell r="G283"/>
          <cell r="M283"/>
          <cell r="N283"/>
          <cell r="R283"/>
        </row>
        <row r="284">
          <cell r="C284"/>
          <cell r="D284"/>
          <cell r="E284"/>
          <cell r="G284"/>
          <cell r="M284"/>
          <cell r="N284"/>
          <cell r="R284"/>
        </row>
        <row r="285">
          <cell r="C285"/>
          <cell r="D285"/>
          <cell r="E285"/>
          <cell r="G285"/>
          <cell r="M285"/>
          <cell r="N285"/>
          <cell r="R285"/>
        </row>
        <row r="286">
          <cell r="C286"/>
          <cell r="D286"/>
          <cell r="E286"/>
          <cell r="G286"/>
          <cell r="M286"/>
          <cell r="N286"/>
          <cell r="R286"/>
        </row>
        <row r="287">
          <cell r="C287"/>
          <cell r="D287"/>
          <cell r="E287"/>
          <cell r="G287"/>
          <cell r="M287"/>
          <cell r="N287"/>
          <cell r="R287"/>
        </row>
        <row r="288">
          <cell r="C288"/>
          <cell r="D288"/>
          <cell r="E288"/>
          <cell r="G288"/>
          <cell r="M288"/>
          <cell r="N288"/>
          <cell r="R288"/>
        </row>
        <row r="289">
          <cell r="C289"/>
          <cell r="D289"/>
          <cell r="E289"/>
          <cell r="G289"/>
          <cell r="M289"/>
          <cell r="N289"/>
          <cell r="R289"/>
        </row>
        <row r="290">
          <cell r="C290"/>
          <cell r="D290"/>
          <cell r="E290"/>
          <cell r="G290"/>
          <cell r="M290"/>
          <cell r="N290"/>
          <cell r="R290"/>
        </row>
        <row r="291">
          <cell r="C291"/>
          <cell r="D291"/>
          <cell r="E291"/>
          <cell r="G291"/>
          <cell r="M291"/>
          <cell r="N291"/>
          <cell r="R291"/>
        </row>
        <row r="292">
          <cell r="C292"/>
          <cell r="D292"/>
          <cell r="E292"/>
          <cell r="G292"/>
          <cell r="M292"/>
          <cell r="N292"/>
          <cell r="R292"/>
        </row>
        <row r="293">
          <cell r="C293"/>
          <cell r="D293"/>
          <cell r="E293"/>
          <cell r="G293"/>
          <cell r="M293"/>
          <cell r="N293"/>
          <cell r="R293"/>
        </row>
        <row r="294">
          <cell r="C294"/>
          <cell r="D294"/>
          <cell r="E294"/>
          <cell r="G294"/>
          <cell r="M294"/>
          <cell r="N294"/>
          <cell r="R294"/>
        </row>
        <row r="295">
          <cell r="C295"/>
          <cell r="D295"/>
          <cell r="E295"/>
          <cell r="G295"/>
          <cell r="M295"/>
          <cell r="N295"/>
          <cell r="R295"/>
        </row>
        <row r="296">
          <cell r="C296"/>
          <cell r="D296"/>
          <cell r="E296"/>
          <cell r="G296"/>
          <cell r="M296"/>
          <cell r="N296"/>
          <cell r="R296"/>
        </row>
        <row r="297">
          <cell r="C297"/>
          <cell r="D297"/>
          <cell r="E297"/>
          <cell r="G297"/>
          <cell r="M297"/>
          <cell r="N297"/>
          <cell r="R297"/>
        </row>
        <row r="298">
          <cell r="C298"/>
          <cell r="D298"/>
          <cell r="E298"/>
          <cell r="G298"/>
          <cell r="M298"/>
          <cell r="N298"/>
          <cell r="R298"/>
        </row>
        <row r="299">
          <cell r="C299"/>
          <cell r="D299"/>
          <cell r="E299"/>
          <cell r="G299"/>
          <cell r="M299"/>
          <cell r="N299"/>
          <cell r="R299"/>
        </row>
        <row r="300">
          <cell r="C300"/>
          <cell r="D300"/>
          <cell r="E300"/>
          <cell r="G300"/>
          <cell r="M300"/>
          <cell r="N300"/>
          <cell r="R300"/>
        </row>
        <row r="301">
          <cell r="C301"/>
          <cell r="D301"/>
          <cell r="E301"/>
          <cell r="G301"/>
          <cell r="M301"/>
          <cell r="N301"/>
          <cell r="R301"/>
        </row>
        <row r="302">
          <cell r="C302"/>
          <cell r="D302"/>
          <cell r="E302"/>
          <cell r="G302"/>
          <cell r="M302"/>
          <cell r="N302"/>
          <cell r="R302"/>
        </row>
        <row r="303">
          <cell r="C303"/>
          <cell r="D303"/>
          <cell r="E303"/>
          <cell r="G303"/>
          <cell r="M303"/>
          <cell r="N303"/>
          <cell r="R303"/>
        </row>
        <row r="304">
          <cell r="C304"/>
          <cell r="D304"/>
          <cell r="E304"/>
          <cell r="G304"/>
          <cell r="M304"/>
          <cell r="N304"/>
          <cell r="R304"/>
        </row>
        <row r="305">
          <cell r="C305"/>
          <cell r="D305"/>
          <cell r="E305"/>
          <cell r="G305"/>
          <cell r="M305"/>
          <cell r="N305"/>
          <cell r="R305"/>
        </row>
        <row r="306">
          <cell r="C306"/>
          <cell r="D306"/>
          <cell r="E306"/>
          <cell r="G306"/>
          <cell r="M306"/>
          <cell r="N306"/>
          <cell r="R306"/>
        </row>
        <row r="307">
          <cell r="C307"/>
          <cell r="D307"/>
          <cell r="E307"/>
          <cell r="G307"/>
          <cell r="M307"/>
          <cell r="N307"/>
          <cell r="R307"/>
        </row>
        <row r="308">
          <cell r="C308"/>
          <cell r="D308"/>
          <cell r="E308"/>
          <cell r="G308"/>
          <cell r="M308"/>
          <cell r="N308"/>
          <cell r="R308"/>
        </row>
        <row r="309">
          <cell r="C309"/>
          <cell r="D309"/>
          <cell r="E309"/>
          <cell r="G309"/>
          <cell r="M309"/>
          <cell r="N309"/>
          <cell r="R309"/>
        </row>
        <row r="310">
          <cell r="C310"/>
          <cell r="D310"/>
          <cell r="E310"/>
          <cell r="G310"/>
          <cell r="M310"/>
          <cell r="N310"/>
          <cell r="R310"/>
        </row>
        <row r="311">
          <cell r="C311"/>
          <cell r="D311"/>
          <cell r="E311"/>
          <cell r="G311"/>
          <cell r="M311"/>
          <cell r="N311"/>
          <cell r="R311"/>
        </row>
        <row r="312">
          <cell r="C312"/>
          <cell r="D312"/>
          <cell r="E312"/>
          <cell r="G312"/>
          <cell r="M312"/>
          <cell r="N312"/>
          <cell r="R312"/>
        </row>
        <row r="313">
          <cell r="C313"/>
          <cell r="D313"/>
          <cell r="E313"/>
          <cell r="G313"/>
          <cell r="M313"/>
          <cell r="N313"/>
          <cell r="R313"/>
        </row>
        <row r="314">
          <cell r="C314"/>
          <cell r="D314"/>
          <cell r="E314"/>
          <cell r="G314"/>
          <cell r="M314"/>
          <cell r="N314"/>
          <cell r="R314"/>
        </row>
        <row r="315">
          <cell r="C315"/>
          <cell r="D315"/>
          <cell r="E315"/>
          <cell r="G315"/>
          <cell r="M315"/>
          <cell r="N315"/>
          <cell r="R315"/>
        </row>
        <row r="316">
          <cell r="C316"/>
          <cell r="D316"/>
          <cell r="E316"/>
          <cell r="G316"/>
          <cell r="M316"/>
          <cell r="N316"/>
          <cell r="R316"/>
        </row>
        <row r="317">
          <cell r="C317"/>
          <cell r="D317"/>
          <cell r="E317"/>
          <cell r="G317"/>
          <cell r="M317"/>
          <cell r="N317"/>
          <cell r="R317"/>
        </row>
        <row r="318">
          <cell r="C318"/>
          <cell r="D318"/>
          <cell r="E318"/>
          <cell r="G318"/>
          <cell r="M318"/>
          <cell r="N318"/>
          <cell r="R318"/>
        </row>
        <row r="319">
          <cell r="C319"/>
          <cell r="D319"/>
          <cell r="E319"/>
          <cell r="G319"/>
          <cell r="M319"/>
          <cell r="N319"/>
          <cell r="R319"/>
        </row>
        <row r="320">
          <cell r="C320"/>
          <cell r="D320"/>
          <cell r="E320"/>
          <cell r="G320"/>
          <cell r="M320"/>
          <cell r="N320"/>
          <cell r="R320"/>
        </row>
        <row r="321">
          <cell r="C321"/>
          <cell r="D321"/>
          <cell r="E321"/>
          <cell r="G321"/>
          <cell r="M321"/>
          <cell r="N321"/>
          <cell r="R321"/>
        </row>
        <row r="322">
          <cell r="C322"/>
          <cell r="D322"/>
          <cell r="E322"/>
          <cell r="G322"/>
          <cell r="M322"/>
          <cell r="N322"/>
          <cell r="R322"/>
        </row>
        <row r="323">
          <cell r="C323"/>
          <cell r="D323"/>
          <cell r="E323"/>
          <cell r="G323"/>
          <cell r="M323"/>
          <cell r="N323"/>
          <cell r="R323"/>
        </row>
        <row r="324">
          <cell r="C324"/>
          <cell r="D324"/>
          <cell r="E324"/>
          <cell r="G324"/>
          <cell r="M324"/>
          <cell r="N324"/>
          <cell r="R324"/>
        </row>
        <row r="325">
          <cell r="C325"/>
          <cell r="D325"/>
          <cell r="E325"/>
          <cell r="G325"/>
          <cell r="M325"/>
          <cell r="N325"/>
          <cell r="R325"/>
        </row>
        <row r="326">
          <cell r="C326"/>
          <cell r="D326"/>
          <cell r="E326"/>
          <cell r="G326"/>
          <cell r="M326"/>
          <cell r="N326"/>
          <cell r="R326"/>
        </row>
        <row r="327">
          <cell r="C327"/>
          <cell r="D327"/>
          <cell r="E327"/>
          <cell r="G327"/>
          <cell r="M327"/>
          <cell r="N327"/>
          <cell r="R327"/>
        </row>
        <row r="328">
          <cell r="C328"/>
          <cell r="D328"/>
          <cell r="E328"/>
          <cell r="G328"/>
          <cell r="M328"/>
          <cell r="N328"/>
          <cell r="R328"/>
        </row>
        <row r="329">
          <cell r="C329"/>
          <cell r="D329"/>
          <cell r="E329"/>
          <cell r="G329"/>
          <cell r="M329"/>
          <cell r="N329"/>
          <cell r="R329"/>
        </row>
        <row r="330">
          <cell r="C330"/>
          <cell r="D330"/>
          <cell r="E330"/>
          <cell r="G330"/>
          <cell r="M330"/>
          <cell r="N330"/>
          <cell r="R330"/>
        </row>
        <row r="331">
          <cell r="C331"/>
          <cell r="D331"/>
          <cell r="E331"/>
          <cell r="G331"/>
          <cell r="M331"/>
          <cell r="N331"/>
          <cell r="R331"/>
        </row>
        <row r="332">
          <cell r="C332"/>
          <cell r="D332"/>
          <cell r="E332"/>
          <cell r="G332"/>
          <cell r="M332"/>
          <cell r="N332"/>
          <cell r="R332"/>
        </row>
        <row r="333">
          <cell r="C333"/>
          <cell r="D333"/>
          <cell r="E333"/>
          <cell r="G333"/>
          <cell r="M333"/>
          <cell r="N333"/>
          <cell r="R333"/>
        </row>
        <row r="334">
          <cell r="C334"/>
          <cell r="D334"/>
          <cell r="E334"/>
          <cell r="G334"/>
          <cell r="M334"/>
          <cell r="N334"/>
          <cell r="R334"/>
        </row>
        <row r="335">
          <cell r="C335"/>
          <cell r="D335"/>
          <cell r="E335"/>
          <cell r="G335"/>
          <cell r="M335"/>
          <cell r="N335"/>
          <cell r="R335"/>
        </row>
        <row r="336">
          <cell r="C336"/>
          <cell r="D336"/>
          <cell r="E336"/>
          <cell r="G336"/>
          <cell r="M336"/>
          <cell r="N336"/>
          <cell r="R336"/>
        </row>
        <row r="337">
          <cell r="C337"/>
          <cell r="D337"/>
          <cell r="E337"/>
          <cell r="G337"/>
          <cell r="M337"/>
          <cell r="N337"/>
          <cell r="R337"/>
        </row>
        <row r="338">
          <cell r="C338"/>
          <cell r="D338"/>
          <cell r="E338"/>
          <cell r="G338"/>
          <cell r="M338"/>
          <cell r="N338"/>
          <cell r="R338"/>
        </row>
        <row r="339">
          <cell r="C339"/>
          <cell r="D339"/>
          <cell r="E339"/>
          <cell r="G339"/>
          <cell r="M339"/>
          <cell r="N339"/>
          <cell r="R339"/>
        </row>
        <row r="340">
          <cell r="C340"/>
          <cell r="D340"/>
          <cell r="E340"/>
          <cell r="G340"/>
          <cell r="M340"/>
          <cell r="N340"/>
          <cell r="R340"/>
        </row>
        <row r="341">
          <cell r="C341"/>
          <cell r="D341"/>
          <cell r="E341"/>
          <cell r="G341"/>
          <cell r="M341"/>
          <cell r="N341"/>
          <cell r="R341"/>
        </row>
        <row r="342">
          <cell r="C342"/>
          <cell r="D342"/>
          <cell r="E342"/>
          <cell r="G342"/>
          <cell r="M342"/>
          <cell r="N342"/>
          <cell r="R342"/>
        </row>
        <row r="343">
          <cell r="C343"/>
          <cell r="D343"/>
          <cell r="E343"/>
          <cell r="G343"/>
          <cell r="M343"/>
          <cell r="N343"/>
          <cell r="R343"/>
        </row>
        <row r="344">
          <cell r="C344"/>
          <cell r="D344"/>
          <cell r="E344"/>
          <cell r="G344"/>
          <cell r="M344"/>
          <cell r="N344"/>
          <cell r="R344"/>
        </row>
        <row r="345">
          <cell r="C345"/>
          <cell r="D345"/>
          <cell r="E345"/>
          <cell r="G345"/>
          <cell r="M345"/>
          <cell r="N345"/>
          <cell r="R345"/>
        </row>
        <row r="346">
          <cell r="C346"/>
          <cell r="D346"/>
          <cell r="E346"/>
          <cell r="G346"/>
          <cell r="M346"/>
          <cell r="N346"/>
          <cell r="R346"/>
        </row>
        <row r="347">
          <cell r="C347"/>
          <cell r="D347"/>
          <cell r="E347"/>
          <cell r="G347"/>
          <cell r="M347"/>
          <cell r="N347"/>
          <cell r="R347"/>
        </row>
        <row r="348">
          <cell r="C348"/>
          <cell r="D348"/>
          <cell r="E348"/>
          <cell r="G348"/>
          <cell r="M348"/>
          <cell r="N348"/>
          <cell r="R348"/>
        </row>
        <row r="349">
          <cell r="C349"/>
          <cell r="D349"/>
          <cell r="E349"/>
          <cell r="G349"/>
          <cell r="M349"/>
          <cell r="N349"/>
          <cell r="R349"/>
        </row>
        <row r="350">
          <cell r="C350"/>
          <cell r="D350"/>
          <cell r="E350"/>
          <cell r="G350"/>
          <cell r="M350"/>
          <cell r="N350"/>
          <cell r="R350"/>
        </row>
        <row r="351">
          <cell r="C351"/>
          <cell r="D351"/>
          <cell r="E351"/>
          <cell r="G351"/>
          <cell r="M351"/>
          <cell r="N351"/>
          <cell r="R351"/>
        </row>
        <row r="352">
          <cell r="C352"/>
          <cell r="D352"/>
          <cell r="E352"/>
          <cell r="G352"/>
          <cell r="M352"/>
          <cell r="N352"/>
          <cell r="R352"/>
        </row>
        <row r="353">
          <cell r="C353"/>
          <cell r="D353"/>
          <cell r="E353"/>
          <cell r="G353"/>
          <cell r="M353"/>
          <cell r="N353"/>
          <cell r="R353"/>
        </row>
        <row r="354">
          <cell r="C354"/>
          <cell r="D354"/>
          <cell r="E354"/>
          <cell r="G354"/>
          <cell r="M354"/>
          <cell r="N354"/>
          <cell r="R354"/>
        </row>
        <row r="355">
          <cell r="C355"/>
          <cell r="D355"/>
          <cell r="E355"/>
          <cell r="G355"/>
          <cell r="M355"/>
          <cell r="N355"/>
          <cell r="R355"/>
        </row>
        <row r="356">
          <cell r="C356"/>
          <cell r="D356"/>
          <cell r="E356"/>
          <cell r="G356"/>
          <cell r="M356"/>
          <cell r="N356"/>
          <cell r="R356"/>
        </row>
        <row r="357">
          <cell r="C357"/>
          <cell r="D357"/>
          <cell r="E357"/>
          <cell r="G357"/>
          <cell r="M357"/>
          <cell r="N357"/>
          <cell r="R357"/>
        </row>
        <row r="358">
          <cell r="C358"/>
          <cell r="D358"/>
          <cell r="E358"/>
          <cell r="G358"/>
          <cell r="M358"/>
          <cell r="N358"/>
          <cell r="R358"/>
        </row>
        <row r="359">
          <cell r="C359"/>
          <cell r="D359"/>
          <cell r="E359"/>
          <cell r="G359"/>
          <cell r="M359"/>
          <cell r="N359"/>
          <cell r="R359"/>
        </row>
        <row r="360">
          <cell r="C360"/>
          <cell r="D360"/>
          <cell r="E360"/>
          <cell r="G360"/>
          <cell r="M360"/>
          <cell r="N360"/>
          <cell r="R360"/>
        </row>
        <row r="361">
          <cell r="C361"/>
          <cell r="D361"/>
          <cell r="E361"/>
          <cell r="G361"/>
          <cell r="M361"/>
          <cell r="N361"/>
          <cell r="R361"/>
        </row>
        <row r="362">
          <cell r="C362"/>
          <cell r="D362"/>
          <cell r="E362"/>
          <cell r="G362"/>
          <cell r="M362"/>
          <cell r="N362"/>
          <cell r="R362"/>
        </row>
        <row r="363">
          <cell r="C363"/>
          <cell r="D363"/>
          <cell r="E363"/>
          <cell r="G363"/>
          <cell r="M363"/>
          <cell r="N363"/>
          <cell r="R363"/>
        </row>
        <row r="364">
          <cell r="C364"/>
          <cell r="D364"/>
          <cell r="E364"/>
          <cell r="G364"/>
          <cell r="M364"/>
          <cell r="N364"/>
          <cell r="R364"/>
        </row>
        <row r="365">
          <cell r="C365"/>
          <cell r="D365"/>
          <cell r="E365"/>
          <cell r="G365"/>
          <cell r="M365"/>
          <cell r="N365"/>
          <cell r="R365"/>
        </row>
        <row r="366">
          <cell r="C366"/>
          <cell r="D366"/>
          <cell r="E366"/>
          <cell r="G366"/>
          <cell r="M366"/>
          <cell r="N366"/>
          <cell r="R366"/>
        </row>
        <row r="367">
          <cell r="C367"/>
          <cell r="D367"/>
          <cell r="E367"/>
          <cell r="G367"/>
          <cell r="M367"/>
          <cell r="N367"/>
          <cell r="R367"/>
        </row>
        <row r="368">
          <cell r="C368"/>
          <cell r="D368"/>
          <cell r="E368"/>
          <cell r="G368"/>
          <cell r="M368"/>
          <cell r="N368"/>
          <cell r="R368"/>
        </row>
        <row r="369">
          <cell r="C369"/>
          <cell r="D369"/>
          <cell r="E369"/>
          <cell r="G369"/>
          <cell r="M369"/>
          <cell r="N369"/>
          <cell r="R369"/>
        </row>
        <row r="370">
          <cell r="C370"/>
          <cell r="D370"/>
          <cell r="E370"/>
          <cell r="G370"/>
          <cell r="M370"/>
          <cell r="N370"/>
          <cell r="R370"/>
        </row>
        <row r="371">
          <cell r="C371"/>
          <cell r="D371"/>
          <cell r="E371"/>
          <cell r="G371"/>
          <cell r="M371"/>
          <cell r="N371"/>
          <cell r="R371"/>
        </row>
        <row r="372">
          <cell r="C372"/>
          <cell r="D372"/>
          <cell r="E372"/>
          <cell r="G372"/>
          <cell r="M372"/>
          <cell r="N372"/>
          <cell r="R372"/>
        </row>
        <row r="373">
          <cell r="C373"/>
          <cell r="D373"/>
          <cell r="E373"/>
          <cell r="G373"/>
          <cell r="M373"/>
          <cell r="N373"/>
          <cell r="R373"/>
        </row>
        <row r="374">
          <cell r="C374"/>
          <cell r="D374"/>
          <cell r="E374"/>
          <cell r="G374"/>
          <cell r="M374"/>
          <cell r="N374"/>
          <cell r="R374"/>
        </row>
        <row r="375">
          <cell r="C375"/>
          <cell r="D375"/>
          <cell r="E375"/>
          <cell r="G375"/>
          <cell r="M375"/>
          <cell r="N375"/>
          <cell r="R375"/>
        </row>
        <row r="376">
          <cell r="C376"/>
          <cell r="D376"/>
          <cell r="E376"/>
          <cell r="G376"/>
          <cell r="M376"/>
          <cell r="N376"/>
          <cell r="R376"/>
        </row>
        <row r="377">
          <cell r="C377"/>
          <cell r="D377"/>
          <cell r="E377"/>
          <cell r="G377"/>
          <cell r="M377"/>
          <cell r="N377"/>
          <cell r="R377"/>
        </row>
        <row r="378">
          <cell r="C378"/>
          <cell r="D378"/>
          <cell r="E378"/>
          <cell r="G378"/>
          <cell r="M378"/>
          <cell r="N378"/>
          <cell r="R378"/>
        </row>
        <row r="379">
          <cell r="C379"/>
          <cell r="D379"/>
          <cell r="E379"/>
          <cell r="G379"/>
          <cell r="M379"/>
          <cell r="N379"/>
          <cell r="R379"/>
        </row>
        <row r="380">
          <cell r="C380"/>
          <cell r="D380"/>
          <cell r="E380"/>
          <cell r="G380"/>
          <cell r="M380"/>
          <cell r="N380"/>
          <cell r="R380"/>
        </row>
        <row r="381">
          <cell r="C381"/>
          <cell r="D381"/>
          <cell r="E381"/>
          <cell r="G381"/>
          <cell r="M381"/>
          <cell r="N381"/>
          <cell r="R381"/>
        </row>
        <row r="382">
          <cell r="C382"/>
          <cell r="D382"/>
          <cell r="E382"/>
          <cell r="G382"/>
          <cell r="M382"/>
          <cell r="N382"/>
          <cell r="R382"/>
        </row>
        <row r="383">
          <cell r="C383"/>
          <cell r="D383"/>
          <cell r="E383"/>
          <cell r="G383"/>
          <cell r="M383"/>
          <cell r="N383"/>
          <cell r="R383"/>
        </row>
        <row r="384">
          <cell r="C384"/>
          <cell r="D384"/>
          <cell r="E384"/>
          <cell r="G384"/>
          <cell r="M384"/>
          <cell r="N384"/>
          <cell r="R384"/>
        </row>
        <row r="385">
          <cell r="C385"/>
          <cell r="D385"/>
          <cell r="E385"/>
          <cell r="G385"/>
          <cell r="M385"/>
          <cell r="N385"/>
          <cell r="R385"/>
        </row>
        <row r="386">
          <cell r="C386"/>
          <cell r="D386"/>
          <cell r="E386"/>
          <cell r="G386"/>
          <cell r="M386"/>
          <cell r="N386"/>
          <cell r="R386"/>
        </row>
        <row r="387">
          <cell r="C387"/>
          <cell r="D387"/>
          <cell r="E387"/>
          <cell r="G387"/>
          <cell r="M387"/>
          <cell r="N387"/>
          <cell r="R387"/>
        </row>
        <row r="388">
          <cell r="C388"/>
          <cell r="D388"/>
          <cell r="E388"/>
          <cell r="G388"/>
          <cell r="M388"/>
          <cell r="N388"/>
          <cell r="R388"/>
        </row>
        <row r="389">
          <cell r="C389"/>
          <cell r="D389"/>
          <cell r="E389"/>
          <cell r="G389"/>
          <cell r="M389"/>
          <cell r="N389"/>
          <cell r="R389"/>
        </row>
        <row r="390">
          <cell r="C390"/>
          <cell r="D390"/>
          <cell r="E390"/>
          <cell r="G390"/>
          <cell r="M390"/>
          <cell r="N390"/>
          <cell r="R390"/>
        </row>
        <row r="391">
          <cell r="C391"/>
          <cell r="D391"/>
          <cell r="E391"/>
          <cell r="G391"/>
          <cell r="M391"/>
          <cell r="N391"/>
          <cell r="R391"/>
        </row>
        <row r="392">
          <cell r="C392"/>
          <cell r="D392"/>
          <cell r="E392"/>
          <cell r="G392"/>
          <cell r="M392"/>
          <cell r="N392"/>
          <cell r="R392"/>
        </row>
        <row r="393">
          <cell r="C393"/>
          <cell r="D393"/>
          <cell r="E393"/>
          <cell r="G393"/>
          <cell r="M393"/>
          <cell r="N393"/>
          <cell r="R393"/>
        </row>
        <row r="394">
          <cell r="C394"/>
          <cell r="D394"/>
          <cell r="E394"/>
          <cell r="G394"/>
          <cell r="M394"/>
          <cell r="N394"/>
          <cell r="R394"/>
        </row>
        <row r="395">
          <cell r="C395"/>
          <cell r="D395"/>
          <cell r="E395"/>
          <cell r="G395"/>
          <cell r="M395"/>
          <cell r="N395"/>
          <cell r="R395"/>
        </row>
        <row r="396">
          <cell r="C396"/>
          <cell r="D396"/>
          <cell r="E396"/>
          <cell r="G396"/>
          <cell r="M396"/>
          <cell r="N396"/>
          <cell r="R396"/>
        </row>
        <row r="397">
          <cell r="C397"/>
          <cell r="D397"/>
          <cell r="E397"/>
          <cell r="G397"/>
          <cell r="M397"/>
          <cell r="N397"/>
          <cell r="R397"/>
        </row>
        <row r="398">
          <cell r="C398"/>
          <cell r="D398"/>
          <cell r="E398"/>
          <cell r="G398"/>
          <cell r="M398"/>
          <cell r="N398"/>
          <cell r="R398"/>
        </row>
        <row r="399">
          <cell r="C399"/>
          <cell r="D399"/>
          <cell r="E399"/>
          <cell r="G399"/>
          <cell r="M399"/>
          <cell r="N399"/>
          <cell r="R399"/>
        </row>
        <row r="400">
          <cell r="C400"/>
          <cell r="D400"/>
          <cell r="E400"/>
          <cell r="G400"/>
          <cell r="M400"/>
          <cell r="N400"/>
          <cell r="R400"/>
        </row>
        <row r="401">
          <cell r="C401"/>
          <cell r="D401"/>
          <cell r="E401"/>
          <cell r="G401"/>
          <cell r="M401"/>
          <cell r="N401"/>
          <cell r="R401"/>
        </row>
        <row r="402">
          <cell r="C402"/>
          <cell r="D402"/>
          <cell r="E402"/>
          <cell r="G402"/>
          <cell r="M402"/>
          <cell r="N402"/>
          <cell r="R402"/>
        </row>
        <row r="403">
          <cell r="C403"/>
          <cell r="D403"/>
          <cell r="E403"/>
          <cell r="G403"/>
          <cell r="M403"/>
          <cell r="N403"/>
          <cell r="R403"/>
        </row>
        <row r="404">
          <cell r="C404"/>
          <cell r="D404"/>
          <cell r="E404"/>
          <cell r="G404"/>
          <cell r="M404"/>
          <cell r="N404"/>
          <cell r="R404"/>
        </row>
        <row r="405">
          <cell r="C405"/>
          <cell r="D405"/>
          <cell r="E405"/>
          <cell r="G405"/>
          <cell r="M405"/>
          <cell r="N405"/>
          <cell r="R405"/>
        </row>
        <row r="406">
          <cell r="C406"/>
          <cell r="D406"/>
          <cell r="E406"/>
          <cell r="G406"/>
          <cell r="M406"/>
          <cell r="N406"/>
          <cell r="R406"/>
        </row>
        <row r="407">
          <cell r="C407"/>
          <cell r="D407"/>
          <cell r="E407"/>
          <cell r="G407"/>
          <cell r="M407"/>
          <cell r="N407"/>
          <cell r="R407"/>
        </row>
        <row r="408">
          <cell r="C408"/>
          <cell r="D408"/>
          <cell r="E408"/>
          <cell r="G408"/>
          <cell r="M408"/>
          <cell r="N408"/>
          <cell r="R408"/>
        </row>
        <row r="409">
          <cell r="C409"/>
          <cell r="D409"/>
          <cell r="E409"/>
          <cell r="G409"/>
          <cell r="M409"/>
          <cell r="N409"/>
          <cell r="R409"/>
        </row>
        <row r="410">
          <cell r="C410"/>
          <cell r="D410"/>
          <cell r="E410"/>
          <cell r="G410"/>
          <cell r="M410"/>
          <cell r="N410"/>
          <cell r="R410"/>
        </row>
        <row r="411">
          <cell r="C411"/>
          <cell r="D411"/>
          <cell r="E411"/>
          <cell r="G411"/>
          <cell r="M411"/>
          <cell r="N411"/>
          <cell r="R411"/>
        </row>
        <row r="412">
          <cell r="C412"/>
          <cell r="D412"/>
          <cell r="E412"/>
          <cell r="G412"/>
          <cell r="M412"/>
          <cell r="N412"/>
          <cell r="R412"/>
        </row>
        <row r="413">
          <cell r="C413"/>
          <cell r="D413"/>
          <cell r="E413"/>
          <cell r="G413"/>
          <cell r="M413"/>
          <cell r="N413"/>
          <cell r="R413"/>
        </row>
        <row r="414">
          <cell r="C414"/>
          <cell r="D414"/>
          <cell r="E414"/>
          <cell r="G414"/>
          <cell r="M414"/>
          <cell r="N414"/>
          <cell r="R414"/>
        </row>
        <row r="415">
          <cell r="C415"/>
          <cell r="D415"/>
          <cell r="E415"/>
          <cell r="G415"/>
          <cell r="M415"/>
          <cell r="N415"/>
          <cell r="R415"/>
        </row>
        <row r="416">
          <cell r="C416"/>
          <cell r="D416"/>
          <cell r="E416"/>
          <cell r="G416"/>
          <cell r="M416"/>
          <cell r="N416"/>
          <cell r="R416"/>
        </row>
        <row r="417">
          <cell r="C417"/>
          <cell r="D417"/>
          <cell r="E417"/>
          <cell r="G417"/>
          <cell r="M417"/>
          <cell r="N417"/>
          <cell r="R417"/>
        </row>
        <row r="418">
          <cell r="C418"/>
          <cell r="D418"/>
          <cell r="E418"/>
          <cell r="G418"/>
          <cell r="M418"/>
          <cell r="N418"/>
          <cell r="R418"/>
        </row>
        <row r="419">
          <cell r="C419"/>
          <cell r="D419"/>
          <cell r="E419"/>
          <cell r="G419"/>
          <cell r="M419"/>
          <cell r="N419"/>
          <cell r="R419"/>
        </row>
        <row r="420">
          <cell r="C420"/>
          <cell r="D420"/>
          <cell r="E420"/>
          <cell r="G420"/>
          <cell r="M420"/>
          <cell r="N420"/>
          <cell r="R420"/>
        </row>
        <row r="421">
          <cell r="C421"/>
          <cell r="D421"/>
          <cell r="E421"/>
          <cell r="G421"/>
          <cell r="M421"/>
          <cell r="N421"/>
          <cell r="R421"/>
        </row>
        <row r="422">
          <cell r="C422"/>
          <cell r="D422"/>
          <cell r="E422"/>
          <cell r="G422"/>
          <cell r="M422"/>
          <cell r="N422"/>
          <cell r="R422"/>
        </row>
        <row r="423">
          <cell r="C423"/>
          <cell r="D423"/>
          <cell r="E423"/>
          <cell r="G423"/>
          <cell r="M423"/>
          <cell r="N423"/>
          <cell r="R423"/>
        </row>
        <row r="424">
          <cell r="C424"/>
          <cell r="D424"/>
          <cell r="E424"/>
          <cell r="G424"/>
          <cell r="M424"/>
          <cell r="N424"/>
          <cell r="R424"/>
        </row>
        <row r="425">
          <cell r="C425"/>
          <cell r="D425"/>
          <cell r="E425"/>
          <cell r="G425"/>
          <cell r="M425"/>
          <cell r="N425"/>
          <cell r="R425"/>
        </row>
        <row r="426">
          <cell r="C426"/>
          <cell r="D426"/>
          <cell r="E426"/>
          <cell r="G426"/>
          <cell r="M426"/>
          <cell r="N426"/>
          <cell r="R426"/>
        </row>
        <row r="427">
          <cell r="C427"/>
          <cell r="D427"/>
          <cell r="E427"/>
          <cell r="G427"/>
          <cell r="M427"/>
          <cell r="N427"/>
          <cell r="R427"/>
        </row>
        <row r="428">
          <cell r="C428"/>
          <cell r="D428"/>
          <cell r="E428"/>
          <cell r="G428"/>
          <cell r="M428"/>
          <cell r="N428"/>
          <cell r="R428"/>
        </row>
        <row r="429">
          <cell r="C429"/>
          <cell r="D429"/>
          <cell r="E429"/>
          <cell r="G429"/>
          <cell r="M429"/>
          <cell r="N429"/>
          <cell r="R429"/>
        </row>
        <row r="430">
          <cell r="C430"/>
          <cell r="D430"/>
          <cell r="E430"/>
          <cell r="G430"/>
          <cell r="M430"/>
          <cell r="N430"/>
          <cell r="R430"/>
        </row>
        <row r="431">
          <cell r="C431"/>
          <cell r="D431"/>
          <cell r="E431"/>
          <cell r="G431"/>
          <cell r="M431"/>
          <cell r="N431"/>
          <cell r="R431"/>
        </row>
        <row r="432">
          <cell r="C432"/>
          <cell r="D432"/>
          <cell r="E432"/>
          <cell r="G432"/>
          <cell r="M432"/>
          <cell r="N432"/>
          <cell r="R432"/>
        </row>
        <row r="433">
          <cell r="C433"/>
          <cell r="D433"/>
          <cell r="E433"/>
          <cell r="G433"/>
          <cell r="M433"/>
          <cell r="N433"/>
          <cell r="R433"/>
        </row>
        <row r="434">
          <cell r="C434"/>
          <cell r="D434"/>
          <cell r="E434"/>
          <cell r="G434"/>
          <cell r="M434"/>
          <cell r="N434"/>
          <cell r="R434"/>
        </row>
        <row r="435">
          <cell r="C435"/>
          <cell r="D435"/>
          <cell r="E435"/>
          <cell r="G435"/>
          <cell r="M435"/>
          <cell r="N435"/>
          <cell r="R435"/>
        </row>
        <row r="436">
          <cell r="C436"/>
          <cell r="D436"/>
          <cell r="E436"/>
          <cell r="G436"/>
          <cell r="M436"/>
          <cell r="N436"/>
          <cell r="R436"/>
        </row>
        <row r="437">
          <cell r="C437"/>
          <cell r="D437"/>
          <cell r="E437"/>
          <cell r="G437"/>
          <cell r="M437"/>
          <cell r="N437"/>
          <cell r="R437"/>
        </row>
        <row r="438">
          <cell r="C438"/>
          <cell r="D438"/>
          <cell r="E438"/>
          <cell r="G438"/>
          <cell r="M438"/>
          <cell r="N438"/>
          <cell r="R438"/>
        </row>
        <row r="439">
          <cell r="C439"/>
          <cell r="D439"/>
          <cell r="E439"/>
          <cell r="G439"/>
          <cell r="M439"/>
          <cell r="N439"/>
          <cell r="R439"/>
        </row>
        <row r="440">
          <cell r="C440"/>
          <cell r="D440"/>
          <cell r="E440"/>
          <cell r="G440"/>
          <cell r="M440"/>
          <cell r="N440"/>
          <cell r="R440"/>
        </row>
        <row r="441">
          <cell r="C441"/>
          <cell r="D441"/>
          <cell r="E441"/>
          <cell r="G441"/>
          <cell r="M441"/>
          <cell r="N441"/>
          <cell r="R441"/>
        </row>
        <row r="442">
          <cell r="C442"/>
          <cell r="D442"/>
          <cell r="E442"/>
          <cell r="G442"/>
          <cell r="M442"/>
          <cell r="N442"/>
          <cell r="R442"/>
        </row>
        <row r="443">
          <cell r="C443"/>
          <cell r="D443"/>
          <cell r="E443"/>
          <cell r="G443"/>
          <cell r="M443"/>
          <cell r="N443"/>
          <cell r="R443"/>
        </row>
        <row r="444">
          <cell r="C444"/>
          <cell r="D444"/>
          <cell r="E444"/>
          <cell r="G444"/>
          <cell r="M444"/>
          <cell r="N444"/>
          <cell r="R444"/>
        </row>
        <row r="445">
          <cell r="C445"/>
          <cell r="D445"/>
          <cell r="E445"/>
          <cell r="G445"/>
          <cell r="M445"/>
          <cell r="N445"/>
          <cell r="R445"/>
        </row>
        <row r="446">
          <cell r="C446"/>
          <cell r="D446"/>
          <cell r="E446"/>
          <cell r="G446"/>
          <cell r="M446"/>
          <cell r="N446"/>
          <cell r="R446"/>
        </row>
        <row r="447">
          <cell r="C447"/>
          <cell r="D447"/>
          <cell r="E447"/>
          <cell r="G447"/>
          <cell r="M447"/>
          <cell r="N447"/>
          <cell r="R447"/>
        </row>
        <row r="448">
          <cell r="C448"/>
          <cell r="D448"/>
          <cell r="E448"/>
          <cell r="G448"/>
          <cell r="M448"/>
          <cell r="N448"/>
          <cell r="R448"/>
        </row>
        <row r="449">
          <cell r="C449"/>
          <cell r="D449"/>
          <cell r="E449"/>
          <cell r="G449"/>
          <cell r="M449"/>
          <cell r="N449"/>
          <cell r="R449"/>
        </row>
        <row r="450">
          <cell r="C450"/>
          <cell r="D450"/>
          <cell r="E450"/>
          <cell r="G450"/>
          <cell r="M450"/>
          <cell r="N450"/>
          <cell r="R450"/>
        </row>
        <row r="451">
          <cell r="C451"/>
          <cell r="D451"/>
          <cell r="E451"/>
          <cell r="G451"/>
          <cell r="M451"/>
          <cell r="N451"/>
          <cell r="R451"/>
        </row>
        <row r="452">
          <cell r="C452"/>
          <cell r="D452"/>
          <cell r="E452"/>
          <cell r="G452"/>
          <cell r="M452"/>
          <cell r="N452"/>
          <cell r="R452"/>
        </row>
        <row r="453">
          <cell r="C453"/>
          <cell r="D453"/>
          <cell r="E453"/>
          <cell r="G453"/>
          <cell r="M453"/>
          <cell r="N453"/>
          <cell r="R453"/>
        </row>
        <row r="454">
          <cell r="C454"/>
          <cell r="D454"/>
          <cell r="E454"/>
          <cell r="G454"/>
          <cell r="M454"/>
          <cell r="N454"/>
          <cell r="R454"/>
        </row>
        <row r="455">
          <cell r="C455"/>
          <cell r="D455"/>
          <cell r="E455"/>
          <cell r="G455"/>
          <cell r="M455"/>
          <cell r="N455"/>
          <cell r="R455"/>
        </row>
        <row r="456">
          <cell r="C456"/>
          <cell r="D456"/>
          <cell r="E456"/>
          <cell r="G456"/>
          <cell r="M456"/>
          <cell r="N456"/>
          <cell r="R456"/>
        </row>
        <row r="457">
          <cell r="C457"/>
          <cell r="D457"/>
          <cell r="E457"/>
          <cell r="G457"/>
          <cell r="M457"/>
          <cell r="N457"/>
          <cell r="R457"/>
        </row>
        <row r="458">
          <cell r="C458"/>
          <cell r="D458"/>
          <cell r="E458"/>
          <cell r="G458"/>
          <cell r="M458"/>
          <cell r="N458"/>
          <cell r="R458"/>
        </row>
        <row r="459">
          <cell r="C459"/>
          <cell r="D459"/>
          <cell r="E459"/>
          <cell r="G459"/>
          <cell r="M459"/>
          <cell r="N459"/>
          <cell r="R459"/>
        </row>
        <row r="460">
          <cell r="C460"/>
          <cell r="D460"/>
          <cell r="E460"/>
          <cell r="G460"/>
          <cell r="M460"/>
          <cell r="N460"/>
          <cell r="R460"/>
        </row>
        <row r="461">
          <cell r="C461"/>
          <cell r="D461"/>
          <cell r="E461"/>
          <cell r="G461"/>
          <cell r="M461"/>
          <cell r="N461"/>
          <cell r="R461"/>
        </row>
        <row r="462">
          <cell r="C462"/>
          <cell r="D462"/>
          <cell r="E462"/>
          <cell r="G462"/>
          <cell r="M462"/>
          <cell r="N462"/>
          <cell r="R462"/>
        </row>
        <row r="463">
          <cell r="C463"/>
          <cell r="D463"/>
          <cell r="E463"/>
          <cell r="G463"/>
          <cell r="M463"/>
          <cell r="N463"/>
          <cell r="R463"/>
        </row>
        <row r="464">
          <cell r="C464"/>
          <cell r="D464"/>
          <cell r="E464"/>
          <cell r="G464"/>
          <cell r="M464"/>
          <cell r="N464"/>
          <cell r="R464"/>
        </row>
        <row r="465">
          <cell r="C465"/>
          <cell r="D465"/>
          <cell r="E465"/>
          <cell r="G465"/>
          <cell r="M465"/>
          <cell r="N465"/>
          <cell r="R465"/>
        </row>
        <row r="466">
          <cell r="C466"/>
          <cell r="D466"/>
          <cell r="E466"/>
          <cell r="G466"/>
          <cell r="M466"/>
          <cell r="N466"/>
          <cell r="R466"/>
        </row>
        <row r="467">
          <cell r="C467"/>
          <cell r="D467"/>
          <cell r="E467"/>
          <cell r="G467"/>
          <cell r="M467"/>
          <cell r="N467"/>
          <cell r="R467"/>
        </row>
        <row r="468">
          <cell r="C468"/>
          <cell r="D468"/>
          <cell r="E468"/>
          <cell r="G468"/>
          <cell r="M468"/>
          <cell r="N468"/>
          <cell r="R468"/>
        </row>
        <row r="469">
          <cell r="C469"/>
          <cell r="D469"/>
          <cell r="E469"/>
          <cell r="G469"/>
          <cell r="M469"/>
          <cell r="N469"/>
          <cell r="R469"/>
        </row>
        <row r="470">
          <cell r="C470"/>
          <cell r="D470"/>
          <cell r="E470"/>
          <cell r="G470"/>
          <cell r="M470"/>
          <cell r="N470"/>
          <cell r="R470"/>
        </row>
        <row r="471">
          <cell r="C471"/>
          <cell r="D471"/>
          <cell r="E471"/>
          <cell r="G471"/>
          <cell r="M471"/>
          <cell r="N471"/>
          <cell r="R471"/>
        </row>
        <row r="472">
          <cell r="C472"/>
          <cell r="D472"/>
          <cell r="E472"/>
          <cell r="G472"/>
          <cell r="M472"/>
          <cell r="N472"/>
          <cell r="R472"/>
        </row>
        <row r="473">
          <cell r="C473"/>
          <cell r="D473"/>
          <cell r="E473"/>
          <cell r="G473"/>
          <cell r="M473"/>
          <cell r="N473"/>
          <cell r="R473"/>
        </row>
        <row r="474">
          <cell r="C474"/>
          <cell r="D474"/>
          <cell r="E474"/>
          <cell r="G474"/>
          <cell r="M474"/>
          <cell r="N474"/>
          <cell r="R474"/>
        </row>
        <row r="475">
          <cell r="C475"/>
          <cell r="D475"/>
          <cell r="E475"/>
          <cell r="G475"/>
          <cell r="M475"/>
          <cell r="N475"/>
          <cell r="R475"/>
        </row>
        <row r="476">
          <cell r="C476"/>
          <cell r="D476"/>
          <cell r="E476"/>
          <cell r="G476"/>
          <cell r="M476"/>
          <cell r="N476"/>
          <cell r="R476"/>
        </row>
        <row r="477">
          <cell r="C477"/>
          <cell r="D477"/>
          <cell r="E477"/>
          <cell r="G477"/>
          <cell r="M477"/>
          <cell r="N477"/>
          <cell r="R477"/>
        </row>
        <row r="478">
          <cell r="C478"/>
          <cell r="D478"/>
          <cell r="E478"/>
          <cell r="G478"/>
          <cell r="M478"/>
          <cell r="N478"/>
          <cell r="R478"/>
        </row>
        <row r="479">
          <cell r="C479"/>
          <cell r="D479"/>
          <cell r="E479"/>
          <cell r="G479"/>
          <cell r="M479"/>
          <cell r="N479"/>
          <cell r="R479"/>
        </row>
        <row r="480">
          <cell r="C480"/>
          <cell r="D480"/>
          <cell r="E480"/>
          <cell r="G480"/>
          <cell r="M480"/>
          <cell r="N480"/>
          <cell r="R480"/>
        </row>
        <row r="481">
          <cell r="C481"/>
          <cell r="D481"/>
          <cell r="E481"/>
          <cell r="G481"/>
          <cell r="M481"/>
          <cell r="N481"/>
          <cell r="R481"/>
        </row>
        <row r="482">
          <cell r="C482"/>
          <cell r="D482"/>
          <cell r="E482"/>
          <cell r="G482"/>
          <cell r="M482"/>
          <cell r="N482"/>
          <cell r="R482"/>
        </row>
        <row r="483">
          <cell r="C483"/>
          <cell r="D483"/>
          <cell r="E483"/>
          <cell r="G483"/>
          <cell r="M483"/>
          <cell r="N483"/>
          <cell r="R483"/>
        </row>
        <row r="484">
          <cell r="C484"/>
          <cell r="D484"/>
          <cell r="E484"/>
          <cell r="G484"/>
          <cell r="M484"/>
          <cell r="N484"/>
          <cell r="R484"/>
        </row>
        <row r="485">
          <cell r="C485"/>
          <cell r="D485"/>
          <cell r="E485"/>
          <cell r="G485"/>
          <cell r="M485"/>
          <cell r="N485"/>
          <cell r="R485"/>
        </row>
        <row r="486">
          <cell r="C486"/>
          <cell r="D486"/>
          <cell r="E486"/>
          <cell r="G486"/>
          <cell r="M486"/>
          <cell r="N486"/>
          <cell r="R486"/>
        </row>
        <row r="487">
          <cell r="C487"/>
          <cell r="D487"/>
          <cell r="E487"/>
          <cell r="G487"/>
          <cell r="M487"/>
          <cell r="N487"/>
          <cell r="R487"/>
        </row>
        <row r="488">
          <cell r="C488"/>
          <cell r="D488"/>
          <cell r="E488"/>
          <cell r="G488"/>
          <cell r="M488"/>
          <cell r="N488"/>
          <cell r="R488"/>
        </row>
        <row r="489">
          <cell r="C489"/>
          <cell r="D489"/>
          <cell r="E489"/>
          <cell r="G489"/>
          <cell r="M489"/>
          <cell r="N489"/>
          <cell r="R489"/>
        </row>
        <row r="490">
          <cell r="C490"/>
          <cell r="D490"/>
          <cell r="E490"/>
          <cell r="G490"/>
          <cell r="M490"/>
          <cell r="N490"/>
          <cell r="R490"/>
        </row>
        <row r="491">
          <cell r="C491"/>
          <cell r="D491"/>
          <cell r="E491"/>
          <cell r="G491"/>
          <cell r="M491"/>
          <cell r="N491"/>
          <cell r="R491"/>
        </row>
        <row r="492">
          <cell r="C492"/>
          <cell r="D492"/>
          <cell r="E492"/>
          <cell r="G492"/>
          <cell r="M492"/>
          <cell r="N492"/>
          <cell r="R492"/>
        </row>
        <row r="493">
          <cell r="C493"/>
          <cell r="D493"/>
          <cell r="E493"/>
          <cell r="G493"/>
          <cell r="M493"/>
          <cell r="N493"/>
          <cell r="R493"/>
        </row>
        <row r="494">
          <cell r="C494"/>
          <cell r="D494"/>
          <cell r="E494"/>
          <cell r="G494"/>
          <cell r="M494"/>
          <cell r="N494"/>
          <cell r="R494"/>
        </row>
        <row r="495">
          <cell r="C495"/>
          <cell r="D495"/>
          <cell r="E495"/>
          <cell r="G495"/>
          <cell r="M495"/>
          <cell r="N495"/>
          <cell r="R495"/>
        </row>
        <row r="496">
          <cell r="C496"/>
          <cell r="D496"/>
          <cell r="E496"/>
          <cell r="G496"/>
          <cell r="M496"/>
          <cell r="N496"/>
          <cell r="R496"/>
        </row>
        <row r="497">
          <cell r="C497"/>
          <cell r="D497"/>
          <cell r="E497"/>
          <cell r="G497"/>
          <cell r="M497"/>
          <cell r="N497"/>
          <cell r="R497"/>
        </row>
        <row r="498">
          <cell r="C498"/>
          <cell r="D498"/>
          <cell r="E498"/>
          <cell r="G498"/>
          <cell r="M498"/>
          <cell r="N498"/>
          <cell r="R498"/>
        </row>
        <row r="499">
          <cell r="C499"/>
          <cell r="D499"/>
          <cell r="E499"/>
          <cell r="G499"/>
          <cell r="M499"/>
          <cell r="N499"/>
          <cell r="R499"/>
        </row>
        <row r="500">
          <cell r="C500"/>
          <cell r="D500"/>
          <cell r="E500"/>
          <cell r="G500"/>
          <cell r="M500"/>
          <cell r="N500"/>
          <cell r="R500"/>
        </row>
        <row r="501">
          <cell r="C501"/>
          <cell r="D501"/>
          <cell r="E501"/>
          <cell r="G501"/>
          <cell r="M501"/>
          <cell r="N501"/>
          <cell r="R501"/>
        </row>
        <row r="502">
          <cell r="C502"/>
          <cell r="D502"/>
          <cell r="E502"/>
          <cell r="G502"/>
          <cell r="M502"/>
          <cell r="N502"/>
          <cell r="R502"/>
        </row>
        <row r="503">
          <cell r="C503"/>
          <cell r="D503"/>
          <cell r="E503"/>
          <cell r="G503"/>
          <cell r="M503"/>
          <cell r="N503"/>
          <cell r="R503"/>
        </row>
        <row r="504">
          <cell r="C504"/>
          <cell r="D504"/>
          <cell r="E504"/>
          <cell r="G504"/>
          <cell r="M504"/>
          <cell r="N504"/>
          <cell r="R504"/>
        </row>
        <row r="505">
          <cell r="C505"/>
          <cell r="D505"/>
          <cell r="E505"/>
          <cell r="G505"/>
          <cell r="M505"/>
          <cell r="N505"/>
          <cell r="R505"/>
        </row>
        <row r="506">
          <cell r="C506"/>
          <cell r="D506"/>
          <cell r="E506"/>
          <cell r="G506"/>
          <cell r="M506"/>
          <cell r="N506"/>
          <cell r="R506"/>
        </row>
        <row r="507">
          <cell r="C507"/>
          <cell r="D507"/>
          <cell r="E507"/>
          <cell r="G507"/>
          <cell r="M507"/>
          <cell r="N507"/>
          <cell r="R507"/>
        </row>
        <row r="508">
          <cell r="C508"/>
          <cell r="D508"/>
          <cell r="E508"/>
          <cell r="G508"/>
          <cell r="M508"/>
          <cell r="N508"/>
          <cell r="R508"/>
        </row>
        <row r="509">
          <cell r="C509"/>
          <cell r="D509"/>
          <cell r="E509"/>
          <cell r="G509"/>
          <cell r="M509"/>
          <cell r="N509"/>
          <cell r="R509"/>
        </row>
        <row r="510">
          <cell r="C510"/>
          <cell r="D510"/>
          <cell r="E510"/>
          <cell r="G510"/>
          <cell r="M510"/>
          <cell r="N510"/>
          <cell r="R510"/>
        </row>
        <row r="511">
          <cell r="C511"/>
          <cell r="D511"/>
          <cell r="E511"/>
          <cell r="G511"/>
          <cell r="M511"/>
          <cell r="N511"/>
          <cell r="R511"/>
        </row>
        <row r="512">
          <cell r="C512"/>
          <cell r="D512"/>
          <cell r="E512"/>
          <cell r="G512"/>
          <cell r="M512"/>
          <cell r="N512"/>
          <cell r="R512"/>
        </row>
        <row r="513">
          <cell r="C513"/>
          <cell r="D513"/>
          <cell r="E513"/>
          <cell r="G513"/>
          <cell r="M513"/>
          <cell r="N513"/>
          <cell r="R513"/>
        </row>
        <row r="514">
          <cell r="C514"/>
          <cell r="D514"/>
          <cell r="E514"/>
          <cell r="G514"/>
          <cell r="M514"/>
          <cell r="N514"/>
          <cell r="R514"/>
        </row>
        <row r="515">
          <cell r="C515"/>
          <cell r="D515"/>
          <cell r="E515"/>
          <cell r="G515"/>
          <cell r="M515"/>
          <cell r="N515"/>
          <cell r="R515"/>
        </row>
        <row r="516">
          <cell r="C516"/>
          <cell r="D516"/>
          <cell r="E516"/>
          <cell r="G516"/>
          <cell r="M516"/>
          <cell r="N516"/>
          <cell r="R516"/>
        </row>
        <row r="517">
          <cell r="C517"/>
          <cell r="D517"/>
          <cell r="E517"/>
          <cell r="G517"/>
          <cell r="M517"/>
          <cell r="N517"/>
          <cell r="R517"/>
        </row>
        <row r="518">
          <cell r="C518"/>
          <cell r="D518"/>
          <cell r="E518"/>
          <cell r="G518"/>
          <cell r="M518"/>
          <cell r="N518"/>
          <cell r="R518"/>
        </row>
        <row r="519">
          <cell r="C519"/>
          <cell r="D519"/>
          <cell r="E519"/>
          <cell r="G519"/>
          <cell r="M519"/>
          <cell r="N519"/>
          <cell r="R519"/>
        </row>
        <row r="520">
          <cell r="C520"/>
          <cell r="D520"/>
          <cell r="E520"/>
          <cell r="G520"/>
          <cell r="M520"/>
          <cell r="N520"/>
          <cell r="R520"/>
        </row>
        <row r="521">
          <cell r="C521"/>
          <cell r="D521"/>
          <cell r="E521"/>
          <cell r="G521"/>
          <cell r="M521"/>
          <cell r="N521"/>
          <cell r="R521"/>
        </row>
        <row r="522">
          <cell r="C522"/>
          <cell r="D522"/>
          <cell r="E522"/>
          <cell r="G522"/>
          <cell r="M522"/>
          <cell r="N522"/>
          <cell r="R522"/>
        </row>
        <row r="523">
          <cell r="C523"/>
          <cell r="D523"/>
          <cell r="E523"/>
          <cell r="G523"/>
          <cell r="M523"/>
          <cell r="N523"/>
          <cell r="R523"/>
        </row>
        <row r="524">
          <cell r="C524"/>
          <cell r="D524"/>
          <cell r="E524"/>
          <cell r="G524"/>
          <cell r="M524"/>
          <cell r="N524"/>
          <cell r="R524"/>
        </row>
        <row r="525">
          <cell r="C525"/>
          <cell r="D525"/>
          <cell r="E525"/>
          <cell r="G525"/>
          <cell r="M525"/>
          <cell r="N525"/>
          <cell r="R525"/>
        </row>
        <row r="526">
          <cell r="C526"/>
          <cell r="D526"/>
          <cell r="E526"/>
          <cell r="G526"/>
          <cell r="M526"/>
          <cell r="N526"/>
          <cell r="R526"/>
        </row>
        <row r="527">
          <cell r="C527"/>
          <cell r="D527"/>
          <cell r="E527"/>
          <cell r="G527"/>
          <cell r="M527"/>
          <cell r="N527"/>
          <cell r="R527"/>
        </row>
        <row r="528">
          <cell r="C528"/>
          <cell r="D528"/>
          <cell r="E528"/>
          <cell r="G528"/>
          <cell r="M528"/>
          <cell r="N528"/>
          <cell r="R528"/>
        </row>
        <row r="529">
          <cell r="C529"/>
          <cell r="D529"/>
          <cell r="E529"/>
          <cell r="G529"/>
          <cell r="M529"/>
          <cell r="N529"/>
          <cell r="R529"/>
        </row>
        <row r="530">
          <cell r="C530"/>
          <cell r="D530"/>
          <cell r="E530"/>
          <cell r="G530"/>
          <cell r="M530"/>
          <cell r="N530"/>
          <cell r="R530"/>
        </row>
        <row r="531">
          <cell r="C531"/>
          <cell r="D531"/>
          <cell r="E531"/>
          <cell r="G531"/>
          <cell r="M531"/>
          <cell r="N531"/>
          <cell r="R531"/>
        </row>
        <row r="532">
          <cell r="C532"/>
          <cell r="D532"/>
          <cell r="E532"/>
          <cell r="G532"/>
          <cell r="M532"/>
          <cell r="N532"/>
          <cell r="R532"/>
        </row>
        <row r="533">
          <cell r="C533"/>
          <cell r="D533"/>
          <cell r="E533"/>
          <cell r="G533"/>
          <cell r="M533"/>
          <cell r="N533"/>
          <cell r="R533"/>
        </row>
        <row r="534">
          <cell r="C534"/>
          <cell r="D534"/>
          <cell r="E534"/>
          <cell r="G534"/>
          <cell r="M534"/>
          <cell r="N534"/>
          <cell r="R534"/>
        </row>
        <row r="535">
          <cell r="C535"/>
          <cell r="D535"/>
          <cell r="E535"/>
          <cell r="G535"/>
          <cell r="M535"/>
          <cell r="N535"/>
          <cell r="R535"/>
        </row>
        <row r="536">
          <cell r="C536"/>
          <cell r="D536"/>
          <cell r="E536"/>
          <cell r="G536"/>
          <cell r="M536"/>
          <cell r="N536"/>
          <cell r="R536"/>
        </row>
        <row r="537">
          <cell r="C537"/>
          <cell r="D537"/>
          <cell r="E537"/>
          <cell r="G537"/>
          <cell r="M537"/>
          <cell r="N537"/>
          <cell r="R537"/>
        </row>
        <row r="538">
          <cell r="C538"/>
          <cell r="D538"/>
          <cell r="E538"/>
          <cell r="G538"/>
          <cell r="M538"/>
          <cell r="N538"/>
          <cell r="R538"/>
        </row>
        <row r="539">
          <cell r="C539"/>
          <cell r="D539"/>
          <cell r="E539"/>
          <cell r="G539"/>
          <cell r="M539"/>
          <cell r="N539"/>
          <cell r="R539"/>
        </row>
        <row r="540">
          <cell r="C540"/>
          <cell r="D540"/>
          <cell r="E540"/>
          <cell r="G540"/>
          <cell r="M540"/>
          <cell r="N540"/>
          <cell r="R540"/>
        </row>
        <row r="541">
          <cell r="C541"/>
          <cell r="D541"/>
          <cell r="E541"/>
          <cell r="G541"/>
          <cell r="M541"/>
          <cell r="N541"/>
          <cell r="R541"/>
        </row>
        <row r="542">
          <cell r="C542"/>
          <cell r="D542"/>
          <cell r="E542"/>
          <cell r="G542"/>
          <cell r="M542"/>
          <cell r="N542"/>
          <cell r="R542"/>
        </row>
        <row r="543">
          <cell r="C543"/>
          <cell r="D543"/>
          <cell r="E543"/>
          <cell r="G543"/>
          <cell r="M543"/>
          <cell r="N543"/>
          <cell r="R543"/>
        </row>
        <row r="544">
          <cell r="C544"/>
          <cell r="D544"/>
          <cell r="E544"/>
          <cell r="G544"/>
          <cell r="M544"/>
          <cell r="N544"/>
          <cell r="R544"/>
        </row>
        <row r="545">
          <cell r="C545"/>
          <cell r="D545"/>
          <cell r="E545"/>
          <cell r="G545"/>
          <cell r="M545"/>
          <cell r="N545"/>
          <cell r="R545"/>
        </row>
        <row r="546">
          <cell r="C546"/>
          <cell r="D546"/>
          <cell r="E546"/>
          <cell r="G546"/>
          <cell r="M546"/>
          <cell r="N546"/>
          <cell r="R546"/>
        </row>
        <row r="547">
          <cell r="C547"/>
          <cell r="D547"/>
          <cell r="E547"/>
          <cell r="G547"/>
          <cell r="M547"/>
          <cell r="N547"/>
          <cell r="R547"/>
        </row>
        <row r="548">
          <cell r="C548"/>
          <cell r="D548"/>
          <cell r="E548"/>
          <cell r="G548"/>
          <cell r="M548"/>
          <cell r="N548"/>
          <cell r="R548"/>
        </row>
        <row r="549">
          <cell r="C549"/>
          <cell r="D549"/>
          <cell r="E549"/>
          <cell r="G549"/>
          <cell r="M549"/>
          <cell r="N549"/>
          <cell r="R549"/>
        </row>
        <row r="550">
          <cell r="C550"/>
          <cell r="D550"/>
          <cell r="E550"/>
          <cell r="G550"/>
          <cell r="M550"/>
          <cell r="N550"/>
          <cell r="R550"/>
        </row>
        <row r="551">
          <cell r="C551"/>
          <cell r="D551"/>
          <cell r="E551"/>
          <cell r="G551"/>
          <cell r="M551"/>
          <cell r="N551"/>
          <cell r="R551"/>
        </row>
        <row r="552">
          <cell r="C552"/>
          <cell r="D552"/>
          <cell r="E552"/>
          <cell r="G552"/>
          <cell r="M552"/>
          <cell r="N552"/>
          <cell r="R552"/>
        </row>
        <row r="553">
          <cell r="C553"/>
          <cell r="D553"/>
          <cell r="E553"/>
          <cell r="G553"/>
          <cell r="M553"/>
          <cell r="N553"/>
          <cell r="R553"/>
        </row>
        <row r="554">
          <cell r="C554"/>
          <cell r="D554"/>
          <cell r="E554"/>
          <cell r="G554"/>
          <cell r="M554"/>
          <cell r="N554"/>
          <cell r="R554"/>
        </row>
        <row r="555">
          <cell r="C555"/>
          <cell r="D555"/>
          <cell r="E555"/>
          <cell r="G555"/>
          <cell r="M555"/>
          <cell r="N555"/>
          <cell r="R555"/>
        </row>
        <row r="556">
          <cell r="C556"/>
          <cell r="D556"/>
          <cell r="E556"/>
          <cell r="G556"/>
          <cell r="M556"/>
          <cell r="N556"/>
          <cell r="R556"/>
        </row>
        <row r="557">
          <cell r="C557"/>
          <cell r="D557"/>
          <cell r="E557"/>
          <cell r="G557"/>
          <cell r="M557"/>
          <cell r="N557"/>
          <cell r="R557"/>
        </row>
        <row r="558">
          <cell r="C558"/>
          <cell r="D558"/>
          <cell r="E558"/>
          <cell r="G558"/>
          <cell r="M558"/>
          <cell r="N558"/>
          <cell r="R558"/>
        </row>
        <row r="559">
          <cell r="C559"/>
          <cell r="D559"/>
          <cell r="E559"/>
          <cell r="G559"/>
          <cell r="M559"/>
          <cell r="N559"/>
          <cell r="R559"/>
        </row>
        <row r="560">
          <cell r="C560"/>
          <cell r="D560"/>
          <cell r="E560"/>
          <cell r="G560"/>
          <cell r="M560"/>
          <cell r="N560"/>
          <cell r="R560"/>
        </row>
        <row r="561">
          <cell r="C561"/>
          <cell r="D561"/>
          <cell r="E561"/>
          <cell r="G561"/>
          <cell r="M561"/>
          <cell r="N561"/>
          <cell r="R561"/>
        </row>
        <row r="562">
          <cell r="C562"/>
          <cell r="D562"/>
          <cell r="E562"/>
          <cell r="G562"/>
          <cell r="M562"/>
          <cell r="N562"/>
          <cell r="R562"/>
        </row>
        <row r="563">
          <cell r="C563"/>
          <cell r="D563"/>
          <cell r="E563"/>
          <cell r="G563"/>
          <cell r="M563"/>
          <cell r="N563"/>
          <cell r="R563"/>
        </row>
        <row r="564">
          <cell r="C564"/>
          <cell r="D564"/>
          <cell r="E564"/>
          <cell r="G564"/>
          <cell r="M564"/>
          <cell r="N564"/>
          <cell r="R564"/>
        </row>
        <row r="565">
          <cell r="C565"/>
          <cell r="D565"/>
          <cell r="E565"/>
          <cell r="G565"/>
          <cell r="M565"/>
          <cell r="N565"/>
          <cell r="R565"/>
        </row>
        <row r="566">
          <cell r="C566"/>
          <cell r="D566"/>
          <cell r="E566"/>
          <cell r="G566"/>
          <cell r="M566"/>
          <cell r="N566"/>
          <cell r="R566"/>
        </row>
        <row r="567">
          <cell r="C567"/>
          <cell r="D567"/>
          <cell r="E567"/>
          <cell r="G567"/>
          <cell r="M567"/>
          <cell r="N567"/>
          <cell r="R567"/>
        </row>
        <row r="568">
          <cell r="C568"/>
          <cell r="D568"/>
          <cell r="E568"/>
          <cell r="G568"/>
          <cell r="M568"/>
          <cell r="N568"/>
          <cell r="R568"/>
        </row>
        <row r="569">
          <cell r="C569"/>
          <cell r="D569"/>
          <cell r="E569"/>
          <cell r="G569"/>
          <cell r="M569"/>
          <cell r="N569"/>
          <cell r="R569"/>
        </row>
        <row r="570">
          <cell r="C570"/>
          <cell r="D570"/>
          <cell r="E570"/>
          <cell r="G570"/>
          <cell r="M570"/>
          <cell r="N570"/>
          <cell r="R570"/>
        </row>
        <row r="571">
          <cell r="C571"/>
          <cell r="D571"/>
          <cell r="E571"/>
          <cell r="G571"/>
          <cell r="M571"/>
          <cell r="N571"/>
          <cell r="R571"/>
        </row>
        <row r="572">
          <cell r="C572"/>
          <cell r="D572"/>
          <cell r="E572"/>
          <cell r="G572"/>
          <cell r="M572"/>
          <cell r="N572"/>
          <cell r="R572"/>
        </row>
        <row r="573">
          <cell r="C573"/>
          <cell r="D573"/>
          <cell r="E573"/>
          <cell r="G573"/>
          <cell r="M573"/>
          <cell r="N573"/>
          <cell r="R573"/>
        </row>
        <row r="574">
          <cell r="C574"/>
          <cell r="D574"/>
          <cell r="E574"/>
          <cell r="G574"/>
          <cell r="M574"/>
          <cell r="N574"/>
          <cell r="R574"/>
        </row>
        <row r="575">
          <cell r="C575"/>
          <cell r="D575"/>
          <cell r="E575"/>
          <cell r="G575"/>
          <cell r="M575"/>
          <cell r="N575"/>
          <cell r="R575"/>
        </row>
        <row r="576">
          <cell r="C576"/>
          <cell r="D576"/>
          <cell r="E576"/>
          <cell r="G576"/>
          <cell r="M576"/>
          <cell r="N576"/>
          <cell r="R576"/>
        </row>
        <row r="577">
          <cell r="C577"/>
          <cell r="D577"/>
          <cell r="E577"/>
          <cell r="G577"/>
          <cell r="M577"/>
          <cell r="N577"/>
          <cell r="R577"/>
        </row>
        <row r="578">
          <cell r="C578"/>
          <cell r="D578"/>
          <cell r="E578"/>
          <cell r="G578"/>
          <cell r="M578"/>
          <cell r="N578"/>
          <cell r="R578"/>
        </row>
        <row r="579">
          <cell r="C579"/>
          <cell r="D579"/>
          <cell r="E579"/>
          <cell r="G579"/>
          <cell r="M579"/>
          <cell r="N579"/>
          <cell r="R579"/>
        </row>
        <row r="580">
          <cell r="C580"/>
          <cell r="D580"/>
          <cell r="E580"/>
          <cell r="G580"/>
          <cell r="M580"/>
          <cell r="N580"/>
          <cell r="R580"/>
        </row>
        <row r="581">
          <cell r="C581"/>
          <cell r="D581"/>
          <cell r="E581"/>
          <cell r="G581"/>
          <cell r="M581"/>
          <cell r="N581"/>
          <cell r="R581"/>
        </row>
        <row r="582">
          <cell r="C582"/>
          <cell r="D582"/>
          <cell r="E582"/>
          <cell r="G582"/>
          <cell r="M582"/>
          <cell r="N582"/>
          <cell r="R582"/>
        </row>
        <row r="583">
          <cell r="C583"/>
          <cell r="D583"/>
          <cell r="E583"/>
          <cell r="G583"/>
          <cell r="M583"/>
          <cell r="N583"/>
          <cell r="R583"/>
        </row>
        <row r="584">
          <cell r="C584"/>
          <cell r="D584"/>
          <cell r="E584"/>
          <cell r="G584"/>
          <cell r="M584"/>
          <cell r="N584"/>
          <cell r="R584"/>
        </row>
        <row r="585">
          <cell r="C585"/>
          <cell r="D585"/>
          <cell r="E585"/>
          <cell r="G585"/>
          <cell r="M585"/>
          <cell r="N585"/>
          <cell r="R585"/>
        </row>
        <row r="586">
          <cell r="C586"/>
          <cell r="D586"/>
          <cell r="E586"/>
          <cell r="G586"/>
          <cell r="M586"/>
          <cell r="N586"/>
          <cell r="R586"/>
        </row>
        <row r="587">
          <cell r="C587"/>
          <cell r="D587"/>
          <cell r="E587"/>
          <cell r="G587"/>
          <cell r="M587"/>
          <cell r="N587"/>
          <cell r="R587"/>
        </row>
        <row r="588">
          <cell r="C588"/>
          <cell r="D588"/>
          <cell r="E588"/>
          <cell r="G588"/>
          <cell r="M588"/>
          <cell r="N588"/>
          <cell r="R588"/>
        </row>
        <row r="589">
          <cell r="C589"/>
          <cell r="D589"/>
          <cell r="E589"/>
          <cell r="G589"/>
          <cell r="M589"/>
          <cell r="N589"/>
          <cell r="R589"/>
        </row>
        <row r="590">
          <cell r="C590"/>
          <cell r="D590"/>
          <cell r="E590"/>
          <cell r="G590"/>
          <cell r="M590"/>
          <cell r="N590"/>
          <cell r="R590"/>
        </row>
        <row r="591">
          <cell r="C591"/>
          <cell r="D591"/>
          <cell r="E591"/>
          <cell r="G591"/>
          <cell r="M591"/>
          <cell r="N591"/>
          <cell r="R591"/>
        </row>
        <row r="592">
          <cell r="C592"/>
          <cell r="D592"/>
          <cell r="E592"/>
          <cell r="G592"/>
          <cell r="M592"/>
          <cell r="N592"/>
          <cell r="R592"/>
        </row>
        <row r="593">
          <cell r="C593"/>
          <cell r="D593"/>
          <cell r="E593"/>
          <cell r="G593"/>
          <cell r="M593"/>
          <cell r="N593"/>
          <cell r="R593"/>
        </row>
        <row r="594">
          <cell r="C594"/>
          <cell r="D594"/>
          <cell r="E594"/>
          <cell r="G594"/>
          <cell r="M594"/>
          <cell r="N594"/>
          <cell r="R594"/>
        </row>
        <row r="595">
          <cell r="C595"/>
          <cell r="D595"/>
          <cell r="E595"/>
          <cell r="G595"/>
          <cell r="M595"/>
          <cell r="N595"/>
          <cell r="R595"/>
        </row>
        <row r="596">
          <cell r="C596"/>
          <cell r="D596"/>
          <cell r="E596"/>
          <cell r="G596"/>
          <cell r="M596"/>
          <cell r="N596"/>
          <cell r="R596"/>
        </row>
        <row r="597">
          <cell r="C597"/>
          <cell r="D597"/>
          <cell r="E597"/>
          <cell r="G597"/>
          <cell r="M597"/>
          <cell r="N597"/>
          <cell r="R597"/>
        </row>
        <row r="598">
          <cell r="C598"/>
          <cell r="D598"/>
          <cell r="E598"/>
          <cell r="G598"/>
          <cell r="M598"/>
          <cell r="N598"/>
          <cell r="R598"/>
        </row>
        <row r="599">
          <cell r="C599"/>
          <cell r="D599"/>
          <cell r="E599"/>
          <cell r="G599"/>
          <cell r="M599"/>
          <cell r="N599"/>
          <cell r="R599"/>
        </row>
        <row r="600">
          <cell r="C600"/>
          <cell r="D600"/>
          <cell r="E600"/>
          <cell r="G600"/>
          <cell r="M600"/>
          <cell r="N600"/>
          <cell r="R600"/>
        </row>
        <row r="601">
          <cell r="C601"/>
          <cell r="D601"/>
          <cell r="E601"/>
          <cell r="G601"/>
          <cell r="M601"/>
          <cell r="N601"/>
          <cell r="R601"/>
        </row>
        <row r="602">
          <cell r="C602"/>
          <cell r="D602"/>
          <cell r="E602"/>
          <cell r="G602"/>
          <cell r="M602"/>
          <cell r="N602"/>
          <cell r="R602"/>
        </row>
        <row r="603">
          <cell r="C603"/>
          <cell r="D603"/>
          <cell r="E603"/>
          <cell r="G603"/>
          <cell r="M603"/>
          <cell r="N603"/>
          <cell r="R603"/>
        </row>
        <row r="604">
          <cell r="C604"/>
          <cell r="D604"/>
          <cell r="E604"/>
          <cell r="G604"/>
          <cell r="M604"/>
          <cell r="N604"/>
          <cell r="R604"/>
        </row>
        <row r="605">
          <cell r="C605"/>
          <cell r="D605"/>
          <cell r="E605"/>
          <cell r="G605"/>
          <cell r="M605"/>
          <cell r="N605"/>
          <cell r="R605"/>
        </row>
        <row r="606">
          <cell r="C606"/>
          <cell r="D606"/>
          <cell r="E606"/>
          <cell r="G606"/>
          <cell r="M606"/>
          <cell r="N606"/>
          <cell r="R606"/>
        </row>
        <row r="607">
          <cell r="C607"/>
          <cell r="D607"/>
          <cell r="E607"/>
          <cell r="G607"/>
          <cell r="M607"/>
          <cell r="N607"/>
          <cell r="R607"/>
        </row>
        <row r="608">
          <cell r="C608"/>
          <cell r="D608"/>
          <cell r="E608"/>
          <cell r="G608"/>
          <cell r="M608"/>
          <cell r="N608"/>
          <cell r="R608"/>
        </row>
        <row r="609">
          <cell r="C609"/>
          <cell r="D609"/>
          <cell r="E609"/>
          <cell r="G609"/>
          <cell r="M609"/>
          <cell r="N609"/>
          <cell r="R609"/>
        </row>
        <row r="610">
          <cell r="C610"/>
          <cell r="D610"/>
          <cell r="E610"/>
          <cell r="G610"/>
          <cell r="M610"/>
          <cell r="N610"/>
          <cell r="R610"/>
        </row>
        <row r="611">
          <cell r="C611"/>
          <cell r="D611"/>
          <cell r="E611"/>
          <cell r="G611"/>
          <cell r="M611"/>
          <cell r="N611"/>
          <cell r="R611"/>
        </row>
        <row r="612">
          <cell r="C612"/>
          <cell r="D612"/>
          <cell r="E612"/>
          <cell r="G612"/>
          <cell r="M612"/>
          <cell r="N612"/>
          <cell r="R612"/>
        </row>
        <row r="613">
          <cell r="C613"/>
          <cell r="D613"/>
          <cell r="E613"/>
          <cell r="G613"/>
          <cell r="M613"/>
          <cell r="N613"/>
          <cell r="R613"/>
        </row>
        <row r="614">
          <cell r="C614"/>
          <cell r="D614"/>
          <cell r="E614"/>
          <cell r="G614"/>
          <cell r="M614"/>
          <cell r="N614"/>
          <cell r="R614"/>
        </row>
        <row r="615">
          <cell r="C615"/>
          <cell r="D615"/>
          <cell r="E615"/>
          <cell r="G615"/>
          <cell r="M615"/>
          <cell r="N615"/>
          <cell r="R615"/>
        </row>
        <row r="616">
          <cell r="C616"/>
          <cell r="D616"/>
          <cell r="E616"/>
          <cell r="G616"/>
          <cell r="M616"/>
          <cell r="N616"/>
          <cell r="R616"/>
        </row>
        <row r="617">
          <cell r="C617"/>
          <cell r="D617"/>
          <cell r="E617"/>
          <cell r="G617"/>
          <cell r="M617"/>
          <cell r="N617"/>
          <cell r="R617"/>
        </row>
        <row r="618">
          <cell r="C618"/>
          <cell r="D618"/>
          <cell r="E618"/>
          <cell r="G618"/>
          <cell r="M618"/>
          <cell r="N618"/>
          <cell r="R618"/>
        </row>
        <row r="619">
          <cell r="C619"/>
          <cell r="D619"/>
          <cell r="E619"/>
          <cell r="G619"/>
          <cell r="M619"/>
          <cell r="N619"/>
          <cell r="R619"/>
        </row>
        <row r="620">
          <cell r="C620"/>
          <cell r="D620"/>
          <cell r="E620"/>
          <cell r="G620"/>
          <cell r="M620"/>
          <cell r="N620"/>
          <cell r="R620"/>
        </row>
        <row r="621">
          <cell r="C621"/>
          <cell r="D621"/>
          <cell r="E621"/>
          <cell r="G621"/>
          <cell r="M621"/>
          <cell r="N621"/>
          <cell r="R621"/>
        </row>
        <row r="622">
          <cell r="C622"/>
          <cell r="D622"/>
          <cell r="E622"/>
          <cell r="G622"/>
          <cell r="M622"/>
          <cell r="N622"/>
          <cell r="R622"/>
        </row>
        <row r="623">
          <cell r="C623"/>
          <cell r="D623"/>
          <cell r="E623"/>
          <cell r="G623"/>
          <cell r="M623"/>
          <cell r="N623"/>
          <cell r="R623"/>
        </row>
        <row r="624">
          <cell r="C624"/>
          <cell r="D624"/>
          <cell r="E624"/>
          <cell r="G624"/>
          <cell r="M624"/>
          <cell r="N624"/>
          <cell r="R624"/>
        </row>
        <row r="625">
          <cell r="C625"/>
          <cell r="D625"/>
          <cell r="E625"/>
          <cell r="G625"/>
          <cell r="M625"/>
          <cell r="N625"/>
          <cell r="R625"/>
        </row>
        <row r="626">
          <cell r="C626"/>
          <cell r="D626"/>
          <cell r="E626"/>
          <cell r="G626"/>
          <cell r="M626"/>
          <cell r="N626"/>
          <cell r="R626"/>
        </row>
        <row r="627">
          <cell r="C627"/>
          <cell r="D627"/>
          <cell r="E627"/>
          <cell r="G627"/>
          <cell r="M627"/>
          <cell r="N627"/>
          <cell r="R627"/>
        </row>
        <row r="628">
          <cell r="C628"/>
          <cell r="D628"/>
          <cell r="E628"/>
          <cell r="G628"/>
          <cell r="M628"/>
          <cell r="N628"/>
          <cell r="R628"/>
        </row>
        <row r="629">
          <cell r="C629"/>
          <cell r="D629"/>
          <cell r="E629"/>
          <cell r="G629"/>
          <cell r="M629"/>
          <cell r="N629"/>
          <cell r="R629"/>
        </row>
        <row r="630">
          <cell r="C630"/>
          <cell r="D630"/>
          <cell r="E630"/>
          <cell r="G630"/>
          <cell r="M630"/>
          <cell r="N630"/>
          <cell r="R630"/>
        </row>
        <row r="631">
          <cell r="C631"/>
          <cell r="D631"/>
          <cell r="E631"/>
          <cell r="G631"/>
          <cell r="M631"/>
          <cell r="N631"/>
          <cell r="R631"/>
        </row>
        <row r="632">
          <cell r="C632"/>
          <cell r="D632"/>
          <cell r="E632"/>
          <cell r="G632"/>
          <cell r="M632"/>
          <cell r="N632"/>
          <cell r="R632"/>
        </row>
        <row r="633">
          <cell r="C633"/>
          <cell r="D633"/>
          <cell r="E633"/>
          <cell r="G633"/>
          <cell r="M633"/>
          <cell r="N633"/>
          <cell r="R633"/>
        </row>
        <row r="634">
          <cell r="C634"/>
          <cell r="D634"/>
          <cell r="E634"/>
          <cell r="G634"/>
          <cell r="M634"/>
          <cell r="N634"/>
          <cell r="R634"/>
        </row>
        <row r="635">
          <cell r="C635"/>
          <cell r="D635"/>
          <cell r="E635"/>
          <cell r="G635"/>
          <cell r="M635"/>
          <cell r="N635"/>
          <cell r="R635"/>
        </row>
        <row r="636">
          <cell r="C636"/>
          <cell r="D636"/>
          <cell r="E636"/>
          <cell r="G636"/>
          <cell r="M636"/>
          <cell r="N636"/>
          <cell r="R636"/>
        </row>
        <row r="637">
          <cell r="C637"/>
          <cell r="D637"/>
          <cell r="E637"/>
          <cell r="G637"/>
          <cell r="M637"/>
          <cell r="N637"/>
          <cell r="R637"/>
        </row>
        <row r="638">
          <cell r="C638"/>
          <cell r="D638"/>
          <cell r="E638"/>
          <cell r="G638"/>
          <cell r="M638"/>
          <cell r="N638"/>
          <cell r="R638"/>
        </row>
        <row r="639">
          <cell r="C639"/>
          <cell r="D639"/>
          <cell r="E639"/>
          <cell r="G639"/>
          <cell r="M639"/>
          <cell r="N639"/>
          <cell r="R639"/>
        </row>
        <row r="640">
          <cell r="C640"/>
          <cell r="D640"/>
          <cell r="E640"/>
          <cell r="G640"/>
          <cell r="M640"/>
          <cell r="N640"/>
          <cell r="R640"/>
        </row>
        <row r="641">
          <cell r="C641"/>
          <cell r="D641"/>
          <cell r="E641"/>
          <cell r="G641"/>
          <cell r="M641"/>
          <cell r="N641"/>
          <cell r="R641"/>
        </row>
        <row r="642">
          <cell r="C642"/>
          <cell r="D642"/>
          <cell r="E642"/>
          <cell r="G642"/>
          <cell r="M642"/>
          <cell r="N642"/>
          <cell r="R642"/>
        </row>
        <row r="643">
          <cell r="C643"/>
          <cell r="D643"/>
          <cell r="E643"/>
          <cell r="G643"/>
          <cell r="M643"/>
          <cell r="N643"/>
          <cell r="R643"/>
        </row>
        <row r="644">
          <cell r="C644"/>
          <cell r="D644"/>
          <cell r="E644"/>
          <cell r="G644"/>
          <cell r="M644"/>
          <cell r="N644"/>
          <cell r="R644"/>
        </row>
        <row r="645">
          <cell r="C645"/>
          <cell r="D645"/>
          <cell r="E645"/>
          <cell r="G645"/>
          <cell r="M645"/>
          <cell r="N645"/>
          <cell r="R645"/>
        </row>
        <row r="646">
          <cell r="C646"/>
          <cell r="D646"/>
          <cell r="E646"/>
          <cell r="G646"/>
          <cell r="M646"/>
          <cell r="N646"/>
          <cell r="R646"/>
        </row>
        <row r="647">
          <cell r="C647"/>
          <cell r="D647"/>
          <cell r="E647"/>
          <cell r="G647"/>
          <cell r="M647"/>
          <cell r="N647"/>
          <cell r="R647"/>
        </row>
        <row r="648">
          <cell r="C648"/>
          <cell r="D648"/>
          <cell r="E648"/>
          <cell r="G648"/>
          <cell r="M648"/>
          <cell r="N648"/>
          <cell r="R648"/>
        </row>
        <row r="649">
          <cell r="C649"/>
          <cell r="D649"/>
          <cell r="E649"/>
          <cell r="G649"/>
          <cell r="M649"/>
          <cell r="N649"/>
          <cell r="R649"/>
        </row>
        <row r="650">
          <cell r="C650"/>
          <cell r="D650"/>
          <cell r="E650"/>
          <cell r="G650"/>
          <cell r="M650"/>
          <cell r="N650"/>
          <cell r="R650"/>
        </row>
        <row r="651">
          <cell r="C651"/>
          <cell r="D651"/>
          <cell r="E651"/>
          <cell r="G651"/>
          <cell r="M651"/>
          <cell r="N651"/>
          <cell r="R651"/>
        </row>
        <row r="652">
          <cell r="C652"/>
          <cell r="D652"/>
          <cell r="E652"/>
          <cell r="G652"/>
          <cell r="M652"/>
          <cell r="N652"/>
          <cell r="R652"/>
        </row>
        <row r="653">
          <cell r="C653"/>
          <cell r="D653"/>
          <cell r="E653"/>
          <cell r="G653"/>
          <cell r="M653"/>
          <cell r="N653"/>
          <cell r="R653"/>
        </row>
        <row r="654">
          <cell r="C654"/>
          <cell r="D654"/>
          <cell r="E654"/>
          <cell r="G654"/>
          <cell r="M654"/>
          <cell r="N654"/>
          <cell r="R654"/>
        </row>
        <row r="655">
          <cell r="C655"/>
          <cell r="D655"/>
          <cell r="E655"/>
          <cell r="G655"/>
          <cell r="M655"/>
          <cell r="N655"/>
          <cell r="R655"/>
        </row>
        <row r="656">
          <cell r="C656"/>
          <cell r="D656"/>
          <cell r="E656"/>
          <cell r="G656"/>
          <cell r="M656"/>
          <cell r="N656"/>
          <cell r="R656"/>
        </row>
        <row r="657">
          <cell r="C657"/>
          <cell r="D657"/>
          <cell r="E657"/>
          <cell r="G657"/>
          <cell r="M657"/>
          <cell r="N657"/>
          <cell r="R657"/>
        </row>
        <row r="658">
          <cell r="C658"/>
          <cell r="D658"/>
          <cell r="E658"/>
          <cell r="G658"/>
          <cell r="M658"/>
          <cell r="N658"/>
          <cell r="R658"/>
        </row>
        <row r="659">
          <cell r="C659"/>
          <cell r="D659"/>
          <cell r="E659"/>
          <cell r="G659"/>
          <cell r="M659"/>
          <cell r="N659"/>
          <cell r="R659"/>
        </row>
        <row r="660">
          <cell r="C660"/>
          <cell r="D660"/>
          <cell r="E660"/>
          <cell r="G660"/>
          <cell r="M660"/>
          <cell r="N660"/>
          <cell r="R660"/>
        </row>
        <row r="661">
          <cell r="C661"/>
          <cell r="D661"/>
          <cell r="E661"/>
          <cell r="G661"/>
          <cell r="M661"/>
          <cell r="N661"/>
          <cell r="R661"/>
        </row>
        <row r="662">
          <cell r="C662"/>
          <cell r="D662"/>
          <cell r="E662"/>
          <cell r="G662"/>
          <cell r="M662"/>
          <cell r="N662"/>
          <cell r="R662"/>
        </row>
        <row r="663">
          <cell r="C663"/>
          <cell r="D663"/>
          <cell r="E663"/>
          <cell r="G663"/>
          <cell r="M663"/>
          <cell r="N663"/>
          <cell r="R663"/>
        </row>
        <row r="664">
          <cell r="C664"/>
          <cell r="D664"/>
          <cell r="E664"/>
          <cell r="G664"/>
          <cell r="M664"/>
          <cell r="N664"/>
          <cell r="R664"/>
        </row>
        <row r="665">
          <cell r="C665"/>
          <cell r="D665"/>
          <cell r="E665"/>
          <cell r="G665"/>
          <cell r="M665"/>
          <cell r="N665"/>
          <cell r="R665"/>
        </row>
        <row r="666">
          <cell r="C666"/>
          <cell r="D666"/>
          <cell r="E666"/>
          <cell r="G666"/>
          <cell r="M666"/>
          <cell r="N666"/>
          <cell r="R666"/>
        </row>
        <row r="667">
          <cell r="C667"/>
          <cell r="D667"/>
          <cell r="E667"/>
          <cell r="G667"/>
          <cell r="M667"/>
          <cell r="N667"/>
          <cell r="R667"/>
        </row>
        <row r="668">
          <cell r="C668"/>
          <cell r="D668"/>
          <cell r="E668"/>
          <cell r="G668"/>
          <cell r="M668"/>
          <cell r="N668"/>
          <cell r="R668"/>
        </row>
        <row r="669">
          <cell r="C669"/>
          <cell r="D669"/>
          <cell r="E669"/>
          <cell r="G669"/>
          <cell r="M669"/>
          <cell r="N669"/>
          <cell r="R669"/>
        </row>
        <row r="670">
          <cell r="C670"/>
          <cell r="D670"/>
          <cell r="E670"/>
          <cell r="G670"/>
          <cell r="M670"/>
          <cell r="N670"/>
          <cell r="R670"/>
        </row>
        <row r="671">
          <cell r="C671"/>
          <cell r="D671"/>
          <cell r="E671"/>
          <cell r="G671"/>
          <cell r="M671"/>
          <cell r="N671"/>
          <cell r="R671"/>
        </row>
        <row r="672">
          <cell r="C672"/>
          <cell r="D672"/>
          <cell r="E672"/>
          <cell r="G672"/>
          <cell r="M672"/>
          <cell r="N672"/>
          <cell r="R672"/>
        </row>
        <row r="673">
          <cell r="C673"/>
          <cell r="D673"/>
          <cell r="E673"/>
          <cell r="G673"/>
          <cell r="M673"/>
          <cell r="N673"/>
          <cell r="R673"/>
        </row>
        <row r="674">
          <cell r="C674"/>
          <cell r="D674"/>
          <cell r="E674"/>
          <cell r="G674"/>
          <cell r="M674"/>
          <cell r="N674"/>
          <cell r="R674"/>
        </row>
        <row r="675">
          <cell r="C675"/>
          <cell r="D675"/>
          <cell r="E675"/>
          <cell r="G675"/>
          <cell r="M675"/>
          <cell r="N675"/>
          <cell r="R675"/>
        </row>
        <row r="676">
          <cell r="C676"/>
          <cell r="D676"/>
          <cell r="E676"/>
          <cell r="G676"/>
          <cell r="M676"/>
          <cell r="N676"/>
          <cell r="R676"/>
        </row>
        <row r="677">
          <cell r="C677"/>
          <cell r="D677"/>
          <cell r="E677"/>
          <cell r="G677"/>
          <cell r="M677"/>
          <cell r="N677"/>
          <cell r="R677"/>
        </row>
        <row r="678">
          <cell r="C678"/>
          <cell r="D678"/>
          <cell r="E678"/>
          <cell r="G678"/>
          <cell r="M678"/>
          <cell r="N678"/>
          <cell r="R678"/>
        </row>
        <row r="679">
          <cell r="C679"/>
          <cell r="D679"/>
          <cell r="E679"/>
          <cell r="G679"/>
          <cell r="M679"/>
          <cell r="N679"/>
          <cell r="R679"/>
        </row>
        <row r="680">
          <cell r="C680"/>
          <cell r="D680"/>
          <cell r="E680"/>
          <cell r="G680"/>
          <cell r="M680"/>
          <cell r="N680"/>
          <cell r="R680"/>
        </row>
        <row r="681">
          <cell r="C681"/>
          <cell r="D681"/>
          <cell r="E681"/>
          <cell r="G681"/>
          <cell r="M681"/>
          <cell r="N681"/>
          <cell r="R681"/>
        </row>
        <row r="682">
          <cell r="C682"/>
          <cell r="D682"/>
          <cell r="E682"/>
          <cell r="G682"/>
          <cell r="M682"/>
          <cell r="N682"/>
          <cell r="R682"/>
        </row>
        <row r="683">
          <cell r="C683"/>
          <cell r="D683"/>
          <cell r="E683"/>
          <cell r="G683"/>
          <cell r="M683"/>
          <cell r="N683"/>
          <cell r="R683"/>
        </row>
        <row r="684">
          <cell r="C684"/>
          <cell r="D684"/>
          <cell r="E684"/>
          <cell r="G684"/>
          <cell r="M684"/>
          <cell r="N684"/>
          <cell r="R684"/>
        </row>
        <row r="685">
          <cell r="C685"/>
          <cell r="D685"/>
          <cell r="E685"/>
          <cell r="G685"/>
          <cell r="M685"/>
          <cell r="N685"/>
          <cell r="R685"/>
        </row>
        <row r="686">
          <cell r="C686"/>
          <cell r="D686"/>
          <cell r="E686"/>
          <cell r="G686"/>
          <cell r="M686"/>
          <cell r="N686"/>
          <cell r="R686"/>
        </row>
        <row r="687">
          <cell r="C687"/>
          <cell r="D687"/>
          <cell r="E687"/>
          <cell r="G687"/>
          <cell r="M687"/>
          <cell r="N687"/>
          <cell r="R687"/>
        </row>
        <row r="688">
          <cell r="C688"/>
          <cell r="D688"/>
          <cell r="E688"/>
          <cell r="G688"/>
          <cell r="M688"/>
          <cell r="N688"/>
          <cell r="R688"/>
        </row>
        <row r="689">
          <cell r="C689"/>
          <cell r="D689"/>
          <cell r="E689"/>
          <cell r="G689"/>
          <cell r="M689"/>
          <cell r="N689"/>
          <cell r="R689"/>
        </row>
        <row r="690">
          <cell r="C690"/>
          <cell r="D690"/>
          <cell r="E690"/>
          <cell r="G690"/>
          <cell r="M690"/>
          <cell r="N690"/>
          <cell r="R690"/>
        </row>
        <row r="691">
          <cell r="C691"/>
          <cell r="D691"/>
          <cell r="E691"/>
          <cell r="G691"/>
          <cell r="M691"/>
          <cell r="N691"/>
          <cell r="R691"/>
        </row>
        <row r="692">
          <cell r="C692"/>
          <cell r="D692"/>
          <cell r="E692"/>
          <cell r="G692"/>
          <cell r="M692"/>
          <cell r="N692"/>
          <cell r="R692"/>
        </row>
        <row r="693">
          <cell r="C693"/>
          <cell r="D693"/>
          <cell r="E693"/>
          <cell r="G693"/>
          <cell r="M693"/>
          <cell r="N693"/>
          <cell r="R693"/>
        </row>
        <row r="694">
          <cell r="C694"/>
          <cell r="D694"/>
          <cell r="E694"/>
          <cell r="G694"/>
          <cell r="M694"/>
          <cell r="N694"/>
          <cell r="R694"/>
        </row>
        <row r="695">
          <cell r="C695"/>
          <cell r="D695"/>
          <cell r="E695"/>
          <cell r="G695"/>
          <cell r="M695"/>
          <cell r="N695"/>
          <cell r="R695"/>
        </row>
        <row r="696">
          <cell r="C696"/>
          <cell r="D696"/>
          <cell r="E696"/>
          <cell r="G696"/>
          <cell r="M696"/>
          <cell r="N696"/>
          <cell r="R696"/>
        </row>
        <row r="697">
          <cell r="C697"/>
          <cell r="D697"/>
          <cell r="E697"/>
          <cell r="G697"/>
          <cell r="M697"/>
          <cell r="N697"/>
          <cell r="R697"/>
        </row>
        <row r="698">
          <cell r="C698"/>
          <cell r="D698"/>
          <cell r="E698"/>
          <cell r="G698"/>
          <cell r="M698"/>
          <cell r="N698"/>
          <cell r="R698"/>
        </row>
        <row r="699">
          <cell r="C699"/>
          <cell r="D699"/>
          <cell r="E699"/>
          <cell r="G699"/>
          <cell r="M699"/>
          <cell r="N699"/>
          <cell r="R699"/>
        </row>
        <row r="700">
          <cell r="C700"/>
          <cell r="D700"/>
          <cell r="E700"/>
          <cell r="G700"/>
          <cell r="M700"/>
          <cell r="N700"/>
          <cell r="R700"/>
        </row>
        <row r="701">
          <cell r="C701"/>
          <cell r="D701"/>
          <cell r="E701"/>
          <cell r="G701"/>
          <cell r="M701"/>
          <cell r="N701"/>
          <cell r="R701"/>
        </row>
        <row r="702">
          <cell r="C702"/>
          <cell r="D702"/>
          <cell r="E702"/>
          <cell r="G702"/>
          <cell r="M702"/>
          <cell r="N702"/>
          <cell r="R702"/>
        </row>
        <row r="703">
          <cell r="C703"/>
          <cell r="D703"/>
          <cell r="E703"/>
          <cell r="G703"/>
          <cell r="M703"/>
          <cell r="N703"/>
          <cell r="R703"/>
        </row>
        <row r="704">
          <cell r="C704"/>
          <cell r="D704"/>
          <cell r="E704"/>
          <cell r="G704"/>
          <cell r="M704"/>
          <cell r="N704"/>
          <cell r="R704"/>
        </row>
        <row r="705">
          <cell r="C705"/>
          <cell r="D705"/>
          <cell r="E705"/>
          <cell r="G705"/>
          <cell r="M705"/>
          <cell r="N705"/>
          <cell r="R705"/>
        </row>
        <row r="706">
          <cell r="C706"/>
          <cell r="D706"/>
          <cell r="E706"/>
          <cell r="G706"/>
          <cell r="M706"/>
          <cell r="N706"/>
          <cell r="R706"/>
        </row>
        <row r="707">
          <cell r="C707"/>
          <cell r="D707"/>
          <cell r="E707"/>
          <cell r="G707"/>
          <cell r="M707"/>
          <cell r="N707"/>
          <cell r="R707"/>
        </row>
        <row r="708">
          <cell r="C708"/>
          <cell r="D708"/>
          <cell r="E708"/>
          <cell r="G708"/>
          <cell r="M708"/>
          <cell r="N708"/>
          <cell r="R708"/>
        </row>
        <row r="709">
          <cell r="C709"/>
          <cell r="D709"/>
          <cell r="E709"/>
          <cell r="G709"/>
          <cell r="M709"/>
          <cell r="N709"/>
          <cell r="R709"/>
        </row>
        <row r="710">
          <cell r="C710"/>
          <cell r="D710"/>
          <cell r="E710"/>
          <cell r="G710"/>
          <cell r="M710"/>
          <cell r="N710"/>
          <cell r="R710"/>
        </row>
        <row r="711">
          <cell r="C711"/>
          <cell r="D711"/>
          <cell r="E711"/>
          <cell r="G711"/>
          <cell r="M711"/>
          <cell r="N711"/>
          <cell r="R711"/>
        </row>
        <row r="712">
          <cell r="C712"/>
          <cell r="D712"/>
          <cell r="E712"/>
          <cell r="G712"/>
          <cell r="M712"/>
          <cell r="N712"/>
          <cell r="R712"/>
        </row>
        <row r="713">
          <cell r="C713"/>
          <cell r="D713"/>
          <cell r="E713"/>
          <cell r="G713"/>
          <cell r="M713"/>
          <cell r="N713"/>
          <cell r="R713"/>
        </row>
        <row r="714">
          <cell r="C714"/>
          <cell r="D714"/>
          <cell r="E714"/>
          <cell r="G714"/>
          <cell r="M714"/>
          <cell r="N714"/>
          <cell r="R714"/>
        </row>
        <row r="715">
          <cell r="C715"/>
          <cell r="D715"/>
          <cell r="E715"/>
          <cell r="G715"/>
          <cell r="M715"/>
          <cell r="N715"/>
          <cell r="R715"/>
        </row>
        <row r="716">
          <cell r="C716"/>
          <cell r="D716"/>
          <cell r="E716"/>
          <cell r="G716"/>
          <cell r="M716"/>
          <cell r="N716"/>
          <cell r="R716"/>
        </row>
        <row r="717">
          <cell r="C717"/>
          <cell r="D717"/>
          <cell r="E717"/>
          <cell r="G717"/>
          <cell r="M717"/>
          <cell r="N717"/>
          <cell r="R717"/>
        </row>
        <row r="718">
          <cell r="C718"/>
          <cell r="D718"/>
          <cell r="E718"/>
          <cell r="G718"/>
          <cell r="M718"/>
          <cell r="N718"/>
          <cell r="R718"/>
        </row>
        <row r="719">
          <cell r="C719"/>
          <cell r="D719"/>
          <cell r="E719"/>
          <cell r="G719"/>
          <cell r="M719"/>
          <cell r="N719"/>
          <cell r="R719"/>
        </row>
        <row r="720">
          <cell r="C720"/>
          <cell r="D720"/>
          <cell r="E720"/>
          <cell r="G720"/>
          <cell r="M720"/>
          <cell r="N720"/>
          <cell r="R720"/>
        </row>
        <row r="721">
          <cell r="C721"/>
          <cell r="D721"/>
          <cell r="E721"/>
          <cell r="G721"/>
          <cell r="M721"/>
          <cell r="N721"/>
          <cell r="R721"/>
        </row>
        <row r="722">
          <cell r="C722"/>
          <cell r="D722"/>
          <cell r="E722"/>
          <cell r="G722"/>
          <cell r="M722"/>
          <cell r="N722"/>
          <cell r="R722"/>
        </row>
        <row r="723">
          <cell r="C723"/>
          <cell r="D723"/>
          <cell r="E723"/>
          <cell r="G723"/>
          <cell r="M723"/>
          <cell r="N723"/>
          <cell r="R723"/>
        </row>
        <row r="724">
          <cell r="C724"/>
          <cell r="D724"/>
          <cell r="E724"/>
          <cell r="G724"/>
          <cell r="M724"/>
          <cell r="N724"/>
          <cell r="R724"/>
        </row>
        <row r="725">
          <cell r="C725"/>
          <cell r="D725"/>
          <cell r="E725"/>
          <cell r="G725"/>
          <cell r="M725"/>
          <cell r="N725"/>
          <cell r="R725"/>
        </row>
        <row r="726">
          <cell r="C726"/>
          <cell r="D726"/>
          <cell r="E726"/>
          <cell r="G726"/>
          <cell r="M726"/>
          <cell r="N726"/>
          <cell r="R726"/>
        </row>
        <row r="727">
          <cell r="C727"/>
          <cell r="D727"/>
          <cell r="E727"/>
          <cell r="G727"/>
          <cell r="M727"/>
          <cell r="N727"/>
          <cell r="R727"/>
        </row>
        <row r="728">
          <cell r="C728"/>
          <cell r="D728"/>
          <cell r="E728"/>
          <cell r="G728"/>
          <cell r="M728"/>
          <cell r="N728"/>
          <cell r="R728"/>
        </row>
        <row r="729">
          <cell r="C729"/>
          <cell r="D729"/>
          <cell r="E729"/>
          <cell r="G729"/>
          <cell r="M729"/>
          <cell r="N729"/>
          <cell r="R729"/>
        </row>
        <row r="730">
          <cell r="C730"/>
          <cell r="D730"/>
          <cell r="E730"/>
          <cell r="G730"/>
          <cell r="M730"/>
          <cell r="N730"/>
          <cell r="R730"/>
        </row>
        <row r="731">
          <cell r="C731"/>
          <cell r="D731"/>
          <cell r="E731"/>
          <cell r="G731"/>
          <cell r="M731"/>
          <cell r="N731"/>
          <cell r="R731"/>
        </row>
        <row r="732">
          <cell r="C732"/>
          <cell r="D732"/>
          <cell r="E732"/>
          <cell r="G732"/>
          <cell r="M732"/>
          <cell r="N732"/>
          <cell r="R732"/>
        </row>
        <row r="733">
          <cell r="C733"/>
          <cell r="D733"/>
          <cell r="E733"/>
          <cell r="G733"/>
          <cell r="M733"/>
          <cell r="N733"/>
          <cell r="R733"/>
        </row>
        <row r="734">
          <cell r="C734"/>
          <cell r="D734"/>
          <cell r="E734"/>
          <cell r="G734"/>
          <cell r="M734"/>
          <cell r="N734"/>
          <cell r="R734"/>
        </row>
        <row r="735">
          <cell r="C735"/>
          <cell r="D735"/>
          <cell r="E735"/>
          <cell r="G735"/>
          <cell r="M735"/>
          <cell r="N735"/>
          <cell r="R735"/>
        </row>
        <row r="736">
          <cell r="C736"/>
          <cell r="D736"/>
          <cell r="E736"/>
          <cell r="G736"/>
          <cell r="M736"/>
          <cell r="N736"/>
          <cell r="R736"/>
        </row>
        <row r="737">
          <cell r="C737"/>
          <cell r="D737"/>
          <cell r="E737"/>
          <cell r="G737"/>
          <cell r="M737"/>
          <cell r="N737"/>
          <cell r="R737"/>
        </row>
        <row r="738">
          <cell r="C738"/>
          <cell r="D738"/>
          <cell r="E738"/>
          <cell r="G738"/>
          <cell r="M738"/>
          <cell r="N738"/>
          <cell r="R738"/>
        </row>
        <row r="739">
          <cell r="C739"/>
          <cell r="D739"/>
          <cell r="E739"/>
          <cell r="G739"/>
          <cell r="M739"/>
          <cell r="N739"/>
          <cell r="R739"/>
        </row>
        <row r="740">
          <cell r="C740"/>
          <cell r="D740"/>
          <cell r="E740"/>
          <cell r="G740"/>
          <cell r="M740"/>
          <cell r="N740"/>
          <cell r="R740"/>
        </row>
        <row r="741">
          <cell r="C741"/>
          <cell r="D741"/>
          <cell r="E741"/>
          <cell r="G741"/>
          <cell r="M741"/>
          <cell r="N741"/>
          <cell r="R741"/>
        </row>
        <row r="742">
          <cell r="C742"/>
          <cell r="D742"/>
          <cell r="E742"/>
          <cell r="G742"/>
          <cell r="M742"/>
          <cell r="N742"/>
          <cell r="R742"/>
        </row>
        <row r="743">
          <cell r="C743"/>
          <cell r="D743"/>
          <cell r="E743"/>
          <cell r="G743"/>
          <cell r="M743"/>
          <cell r="N743"/>
          <cell r="R743"/>
        </row>
        <row r="744">
          <cell r="C744"/>
          <cell r="D744"/>
          <cell r="E744"/>
          <cell r="G744"/>
          <cell r="M744"/>
          <cell r="N744"/>
          <cell r="R744"/>
        </row>
        <row r="745">
          <cell r="C745"/>
          <cell r="D745"/>
          <cell r="E745"/>
          <cell r="G745"/>
          <cell r="M745"/>
          <cell r="N745"/>
          <cell r="R745"/>
        </row>
        <row r="746">
          <cell r="C746"/>
          <cell r="D746"/>
          <cell r="E746"/>
          <cell r="G746"/>
          <cell r="M746"/>
          <cell r="N746"/>
          <cell r="R746"/>
        </row>
        <row r="747">
          <cell r="C747"/>
          <cell r="D747"/>
          <cell r="E747"/>
          <cell r="G747"/>
          <cell r="M747"/>
          <cell r="N747"/>
          <cell r="R747"/>
        </row>
        <row r="748">
          <cell r="C748"/>
          <cell r="D748"/>
          <cell r="E748"/>
          <cell r="G748"/>
          <cell r="M748"/>
          <cell r="N748"/>
          <cell r="R748"/>
        </row>
        <row r="749">
          <cell r="C749"/>
          <cell r="D749"/>
          <cell r="E749"/>
          <cell r="G749"/>
          <cell r="M749"/>
          <cell r="N749"/>
          <cell r="R749"/>
        </row>
        <row r="750">
          <cell r="C750"/>
          <cell r="D750"/>
          <cell r="E750"/>
          <cell r="G750"/>
          <cell r="M750"/>
          <cell r="N750"/>
          <cell r="R750"/>
        </row>
        <row r="751">
          <cell r="C751"/>
          <cell r="D751"/>
          <cell r="E751"/>
          <cell r="G751"/>
          <cell r="M751"/>
          <cell r="N751"/>
          <cell r="R751"/>
        </row>
        <row r="752">
          <cell r="C752"/>
          <cell r="D752"/>
          <cell r="E752"/>
          <cell r="G752"/>
          <cell r="M752"/>
          <cell r="N752"/>
          <cell r="R752"/>
        </row>
        <row r="753">
          <cell r="C753"/>
          <cell r="D753"/>
          <cell r="E753"/>
          <cell r="G753"/>
          <cell r="M753"/>
          <cell r="N753"/>
          <cell r="R753"/>
        </row>
        <row r="754">
          <cell r="C754"/>
          <cell r="D754"/>
          <cell r="E754"/>
          <cell r="G754"/>
          <cell r="M754"/>
          <cell r="N754"/>
          <cell r="R754"/>
        </row>
        <row r="755">
          <cell r="C755"/>
          <cell r="D755"/>
          <cell r="E755"/>
          <cell r="G755"/>
          <cell r="M755"/>
          <cell r="N755"/>
          <cell r="R755"/>
        </row>
        <row r="756">
          <cell r="C756"/>
          <cell r="D756"/>
          <cell r="E756"/>
          <cell r="G756"/>
          <cell r="M756"/>
          <cell r="N756"/>
          <cell r="R756"/>
        </row>
        <row r="757">
          <cell r="C757"/>
          <cell r="D757"/>
          <cell r="E757"/>
          <cell r="G757"/>
          <cell r="M757"/>
          <cell r="N757"/>
          <cell r="R757"/>
        </row>
        <row r="758">
          <cell r="C758"/>
          <cell r="D758"/>
          <cell r="E758"/>
          <cell r="G758"/>
          <cell r="M758"/>
          <cell r="N758"/>
          <cell r="R758"/>
        </row>
        <row r="759">
          <cell r="C759"/>
          <cell r="D759"/>
          <cell r="E759"/>
          <cell r="G759"/>
          <cell r="M759"/>
          <cell r="N759"/>
          <cell r="R759"/>
        </row>
        <row r="760">
          <cell r="C760"/>
          <cell r="D760"/>
          <cell r="E760"/>
          <cell r="G760"/>
          <cell r="M760"/>
          <cell r="N760"/>
          <cell r="R760"/>
        </row>
        <row r="761">
          <cell r="C761"/>
          <cell r="D761"/>
          <cell r="E761"/>
          <cell r="G761"/>
          <cell r="M761"/>
          <cell r="N761"/>
          <cell r="R761"/>
        </row>
        <row r="762">
          <cell r="C762"/>
          <cell r="D762"/>
          <cell r="E762"/>
          <cell r="G762"/>
          <cell r="M762"/>
          <cell r="N762"/>
          <cell r="R762"/>
        </row>
        <row r="763">
          <cell r="C763"/>
          <cell r="D763"/>
          <cell r="E763"/>
          <cell r="G763"/>
          <cell r="M763"/>
          <cell r="N763"/>
          <cell r="R763"/>
        </row>
        <row r="764">
          <cell r="C764"/>
          <cell r="D764"/>
          <cell r="E764"/>
          <cell r="G764"/>
          <cell r="M764"/>
          <cell r="N764"/>
          <cell r="R764"/>
        </row>
        <row r="765">
          <cell r="C765"/>
          <cell r="D765"/>
          <cell r="E765"/>
          <cell r="G765"/>
          <cell r="M765"/>
          <cell r="N765"/>
          <cell r="R765"/>
        </row>
        <row r="766">
          <cell r="C766"/>
          <cell r="D766"/>
          <cell r="E766"/>
          <cell r="G766"/>
          <cell r="M766"/>
          <cell r="N766"/>
          <cell r="R766"/>
        </row>
        <row r="767">
          <cell r="C767"/>
          <cell r="D767"/>
          <cell r="E767"/>
          <cell r="G767"/>
          <cell r="M767"/>
          <cell r="N767"/>
          <cell r="R767"/>
        </row>
        <row r="768">
          <cell r="C768"/>
          <cell r="D768"/>
          <cell r="E768"/>
          <cell r="G768"/>
          <cell r="M768"/>
          <cell r="N768"/>
          <cell r="R768"/>
        </row>
        <row r="769">
          <cell r="C769"/>
          <cell r="D769"/>
          <cell r="E769"/>
          <cell r="G769"/>
          <cell r="M769"/>
          <cell r="N769"/>
          <cell r="R769"/>
        </row>
        <row r="770">
          <cell r="C770"/>
          <cell r="D770"/>
          <cell r="E770"/>
          <cell r="G770"/>
          <cell r="M770"/>
          <cell r="N770"/>
          <cell r="R770"/>
        </row>
        <row r="771">
          <cell r="C771"/>
          <cell r="D771"/>
          <cell r="E771"/>
          <cell r="G771"/>
          <cell r="M771"/>
          <cell r="N771"/>
          <cell r="R771"/>
        </row>
        <row r="772">
          <cell r="C772"/>
          <cell r="D772"/>
          <cell r="E772"/>
          <cell r="G772"/>
          <cell r="M772"/>
          <cell r="N772"/>
          <cell r="R772"/>
        </row>
        <row r="773">
          <cell r="C773"/>
          <cell r="D773"/>
          <cell r="E773"/>
          <cell r="G773"/>
          <cell r="M773"/>
          <cell r="N773"/>
          <cell r="R773"/>
        </row>
        <row r="774">
          <cell r="C774"/>
          <cell r="D774"/>
          <cell r="E774"/>
          <cell r="G774"/>
          <cell r="M774"/>
          <cell r="N774"/>
          <cell r="R774"/>
        </row>
        <row r="775">
          <cell r="C775"/>
          <cell r="D775"/>
          <cell r="E775"/>
          <cell r="G775"/>
          <cell r="M775"/>
          <cell r="N775"/>
          <cell r="R775"/>
        </row>
        <row r="776">
          <cell r="C776"/>
          <cell r="D776"/>
          <cell r="E776"/>
          <cell r="G776"/>
          <cell r="M776"/>
          <cell r="N776"/>
          <cell r="R776"/>
        </row>
        <row r="777">
          <cell r="C777"/>
          <cell r="D777"/>
          <cell r="E777"/>
          <cell r="G777"/>
          <cell r="M777"/>
          <cell r="N777"/>
          <cell r="R777"/>
        </row>
        <row r="778">
          <cell r="C778"/>
          <cell r="D778"/>
          <cell r="E778"/>
          <cell r="G778"/>
          <cell r="M778"/>
          <cell r="N778"/>
          <cell r="R778"/>
        </row>
        <row r="779">
          <cell r="C779"/>
          <cell r="D779"/>
          <cell r="E779"/>
          <cell r="G779"/>
          <cell r="M779"/>
          <cell r="N779"/>
          <cell r="R779"/>
        </row>
        <row r="780">
          <cell r="C780"/>
          <cell r="D780"/>
          <cell r="E780"/>
          <cell r="G780"/>
          <cell r="M780"/>
          <cell r="N780"/>
          <cell r="R780"/>
        </row>
        <row r="781">
          <cell r="C781"/>
          <cell r="D781"/>
          <cell r="E781"/>
          <cell r="G781"/>
          <cell r="M781"/>
          <cell r="N781"/>
          <cell r="R781"/>
        </row>
        <row r="782">
          <cell r="C782"/>
          <cell r="D782"/>
          <cell r="E782"/>
          <cell r="G782"/>
          <cell r="M782"/>
          <cell r="N782"/>
          <cell r="R782"/>
        </row>
        <row r="783">
          <cell r="C783"/>
          <cell r="D783"/>
          <cell r="E783"/>
          <cell r="G783"/>
          <cell r="M783"/>
          <cell r="N783"/>
          <cell r="R783"/>
        </row>
        <row r="784">
          <cell r="C784"/>
          <cell r="D784"/>
          <cell r="E784"/>
          <cell r="G784"/>
          <cell r="M784"/>
          <cell r="N784"/>
          <cell r="R784"/>
        </row>
        <row r="785">
          <cell r="C785"/>
          <cell r="D785"/>
          <cell r="E785"/>
          <cell r="G785"/>
          <cell r="M785"/>
          <cell r="N785"/>
          <cell r="R785"/>
        </row>
        <row r="786">
          <cell r="C786"/>
          <cell r="D786"/>
          <cell r="E786"/>
          <cell r="G786"/>
          <cell r="M786"/>
          <cell r="N786"/>
          <cell r="R786"/>
        </row>
        <row r="787">
          <cell r="C787"/>
          <cell r="D787"/>
          <cell r="E787"/>
          <cell r="G787"/>
          <cell r="M787"/>
          <cell r="N787"/>
          <cell r="R787"/>
        </row>
        <row r="788">
          <cell r="C788"/>
          <cell r="D788"/>
          <cell r="E788"/>
          <cell r="G788"/>
          <cell r="M788"/>
          <cell r="N788"/>
          <cell r="R788"/>
        </row>
        <row r="789">
          <cell r="C789"/>
          <cell r="D789"/>
          <cell r="E789"/>
          <cell r="G789"/>
          <cell r="M789"/>
          <cell r="N789"/>
          <cell r="R789"/>
        </row>
        <row r="790">
          <cell r="C790"/>
          <cell r="D790"/>
          <cell r="E790"/>
          <cell r="G790"/>
          <cell r="M790"/>
          <cell r="N790"/>
          <cell r="R790"/>
        </row>
        <row r="791">
          <cell r="C791"/>
          <cell r="D791"/>
          <cell r="E791"/>
          <cell r="G791"/>
          <cell r="M791"/>
          <cell r="N791"/>
          <cell r="R791"/>
        </row>
        <row r="792">
          <cell r="C792"/>
          <cell r="D792"/>
          <cell r="E792"/>
          <cell r="G792"/>
          <cell r="M792"/>
          <cell r="N792"/>
          <cell r="R792"/>
        </row>
        <row r="793">
          <cell r="C793"/>
          <cell r="D793"/>
          <cell r="E793"/>
          <cell r="G793"/>
          <cell r="M793"/>
          <cell r="N793"/>
          <cell r="R793"/>
        </row>
        <row r="794">
          <cell r="C794"/>
          <cell r="D794"/>
          <cell r="E794"/>
          <cell r="G794"/>
          <cell r="M794"/>
          <cell r="N794"/>
          <cell r="R794"/>
        </row>
        <row r="795">
          <cell r="C795"/>
          <cell r="D795"/>
          <cell r="E795"/>
          <cell r="G795"/>
          <cell r="M795"/>
          <cell r="N795"/>
          <cell r="R795"/>
        </row>
        <row r="796">
          <cell r="C796"/>
          <cell r="D796"/>
          <cell r="E796"/>
          <cell r="G796"/>
          <cell r="M796"/>
          <cell r="N796"/>
          <cell r="R796"/>
        </row>
        <row r="797">
          <cell r="C797"/>
          <cell r="D797"/>
          <cell r="E797"/>
          <cell r="G797"/>
          <cell r="M797"/>
          <cell r="N797"/>
          <cell r="R797"/>
        </row>
        <row r="798">
          <cell r="C798"/>
          <cell r="D798"/>
          <cell r="E798"/>
          <cell r="G798"/>
          <cell r="M798"/>
          <cell r="N798"/>
          <cell r="R798"/>
        </row>
        <row r="799">
          <cell r="C799"/>
          <cell r="D799"/>
          <cell r="E799"/>
          <cell r="G799"/>
          <cell r="M799"/>
          <cell r="N799"/>
          <cell r="R799"/>
        </row>
        <row r="800">
          <cell r="C800"/>
          <cell r="D800"/>
          <cell r="E800"/>
          <cell r="G800"/>
          <cell r="M800"/>
          <cell r="N800"/>
          <cell r="R800"/>
        </row>
        <row r="801">
          <cell r="C801"/>
          <cell r="D801"/>
          <cell r="E801"/>
          <cell r="G801"/>
          <cell r="M801"/>
          <cell r="N801"/>
          <cell r="R801"/>
        </row>
        <row r="802">
          <cell r="C802"/>
          <cell r="D802"/>
          <cell r="E802"/>
          <cell r="G802"/>
          <cell r="M802"/>
          <cell r="N802"/>
          <cell r="R802"/>
        </row>
        <row r="803">
          <cell r="C803"/>
          <cell r="D803"/>
          <cell r="E803"/>
          <cell r="G803"/>
          <cell r="M803"/>
          <cell r="N803"/>
          <cell r="R803"/>
        </row>
        <row r="804">
          <cell r="C804"/>
          <cell r="D804"/>
          <cell r="E804"/>
          <cell r="G804"/>
          <cell r="M804"/>
          <cell r="N804"/>
          <cell r="R804"/>
        </row>
        <row r="805">
          <cell r="C805"/>
          <cell r="D805"/>
          <cell r="E805"/>
          <cell r="G805"/>
          <cell r="M805"/>
          <cell r="N805"/>
          <cell r="R805"/>
        </row>
        <row r="806">
          <cell r="C806"/>
          <cell r="D806"/>
          <cell r="E806"/>
          <cell r="G806"/>
          <cell r="M806"/>
          <cell r="N806"/>
          <cell r="R806"/>
        </row>
        <row r="807">
          <cell r="C807"/>
          <cell r="D807"/>
          <cell r="E807"/>
          <cell r="G807"/>
          <cell r="M807"/>
          <cell r="N807"/>
          <cell r="R807"/>
        </row>
        <row r="808">
          <cell r="C808"/>
          <cell r="D808"/>
          <cell r="E808"/>
          <cell r="G808"/>
          <cell r="M808"/>
          <cell r="N808"/>
          <cell r="R808"/>
        </row>
        <row r="809">
          <cell r="C809"/>
          <cell r="D809"/>
          <cell r="E809"/>
          <cell r="G809"/>
          <cell r="M809"/>
          <cell r="N809"/>
          <cell r="R809"/>
        </row>
        <row r="810">
          <cell r="C810"/>
          <cell r="D810"/>
          <cell r="E810"/>
          <cell r="G810"/>
          <cell r="M810"/>
          <cell r="N810"/>
          <cell r="R810"/>
        </row>
        <row r="811">
          <cell r="C811"/>
          <cell r="D811"/>
          <cell r="E811"/>
          <cell r="G811"/>
          <cell r="M811"/>
          <cell r="N811"/>
          <cell r="R811"/>
        </row>
        <row r="812">
          <cell r="C812"/>
          <cell r="D812"/>
          <cell r="E812"/>
          <cell r="G812"/>
          <cell r="M812"/>
          <cell r="N812"/>
          <cell r="R812"/>
        </row>
        <row r="813">
          <cell r="C813"/>
          <cell r="D813"/>
          <cell r="E813"/>
          <cell r="G813"/>
          <cell r="M813"/>
          <cell r="N813"/>
          <cell r="R813"/>
        </row>
        <row r="814">
          <cell r="C814"/>
          <cell r="D814"/>
          <cell r="E814"/>
          <cell r="G814"/>
          <cell r="M814"/>
          <cell r="N814"/>
          <cell r="R814"/>
        </row>
        <row r="815">
          <cell r="C815"/>
          <cell r="D815"/>
          <cell r="E815"/>
          <cell r="G815"/>
          <cell r="M815"/>
          <cell r="N815"/>
          <cell r="R815"/>
        </row>
        <row r="816">
          <cell r="C816"/>
          <cell r="D816"/>
          <cell r="E816"/>
          <cell r="G816"/>
          <cell r="M816"/>
          <cell r="N816"/>
          <cell r="R816"/>
        </row>
        <row r="817">
          <cell r="C817"/>
          <cell r="D817"/>
          <cell r="E817"/>
          <cell r="G817"/>
          <cell r="M817"/>
          <cell r="N817"/>
          <cell r="R817"/>
        </row>
        <row r="818">
          <cell r="C818"/>
          <cell r="D818"/>
          <cell r="E818"/>
          <cell r="G818"/>
          <cell r="M818"/>
          <cell r="N818"/>
          <cell r="R818"/>
        </row>
        <row r="819">
          <cell r="C819"/>
          <cell r="D819"/>
          <cell r="E819"/>
          <cell r="G819"/>
          <cell r="M819"/>
          <cell r="N819"/>
          <cell r="R819"/>
        </row>
        <row r="820">
          <cell r="C820"/>
          <cell r="D820"/>
          <cell r="E820"/>
          <cell r="G820"/>
          <cell r="M820"/>
          <cell r="N820"/>
          <cell r="R820"/>
        </row>
        <row r="821">
          <cell r="C821"/>
          <cell r="D821"/>
          <cell r="E821"/>
          <cell r="G821"/>
          <cell r="M821"/>
          <cell r="N821"/>
          <cell r="R821"/>
        </row>
        <row r="822">
          <cell r="C822"/>
          <cell r="D822"/>
          <cell r="E822"/>
          <cell r="G822"/>
          <cell r="M822"/>
          <cell r="N822"/>
          <cell r="R822"/>
        </row>
        <row r="823">
          <cell r="C823"/>
          <cell r="D823"/>
          <cell r="E823"/>
          <cell r="G823"/>
          <cell r="M823"/>
          <cell r="N823"/>
          <cell r="R823"/>
        </row>
        <row r="824">
          <cell r="C824"/>
          <cell r="D824"/>
          <cell r="E824"/>
          <cell r="G824"/>
          <cell r="M824"/>
          <cell r="N824"/>
          <cell r="R824"/>
        </row>
        <row r="825">
          <cell r="C825"/>
          <cell r="D825"/>
          <cell r="E825"/>
          <cell r="G825"/>
          <cell r="M825"/>
          <cell r="N825"/>
          <cell r="R825"/>
        </row>
        <row r="826">
          <cell r="C826"/>
          <cell r="D826"/>
          <cell r="E826"/>
          <cell r="G826"/>
          <cell r="M826"/>
          <cell r="N826"/>
          <cell r="R826"/>
        </row>
        <row r="827">
          <cell r="C827"/>
          <cell r="D827"/>
          <cell r="E827"/>
          <cell r="G827"/>
          <cell r="M827"/>
          <cell r="N827"/>
          <cell r="R827"/>
        </row>
        <row r="828">
          <cell r="C828"/>
          <cell r="D828"/>
          <cell r="E828"/>
          <cell r="G828"/>
          <cell r="M828"/>
          <cell r="N828"/>
          <cell r="R828"/>
        </row>
        <row r="829">
          <cell r="C829"/>
          <cell r="D829"/>
          <cell r="E829"/>
          <cell r="G829"/>
          <cell r="M829"/>
          <cell r="N829"/>
          <cell r="R829"/>
        </row>
        <row r="830">
          <cell r="C830"/>
          <cell r="D830"/>
          <cell r="E830"/>
          <cell r="G830"/>
          <cell r="M830"/>
          <cell r="N830"/>
          <cell r="R830"/>
        </row>
        <row r="831">
          <cell r="C831"/>
          <cell r="D831"/>
          <cell r="E831"/>
          <cell r="G831"/>
          <cell r="M831"/>
          <cell r="N831"/>
          <cell r="R831"/>
        </row>
        <row r="832">
          <cell r="C832"/>
          <cell r="D832"/>
          <cell r="E832"/>
          <cell r="G832"/>
          <cell r="M832"/>
          <cell r="N832"/>
          <cell r="R832"/>
        </row>
        <row r="833">
          <cell r="C833"/>
          <cell r="D833"/>
          <cell r="E833"/>
          <cell r="G833"/>
          <cell r="M833"/>
          <cell r="N833"/>
          <cell r="R833"/>
        </row>
        <row r="834">
          <cell r="C834"/>
          <cell r="D834"/>
          <cell r="E834"/>
          <cell r="G834"/>
          <cell r="M834"/>
          <cell r="N834"/>
          <cell r="R834"/>
        </row>
        <row r="835">
          <cell r="C835"/>
          <cell r="D835"/>
          <cell r="E835"/>
          <cell r="G835"/>
          <cell r="M835"/>
          <cell r="N835"/>
          <cell r="R835"/>
        </row>
        <row r="836">
          <cell r="C836"/>
          <cell r="D836"/>
          <cell r="E836"/>
          <cell r="G836"/>
          <cell r="M836"/>
          <cell r="N836"/>
          <cell r="R836"/>
        </row>
        <row r="837">
          <cell r="C837"/>
          <cell r="D837"/>
          <cell r="E837"/>
          <cell r="G837"/>
          <cell r="M837"/>
          <cell r="N837"/>
          <cell r="R837"/>
        </row>
        <row r="838">
          <cell r="C838"/>
          <cell r="D838"/>
          <cell r="E838"/>
          <cell r="G838"/>
          <cell r="M838"/>
          <cell r="N838"/>
          <cell r="R838"/>
        </row>
        <row r="839">
          <cell r="C839"/>
          <cell r="D839"/>
          <cell r="E839"/>
          <cell r="G839"/>
          <cell r="M839"/>
          <cell r="N839"/>
          <cell r="R839"/>
        </row>
        <row r="840">
          <cell r="C840"/>
          <cell r="D840"/>
          <cell r="E840"/>
          <cell r="G840"/>
          <cell r="M840"/>
          <cell r="N840"/>
          <cell r="R840"/>
        </row>
        <row r="841">
          <cell r="C841"/>
          <cell r="D841"/>
          <cell r="E841"/>
          <cell r="G841"/>
          <cell r="M841"/>
          <cell r="N841"/>
          <cell r="R841"/>
        </row>
        <row r="842">
          <cell r="C842"/>
          <cell r="D842"/>
          <cell r="E842"/>
          <cell r="G842"/>
          <cell r="M842"/>
          <cell r="N842"/>
          <cell r="R842"/>
        </row>
        <row r="843">
          <cell r="C843"/>
          <cell r="D843"/>
          <cell r="E843"/>
          <cell r="G843"/>
          <cell r="M843"/>
          <cell r="N843"/>
          <cell r="R843"/>
        </row>
        <row r="844">
          <cell r="C844"/>
          <cell r="D844"/>
          <cell r="E844"/>
          <cell r="G844"/>
          <cell r="M844"/>
          <cell r="N844"/>
          <cell r="R844"/>
        </row>
        <row r="845">
          <cell r="C845"/>
          <cell r="D845"/>
          <cell r="E845"/>
          <cell r="G845"/>
          <cell r="M845"/>
          <cell r="N845"/>
          <cell r="R845"/>
        </row>
        <row r="846">
          <cell r="C846"/>
          <cell r="D846"/>
          <cell r="E846"/>
          <cell r="G846"/>
          <cell r="M846"/>
          <cell r="N846"/>
          <cell r="R846"/>
        </row>
        <row r="847">
          <cell r="C847"/>
          <cell r="D847"/>
          <cell r="E847"/>
          <cell r="G847"/>
          <cell r="M847"/>
          <cell r="N847"/>
          <cell r="R847"/>
        </row>
        <row r="848">
          <cell r="C848"/>
          <cell r="D848"/>
          <cell r="E848"/>
          <cell r="G848"/>
          <cell r="M848"/>
          <cell r="N848"/>
          <cell r="R848"/>
        </row>
        <row r="849">
          <cell r="C849"/>
          <cell r="D849"/>
          <cell r="E849"/>
          <cell r="G849"/>
          <cell r="M849"/>
          <cell r="N849"/>
          <cell r="R849"/>
        </row>
        <row r="850">
          <cell r="C850"/>
          <cell r="D850"/>
          <cell r="E850"/>
          <cell r="G850"/>
          <cell r="M850"/>
          <cell r="N850"/>
          <cell r="R850"/>
        </row>
        <row r="851">
          <cell r="C851"/>
          <cell r="D851"/>
          <cell r="E851"/>
          <cell r="G851"/>
          <cell r="M851"/>
          <cell r="N851"/>
          <cell r="R851"/>
        </row>
        <row r="852">
          <cell r="C852"/>
          <cell r="D852"/>
          <cell r="E852"/>
          <cell r="G852"/>
          <cell r="M852"/>
          <cell r="N852"/>
          <cell r="R852"/>
        </row>
        <row r="853">
          <cell r="C853"/>
          <cell r="D853"/>
          <cell r="E853"/>
          <cell r="G853"/>
          <cell r="M853"/>
          <cell r="N853"/>
          <cell r="R853"/>
        </row>
        <row r="854">
          <cell r="C854"/>
          <cell r="D854"/>
          <cell r="E854"/>
          <cell r="G854"/>
          <cell r="M854"/>
          <cell r="N854"/>
          <cell r="R854"/>
        </row>
        <row r="855">
          <cell r="C855"/>
          <cell r="D855"/>
          <cell r="E855"/>
          <cell r="G855"/>
          <cell r="M855"/>
          <cell r="N855"/>
          <cell r="R855"/>
        </row>
        <row r="856">
          <cell r="C856"/>
          <cell r="D856"/>
          <cell r="E856"/>
          <cell r="G856"/>
          <cell r="M856"/>
          <cell r="N856"/>
          <cell r="R856"/>
        </row>
        <row r="857">
          <cell r="C857"/>
          <cell r="D857"/>
          <cell r="E857"/>
          <cell r="G857"/>
          <cell r="M857"/>
          <cell r="N857"/>
          <cell r="R857"/>
        </row>
        <row r="858">
          <cell r="C858"/>
          <cell r="D858"/>
          <cell r="E858"/>
          <cell r="G858"/>
          <cell r="M858"/>
          <cell r="N858"/>
          <cell r="R858"/>
        </row>
        <row r="859">
          <cell r="C859"/>
          <cell r="D859"/>
          <cell r="E859"/>
          <cell r="G859"/>
          <cell r="M859"/>
          <cell r="N859"/>
          <cell r="R859"/>
        </row>
        <row r="860">
          <cell r="C860"/>
          <cell r="D860"/>
          <cell r="E860"/>
          <cell r="G860"/>
          <cell r="M860"/>
          <cell r="N860"/>
          <cell r="R860"/>
        </row>
        <row r="861">
          <cell r="C861"/>
          <cell r="D861"/>
          <cell r="E861"/>
          <cell r="G861"/>
          <cell r="M861"/>
          <cell r="N861"/>
          <cell r="R861"/>
        </row>
        <row r="862">
          <cell r="C862"/>
          <cell r="D862"/>
          <cell r="E862"/>
          <cell r="G862"/>
          <cell r="M862"/>
          <cell r="N862"/>
          <cell r="R862"/>
        </row>
        <row r="863">
          <cell r="C863"/>
          <cell r="D863"/>
          <cell r="E863"/>
          <cell r="G863"/>
          <cell r="M863"/>
          <cell r="N863"/>
          <cell r="R863"/>
        </row>
        <row r="864">
          <cell r="C864"/>
          <cell r="D864"/>
          <cell r="E864"/>
          <cell r="G864"/>
          <cell r="M864"/>
          <cell r="N864"/>
          <cell r="R864"/>
        </row>
        <row r="865">
          <cell r="C865"/>
          <cell r="D865"/>
          <cell r="E865"/>
          <cell r="G865"/>
          <cell r="M865"/>
          <cell r="N865"/>
          <cell r="R865"/>
        </row>
        <row r="866">
          <cell r="C866"/>
          <cell r="D866"/>
          <cell r="E866"/>
          <cell r="G866"/>
          <cell r="M866"/>
          <cell r="N866"/>
          <cell r="R866"/>
        </row>
        <row r="867">
          <cell r="C867"/>
          <cell r="D867"/>
          <cell r="E867"/>
          <cell r="G867"/>
          <cell r="M867"/>
          <cell r="N867"/>
          <cell r="R867"/>
        </row>
        <row r="868">
          <cell r="C868"/>
          <cell r="D868"/>
          <cell r="E868"/>
          <cell r="G868"/>
          <cell r="M868"/>
          <cell r="N868"/>
          <cell r="R868"/>
        </row>
        <row r="869">
          <cell r="C869"/>
          <cell r="D869"/>
          <cell r="E869"/>
          <cell r="G869"/>
          <cell r="M869"/>
          <cell r="N869"/>
          <cell r="R869"/>
        </row>
        <row r="870">
          <cell r="C870"/>
          <cell r="D870"/>
          <cell r="E870"/>
          <cell r="G870"/>
          <cell r="M870"/>
          <cell r="N870"/>
          <cell r="R870"/>
        </row>
        <row r="871">
          <cell r="C871"/>
          <cell r="D871"/>
          <cell r="E871"/>
          <cell r="G871"/>
          <cell r="M871"/>
          <cell r="N871"/>
          <cell r="R871"/>
        </row>
        <row r="872">
          <cell r="C872"/>
          <cell r="D872"/>
          <cell r="E872"/>
          <cell r="G872"/>
          <cell r="M872"/>
          <cell r="N872"/>
          <cell r="R872"/>
        </row>
        <row r="873">
          <cell r="C873"/>
          <cell r="D873"/>
          <cell r="E873"/>
          <cell r="G873"/>
          <cell r="M873"/>
          <cell r="N873"/>
          <cell r="R873"/>
        </row>
        <row r="874">
          <cell r="C874"/>
          <cell r="D874"/>
          <cell r="E874"/>
          <cell r="G874"/>
          <cell r="M874"/>
          <cell r="N874"/>
          <cell r="R874"/>
        </row>
        <row r="875">
          <cell r="C875"/>
          <cell r="D875"/>
          <cell r="E875"/>
          <cell r="G875"/>
          <cell r="M875"/>
          <cell r="N875"/>
          <cell r="R875"/>
        </row>
        <row r="876">
          <cell r="C876"/>
          <cell r="D876"/>
          <cell r="E876"/>
          <cell r="G876"/>
          <cell r="M876"/>
          <cell r="N876"/>
          <cell r="R876"/>
        </row>
        <row r="877">
          <cell r="C877"/>
          <cell r="D877"/>
          <cell r="E877"/>
          <cell r="G877"/>
          <cell r="M877"/>
          <cell r="N877"/>
          <cell r="R877"/>
        </row>
        <row r="878">
          <cell r="C878"/>
          <cell r="D878"/>
          <cell r="E878"/>
          <cell r="G878"/>
          <cell r="M878"/>
          <cell r="N878"/>
          <cell r="R878"/>
        </row>
        <row r="879">
          <cell r="C879"/>
          <cell r="D879"/>
          <cell r="E879"/>
          <cell r="G879"/>
          <cell r="M879"/>
          <cell r="N879"/>
          <cell r="R879"/>
        </row>
        <row r="880">
          <cell r="C880"/>
          <cell r="D880"/>
          <cell r="E880"/>
          <cell r="G880"/>
          <cell r="M880"/>
          <cell r="N880"/>
          <cell r="R880"/>
        </row>
        <row r="881">
          <cell r="C881"/>
          <cell r="D881"/>
          <cell r="E881"/>
          <cell r="G881"/>
          <cell r="M881"/>
          <cell r="N881"/>
          <cell r="R881"/>
        </row>
        <row r="882">
          <cell r="C882"/>
          <cell r="D882"/>
          <cell r="E882"/>
          <cell r="G882"/>
          <cell r="M882"/>
          <cell r="N882"/>
          <cell r="R882"/>
        </row>
        <row r="883">
          <cell r="C883"/>
          <cell r="D883"/>
          <cell r="E883"/>
          <cell r="G883"/>
          <cell r="M883"/>
          <cell r="N883"/>
          <cell r="R883"/>
        </row>
        <row r="884">
          <cell r="C884"/>
          <cell r="D884"/>
          <cell r="E884"/>
          <cell r="G884"/>
          <cell r="M884"/>
          <cell r="N884"/>
          <cell r="R884"/>
        </row>
        <row r="885">
          <cell r="C885"/>
          <cell r="D885"/>
          <cell r="E885"/>
          <cell r="G885"/>
          <cell r="M885"/>
          <cell r="N885"/>
          <cell r="R885"/>
        </row>
        <row r="886">
          <cell r="C886"/>
          <cell r="D886"/>
          <cell r="E886"/>
          <cell r="G886"/>
          <cell r="M886"/>
          <cell r="N886"/>
          <cell r="R886"/>
        </row>
        <row r="887">
          <cell r="C887"/>
          <cell r="D887"/>
          <cell r="E887"/>
          <cell r="G887"/>
          <cell r="M887"/>
          <cell r="N887"/>
          <cell r="R887"/>
        </row>
        <row r="888">
          <cell r="C888"/>
          <cell r="D888"/>
          <cell r="E888"/>
          <cell r="G888"/>
          <cell r="M888"/>
          <cell r="N888"/>
          <cell r="R888"/>
        </row>
        <row r="889">
          <cell r="C889"/>
          <cell r="D889"/>
          <cell r="E889"/>
          <cell r="G889"/>
          <cell r="M889"/>
          <cell r="N889"/>
          <cell r="R889"/>
        </row>
        <row r="890">
          <cell r="C890"/>
          <cell r="D890"/>
          <cell r="E890"/>
          <cell r="G890"/>
          <cell r="M890"/>
          <cell r="N890"/>
          <cell r="R890"/>
        </row>
        <row r="891">
          <cell r="C891"/>
          <cell r="D891"/>
          <cell r="E891"/>
          <cell r="G891"/>
          <cell r="M891"/>
          <cell r="N891"/>
          <cell r="R891"/>
        </row>
        <row r="892">
          <cell r="C892"/>
          <cell r="D892"/>
          <cell r="E892"/>
          <cell r="G892"/>
          <cell r="M892"/>
          <cell r="N892"/>
          <cell r="R892"/>
        </row>
        <row r="893">
          <cell r="C893"/>
          <cell r="D893"/>
          <cell r="E893"/>
          <cell r="G893"/>
          <cell r="M893"/>
          <cell r="N893"/>
          <cell r="R893"/>
        </row>
        <row r="894">
          <cell r="C894"/>
          <cell r="D894"/>
          <cell r="E894"/>
          <cell r="G894"/>
          <cell r="M894"/>
          <cell r="N894"/>
          <cell r="R894"/>
        </row>
        <row r="895">
          <cell r="C895"/>
          <cell r="D895"/>
          <cell r="E895"/>
          <cell r="G895"/>
          <cell r="M895"/>
          <cell r="N895"/>
          <cell r="R895"/>
        </row>
        <row r="896">
          <cell r="C896"/>
          <cell r="D896"/>
          <cell r="E896"/>
          <cell r="G896"/>
          <cell r="M896"/>
          <cell r="N896"/>
          <cell r="R896"/>
        </row>
        <row r="897">
          <cell r="C897"/>
          <cell r="D897"/>
          <cell r="E897"/>
          <cell r="G897"/>
          <cell r="M897"/>
          <cell r="N897"/>
          <cell r="R897"/>
        </row>
        <row r="898">
          <cell r="C898"/>
          <cell r="D898"/>
          <cell r="E898"/>
          <cell r="G898"/>
          <cell r="M898"/>
          <cell r="N898"/>
          <cell r="R898"/>
        </row>
        <row r="899">
          <cell r="C899"/>
          <cell r="D899"/>
          <cell r="E899"/>
          <cell r="G899"/>
          <cell r="M899"/>
          <cell r="N899"/>
          <cell r="R899"/>
        </row>
        <row r="900">
          <cell r="C900"/>
          <cell r="D900"/>
          <cell r="E900"/>
          <cell r="G900"/>
          <cell r="M900"/>
          <cell r="N900"/>
          <cell r="R900"/>
        </row>
        <row r="901">
          <cell r="C901"/>
          <cell r="D901"/>
          <cell r="E901"/>
          <cell r="G901"/>
          <cell r="M901"/>
          <cell r="N901"/>
          <cell r="R901"/>
        </row>
        <row r="902">
          <cell r="C902"/>
          <cell r="D902"/>
          <cell r="E902"/>
          <cell r="G902"/>
          <cell r="M902"/>
          <cell r="N902"/>
          <cell r="R902"/>
        </row>
        <row r="903">
          <cell r="C903"/>
          <cell r="D903"/>
          <cell r="E903"/>
          <cell r="G903"/>
          <cell r="M903"/>
          <cell r="N903"/>
          <cell r="R903"/>
        </row>
        <row r="904">
          <cell r="C904"/>
          <cell r="D904"/>
          <cell r="E904"/>
          <cell r="G904"/>
          <cell r="M904"/>
          <cell r="N904"/>
          <cell r="R904"/>
        </row>
        <row r="905">
          <cell r="C905"/>
          <cell r="D905"/>
          <cell r="E905"/>
          <cell r="G905"/>
          <cell r="M905"/>
          <cell r="N905"/>
          <cell r="R905"/>
        </row>
        <row r="906">
          <cell r="C906"/>
          <cell r="D906"/>
          <cell r="E906"/>
          <cell r="G906"/>
          <cell r="M906"/>
          <cell r="N906"/>
          <cell r="R906"/>
        </row>
        <row r="907">
          <cell r="C907"/>
          <cell r="D907"/>
          <cell r="E907"/>
          <cell r="G907"/>
          <cell r="M907"/>
          <cell r="N907"/>
          <cell r="R907"/>
        </row>
        <row r="908">
          <cell r="C908"/>
          <cell r="D908"/>
          <cell r="E908"/>
          <cell r="G908"/>
          <cell r="M908"/>
          <cell r="N908"/>
          <cell r="R908"/>
        </row>
        <row r="909">
          <cell r="C909"/>
          <cell r="D909"/>
          <cell r="E909"/>
          <cell r="G909"/>
          <cell r="M909"/>
          <cell r="N909"/>
          <cell r="R909"/>
        </row>
        <row r="910">
          <cell r="C910"/>
          <cell r="D910"/>
          <cell r="E910"/>
          <cell r="G910"/>
          <cell r="M910"/>
          <cell r="N910"/>
          <cell r="R910"/>
        </row>
        <row r="911">
          <cell r="C911"/>
          <cell r="D911"/>
          <cell r="E911"/>
          <cell r="G911"/>
          <cell r="M911"/>
          <cell r="N911"/>
          <cell r="R911"/>
        </row>
        <row r="912">
          <cell r="C912"/>
          <cell r="D912"/>
          <cell r="E912"/>
          <cell r="G912"/>
          <cell r="M912"/>
          <cell r="N912"/>
          <cell r="R912"/>
        </row>
        <row r="913">
          <cell r="C913"/>
          <cell r="D913"/>
          <cell r="E913"/>
          <cell r="G913"/>
          <cell r="M913"/>
          <cell r="N913"/>
          <cell r="R913"/>
        </row>
        <row r="914">
          <cell r="C914"/>
          <cell r="D914"/>
          <cell r="E914"/>
          <cell r="G914"/>
          <cell r="M914"/>
          <cell r="N914"/>
          <cell r="R914"/>
        </row>
        <row r="915">
          <cell r="C915"/>
          <cell r="D915"/>
          <cell r="E915"/>
          <cell r="G915"/>
          <cell r="M915"/>
          <cell r="N915"/>
          <cell r="R915"/>
        </row>
        <row r="916">
          <cell r="C916"/>
          <cell r="D916"/>
          <cell r="E916"/>
          <cell r="G916"/>
          <cell r="M916"/>
          <cell r="N916"/>
          <cell r="R916"/>
        </row>
        <row r="917">
          <cell r="C917"/>
          <cell r="D917"/>
          <cell r="E917"/>
          <cell r="G917"/>
          <cell r="M917"/>
          <cell r="N917"/>
          <cell r="R917"/>
        </row>
        <row r="918">
          <cell r="C918"/>
          <cell r="D918"/>
          <cell r="E918"/>
          <cell r="G918"/>
          <cell r="M918"/>
          <cell r="N918"/>
          <cell r="R918"/>
        </row>
        <row r="919">
          <cell r="C919"/>
          <cell r="D919"/>
          <cell r="E919"/>
          <cell r="G919"/>
          <cell r="M919"/>
          <cell r="N919"/>
          <cell r="R919"/>
        </row>
        <row r="920">
          <cell r="C920"/>
          <cell r="D920"/>
          <cell r="E920"/>
          <cell r="G920"/>
          <cell r="M920"/>
          <cell r="N920"/>
          <cell r="R920"/>
        </row>
        <row r="921">
          <cell r="C921"/>
          <cell r="D921"/>
          <cell r="E921"/>
          <cell r="G921"/>
          <cell r="M921"/>
          <cell r="N921"/>
          <cell r="R921"/>
        </row>
        <row r="922">
          <cell r="C922"/>
          <cell r="D922"/>
          <cell r="E922"/>
          <cell r="G922"/>
          <cell r="M922"/>
          <cell r="N922"/>
          <cell r="R922"/>
        </row>
        <row r="923">
          <cell r="C923"/>
          <cell r="D923"/>
          <cell r="E923"/>
          <cell r="G923"/>
          <cell r="M923"/>
          <cell r="N923"/>
          <cell r="R923"/>
        </row>
        <row r="924">
          <cell r="C924"/>
          <cell r="D924"/>
          <cell r="E924"/>
          <cell r="G924"/>
          <cell r="M924"/>
          <cell r="N924"/>
          <cell r="R924"/>
        </row>
        <row r="925">
          <cell r="C925"/>
          <cell r="D925"/>
          <cell r="E925"/>
          <cell r="G925"/>
          <cell r="M925"/>
          <cell r="N925"/>
          <cell r="R925"/>
        </row>
        <row r="926">
          <cell r="C926"/>
          <cell r="D926"/>
          <cell r="E926"/>
          <cell r="G926"/>
          <cell r="M926"/>
          <cell r="N926"/>
          <cell r="R926"/>
        </row>
        <row r="927">
          <cell r="C927"/>
          <cell r="D927"/>
          <cell r="E927"/>
          <cell r="G927"/>
          <cell r="M927"/>
          <cell r="N927"/>
          <cell r="R927"/>
        </row>
        <row r="928">
          <cell r="C928"/>
          <cell r="D928"/>
          <cell r="E928"/>
          <cell r="G928"/>
          <cell r="M928"/>
          <cell r="N928"/>
          <cell r="R928"/>
        </row>
        <row r="929">
          <cell r="C929"/>
          <cell r="D929"/>
          <cell r="E929"/>
          <cell r="G929"/>
          <cell r="M929"/>
          <cell r="N929"/>
          <cell r="R929"/>
        </row>
        <row r="930">
          <cell r="C930"/>
          <cell r="D930"/>
          <cell r="E930"/>
          <cell r="G930"/>
          <cell r="M930"/>
          <cell r="N930"/>
          <cell r="R930"/>
        </row>
        <row r="931">
          <cell r="C931"/>
          <cell r="D931"/>
          <cell r="E931"/>
          <cell r="G931"/>
          <cell r="M931"/>
          <cell r="N931"/>
          <cell r="R931"/>
        </row>
        <row r="932">
          <cell r="C932"/>
          <cell r="D932"/>
          <cell r="E932"/>
          <cell r="G932"/>
          <cell r="M932"/>
          <cell r="N932"/>
          <cell r="R932"/>
        </row>
        <row r="933">
          <cell r="C933"/>
          <cell r="D933"/>
          <cell r="E933"/>
          <cell r="G933"/>
          <cell r="M933"/>
          <cell r="N933"/>
          <cell r="R933"/>
        </row>
        <row r="934">
          <cell r="C934"/>
          <cell r="D934"/>
          <cell r="E934"/>
          <cell r="G934"/>
          <cell r="M934"/>
          <cell r="N934"/>
          <cell r="R934"/>
        </row>
        <row r="935">
          <cell r="C935"/>
          <cell r="D935"/>
          <cell r="E935"/>
          <cell r="G935"/>
          <cell r="M935"/>
          <cell r="N935"/>
          <cell r="R935"/>
        </row>
        <row r="936">
          <cell r="C936"/>
          <cell r="D936"/>
          <cell r="E936"/>
          <cell r="G936"/>
          <cell r="M936"/>
          <cell r="N936"/>
          <cell r="R936"/>
        </row>
        <row r="937">
          <cell r="C937"/>
          <cell r="D937"/>
          <cell r="E937"/>
          <cell r="G937"/>
          <cell r="M937"/>
          <cell r="N937"/>
          <cell r="R937"/>
        </row>
        <row r="938">
          <cell r="C938"/>
          <cell r="D938"/>
          <cell r="E938"/>
          <cell r="G938"/>
          <cell r="M938"/>
          <cell r="N938"/>
          <cell r="R938"/>
        </row>
        <row r="939">
          <cell r="C939"/>
          <cell r="D939"/>
          <cell r="E939"/>
          <cell r="G939"/>
          <cell r="M939"/>
          <cell r="N939"/>
          <cell r="R939"/>
        </row>
        <row r="940">
          <cell r="C940"/>
          <cell r="D940"/>
          <cell r="E940"/>
          <cell r="G940"/>
          <cell r="M940"/>
          <cell r="N940"/>
          <cell r="R940"/>
        </row>
        <row r="941">
          <cell r="C941"/>
          <cell r="D941"/>
          <cell r="E941"/>
          <cell r="G941"/>
          <cell r="M941"/>
          <cell r="N941"/>
          <cell r="R941"/>
        </row>
        <row r="942">
          <cell r="C942"/>
          <cell r="D942"/>
          <cell r="E942"/>
          <cell r="G942"/>
          <cell r="M942"/>
          <cell r="N942"/>
          <cell r="R942"/>
        </row>
        <row r="943">
          <cell r="C943"/>
          <cell r="D943"/>
          <cell r="E943"/>
          <cell r="G943"/>
          <cell r="M943"/>
          <cell r="N943"/>
          <cell r="R943"/>
        </row>
        <row r="944">
          <cell r="C944"/>
          <cell r="D944"/>
          <cell r="E944"/>
          <cell r="G944"/>
          <cell r="M944"/>
          <cell r="N944"/>
          <cell r="R944"/>
        </row>
        <row r="945">
          <cell r="C945"/>
          <cell r="D945"/>
          <cell r="E945"/>
          <cell r="G945"/>
          <cell r="M945"/>
          <cell r="N945"/>
          <cell r="R945"/>
        </row>
        <row r="946">
          <cell r="C946"/>
          <cell r="D946"/>
          <cell r="E946"/>
          <cell r="G946"/>
          <cell r="M946"/>
          <cell r="N946"/>
          <cell r="R946"/>
        </row>
        <row r="947">
          <cell r="C947"/>
          <cell r="D947"/>
          <cell r="E947"/>
          <cell r="G947"/>
          <cell r="M947"/>
          <cell r="N947"/>
          <cell r="R947"/>
        </row>
        <row r="948">
          <cell r="C948"/>
          <cell r="D948"/>
          <cell r="E948"/>
          <cell r="G948"/>
          <cell r="M948"/>
          <cell r="N948"/>
          <cell r="R948"/>
        </row>
        <row r="949">
          <cell r="C949"/>
          <cell r="D949"/>
          <cell r="E949"/>
          <cell r="G949"/>
          <cell r="M949"/>
          <cell r="N949"/>
          <cell r="R949"/>
        </row>
        <row r="950">
          <cell r="C950"/>
          <cell r="D950"/>
          <cell r="E950"/>
          <cell r="G950"/>
          <cell r="M950"/>
          <cell r="N950"/>
          <cell r="R950"/>
        </row>
        <row r="951">
          <cell r="C951"/>
          <cell r="D951"/>
          <cell r="E951"/>
          <cell r="G951"/>
          <cell r="M951"/>
          <cell r="N951"/>
          <cell r="R951"/>
        </row>
        <row r="952">
          <cell r="C952"/>
          <cell r="D952"/>
          <cell r="E952"/>
          <cell r="G952"/>
          <cell r="M952"/>
          <cell r="N952"/>
          <cell r="R952"/>
        </row>
        <row r="953">
          <cell r="C953"/>
          <cell r="D953"/>
          <cell r="E953"/>
          <cell r="G953"/>
          <cell r="M953"/>
          <cell r="N953"/>
          <cell r="R953"/>
        </row>
        <row r="954">
          <cell r="C954"/>
          <cell r="D954"/>
          <cell r="E954"/>
          <cell r="G954"/>
          <cell r="M954"/>
          <cell r="N954"/>
          <cell r="R954"/>
        </row>
        <row r="955">
          <cell r="C955"/>
          <cell r="D955"/>
          <cell r="E955"/>
          <cell r="G955"/>
          <cell r="M955"/>
          <cell r="N955"/>
          <cell r="R955"/>
        </row>
        <row r="956">
          <cell r="C956"/>
          <cell r="D956"/>
          <cell r="E956"/>
          <cell r="G956"/>
          <cell r="M956"/>
          <cell r="N956"/>
          <cell r="R956"/>
        </row>
        <row r="957">
          <cell r="C957"/>
          <cell r="D957"/>
          <cell r="E957"/>
          <cell r="G957"/>
          <cell r="M957"/>
          <cell r="N957"/>
          <cell r="R957"/>
        </row>
        <row r="958">
          <cell r="C958"/>
          <cell r="D958"/>
          <cell r="E958"/>
          <cell r="G958"/>
          <cell r="M958"/>
          <cell r="N958"/>
          <cell r="R958"/>
        </row>
        <row r="959">
          <cell r="C959"/>
          <cell r="D959"/>
          <cell r="E959"/>
          <cell r="G959"/>
          <cell r="M959"/>
          <cell r="N959"/>
          <cell r="R959"/>
        </row>
        <row r="960">
          <cell r="C960"/>
          <cell r="D960"/>
          <cell r="E960"/>
          <cell r="G960"/>
          <cell r="M960"/>
          <cell r="N960"/>
          <cell r="R960"/>
        </row>
        <row r="961">
          <cell r="C961"/>
          <cell r="D961"/>
          <cell r="E961"/>
          <cell r="G961"/>
          <cell r="M961"/>
          <cell r="N961"/>
          <cell r="R961"/>
        </row>
        <row r="962">
          <cell r="C962"/>
          <cell r="D962"/>
          <cell r="E962"/>
          <cell r="G962"/>
          <cell r="M962"/>
          <cell r="N962"/>
          <cell r="R962"/>
        </row>
        <row r="963">
          <cell r="C963"/>
          <cell r="D963"/>
          <cell r="E963"/>
          <cell r="G963"/>
          <cell r="M963"/>
          <cell r="N963"/>
          <cell r="R963"/>
        </row>
        <row r="964">
          <cell r="C964"/>
          <cell r="D964"/>
          <cell r="E964"/>
          <cell r="G964"/>
          <cell r="M964"/>
          <cell r="N964"/>
          <cell r="R964"/>
        </row>
        <row r="965">
          <cell r="C965"/>
          <cell r="D965"/>
          <cell r="E965"/>
          <cell r="G965"/>
          <cell r="M965"/>
          <cell r="N965"/>
          <cell r="R965"/>
        </row>
        <row r="966">
          <cell r="C966"/>
          <cell r="D966"/>
          <cell r="E966"/>
          <cell r="G966"/>
          <cell r="M966"/>
          <cell r="N966"/>
          <cell r="R966"/>
        </row>
        <row r="967">
          <cell r="C967"/>
          <cell r="D967"/>
          <cell r="E967"/>
          <cell r="G967"/>
          <cell r="M967"/>
          <cell r="N967"/>
          <cell r="R967"/>
        </row>
        <row r="968">
          <cell r="C968"/>
          <cell r="D968"/>
          <cell r="E968"/>
          <cell r="G968"/>
          <cell r="M968"/>
          <cell r="N968"/>
          <cell r="R968"/>
        </row>
        <row r="969">
          <cell r="C969"/>
          <cell r="D969"/>
          <cell r="E969"/>
          <cell r="G969"/>
          <cell r="M969"/>
          <cell r="N969"/>
          <cell r="R969"/>
        </row>
        <row r="970">
          <cell r="C970"/>
          <cell r="D970"/>
          <cell r="E970"/>
          <cell r="G970"/>
          <cell r="M970"/>
          <cell r="N970"/>
          <cell r="R970"/>
        </row>
        <row r="971">
          <cell r="C971"/>
          <cell r="D971"/>
          <cell r="E971"/>
          <cell r="G971"/>
          <cell r="M971"/>
          <cell r="N971"/>
          <cell r="R971"/>
        </row>
        <row r="972">
          <cell r="C972"/>
          <cell r="D972"/>
          <cell r="E972"/>
          <cell r="G972"/>
          <cell r="M972"/>
          <cell r="N972"/>
          <cell r="R972"/>
        </row>
        <row r="973">
          <cell r="C973"/>
          <cell r="D973"/>
          <cell r="E973"/>
          <cell r="G973"/>
          <cell r="M973"/>
          <cell r="N973"/>
          <cell r="R973"/>
        </row>
        <row r="974">
          <cell r="C974"/>
          <cell r="D974"/>
          <cell r="E974"/>
          <cell r="G974"/>
          <cell r="M974"/>
          <cell r="N974"/>
          <cell r="R974"/>
        </row>
        <row r="975">
          <cell r="C975"/>
          <cell r="D975"/>
          <cell r="E975"/>
          <cell r="G975"/>
          <cell r="M975"/>
          <cell r="N975"/>
          <cell r="R975"/>
        </row>
        <row r="976">
          <cell r="C976"/>
          <cell r="D976"/>
          <cell r="E976"/>
          <cell r="G976"/>
          <cell r="M976"/>
          <cell r="N976"/>
          <cell r="R976"/>
        </row>
        <row r="977">
          <cell r="C977"/>
          <cell r="D977"/>
          <cell r="E977"/>
          <cell r="G977"/>
          <cell r="M977"/>
          <cell r="N977"/>
          <cell r="R977"/>
        </row>
        <row r="978">
          <cell r="C978"/>
          <cell r="D978"/>
          <cell r="E978"/>
          <cell r="G978"/>
          <cell r="M978"/>
          <cell r="N978"/>
          <cell r="R978"/>
        </row>
        <row r="979">
          <cell r="C979"/>
          <cell r="D979"/>
          <cell r="E979"/>
          <cell r="G979"/>
          <cell r="M979"/>
          <cell r="N979"/>
          <cell r="R979"/>
        </row>
        <row r="980">
          <cell r="C980"/>
          <cell r="D980"/>
          <cell r="E980"/>
          <cell r="G980"/>
          <cell r="M980"/>
          <cell r="N980"/>
          <cell r="R980"/>
        </row>
        <row r="981">
          <cell r="C981"/>
          <cell r="D981"/>
          <cell r="E981"/>
          <cell r="G981"/>
          <cell r="M981"/>
          <cell r="N981"/>
          <cell r="R981"/>
        </row>
        <row r="982">
          <cell r="C982"/>
          <cell r="D982"/>
          <cell r="E982"/>
          <cell r="G982"/>
          <cell r="M982"/>
          <cell r="N982"/>
          <cell r="R982"/>
        </row>
        <row r="983">
          <cell r="C983"/>
          <cell r="D983"/>
          <cell r="E983"/>
          <cell r="G983"/>
          <cell r="M983"/>
          <cell r="N983"/>
          <cell r="R983"/>
        </row>
        <row r="984">
          <cell r="C984"/>
          <cell r="D984"/>
          <cell r="E984"/>
          <cell r="G984"/>
          <cell r="M984"/>
          <cell r="N984"/>
          <cell r="R984"/>
        </row>
        <row r="985">
          <cell r="C985"/>
          <cell r="D985"/>
          <cell r="E985"/>
          <cell r="G985"/>
          <cell r="M985"/>
          <cell r="N985"/>
          <cell r="R985"/>
        </row>
        <row r="986">
          <cell r="C986"/>
          <cell r="D986"/>
          <cell r="E986"/>
          <cell r="G986"/>
          <cell r="M986"/>
          <cell r="N986"/>
          <cell r="R986"/>
        </row>
        <row r="987">
          <cell r="C987"/>
          <cell r="D987"/>
          <cell r="E987"/>
          <cell r="G987"/>
          <cell r="M987"/>
          <cell r="N987"/>
          <cell r="R987"/>
        </row>
        <row r="988">
          <cell r="C988"/>
          <cell r="D988"/>
          <cell r="E988"/>
          <cell r="G988"/>
          <cell r="M988"/>
          <cell r="N988"/>
          <cell r="R988"/>
        </row>
        <row r="989">
          <cell r="C989"/>
          <cell r="D989"/>
          <cell r="E989"/>
          <cell r="G989"/>
          <cell r="M989"/>
          <cell r="N989"/>
          <cell r="R989"/>
        </row>
        <row r="990">
          <cell r="C990"/>
          <cell r="D990"/>
          <cell r="E990"/>
          <cell r="G990"/>
          <cell r="M990"/>
          <cell r="N990"/>
          <cell r="R990"/>
        </row>
        <row r="991">
          <cell r="C991"/>
          <cell r="D991"/>
          <cell r="E991"/>
          <cell r="G991"/>
          <cell r="M991"/>
          <cell r="N991"/>
          <cell r="R991"/>
        </row>
        <row r="992">
          <cell r="C992"/>
          <cell r="D992"/>
          <cell r="E992"/>
          <cell r="G992"/>
          <cell r="M992"/>
          <cell r="N992"/>
          <cell r="R992"/>
        </row>
        <row r="993">
          <cell r="C993"/>
          <cell r="D993"/>
          <cell r="E993"/>
          <cell r="G993"/>
          <cell r="M993"/>
          <cell r="N993"/>
          <cell r="R993"/>
        </row>
        <row r="994">
          <cell r="C994"/>
          <cell r="D994"/>
          <cell r="E994"/>
          <cell r="G994"/>
          <cell r="M994"/>
          <cell r="N994"/>
          <cell r="R994"/>
        </row>
        <row r="995">
          <cell r="C995"/>
          <cell r="D995"/>
          <cell r="E995"/>
          <cell r="G995"/>
          <cell r="M995"/>
          <cell r="N995"/>
          <cell r="R995"/>
        </row>
        <row r="996">
          <cell r="C996"/>
          <cell r="D996"/>
          <cell r="E996"/>
          <cell r="G996"/>
          <cell r="M996"/>
          <cell r="N996"/>
          <cell r="R996"/>
        </row>
        <row r="997">
          <cell r="C997"/>
          <cell r="D997"/>
          <cell r="E997"/>
          <cell r="G997"/>
          <cell r="M997"/>
          <cell r="N997"/>
          <cell r="R997"/>
        </row>
        <row r="998">
          <cell r="C998"/>
          <cell r="D998"/>
          <cell r="E998"/>
          <cell r="G998"/>
          <cell r="M998"/>
          <cell r="N998"/>
          <cell r="R998"/>
        </row>
        <row r="999">
          <cell r="C999"/>
          <cell r="D999"/>
          <cell r="E999"/>
          <cell r="G999"/>
          <cell r="M999"/>
          <cell r="N999"/>
          <cell r="R999"/>
        </row>
        <row r="1000">
          <cell r="C1000"/>
          <cell r="D1000"/>
          <cell r="E1000"/>
          <cell r="G1000"/>
          <cell r="M1000"/>
          <cell r="N1000"/>
          <cell r="R1000"/>
        </row>
        <row r="1001">
          <cell r="C1001"/>
          <cell r="D1001"/>
          <cell r="E1001"/>
          <cell r="G1001"/>
          <cell r="M1001"/>
          <cell r="N1001"/>
          <cell r="R1001"/>
        </row>
        <row r="1002">
          <cell r="C1002"/>
          <cell r="D1002"/>
          <cell r="E1002"/>
          <cell r="G1002"/>
          <cell r="M1002"/>
          <cell r="N1002"/>
          <cell r="R1002"/>
        </row>
        <row r="1003">
          <cell r="C1003"/>
          <cell r="D1003"/>
          <cell r="E1003"/>
          <cell r="G1003"/>
          <cell r="M1003"/>
          <cell r="N1003"/>
          <cell r="R1003"/>
        </row>
        <row r="1004">
          <cell r="C1004"/>
          <cell r="D1004"/>
          <cell r="E1004"/>
          <cell r="G1004"/>
          <cell r="M1004"/>
          <cell r="N1004"/>
          <cell r="R1004"/>
        </row>
        <row r="1005">
          <cell r="C1005"/>
          <cell r="D1005"/>
          <cell r="E1005"/>
          <cell r="G1005"/>
          <cell r="M1005"/>
          <cell r="N1005"/>
          <cell r="R1005"/>
        </row>
        <row r="1006">
          <cell r="C1006"/>
          <cell r="D1006"/>
          <cell r="E1006"/>
          <cell r="G1006"/>
          <cell r="M1006"/>
          <cell r="N1006"/>
          <cell r="R1006"/>
        </row>
        <row r="1007">
          <cell r="C1007"/>
          <cell r="D1007"/>
          <cell r="E1007"/>
          <cell r="G1007"/>
          <cell r="M1007"/>
          <cell r="N1007"/>
          <cell r="R1007"/>
        </row>
        <row r="1008">
          <cell r="C1008"/>
          <cell r="D1008"/>
          <cell r="E1008"/>
          <cell r="G1008"/>
          <cell r="M1008"/>
          <cell r="N1008"/>
          <cell r="R1008"/>
        </row>
        <row r="1009">
          <cell r="C1009"/>
          <cell r="D1009"/>
          <cell r="E1009"/>
          <cell r="G1009"/>
          <cell r="M1009"/>
          <cell r="N1009"/>
          <cell r="R1009"/>
        </row>
        <row r="1010">
          <cell r="C1010"/>
          <cell r="D1010"/>
          <cell r="E1010"/>
          <cell r="G1010"/>
          <cell r="M1010"/>
          <cell r="N1010"/>
          <cell r="R1010"/>
        </row>
        <row r="1011">
          <cell r="C1011"/>
          <cell r="D1011"/>
          <cell r="E1011"/>
          <cell r="G1011"/>
          <cell r="M1011"/>
          <cell r="N1011"/>
          <cell r="R1011"/>
        </row>
        <row r="1012">
          <cell r="C1012"/>
          <cell r="D1012"/>
          <cell r="E1012"/>
          <cell r="G1012"/>
          <cell r="M1012"/>
          <cell r="N1012"/>
          <cell r="R1012"/>
        </row>
        <row r="1013">
          <cell r="C1013"/>
          <cell r="D1013"/>
          <cell r="E1013"/>
          <cell r="G1013"/>
          <cell r="M1013"/>
          <cell r="N1013"/>
          <cell r="R1013"/>
        </row>
        <row r="1014">
          <cell r="C1014"/>
          <cell r="D1014"/>
          <cell r="E1014"/>
          <cell r="G1014"/>
          <cell r="M1014"/>
          <cell r="N1014"/>
          <cell r="R1014"/>
        </row>
        <row r="1015">
          <cell r="C1015"/>
          <cell r="D1015"/>
          <cell r="E1015"/>
          <cell r="G1015"/>
          <cell r="M1015"/>
          <cell r="N1015"/>
          <cell r="R1015"/>
        </row>
        <row r="1016">
          <cell r="C1016"/>
          <cell r="D1016"/>
          <cell r="E1016"/>
          <cell r="G1016"/>
          <cell r="M1016"/>
          <cell r="N1016"/>
          <cell r="R1016"/>
        </row>
        <row r="1017">
          <cell r="C1017"/>
          <cell r="D1017"/>
          <cell r="E1017"/>
          <cell r="G1017"/>
          <cell r="M1017"/>
          <cell r="N1017"/>
          <cell r="R1017"/>
        </row>
        <row r="1018">
          <cell r="C1018"/>
          <cell r="D1018"/>
          <cell r="E1018"/>
          <cell r="G1018"/>
          <cell r="M1018"/>
          <cell r="N1018"/>
          <cell r="R1018"/>
        </row>
        <row r="1019">
          <cell r="C1019"/>
          <cell r="D1019"/>
          <cell r="E1019"/>
          <cell r="G1019"/>
          <cell r="M1019"/>
          <cell r="N1019"/>
          <cell r="R1019"/>
        </row>
        <row r="1020">
          <cell r="C1020"/>
          <cell r="D1020"/>
          <cell r="E1020"/>
          <cell r="G1020"/>
          <cell r="M1020"/>
          <cell r="N1020"/>
          <cell r="R1020"/>
        </row>
        <row r="1021">
          <cell r="C1021"/>
          <cell r="D1021"/>
          <cell r="E1021"/>
          <cell r="G1021"/>
          <cell r="M1021"/>
          <cell r="N1021"/>
          <cell r="R1021"/>
        </row>
        <row r="1022">
          <cell r="C1022"/>
          <cell r="D1022"/>
          <cell r="E1022"/>
          <cell r="G1022"/>
          <cell r="M1022"/>
          <cell r="N1022"/>
          <cell r="R1022"/>
        </row>
        <row r="1023">
          <cell r="C1023"/>
          <cell r="D1023"/>
          <cell r="E1023"/>
          <cell r="G1023"/>
          <cell r="M1023"/>
          <cell r="N1023"/>
          <cell r="R1023"/>
        </row>
        <row r="1024">
          <cell r="C1024"/>
          <cell r="D1024"/>
          <cell r="E1024"/>
          <cell r="G1024"/>
          <cell r="M1024"/>
          <cell r="N1024"/>
          <cell r="R1024"/>
        </row>
        <row r="1025">
          <cell r="C1025"/>
          <cell r="D1025"/>
          <cell r="E1025"/>
          <cell r="G1025"/>
          <cell r="M1025"/>
          <cell r="N1025"/>
          <cell r="R1025"/>
        </row>
        <row r="1026">
          <cell r="C1026"/>
          <cell r="D1026"/>
          <cell r="E1026"/>
          <cell r="G1026"/>
          <cell r="M1026"/>
          <cell r="N1026"/>
          <cell r="R1026"/>
        </row>
        <row r="1027">
          <cell r="C1027"/>
          <cell r="D1027"/>
          <cell r="E1027"/>
          <cell r="G1027"/>
          <cell r="M1027"/>
          <cell r="N1027"/>
          <cell r="R1027"/>
        </row>
        <row r="1028">
          <cell r="C1028"/>
          <cell r="D1028"/>
          <cell r="E1028"/>
          <cell r="G1028"/>
          <cell r="M1028"/>
          <cell r="N1028"/>
          <cell r="R1028"/>
        </row>
        <row r="1029">
          <cell r="C1029"/>
          <cell r="D1029"/>
          <cell r="E1029"/>
          <cell r="G1029"/>
          <cell r="M1029"/>
          <cell r="N1029"/>
          <cell r="R1029"/>
        </row>
        <row r="1030">
          <cell r="C1030"/>
          <cell r="D1030"/>
          <cell r="E1030"/>
          <cell r="G1030"/>
          <cell r="M1030"/>
          <cell r="N1030"/>
          <cell r="R1030"/>
        </row>
        <row r="1031">
          <cell r="C1031"/>
          <cell r="D1031"/>
          <cell r="E1031"/>
          <cell r="G1031"/>
          <cell r="M1031"/>
          <cell r="N1031"/>
          <cell r="R1031"/>
        </row>
        <row r="1032">
          <cell r="C1032"/>
          <cell r="D1032"/>
          <cell r="E1032"/>
          <cell r="G1032"/>
          <cell r="M1032"/>
          <cell r="N1032"/>
          <cell r="R1032"/>
        </row>
        <row r="1033">
          <cell r="C1033"/>
          <cell r="D1033"/>
          <cell r="E1033"/>
          <cell r="G1033"/>
          <cell r="M1033"/>
          <cell r="N1033"/>
          <cell r="R1033"/>
        </row>
        <row r="1034">
          <cell r="C1034"/>
          <cell r="D1034"/>
          <cell r="E1034"/>
          <cell r="G1034"/>
          <cell r="M1034"/>
          <cell r="N1034"/>
          <cell r="R1034"/>
        </row>
        <row r="1035">
          <cell r="C1035"/>
          <cell r="D1035"/>
          <cell r="E1035"/>
          <cell r="G1035"/>
          <cell r="M1035"/>
          <cell r="N1035"/>
          <cell r="R1035"/>
        </row>
        <row r="1036">
          <cell r="C1036"/>
          <cell r="D1036"/>
          <cell r="E1036"/>
          <cell r="G1036"/>
          <cell r="M1036"/>
          <cell r="N1036"/>
          <cell r="R1036"/>
        </row>
        <row r="1037">
          <cell r="C1037"/>
          <cell r="D1037"/>
          <cell r="E1037"/>
          <cell r="G1037"/>
          <cell r="M1037"/>
          <cell r="N1037"/>
          <cell r="R1037"/>
        </row>
        <row r="1038">
          <cell r="C1038"/>
          <cell r="D1038"/>
          <cell r="E1038"/>
          <cell r="G1038"/>
          <cell r="M1038"/>
          <cell r="N1038"/>
          <cell r="R1038"/>
        </row>
        <row r="1039">
          <cell r="C1039"/>
          <cell r="D1039"/>
          <cell r="E1039"/>
          <cell r="G1039"/>
          <cell r="M1039"/>
          <cell r="N1039"/>
          <cell r="R1039"/>
        </row>
        <row r="1040">
          <cell r="C1040"/>
          <cell r="D1040"/>
          <cell r="E1040"/>
          <cell r="G1040"/>
          <cell r="M1040"/>
          <cell r="N1040"/>
          <cell r="R1040"/>
        </row>
        <row r="1041">
          <cell r="C1041"/>
          <cell r="D1041"/>
          <cell r="E1041"/>
          <cell r="G1041"/>
          <cell r="M1041"/>
          <cell r="N1041"/>
          <cell r="R1041"/>
        </row>
        <row r="1042">
          <cell r="C1042"/>
          <cell r="D1042"/>
          <cell r="E1042"/>
          <cell r="G1042"/>
          <cell r="M1042"/>
          <cell r="N1042"/>
          <cell r="R1042"/>
        </row>
        <row r="1043">
          <cell r="C1043"/>
          <cell r="D1043"/>
          <cell r="E1043"/>
          <cell r="G1043"/>
          <cell r="M1043"/>
          <cell r="N1043"/>
          <cell r="R1043"/>
        </row>
        <row r="1044">
          <cell r="C1044"/>
          <cell r="D1044"/>
          <cell r="E1044"/>
          <cell r="G1044"/>
          <cell r="M1044"/>
          <cell r="N1044"/>
          <cell r="R1044"/>
        </row>
        <row r="1045">
          <cell r="C1045"/>
          <cell r="D1045"/>
          <cell r="E1045"/>
          <cell r="G1045"/>
          <cell r="M1045"/>
          <cell r="N1045"/>
          <cell r="R1045"/>
        </row>
        <row r="1046">
          <cell r="C1046"/>
          <cell r="D1046"/>
          <cell r="E1046"/>
          <cell r="G1046"/>
          <cell r="M1046"/>
          <cell r="N1046"/>
          <cell r="R1046"/>
        </row>
        <row r="1047">
          <cell r="C1047"/>
          <cell r="D1047"/>
          <cell r="E1047"/>
          <cell r="G1047"/>
          <cell r="M1047"/>
          <cell r="N1047"/>
          <cell r="R1047"/>
        </row>
        <row r="1048">
          <cell r="C1048"/>
          <cell r="D1048"/>
          <cell r="E1048"/>
          <cell r="G1048"/>
          <cell r="M1048"/>
          <cell r="N1048"/>
          <cell r="R1048"/>
        </row>
        <row r="1049">
          <cell r="C1049"/>
          <cell r="D1049"/>
          <cell r="E1049"/>
          <cell r="G1049"/>
          <cell r="M1049"/>
          <cell r="N1049"/>
          <cell r="R1049"/>
        </row>
        <row r="1050">
          <cell r="C1050"/>
          <cell r="D1050"/>
          <cell r="E1050"/>
          <cell r="G1050"/>
          <cell r="M1050"/>
          <cell r="N1050"/>
          <cell r="R1050"/>
        </row>
        <row r="1051">
          <cell r="C1051"/>
          <cell r="D1051"/>
          <cell r="E1051"/>
          <cell r="G1051"/>
          <cell r="M1051"/>
          <cell r="N1051"/>
          <cell r="R1051"/>
        </row>
        <row r="1052">
          <cell r="C1052"/>
          <cell r="D1052"/>
          <cell r="E1052"/>
          <cell r="G1052"/>
          <cell r="M1052"/>
          <cell r="N1052"/>
          <cell r="R1052"/>
        </row>
        <row r="1053">
          <cell r="C1053"/>
          <cell r="D1053"/>
          <cell r="E1053"/>
          <cell r="G1053"/>
          <cell r="M1053"/>
          <cell r="N1053"/>
          <cell r="R1053"/>
        </row>
        <row r="1054">
          <cell r="C1054"/>
          <cell r="D1054"/>
          <cell r="E1054"/>
          <cell r="G1054"/>
          <cell r="M1054"/>
          <cell r="N1054"/>
          <cell r="R1054"/>
        </row>
        <row r="1055">
          <cell r="C1055"/>
          <cell r="D1055"/>
          <cell r="E1055"/>
          <cell r="G1055"/>
          <cell r="M1055"/>
          <cell r="N1055"/>
          <cell r="R1055"/>
        </row>
        <row r="1056">
          <cell r="C1056"/>
          <cell r="D1056"/>
          <cell r="E1056"/>
          <cell r="G1056"/>
          <cell r="M1056"/>
          <cell r="N1056"/>
          <cell r="R1056"/>
        </row>
        <row r="1057">
          <cell r="C1057"/>
          <cell r="D1057"/>
          <cell r="E1057"/>
          <cell r="G1057"/>
          <cell r="M1057"/>
          <cell r="N1057"/>
          <cell r="R1057"/>
        </row>
        <row r="1058">
          <cell r="C1058"/>
          <cell r="D1058"/>
          <cell r="E1058"/>
          <cell r="G1058"/>
          <cell r="M1058"/>
          <cell r="N1058"/>
          <cell r="R1058"/>
        </row>
        <row r="1059">
          <cell r="C1059"/>
          <cell r="D1059"/>
          <cell r="E1059"/>
          <cell r="G1059"/>
          <cell r="M1059"/>
          <cell r="N1059"/>
          <cell r="R1059"/>
        </row>
        <row r="1060">
          <cell r="C1060"/>
          <cell r="D1060"/>
          <cell r="E1060"/>
          <cell r="G1060"/>
          <cell r="M1060"/>
          <cell r="N1060"/>
          <cell r="R1060"/>
        </row>
        <row r="1061">
          <cell r="C1061"/>
          <cell r="D1061"/>
          <cell r="E1061"/>
          <cell r="G1061"/>
          <cell r="M1061"/>
          <cell r="N1061"/>
          <cell r="R1061"/>
        </row>
        <row r="1062">
          <cell r="C1062"/>
          <cell r="D1062"/>
          <cell r="E1062"/>
          <cell r="G1062"/>
          <cell r="M1062"/>
          <cell r="N1062"/>
          <cell r="R1062"/>
        </row>
        <row r="1063">
          <cell r="C1063"/>
          <cell r="D1063"/>
          <cell r="E1063"/>
          <cell r="G1063"/>
          <cell r="M1063"/>
          <cell r="N1063"/>
          <cell r="R1063"/>
        </row>
        <row r="1064">
          <cell r="C1064"/>
          <cell r="D1064"/>
          <cell r="E1064"/>
          <cell r="G1064"/>
          <cell r="M1064"/>
          <cell r="N1064"/>
          <cell r="R1064"/>
        </row>
        <row r="1065">
          <cell r="C1065"/>
          <cell r="D1065"/>
          <cell r="E1065"/>
          <cell r="G1065"/>
          <cell r="M1065"/>
          <cell r="N1065"/>
          <cell r="R1065"/>
        </row>
        <row r="1066">
          <cell r="C1066"/>
          <cell r="D1066"/>
          <cell r="E1066"/>
          <cell r="G1066"/>
          <cell r="M1066"/>
          <cell r="N1066"/>
          <cell r="R1066"/>
        </row>
        <row r="1067">
          <cell r="C1067"/>
          <cell r="D1067"/>
          <cell r="E1067"/>
          <cell r="G1067"/>
          <cell r="M1067"/>
          <cell r="N1067"/>
          <cell r="R1067"/>
        </row>
        <row r="1068">
          <cell r="C1068"/>
          <cell r="D1068"/>
          <cell r="E1068"/>
          <cell r="G1068"/>
          <cell r="M1068"/>
          <cell r="N1068"/>
          <cell r="R1068"/>
        </row>
        <row r="1069">
          <cell r="C1069"/>
          <cell r="D1069"/>
          <cell r="E1069"/>
          <cell r="G1069"/>
          <cell r="M1069"/>
          <cell r="N1069"/>
          <cell r="R1069"/>
        </row>
        <row r="1070">
          <cell r="C1070"/>
          <cell r="D1070"/>
          <cell r="E1070"/>
          <cell r="G1070"/>
          <cell r="M1070"/>
          <cell r="N1070"/>
          <cell r="R1070"/>
        </row>
        <row r="1071">
          <cell r="C1071"/>
          <cell r="D1071"/>
          <cell r="E1071"/>
          <cell r="G1071"/>
          <cell r="M1071"/>
          <cell r="N1071"/>
          <cell r="R1071"/>
        </row>
        <row r="1072">
          <cell r="C1072"/>
          <cell r="D1072"/>
          <cell r="E1072"/>
          <cell r="G1072"/>
          <cell r="M1072"/>
          <cell r="N1072"/>
          <cell r="R1072"/>
        </row>
        <row r="1073">
          <cell r="C1073"/>
          <cell r="D1073"/>
          <cell r="E1073"/>
          <cell r="G1073"/>
          <cell r="M1073"/>
          <cell r="N1073"/>
          <cell r="R1073"/>
        </row>
        <row r="1074">
          <cell r="C1074"/>
          <cell r="D1074"/>
          <cell r="E1074"/>
          <cell r="G1074"/>
          <cell r="M1074"/>
          <cell r="N1074"/>
          <cell r="R1074"/>
        </row>
        <row r="1075">
          <cell r="C1075"/>
          <cell r="D1075"/>
          <cell r="E1075"/>
          <cell r="G1075"/>
          <cell r="M1075"/>
          <cell r="N1075"/>
          <cell r="R1075"/>
        </row>
        <row r="1076">
          <cell r="C1076"/>
          <cell r="D1076"/>
          <cell r="E1076"/>
          <cell r="G1076"/>
          <cell r="M1076"/>
          <cell r="N1076"/>
          <cell r="R1076"/>
        </row>
        <row r="1077">
          <cell r="C1077"/>
          <cell r="D1077"/>
          <cell r="E1077"/>
          <cell r="G1077"/>
          <cell r="M1077"/>
          <cell r="N1077"/>
          <cell r="R1077"/>
        </row>
        <row r="1078">
          <cell r="C1078"/>
          <cell r="D1078"/>
          <cell r="E1078"/>
          <cell r="G1078"/>
          <cell r="M1078"/>
          <cell r="N1078"/>
          <cell r="R1078"/>
        </row>
        <row r="1079">
          <cell r="C1079"/>
          <cell r="D1079"/>
          <cell r="E1079"/>
          <cell r="G1079"/>
          <cell r="M1079"/>
          <cell r="N1079"/>
          <cell r="R1079"/>
        </row>
        <row r="1080">
          <cell r="C1080"/>
          <cell r="D1080"/>
          <cell r="E1080"/>
          <cell r="G1080"/>
          <cell r="M1080"/>
          <cell r="N1080"/>
          <cell r="R1080"/>
        </row>
        <row r="1081">
          <cell r="C1081"/>
          <cell r="D1081"/>
          <cell r="E1081"/>
          <cell r="G1081"/>
          <cell r="M1081"/>
          <cell r="N1081"/>
          <cell r="R1081"/>
        </row>
        <row r="1082">
          <cell r="C1082"/>
          <cell r="D1082"/>
          <cell r="E1082"/>
          <cell r="G1082"/>
          <cell r="M1082"/>
          <cell r="N1082"/>
          <cell r="R1082"/>
        </row>
        <row r="1083">
          <cell r="C1083"/>
          <cell r="D1083"/>
          <cell r="E1083"/>
          <cell r="G1083"/>
          <cell r="M1083"/>
          <cell r="N1083"/>
          <cell r="R1083"/>
        </row>
        <row r="1084">
          <cell r="C1084"/>
          <cell r="D1084"/>
          <cell r="E1084"/>
          <cell r="G1084"/>
          <cell r="M1084"/>
          <cell r="N1084"/>
          <cell r="R1084"/>
        </row>
        <row r="1085">
          <cell r="C1085"/>
          <cell r="D1085"/>
          <cell r="E1085"/>
          <cell r="G1085"/>
          <cell r="M1085"/>
          <cell r="N1085"/>
          <cell r="R1085"/>
        </row>
        <row r="1086">
          <cell r="C1086"/>
          <cell r="D1086"/>
          <cell r="E1086"/>
          <cell r="G1086"/>
          <cell r="M1086"/>
          <cell r="N1086"/>
          <cell r="R1086"/>
        </row>
        <row r="1087">
          <cell r="C1087"/>
          <cell r="D1087"/>
          <cell r="E1087"/>
          <cell r="G1087"/>
          <cell r="M1087"/>
          <cell r="N1087"/>
          <cell r="R1087"/>
        </row>
        <row r="1088">
          <cell r="C1088"/>
          <cell r="D1088"/>
          <cell r="E1088"/>
          <cell r="G1088"/>
          <cell r="M1088"/>
          <cell r="N1088"/>
          <cell r="R1088"/>
        </row>
        <row r="1089">
          <cell r="C1089"/>
          <cell r="D1089"/>
          <cell r="E1089"/>
          <cell r="G1089"/>
          <cell r="M1089"/>
          <cell r="N1089"/>
          <cell r="R1089"/>
        </row>
        <row r="1090">
          <cell r="C1090"/>
          <cell r="D1090"/>
          <cell r="E1090"/>
          <cell r="G1090"/>
          <cell r="M1090"/>
          <cell r="N1090"/>
          <cell r="R1090"/>
        </row>
        <row r="1091">
          <cell r="C1091"/>
          <cell r="D1091"/>
          <cell r="E1091"/>
          <cell r="G1091"/>
          <cell r="M1091"/>
          <cell r="N1091"/>
          <cell r="R1091"/>
        </row>
        <row r="1092">
          <cell r="C1092"/>
          <cell r="D1092"/>
          <cell r="E1092"/>
          <cell r="G1092"/>
          <cell r="M1092"/>
          <cell r="N1092"/>
          <cell r="R1092"/>
        </row>
        <row r="1093">
          <cell r="C1093"/>
          <cell r="D1093"/>
          <cell r="E1093"/>
          <cell r="G1093"/>
          <cell r="M1093"/>
          <cell r="N1093"/>
          <cell r="R1093"/>
        </row>
        <row r="1094">
          <cell r="C1094"/>
          <cell r="D1094"/>
          <cell r="E1094"/>
          <cell r="G1094"/>
          <cell r="M1094"/>
          <cell r="N1094"/>
          <cell r="R1094"/>
        </row>
        <row r="1095">
          <cell r="C1095"/>
          <cell r="D1095"/>
          <cell r="E1095"/>
          <cell r="G1095"/>
          <cell r="M1095"/>
          <cell r="N1095"/>
          <cell r="R1095"/>
        </row>
        <row r="1096">
          <cell r="C1096"/>
          <cell r="D1096"/>
          <cell r="E1096"/>
          <cell r="G1096"/>
          <cell r="M1096"/>
          <cell r="N1096"/>
          <cell r="R1096"/>
        </row>
        <row r="1097">
          <cell r="C1097"/>
          <cell r="D1097"/>
          <cell r="E1097"/>
          <cell r="G1097"/>
          <cell r="M1097"/>
          <cell r="N1097"/>
          <cell r="R1097"/>
        </row>
        <row r="1098">
          <cell r="C1098"/>
          <cell r="D1098"/>
          <cell r="E1098"/>
          <cell r="G1098"/>
          <cell r="M1098"/>
          <cell r="N1098"/>
          <cell r="R1098"/>
        </row>
        <row r="1099">
          <cell r="C1099"/>
          <cell r="D1099"/>
          <cell r="E1099"/>
          <cell r="G1099"/>
          <cell r="M1099"/>
          <cell r="N1099"/>
          <cell r="R1099"/>
        </row>
        <row r="1100">
          <cell r="C1100"/>
          <cell r="D1100"/>
          <cell r="E1100"/>
          <cell r="G1100"/>
          <cell r="M1100"/>
          <cell r="N1100"/>
          <cell r="R1100"/>
        </row>
        <row r="1101">
          <cell r="C1101"/>
          <cell r="D1101"/>
          <cell r="E1101"/>
          <cell r="G1101"/>
          <cell r="M1101"/>
          <cell r="N1101"/>
          <cell r="R1101"/>
        </row>
        <row r="1102">
          <cell r="C1102"/>
          <cell r="D1102"/>
          <cell r="E1102"/>
          <cell r="G1102"/>
          <cell r="M1102"/>
          <cell r="N1102"/>
          <cell r="R1102"/>
        </row>
        <row r="1103">
          <cell r="C1103"/>
          <cell r="D1103"/>
          <cell r="E1103"/>
          <cell r="G1103"/>
          <cell r="M1103"/>
          <cell r="N1103"/>
          <cell r="R1103"/>
        </row>
        <row r="1104">
          <cell r="C1104"/>
          <cell r="D1104"/>
          <cell r="E1104"/>
          <cell r="G1104"/>
          <cell r="M1104"/>
          <cell r="N1104"/>
          <cell r="R1104"/>
        </row>
        <row r="1105">
          <cell r="C1105"/>
          <cell r="D1105"/>
          <cell r="E1105"/>
          <cell r="G1105"/>
          <cell r="M1105"/>
          <cell r="N1105"/>
          <cell r="R1105"/>
        </row>
        <row r="1106">
          <cell r="C1106"/>
          <cell r="D1106"/>
          <cell r="E1106"/>
          <cell r="G1106"/>
          <cell r="M1106"/>
          <cell r="N1106"/>
          <cell r="R1106"/>
        </row>
        <row r="1107">
          <cell r="C1107"/>
          <cell r="D1107"/>
          <cell r="E1107"/>
          <cell r="G1107"/>
          <cell r="M1107"/>
          <cell r="N1107"/>
          <cell r="R1107"/>
        </row>
        <row r="1108">
          <cell r="C1108"/>
          <cell r="D1108"/>
          <cell r="E1108"/>
          <cell r="G1108"/>
          <cell r="M1108"/>
          <cell r="N1108"/>
          <cell r="R1108"/>
        </row>
        <row r="1109">
          <cell r="C1109"/>
          <cell r="D1109"/>
          <cell r="E1109"/>
          <cell r="G1109"/>
          <cell r="M1109"/>
          <cell r="N1109"/>
          <cell r="R1109"/>
        </row>
        <row r="1110">
          <cell r="C1110"/>
          <cell r="D1110"/>
          <cell r="E1110"/>
          <cell r="G1110"/>
          <cell r="M1110"/>
          <cell r="N1110"/>
          <cell r="R1110"/>
        </row>
        <row r="1111">
          <cell r="C1111"/>
          <cell r="D1111"/>
          <cell r="E1111"/>
          <cell r="G1111"/>
          <cell r="M1111"/>
          <cell r="N1111"/>
          <cell r="R1111"/>
        </row>
        <row r="1112">
          <cell r="C1112"/>
          <cell r="D1112"/>
          <cell r="E1112"/>
          <cell r="G1112"/>
          <cell r="M1112"/>
          <cell r="N1112"/>
          <cell r="R1112"/>
        </row>
        <row r="1113">
          <cell r="C1113"/>
          <cell r="D1113"/>
          <cell r="E1113"/>
          <cell r="G1113"/>
          <cell r="M1113"/>
          <cell r="N1113"/>
          <cell r="R1113"/>
        </row>
        <row r="1114">
          <cell r="C1114"/>
          <cell r="D1114"/>
          <cell r="E1114"/>
          <cell r="G1114"/>
          <cell r="M1114"/>
          <cell r="N1114"/>
          <cell r="R1114"/>
        </row>
        <row r="1115">
          <cell r="C1115"/>
          <cell r="D1115"/>
          <cell r="E1115"/>
          <cell r="G1115"/>
          <cell r="M1115"/>
          <cell r="N1115"/>
          <cell r="R1115"/>
        </row>
        <row r="1116">
          <cell r="C1116"/>
          <cell r="D1116"/>
          <cell r="E1116"/>
          <cell r="G1116"/>
          <cell r="M1116"/>
          <cell r="N1116"/>
          <cell r="R1116"/>
        </row>
        <row r="1117">
          <cell r="C1117"/>
          <cell r="D1117"/>
          <cell r="E1117"/>
          <cell r="G1117"/>
          <cell r="M1117"/>
          <cell r="N1117"/>
          <cell r="R1117"/>
        </row>
        <row r="1118">
          <cell r="C1118"/>
          <cell r="D1118"/>
          <cell r="E1118"/>
          <cell r="G1118"/>
          <cell r="M1118"/>
          <cell r="N1118"/>
          <cell r="R1118"/>
        </row>
        <row r="1119">
          <cell r="C1119"/>
          <cell r="D1119"/>
          <cell r="E1119"/>
          <cell r="G1119"/>
          <cell r="M1119"/>
          <cell r="N1119"/>
          <cell r="R1119"/>
        </row>
        <row r="1120">
          <cell r="C1120"/>
          <cell r="D1120"/>
          <cell r="E1120"/>
          <cell r="G1120"/>
          <cell r="M1120"/>
          <cell r="N1120"/>
          <cell r="R1120"/>
        </row>
        <row r="1121">
          <cell r="C1121"/>
          <cell r="D1121"/>
          <cell r="E1121"/>
          <cell r="G1121"/>
          <cell r="M1121"/>
          <cell r="N1121"/>
          <cell r="R1121"/>
        </row>
        <row r="1122">
          <cell r="C1122"/>
          <cell r="D1122"/>
          <cell r="E1122"/>
          <cell r="G1122"/>
          <cell r="M1122"/>
          <cell r="N1122"/>
          <cell r="R1122"/>
        </row>
        <row r="1123">
          <cell r="C1123"/>
          <cell r="D1123"/>
          <cell r="E1123"/>
          <cell r="G1123"/>
          <cell r="M1123"/>
          <cell r="N1123"/>
          <cell r="R1123"/>
        </row>
        <row r="1124">
          <cell r="C1124"/>
          <cell r="D1124"/>
          <cell r="E1124"/>
          <cell r="G1124"/>
          <cell r="M1124"/>
          <cell r="N1124"/>
          <cell r="R1124"/>
        </row>
        <row r="1125">
          <cell r="C1125"/>
          <cell r="D1125"/>
          <cell r="E1125"/>
          <cell r="G1125"/>
          <cell r="M1125"/>
          <cell r="N1125"/>
          <cell r="R1125"/>
        </row>
        <row r="1126">
          <cell r="C1126"/>
          <cell r="D1126"/>
          <cell r="E1126"/>
          <cell r="G1126"/>
          <cell r="M1126"/>
          <cell r="N1126"/>
          <cell r="R1126"/>
        </row>
        <row r="1127">
          <cell r="C1127"/>
          <cell r="D1127"/>
          <cell r="E1127"/>
          <cell r="G1127"/>
          <cell r="M1127"/>
          <cell r="N1127"/>
          <cell r="R1127"/>
        </row>
        <row r="1128">
          <cell r="C1128"/>
          <cell r="D1128"/>
          <cell r="E1128"/>
          <cell r="G1128"/>
          <cell r="M1128"/>
          <cell r="N1128"/>
          <cell r="R1128"/>
        </row>
        <row r="1129">
          <cell r="C1129"/>
          <cell r="D1129"/>
          <cell r="E1129"/>
          <cell r="G1129"/>
          <cell r="M1129"/>
          <cell r="N1129"/>
          <cell r="R1129"/>
        </row>
        <row r="1130">
          <cell r="C1130"/>
          <cell r="D1130"/>
          <cell r="E1130"/>
          <cell r="G1130"/>
          <cell r="M1130"/>
          <cell r="N1130"/>
          <cell r="R1130"/>
        </row>
        <row r="1131">
          <cell r="C1131"/>
          <cell r="D1131"/>
          <cell r="E1131"/>
          <cell r="G1131"/>
          <cell r="M1131"/>
          <cell r="N1131"/>
          <cell r="R1131"/>
        </row>
        <row r="1132">
          <cell r="C1132"/>
          <cell r="D1132"/>
          <cell r="E1132"/>
          <cell r="G1132"/>
          <cell r="M1132"/>
          <cell r="N1132"/>
          <cell r="R1132"/>
        </row>
        <row r="1133">
          <cell r="C1133"/>
          <cell r="D1133"/>
          <cell r="E1133"/>
          <cell r="G1133"/>
          <cell r="M1133"/>
          <cell r="N1133"/>
          <cell r="R1133"/>
        </row>
        <row r="1134">
          <cell r="C1134"/>
          <cell r="D1134"/>
          <cell r="E1134"/>
          <cell r="G1134"/>
          <cell r="M1134"/>
          <cell r="N1134"/>
          <cell r="R1134"/>
        </row>
        <row r="1135">
          <cell r="C1135"/>
          <cell r="D1135"/>
          <cell r="E1135"/>
          <cell r="G1135"/>
          <cell r="M1135"/>
          <cell r="N1135"/>
          <cell r="R1135"/>
        </row>
        <row r="1136">
          <cell r="C1136"/>
          <cell r="D1136"/>
          <cell r="E1136"/>
          <cell r="G1136"/>
          <cell r="M1136"/>
          <cell r="N1136"/>
          <cell r="R1136"/>
        </row>
        <row r="1137">
          <cell r="C1137"/>
          <cell r="D1137"/>
          <cell r="E1137"/>
          <cell r="G1137"/>
          <cell r="M1137"/>
          <cell r="N1137"/>
          <cell r="R1137"/>
        </row>
        <row r="1138">
          <cell r="C1138"/>
          <cell r="D1138"/>
          <cell r="E1138"/>
          <cell r="G1138"/>
          <cell r="M1138"/>
          <cell r="N1138"/>
          <cell r="R1138"/>
        </row>
        <row r="1139">
          <cell r="C1139"/>
          <cell r="D1139"/>
          <cell r="E1139"/>
          <cell r="G1139"/>
          <cell r="M1139"/>
          <cell r="N1139"/>
          <cell r="R1139"/>
        </row>
        <row r="1140">
          <cell r="C1140"/>
          <cell r="D1140"/>
          <cell r="E1140"/>
          <cell r="G1140"/>
          <cell r="M1140"/>
          <cell r="N1140"/>
          <cell r="R1140"/>
        </row>
        <row r="1141">
          <cell r="C1141"/>
          <cell r="D1141"/>
          <cell r="E1141"/>
          <cell r="G1141"/>
          <cell r="M1141"/>
          <cell r="N1141"/>
          <cell r="R1141"/>
        </row>
        <row r="1142">
          <cell r="C1142"/>
          <cell r="D1142"/>
          <cell r="E1142"/>
          <cell r="G1142"/>
          <cell r="M1142"/>
          <cell r="N1142"/>
          <cell r="R1142"/>
        </row>
        <row r="1143">
          <cell r="C1143"/>
          <cell r="D1143"/>
          <cell r="E1143"/>
          <cell r="G1143"/>
          <cell r="M1143"/>
          <cell r="N1143"/>
          <cell r="R1143"/>
        </row>
        <row r="1144">
          <cell r="C1144"/>
          <cell r="D1144"/>
          <cell r="E1144"/>
          <cell r="G1144"/>
          <cell r="M1144"/>
          <cell r="N1144"/>
          <cell r="R1144"/>
        </row>
        <row r="1145">
          <cell r="C1145"/>
          <cell r="D1145"/>
          <cell r="E1145"/>
          <cell r="G1145"/>
          <cell r="M1145"/>
          <cell r="N1145"/>
          <cell r="R1145"/>
        </row>
        <row r="1146">
          <cell r="C1146"/>
          <cell r="D1146"/>
          <cell r="E1146"/>
          <cell r="G1146"/>
          <cell r="M1146"/>
          <cell r="N1146"/>
          <cell r="R1146"/>
        </row>
        <row r="1147">
          <cell r="C1147"/>
          <cell r="D1147"/>
          <cell r="E1147"/>
          <cell r="G1147"/>
          <cell r="M1147"/>
          <cell r="N1147"/>
          <cell r="R1147"/>
        </row>
        <row r="1148">
          <cell r="C1148"/>
          <cell r="D1148"/>
          <cell r="E1148"/>
          <cell r="G1148"/>
          <cell r="M1148"/>
          <cell r="N1148"/>
          <cell r="R1148"/>
        </row>
        <row r="1149">
          <cell r="C1149"/>
          <cell r="D1149"/>
          <cell r="E1149"/>
          <cell r="G1149"/>
          <cell r="M1149"/>
          <cell r="N1149"/>
          <cell r="R1149"/>
        </row>
        <row r="1150">
          <cell r="C1150"/>
          <cell r="D1150"/>
          <cell r="E1150"/>
          <cell r="G1150"/>
          <cell r="M1150"/>
          <cell r="N1150"/>
          <cell r="R1150"/>
        </row>
        <row r="1151">
          <cell r="C1151"/>
          <cell r="D1151"/>
          <cell r="E1151"/>
          <cell r="G1151"/>
          <cell r="M1151"/>
          <cell r="N1151"/>
          <cell r="R1151"/>
        </row>
        <row r="1152">
          <cell r="C1152"/>
          <cell r="D1152"/>
          <cell r="E1152"/>
          <cell r="G1152"/>
          <cell r="M1152"/>
          <cell r="N1152"/>
          <cell r="R1152"/>
        </row>
        <row r="1153">
          <cell r="C1153"/>
          <cell r="D1153"/>
          <cell r="E1153"/>
          <cell r="G1153"/>
          <cell r="M1153"/>
          <cell r="N1153"/>
          <cell r="R1153"/>
        </row>
        <row r="1154">
          <cell r="C1154"/>
          <cell r="D1154"/>
          <cell r="E1154"/>
          <cell r="G1154"/>
          <cell r="M1154"/>
          <cell r="N1154"/>
          <cell r="R1154"/>
        </row>
        <row r="1155">
          <cell r="C1155"/>
          <cell r="D1155"/>
          <cell r="E1155"/>
          <cell r="G1155"/>
          <cell r="M1155"/>
          <cell r="N1155"/>
          <cell r="R1155"/>
        </row>
        <row r="1156">
          <cell r="C1156"/>
          <cell r="D1156"/>
          <cell r="E1156"/>
          <cell r="G1156"/>
          <cell r="M1156"/>
          <cell r="N1156"/>
          <cell r="R1156"/>
        </row>
        <row r="1157">
          <cell r="C1157"/>
          <cell r="D1157"/>
          <cell r="E1157"/>
          <cell r="G1157"/>
          <cell r="M1157"/>
          <cell r="N1157"/>
          <cell r="R1157"/>
        </row>
        <row r="1158">
          <cell r="C1158"/>
          <cell r="D1158"/>
          <cell r="E1158"/>
          <cell r="G1158"/>
          <cell r="M1158"/>
          <cell r="N1158"/>
          <cell r="R1158"/>
        </row>
        <row r="1159">
          <cell r="C1159"/>
          <cell r="D1159"/>
          <cell r="E1159"/>
          <cell r="G1159"/>
          <cell r="M1159"/>
          <cell r="N1159"/>
          <cell r="R1159"/>
        </row>
        <row r="1160">
          <cell r="C1160"/>
          <cell r="D1160"/>
          <cell r="E1160"/>
          <cell r="G1160"/>
          <cell r="M1160"/>
          <cell r="N1160"/>
          <cell r="R1160"/>
        </row>
        <row r="1161">
          <cell r="C1161"/>
          <cell r="D1161"/>
          <cell r="E1161"/>
          <cell r="G1161"/>
          <cell r="M1161"/>
          <cell r="N1161"/>
          <cell r="R1161"/>
        </row>
        <row r="1162">
          <cell r="C1162"/>
          <cell r="D1162"/>
          <cell r="E1162"/>
          <cell r="G1162"/>
          <cell r="M1162"/>
          <cell r="N1162"/>
          <cell r="R1162"/>
        </row>
        <row r="1163">
          <cell r="C1163"/>
          <cell r="D1163"/>
          <cell r="E1163"/>
          <cell r="G1163"/>
          <cell r="M1163"/>
          <cell r="N1163"/>
          <cell r="R1163"/>
        </row>
        <row r="1164">
          <cell r="C1164"/>
          <cell r="D1164"/>
          <cell r="E1164"/>
          <cell r="G1164"/>
          <cell r="M1164"/>
          <cell r="N1164"/>
          <cell r="R1164"/>
        </row>
        <row r="1165">
          <cell r="C1165"/>
          <cell r="D1165"/>
          <cell r="E1165"/>
          <cell r="G1165"/>
          <cell r="M1165"/>
          <cell r="N1165"/>
          <cell r="R1165"/>
        </row>
        <row r="1166">
          <cell r="C1166"/>
          <cell r="D1166"/>
          <cell r="E1166"/>
          <cell r="G1166"/>
          <cell r="M1166"/>
          <cell r="N1166"/>
          <cell r="R1166"/>
        </row>
        <row r="1167">
          <cell r="C1167"/>
          <cell r="D1167"/>
          <cell r="E1167"/>
          <cell r="G1167"/>
          <cell r="M1167"/>
          <cell r="N1167"/>
          <cell r="R1167"/>
        </row>
        <row r="1168">
          <cell r="C1168"/>
          <cell r="D1168"/>
          <cell r="E1168"/>
          <cell r="G1168"/>
          <cell r="M1168"/>
          <cell r="N1168"/>
          <cell r="R1168"/>
        </row>
        <row r="1169">
          <cell r="C1169"/>
          <cell r="D1169"/>
          <cell r="E1169"/>
          <cell r="G1169"/>
          <cell r="M1169"/>
          <cell r="N1169"/>
          <cell r="R1169"/>
        </row>
        <row r="1170">
          <cell r="C1170"/>
          <cell r="D1170"/>
          <cell r="E1170"/>
          <cell r="G1170"/>
          <cell r="M1170"/>
          <cell r="N1170"/>
          <cell r="R1170"/>
        </row>
        <row r="1171">
          <cell r="C1171"/>
          <cell r="D1171"/>
          <cell r="E1171"/>
          <cell r="G1171"/>
          <cell r="M1171"/>
          <cell r="N1171"/>
          <cell r="R1171"/>
        </row>
        <row r="1172">
          <cell r="C1172"/>
          <cell r="D1172"/>
          <cell r="E1172"/>
          <cell r="G1172"/>
          <cell r="M1172"/>
          <cell r="N1172"/>
          <cell r="R1172"/>
        </row>
        <row r="1173">
          <cell r="C1173"/>
          <cell r="D1173"/>
          <cell r="E1173"/>
          <cell r="G1173"/>
          <cell r="M1173"/>
          <cell r="N1173"/>
          <cell r="R1173"/>
        </row>
        <row r="1174">
          <cell r="C1174"/>
          <cell r="D1174"/>
          <cell r="E1174"/>
          <cell r="G1174"/>
          <cell r="M1174"/>
          <cell r="N1174"/>
          <cell r="R1174"/>
        </row>
        <row r="1175">
          <cell r="C1175"/>
          <cell r="D1175"/>
          <cell r="E1175"/>
          <cell r="G1175"/>
          <cell r="M1175"/>
          <cell r="N1175"/>
          <cell r="R1175"/>
        </row>
        <row r="1176">
          <cell r="C1176"/>
          <cell r="D1176"/>
          <cell r="E1176"/>
          <cell r="G1176"/>
          <cell r="M1176"/>
          <cell r="N1176"/>
          <cell r="R1176"/>
        </row>
        <row r="1177">
          <cell r="C1177"/>
          <cell r="D1177"/>
          <cell r="E1177"/>
          <cell r="G1177"/>
          <cell r="M1177"/>
          <cell r="N1177"/>
          <cell r="R1177"/>
        </row>
        <row r="1178">
          <cell r="C1178"/>
          <cell r="D1178"/>
          <cell r="E1178"/>
          <cell r="G1178"/>
          <cell r="M1178"/>
          <cell r="N1178"/>
          <cell r="R1178"/>
        </row>
        <row r="1179">
          <cell r="C1179"/>
          <cell r="D1179"/>
          <cell r="E1179"/>
          <cell r="G1179"/>
          <cell r="M1179"/>
          <cell r="N1179"/>
          <cell r="R1179"/>
        </row>
        <row r="1180">
          <cell r="C1180"/>
          <cell r="D1180"/>
          <cell r="E1180"/>
          <cell r="G1180"/>
          <cell r="M1180"/>
          <cell r="N1180"/>
          <cell r="R1180"/>
        </row>
        <row r="1181">
          <cell r="C1181"/>
          <cell r="D1181"/>
          <cell r="E1181"/>
          <cell r="G1181"/>
          <cell r="M1181"/>
          <cell r="N1181"/>
          <cell r="R1181"/>
        </row>
        <row r="1182">
          <cell r="C1182"/>
          <cell r="D1182"/>
          <cell r="E1182"/>
          <cell r="G1182"/>
          <cell r="M1182"/>
          <cell r="N1182"/>
          <cell r="R1182"/>
        </row>
        <row r="1183">
          <cell r="C1183"/>
          <cell r="D1183"/>
          <cell r="E1183"/>
          <cell r="G1183"/>
          <cell r="M1183"/>
          <cell r="N1183"/>
          <cell r="R1183"/>
        </row>
        <row r="1184">
          <cell r="C1184"/>
          <cell r="D1184"/>
          <cell r="E1184"/>
          <cell r="G1184"/>
          <cell r="M1184"/>
          <cell r="N1184"/>
          <cell r="R1184"/>
        </row>
        <row r="1185">
          <cell r="C1185"/>
          <cell r="D1185"/>
          <cell r="E1185"/>
          <cell r="G1185"/>
          <cell r="M1185"/>
          <cell r="N1185"/>
          <cell r="R1185"/>
        </row>
        <row r="1186">
          <cell r="C1186"/>
          <cell r="D1186"/>
          <cell r="E1186"/>
          <cell r="G1186"/>
          <cell r="M1186"/>
          <cell r="N1186"/>
          <cell r="R1186"/>
        </row>
        <row r="1187">
          <cell r="C1187"/>
          <cell r="D1187"/>
          <cell r="E1187"/>
          <cell r="G1187"/>
          <cell r="M1187"/>
          <cell r="N1187"/>
          <cell r="R1187"/>
        </row>
        <row r="1188">
          <cell r="C1188"/>
          <cell r="D1188"/>
          <cell r="E1188"/>
          <cell r="G1188"/>
          <cell r="M1188"/>
          <cell r="N1188"/>
          <cell r="R1188"/>
        </row>
        <row r="1189">
          <cell r="C1189"/>
          <cell r="D1189"/>
          <cell r="E1189"/>
          <cell r="G1189"/>
          <cell r="M1189"/>
          <cell r="N1189"/>
          <cell r="R1189"/>
        </row>
        <row r="1190">
          <cell r="C1190"/>
          <cell r="D1190"/>
          <cell r="E1190"/>
          <cell r="G1190"/>
          <cell r="M1190"/>
          <cell r="N1190"/>
          <cell r="R1190"/>
        </row>
        <row r="1191">
          <cell r="C1191"/>
          <cell r="D1191"/>
          <cell r="E1191"/>
          <cell r="G1191"/>
          <cell r="M1191"/>
          <cell r="N1191"/>
          <cell r="R1191"/>
        </row>
        <row r="1192">
          <cell r="C1192"/>
          <cell r="D1192"/>
          <cell r="E1192"/>
          <cell r="G1192"/>
          <cell r="M1192"/>
          <cell r="N1192"/>
          <cell r="R1192"/>
        </row>
        <row r="1193">
          <cell r="C1193"/>
          <cell r="D1193"/>
          <cell r="E1193"/>
          <cell r="G1193"/>
          <cell r="M1193"/>
          <cell r="N1193"/>
          <cell r="R1193"/>
        </row>
        <row r="1194">
          <cell r="C1194"/>
          <cell r="D1194"/>
          <cell r="E1194"/>
          <cell r="G1194"/>
          <cell r="M1194"/>
          <cell r="N1194"/>
          <cell r="R1194"/>
        </row>
        <row r="1195">
          <cell r="C1195"/>
          <cell r="D1195"/>
          <cell r="E1195"/>
          <cell r="G1195"/>
          <cell r="M1195"/>
          <cell r="N1195"/>
          <cell r="R1195"/>
        </row>
        <row r="1196">
          <cell r="C1196"/>
          <cell r="D1196"/>
          <cell r="E1196"/>
          <cell r="G1196"/>
          <cell r="M1196"/>
          <cell r="N1196"/>
          <cell r="R1196"/>
        </row>
        <row r="1197">
          <cell r="C1197"/>
          <cell r="D1197"/>
          <cell r="E1197"/>
          <cell r="G1197"/>
          <cell r="M1197"/>
          <cell r="N1197"/>
          <cell r="R1197"/>
        </row>
        <row r="1198">
          <cell r="C1198"/>
          <cell r="D1198"/>
          <cell r="E1198"/>
          <cell r="G1198"/>
          <cell r="M1198"/>
          <cell r="N1198"/>
          <cell r="R1198"/>
        </row>
        <row r="1199">
          <cell r="C1199"/>
          <cell r="D1199"/>
          <cell r="E1199"/>
          <cell r="G1199"/>
          <cell r="M1199"/>
          <cell r="N1199"/>
          <cell r="R1199"/>
        </row>
        <row r="1200">
          <cell r="C1200"/>
          <cell r="D1200"/>
          <cell r="E1200"/>
          <cell r="G1200"/>
          <cell r="M1200"/>
          <cell r="N1200"/>
          <cell r="R1200"/>
        </row>
        <row r="1201">
          <cell r="C1201"/>
          <cell r="D1201"/>
          <cell r="E1201"/>
          <cell r="G1201"/>
          <cell r="M1201"/>
          <cell r="N1201"/>
          <cell r="R1201"/>
        </row>
        <row r="1202">
          <cell r="C1202"/>
          <cell r="D1202"/>
          <cell r="E1202"/>
          <cell r="G1202"/>
          <cell r="M1202"/>
          <cell r="N1202"/>
          <cell r="R1202"/>
        </row>
        <row r="1203">
          <cell r="C1203"/>
          <cell r="D1203"/>
          <cell r="E1203"/>
          <cell r="G1203"/>
          <cell r="M1203"/>
          <cell r="N1203"/>
          <cell r="R1203"/>
        </row>
        <row r="1204">
          <cell r="C1204"/>
          <cell r="D1204"/>
          <cell r="E1204"/>
          <cell r="G1204"/>
          <cell r="M1204"/>
          <cell r="N1204"/>
          <cell r="R1204"/>
        </row>
        <row r="1205">
          <cell r="C1205"/>
          <cell r="D1205"/>
          <cell r="E1205"/>
          <cell r="G1205"/>
          <cell r="M1205"/>
          <cell r="N1205"/>
          <cell r="R1205"/>
        </row>
        <row r="1206">
          <cell r="C1206"/>
          <cell r="D1206"/>
          <cell r="E1206"/>
          <cell r="G1206"/>
          <cell r="M1206"/>
          <cell r="N1206"/>
          <cell r="R1206"/>
        </row>
        <row r="1207">
          <cell r="C1207"/>
          <cell r="D1207"/>
          <cell r="E1207"/>
          <cell r="G1207"/>
          <cell r="M1207"/>
          <cell r="N1207"/>
          <cell r="R1207"/>
        </row>
        <row r="1208">
          <cell r="C1208"/>
          <cell r="D1208"/>
          <cell r="E1208"/>
          <cell r="G1208"/>
          <cell r="M1208"/>
          <cell r="N1208"/>
          <cell r="R1208"/>
        </row>
        <row r="1209">
          <cell r="C1209"/>
          <cell r="D1209"/>
          <cell r="E1209"/>
          <cell r="G1209"/>
          <cell r="M1209"/>
          <cell r="N1209"/>
          <cell r="R1209"/>
        </row>
        <row r="1210">
          <cell r="C1210"/>
          <cell r="D1210"/>
          <cell r="E1210"/>
          <cell r="G1210"/>
          <cell r="M1210"/>
          <cell r="N1210"/>
          <cell r="R1210"/>
        </row>
        <row r="1211">
          <cell r="C1211"/>
          <cell r="D1211"/>
          <cell r="E1211"/>
          <cell r="G1211"/>
          <cell r="M1211"/>
          <cell r="N1211"/>
          <cell r="R1211"/>
        </row>
        <row r="1212">
          <cell r="C1212"/>
          <cell r="D1212"/>
          <cell r="E1212"/>
          <cell r="G1212"/>
          <cell r="M1212"/>
          <cell r="N1212"/>
          <cell r="R1212"/>
        </row>
        <row r="1213">
          <cell r="C1213"/>
          <cell r="D1213"/>
          <cell r="E1213"/>
          <cell r="G1213"/>
          <cell r="M1213"/>
          <cell r="N1213"/>
          <cell r="R1213"/>
        </row>
        <row r="1214">
          <cell r="C1214"/>
          <cell r="D1214"/>
          <cell r="E1214"/>
          <cell r="G1214"/>
          <cell r="M1214"/>
          <cell r="N1214"/>
          <cell r="R1214"/>
        </row>
        <row r="1215">
          <cell r="C1215"/>
          <cell r="D1215"/>
          <cell r="E1215"/>
          <cell r="G1215"/>
          <cell r="M1215"/>
          <cell r="N1215"/>
          <cell r="R1215"/>
        </row>
        <row r="1216">
          <cell r="C1216"/>
          <cell r="D1216"/>
          <cell r="E1216"/>
          <cell r="G1216"/>
          <cell r="M1216"/>
          <cell r="N1216"/>
          <cell r="R1216"/>
        </row>
        <row r="1217">
          <cell r="C1217"/>
          <cell r="D1217"/>
          <cell r="E1217"/>
          <cell r="G1217"/>
          <cell r="M1217"/>
          <cell r="N1217"/>
          <cell r="R1217"/>
        </row>
        <row r="1218">
          <cell r="C1218"/>
          <cell r="D1218"/>
          <cell r="E1218"/>
          <cell r="G1218"/>
          <cell r="M1218"/>
          <cell r="N1218"/>
          <cell r="R1218"/>
        </row>
        <row r="1219">
          <cell r="C1219"/>
          <cell r="D1219"/>
          <cell r="E1219"/>
          <cell r="G1219"/>
          <cell r="M1219"/>
          <cell r="N1219"/>
          <cell r="R1219"/>
        </row>
        <row r="1220">
          <cell r="C1220"/>
          <cell r="D1220"/>
          <cell r="E1220"/>
          <cell r="G1220"/>
          <cell r="M1220"/>
          <cell r="N1220"/>
          <cell r="R1220"/>
        </row>
        <row r="1221">
          <cell r="C1221"/>
          <cell r="D1221"/>
          <cell r="E1221"/>
          <cell r="G1221"/>
          <cell r="M1221"/>
          <cell r="N1221"/>
          <cell r="R1221"/>
        </row>
        <row r="1222">
          <cell r="C1222"/>
          <cell r="D1222"/>
          <cell r="E1222"/>
          <cell r="G1222"/>
          <cell r="M1222"/>
          <cell r="N1222"/>
          <cell r="R1222"/>
        </row>
        <row r="1223">
          <cell r="C1223"/>
          <cell r="D1223"/>
          <cell r="E1223"/>
          <cell r="G1223"/>
          <cell r="M1223"/>
          <cell r="N1223"/>
          <cell r="R1223"/>
        </row>
        <row r="1224">
          <cell r="C1224"/>
          <cell r="D1224"/>
          <cell r="E1224"/>
          <cell r="G1224"/>
          <cell r="M1224"/>
          <cell r="N1224"/>
          <cell r="R1224"/>
        </row>
        <row r="1225">
          <cell r="C1225"/>
          <cell r="D1225"/>
          <cell r="E1225"/>
          <cell r="G1225"/>
          <cell r="M1225"/>
          <cell r="N1225"/>
          <cell r="R1225"/>
        </row>
        <row r="1226">
          <cell r="C1226"/>
          <cell r="D1226"/>
          <cell r="E1226"/>
          <cell r="G1226"/>
          <cell r="M1226"/>
          <cell r="N1226"/>
          <cell r="R1226"/>
        </row>
        <row r="1227">
          <cell r="C1227"/>
          <cell r="D1227"/>
          <cell r="E1227"/>
          <cell r="G1227"/>
          <cell r="M1227"/>
          <cell r="N1227"/>
          <cell r="R1227"/>
        </row>
        <row r="1228">
          <cell r="C1228"/>
          <cell r="D1228"/>
          <cell r="E1228"/>
          <cell r="G1228"/>
          <cell r="M1228"/>
          <cell r="N1228"/>
          <cell r="R1228"/>
        </row>
        <row r="1229">
          <cell r="C1229"/>
          <cell r="D1229"/>
          <cell r="E1229"/>
          <cell r="G1229"/>
          <cell r="M1229"/>
          <cell r="N1229"/>
          <cell r="R1229"/>
        </row>
        <row r="1230">
          <cell r="C1230"/>
          <cell r="D1230"/>
          <cell r="E1230"/>
          <cell r="G1230"/>
          <cell r="M1230"/>
          <cell r="N1230"/>
          <cell r="R1230"/>
        </row>
        <row r="1231">
          <cell r="C1231"/>
          <cell r="D1231"/>
          <cell r="E1231"/>
          <cell r="G1231"/>
          <cell r="M1231"/>
          <cell r="N1231"/>
          <cell r="R1231"/>
        </row>
        <row r="1232">
          <cell r="C1232"/>
          <cell r="D1232"/>
          <cell r="E1232"/>
          <cell r="G1232"/>
          <cell r="M1232"/>
          <cell r="N1232"/>
          <cell r="R1232"/>
        </row>
        <row r="1233">
          <cell r="C1233"/>
          <cell r="D1233"/>
          <cell r="E1233"/>
          <cell r="G1233"/>
          <cell r="M1233"/>
          <cell r="N1233"/>
          <cell r="R1233"/>
        </row>
        <row r="1234">
          <cell r="C1234"/>
          <cell r="D1234"/>
          <cell r="E1234"/>
          <cell r="G1234"/>
          <cell r="M1234"/>
          <cell r="N1234"/>
          <cell r="R1234"/>
        </row>
        <row r="1235">
          <cell r="C1235"/>
          <cell r="D1235"/>
          <cell r="E1235"/>
          <cell r="G1235"/>
          <cell r="M1235"/>
          <cell r="N1235"/>
          <cell r="R1235"/>
        </row>
        <row r="1236">
          <cell r="C1236"/>
          <cell r="D1236"/>
          <cell r="E1236"/>
          <cell r="G1236"/>
          <cell r="M1236"/>
          <cell r="N1236"/>
          <cell r="R1236"/>
        </row>
        <row r="1237">
          <cell r="C1237"/>
          <cell r="D1237"/>
          <cell r="E1237"/>
          <cell r="G1237"/>
          <cell r="M1237"/>
          <cell r="N1237"/>
          <cell r="R1237"/>
        </row>
        <row r="1238">
          <cell r="C1238"/>
          <cell r="D1238"/>
          <cell r="E1238"/>
          <cell r="G1238"/>
          <cell r="M1238"/>
          <cell r="N1238"/>
          <cell r="R1238"/>
        </row>
        <row r="1239">
          <cell r="C1239"/>
          <cell r="D1239"/>
          <cell r="E1239"/>
          <cell r="G1239"/>
          <cell r="M1239"/>
          <cell r="N1239"/>
          <cell r="R1239"/>
        </row>
        <row r="1240">
          <cell r="C1240"/>
          <cell r="D1240"/>
          <cell r="E1240"/>
          <cell r="G1240"/>
          <cell r="M1240"/>
          <cell r="N1240"/>
          <cell r="R1240"/>
        </row>
        <row r="1241">
          <cell r="C1241"/>
          <cell r="D1241"/>
          <cell r="E1241"/>
          <cell r="G1241"/>
          <cell r="M1241"/>
          <cell r="N1241"/>
          <cell r="R1241"/>
        </row>
        <row r="1242">
          <cell r="C1242"/>
          <cell r="D1242"/>
          <cell r="E1242"/>
          <cell r="G1242"/>
          <cell r="M1242"/>
          <cell r="N1242"/>
          <cell r="R1242"/>
        </row>
        <row r="1243">
          <cell r="C1243"/>
          <cell r="D1243"/>
          <cell r="E1243"/>
          <cell r="G1243"/>
          <cell r="M1243"/>
          <cell r="N1243"/>
          <cell r="R1243"/>
        </row>
        <row r="1244">
          <cell r="C1244"/>
          <cell r="D1244"/>
          <cell r="E1244"/>
          <cell r="G1244"/>
          <cell r="M1244"/>
          <cell r="N1244"/>
          <cell r="R1244"/>
        </row>
        <row r="1245">
          <cell r="C1245"/>
          <cell r="D1245"/>
          <cell r="E1245"/>
          <cell r="G1245"/>
          <cell r="M1245"/>
          <cell r="N1245"/>
          <cell r="R1245"/>
        </row>
        <row r="1246">
          <cell r="C1246"/>
          <cell r="D1246"/>
          <cell r="E1246"/>
          <cell r="G1246"/>
          <cell r="M1246"/>
          <cell r="N1246"/>
          <cell r="R1246"/>
        </row>
        <row r="1247">
          <cell r="C1247"/>
          <cell r="D1247"/>
          <cell r="E1247"/>
          <cell r="G1247"/>
          <cell r="M1247"/>
          <cell r="N1247"/>
          <cell r="R1247"/>
        </row>
        <row r="1248">
          <cell r="C1248"/>
          <cell r="D1248"/>
          <cell r="E1248"/>
          <cell r="G1248"/>
          <cell r="M1248"/>
          <cell r="N1248"/>
          <cell r="R1248"/>
        </row>
        <row r="1249">
          <cell r="C1249"/>
          <cell r="D1249"/>
          <cell r="E1249"/>
          <cell r="G1249"/>
          <cell r="M1249"/>
          <cell r="N1249"/>
          <cell r="R1249"/>
        </row>
        <row r="1250">
          <cell r="C1250"/>
          <cell r="D1250"/>
          <cell r="E1250"/>
          <cell r="G1250"/>
          <cell r="M1250"/>
          <cell r="N1250"/>
          <cell r="R1250"/>
        </row>
        <row r="1251">
          <cell r="C1251"/>
          <cell r="D1251"/>
          <cell r="E1251"/>
          <cell r="G1251"/>
          <cell r="M1251"/>
          <cell r="N1251"/>
          <cell r="R1251"/>
        </row>
        <row r="1252">
          <cell r="C1252"/>
          <cell r="D1252"/>
          <cell r="E1252"/>
          <cell r="G1252"/>
          <cell r="M1252"/>
          <cell r="N1252"/>
          <cell r="R1252"/>
        </row>
        <row r="1253">
          <cell r="C1253"/>
          <cell r="D1253"/>
          <cell r="E1253"/>
          <cell r="G1253"/>
          <cell r="M1253"/>
          <cell r="N1253"/>
          <cell r="R1253"/>
        </row>
        <row r="1254">
          <cell r="C1254"/>
          <cell r="D1254"/>
          <cell r="E1254"/>
          <cell r="G1254"/>
          <cell r="M1254"/>
          <cell r="N1254"/>
          <cell r="R1254"/>
        </row>
        <row r="1255">
          <cell r="C1255"/>
          <cell r="D1255"/>
          <cell r="E1255"/>
          <cell r="G1255"/>
          <cell r="M1255"/>
          <cell r="N1255"/>
          <cell r="R1255"/>
        </row>
        <row r="1256">
          <cell r="C1256"/>
          <cell r="D1256"/>
          <cell r="E1256"/>
          <cell r="G1256"/>
          <cell r="M1256"/>
          <cell r="N1256"/>
          <cell r="R1256"/>
        </row>
        <row r="1257">
          <cell r="C1257"/>
          <cell r="D1257"/>
          <cell r="E1257"/>
          <cell r="G1257"/>
          <cell r="M1257"/>
          <cell r="N1257"/>
          <cell r="R1257"/>
        </row>
        <row r="1258">
          <cell r="C1258"/>
          <cell r="D1258"/>
          <cell r="E1258"/>
          <cell r="G1258"/>
          <cell r="M1258"/>
          <cell r="N1258"/>
          <cell r="R1258"/>
        </row>
        <row r="1259">
          <cell r="C1259"/>
          <cell r="D1259"/>
          <cell r="E1259"/>
          <cell r="G1259"/>
          <cell r="M1259"/>
          <cell r="N1259"/>
          <cell r="R1259"/>
        </row>
        <row r="1260">
          <cell r="C1260"/>
          <cell r="D1260"/>
          <cell r="E1260"/>
          <cell r="G1260"/>
          <cell r="M1260"/>
          <cell r="N1260"/>
          <cell r="R1260"/>
        </row>
        <row r="1261">
          <cell r="C1261"/>
          <cell r="D1261"/>
          <cell r="E1261"/>
          <cell r="G1261"/>
          <cell r="M1261"/>
          <cell r="N1261"/>
          <cell r="R1261"/>
        </row>
        <row r="1262">
          <cell r="C1262"/>
          <cell r="D1262"/>
          <cell r="E1262"/>
          <cell r="G1262"/>
          <cell r="M1262"/>
          <cell r="N1262"/>
          <cell r="R1262"/>
        </row>
        <row r="1263">
          <cell r="C1263"/>
          <cell r="D1263"/>
          <cell r="E1263"/>
          <cell r="G1263"/>
          <cell r="M1263"/>
          <cell r="N1263"/>
          <cell r="R1263"/>
        </row>
        <row r="1264">
          <cell r="C1264"/>
          <cell r="D1264"/>
          <cell r="E1264"/>
          <cell r="G1264"/>
          <cell r="M1264"/>
          <cell r="N1264"/>
          <cell r="R1264"/>
        </row>
        <row r="1265">
          <cell r="C1265"/>
          <cell r="D1265"/>
          <cell r="E1265"/>
          <cell r="G1265"/>
          <cell r="M1265"/>
          <cell r="N1265"/>
          <cell r="R1265"/>
        </row>
        <row r="1266">
          <cell r="C1266"/>
          <cell r="D1266"/>
          <cell r="E1266"/>
          <cell r="G1266"/>
          <cell r="M1266"/>
          <cell r="N1266"/>
          <cell r="R1266"/>
        </row>
        <row r="1267">
          <cell r="C1267"/>
          <cell r="D1267"/>
          <cell r="E1267"/>
          <cell r="G1267"/>
          <cell r="M1267"/>
          <cell r="N1267"/>
          <cell r="R1267"/>
        </row>
        <row r="1268">
          <cell r="C1268"/>
          <cell r="D1268"/>
          <cell r="E1268"/>
          <cell r="G1268"/>
          <cell r="M1268"/>
          <cell r="N1268"/>
          <cell r="R1268"/>
        </row>
        <row r="1269">
          <cell r="C1269"/>
          <cell r="D1269"/>
          <cell r="E1269"/>
          <cell r="G1269"/>
          <cell r="M1269"/>
          <cell r="N1269"/>
          <cell r="R1269"/>
        </row>
        <row r="1270">
          <cell r="C1270"/>
          <cell r="D1270"/>
          <cell r="E1270"/>
          <cell r="G1270"/>
          <cell r="M1270"/>
          <cell r="N1270"/>
          <cell r="R1270"/>
        </row>
        <row r="1271">
          <cell r="C1271"/>
          <cell r="D1271"/>
          <cell r="E1271"/>
          <cell r="G1271"/>
          <cell r="M1271"/>
          <cell r="N1271"/>
          <cell r="R1271"/>
        </row>
        <row r="1272">
          <cell r="C1272"/>
          <cell r="D1272"/>
          <cell r="E1272"/>
          <cell r="G1272"/>
          <cell r="M1272"/>
          <cell r="N1272"/>
          <cell r="R1272"/>
        </row>
        <row r="1273">
          <cell r="C1273"/>
          <cell r="D1273"/>
          <cell r="E1273"/>
          <cell r="G1273"/>
          <cell r="M1273"/>
          <cell r="N1273"/>
          <cell r="R1273"/>
        </row>
        <row r="1274">
          <cell r="C1274"/>
          <cell r="D1274"/>
          <cell r="E1274"/>
          <cell r="G1274"/>
          <cell r="M1274"/>
          <cell r="N1274"/>
          <cell r="R1274"/>
        </row>
        <row r="1275">
          <cell r="C1275"/>
          <cell r="D1275"/>
          <cell r="E1275"/>
          <cell r="G1275"/>
          <cell r="M1275"/>
          <cell r="N1275"/>
          <cell r="R1275"/>
        </row>
        <row r="1276">
          <cell r="C1276"/>
          <cell r="D1276"/>
          <cell r="E1276"/>
          <cell r="G1276"/>
          <cell r="M1276"/>
          <cell r="N1276"/>
          <cell r="R1276"/>
        </row>
        <row r="1277">
          <cell r="C1277"/>
          <cell r="D1277"/>
          <cell r="E1277"/>
          <cell r="G1277"/>
          <cell r="M1277"/>
          <cell r="N1277"/>
          <cell r="R1277"/>
        </row>
        <row r="1278">
          <cell r="C1278"/>
          <cell r="D1278"/>
          <cell r="E1278"/>
          <cell r="G1278"/>
          <cell r="M1278"/>
          <cell r="N1278"/>
          <cell r="R1278"/>
        </row>
        <row r="1279">
          <cell r="C1279"/>
          <cell r="D1279"/>
          <cell r="E1279"/>
          <cell r="G1279"/>
          <cell r="M1279"/>
          <cell r="N1279"/>
          <cell r="R1279"/>
        </row>
        <row r="1280">
          <cell r="C1280"/>
          <cell r="D1280"/>
          <cell r="E1280"/>
          <cell r="G1280"/>
          <cell r="M1280"/>
          <cell r="N1280"/>
          <cell r="R1280"/>
        </row>
        <row r="1281">
          <cell r="C1281"/>
          <cell r="D1281"/>
          <cell r="E1281"/>
          <cell r="G1281"/>
          <cell r="M1281"/>
          <cell r="N1281"/>
          <cell r="R1281"/>
        </row>
        <row r="1282">
          <cell r="C1282"/>
          <cell r="D1282"/>
          <cell r="E1282"/>
          <cell r="G1282"/>
          <cell r="M1282"/>
          <cell r="N1282"/>
          <cell r="R1282"/>
        </row>
        <row r="1283">
          <cell r="C1283"/>
          <cell r="D1283"/>
          <cell r="E1283"/>
          <cell r="G1283"/>
          <cell r="M1283"/>
          <cell r="N1283"/>
          <cell r="R1283"/>
        </row>
        <row r="1284">
          <cell r="C1284"/>
          <cell r="D1284"/>
          <cell r="E1284"/>
          <cell r="G1284"/>
          <cell r="M1284"/>
          <cell r="N1284"/>
          <cell r="R1284"/>
        </row>
        <row r="1285">
          <cell r="C1285"/>
          <cell r="D1285"/>
          <cell r="E1285"/>
          <cell r="G1285"/>
          <cell r="M1285"/>
          <cell r="N1285"/>
          <cell r="R1285"/>
        </row>
        <row r="1286">
          <cell r="C1286"/>
          <cell r="D1286"/>
          <cell r="E1286"/>
          <cell r="G1286"/>
          <cell r="M1286"/>
          <cell r="N1286"/>
          <cell r="R1286"/>
        </row>
        <row r="1287">
          <cell r="C1287"/>
          <cell r="D1287"/>
          <cell r="E1287"/>
          <cell r="G1287"/>
          <cell r="M1287"/>
          <cell r="N1287"/>
          <cell r="R1287"/>
        </row>
        <row r="1288">
          <cell r="C1288"/>
          <cell r="D1288"/>
          <cell r="E1288"/>
          <cell r="G1288"/>
          <cell r="M1288"/>
          <cell r="N1288"/>
          <cell r="R1288"/>
        </row>
        <row r="1289">
          <cell r="C1289"/>
          <cell r="D1289"/>
          <cell r="E1289"/>
          <cell r="G1289"/>
          <cell r="M1289"/>
          <cell r="N1289"/>
          <cell r="R1289"/>
        </row>
        <row r="1290">
          <cell r="C1290"/>
          <cell r="D1290"/>
          <cell r="E1290"/>
          <cell r="G1290"/>
          <cell r="M1290"/>
          <cell r="N1290"/>
          <cell r="R1290"/>
        </row>
        <row r="1291">
          <cell r="C1291"/>
          <cell r="D1291"/>
          <cell r="E1291"/>
          <cell r="G1291"/>
          <cell r="M1291"/>
          <cell r="N1291"/>
          <cell r="R1291"/>
        </row>
        <row r="1292">
          <cell r="C1292"/>
          <cell r="D1292"/>
          <cell r="E1292"/>
          <cell r="G1292"/>
          <cell r="M1292"/>
          <cell r="N1292"/>
          <cell r="R1292"/>
        </row>
        <row r="1293">
          <cell r="C1293"/>
          <cell r="D1293"/>
          <cell r="E1293"/>
          <cell r="G1293"/>
          <cell r="M1293"/>
          <cell r="N1293"/>
          <cell r="R1293"/>
        </row>
        <row r="1294">
          <cell r="C1294"/>
          <cell r="D1294"/>
          <cell r="E1294"/>
          <cell r="G1294"/>
          <cell r="M1294"/>
          <cell r="N1294"/>
          <cell r="R1294"/>
        </row>
        <row r="1295">
          <cell r="C1295"/>
          <cell r="D1295"/>
          <cell r="E1295"/>
          <cell r="G1295"/>
          <cell r="M1295"/>
          <cell r="N1295"/>
          <cell r="R1295"/>
        </row>
        <row r="1296">
          <cell r="C1296"/>
          <cell r="D1296"/>
          <cell r="E1296"/>
          <cell r="G1296"/>
          <cell r="M1296"/>
          <cell r="N1296"/>
          <cell r="R1296"/>
        </row>
        <row r="1297">
          <cell r="C1297"/>
          <cell r="D1297"/>
          <cell r="E1297"/>
          <cell r="G1297"/>
          <cell r="M1297"/>
          <cell r="N1297"/>
          <cell r="R1297"/>
        </row>
        <row r="1298">
          <cell r="C1298"/>
          <cell r="D1298"/>
          <cell r="E1298"/>
          <cell r="G1298"/>
          <cell r="M1298"/>
          <cell r="N1298"/>
          <cell r="R1298"/>
        </row>
        <row r="1299">
          <cell r="C1299"/>
          <cell r="D1299"/>
          <cell r="E1299"/>
          <cell r="G1299"/>
          <cell r="M1299"/>
          <cell r="N1299"/>
          <cell r="R1299"/>
        </row>
        <row r="1300">
          <cell r="C1300"/>
          <cell r="D1300"/>
          <cell r="E1300"/>
          <cell r="G1300"/>
          <cell r="M1300"/>
          <cell r="N1300"/>
          <cell r="R1300"/>
        </row>
        <row r="1301">
          <cell r="C1301"/>
          <cell r="D1301"/>
          <cell r="E1301"/>
          <cell r="G1301"/>
          <cell r="M1301"/>
          <cell r="N1301"/>
          <cell r="R1301"/>
        </row>
        <row r="1302">
          <cell r="C1302"/>
          <cell r="D1302"/>
          <cell r="E1302"/>
          <cell r="G1302"/>
          <cell r="M1302"/>
          <cell r="N1302"/>
          <cell r="R1302"/>
        </row>
        <row r="1303">
          <cell r="C1303"/>
          <cell r="D1303"/>
          <cell r="E1303"/>
          <cell r="G1303"/>
          <cell r="M1303"/>
          <cell r="N1303"/>
          <cell r="R1303"/>
        </row>
        <row r="1304">
          <cell r="C1304"/>
          <cell r="D1304"/>
          <cell r="E1304"/>
          <cell r="G1304"/>
          <cell r="M1304"/>
          <cell r="N1304"/>
          <cell r="R1304"/>
        </row>
        <row r="1305">
          <cell r="C1305"/>
          <cell r="D1305"/>
          <cell r="E1305"/>
          <cell r="G1305"/>
          <cell r="M1305"/>
          <cell r="N1305"/>
          <cell r="R1305"/>
        </row>
        <row r="1306">
          <cell r="C1306"/>
          <cell r="D1306"/>
          <cell r="E1306"/>
          <cell r="G1306"/>
          <cell r="M1306"/>
          <cell r="N1306"/>
          <cell r="R1306"/>
        </row>
        <row r="1307">
          <cell r="C1307"/>
          <cell r="D1307"/>
          <cell r="E1307"/>
          <cell r="G1307"/>
          <cell r="M1307"/>
          <cell r="N1307"/>
          <cell r="R1307"/>
        </row>
        <row r="1308">
          <cell r="C1308"/>
          <cell r="D1308"/>
          <cell r="E1308"/>
          <cell r="G1308"/>
          <cell r="M1308"/>
          <cell r="N1308"/>
          <cell r="R1308"/>
        </row>
        <row r="1309">
          <cell r="C1309"/>
          <cell r="D1309"/>
          <cell r="E1309"/>
          <cell r="G1309"/>
          <cell r="M1309"/>
          <cell r="N1309"/>
          <cell r="R1309"/>
        </row>
        <row r="1310">
          <cell r="C1310"/>
          <cell r="D1310"/>
          <cell r="E1310"/>
          <cell r="G1310"/>
          <cell r="M1310"/>
          <cell r="N1310"/>
          <cell r="R1310"/>
        </row>
        <row r="1311">
          <cell r="C1311"/>
          <cell r="D1311"/>
          <cell r="E1311"/>
          <cell r="G1311"/>
          <cell r="M1311"/>
          <cell r="N1311"/>
          <cell r="R1311"/>
        </row>
        <row r="1312">
          <cell r="C1312"/>
          <cell r="D1312"/>
          <cell r="E1312"/>
          <cell r="G1312"/>
          <cell r="M1312"/>
          <cell r="N1312"/>
          <cell r="R1312"/>
        </row>
        <row r="1313">
          <cell r="C1313"/>
          <cell r="D1313"/>
          <cell r="E1313"/>
          <cell r="G1313"/>
          <cell r="M1313"/>
          <cell r="N1313"/>
          <cell r="R1313"/>
        </row>
        <row r="1314">
          <cell r="C1314"/>
          <cell r="D1314"/>
          <cell r="E1314"/>
          <cell r="G1314"/>
          <cell r="M1314"/>
          <cell r="N1314"/>
          <cell r="R1314"/>
        </row>
        <row r="1315">
          <cell r="C1315"/>
          <cell r="D1315"/>
          <cell r="E1315"/>
          <cell r="G1315"/>
          <cell r="M1315"/>
          <cell r="N1315"/>
          <cell r="R1315"/>
        </row>
        <row r="1316">
          <cell r="C1316"/>
          <cell r="D1316"/>
          <cell r="E1316"/>
          <cell r="G1316"/>
          <cell r="M1316"/>
          <cell r="N1316"/>
          <cell r="R1316"/>
        </row>
        <row r="1317">
          <cell r="C1317"/>
          <cell r="D1317"/>
          <cell r="E1317"/>
          <cell r="G1317"/>
          <cell r="M1317"/>
          <cell r="N1317"/>
          <cell r="R1317"/>
        </row>
        <row r="1318">
          <cell r="C1318"/>
          <cell r="D1318"/>
          <cell r="E1318"/>
          <cell r="G1318"/>
          <cell r="M1318"/>
          <cell r="N1318"/>
          <cell r="R1318"/>
        </row>
        <row r="1319">
          <cell r="C1319"/>
          <cell r="D1319"/>
          <cell r="E1319"/>
          <cell r="G1319"/>
          <cell r="M1319"/>
          <cell r="N1319"/>
          <cell r="R1319"/>
        </row>
        <row r="1320">
          <cell r="C1320"/>
          <cell r="D1320"/>
          <cell r="E1320"/>
          <cell r="G1320"/>
          <cell r="M1320"/>
          <cell r="N1320"/>
          <cell r="R1320"/>
        </row>
        <row r="1321">
          <cell r="C1321"/>
          <cell r="D1321"/>
          <cell r="E1321"/>
          <cell r="G1321"/>
          <cell r="M1321"/>
          <cell r="N1321"/>
          <cell r="R1321"/>
        </row>
        <row r="1322">
          <cell r="C1322"/>
          <cell r="D1322"/>
          <cell r="E1322"/>
          <cell r="G1322"/>
          <cell r="M1322"/>
          <cell r="N1322"/>
          <cell r="R1322"/>
        </row>
        <row r="1323">
          <cell r="C1323"/>
          <cell r="D1323"/>
          <cell r="E1323"/>
          <cell r="G1323"/>
          <cell r="M1323"/>
          <cell r="N1323"/>
          <cell r="R1323"/>
        </row>
        <row r="1324">
          <cell r="C1324"/>
          <cell r="D1324"/>
          <cell r="E1324"/>
          <cell r="G1324"/>
          <cell r="M1324"/>
          <cell r="N1324"/>
          <cell r="R1324"/>
        </row>
        <row r="1325">
          <cell r="C1325"/>
          <cell r="D1325"/>
          <cell r="E1325"/>
          <cell r="G1325"/>
          <cell r="M1325"/>
          <cell r="N1325"/>
          <cell r="R1325"/>
        </row>
        <row r="1326">
          <cell r="C1326"/>
          <cell r="D1326"/>
          <cell r="E1326"/>
          <cell r="G1326"/>
          <cell r="M1326"/>
          <cell r="N1326"/>
          <cell r="R1326"/>
        </row>
        <row r="1327">
          <cell r="C1327"/>
          <cell r="D1327"/>
          <cell r="E1327"/>
          <cell r="G1327"/>
          <cell r="M1327"/>
          <cell r="N1327"/>
          <cell r="R1327"/>
        </row>
        <row r="1328">
          <cell r="C1328"/>
          <cell r="D1328"/>
          <cell r="E1328"/>
          <cell r="G1328"/>
          <cell r="M1328"/>
          <cell r="N1328"/>
          <cell r="R1328"/>
        </row>
        <row r="1329">
          <cell r="C1329"/>
          <cell r="D1329"/>
          <cell r="E1329"/>
          <cell r="G1329"/>
          <cell r="M1329"/>
          <cell r="N1329"/>
          <cell r="R1329"/>
        </row>
        <row r="1330">
          <cell r="C1330"/>
          <cell r="D1330"/>
          <cell r="E1330"/>
          <cell r="G1330"/>
          <cell r="M1330"/>
          <cell r="N1330"/>
          <cell r="R1330"/>
        </row>
        <row r="1331">
          <cell r="C1331"/>
          <cell r="D1331"/>
          <cell r="E1331"/>
          <cell r="G1331"/>
          <cell r="M1331"/>
          <cell r="N1331"/>
          <cell r="R1331"/>
        </row>
        <row r="1332">
          <cell r="C1332"/>
          <cell r="D1332"/>
          <cell r="E1332"/>
          <cell r="G1332"/>
          <cell r="M1332"/>
          <cell r="N1332"/>
          <cell r="R1332"/>
        </row>
        <row r="1333">
          <cell r="C1333"/>
          <cell r="D1333"/>
          <cell r="E1333"/>
          <cell r="G1333"/>
          <cell r="M1333"/>
          <cell r="N1333"/>
          <cell r="R1333"/>
        </row>
        <row r="1334">
          <cell r="C1334"/>
          <cell r="D1334"/>
          <cell r="E1334"/>
          <cell r="G1334"/>
          <cell r="M1334"/>
          <cell r="N1334"/>
          <cell r="R1334"/>
        </row>
        <row r="1335">
          <cell r="C1335"/>
          <cell r="D1335"/>
          <cell r="E1335"/>
          <cell r="G1335"/>
          <cell r="M1335"/>
          <cell r="N1335"/>
          <cell r="R1335"/>
        </row>
        <row r="1336">
          <cell r="C1336"/>
          <cell r="D1336"/>
          <cell r="E1336"/>
          <cell r="G1336"/>
          <cell r="M1336"/>
          <cell r="N1336"/>
          <cell r="R1336"/>
        </row>
        <row r="1337">
          <cell r="C1337"/>
          <cell r="D1337"/>
          <cell r="E1337"/>
          <cell r="G1337"/>
          <cell r="M1337"/>
          <cell r="N1337"/>
          <cell r="R1337"/>
        </row>
        <row r="1338">
          <cell r="C1338"/>
          <cell r="D1338"/>
          <cell r="E1338"/>
          <cell r="G1338"/>
          <cell r="M1338"/>
          <cell r="N1338"/>
          <cell r="R1338"/>
        </row>
        <row r="1339">
          <cell r="C1339"/>
          <cell r="D1339"/>
          <cell r="E1339"/>
          <cell r="G1339"/>
          <cell r="M1339"/>
          <cell r="N1339"/>
          <cell r="R1339"/>
        </row>
        <row r="1340">
          <cell r="C1340"/>
          <cell r="D1340"/>
          <cell r="E1340"/>
          <cell r="G1340"/>
          <cell r="M1340"/>
          <cell r="N1340"/>
          <cell r="R1340"/>
        </row>
        <row r="1341">
          <cell r="C1341"/>
          <cell r="D1341"/>
          <cell r="E1341"/>
          <cell r="G1341"/>
          <cell r="M1341"/>
          <cell r="N1341"/>
          <cell r="R1341"/>
        </row>
        <row r="1342">
          <cell r="C1342"/>
          <cell r="D1342"/>
          <cell r="E1342"/>
          <cell r="G1342"/>
          <cell r="M1342"/>
          <cell r="N1342"/>
          <cell r="R1342"/>
        </row>
        <row r="1343">
          <cell r="C1343"/>
          <cell r="D1343"/>
          <cell r="E1343"/>
          <cell r="G1343"/>
          <cell r="M1343"/>
          <cell r="N1343"/>
          <cell r="R1343"/>
        </row>
        <row r="1344">
          <cell r="C1344"/>
          <cell r="D1344"/>
          <cell r="E1344"/>
          <cell r="G1344"/>
          <cell r="M1344"/>
          <cell r="N1344"/>
          <cell r="R1344"/>
        </row>
        <row r="1345">
          <cell r="C1345"/>
          <cell r="D1345"/>
          <cell r="E1345"/>
          <cell r="G1345"/>
          <cell r="M1345"/>
          <cell r="N1345"/>
          <cell r="R1345"/>
        </row>
        <row r="1346">
          <cell r="C1346"/>
          <cell r="D1346"/>
          <cell r="E1346"/>
          <cell r="G1346"/>
          <cell r="M1346"/>
          <cell r="N1346"/>
          <cell r="R1346"/>
        </row>
        <row r="1347">
          <cell r="C1347"/>
          <cell r="D1347"/>
          <cell r="E1347"/>
          <cell r="G1347"/>
          <cell r="M1347"/>
          <cell r="N1347"/>
          <cell r="R1347"/>
        </row>
        <row r="1348">
          <cell r="C1348"/>
          <cell r="D1348"/>
          <cell r="E1348"/>
          <cell r="G1348"/>
          <cell r="M1348"/>
          <cell r="N1348"/>
          <cell r="R1348"/>
        </row>
        <row r="1349">
          <cell r="C1349"/>
          <cell r="D1349"/>
          <cell r="E1349"/>
          <cell r="G1349"/>
          <cell r="M1349"/>
          <cell r="N1349"/>
          <cell r="R1349"/>
        </row>
        <row r="1350">
          <cell r="C1350"/>
          <cell r="D1350"/>
          <cell r="E1350"/>
          <cell r="G1350"/>
          <cell r="M1350"/>
          <cell r="N1350"/>
          <cell r="R1350"/>
        </row>
        <row r="1351">
          <cell r="C1351"/>
          <cell r="D1351"/>
          <cell r="E1351"/>
          <cell r="G1351"/>
          <cell r="M1351"/>
          <cell r="N1351"/>
          <cell r="R1351"/>
        </row>
        <row r="1352">
          <cell r="C1352"/>
          <cell r="D1352"/>
          <cell r="E1352"/>
          <cell r="G1352"/>
          <cell r="M1352"/>
          <cell r="N1352"/>
          <cell r="R1352"/>
        </row>
        <row r="1353">
          <cell r="C1353"/>
          <cell r="D1353"/>
          <cell r="E1353"/>
          <cell r="G1353"/>
          <cell r="M1353"/>
          <cell r="N1353"/>
          <cell r="R1353"/>
        </row>
        <row r="1354">
          <cell r="C1354"/>
          <cell r="D1354"/>
          <cell r="E1354"/>
          <cell r="G1354"/>
          <cell r="M1354"/>
          <cell r="N1354"/>
          <cell r="R1354"/>
        </row>
        <row r="1355">
          <cell r="C1355"/>
          <cell r="D1355"/>
          <cell r="E1355"/>
          <cell r="G1355"/>
          <cell r="M1355"/>
          <cell r="N1355"/>
          <cell r="R1355"/>
        </row>
        <row r="1356">
          <cell r="C1356"/>
          <cell r="D1356"/>
          <cell r="E1356"/>
          <cell r="G1356"/>
          <cell r="M1356"/>
          <cell r="N1356"/>
          <cell r="R1356"/>
        </row>
        <row r="1357">
          <cell r="C1357"/>
          <cell r="D1357"/>
          <cell r="E1357"/>
          <cell r="G1357"/>
          <cell r="M1357"/>
          <cell r="N1357"/>
          <cell r="R1357"/>
        </row>
        <row r="1358">
          <cell r="C1358"/>
          <cell r="D1358"/>
          <cell r="E1358"/>
          <cell r="G1358"/>
          <cell r="M1358"/>
          <cell r="N1358"/>
          <cell r="R1358"/>
        </row>
        <row r="1359">
          <cell r="C1359"/>
          <cell r="D1359"/>
          <cell r="E1359"/>
          <cell r="G1359"/>
          <cell r="M1359"/>
          <cell r="N1359"/>
          <cell r="R1359"/>
        </row>
        <row r="1360">
          <cell r="C1360"/>
          <cell r="D1360"/>
          <cell r="E1360"/>
          <cell r="G1360"/>
          <cell r="M1360"/>
          <cell r="N1360"/>
          <cell r="R1360"/>
        </row>
        <row r="1361">
          <cell r="C1361"/>
          <cell r="D1361"/>
          <cell r="E1361"/>
          <cell r="G1361"/>
          <cell r="M1361"/>
          <cell r="N1361"/>
          <cell r="R1361"/>
        </row>
        <row r="1362">
          <cell r="C1362"/>
          <cell r="D1362"/>
          <cell r="E1362"/>
          <cell r="G1362"/>
          <cell r="M1362"/>
          <cell r="N1362"/>
          <cell r="R1362"/>
        </row>
        <row r="1363">
          <cell r="C1363"/>
          <cell r="D1363"/>
          <cell r="E1363"/>
          <cell r="G1363"/>
          <cell r="M1363"/>
          <cell r="N1363"/>
          <cell r="R1363"/>
        </row>
        <row r="1364">
          <cell r="C1364"/>
          <cell r="D1364"/>
          <cell r="E1364"/>
          <cell r="G1364"/>
          <cell r="M1364"/>
          <cell r="N1364"/>
          <cell r="R1364"/>
        </row>
        <row r="1365">
          <cell r="C1365"/>
          <cell r="D1365"/>
          <cell r="E1365"/>
          <cell r="G1365"/>
          <cell r="M1365"/>
          <cell r="N1365"/>
          <cell r="R1365"/>
        </row>
        <row r="1366">
          <cell r="C1366"/>
          <cell r="D1366"/>
          <cell r="E1366"/>
          <cell r="G1366"/>
          <cell r="M1366"/>
          <cell r="N1366"/>
          <cell r="R1366"/>
        </row>
        <row r="1367">
          <cell r="C1367"/>
          <cell r="D1367"/>
          <cell r="E1367"/>
          <cell r="G1367"/>
          <cell r="M1367"/>
          <cell r="N1367"/>
          <cell r="R1367"/>
        </row>
        <row r="1368">
          <cell r="C1368"/>
          <cell r="D1368"/>
          <cell r="E1368"/>
          <cell r="G1368"/>
          <cell r="M1368"/>
          <cell r="N1368"/>
          <cell r="R1368"/>
        </row>
        <row r="1369">
          <cell r="C1369"/>
          <cell r="D1369"/>
          <cell r="E1369"/>
          <cell r="G1369"/>
          <cell r="M1369"/>
          <cell r="N1369"/>
          <cell r="R1369"/>
        </row>
        <row r="1370">
          <cell r="C1370"/>
          <cell r="D1370"/>
          <cell r="E1370"/>
          <cell r="G1370"/>
          <cell r="M1370"/>
          <cell r="N1370"/>
          <cell r="R1370"/>
        </row>
        <row r="1371">
          <cell r="C1371"/>
          <cell r="D1371"/>
          <cell r="E1371"/>
          <cell r="G1371"/>
          <cell r="M1371"/>
          <cell r="N1371"/>
          <cell r="R1371"/>
        </row>
        <row r="1372">
          <cell r="C1372"/>
          <cell r="D1372"/>
          <cell r="E1372"/>
          <cell r="G1372"/>
          <cell r="M1372"/>
          <cell r="N1372"/>
          <cell r="R1372"/>
        </row>
        <row r="1373">
          <cell r="C1373"/>
          <cell r="D1373"/>
          <cell r="E1373"/>
          <cell r="G1373"/>
          <cell r="M1373"/>
          <cell r="N1373"/>
          <cell r="R1373"/>
        </row>
        <row r="1374">
          <cell r="C1374"/>
          <cell r="D1374"/>
          <cell r="E1374"/>
          <cell r="G1374"/>
          <cell r="M1374"/>
          <cell r="N1374"/>
          <cell r="R1374"/>
        </row>
        <row r="1375">
          <cell r="C1375"/>
          <cell r="D1375"/>
          <cell r="E1375"/>
          <cell r="G1375"/>
          <cell r="M1375"/>
          <cell r="N1375"/>
          <cell r="R1375"/>
        </row>
        <row r="1376">
          <cell r="C1376"/>
          <cell r="D1376"/>
          <cell r="E1376"/>
          <cell r="G1376"/>
          <cell r="M1376"/>
          <cell r="N1376"/>
          <cell r="R1376"/>
        </row>
        <row r="1377">
          <cell r="C1377"/>
          <cell r="D1377"/>
          <cell r="E1377"/>
          <cell r="G1377"/>
          <cell r="M1377"/>
          <cell r="N1377"/>
          <cell r="R1377"/>
        </row>
        <row r="1378">
          <cell r="C1378"/>
          <cell r="D1378"/>
          <cell r="E1378"/>
          <cell r="G1378"/>
          <cell r="M1378"/>
          <cell r="N1378"/>
          <cell r="R1378"/>
        </row>
        <row r="1379">
          <cell r="C1379"/>
          <cell r="D1379"/>
          <cell r="E1379"/>
          <cell r="G1379"/>
          <cell r="M1379"/>
          <cell r="N1379"/>
          <cell r="R1379"/>
        </row>
        <row r="1380">
          <cell r="C1380"/>
          <cell r="D1380"/>
          <cell r="E1380"/>
          <cell r="G1380"/>
          <cell r="M1380"/>
          <cell r="N1380"/>
          <cell r="R1380"/>
        </row>
        <row r="1381">
          <cell r="C1381"/>
          <cell r="D1381"/>
          <cell r="E1381"/>
          <cell r="G1381"/>
          <cell r="M1381"/>
          <cell r="N1381"/>
          <cell r="R1381"/>
        </row>
        <row r="1382">
          <cell r="C1382"/>
          <cell r="D1382"/>
          <cell r="E1382"/>
          <cell r="G1382"/>
          <cell r="M1382"/>
          <cell r="N1382"/>
          <cell r="R1382"/>
        </row>
        <row r="1383">
          <cell r="C1383"/>
          <cell r="D1383"/>
          <cell r="E1383"/>
          <cell r="G1383"/>
          <cell r="M1383"/>
          <cell r="N1383"/>
          <cell r="R1383"/>
        </row>
        <row r="1384">
          <cell r="C1384"/>
          <cell r="D1384"/>
          <cell r="E1384"/>
          <cell r="G1384"/>
          <cell r="M1384"/>
          <cell r="N1384"/>
          <cell r="R1384"/>
        </row>
        <row r="1385">
          <cell r="C1385"/>
          <cell r="D1385"/>
          <cell r="E1385"/>
          <cell r="G1385"/>
          <cell r="M1385"/>
          <cell r="N1385"/>
          <cell r="R1385"/>
        </row>
        <row r="1386">
          <cell r="C1386"/>
          <cell r="D1386"/>
          <cell r="E1386"/>
          <cell r="G1386"/>
          <cell r="M1386"/>
          <cell r="N1386"/>
          <cell r="R1386"/>
        </row>
        <row r="1387">
          <cell r="C1387"/>
          <cell r="D1387"/>
          <cell r="E1387"/>
          <cell r="G1387"/>
          <cell r="M1387"/>
          <cell r="N1387"/>
          <cell r="R1387"/>
        </row>
        <row r="1388">
          <cell r="C1388"/>
          <cell r="D1388"/>
          <cell r="E1388"/>
          <cell r="G1388"/>
          <cell r="M1388"/>
          <cell r="N1388"/>
          <cell r="R1388"/>
        </row>
        <row r="1389">
          <cell r="C1389"/>
          <cell r="D1389"/>
          <cell r="E1389"/>
          <cell r="G1389"/>
          <cell r="M1389"/>
          <cell r="N1389"/>
          <cell r="R1389"/>
        </row>
        <row r="1390">
          <cell r="C1390"/>
          <cell r="D1390"/>
          <cell r="E1390"/>
          <cell r="G1390"/>
          <cell r="M1390"/>
          <cell r="N1390"/>
          <cell r="R1390"/>
        </row>
        <row r="1391">
          <cell r="C1391"/>
          <cell r="D1391"/>
          <cell r="E1391"/>
          <cell r="G1391"/>
          <cell r="M1391"/>
          <cell r="N1391"/>
          <cell r="R1391"/>
        </row>
        <row r="1392">
          <cell r="C1392"/>
          <cell r="D1392"/>
          <cell r="E1392"/>
          <cell r="G1392"/>
          <cell r="M1392"/>
          <cell r="N1392"/>
          <cell r="R1392"/>
        </row>
        <row r="1393">
          <cell r="C1393"/>
          <cell r="D1393"/>
          <cell r="E1393"/>
          <cell r="G1393"/>
          <cell r="M1393"/>
          <cell r="N1393"/>
          <cell r="R1393"/>
        </row>
        <row r="1394">
          <cell r="C1394"/>
          <cell r="D1394"/>
          <cell r="E1394"/>
          <cell r="G1394"/>
          <cell r="M1394"/>
          <cell r="N1394"/>
          <cell r="R1394"/>
        </row>
        <row r="1395">
          <cell r="C1395"/>
          <cell r="D1395"/>
          <cell r="E1395"/>
          <cell r="G1395"/>
          <cell r="M1395"/>
          <cell r="N1395"/>
          <cell r="R1395"/>
        </row>
        <row r="1396">
          <cell r="C1396"/>
          <cell r="D1396"/>
          <cell r="E1396"/>
          <cell r="G1396"/>
          <cell r="M1396"/>
          <cell r="N1396"/>
          <cell r="R1396"/>
        </row>
        <row r="1397">
          <cell r="C1397"/>
          <cell r="D1397"/>
          <cell r="E1397"/>
          <cell r="G1397"/>
          <cell r="M1397"/>
          <cell r="N1397"/>
          <cell r="R1397"/>
        </row>
        <row r="1398">
          <cell r="C1398"/>
          <cell r="D1398"/>
          <cell r="E1398"/>
          <cell r="G1398"/>
          <cell r="M1398"/>
          <cell r="N1398"/>
          <cell r="R1398"/>
        </row>
        <row r="1399">
          <cell r="C1399"/>
          <cell r="D1399"/>
          <cell r="E1399"/>
          <cell r="G1399"/>
          <cell r="M1399"/>
          <cell r="N1399"/>
          <cell r="R1399"/>
        </row>
        <row r="1400">
          <cell r="C1400"/>
          <cell r="D1400"/>
          <cell r="E1400"/>
          <cell r="G1400"/>
          <cell r="M1400"/>
          <cell r="N1400"/>
          <cell r="R1400"/>
        </row>
        <row r="1401">
          <cell r="C1401"/>
          <cell r="D1401"/>
          <cell r="E1401"/>
          <cell r="G1401"/>
          <cell r="M1401"/>
          <cell r="N1401"/>
          <cell r="R1401"/>
        </row>
        <row r="1402">
          <cell r="C1402"/>
          <cell r="D1402"/>
          <cell r="E1402"/>
          <cell r="G1402"/>
          <cell r="M1402"/>
          <cell r="N1402"/>
          <cell r="R1402"/>
        </row>
        <row r="1403">
          <cell r="C1403"/>
          <cell r="D1403"/>
          <cell r="E1403"/>
          <cell r="G1403"/>
          <cell r="M1403"/>
          <cell r="N1403"/>
          <cell r="R1403"/>
        </row>
        <row r="1404">
          <cell r="C1404"/>
          <cell r="D1404"/>
          <cell r="E1404"/>
          <cell r="G1404"/>
          <cell r="M1404"/>
          <cell r="N1404"/>
          <cell r="R1404"/>
        </row>
        <row r="1405">
          <cell r="C1405"/>
          <cell r="D1405"/>
          <cell r="E1405"/>
          <cell r="G1405"/>
          <cell r="M1405"/>
          <cell r="N1405"/>
          <cell r="R1405"/>
        </row>
        <row r="1406">
          <cell r="C1406"/>
          <cell r="D1406"/>
          <cell r="E1406"/>
          <cell r="G1406"/>
          <cell r="M1406"/>
          <cell r="N1406"/>
          <cell r="R1406"/>
        </row>
        <row r="1407">
          <cell r="C1407"/>
          <cell r="D1407"/>
          <cell r="E1407"/>
          <cell r="G1407"/>
          <cell r="M1407"/>
          <cell r="N1407"/>
          <cell r="R1407"/>
        </row>
        <row r="1408">
          <cell r="C1408"/>
          <cell r="D1408"/>
          <cell r="E1408"/>
          <cell r="G1408"/>
          <cell r="M1408"/>
          <cell r="N1408"/>
          <cell r="R1408"/>
        </row>
        <row r="1409">
          <cell r="C1409"/>
          <cell r="D1409"/>
          <cell r="E1409"/>
          <cell r="G1409"/>
          <cell r="M1409"/>
          <cell r="N1409"/>
          <cell r="R1409"/>
        </row>
        <row r="1410">
          <cell r="C1410"/>
          <cell r="D1410"/>
          <cell r="E1410"/>
          <cell r="G1410"/>
          <cell r="M1410"/>
          <cell r="N1410"/>
          <cell r="R1410"/>
        </row>
        <row r="1411">
          <cell r="C1411"/>
          <cell r="D1411"/>
          <cell r="E1411"/>
          <cell r="G1411"/>
          <cell r="M1411"/>
          <cell r="N1411"/>
          <cell r="R1411"/>
        </row>
        <row r="1412">
          <cell r="C1412"/>
          <cell r="D1412"/>
          <cell r="E1412"/>
          <cell r="G1412"/>
          <cell r="M1412"/>
          <cell r="N1412"/>
          <cell r="R1412"/>
        </row>
        <row r="1413">
          <cell r="C1413"/>
          <cell r="D1413"/>
          <cell r="E1413"/>
          <cell r="G1413"/>
          <cell r="M1413"/>
          <cell r="N1413"/>
          <cell r="R1413"/>
        </row>
        <row r="1414">
          <cell r="C1414"/>
          <cell r="D1414"/>
          <cell r="E1414"/>
          <cell r="G1414"/>
          <cell r="M1414"/>
          <cell r="N1414"/>
          <cell r="R1414"/>
        </row>
        <row r="1415">
          <cell r="C1415"/>
          <cell r="D1415"/>
          <cell r="E1415"/>
          <cell r="G1415"/>
          <cell r="M1415"/>
          <cell r="N1415"/>
          <cell r="R1415"/>
        </row>
        <row r="1416">
          <cell r="C1416"/>
          <cell r="D1416"/>
          <cell r="E1416"/>
          <cell r="G1416"/>
          <cell r="M1416"/>
          <cell r="N1416"/>
          <cell r="R1416"/>
        </row>
        <row r="1417">
          <cell r="C1417"/>
          <cell r="D1417"/>
          <cell r="E1417"/>
          <cell r="G1417"/>
          <cell r="M1417"/>
          <cell r="N1417"/>
          <cell r="R1417"/>
        </row>
        <row r="1418">
          <cell r="C1418"/>
          <cell r="D1418"/>
          <cell r="E1418"/>
          <cell r="G1418"/>
          <cell r="M1418"/>
          <cell r="N1418"/>
          <cell r="R1418"/>
        </row>
        <row r="1419">
          <cell r="C1419"/>
          <cell r="D1419"/>
          <cell r="E1419"/>
          <cell r="G1419"/>
          <cell r="M1419"/>
          <cell r="N1419"/>
          <cell r="R1419"/>
        </row>
        <row r="1420">
          <cell r="C1420"/>
          <cell r="D1420"/>
          <cell r="E1420"/>
          <cell r="G1420"/>
          <cell r="M1420"/>
          <cell r="N1420"/>
          <cell r="R1420"/>
        </row>
        <row r="1421">
          <cell r="C1421"/>
          <cell r="D1421"/>
          <cell r="E1421"/>
          <cell r="G1421"/>
          <cell r="M1421"/>
          <cell r="N1421"/>
          <cell r="R1421"/>
        </row>
        <row r="1422">
          <cell r="C1422"/>
          <cell r="D1422"/>
          <cell r="E1422"/>
          <cell r="G1422"/>
          <cell r="M1422"/>
          <cell r="N1422"/>
          <cell r="R1422"/>
        </row>
        <row r="1423">
          <cell r="C1423"/>
          <cell r="D1423"/>
          <cell r="E1423"/>
          <cell r="G1423"/>
          <cell r="M1423"/>
          <cell r="N1423"/>
          <cell r="R1423"/>
        </row>
        <row r="1424">
          <cell r="C1424"/>
          <cell r="D1424"/>
          <cell r="E1424"/>
          <cell r="G1424"/>
          <cell r="M1424"/>
          <cell r="N1424"/>
          <cell r="R1424"/>
        </row>
        <row r="1425">
          <cell r="C1425"/>
          <cell r="D1425"/>
          <cell r="E1425"/>
          <cell r="G1425"/>
          <cell r="M1425"/>
          <cell r="N1425"/>
          <cell r="R1425"/>
        </row>
        <row r="1426">
          <cell r="C1426"/>
          <cell r="D1426"/>
          <cell r="E1426"/>
          <cell r="G1426"/>
          <cell r="M1426"/>
          <cell r="N1426"/>
          <cell r="R1426"/>
        </row>
        <row r="1427">
          <cell r="C1427"/>
          <cell r="D1427"/>
          <cell r="E1427"/>
          <cell r="G1427"/>
          <cell r="M1427"/>
          <cell r="N1427"/>
          <cell r="R1427"/>
        </row>
        <row r="1428">
          <cell r="C1428"/>
          <cell r="D1428"/>
          <cell r="E1428"/>
          <cell r="G1428"/>
          <cell r="M1428"/>
          <cell r="N1428"/>
          <cell r="R1428"/>
        </row>
        <row r="1429">
          <cell r="C1429"/>
          <cell r="D1429"/>
          <cell r="E1429"/>
          <cell r="G1429"/>
          <cell r="M1429"/>
          <cell r="N1429"/>
          <cell r="R1429"/>
        </row>
        <row r="1430">
          <cell r="C1430"/>
          <cell r="D1430"/>
          <cell r="E1430"/>
          <cell r="G1430"/>
          <cell r="M1430"/>
          <cell r="N1430"/>
          <cell r="R1430"/>
        </row>
        <row r="1431">
          <cell r="C1431"/>
          <cell r="D1431"/>
          <cell r="E1431"/>
          <cell r="G1431"/>
          <cell r="M1431"/>
          <cell r="N1431"/>
          <cell r="R1431"/>
        </row>
        <row r="1432">
          <cell r="C1432"/>
          <cell r="D1432"/>
          <cell r="E1432"/>
          <cell r="G1432"/>
          <cell r="M1432"/>
          <cell r="N1432"/>
          <cell r="R1432"/>
        </row>
        <row r="1433">
          <cell r="C1433"/>
          <cell r="D1433"/>
          <cell r="E1433"/>
          <cell r="G1433"/>
          <cell r="M1433"/>
          <cell r="N1433"/>
          <cell r="R1433"/>
        </row>
        <row r="1434">
          <cell r="C1434"/>
          <cell r="D1434"/>
          <cell r="E1434"/>
          <cell r="G1434"/>
          <cell r="M1434"/>
          <cell r="N1434"/>
          <cell r="R1434"/>
        </row>
        <row r="1435">
          <cell r="C1435"/>
          <cell r="D1435"/>
          <cell r="E1435"/>
          <cell r="G1435"/>
          <cell r="M1435"/>
          <cell r="N1435"/>
          <cell r="R1435"/>
        </row>
        <row r="1436">
          <cell r="C1436"/>
          <cell r="D1436"/>
          <cell r="E1436"/>
          <cell r="G1436"/>
          <cell r="M1436"/>
          <cell r="N1436"/>
          <cell r="R1436"/>
        </row>
        <row r="1437">
          <cell r="C1437"/>
          <cell r="D1437"/>
          <cell r="E1437"/>
          <cell r="G1437"/>
          <cell r="M1437"/>
          <cell r="N1437"/>
          <cell r="R1437"/>
        </row>
        <row r="1438">
          <cell r="C1438"/>
          <cell r="D1438"/>
          <cell r="E1438"/>
          <cell r="G1438"/>
          <cell r="M1438"/>
          <cell r="N1438"/>
          <cell r="R1438"/>
        </row>
        <row r="1439">
          <cell r="C1439"/>
          <cell r="D1439"/>
          <cell r="E1439"/>
          <cell r="G1439"/>
          <cell r="M1439"/>
          <cell r="N1439"/>
          <cell r="R1439"/>
        </row>
        <row r="1440">
          <cell r="C1440"/>
          <cell r="D1440"/>
          <cell r="E1440"/>
          <cell r="G1440"/>
          <cell r="M1440"/>
          <cell r="N1440"/>
          <cell r="R1440"/>
        </row>
        <row r="1441">
          <cell r="C1441"/>
          <cell r="D1441"/>
          <cell r="E1441"/>
          <cell r="G1441"/>
          <cell r="M1441"/>
          <cell r="N1441"/>
          <cell r="R1441"/>
        </row>
        <row r="1442">
          <cell r="C1442"/>
          <cell r="D1442"/>
          <cell r="E1442"/>
          <cell r="G1442"/>
          <cell r="M1442"/>
          <cell r="N1442"/>
          <cell r="R1442"/>
        </row>
        <row r="1443">
          <cell r="C1443"/>
          <cell r="D1443"/>
          <cell r="E1443"/>
          <cell r="G1443"/>
          <cell r="M1443"/>
          <cell r="N1443"/>
          <cell r="R1443"/>
        </row>
        <row r="1444">
          <cell r="C1444"/>
          <cell r="D1444"/>
          <cell r="E1444"/>
          <cell r="G1444"/>
          <cell r="M1444"/>
          <cell r="N1444"/>
          <cell r="R1444"/>
        </row>
        <row r="1445">
          <cell r="C1445"/>
          <cell r="D1445"/>
          <cell r="E1445"/>
          <cell r="G1445"/>
          <cell r="M1445"/>
          <cell r="N1445"/>
          <cell r="R1445"/>
        </row>
        <row r="1446">
          <cell r="C1446"/>
          <cell r="D1446"/>
          <cell r="E1446"/>
          <cell r="G1446"/>
          <cell r="M1446"/>
          <cell r="N1446"/>
          <cell r="R1446"/>
        </row>
        <row r="1447">
          <cell r="C1447"/>
          <cell r="D1447"/>
          <cell r="E1447"/>
          <cell r="G1447"/>
          <cell r="M1447"/>
          <cell r="N1447"/>
          <cell r="R1447"/>
        </row>
        <row r="1448">
          <cell r="C1448"/>
          <cell r="D1448"/>
          <cell r="E1448"/>
          <cell r="G1448"/>
          <cell r="M1448"/>
          <cell r="N1448"/>
          <cell r="R1448"/>
        </row>
        <row r="1449">
          <cell r="C1449"/>
          <cell r="D1449"/>
          <cell r="E1449"/>
          <cell r="G1449"/>
          <cell r="M1449"/>
          <cell r="N1449"/>
          <cell r="R1449"/>
        </row>
        <row r="1450">
          <cell r="C1450"/>
          <cell r="D1450"/>
          <cell r="E1450"/>
          <cell r="G1450"/>
          <cell r="M1450"/>
          <cell r="N1450"/>
          <cell r="R1450"/>
        </row>
        <row r="1451">
          <cell r="C1451"/>
          <cell r="D1451"/>
          <cell r="E1451"/>
          <cell r="G1451"/>
          <cell r="M1451"/>
          <cell r="N1451"/>
          <cell r="R1451"/>
        </row>
        <row r="1452">
          <cell r="C1452"/>
          <cell r="D1452"/>
          <cell r="E1452"/>
          <cell r="G1452"/>
          <cell r="M1452"/>
          <cell r="N1452"/>
          <cell r="R1452"/>
        </row>
        <row r="1453">
          <cell r="C1453"/>
          <cell r="D1453"/>
          <cell r="E1453"/>
          <cell r="G1453"/>
          <cell r="M1453"/>
          <cell r="N1453"/>
          <cell r="R1453"/>
        </row>
        <row r="1454">
          <cell r="C1454"/>
          <cell r="D1454"/>
          <cell r="E1454"/>
          <cell r="G1454"/>
          <cell r="M1454"/>
          <cell r="N1454"/>
          <cell r="R1454"/>
        </row>
        <row r="1455">
          <cell r="C1455"/>
          <cell r="D1455"/>
          <cell r="E1455"/>
          <cell r="G1455"/>
          <cell r="M1455"/>
          <cell r="N1455"/>
          <cell r="R1455"/>
        </row>
        <row r="1456">
          <cell r="C1456"/>
          <cell r="D1456"/>
          <cell r="E1456"/>
          <cell r="G1456"/>
          <cell r="M1456"/>
          <cell r="N1456"/>
          <cell r="R1456"/>
        </row>
        <row r="1457">
          <cell r="C1457"/>
          <cell r="D1457"/>
          <cell r="E1457"/>
          <cell r="G1457"/>
          <cell r="M1457"/>
          <cell r="N1457"/>
          <cell r="R1457"/>
        </row>
        <row r="1458">
          <cell r="C1458"/>
          <cell r="D1458"/>
          <cell r="E1458"/>
          <cell r="G1458"/>
          <cell r="M1458"/>
          <cell r="N1458"/>
          <cell r="R1458"/>
        </row>
        <row r="1459">
          <cell r="C1459"/>
          <cell r="D1459"/>
          <cell r="E1459"/>
          <cell r="G1459"/>
          <cell r="M1459"/>
          <cell r="N1459"/>
          <cell r="R1459"/>
        </row>
        <row r="1460">
          <cell r="C1460"/>
          <cell r="D1460"/>
          <cell r="E1460"/>
          <cell r="G1460"/>
          <cell r="M1460"/>
          <cell r="N1460"/>
          <cell r="R1460"/>
        </row>
        <row r="1461">
          <cell r="C1461"/>
          <cell r="D1461"/>
          <cell r="E1461"/>
          <cell r="G1461"/>
          <cell r="M1461"/>
          <cell r="N1461"/>
          <cell r="R1461"/>
        </row>
        <row r="1462">
          <cell r="C1462"/>
          <cell r="D1462"/>
          <cell r="E1462"/>
          <cell r="G1462"/>
          <cell r="M1462"/>
          <cell r="N1462"/>
          <cell r="R1462"/>
        </row>
        <row r="1463">
          <cell r="C1463"/>
          <cell r="D1463"/>
          <cell r="E1463"/>
          <cell r="G1463"/>
          <cell r="M1463"/>
          <cell r="N1463"/>
          <cell r="R1463"/>
        </row>
        <row r="1464">
          <cell r="C1464"/>
          <cell r="D1464"/>
          <cell r="E1464"/>
          <cell r="G1464"/>
          <cell r="M1464"/>
          <cell r="N1464"/>
          <cell r="R1464"/>
        </row>
        <row r="1465">
          <cell r="C1465"/>
          <cell r="D1465"/>
          <cell r="E1465"/>
          <cell r="G1465"/>
          <cell r="M1465"/>
          <cell r="N1465"/>
          <cell r="R1465"/>
        </row>
        <row r="1466">
          <cell r="C1466"/>
          <cell r="D1466"/>
          <cell r="E1466"/>
          <cell r="G1466"/>
          <cell r="M1466"/>
          <cell r="N1466"/>
          <cell r="R1466"/>
        </row>
        <row r="1467">
          <cell r="C1467"/>
          <cell r="D1467"/>
          <cell r="E1467"/>
          <cell r="G1467"/>
          <cell r="M1467"/>
          <cell r="N1467"/>
          <cell r="R1467"/>
        </row>
        <row r="1468">
          <cell r="C1468"/>
          <cell r="D1468"/>
          <cell r="E1468"/>
          <cell r="G1468"/>
          <cell r="M1468"/>
          <cell r="N1468"/>
          <cell r="R1468"/>
        </row>
        <row r="1469">
          <cell r="C1469"/>
          <cell r="D1469"/>
          <cell r="E1469"/>
          <cell r="G1469"/>
          <cell r="M1469"/>
          <cell r="N1469"/>
          <cell r="R1469"/>
        </row>
        <row r="1470">
          <cell r="C1470"/>
          <cell r="D1470"/>
          <cell r="E1470"/>
          <cell r="G1470"/>
          <cell r="M1470"/>
          <cell r="N1470"/>
          <cell r="R1470"/>
        </row>
        <row r="1471">
          <cell r="C1471"/>
          <cell r="D1471"/>
          <cell r="E1471"/>
          <cell r="G1471"/>
          <cell r="M1471"/>
          <cell r="N1471"/>
          <cell r="R1471"/>
        </row>
        <row r="1472">
          <cell r="C1472"/>
          <cell r="D1472"/>
          <cell r="E1472"/>
          <cell r="G1472"/>
          <cell r="M1472"/>
          <cell r="N1472"/>
          <cell r="R1472"/>
        </row>
        <row r="1473">
          <cell r="C1473"/>
          <cell r="D1473"/>
          <cell r="E1473"/>
          <cell r="G1473"/>
          <cell r="M1473"/>
          <cell r="N1473"/>
          <cell r="R1473"/>
        </row>
        <row r="1474">
          <cell r="C1474"/>
          <cell r="D1474"/>
          <cell r="E1474"/>
          <cell r="G1474"/>
          <cell r="M1474"/>
          <cell r="N1474"/>
          <cell r="R1474"/>
        </row>
        <row r="1475">
          <cell r="C1475"/>
          <cell r="D1475"/>
          <cell r="E1475"/>
          <cell r="G1475"/>
          <cell r="M1475"/>
          <cell r="N1475"/>
          <cell r="R1475"/>
        </row>
        <row r="1476">
          <cell r="C1476"/>
          <cell r="D1476"/>
          <cell r="E1476"/>
          <cell r="G1476"/>
          <cell r="M1476"/>
          <cell r="N1476"/>
          <cell r="R1476"/>
        </row>
        <row r="1477">
          <cell r="C1477"/>
          <cell r="D1477"/>
          <cell r="E1477"/>
          <cell r="G1477"/>
          <cell r="M1477"/>
          <cell r="N1477"/>
          <cell r="R1477"/>
        </row>
        <row r="1478">
          <cell r="C1478"/>
          <cell r="D1478"/>
          <cell r="E1478"/>
          <cell r="G1478"/>
          <cell r="M1478"/>
          <cell r="N1478"/>
          <cell r="R1478"/>
        </row>
        <row r="1479">
          <cell r="C1479"/>
          <cell r="D1479"/>
          <cell r="E1479"/>
          <cell r="G1479"/>
          <cell r="M1479"/>
          <cell r="N1479"/>
          <cell r="R1479"/>
        </row>
        <row r="1480">
          <cell r="C1480"/>
          <cell r="D1480"/>
          <cell r="E1480"/>
          <cell r="G1480"/>
          <cell r="M1480"/>
          <cell r="N1480"/>
          <cell r="R1480"/>
        </row>
        <row r="1481">
          <cell r="C1481"/>
          <cell r="D1481"/>
          <cell r="E1481"/>
          <cell r="G1481"/>
          <cell r="M1481"/>
          <cell r="N1481"/>
          <cell r="R1481"/>
        </row>
        <row r="1482">
          <cell r="C1482"/>
          <cell r="D1482"/>
          <cell r="E1482"/>
          <cell r="G1482"/>
          <cell r="M1482"/>
          <cell r="N1482"/>
          <cell r="R1482"/>
        </row>
        <row r="1483">
          <cell r="C1483"/>
          <cell r="D1483"/>
          <cell r="E1483"/>
          <cell r="G1483"/>
          <cell r="M1483"/>
          <cell r="N1483"/>
          <cell r="R1483"/>
        </row>
        <row r="1484">
          <cell r="C1484"/>
          <cell r="D1484"/>
          <cell r="E1484"/>
          <cell r="G1484"/>
          <cell r="M1484"/>
          <cell r="N1484"/>
          <cell r="R1484"/>
        </row>
        <row r="1485">
          <cell r="C1485"/>
          <cell r="D1485"/>
          <cell r="E1485"/>
          <cell r="G1485"/>
          <cell r="M1485"/>
          <cell r="N1485"/>
          <cell r="R1485"/>
        </row>
        <row r="1486">
          <cell r="C1486"/>
          <cell r="D1486"/>
          <cell r="E1486"/>
          <cell r="G1486"/>
          <cell r="M1486"/>
          <cell r="N1486"/>
          <cell r="R1486"/>
        </row>
        <row r="1487">
          <cell r="C1487"/>
          <cell r="D1487"/>
          <cell r="E1487"/>
          <cell r="G1487"/>
          <cell r="M1487"/>
          <cell r="N1487"/>
          <cell r="R1487"/>
        </row>
        <row r="1488">
          <cell r="C1488"/>
          <cell r="D1488"/>
          <cell r="E1488"/>
          <cell r="G1488"/>
          <cell r="M1488"/>
          <cell r="N1488"/>
          <cell r="R1488"/>
        </row>
        <row r="1489">
          <cell r="C1489"/>
          <cell r="D1489"/>
          <cell r="E1489"/>
          <cell r="G1489"/>
          <cell r="M1489"/>
          <cell r="N1489"/>
          <cell r="R1489"/>
        </row>
        <row r="1490">
          <cell r="C1490"/>
          <cell r="D1490"/>
          <cell r="E1490"/>
          <cell r="G1490"/>
          <cell r="M1490"/>
          <cell r="N1490"/>
          <cell r="R1490"/>
        </row>
        <row r="1491">
          <cell r="C1491"/>
          <cell r="D1491"/>
          <cell r="E1491"/>
          <cell r="G1491"/>
          <cell r="M1491"/>
          <cell r="N1491"/>
          <cell r="R1491"/>
        </row>
        <row r="1492">
          <cell r="C1492"/>
          <cell r="D1492"/>
          <cell r="E1492"/>
          <cell r="G1492"/>
          <cell r="M1492"/>
          <cell r="N1492"/>
          <cell r="R1492"/>
        </row>
        <row r="1493">
          <cell r="C1493"/>
          <cell r="D1493"/>
          <cell r="E1493"/>
          <cell r="G1493"/>
          <cell r="M1493"/>
          <cell r="N1493"/>
          <cell r="R1493"/>
        </row>
        <row r="1494">
          <cell r="C1494"/>
          <cell r="D1494"/>
          <cell r="E1494"/>
          <cell r="G1494"/>
          <cell r="M1494"/>
          <cell r="N1494"/>
          <cell r="R1494"/>
        </row>
        <row r="1495">
          <cell r="C1495"/>
          <cell r="D1495"/>
          <cell r="E1495"/>
          <cell r="G1495"/>
          <cell r="M1495"/>
          <cell r="N1495"/>
          <cell r="R1495"/>
        </row>
        <row r="1496">
          <cell r="C1496"/>
          <cell r="D1496"/>
          <cell r="E1496"/>
          <cell r="G1496"/>
          <cell r="M1496"/>
          <cell r="N1496"/>
          <cell r="R1496"/>
        </row>
        <row r="1497">
          <cell r="C1497"/>
          <cell r="D1497"/>
          <cell r="E1497"/>
          <cell r="G1497"/>
          <cell r="M1497"/>
          <cell r="N1497"/>
          <cell r="R1497"/>
        </row>
        <row r="1498">
          <cell r="C1498"/>
          <cell r="D1498"/>
          <cell r="E1498"/>
          <cell r="G1498"/>
          <cell r="M1498"/>
          <cell r="N1498"/>
          <cell r="R1498"/>
        </row>
        <row r="1499">
          <cell r="C1499"/>
          <cell r="D1499"/>
          <cell r="E1499"/>
          <cell r="G1499"/>
          <cell r="M1499"/>
          <cell r="N1499"/>
          <cell r="R1499"/>
        </row>
        <row r="1500">
          <cell r="C1500"/>
          <cell r="D1500"/>
          <cell r="E1500"/>
          <cell r="G1500"/>
          <cell r="M1500"/>
          <cell r="N1500"/>
          <cell r="R1500"/>
        </row>
        <row r="1501">
          <cell r="C1501"/>
          <cell r="D1501"/>
          <cell r="E1501"/>
          <cell r="G1501"/>
          <cell r="M1501"/>
          <cell r="N1501"/>
          <cell r="R1501"/>
        </row>
        <row r="1502">
          <cell r="C1502"/>
          <cell r="D1502"/>
          <cell r="E1502"/>
          <cell r="G1502"/>
          <cell r="M1502"/>
          <cell r="N1502"/>
          <cell r="R1502"/>
        </row>
        <row r="1503">
          <cell r="C1503"/>
          <cell r="D1503"/>
          <cell r="E1503"/>
          <cell r="G1503"/>
          <cell r="M1503"/>
          <cell r="N1503"/>
          <cell r="R1503"/>
        </row>
        <row r="1504">
          <cell r="C1504"/>
          <cell r="D1504"/>
          <cell r="E1504"/>
          <cell r="G1504"/>
          <cell r="M1504"/>
          <cell r="N1504"/>
          <cell r="R1504"/>
        </row>
        <row r="1505">
          <cell r="C1505"/>
          <cell r="D1505"/>
          <cell r="E1505"/>
          <cell r="G1505"/>
          <cell r="M1505"/>
          <cell r="N1505"/>
          <cell r="R1505"/>
        </row>
        <row r="1506">
          <cell r="C1506"/>
          <cell r="D1506"/>
          <cell r="E1506"/>
          <cell r="G1506"/>
          <cell r="M1506"/>
          <cell r="N1506"/>
          <cell r="R1506"/>
        </row>
        <row r="1507">
          <cell r="C1507"/>
          <cell r="D1507"/>
          <cell r="E1507"/>
          <cell r="G1507"/>
          <cell r="M1507"/>
          <cell r="N1507"/>
          <cell r="R1507"/>
        </row>
        <row r="1508">
          <cell r="C1508"/>
          <cell r="D1508"/>
          <cell r="E1508"/>
          <cell r="G1508"/>
          <cell r="M1508"/>
          <cell r="N1508"/>
          <cell r="R1508"/>
        </row>
        <row r="1509">
          <cell r="C1509"/>
          <cell r="D1509"/>
          <cell r="E1509"/>
          <cell r="G1509"/>
          <cell r="M1509"/>
          <cell r="N1509"/>
          <cell r="R1509"/>
        </row>
        <row r="1510">
          <cell r="C1510"/>
          <cell r="D1510"/>
          <cell r="E1510"/>
          <cell r="G1510"/>
          <cell r="M1510"/>
          <cell r="N1510"/>
          <cell r="R1510"/>
        </row>
        <row r="1511">
          <cell r="C1511"/>
          <cell r="D1511"/>
          <cell r="E1511"/>
          <cell r="G1511"/>
          <cell r="M1511"/>
          <cell r="N1511"/>
          <cell r="R1511"/>
        </row>
        <row r="1512">
          <cell r="C1512"/>
          <cell r="D1512"/>
          <cell r="E1512"/>
          <cell r="G1512"/>
          <cell r="M1512"/>
          <cell r="N1512"/>
          <cell r="R1512"/>
        </row>
        <row r="1513">
          <cell r="C1513"/>
          <cell r="D1513"/>
          <cell r="E1513"/>
          <cell r="G1513"/>
          <cell r="M1513"/>
          <cell r="N1513"/>
          <cell r="R1513"/>
        </row>
        <row r="1514">
          <cell r="C1514"/>
          <cell r="D1514"/>
          <cell r="E1514"/>
          <cell r="G1514"/>
          <cell r="M1514"/>
          <cell r="N1514"/>
          <cell r="R1514"/>
        </row>
        <row r="1515">
          <cell r="C1515"/>
          <cell r="D1515"/>
          <cell r="E1515"/>
          <cell r="G1515"/>
          <cell r="M1515"/>
          <cell r="N1515"/>
          <cell r="R1515"/>
        </row>
        <row r="1516">
          <cell r="C1516"/>
          <cell r="D1516"/>
          <cell r="E1516"/>
          <cell r="G1516"/>
          <cell r="M1516"/>
          <cell r="N1516"/>
          <cell r="R1516"/>
        </row>
        <row r="1517">
          <cell r="C1517"/>
          <cell r="D1517"/>
          <cell r="E1517"/>
          <cell r="G1517"/>
          <cell r="M1517"/>
          <cell r="N1517"/>
          <cell r="R1517"/>
        </row>
        <row r="1518">
          <cell r="C1518"/>
          <cell r="D1518"/>
          <cell r="E1518"/>
          <cell r="G1518"/>
          <cell r="M1518"/>
          <cell r="N1518"/>
          <cell r="R1518"/>
        </row>
        <row r="1519">
          <cell r="C1519"/>
          <cell r="D1519"/>
          <cell r="E1519"/>
          <cell r="G1519"/>
          <cell r="M1519"/>
          <cell r="N1519"/>
          <cell r="R1519"/>
        </row>
        <row r="1520">
          <cell r="C1520"/>
          <cell r="D1520"/>
          <cell r="E1520"/>
          <cell r="G1520"/>
          <cell r="M1520"/>
          <cell r="N1520"/>
          <cell r="R1520"/>
        </row>
        <row r="1521">
          <cell r="C1521"/>
          <cell r="D1521"/>
          <cell r="E1521"/>
          <cell r="G1521"/>
          <cell r="M1521"/>
          <cell r="N1521"/>
          <cell r="R1521"/>
        </row>
        <row r="1522">
          <cell r="C1522"/>
          <cell r="D1522"/>
          <cell r="E1522"/>
          <cell r="G1522"/>
          <cell r="M1522"/>
          <cell r="N1522"/>
          <cell r="R1522"/>
        </row>
        <row r="1523">
          <cell r="C1523"/>
          <cell r="D1523"/>
          <cell r="E1523"/>
          <cell r="G1523"/>
          <cell r="M1523"/>
          <cell r="N1523"/>
          <cell r="R1523"/>
        </row>
        <row r="1524">
          <cell r="C1524"/>
          <cell r="D1524"/>
          <cell r="E1524"/>
          <cell r="G1524"/>
          <cell r="M1524"/>
          <cell r="N1524"/>
          <cell r="R1524"/>
        </row>
        <row r="1525">
          <cell r="C1525"/>
          <cell r="D1525"/>
          <cell r="E1525"/>
          <cell r="G1525"/>
          <cell r="M1525"/>
          <cell r="N1525"/>
          <cell r="R1525"/>
        </row>
        <row r="1526">
          <cell r="C1526"/>
          <cell r="D1526"/>
          <cell r="E1526"/>
          <cell r="G1526"/>
          <cell r="M1526"/>
          <cell r="N1526"/>
          <cell r="R1526"/>
        </row>
        <row r="1527">
          <cell r="C1527"/>
          <cell r="D1527"/>
          <cell r="E1527"/>
          <cell r="G1527"/>
          <cell r="M1527"/>
          <cell r="N1527"/>
          <cell r="R1527"/>
        </row>
        <row r="1528">
          <cell r="C1528"/>
          <cell r="D1528"/>
          <cell r="E1528"/>
          <cell r="G1528"/>
          <cell r="M1528"/>
          <cell r="N1528"/>
          <cell r="R1528"/>
        </row>
        <row r="1529">
          <cell r="C1529"/>
          <cell r="D1529"/>
          <cell r="E1529"/>
          <cell r="G1529"/>
          <cell r="M1529"/>
          <cell r="N1529"/>
          <cell r="R1529"/>
        </row>
        <row r="1530">
          <cell r="C1530"/>
          <cell r="D1530"/>
          <cell r="E1530"/>
          <cell r="G1530"/>
          <cell r="M1530"/>
          <cell r="N1530"/>
          <cell r="R1530"/>
        </row>
        <row r="1531">
          <cell r="C1531"/>
          <cell r="D1531"/>
          <cell r="E1531"/>
          <cell r="G1531"/>
          <cell r="M1531"/>
          <cell r="N1531"/>
          <cell r="R1531"/>
        </row>
        <row r="1532">
          <cell r="C1532"/>
          <cell r="D1532"/>
          <cell r="E1532"/>
          <cell r="G1532"/>
          <cell r="M1532"/>
          <cell r="N1532"/>
          <cell r="R1532"/>
        </row>
        <row r="1533">
          <cell r="C1533"/>
          <cell r="D1533"/>
          <cell r="E1533"/>
          <cell r="G1533"/>
          <cell r="M1533"/>
          <cell r="N1533"/>
          <cell r="R1533"/>
        </row>
        <row r="1534">
          <cell r="C1534"/>
          <cell r="D1534"/>
          <cell r="E1534"/>
          <cell r="G1534"/>
          <cell r="M1534"/>
          <cell r="N1534"/>
          <cell r="R1534"/>
        </row>
        <row r="1535">
          <cell r="C1535"/>
          <cell r="D1535"/>
          <cell r="E1535"/>
          <cell r="G1535"/>
          <cell r="M1535"/>
          <cell r="N1535"/>
          <cell r="R1535"/>
        </row>
        <row r="1536">
          <cell r="C1536"/>
          <cell r="D1536"/>
          <cell r="E1536"/>
          <cell r="G1536"/>
          <cell r="M1536"/>
          <cell r="N1536"/>
          <cell r="R1536"/>
        </row>
        <row r="1537">
          <cell r="C1537"/>
          <cell r="D1537"/>
          <cell r="E1537"/>
          <cell r="G1537"/>
          <cell r="M1537"/>
          <cell r="N1537"/>
          <cell r="R1537"/>
        </row>
        <row r="1538">
          <cell r="C1538"/>
          <cell r="D1538"/>
          <cell r="E1538"/>
          <cell r="G1538"/>
          <cell r="M1538"/>
          <cell r="N1538"/>
          <cell r="R1538"/>
        </row>
        <row r="1539">
          <cell r="C1539"/>
          <cell r="D1539"/>
          <cell r="E1539"/>
          <cell r="G1539"/>
          <cell r="M1539"/>
          <cell r="N1539"/>
          <cell r="R1539"/>
        </row>
        <row r="1540">
          <cell r="C1540"/>
          <cell r="D1540"/>
          <cell r="E1540"/>
          <cell r="G1540"/>
          <cell r="M1540"/>
          <cell r="N1540"/>
          <cell r="R1540"/>
        </row>
        <row r="1541">
          <cell r="C1541"/>
          <cell r="D1541"/>
          <cell r="E1541"/>
          <cell r="G1541"/>
          <cell r="M1541"/>
          <cell r="N1541"/>
          <cell r="R1541"/>
        </row>
        <row r="1542">
          <cell r="C1542"/>
          <cell r="D1542"/>
          <cell r="E1542"/>
          <cell r="G1542"/>
          <cell r="M1542"/>
          <cell r="N1542"/>
          <cell r="R1542"/>
        </row>
        <row r="1543">
          <cell r="C1543"/>
          <cell r="D1543"/>
          <cell r="E1543"/>
          <cell r="G1543"/>
          <cell r="M1543"/>
          <cell r="N1543"/>
          <cell r="R1543"/>
        </row>
        <row r="1544">
          <cell r="C1544"/>
          <cell r="D1544"/>
          <cell r="E1544"/>
          <cell r="G1544"/>
          <cell r="M1544"/>
          <cell r="N1544"/>
          <cell r="R1544"/>
        </row>
        <row r="1545">
          <cell r="C1545"/>
          <cell r="D1545"/>
          <cell r="E1545"/>
          <cell r="G1545"/>
          <cell r="M1545"/>
          <cell r="N1545"/>
          <cell r="R1545"/>
        </row>
        <row r="1546">
          <cell r="C1546"/>
          <cell r="D1546"/>
          <cell r="E1546"/>
          <cell r="G1546"/>
          <cell r="M1546"/>
          <cell r="N1546"/>
          <cell r="R1546"/>
        </row>
        <row r="1547">
          <cell r="C1547"/>
          <cell r="D1547"/>
          <cell r="E1547"/>
          <cell r="G1547"/>
          <cell r="M1547"/>
          <cell r="N1547"/>
          <cell r="R1547"/>
        </row>
        <row r="1548">
          <cell r="C1548"/>
          <cell r="D1548"/>
          <cell r="E1548"/>
          <cell r="G1548"/>
          <cell r="M1548"/>
          <cell r="N1548"/>
          <cell r="R1548"/>
        </row>
        <row r="1549">
          <cell r="C1549"/>
          <cell r="D1549"/>
          <cell r="E1549"/>
          <cell r="G1549"/>
          <cell r="M1549"/>
          <cell r="N1549"/>
          <cell r="R1549"/>
        </row>
        <row r="1550">
          <cell r="C1550"/>
          <cell r="D1550"/>
          <cell r="E1550"/>
          <cell r="G1550"/>
          <cell r="M1550"/>
          <cell r="N1550"/>
          <cell r="R1550"/>
        </row>
        <row r="1551">
          <cell r="C1551"/>
          <cell r="D1551"/>
          <cell r="E1551"/>
          <cell r="G1551"/>
          <cell r="M1551"/>
          <cell r="N1551"/>
          <cell r="R1551"/>
        </row>
        <row r="1552">
          <cell r="C1552"/>
          <cell r="D1552"/>
          <cell r="E1552"/>
          <cell r="G1552"/>
          <cell r="M1552"/>
          <cell r="N1552"/>
          <cell r="R1552"/>
        </row>
        <row r="1553">
          <cell r="C1553"/>
          <cell r="D1553"/>
          <cell r="E1553"/>
          <cell r="G1553"/>
          <cell r="M1553"/>
          <cell r="N1553"/>
          <cell r="R1553"/>
        </row>
        <row r="1554">
          <cell r="C1554"/>
          <cell r="D1554"/>
          <cell r="E1554"/>
          <cell r="G1554"/>
          <cell r="M1554"/>
          <cell r="N1554"/>
          <cell r="R1554"/>
        </row>
        <row r="1555">
          <cell r="C1555"/>
          <cell r="D1555"/>
          <cell r="E1555"/>
          <cell r="G1555"/>
          <cell r="M1555"/>
          <cell r="N1555"/>
          <cell r="R1555"/>
        </row>
        <row r="1556">
          <cell r="C1556"/>
          <cell r="D1556"/>
          <cell r="E1556"/>
          <cell r="G1556"/>
          <cell r="M1556"/>
          <cell r="N1556"/>
          <cell r="R1556"/>
        </row>
        <row r="1557">
          <cell r="C1557"/>
          <cell r="D1557"/>
          <cell r="E1557"/>
          <cell r="G1557"/>
          <cell r="M1557"/>
          <cell r="N1557"/>
          <cell r="R1557"/>
        </row>
        <row r="1558">
          <cell r="C1558"/>
          <cell r="D1558"/>
          <cell r="E1558"/>
          <cell r="G1558"/>
          <cell r="M1558"/>
          <cell r="N1558"/>
          <cell r="R1558"/>
        </row>
        <row r="1559">
          <cell r="C1559"/>
          <cell r="D1559"/>
          <cell r="E1559"/>
          <cell r="G1559"/>
          <cell r="M1559"/>
          <cell r="N1559"/>
          <cell r="R1559"/>
        </row>
        <row r="1560">
          <cell r="C1560"/>
          <cell r="D1560"/>
          <cell r="E1560"/>
          <cell r="G1560"/>
          <cell r="M1560"/>
          <cell r="N1560"/>
          <cell r="R1560"/>
        </row>
        <row r="1561">
          <cell r="C1561"/>
          <cell r="D1561"/>
          <cell r="E1561"/>
          <cell r="G1561"/>
          <cell r="M1561"/>
          <cell r="N1561"/>
          <cell r="R1561"/>
        </row>
        <row r="1562">
          <cell r="C1562"/>
          <cell r="D1562"/>
          <cell r="E1562"/>
          <cell r="G1562"/>
          <cell r="M1562"/>
          <cell r="N1562"/>
          <cell r="R1562"/>
        </row>
        <row r="1563">
          <cell r="C1563"/>
          <cell r="D1563"/>
          <cell r="E1563"/>
          <cell r="G1563"/>
          <cell r="M1563"/>
          <cell r="N1563"/>
          <cell r="R1563"/>
        </row>
        <row r="1564">
          <cell r="C1564"/>
          <cell r="D1564"/>
          <cell r="E1564"/>
          <cell r="G1564"/>
          <cell r="M1564"/>
          <cell r="N1564"/>
          <cell r="R1564"/>
        </row>
        <row r="1565">
          <cell r="C1565"/>
          <cell r="D1565"/>
          <cell r="E1565"/>
          <cell r="G1565"/>
          <cell r="M1565"/>
          <cell r="N1565"/>
          <cell r="R1565"/>
        </row>
        <row r="1566">
          <cell r="C1566"/>
          <cell r="D1566"/>
          <cell r="E1566"/>
          <cell r="G1566"/>
          <cell r="M1566"/>
          <cell r="N1566"/>
          <cell r="R1566"/>
        </row>
        <row r="1567">
          <cell r="C1567"/>
          <cell r="D1567"/>
          <cell r="E1567"/>
          <cell r="G1567"/>
          <cell r="M1567"/>
          <cell r="N1567"/>
          <cell r="R1567"/>
        </row>
        <row r="1568">
          <cell r="C1568"/>
          <cell r="D1568"/>
          <cell r="E1568"/>
          <cell r="G1568"/>
          <cell r="M1568"/>
          <cell r="N1568"/>
          <cell r="R1568"/>
        </row>
        <row r="1569">
          <cell r="C1569"/>
          <cell r="D1569"/>
          <cell r="E1569"/>
          <cell r="G1569"/>
          <cell r="M1569"/>
          <cell r="N1569"/>
          <cell r="R1569"/>
        </row>
        <row r="1570">
          <cell r="C1570"/>
          <cell r="D1570"/>
          <cell r="E1570"/>
          <cell r="G1570"/>
          <cell r="M1570"/>
          <cell r="N1570"/>
          <cell r="R1570"/>
        </row>
        <row r="1571">
          <cell r="C1571"/>
          <cell r="D1571"/>
          <cell r="E1571"/>
          <cell r="G1571"/>
          <cell r="M1571"/>
          <cell r="N1571"/>
          <cell r="R1571"/>
        </row>
        <row r="1572">
          <cell r="C1572"/>
          <cell r="D1572"/>
          <cell r="E1572"/>
          <cell r="G1572"/>
          <cell r="M1572"/>
          <cell r="N1572"/>
          <cell r="R1572"/>
        </row>
        <row r="1573">
          <cell r="C1573"/>
          <cell r="D1573"/>
          <cell r="E1573"/>
          <cell r="G1573"/>
          <cell r="M1573"/>
          <cell r="N1573"/>
          <cell r="R1573"/>
        </row>
        <row r="1574">
          <cell r="C1574"/>
          <cell r="D1574"/>
          <cell r="E1574"/>
          <cell r="G1574"/>
          <cell r="M1574"/>
          <cell r="N1574"/>
          <cell r="R1574"/>
        </row>
        <row r="1575">
          <cell r="C1575"/>
          <cell r="D1575"/>
          <cell r="E1575"/>
          <cell r="G1575"/>
          <cell r="M1575"/>
          <cell r="N1575"/>
          <cell r="R1575"/>
        </row>
        <row r="1576">
          <cell r="C1576"/>
          <cell r="D1576"/>
          <cell r="E1576"/>
          <cell r="G1576"/>
          <cell r="M1576"/>
          <cell r="N1576"/>
          <cell r="R1576"/>
        </row>
        <row r="1577">
          <cell r="C1577"/>
          <cell r="D1577"/>
          <cell r="E1577"/>
          <cell r="G1577"/>
          <cell r="M1577"/>
          <cell r="N1577"/>
          <cell r="R1577"/>
        </row>
        <row r="1578">
          <cell r="C1578"/>
          <cell r="D1578"/>
          <cell r="E1578"/>
          <cell r="G1578"/>
          <cell r="M1578"/>
          <cell r="N1578"/>
          <cell r="R1578"/>
        </row>
        <row r="1579">
          <cell r="C1579"/>
          <cell r="D1579"/>
          <cell r="E1579"/>
          <cell r="G1579"/>
          <cell r="M1579"/>
          <cell r="N1579"/>
          <cell r="R1579"/>
        </row>
        <row r="1580">
          <cell r="C1580"/>
          <cell r="D1580"/>
          <cell r="E1580"/>
          <cell r="G1580"/>
          <cell r="M1580"/>
          <cell r="N1580"/>
          <cell r="R1580"/>
        </row>
        <row r="1581">
          <cell r="C1581"/>
          <cell r="D1581"/>
          <cell r="E1581"/>
          <cell r="G1581"/>
          <cell r="M1581"/>
          <cell r="N1581"/>
          <cell r="R1581"/>
        </row>
        <row r="1582">
          <cell r="C1582"/>
          <cell r="D1582"/>
          <cell r="E1582"/>
          <cell r="G1582"/>
          <cell r="M1582"/>
          <cell r="N1582"/>
          <cell r="R1582"/>
        </row>
        <row r="1583">
          <cell r="C1583"/>
          <cell r="D1583"/>
          <cell r="E1583"/>
          <cell r="G1583"/>
          <cell r="M1583"/>
          <cell r="N1583"/>
          <cell r="R1583"/>
        </row>
        <row r="1584">
          <cell r="C1584"/>
          <cell r="D1584"/>
          <cell r="E1584"/>
          <cell r="G1584"/>
          <cell r="M1584"/>
          <cell r="N1584"/>
          <cell r="R1584"/>
        </row>
        <row r="1585">
          <cell r="C1585"/>
          <cell r="D1585"/>
          <cell r="E1585"/>
          <cell r="G1585"/>
          <cell r="M1585"/>
          <cell r="N1585"/>
          <cell r="R1585"/>
        </row>
        <row r="1586">
          <cell r="C1586"/>
          <cell r="D1586"/>
          <cell r="E1586"/>
          <cell r="G1586"/>
          <cell r="M1586"/>
          <cell r="N1586"/>
          <cell r="R1586"/>
        </row>
        <row r="1587">
          <cell r="C1587"/>
          <cell r="D1587"/>
          <cell r="E1587"/>
          <cell r="G1587"/>
          <cell r="M1587"/>
          <cell r="N1587"/>
          <cell r="R1587"/>
        </row>
        <row r="1588">
          <cell r="C1588"/>
          <cell r="D1588"/>
          <cell r="E1588"/>
          <cell r="G1588"/>
          <cell r="M1588"/>
          <cell r="N1588"/>
          <cell r="R1588"/>
        </row>
        <row r="1589">
          <cell r="C1589"/>
          <cell r="D1589"/>
          <cell r="E1589"/>
          <cell r="G1589"/>
          <cell r="M1589"/>
          <cell r="N1589"/>
          <cell r="R1589"/>
        </row>
        <row r="1590">
          <cell r="C1590"/>
          <cell r="D1590"/>
          <cell r="E1590"/>
          <cell r="G1590"/>
          <cell r="M1590"/>
          <cell r="N1590"/>
          <cell r="R1590"/>
        </row>
        <row r="1591">
          <cell r="C1591"/>
          <cell r="D1591"/>
          <cell r="E1591"/>
          <cell r="G1591"/>
          <cell r="M1591"/>
          <cell r="N1591"/>
          <cell r="R1591"/>
        </row>
        <row r="1592">
          <cell r="C1592"/>
          <cell r="D1592"/>
          <cell r="E1592"/>
          <cell r="G1592"/>
          <cell r="M1592"/>
          <cell r="N1592"/>
          <cell r="R1592"/>
        </row>
        <row r="1593">
          <cell r="C1593"/>
          <cell r="D1593"/>
          <cell r="E1593"/>
          <cell r="G1593"/>
          <cell r="M1593"/>
          <cell r="N1593"/>
          <cell r="R1593"/>
        </row>
        <row r="1594">
          <cell r="C1594"/>
          <cell r="D1594"/>
          <cell r="E1594"/>
          <cell r="G1594"/>
          <cell r="M1594"/>
          <cell r="N1594"/>
          <cell r="R1594"/>
        </row>
        <row r="1595">
          <cell r="C1595"/>
          <cell r="D1595"/>
          <cell r="E1595"/>
          <cell r="G1595"/>
          <cell r="M1595"/>
          <cell r="N1595"/>
          <cell r="R1595"/>
        </row>
        <row r="1596">
          <cell r="C1596"/>
          <cell r="D1596"/>
          <cell r="E1596"/>
          <cell r="G1596"/>
          <cell r="M1596"/>
          <cell r="N1596"/>
          <cell r="R1596"/>
        </row>
        <row r="1597">
          <cell r="C1597"/>
          <cell r="D1597"/>
          <cell r="E1597"/>
          <cell r="G1597"/>
          <cell r="M1597"/>
          <cell r="N1597"/>
          <cell r="R1597"/>
        </row>
        <row r="1598">
          <cell r="C1598"/>
          <cell r="D1598"/>
          <cell r="E1598"/>
          <cell r="G1598"/>
          <cell r="M1598"/>
          <cell r="N1598"/>
          <cell r="R1598"/>
        </row>
        <row r="1599">
          <cell r="C1599"/>
          <cell r="D1599"/>
          <cell r="E1599"/>
          <cell r="G1599"/>
          <cell r="M1599"/>
          <cell r="N1599"/>
          <cell r="R1599"/>
        </row>
        <row r="1600">
          <cell r="C1600"/>
          <cell r="D1600"/>
          <cell r="E1600"/>
          <cell r="G1600"/>
          <cell r="M1600"/>
          <cell r="N1600"/>
          <cell r="R1600"/>
        </row>
        <row r="1601">
          <cell r="C1601"/>
          <cell r="D1601"/>
          <cell r="E1601"/>
          <cell r="G1601"/>
          <cell r="M1601"/>
          <cell r="N1601"/>
          <cell r="R1601"/>
        </row>
        <row r="1602">
          <cell r="C1602"/>
          <cell r="D1602"/>
          <cell r="E1602"/>
          <cell r="G1602"/>
          <cell r="M1602"/>
          <cell r="N1602"/>
          <cell r="R1602"/>
        </row>
        <row r="1603">
          <cell r="C1603"/>
          <cell r="D1603"/>
          <cell r="E1603"/>
          <cell r="G1603"/>
          <cell r="M1603"/>
          <cell r="N1603"/>
          <cell r="R1603"/>
        </row>
        <row r="1604">
          <cell r="C1604"/>
          <cell r="D1604"/>
          <cell r="E1604"/>
          <cell r="G1604"/>
          <cell r="M1604"/>
          <cell r="N1604"/>
          <cell r="R1604"/>
        </row>
        <row r="1605">
          <cell r="C1605"/>
          <cell r="D1605"/>
          <cell r="E1605"/>
          <cell r="G1605"/>
          <cell r="M1605"/>
          <cell r="N1605"/>
          <cell r="R1605"/>
        </row>
        <row r="1606">
          <cell r="C1606"/>
          <cell r="D1606"/>
          <cell r="E1606"/>
          <cell r="G1606"/>
          <cell r="M1606"/>
          <cell r="N1606"/>
          <cell r="R1606"/>
        </row>
        <row r="1607">
          <cell r="C1607"/>
          <cell r="D1607"/>
          <cell r="E1607"/>
          <cell r="G1607"/>
          <cell r="M1607"/>
          <cell r="N1607"/>
          <cell r="R1607"/>
        </row>
        <row r="1608">
          <cell r="C1608"/>
          <cell r="D1608"/>
          <cell r="E1608"/>
          <cell r="G1608"/>
          <cell r="M1608"/>
          <cell r="N1608"/>
          <cell r="R1608"/>
        </row>
        <row r="1609">
          <cell r="C1609"/>
          <cell r="D1609"/>
          <cell r="E1609"/>
          <cell r="G1609"/>
          <cell r="M1609"/>
          <cell r="N1609"/>
          <cell r="R1609"/>
        </row>
        <row r="1610">
          <cell r="C1610"/>
          <cell r="D1610"/>
          <cell r="E1610"/>
          <cell r="G1610"/>
          <cell r="M1610"/>
          <cell r="N1610"/>
          <cell r="R1610"/>
        </row>
        <row r="1611">
          <cell r="C1611"/>
          <cell r="D1611"/>
          <cell r="E1611"/>
          <cell r="G1611"/>
          <cell r="M1611"/>
          <cell r="N1611"/>
          <cell r="R1611"/>
        </row>
        <row r="1612">
          <cell r="C1612"/>
          <cell r="D1612"/>
          <cell r="E1612"/>
          <cell r="G1612"/>
          <cell r="M1612"/>
          <cell r="N1612"/>
          <cell r="R1612"/>
        </row>
        <row r="1613">
          <cell r="C1613"/>
          <cell r="D1613"/>
          <cell r="E1613"/>
          <cell r="G1613"/>
          <cell r="M1613"/>
          <cell r="N1613"/>
          <cell r="R1613"/>
        </row>
        <row r="1614">
          <cell r="C1614"/>
          <cell r="D1614"/>
          <cell r="E1614"/>
          <cell r="G1614"/>
          <cell r="M1614"/>
          <cell r="N1614"/>
          <cell r="R1614"/>
        </row>
        <row r="1615">
          <cell r="C1615"/>
          <cell r="D1615"/>
          <cell r="E1615"/>
          <cell r="G1615"/>
          <cell r="M1615"/>
          <cell r="N1615"/>
          <cell r="R1615"/>
        </row>
        <row r="1616">
          <cell r="C1616"/>
          <cell r="D1616"/>
          <cell r="E1616"/>
          <cell r="G1616"/>
          <cell r="M1616"/>
          <cell r="N1616"/>
          <cell r="R1616"/>
        </row>
        <row r="1617">
          <cell r="C1617"/>
          <cell r="D1617"/>
          <cell r="E1617"/>
          <cell r="G1617"/>
          <cell r="M1617"/>
          <cell r="N1617"/>
          <cell r="R1617"/>
        </row>
        <row r="1618">
          <cell r="C1618"/>
          <cell r="D1618"/>
          <cell r="E1618"/>
          <cell r="G1618"/>
          <cell r="M1618"/>
          <cell r="N1618"/>
          <cell r="R1618"/>
        </row>
        <row r="1619">
          <cell r="C1619"/>
          <cell r="D1619"/>
          <cell r="E1619"/>
          <cell r="G1619"/>
          <cell r="M1619"/>
          <cell r="N1619"/>
          <cell r="R1619"/>
        </row>
        <row r="1620">
          <cell r="C1620"/>
          <cell r="D1620"/>
          <cell r="E1620"/>
          <cell r="G1620"/>
          <cell r="M1620"/>
          <cell r="N1620"/>
          <cell r="R1620"/>
        </row>
        <row r="1621">
          <cell r="C1621"/>
          <cell r="D1621"/>
          <cell r="E1621"/>
          <cell r="G1621"/>
          <cell r="M1621"/>
          <cell r="N1621"/>
          <cell r="R1621"/>
        </row>
        <row r="1622">
          <cell r="C1622"/>
          <cell r="D1622"/>
          <cell r="E1622"/>
          <cell r="G1622"/>
          <cell r="M1622"/>
          <cell r="N1622"/>
          <cell r="R1622"/>
        </row>
        <row r="1623">
          <cell r="C1623"/>
          <cell r="D1623"/>
          <cell r="E1623"/>
          <cell r="G1623"/>
          <cell r="M1623"/>
          <cell r="N1623"/>
          <cell r="R1623"/>
        </row>
        <row r="1624">
          <cell r="C1624"/>
          <cell r="D1624"/>
          <cell r="E1624"/>
          <cell r="G1624"/>
          <cell r="M1624"/>
          <cell r="N1624"/>
          <cell r="R1624"/>
        </row>
        <row r="1625">
          <cell r="C1625"/>
          <cell r="D1625"/>
          <cell r="E1625"/>
          <cell r="G1625"/>
          <cell r="M1625"/>
          <cell r="N1625"/>
          <cell r="R1625"/>
        </row>
        <row r="1626">
          <cell r="C1626"/>
          <cell r="D1626"/>
          <cell r="E1626"/>
          <cell r="G1626"/>
          <cell r="M1626"/>
          <cell r="N1626"/>
          <cell r="R1626"/>
        </row>
        <row r="1627">
          <cell r="C1627"/>
          <cell r="D1627"/>
          <cell r="E1627"/>
          <cell r="G1627"/>
          <cell r="M1627"/>
          <cell r="N1627"/>
          <cell r="R1627"/>
        </row>
        <row r="1628">
          <cell r="C1628"/>
          <cell r="D1628"/>
          <cell r="E1628"/>
          <cell r="G1628"/>
          <cell r="M1628"/>
          <cell r="N1628"/>
          <cell r="R1628"/>
        </row>
        <row r="1629">
          <cell r="C1629"/>
          <cell r="D1629"/>
          <cell r="E1629"/>
          <cell r="G1629"/>
          <cell r="M1629"/>
          <cell r="N1629"/>
          <cell r="R1629"/>
        </row>
        <row r="1630">
          <cell r="C1630"/>
          <cell r="D1630"/>
          <cell r="E1630"/>
          <cell r="G1630"/>
          <cell r="M1630"/>
          <cell r="N1630"/>
          <cell r="R1630"/>
        </row>
        <row r="1631">
          <cell r="C1631"/>
          <cell r="D1631"/>
          <cell r="E1631"/>
          <cell r="G1631"/>
          <cell r="M1631"/>
          <cell r="N1631"/>
          <cell r="R1631"/>
        </row>
        <row r="1632">
          <cell r="C1632"/>
          <cell r="D1632"/>
          <cell r="E1632"/>
          <cell r="G1632"/>
          <cell r="M1632"/>
          <cell r="N1632"/>
          <cell r="R1632"/>
        </row>
        <row r="1633">
          <cell r="C1633"/>
          <cell r="D1633"/>
          <cell r="E1633"/>
          <cell r="G1633"/>
          <cell r="M1633"/>
          <cell r="N1633"/>
          <cell r="R1633"/>
        </row>
        <row r="1634">
          <cell r="C1634"/>
          <cell r="D1634"/>
          <cell r="E1634"/>
          <cell r="G1634"/>
          <cell r="M1634"/>
          <cell r="N1634"/>
          <cell r="R1634"/>
        </row>
        <row r="1635">
          <cell r="C1635"/>
          <cell r="D1635"/>
          <cell r="E1635"/>
          <cell r="G1635"/>
          <cell r="M1635"/>
          <cell r="N1635"/>
          <cell r="R1635"/>
        </row>
        <row r="1636">
          <cell r="C1636"/>
          <cell r="D1636"/>
          <cell r="E1636"/>
          <cell r="G1636"/>
          <cell r="M1636"/>
          <cell r="N1636"/>
          <cell r="R1636"/>
        </row>
        <row r="1637">
          <cell r="C1637"/>
          <cell r="D1637"/>
          <cell r="E1637"/>
          <cell r="G1637"/>
          <cell r="M1637"/>
          <cell r="N1637"/>
          <cell r="R1637"/>
        </row>
        <row r="1638">
          <cell r="C1638"/>
          <cell r="D1638"/>
          <cell r="E1638"/>
          <cell r="G1638"/>
          <cell r="M1638"/>
          <cell r="N1638"/>
          <cell r="R1638"/>
        </row>
        <row r="1639">
          <cell r="C1639"/>
          <cell r="D1639"/>
          <cell r="E1639"/>
          <cell r="G1639"/>
          <cell r="M1639"/>
          <cell r="N1639"/>
          <cell r="R1639"/>
        </row>
        <row r="1640">
          <cell r="C1640"/>
          <cell r="D1640"/>
          <cell r="E1640"/>
          <cell r="G1640"/>
          <cell r="M1640"/>
          <cell r="N1640"/>
          <cell r="R1640"/>
        </row>
        <row r="1641">
          <cell r="C1641"/>
          <cell r="D1641"/>
          <cell r="E1641"/>
          <cell r="G1641"/>
          <cell r="M1641"/>
          <cell r="N1641"/>
          <cell r="R1641"/>
        </row>
        <row r="1642">
          <cell r="C1642"/>
          <cell r="D1642"/>
          <cell r="E1642"/>
          <cell r="G1642"/>
          <cell r="M1642"/>
          <cell r="N1642"/>
          <cell r="R1642"/>
        </row>
        <row r="1643">
          <cell r="C1643"/>
          <cell r="D1643"/>
          <cell r="E1643"/>
          <cell r="G1643"/>
          <cell r="M1643"/>
          <cell r="N1643"/>
          <cell r="R1643"/>
        </row>
        <row r="1644">
          <cell r="C1644"/>
          <cell r="D1644"/>
          <cell r="E1644"/>
          <cell r="G1644"/>
          <cell r="M1644"/>
          <cell r="N1644"/>
          <cell r="R1644"/>
        </row>
        <row r="1645">
          <cell r="C1645"/>
          <cell r="D1645"/>
          <cell r="E1645"/>
          <cell r="G1645"/>
          <cell r="M1645"/>
          <cell r="N1645"/>
          <cell r="R1645"/>
        </row>
        <row r="1646">
          <cell r="C1646"/>
          <cell r="D1646"/>
          <cell r="E1646"/>
          <cell r="G1646"/>
          <cell r="M1646"/>
          <cell r="N1646"/>
          <cell r="R1646"/>
        </row>
        <row r="1647">
          <cell r="C1647"/>
          <cell r="D1647"/>
          <cell r="E1647"/>
          <cell r="G1647"/>
          <cell r="M1647"/>
          <cell r="N1647"/>
          <cell r="R1647"/>
        </row>
        <row r="1648">
          <cell r="C1648"/>
          <cell r="D1648"/>
          <cell r="E1648"/>
          <cell r="G1648"/>
          <cell r="M1648"/>
          <cell r="N1648"/>
          <cell r="R1648"/>
        </row>
        <row r="1649">
          <cell r="C1649"/>
          <cell r="D1649"/>
          <cell r="E1649"/>
          <cell r="G1649"/>
          <cell r="M1649"/>
          <cell r="N1649"/>
          <cell r="R1649"/>
        </row>
        <row r="1650">
          <cell r="C1650"/>
          <cell r="D1650"/>
          <cell r="E1650"/>
          <cell r="G1650"/>
          <cell r="M1650"/>
          <cell r="N1650"/>
          <cell r="R1650"/>
        </row>
        <row r="1651">
          <cell r="C1651"/>
          <cell r="D1651"/>
          <cell r="E1651"/>
          <cell r="G1651"/>
          <cell r="M1651"/>
          <cell r="N1651"/>
          <cell r="R1651"/>
        </row>
        <row r="1652">
          <cell r="C1652"/>
          <cell r="D1652"/>
          <cell r="E1652"/>
          <cell r="G1652"/>
          <cell r="M1652"/>
          <cell r="N1652"/>
          <cell r="R1652"/>
        </row>
        <row r="1653">
          <cell r="C1653"/>
          <cell r="D1653"/>
          <cell r="E1653"/>
          <cell r="G1653"/>
          <cell r="M1653"/>
          <cell r="N1653"/>
          <cell r="R1653"/>
        </row>
        <row r="1654">
          <cell r="C1654"/>
          <cell r="D1654"/>
          <cell r="E1654"/>
          <cell r="G1654"/>
          <cell r="M1654"/>
          <cell r="N1654"/>
          <cell r="R1654"/>
        </row>
        <row r="1655">
          <cell r="C1655"/>
          <cell r="D1655"/>
          <cell r="E1655"/>
          <cell r="G1655"/>
          <cell r="M1655"/>
          <cell r="N1655"/>
          <cell r="R1655"/>
        </row>
        <row r="1656">
          <cell r="C1656"/>
          <cell r="D1656"/>
          <cell r="E1656"/>
          <cell r="G1656"/>
          <cell r="M1656"/>
          <cell r="N1656"/>
          <cell r="R1656"/>
        </row>
        <row r="1657">
          <cell r="C1657"/>
          <cell r="D1657"/>
          <cell r="E1657"/>
          <cell r="G1657"/>
          <cell r="M1657"/>
          <cell r="N1657"/>
          <cell r="R1657"/>
        </row>
        <row r="1658">
          <cell r="C1658"/>
          <cell r="D1658"/>
          <cell r="E1658"/>
          <cell r="G1658"/>
          <cell r="M1658"/>
          <cell r="N1658"/>
          <cell r="R1658"/>
        </row>
        <row r="1659">
          <cell r="C1659"/>
          <cell r="D1659"/>
          <cell r="E1659"/>
          <cell r="G1659"/>
          <cell r="M1659"/>
          <cell r="N1659"/>
          <cell r="R1659"/>
        </row>
        <row r="1660">
          <cell r="C1660"/>
          <cell r="D1660"/>
          <cell r="E1660"/>
          <cell r="G1660"/>
          <cell r="M1660"/>
          <cell r="N1660"/>
          <cell r="R1660"/>
        </row>
        <row r="1661">
          <cell r="C1661"/>
          <cell r="D1661"/>
          <cell r="E1661"/>
          <cell r="G1661"/>
          <cell r="M1661"/>
          <cell r="N1661"/>
          <cell r="R1661"/>
        </row>
        <row r="1662">
          <cell r="C1662"/>
          <cell r="D1662"/>
          <cell r="E1662"/>
          <cell r="G1662"/>
          <cell r="M1662"/>
          <cell r="N1662"/>
          <cell r="R1662"/>
        </row>
        <row r="1663">
          <cell r="C1663"/>
          <cell r="D1663"/>
          <cell r="E1663"/>
          <cell r="G1663"/>
          <cell r="M1663"/>
          <cell r="N1663"/>
          <cell r="R1663"/>
        </row>
        <row r="1664">
          <cell r="C1664"/>
          <cell r="D1664"/>
          <cell r="E1664"/>
          <cell r="G1664"/>
          <cell r="M1664"/>
          <cell r="N1664"/>
          <cell r="R1664"/>
        </row>
        <row r="1665">
          <cell r="C1665"/>
          <cell r="D1665"/>
          <cell r="E1665"/>
          <cell r="G1665"/>
          <cell r="M1665"/>
          <cell r="N1665"/>
          <cell r="R1665"/>
        </row>
        <row r="1666">
          <cell r="C1666"/>
          <cell r="D1666"/>
          <cell r="E1666"/>
          <cell r="G1666"/>
          <cell r="M1666"/>
          <cell r="N1666"/>
          <cell r="R1666"/>
        </row>
        <row r="1667">
          <cell r="C1667"/>
          <cell r="D1667"/>
          <cell r="E1667"/>
          <cell r="G1667"/>
          <cell r="M1667"/>
          <cell r="N1667"/>
          <cell r="R1667"/>
        </row>
        <row r="1668">
          <cell r="C1668"/>
          <cell r="D1668"/>
          <cell r="E1668"/>
          <cell r="G1668"/>
          <cell r="M1668"/>
          <cell r="N1668"/>
          <cell r="R1668"/>
        </row>
        <row r="1669">
          <cell r="C1669"/>
          <cell r="D1669"/>
          <cell r="E1669"/>
          <cell r="G1669"/>
          <cell r="M1669"/>
          <cell r="N1669"/>
          <cell r="R1669"/>
        </row>
        <row r="1670">
          <cell r="C1670"/>
          <cell r="D1670"/>
          <cell r="E1670"/>
          <cell r="G1670"/>
          <cell r="M1670"/>
          <cell r="N1670"/>
          <cell r="R1670"/>
        </row>
        <row r="1671">
          <cell r="C1671"/>
          <cell r="D1671"/>
          <cell r="E1671"/>
          <cell r="G1671"/>
          <cell r="M1671"/>
          <cell r="N1671"/>
          <cell r="R1671"/>
        </row>
        <row r="1672">
          <cell r="C1672"/>
          <cell r="D1672"/>
          <cell r="E1672"/>
          <cell r="G1672"/>
          <cell r="M1672"/>
          <cell r="N1672"/>
          <cell r="R1672"/>
        </row>
        <row r="1673">
          <cell r="C1673"/>
          <cell r="D1673"/>
          <cell r="E1673"/>
          <cell r="G1673"/>
          <cell r="M1673"/>
          <cell r="N1673"/>
          <cell r="R1673"/>
        </row>
        <row r="1674">
          <cell r="C1674"/>
          <cell r="D1674"/>
          <cell r="E1674"/>
          <cell r="G1674"/>
          <cell r="M1674"/>
          <cell r="N1674"/>
          <cell r="R1674"/>
        </row>
        <row r="1675">
          <cell r="C1675"/>
          <cell r="D1675"/>
          <cell r="E1675"/>
          <cell r="G1675"/>
          <cell r="M1675"/>
          <cell r="N1675"/>
          <cell r="R1675"/>
        </row>
        <row r="1676">
          <cell r="C1676"/>
          <cell r="D1676"/>
          <cell r="E1676"/>
          <cell r="G1676"/>
          <cell r="M1676"/>
          <cell r="N1676"/>
          <cell r="R1676"/>
        </row>
        <row r="1677">
          <cell r="C1677"/>
          <cell r="D1677"/>
          <cell r="E1677"/>
          <cell r="G1677"/>
          <cell r="M1677"/>
          <cell r="N1677"/>
          <cell r="R1677"/>
        </row>
        <row r="1678">
          <cell r="C1678"/>
          <cell r="D1678"/>
          <cell r="E1678"/>
          <cell r="G1678"/>
          <cell r="M1678"/>
          <cell r="N1678"/>
          <cell r="R1678"/>
        </row>
        <row r="1679">
          <cell r="C1679"/>
          <cell r="D1679"/>
          <cell r="E1679"/>
          <cell r="G1679"/>
          <cell r="M1679"/>
          <cell r="N1679"/>
          <cell r="R1679"/>
        </row>
        <row r="1680">
          <cell r="C1680"/>
          <cell r="D1680"/>
          <cell r="E1680"/>
          <cell r="G1680"/>
          <cell r="M1680"/>
          <cell r="N1680"/>
          <cell r="R1680"/>
        </row>
        <row r="1681">
          <cell r="C1681"/>
          <cell r="D1681"/>
          <cell r="E1681"/>
          <cell r="G1681"/>
          <cell r="M1681"/>
          <cell r="N1681"/>
          <cell r="R1681"/>
        </row>
        <row r="1682">
          <cell r="C1682"/>
          <cell r="D1682"/>
          <cell r="E1682"/>
          <cell r="G1682"/>
          <cell r="M1682"/>
          <cell r="N1682"/>
          <cell r="R1682"/>
        </row>
        <row r="1683">
          <cell r="C1683"/>
          <cell r="D1683"/>
          <cell r="E1683"/>
          <cell r="G1683"/>
          <cell r="M1683"/>
          <cell r="N1683"/>
          <cell r="R1683"/>
        </row>
        <row r="1684">
          <cell r="C1684"/>
          <cell r="D1684"/>
          <cell r="E1684"/>
          <cell r="G1684"/>
          <cell r="M1684"/>
          <cell r="N1684"/>
          <cell r="R1684"/>
        </row>
        <row r="1685">
          <cell r="C1685"/>
          <cell r="D1685"/>
          <cell r="E1685"/>
          <cell r="G1685"/>
          <cell r="M1685"/>
          <cell r="N1685"/>
          <cell r="R1685"/>
        </row>
        <row r="1686">
          <cell r="C1686"/>
          <cell r="D1686"/>
          <cell r="E1686"/>
          <cell r="G1686"/>
          <cell r="M1686"/>
          <cell r="N1686"/>
          <cell r="R1686"/>
        </row>
        <row r="1687">
          <cell r="C1687"/>
          <cell r="D1687"/>
          <cell r="E1687"/>
          <cell r="G1687"/>
          <cell r="M1687"/>
          <cell r="N1687"/>
          <cell r="R1687"/>
        </row>
        <row r="1688">
          <cell r="C1688"/>
          <cell r="D1688"/>
          <cell r="E1688"/>
          <cell r="G1688"/>
          <cell r="M1688"/>
          <cell r="N1688"/>
          <cell r="R1688"/>
        </row>
        <row r="1689">
          <cell r="C1689"/>
          <cell r="D1689"/>
          <cell r="E1689"/>
          <cell r="G1689"/>
          <cell r="M1689"/>
          <cell r="N1689"/>
          <cell r="R1689"/>
        </row>
        <row r="1690">
          <cell r="C1690"/>
          <cell r="D1690"/>
          <cell r="E1690"/>
          <cell r="G1690"/>
          <cell r="M1690"/>
          <cell r="N1690"/>
          <cell r="R1690"/>
        </row>
        <row r="1691">
          <cell r="C1691"/>
          <cell r="D1691"/>
          <cell r="E1691"/>
          <cell r="G1691"/>
          <cell r="M1691"/>
          <cell r="N1691"/>
          <cell r="R1691"/>
        </row>
        <row r="1692">
          <cell r="C1692"/>
          <cell r="D1692"/>
          <cell r="E1692"/>
          <cell r="G1692"/>
          <cell r="M1692"/>
          <cell r="N1692"/>
          <cell r="R1692"/>
        </row>
        <row r="1693">
          <cell r="C1693"/>
          <cell r="D1693"/>
          <cell r="E1693"/>
          <cell r="G1693"/>
          <cell r="M1693"/>
          <cell r="N1693"/>
          <cell r="R1693"/>
        </row>
        <row r="1694">
          <cell r="C1694"/>
          <cell r="D1694"/>
          <cell r="E1694"/>
          <cell r="G1694"/>
          <cell r="M1694"/>
          <cell r="N1694"/>
          <cell r="R1694"/>
        </row>
        <row r="1695">
          <cell r="C1695"/>
          <cell r="D1695"/>
          <cell r="E1695"/>
          <cell r="G1695"/>
          <cell r="M1695"/>
          <cell r="N1695"/>
          <cell r="R1695"/>
        </row>
        <row r="1696">
          <cell r="C1696"/>
          <cell r="D1696"/>
          <cell r="E1696"/>
          <cell r="G1696"/>
          <cell r="M1696"/>
          <cell r="N1696"/>
          <cell r="R1696"/>
        </row>
        <row r="1697">
          <cell r="C1697"/>
          <cell r="D1697"/>
          <cell r="E1697"/>
          <cell r="G1697"/>
          <cell r="M1697"/>
          <cell r="N1697"/>
          <cell r="R1697"/>
        </row>
        <row r="1698">
          <cell r="C1698"/>
          <cell r="D1698"/>
          <cell r="E1698"/>
          <cell r="G1698"/>
          <cell r="M1698"/>
          <cell r="N1698"/>
          <cell r="R1698"/>
        </row>
        <row r="1699">
          <cell r="C1699"/>
          <cell r="D1699"/>
          <cell r="E1699"/>
          <cell r="G1699"/>
          <cell r="M1699"/>
          <cell r="N1699"/>
          <cell r="R1699"/>
        </row>
        <row r="1700">
          <cell r="C1700"/>
          <cell r="D1700"/>
          <cell r="E1700"/>
          <cell r="G1700"/>
          <cell r="M1700"/>
          <cell r="N1700"/>
          <cell r="R1700"/>
        </row>
        <row r="1701">
          <cell r="C1701"/>
          <cell r="D1701"/>
          <cell r="E1701"/>
          <cell r="G1701"/>
          <cell r="M1701"/>
          <cell r="N1701"/>
          <cell r="R1701"/>
        </row>
        <row r="1702">
          <cell r="C1702"/>
          <cell r="D1702"/>
          <cell r="E1702"/>
          <cell r="G1702"/>
          <cell r="M1702"/>
          <cell r="N1702"/>
          <cell r="R1702"/>
        </row>
        <row r="1703">
          <cell r="C1703"/>
          <cell r="D1703"/>
          <cell r="E1703"/>
          <cell r="G1703"/>
          <cell r="M1703"/>
          <cell r="N1703"/>
          <cell r="R1703"/>
        </row>
        <row r="1704">
          <cell r="C1704"/>
          <cell r="D1704"/>
          <cell r="E1704"/>
          <cell r="G1704"/>
          <cell r="M1704"/>
          <cell r="N1704"/>
          <cell r="R1704"/>
        </row>
        <row r="1705">
          <cell r="C1705"/>
          <cell r="D1705"/>
          <cell r="E1705"/>
          <cell r="G1705"/>
          <cell r="M1705"/>
          <cell r="N1705"/>
          <cell r="R1705"/>
        </row>
        <row r="1706">
          <cell r="C1706"/>
          <cell r="D1706"/>
          <cell r="E1706"/>
          <cell r="G1706"/>
          <cell r="M1706"/>
          <cell r="N1706"/>
          <cell r="R1706"/>
        </row>
        <row r="1707">
          <cell r="C1707"/>
          <cell r="D1707"/>
          <cell r="E1707"/>
          <cell r="G1707"/>
          <cell r="M1707"/>
          <cell r="N1707"/>
          <cell r="R1707"/>
        </row>
        <row r="1708">
          <cell r="C1708"/>
          <cell r="D1708"/>
          <cell r="E1708"/>
          <cell r="G1708"/>
          <cell r="M1708"/>
          <cell r="N1708"/>
          <cell r="R1708"/>
        </row>
        <row r="1709">
          <cell r="C1709"/>
          <cell r="D1709"/>
          <cell r="E1709"/>
          <cell r="G1709"/>
          <cell r="M1709"/>
          <cell r="N1709"/>
          <cell r="R1709"/>
        </row>
        <row r="1710">
          <cell r="C1710"/>
          <cell r="D1710"/>
          <cell r="E1710"/>
          <cell r="G1710"/>
          <cell r="M1710"/>
          <cell r="N1710"/>
          <cell r="R1710"/>
        </row>
        <row r="1711">
          <cell r="C1711"/>
          <cell r="D1711"/>
          <cell r="E1711"/>
          <cell r="G1711"/>
          <cell r="M1711"/>
          <cell r="N1711"/>
          <cell r="R1711"/>
        </row>
        <row r="1712">
          <cell r="C1712"/>
          <cell r="D1712"/>
          <cell r="E1712"/>
          <cell r="G1712"/>
          <cell r="M1712"/>
          <cell r="N1712"/>
          <cell r="R1712"/>
        </row>
        <row r="1713">
          <cell r="C1713"/>
          <cell r="D1713"/>
          <cell r="E1713"/>
          <cell r="G1713"/>
          <cell r="M1713"/>
          <cell r="N1713"/>
          <cell r="R1713"/>
        </row>
        <row r="1714">
          <cell r="C1714"/>
          <cell r="D1714"/>
          <cell r="E1714"/>
          <cell r="G1714"/>
          <cell r="M1714"/>
          <cell r="N1714"/>
          <cell r="R1714"/>
        </row>
        <row r="1715">
          <cell r="C1715"/>
          <cell r="D1715"/>
          <cell r="E1715"/>
          <cell r="G1715"/>
          <cell r="M1715"/>
          <cell r="N1715"/>
          <cell r="R1715"/>
        </row>
        <row r="1716">
          <cell r="C1716"/>
          <cell r="D1716"/>
          <cell r="E1716"/>
          <cell r="G1716"/>
          <cell r="M1716"/>
          <cell r="N1716"/>
          <cell r="R1716"/>
        </row>
        <row r="1717">
          <cell r="C1717"/>
          <cell r="D1717"/>
          <cell r="E1717"/>
          <cell r="G1717"/>
          <cell r="M1717"/>
          <cell r="N1717"/>
          <cell r="R1717"/>
        </row>
        <row r="1718">
          <cell r="C1718"/>
          <cell r="D1718"/>
          <cell r="E1718"/>
          <cell r="G1718"/>
          <cell r="M1718"/>
          <cell r="N1718"/>
          <cell r="R1718"/>
        </row>
        <row r="1719">
          <cell r="C1719"/>
          <cell r="D1719"/>
          <cell r="E1719"/>
          <cell r="G1719"/>
          <cell r="M1719"/>
          <cell r="N1719"/>
          <cell r="R1719"/>
        </row>
        <row r="1720">
          <cell r="C1720"/>
          <cell r="D1720"/>
          <cell r="E1720"/>
          <cell r="G1720"/>
          <cell r="M1720"/>
          <cell r="N1720"/>
          <cell r="R1720"/>
        </row>
        <row r="1721">
          <cell r="C1721"/>
          <cell r="D1721"/>
          <cell r="E1721"/>
          <cell r="G1721"/>
          <cell r="M1721"/>
          <cell r="N1721"/>
          <cell r="R1721"/>
        </row>
        <row r="1722">
          <cell r="C1722"/>
          <cell r="D1722"/>
          <cell r="E1722"/>
          <cell r="G1722"/>
          <cell r="M1722"/>
          <cell r="N1722"/>
          <cell r="R1722"/>
        </row>
        <row r="1723">
          <cell r="C1723"/>
          <cell r="D1723"/>
          <cell r="E1723"/>
          <cell r="G1723"/>
          <cell r="M1723"/>
          <cell r="N1723"/>
          <cell r="R1723"/>
        </row>
        <row r="1724">
          <cell r="C1724"/>
          <cell r="D1724"/>
          <cell r="E1724"/>
          <cell r="G1724"/>
          <cell r="M1724"/>
          <cell r="N1724"/>
          <cell r="R1724"/>
        </row>
        <row r="1725">
          <cell r="C1725"/>
          <cell r="D1725"/>
          <cell r="E1725"/>
          <cell r="G1725"/>
          <cell r="M1725"/>
          <cell r="N1725"/>
          <cell r="R1725"/>
        </row>
        <row r="1726">
          <cell r="C1726"/>
          <cell r="D1726"/>
          <cell r="E1726"/>
          <cell r="G1726"/>
          <cell r="M1726"/>
          <cell r="N1726"/>
          <cell r="R1726"/>
        </row>
        <row r="1727">
          <cell r="C1727"/>
          <cell r="D1727"/>
          <cell r="E1727"/>
          <cell r="G1727"/>
          <cell r="M1727"/>
          <cell r="N1727"/>
          <cell r="R1727"/>
        </row>
        <row r="1728">
          <cell r="C1728"/>
          <cell r="D1728"/>
          <cell r="E1728"/>
          <cell r="G1728"/>
          <cell r="M1728"/>
          <cell r="N1728"/>
          <cell r="R1728"/>
        </row>
        <row r="1729">
          <cell r="C1729"/>
          <cell r="D1729"/>
          <cell r="E1729"/>
          <cell r="G1729"/>
          <cell r="M1729"/>
          <cell r="N1729"/>
          <cell r="R1729"/>
        </row>
        <row r="1730">
          <cell r="C1730"/>
          <cell r="D1730"/>
          <cell r="E1730"/>
          <cell r="G1730"/>
          <cell r="M1730"/>
          <cell r="N1730"/>
          <cell r="R1730"/>
        </row>
        <row r="1731">
          <cell r="C1731"/>
          <cell r="D1731"/>
          <cell r="E1731"/>
          <cell r="G1731"/>
          <cell r="M1731"/>
          <cell r="N1731"/>
          <cell r="R1731"/>
        </row>
        <row r="1732">
          <cell r="C1732"/>
          <cell r="D1732"/>
          <cell r="E1732"/>
          <cell r="G1732"/>
          <cell r="M1732"/>
          <cell r="N1732"/>
          <cell r="R1732"/>
        </row>
        <row r="1733">
          <cell r="C1733"/>
          <cell r="D1733"/>
          <cell r="E1733"/>
          <cell r="G1733"/>
          <cell r="M1733"/>
          <cell r="N1733"/>
          <cell r="R1733"/>
        </row>
        <row r="1734">
          <cell r="C1734"/>
          <cell r="D1734"/>
          <cell r="E1734"/>
          <cell r="G1734"/>
          <cell r="M1734"/>
          <cell r="N1734"/>
          <cell r="R1734"/>
        </row>
        <row r="1735">
          <cell r="C1735"/>
          <cell r="D1735"/>
          <cell r="E1735"/>
          <cell r="G1735"/>
          <cell r="M1735"/>
          <cell r="N1735"/>
          <cell r="R1735"/>
        </row>
        <row r="1736">
          <cell r="C1736"/>
          <cell r="D1736"/>
          <cell r="E1736"/>
          <cell r="G1736"/>
          <cell r="M1736"/>
          <cell r="N1736"/>
          <cell r="R1736"/>
        </row>
        <row r="1737">
          <cell r="C1737"/>
          <cell r="D1737"/>
          <cell r="E1737"/>
          <cell r="G1737"/>
          <cell r="M1737"/>
          <cell r="N1737"/>
          <cell r="R1737"/>
        </row>
        <row r="1738">
          <cell r="C1738"/>
          <cell r="D1738"/>
          <cell r="E1738"/>
          <cell r="G1738"/>
          <cell r="M1738"/>
          <cell r="N1738"/>
          <cell r="R1738"/>
        </row>
        <row r="1739">
          <cell r="C1739"/>
          <cell r="D1739"/>
          <cell r="E1739"/>
          <cell r="G1739"/>
          <cell r="M1739"/>
          <cell r="N1739"/>
          <cell r="R1739"/>
        </row>
        <row r="1740">
          <cell r="C1740"/>
          <cell r="D1740"/>
          <cell r="E1740"/>
          <cell r="G1740"/>
          <cell r="M1740"/>
          <cell r="N1740"/>
          <cell r="R1740"/>
        </row>
        <row r="1741">
          <cell r="C1741"/>
          <cell r="D1741"/>
          <cell r="E1741"/>
          <cell r="G1741"/>
          <cell r="M1741"/>
          <cell r="N1741"/>
          <cell r="R1741"/>
        </row>
        <row r="1742">
          <cell r="C1742"/>
          <cell r="D1742"/>
          <cell r="E1742"/>
          <cell r="G1742"/>
          <cell r="M1742"/>
          <cell r="N1742"/>
          <cell r="R1742"/>
        </row>
        <row r="1743">
          <cell r="C1743"/>
          <cell r="D1743"/>
          <cell r="E1743"/>
          <cell r="G1743"/>
          <cell r="M1743"/>
          <cell r="N1743"/>
          <cell r="R1743"/>
        </row>
        <row r="1744">
          <cell r="C1744"/>
          <cell r="D1744"/>
          <cell r="E1744"/>
          <cell r="G1744"/>
          <cell r="M1744"/>
          <cell r="N1744"/>
          <cell r="R1744"/>
        </row>
        <row r="1745">
          <cell r="C1745"/>
          <cell r="D1745"/>
          <cell r="E1745"/>
          <cell r="G1745"/>
          <cell r="M1745"/>
          <cell r="N1745"/>
          <cell r="R1745"/>
        </row>
        <row r="1746">
          <cell r="C1746"/>
          <cell r="D1746"/>
          <cell r="E1746"/>
          <cell r="G1746"/>
          <cell r="M1746"/>
          <cell r="N1746"/>
          <cell r="R1746"/>
        </row>
        <row r="1747">
          <cell r="C1747"/>
          <cell r="D1747"/>
          <cell r="E1747"/>
          <cell r="G1747"/>
          <cell r="M1747"/>
          <cell r="N1747"/>
          <cell r="R1747"/>
        </row>
        <row r="1748">
          <cell r="C1748"/>
          <cell r="D1748"/>
          <cell r="E1748"/>
          <cell r="G1748"/>
          <cell r="M1748"/>
          <cell r="N1748"/>
          <cell r="R1748"/>
        </row>
        <row r="1749">
          <cell r="C1749"/>
          <cell r="D1749"/>
          <cell r="E1749"/>
          <cell r="G1749"/>
          <cell r="M1749"/>
          <cell r="N1749"/>
          <cell r="R1749"/>
        </row>
        <row r="1750">
          <cell r="C1750"/>
          <cell r="D1750"/>
          <cell r="E1750"/>
          <cell r="G1750"/>
          <cell r="M1750"/>
          <cell r="N1750"/>
          <cell r="R1750"/>
        </row>
        <row r="1751">
          <cell r="C1751"/>
          <cell r="D1751"/>
          <cell r="E1751"/>
          <cell r="G1751"/>
          <cell r="M1751"/>
          <cell r="N1751"/>
          <cell r="R1751"/>
        </row>
        <row r="1752">
          <cell r="C1752"/>
          <cell r="D1752"/>
          <cell r="E1752"/>
          <cell r="G1752"/>
          <cell r="M1752"/>
          <cell r="N1752"/>
          <cell r="R1752"/>
        </row>
        <row r="1753">
          <cell r="C1753"/>
          <cell r="D1753"/>
          <cell r="E1753"/>
          <cell r="G1753"/>
          <cell r="M1753"/>
          <cell r="N1753"/>
          <cell r="R1753"/>
        </row>
        <row r="1754">
          <cell r="C1754"/>
          <cell r="D1754"/>
          <cell r="E1754"/>
          <cell r="G1754"/>
          <cell r="M1754"/>
          <cell r="N1754"/>
          <cell r="R1754"/>
        </row>
        <row r="1755">
          <cell r="C1755"/>
          <cell r="D1755"/>
          <cell r="E1755"/>
          <cell r="G1755"/>
          <cell r="M1755"/>
          <cell r="N1755"/>
          <cell r="R1755"/>
        </row>
        <row r="1756">
          <cell r="C1756"/>
          <cell r="D1756"/>
          <cell r="E1756"/>
          <cell r="G1756"/>
          <cell r="M1756"/>
          <cell r="N1756"/>
          <cell r="R1756"/>
        </row>
        <row r="1757">
          <cell r="C1757"/>
          <cell r="D1757"/>
          <cell r="E1757"/>
          <cell r="G1757"/>
          <cell r="M1757"/>
          <cell r="N1757"/>
          <cell r="R1757"/>
        </row>
        <row r="1758">
          <cell r="C1758"/>
          <cell r="D1758"/>
          <cell r="E1758"/>
          <cell r="G1758"/>
          <cell r="M1758"/>
          <cell r="N1758"/>
          <cell r="R1758"/>
        </row>
        <row r="1759">
          <cell r="C1759"/>
          <cell r="D1759"/>
          <cell r="E1759"/>
          <cell r="G1759"/>
          <cell r="M1759"/>
          <cell r="N1759"/>
          <cell r="R1759"/>
        </row>
        <row r="1760">
          <cell r="C1760"/>
          <cell r="D1760"/>
          <cell r="E1760"/>
          <cell r="G1760"/>
          <cell r="M1760"/>
          <cell r="N1760"/>
          <cell r="R1760"/>
        </row>
        <row r="1761">
          <cell r="C1761"/>
          <cell r="D1761"/>
          <cell r="E1761"/>
          <cell r="G1761"/>
          <cell r="M1761"/>
          <cell r="N1761"/>
          <cell r="R1761"/>
        </row>
        <row r="1762">
          <cell r="C1762"/>
          <cell r="D1762"/>
          <cell r="E1762"/>
          <cell r="G1762"/>
          <cell r="M1762"/>
          <cell r="N1762"/>
          <cell r="R1762"/>
        </row>
        <row r="1763">
          <cell r="C1763"/>
          <cell r="D1763"/>
          <cell r="E1763"/>
          <cell r="G1763"/>
          <cell r="M1763"/>
          <cell r="N1763"/>
          <cell r="R1763"/>
        </row>
        <row r="1764">
          <cell r="C1764"/>
          <cell r="D1764"/>
          <cell r="E1764"/>
          <cell r="G1764"/>
          <cell r="M1764"/>
          <cell r="N1764"/>
          <cell r="R1764"/>
        </row>
        <row r="1765">
          <cell r="C1765"/>
          <cell r="D1765"/>
          <cell r="E1765"/>
          <cell r="G1765"/>
          <cell r="M1765"/>
          <cell r="N1765"/>
          <cell r="R1765"/>
        </row>
        <row r="1766">
          <cell r="C1766"/>
          <cell r="D1766"/>
          <cell r="E1766"/>
          <cell r="G1766"/>
          <cell r="M1766"/>
          <cell r="N1766"/>
          <cell r="R1766"/>
        </row>
        <row r="1767">
          <cell r="C1767"/>
          <cell r="D1767"/>
          <cell r="E1767"/>
          <cell r="G1767"/>
          <cell r="M1767"/>
          <cell r="N1767"/>
          <cell r="R1767"/>
        </row>
        <row r="1768">
          <cell r="C1768"/>
          <cell r="D1768"/>
          <cell r="E1768"/>
          <cell r="G1768"/>
          <cell r="M1768"/>
          <cell r="N1768"/>
          <cell r="R1768"/>
        </row>
        <row r="1769">
          <cell r="C1769"/>
          <cell r="D1769"/>
          <cell r="E1769"/>
          <cell r="G1769"/>
          <cell r="M1769"/>
          <cell r="N1769"/>
          <cell r="R1769"/>
        </row>
        <row r="1770">
          <cell r="C1770"/>
          <cell r="D1770"/>
          <cell r="E1770"/>
          <cell r="G1770"/>
          <cell r="M1770"/>
          <cell r="N1770"/>
          <cell r="R1770"/>
        </row>
        <row r="1771">
          <cell r="C1771"/>
          <cell r="D1771"/>
          <cell r="E1771"/>
          <cell r="G1771"/>
          <cell r="M1771"/>
          <cell r="N1771"/>
          <cell r="R1771"/>
        </row>
        <row r="1772">
          <cell r="C1772"/>
          <cell r="D1772"/>
          <cell r="E1772"/>
          <cell r="G1772"/>
          <cell r="M1772"/>
          <cell r="N1772"/>
          <cell r="R1772"/>
        </row>
        <row r="1773">
          <cell r="C1773"/>
          <cell r="D1773"/>
          <cell r="E1773"/>
          <cell r="G1773"/>
          <cell r="M1773"/>
          <cell r="N1773"/>
          <cell r="R1773"/>
        </row>
        <row r="1774">
          <cell r="C1774"/>
          <cell r="D1774"/>
          <cell r="E1774"/>
          <cell r="G1774"/>
          <cell r="M1774"/>
          <cell r="N1774"/>
          <cell r="R1774"/>
        </row>
        <row r="1775">
          <cell r="C1775"/>
          <cell r="D1775"/>
          <cell r="E1775"/>
          <cell r="G1775"/>
          <cell r="M1775"/>
          <cell r="N1775"/>
          <cell r="R1775"/>
        </row>
        <row r="1776">
          <cell r="C1776"/>
          <cell r="D1776"/>
          <cell r="E1776"/>
          <cell r="G1776"/>
          <cell r="M1776"/>
          <cell r="N1776"/>
          <cell r="R1776"/>
        </row>
        <row r="1777">
          <cell r="C1777"/>
          <cell r="D1777"/>
          <cell r="E1777"/>
          <cell r="G1777"/>
          <cell r="M1777"/>
          <cell r="N1777"/>
          <cell r="R1777"/>
        </row>
        <row r="1778">
          <cell r="C1778"/>
          <cell r="D1778"/>
          <cell r="E1778"/>
          <cell r="G1778"/>
          <cell r="M1778"/>
          <cell r="N1778"/>
          <cell r="R1778"/>
        </row>
        <row r="1779">
          <cell r="C1779"/>
          <cell r="D1779"/>
          <cell r="E1779"/>
          <cell r="G1779"/>
          <cell r="M1779"/>
          <cell r="N1779"/>
          <cell r="R1779"/>
        </row>
        <row r="1780">
          <cell r="C1780"/>
          <cell r="D1780"/>
          <cell r="E1780"/>
          <cell r="G1780"/>
          <cell r="M1780"/>
          <cell r="N1780"/>
          <cell r="R1780"/>
        </row>
        <row r="1781">
          <cell r="C1781"/>
          <cell r="D1781"/>
          <cell r="E1781"/>
          <cell r="G1781"/>
          <cell r="M1781"/>
          <cell r="N1781"/>
          <cell r="R1781"/>
        </row>
        <row r="1782">
          <cell r="C1782"/>
          <cell r="D1782"/>
          <cell r="E1782"/>
          <cell r="G1782"/>
          <cell r="M1782"/>
          <cell r="N1782"/>
          <cell r="R1782"/>
        </row>
        <row r="1783">
          <cell r="C1783"/>
          <cell r="D1783"/>
          <cell r="E1783"/>
          <cell r="G1783"/>
          <cell r="M1783"/>
          <cell r="N1783"/>
          <cell r="R1783"/>
        </row>
        <row r="1784">
          <cell r="C1784"/>
          <cell r="D1784"/>
          <cell r="E1784"/>
          <cell r="G1784"/>
          <cell r="M1784"/>
          <cell r="N1784"/>
          <cell r="R1784"/>
        </row>
        <row r="1785">
          <cell r="C1785"/>
          <cell r="D1785"/>
          <cell r="E1785"/>
          <cell r="G1785"/>
          <cell r="M1785"/>
          <cell r="N1785"/>
          <cell r="R1785"/>
        </row>
        <row r="1786">
          <cell r="C1786"/>
          <cell r="D1786"/>
          <cell r="E1786"/>
          <cell r="G1786"/>
          <cell r="M1786"/>
          <cell r="N1786"/>
          <cell r="R1786"/>
        </row>
        <row r="1787">
          <cell r="C1787"/>
          <cell r="D1787"/>
          <cell r="E1787"/>
          <cell r="G1787"/>
          <cell r="M1787"/>
          <cell r="N1787"/>
          <cell r="R1787"/>
        </row>
        <row r="1788">
          <cell r="C1788"/>
          <cell r="D1788"/>
          <cell r="E1788"/>
          <cell r="G1788"/>
          <cell r="M1788"/>
          <cell r="N1788"/>
          <cell r="R1788"/>
        </row>
        <row r="1789">
          <cell r="C1789"/>
          <cell r="D1789"/>
          <cell r="E1789"/>
          <cell r="G1789"/>
          <cell r="M1789"/>
          <cell r="N1789"/>
          <cell r="R1789"/>
        </row>
        <row r="1790">
          <cell r="C1790"/>
          <cell r="D1790"/>
          <cell r="E1790"/>
          <cell r="G1790"/>
          <cell r="M1790"/>
          <cell r="N1790"/>
          <cell r="R1790"/>
        </row>
        <row r="1791">
          <cell r="C1791"/>
          <cell r="D1791"/>
          <cell r="E1791"/>
          <cell r="G1791"/>
          <cell r="M1791"/>
          <cell r="N1791"/>
          <cell r="R1791"/>
        </row>
        <row r="1792">
          <cell r="C1792"/>
          <cell r="D1792"/>
          <cell r="E1792"/>
          <cell r="G1792"/>
          <cell r="M1792"/>
          <cell r="N1792"/>
          <cell r="R1792"/>
        </row>
        <row r="1793">
          <cell r="C1793"/>
          <cell r="D1793"/>
          <cell r="E1793"/>
          <cell r="G1793"/>
          <cell r="M1793"/>
          <cell r="N1793"/>
          <cell r="R1793"/>
        </row>
        <row r="1794">
          <cell r="C1794"/>
          <cell r="D1794"/>
          <cell r="E1794"/>
          <cell r="G1794"/>
          <cell r="M1794"/>
          <cell r="N1794"/>
          <cell r="R1794"/>
        </row>
        <row r="1795">
          <cell r="C1795"/>
          <cell r="D1795"/>
          <cell r="E1795"/>
          <cell r="G1795"/>
          <cell r="M1795"/>
          <cell r="N1795"/>
          <cell r="R1795"/>
        </row>
        <row r="1796">
          <cell r="C1796"/>
          <cell r="D1796"/>
          <cell r="E1796"/>
          <cell r="G1796"/>
          <cell r="M1796"/>
          <cell r="N1796"/>
          <cell r="R1796"/>
        </row>
        <row r="1797">
          <cell r="C1797"/>
          <cell r="D1797"/>
          <cell r="E1797"/>
          <cell r="G1797"/>
          <cell r="M1797"/>
          <cell r="N1797"/>
          <cell r="R1797"/>
        </row>
        <row r="1798">
          <cell r="C1798"/>
          <cell r="D1798"/>
          <cell r="E1798"/>
          <cell r="G1798"/>
          <cell r="M1798"/>
          <cell r="N1798"/>
          <cell r="R1798"/>
        </row>
        <row r="1799">
          <cell r="C1799"/>
          <cell r="D1799"/>
          <cell r="E1799"/>
          <cell r="G1799"/>
          <cell r="M1799"/>
          <cell r="N1799"/>
          <cell r="R1799"/>
        </row>
        <row r="1800">
          <cell r="C1800"/>
          <cell r="D1800"/>
          <cell r="E1800"/>
          <cell r="G1800"/>
          <cell r="M1800"/>
          <cell r="N1800"/>
          <cell r="R1800"/>
        </row>
        <row r="1801">
          <cell r="C1801"/>
          <cell r="D1801"/>
          <cell r="E1801"/>
          <cell r="G1801"/>
          <cell r="M1801"/>
          <cell r="N1801"/>
          <cell r="R1801"/>
        </row>
        <row r="1802">
          <cell r="C1802"/>
          <cell r="D1802"/>
          <cell r="E1802"/>
          <cell r="G1802"/>
          <cell r="M1802"/>
          <cell r="N1802"/>
          <cell r="R1802"/>
        </row>
        <row r="1803">
          <cell r="C1803"/>
          <cell r="D1803"/>
          <cell r="E1803"/>
          <cell r="G1803"/>
          <cell r="M1803"/>
          <cell r="N1803"/>
          <cell r="R1803"/>
        </row>
        <row r="1804">
          <cell r="C1804"/>
          <cell r="D1804"/>
          <cell r="E1804"/>
          <cell r="G1804"/>
          <cell r="M1804"/>
          <cell r="N1804"/>
          <cell r="R1804"/>
        </row>
        <row r="1805">
          <cell r="C1805"/>
          <cell r="D1805"/>
          <cell r="E1805"/>
          <cell r="G1805"/>
          <cell r="M1805"/>
          <cell r="N1805"/>
          <cell r="R1805"/>
        </row>
        <row r="1806">
          <cell r="C1806"/>
          <cell r="D1806"/>
          <cell r="E1806"/>
          <cell r="G1806"/>
          <cell r="M1806"/>
          <cell r="N1806"/>
          <cell r="R1806"/>
        </row>
        <row r="1807">
          <cell r="C1807"/>
          <cell r="D1807"/>
          <cell r="E1807"/>
          <cell r="G1807"/>
          <cell r="M1807"/>
          <cell r="N1807"/>
          <cell r="R1807"/>
        </row>
        <row r="1808">
          <cell r="C1808"/>
          <cell r="D1808"/>
          <cell r="E1808"/>
          <cell r="G1808"/>
          <cell r="M1808"/>
          <cell r="N1808"/>
          <cell r="R1808"/>
        </row>
        <row r="1809">
          <cell r="C1809"/>
          <cell r="D1809"/>
          <cell r="E1809"/>
          <cell r="G1809"/>
          <cell r="M1809"/>
          <cell r="N1809"/>
          <cell r="R1809"/>
        </row>
        <row r="1810">
          <cell r="C1810"/>
          <cell r="D1810"/>
          <cell r="E1810"/>
          <cell r="G1810"/>
          <cell r="M1810"/>
          <cell r="N1810"/>
          <cell r="R1810"/>
        </row>
        <row r="1811">
          <cell r="C1811"/>
          <cell r="D1811"/>
          <cell r="E1811"/>
          <cell r="G1811"/>
          <cell r="M1811"/>
          <cell r="N1811"/>
          <cell r="R1811"/>
        </row>
        <row r="1812">
          <cell r="C1812"/>
          <cell r="D1812"/>
          <cell r="E1812"/>
          <cell r="G1812"/>
          <cell r="M1812"/>
          <cell r="N1812"/>
          <cell r="R1812"/>
        </row>
        <row r="1813">
          <cell r="C1813"/>
          <cell r="D1813"/>
          <cell r="E1813"/>
          <cell r="G1813"/>
          <cell r="M1813"/>
          <cell r="N1813"/>
          <cell r="R1813"/>
        </row>
        <row r="1814">
          <cell r="C1814"/>
          <cell r="D1814"/>
          <cell r="E1814"/>
          <cell r="G1814"/>
          <cell r="M1814"/>
          <cell r="N1814"/>
          <cell r="R1814"/>
        </row>
        <row r="1815">
          <cell r="C1815"/>
          <cell r="D1815"/>
          <cell r="E1815"/>
          <cell r="G1815"/>
          <cell r="M1815"/>
          <cell r="N1815"/>
          <cell r="R1815"/>
        </row>
        <row r="1816">
          <cell r="C1816"/>
          <cell r="D1816"/>
          <cell r="E1816"/>
          <cell r="G1816"/>
          <cell r="M1816"/>
          <cell r="N1816"/>
          <cell r="R1816"/>
        </row>
        <row r="1817">
          <cell r="C1817"/>
          <cell r="D1817"/>
          <cell r="E1817"/>
          <cell r="G1817"/>
          <cell r="M1817"/>
          <cell r="N1817"/>
          <cell r="R1817"/>
        </row>
        <row r="1818">
          <cell r="C1818"/>
          <cell r="D1818"/>
          <cell r="E1818"/>
          <cell r="G1818"/>
          <cell r="M1818"/>
          <cell r="N1818"/>
          <cell r="R1818"/>
        </row>
        <row r="1819">
          <cell r="C1819"/>
          <cell r="D1819"/>
          <cell r="E1819"/>
          <cell r="G1819"/>
          <cell r="M1819"/>
          <cell r="N1819"/>
          <cell r="R1819"/>
        </row>
        <row r="1820">
          <cell r="C1820"/>
          <cell r="D1820"/>
          <cell r="E1820"/>
          <cell r="G1820"/>
          <cell r="M1820"/>
          <cell r="N1820"/>
          <cell r="R1820"/>
        </row>
        <row r="1821">
          <cell r="C1821"/>
          <cell r="D1821"/>
          <cell r="E1821"/>
          <cell r="G1821"/>
          <cell r="M1821"/>
          <cell r="N1821"/>
          <cell r="R1821"/>
        </row>
        <row r="1822">
          <cell r="C1822"/>
          <cell r="D1822"/>
          <cell r="E1822"/>
          <cell r="G1822"/>
          <cell r="M1822"/>
          <cell r="N1822"/>
          <cell r="R1822"/>
        </row>
        <row r="1823">
          <cell r="C1823"/>
          <cell r="D1823"/>
          <cell r="E1823"/>
          <cell r="G1823"/>
          <cell r="M1823"/>
          <cell r="N1823"/>
          <cell r="R1823"/>
        </row>
        <row r="1824">
          <cell r="C1824"/>
          <cell r="D1824"/>
          <cell r="E1824"/>
          <cell r="G1824"/>
          <cell r="M1824"/>
          <cell r="N1824"/>
          <cell r="R1824"/>
        </row>
        <row r="1825">
          <cell r="C1825"/>
          <cell r="D1825"/>
          <cell r="E1825"/>
          <cell r="G1825"/>
          <cell r="M1825"/>
          <cell r="N1825"/>
          <cell r="R1825"/>
        </row>
        <row r="1826">
          <cell r="C1826"/>
          <cell r="D1826"/>
          <cell r="E1826"/>
          <cell r="G1826"/>
          <cell r="M1826"/>
          <cell r="N1826"/>
          <cell r="R1826"/>
        </row>
        <row r="1827">
          <cell r="C1827"/>
          <cell r="D1827"/>
          <cell r="E1827"/>
          <cell r="G1827"/>
          <cell r="M1827"/>
          <cell r="N1827"/>
          <cell r="R1827"/>
        </row>
        <row r="1828">
          <cell r="C1828"/>
          <cell r="D1828"/>
          <cell r="E1828"/>
          <cell r="G1828"/>
          <cell r="M1828"/>
          <cell r="N1828"/>
          <cell r="R1828"/>
        </row>
        <row r="1829">
          <cell r="C1829"/>
          <cell r="D1829"/>
          <cell r="E1829"/>
          <cell r="G1829"/>
          <cell r="M1829"/>
          <cell r="N1829"/>
          <cell r="R1829"/>
        </row>
        <row r="1830">
          <cell r="C1830"/>
          <cell r="D1830"/>
          <cell r="E1830"/>
          <cell r="G1830"/>
          <cell r="M1830"/>
          <cell r="N1830"/>
          <cell r="R1830"/>
        </row>
        <row r="1831">
          <cell r="C1831"/>
          <cell r="D1831"/>
          <cell r="E1831"/>
          <cell r="G1831"/>
          <cell r="M1831"/>
          <cell r="N1831"/>
          <cell r="R1831"/>
        </row>
        <row r="1832">
          <cell r="C1832"/>
          <cell r="D1832"/>
          <cell r="E1832"/>
          <cell r="G1832"/>
          <cell r="M1832"/>
          <cell r="N1832"/>
          <cell r="R1832"/>
        </row>
        <row r="1833">
          <cell r="C1833"/>
          <cell r="D1833"/>
          <cell r="E1833"/>
          <cell r="G1833"/>
          <cell r="M1833"/>
          <cell r="N1833"/>
          <cell r="R1833"/>
        </row>
        <row r="1834">
          <cell r="C1834"/>
          <cell r="D1834"/>
          <cell r="E1834"/>
          <cell r="G1834"/>
          <cell r="M1834"/>
          <cell r="N1834"/>
          <cell r="R1834"/>
        </row>
        <row r="1835">
          <cell r="C1835"/>
          <cell r="D1835"/>
          <cell r="E1835"/>
          <cell r="G1835"/>
          <cell r="M1835"/>
          <cell r="N1835"/>
          <cell r="R1835"/>
        </row>
        <row r="1836">
          <cell r="C1836"/>
          <cell r="D1836"/>
          <cell r="E1836"/>
          <cell r="G1836"/>
          <cell r="M1836"/>
          <cell r="N1836"/>
          <cell r="R1836"/>
        </row>
        <row r="1837">
          <cell r="C1837"/>
          <cell r="D1837"/>
          <cell r="E1837"/>
          <cell r="G1837"/>
          <cell r="M1837"/>
          <cell r="N1837"/>
          <cell r="R1837"/>
        </row>
        <row r="1838">
          <cell r="C1838"/>
          <cell r="D1838"/>
          <cell r="E1838"/>
          <cell r="G1838"/>
          <cell r="M1838"/>
          <cell r="N1838"/>
          <cell r="R1838"/>
        </row>
        <row r="1839">
          <cell r="C1839"/>
          <cell r="D1839"/>
          <cell r="E1839"/>
          <cell r="G1839"/>
          <cell r="M1839"/>
          <cell r="N1839"/>
          <cell r="R1839"/>
        </row>
        <row r="1840">
          <cell r="C1840"/>
          <cell r="D1840"/>
          <cell r="E1840"/>
          <cell r="G1840"/>
          <cell r="M1840"/>
          <cell r="N1840"/>
          <cell r="R1840"/>
        </row>
        <row r="1841">
          <cell r="C1841"/>
          <cell r="D1841"/>
          <cell r="E1841"/>
          <cell r="G1841"/>
          <cell r="M1841"/>
          <cell r="N1841"/>
          <cell r="R1841"/>
        </row>
        <row r="1842">
          <cell r="C1842"/>
          <cell r="D1842"/>
          <cell r="E1842"/>
          <cell r="G1842"/>
          <cell r="M1842"/>
          <cell r="N1842"/>
          <cell r="R1842"/>
        </row>
        <row r="1843">
          <cell r="C1843"/>
          <cell r="D1843"/>
          <cell r="E1843"/>
          <cell r="G1843"/>
          <cell r="M1843"/>
          <cell r="N1843"/>
          <cell r="R1843"/>
        </row>
        <row r="1844">
          <cell r="C1844"/>
          <cell r="D1844"/>
          <cell r="E1844"/>
          <cell r="G1844"/>
          <cell r="M1844"/>
          <cell r="N1844"/>
          <cell r="R1844"/>
        </row>
        <row r="1845">
          <cell r="C1845"/>
          <cell r="D1845"/>
          <cell r="E1845"/>
          <cell r="G1845"/>
          <cell r="M1845"/>
          <cell r="N1845"/>
          <cell r="R1845"/>
        </row>
        <row r="1846">
          <cell r="C1846"/>
          <cell r="D1846"/>
          <cell r="E1846"/>
          <cell r="G1846"/>
          <cell r="M1846"/>
          <cell r="N1846"/>
          <cell r="R1846"/>
        </row>
        <row r="1847">
          <cell r="C1847"/>
          <cell r="D1847"/>
          <cell r="E1847"/>
          <cell r="G1847"/>
          <cell r="M1847"/>
          <cell r="N1847"/>
          <cell r="R1847"/>
        </row>
        <row r="1848">
          <cell r="C1848"/>
          <cell r="D1848"/>
          <cell r="E1848"/>
          <cell r="G1848"/>
          <cell r="M1848"/>
          <cell r="N1848"/>
          <cell r="R1848"/>
        </row>
        <row r="1849">
          <cell r="C1849"/>
          <cell r="D1849"/>
          <cell r="E1849"/>
          <cell r="G1849"/>
          <cell r="M1849"/>
          <cell r="N1849"/>
          <cell r="R1849"/>
        </row>
        <row r="1850">
          <cell r="C1850"/>
          <cell r="D1850"/>
          <cell r="E1850"/>
          <cell r="G1850"/>
          <cell r="M1850"/>
          <cell r="N1850"/>
          <cell r="R1850"/>
        </row>
        <row r="1851">
          <cell r="C1851"/>
          <cell r="D1851"/>
          <cell r="E1851"/>
          <cell r="G1851"/>
          <cell r="M1851"/>
          <cell r="N1851"/>
          <cell r="R1851"/>
        </row>
        <row r="1852">
          <cell r="C1852"/>
          <cell r="D1852"/>
          <cell r="E1852"/>
          <cell r="G1852"/>
          <cell r="M1852"/>
          <cell r="N1852"/>
          <cell r="R1852"/>
        </row>
        <row r="1853">
          <cell r="C1853"/>
          <cell r="D1853"/>
          <cell r="E1853"/>
          <cell r="G1853"/>
          <cell r="M1853"/>
          <cell r="N1853"/>
          <cell r="R1853"/>
        </row>
        <row r="1854">
          <cell r="C1854"/>
          <cell r="D1854"/>
          <cell r="E1854"/>
          <cell r="G1854"/>
          <cell r="M1854"/>
          <cell r="N1854"/>
          <cell r="R1854"/>
        </row>
        <row r="1855">
          <cell r="C1855"/>
          <cell r="D1855"/>
          <cell r="E1855"/>
          <cell r="G1855"/>
          <cell r="M1855"/>
          <cell r="N1855"/>
          <cell r="R1855"/>
        </row>
        <row r="1856">
          <cell r="C1856"/>
          <cell r="D1856"/>
          <cell r="E1856"/>
          <cell r="G1856"/>
          <cell r="M1856"/>
          <cell r="N1856"/>
          <cell r="R1856"/>
        </row>
        <row r="1857">
          <cell r="C1857"/>
          <cell r="D1857"/>
          <cell r="E1857"/>
          <cell r="G1857"/>
          <cell r="M1857"/>
          <cell r="N1857"/>
          <cell r="R1857"/>
        </row>
        <row r="1858">
          <cell r="C1858"/>
          <cell r="D1858"/>
          <cell r="E1858"/>
          <cell r="G1858"/>
          <cell r="M1858"/>
          <cell r="N1858"/>
          <cell r="R1858"/>
        </row>
        <row r="1859">
          <cell r="C1859"/>
          <cell r="D1859"/>
          <cell r="E1859"/>
          <cell r="G1859"/>
          <cell r="M1859"/>
          <cell r="N1859"/>
          <cell r="R1859"/>
        </row>
        <row r="1860">
          <cell r="C1860"/>
          <cell r="D1860"/>
          <cell r="E1860"/>
          <cell r="G1860"/>
          <cell r="M1860"/>
          <cell r="N1860"/>
          <cell r="R1860"/>
        </row>
        <row r="1861">
          <cell r="C1861"/>
          <cell r="D1861"/>
          <cell r="E1861"/>
          <cell r="G1861"/>
          <cell r="M1861"/>
          <cell r="N1861"/>
          <cell r="R1861"/>
        </row>
        <row r="1862">
          <cell r="C1862"/>
          <cell r="D1862"/>
          <cell r="E1862"/>
          <cell r="G1862"/>
          <cell r="M1862"/>
          <cell r="N1862"/>
          <cell r="R1862"/>
        </row>
        <row r="1863">
          <cell r="C1863"/>
          <cell r="D1863"/>
          <cell r="E1863"/>
          <cell r="G1863"/>
          <cell r="M1863"/>
          <cell r="N1863"/>
          <cell r="R1863"/>
        </row>
        <row r="1864">
          <cell r="C1864"/>
          <cell r="D1864"/>
          <cell r="E1864"/>
          <cell r="G1864"/>
          <cell r="M1864"/>
          <cell r="N1864"/>
          <cell r="R1864"/>
        </row>
        <row r="1865">
          <cell r="C1865"/>
          <cell r="D1865"/>
          <cell r="E1865"/>
          <cell r="G1865"/>
          <cell r="M1865"/>
          <cell r="N1865"/>
          <cell r="R1865"/>
        </row>
        <row r="1866">
          <cell r="C1866"/>
          <cell r="D1866"/>
          <cell r="E1866"/>
          <cell r="G1866"/>
          <cell r="M1866"/>
          <cell r="N1866"/>
          <cell r="R1866"/>
        </row>
        <row r="1867">
          <cell r="C1867"/>
          <cell r="D1867"/>
          <cell r="E1867"/>
          <cell r="G1867"/>
          <cell r="M1867"/>
          <cell r="N1867"/>
          <cell r="R1867"/>
        </row>
        <row r="1868">
          <cell r="C1868"/>
          <cell r="D1868"/>
          <cell r="E1868"/>
          <cell r="G1868"/>
          <cell r="M1868"/>
          <cell r="N1868"/>
          <cell r="R1868"/>
        </row>
        <row r="1869">
          <cell r="C1869"/>
          <cell r="D1869"/>
          <cell r="E1869"/>
          <cell r="G1869"/>
          <cell r="M1869"/>
          <cell r="N1869"/>
          <cell r="R1869"/>
        </row>
        <row r="1870">
          <cell r="C1870"/>
          <cell r="D1870"/>
          <cell r="E1870"/>
          <cell r="G1870"/>
          <cell r="M1870"/>
          <cell r="N1870"/>
          <cell r="R1870"/>
        </row>
        <row r="1871">
          <cell r="C1871"/>
          <cell r="D1871"/>
          <cell r="E1871"/>
          <cell r="G1871"/>
          <cell r="M1871"/>
          <cell r="N1871"/>
          <cell r="R1871"/>
        </row>
        <row r="1872">
          <cell r="C1872"/>
          <cell r="D1872"/>
          <cell r="E1872"/>
          <cell r="G1872"/>
          <cell r="M1872"/>
          <cell r="N1872"/>
          <cell r="R1872"/>
        </row>
        <row r="1873">
          <cell r="C1873"/>
          <cell r="D1873"/>
          <cell r="E1873"/>
          <cell r="G1873"/>
          <cell r="M1873"/>
          <cell r="N1873"/>
          <cell r="R1873"/>
        </row>
        <row r="1874">
          <cell r="C1874"/>
          <cell r="D1874"/>
          <cell r="E1874"/>
          <cell r="G1874"/>
          <cell r="M1874"/>
          <cell r="N1874"/>
          <cell r="R1874"/>
        </row>
        <row r="1875">
          <cell r="C1875"/>
          <cell r="D1875"/>
          <cell r="E1875"/>
          <cell r="G1875"/>
          <cell r="M1875"/>
          <cell r="N1875"/>
          <cell r="R1875"/>
        </row>
        <row r="1876">
          <cell r="C1876"/>
          <cell r="D1876"/>
          <cell r="E1876"/>
          <cell r="G1876"/>
          <cell r="M1876"/>
          <cell r="N1876"/>
          <cell r="R1876"/>
        </row>
        <row r="1877">
          <cell r="C1877"/>
          <cell r="D1877"/>
          <cell r="E1877"/>
          <cell r="G1877"/>
          <cell r="M1877"/>
          <cell r="N1877"/>
          <cell r="R1877"/>
        </row>
        <row r="1878">
          <cell r="C1878"/>
          <cell r="D1878"/>
          <cell r="E1878"/>
          <cell r="G1878"/>
          <cell r="M1878"/>
          <cell r="N1878"/>
          <cell r="R1878"/>
        </row>
        <row r="1879">
          <cell r="C1879"/>
          <cell r="D1879"/>
          <cell r="E1879"/>
          <cell r="G1879"/>
          <cell r="M1879"/>
          <cell r="N1879"/>
          <cell r="R1879"/>
        </row>
        <row r="1880">
          <cell r="C1880"/>
          <cell r="D1880"/>
          <cell r="E1880"/>
          <cell r="G1880"/>
          <cell r="M1880"/>
          <cell r="N1880"/>
          <cell r="R1880"/>
        </row>
        <row r="1881">
          <cell r="C1881"/>
          <cell r="D1881"/>
          <cell r="E1881"/>
          <cell r="G1881"/>
          <cell r="M1881"/>
          <cell r="N1881"/>
          <cell r="R1881"/>
        </row>
        <row r="1882">
          <cell r="C1882"/>
          <cell r="D1882"/>
          <cell r="E1882"/>
          <cell r="G1882"/>
          <cell r="M1882"/>
          <cell r="N1882"/>
          <cell r="R1882"/>
        </row>
        <row r="1883">
          <cell r="C1883"/>
          <cell r="D1883"/>
          <cell r="E1883"/>
          <cell r="G1883"/>
          <cell r="M1883"/>
          <cell r="N1883"/>
          <cell r="R1883"/>
        </row>
        <row r="1884">
          <cell r="C1884"/>
          <cell r="D1884"/>
          <cell r="E1884"/>
          <cell r="G1884"/>
          <cell r="M1884"/>
          <cell r="N1884"/>
          <cell r="R1884"/>
        </row>
        <row r="1885">
          <cell r="C1885"/>
          <cell r="D1885"/>
          <cell r="E1885"/>
          <cell r="G1885"/>
          <cell r="M1885"/>
          <cell r="N1885"/>
          <cell r="R1885"/>
        </row>
        <row r="1886">
          <cell r="C1886"/>
          <cell r="D1886"/>
          <cell r="E1886"/>
          <cell r="G1886"/>
          <cell r="M1886"/>
          <cell r="N1886"/>
          <cell r="R1886"/>
        </row>
        <row r="1887">
          <cell r="C1887"/>
          <cell r="D1887"/>
          <cell r="E1887"/>
          <cell r="G1887"/>
          <cell r="M1887"/>
          <cell r="N1887"/>
          <cell r="R1887"/>
        </row>
        <row r="1888">
          <cell r="C1888"/>
          <cell r="D1888"/>
          <cell r="E1888"/>
          <cell r="G1888"/>
          <cell r="M1888"/>
          <cell r="N1888"/>
          <cell r="R1888"/>
        </row>
        <row r="1889">
          <cell r="C1889"/>
          <cell r="D1889"/>
          <cell r="E1889"/>
          <cell r="G1889"/>
          <cell r="M1889"/>
          <cell r="N1889"/>
          <cell r="R1889"/>
        </row>
        <row r="1890">
          <cell r="C1890"/>
          <cell r="D1890"/>
          <cell r="E1890"/>
          <cell r="G1890"/>
          <cell r="M1890"/>
          <cell r="N1890"/>
          <cell r="R1890"/>
        </row>
        <row r="1891">
          <cell r="C1891"/>
          <cell r="D1891"/>
          <cell r="E1891"/>
          <cell r="G1891"/>
          <cell r="M1891"/>
          <cell r="N1891"/>
          <cell r="R1891"/>
        </row>
        <row r="1892">
          <cell r="C1892"/>
          <cell r="D1892"/>
          <cell r="E1892"/>
          <cell r="G1892"/>
          <cell r="M1892"/>
          <cell r="N1892"/>
          <cell r="R1892"/>
        </row>
        <row r="1893">
          <cell r="C1893"/>
          <cell r="D1893"/>
          <cell r="E1893"/>
          <cell r="G1893"/>
          <cell r="M1893"/>
          <cell r="N1893"/>
          <cell r="R1893"/>
        </row>
        <row r="1894">
          <cell r="C1894"/>
          <cell r="D1894"/>
          <cell r="E1894"/>
          <cell r="G1894"/>
          <cell r="M1894"/>
          <cell r="N1894"/>
          <cell r="R1894"/>
        </row>
        <row r="1895">
          <cell r="C1895"/>
          <cell r="D1895"/>
          <cell r="E1895"/>
          <cell r="G1895"/>
          <cell r="M1895"/>
          <cell r="N1895"/>
          <cell r="R1895"/>
        </row>
        <row r="1896">
          <cell r="C1896"/>
          <cell r="D1896"/>
          <cell r="E1896"/>
          <cell r="G1896"/>
          <cell r="M1896"/>
          <cell r="N1896"/>
          <cell r="R1896"/>
        </row>
        <row r="1897">
          <cell r="C1897"/>
          <cell r="D1897"/>
          <cell r="E1897"/>
          <cell r="G1897"/>
          <cell r="M1897"/>
          <cell r="N1897"/>
          <cell r="R1897"/>
        </row>
        <row r="1898">
          <cell r="C1898"/>
          <cell r="D1898"/>
          <cell r="E1898"/>
          <cell r="G1898"/>
          <cell r="M1898"/>
          <cell r="N1898"/>
          <cell r="R1898"/>
        </row>
        <row r="1899">
          <cell r="C1899"/>
          <cell r="D1899"/>
          <cell r="E1899"/>
          <cell r="G1899"/>
          <cell r="M1899"/>
          <cell r="N1899"/>
          <cell r="R1899"/>
        </row>
        <row r="1900">
          <cell r="C1900"/>
          <cell r="D1900"/>
          <cell r="E1900"/>
          <cell r="G1900"/>
          <cell r="M1900"/>
          <cell r="N1900"/>
          <cell r="R1900"/>
        </row>
        <row r="1901">
          <cell r="C1901"/>
          <cell r="D1901"/>
          <cell r="E1901"/>
          <cell r="G1901"/>
          <cell r="M1901"/>
          <cell r="N1901"/>
          <cell r="R1901"/>
        </row>
        <row r="1902">
          <cell r="C1902"/>
          <cell r="D1902"/>
          <cell r="E1902"/>
          <cell r="G1902"/>
          <cell r="M1902"/>
          <cell r="N1902"/>
          <cell r="R1902"/>
        </row>
        <row r="1903">
          <cell r="C1903"/>
          <cell r="D1903"/>
          <cell r="E1903"/>
          <cell r="G1903"/>
          <cell r="M1903"/>
          <cell r="N1903"/>
          <cell r="R1903"/>
        </row>
        <row r="1904">
          <cell r="C1904"/>
          <cell r="D1904"/>
          <cell r="E1904"/>
          <cell r="G1904"/>
          <cell r="M1904"/>
          <cell r="N1904"/>
          <cell r="R1904"/>
        </row>
        <row r="1905">
          <cell r="C1905"/>
          <cell r="D1905"/>
          <cell r="E1905"/>
          <cell r="G1905"/>
          <cell r="M1905"/>
          <cell r="N1905"/>
          <cell r="R1905"/>
        </row>
        <row r="1906">
          <cell r="C1906"/>
          <cell r="D1906"/>
          <cell r="E1906"/>
          <cell r="G1906"/>
          <cell r="M1906"/>
          <cell r="N1906"/>
          <cell r="R1906"/>
        </row>
        <row r="1907">
          <cell r="C1907"/>
          <cell r="D1907"/>
          <cell r="E1907"/>
          <cell r="G1907"/>
          <cell r="M1907"/>
          <cell r="N1907"/>
          <cell r="R1907"/>
        </row>
        <row r="1908">
          <cell r="C1908"/>
          <cell r="D1908"/>
          <cell r="E1908"/>
          <cell r="G1908"/>
          <cell r="M1908"/>
          <cell r="N1908"/>
          <cell r="R1908"/>
        </row>
        <row r="1909">
          <cell r="C1909"/>
          <cell r="D1909"/>
          <cell r="E1909"/>
          <cell r="G1909"/>
          <cell r="M1909"/>
          <cell r="N1909"/>
          <cell r="R1909"/>
        </row>
        <row r="1910">
          <cell r="C1910"/>
          <cell r="D1910"/>
          <cell r="E1910"/>
          <cell r="G1910"/>
          <cell r="M1910"/>
          <cell r="N1910"/>
          <cell r="R1910"/>
        </row>
        <row r="1911">
          <cell r="C1911"/>
          <cell r="D1911"/>
          <cell r="E1911"/>
          <cell r="G1911"/>
          <cell r="M1911"/>
          <cell r="N1911"/>
          <cell r="R1911"/>
        </row>
        <row r="1912">
          <cell r="C1912"/>
          <cell r="D1912"/>
          <cell r="E1912"/>
          <cell r="G1912"/>
          <cell r="M1912"/>
          <cell r="N1912"/>
          <cell r="R1912"/>
        </row>
        <row r="1913">
          <cell r="C1913"/>
          <cell r="D1913"/>
          <cell r="E1913"/>
          <cell r="G1913"/>
          <cell r="M1913"/>
          <cell r="N1913"/>
          <cell r="R1913"/>
        </row>
        <row r="1914">
          <cell r="C1914"/>
          <cell r="D1914"/>
          <cell r="E1914"/>
          <cell r="G1914"/>
          <cell r="M1914"/>
          <cell r="N1914"/>
          <cell r="R1914"/>
        </row>
        <row r="1915">
          <cell r="C1915"/>
          <cell r="D1915"/>
          <cell r="E1915"/>
          <cell r="G1915"/>
          <cell r="M1915"/>
          <cell r="N1915"/>
          <cell r="R1915"/>
        </row>
        <row r="1916">
          <cell r="C1916"/>
          <cell r="D1916"/>
          <cell r="E1916"/>
          <cell r="G1916"/>
          <cell r="M1916"/>
          <cell r="N1916"/>
          <cell r="R1916"/>
        </row>
        <row r="1917">
          <cell r="C1917"/>
          <cell r="D1917"/>
          <cell r="E1917"/>
          <cell r="G1917"/>
          <cell r="M1917"/>
          <cell r="N1917"/>
          <cell r="R1917"/>
        </row>
        <row r="1918">
          <cell r="C1918"/>
          <cell r="D1918"/>
          <cell r="E1918"/>
          <cell r="G1918"/>
          <cell r="M1918"/>
          <cell r="N1918"/>
          <cell r="R1918"/>
        </row>
        <row r="1919">
          <cell r="C1919"/>
          <cell r="D1919"/>
          <cell r="E1919"/>
          <cell r="G1919"/>
          <cell r="M1919"/>
          <cell r="N1919"/>
          <cell r="R1919"/>
        </row>
        <row r="1920">
          <cell r="C1920"/>
          <cell r="D1920"/>
          <cell r="E1920"/>
          <cell r="G1920"/>
          <cell r="M1920"/>
          <cell r="N1920"/>
          <cell r="R1920"/>
        </row>
        <row r="1921">
          <cell r="C1921"/>
          <cell r="D1921"/>
          <cell r="E1921"/>
          <cell r="G1921"/>
          <cell r="M1921"/>
          <cell r="N1921"/>
          <cell r="R1921"/>
        </row>
        <row r="1922">
          <cell r="C1922"/>
          <cell r="D1922"/>
          <cell r="E1922"/>
          <cell r="G1922"/>
          <cell r="M1922"/>
          <cell r="N1922"/>
          <cell r="R1922"/>
        </row>
        <row r="1923">
          <cell r="C1923"/>
          <cell r="D1923"/>
          <cell r="E1923"/>
          <cell r="G1923"/>
          <cell r="M1923"/>
          <cell r="N1923"/>
          <cell r="R1923"/>
        </row>
        <row r="1924">
          <cell r="C1924"/>
          <cell r="D1924"/>
          <cell r="E1924"/>
          <cell r="G1924"/>
          <cell r="M1924"/>
          <cell r="N1924"/>
          <cell r="R1924"/>
        </row>
        <row r="1925">
          <cell r="C1925"/>
          <cell r="D1925"/>
          <cell r="E1925"/>
          <cell r="G1925"/>
          <cell r="M1925"/>
          <cell r="N1925"/>
          <cell r="R1925"/>
        </row>
        <row r="1926">
          <cell r="C1926"/>
          <cell r="D1926"/>
          <cell r="E1926"/>
          <cell r="G1926"/>
          <cell r="M1926"/>
          <cell r="N1926"/>
          <cell r="R1926"/>
        </row>
        <row r="1927">
          <cell r="C1927"/>
          <cell r="D1927"/>
          <cell r="E1927"/>
          <cell r="G1927"/>
          <cell r="M1927"/>
          <cell r="N1927"/>
          <cell r="R1927"/>
        </row>
        <row r="1928">
          <cell r="C1928"/>
          <cell r="D1928"/>
          <cell r="E1928"/>
          <cell r="G1928"/>
          <cell r="M1928"/>
          <cell r="N1928"/>
          <cell r="R1928"/>
        </row>
        <row r="1929">
          <cell r="C1929"/>
          <cell r="D1929"/>
          <cell r="E1929"/>
          <cell r="G1929"/>
          <cell r="M1929"/>
          <cell r="N1929"/>
          <cell r="R1929"/>
        </row>
        <row r="1930">
          <cell r="C1930"/>
          <cell r="D1930"/>
          <cell r="E1930"/>
          <cell r="G1930"/>
          <cell r="M1930"/>
          <cell r="N1930"/>
          <cell r="R1930"/>
        </row>
        <row r="1931">
          <cell r="C1931"/>
          <cell r="D1931"/>
          <cell r="E1931"/>
          <cell r="G1931"/>
          <cell r="M1931"/>
          <cell r="N1931"/>
          <cell r="R1931"/>
        </row>
        <row r="1932">
          <cell r="C1932"/>
          <cell r="D1932"/>
          <cell r="E1932"/>
          <cell r="G1932"/>
          <cell r="M1932"/>
          <cell r="N1932"/>
          <cell r="R1932"/>
        </row>
        <row r="1933">
          <cell r="C1933"/>
          <cell r="D1933"/>
          <cell r="E1933"/>
          <cell r="G1933"/>
          <cell r="M1933"/>
          <cell r="N1933"/>
          <cell r="R1933"/>
        </row>
        <row r="1934">
          <cell r="C1934"/>
          <cell r="D1934"/>
          <cell r="E1934"/>
          <cell r="G1934"/>
          <cell r="M1934"/>
          <cell r="N1934"/>
          <cell r="R1934"/>
        </row>
        <row r="1935">
          <cell r="C1935"/>
          <cell r="D1935"/>
          <cell r="E1935"/>
          <cell r="G1935"/>
          <cell r="M1935"/>
          <cell r="N1935"/>
          <cell r="R1935"/>
        </row>
        <row r="1936">
          <cell r="C1936"/>
          <cell r="D1936"/>
          <cell r="E1936"/>
          <cell r="G1936"/>
          <cell r="M1936"/>
          <cell r="N1936"/>
          <cell r="R1936"/>
        </row>
        <row r="1937">
          <cell r="C1937"/>
          <cell r="D1937"/>
          <cell r="E1937"/>
          <cell r="G1937"/>
          <cell r="M1937"/>
          <cell r="N1937"/>
          <cell r="R1937"/>
        </row>
        <row r="1938">
          <cell r="C1938"/>
          <cell r="D1938"/>
          <cell r="E1938"/>
          <cell r="G1938"/>
          <cell r="M1938"/>
          <cell r="N1938"/>
          <cell r="R1938"/>
        </row>
        <row r="1939">
          <cell r="C1939"/>
          <cell r="D1939"/>
          <cell r="E1939"/>
          <cell r="G1939"/>
          <cell r="M1939"/>
          <cell r="N1939"/>
          <cell r="R1939"/>
        </row>
        <row r="1940">
          <cell r="C1940"/>
          <cell r="D1940"/>
          <cell r="E1940"/>
          <cell r="G1940"/>
          <cell r="M1940"/>
          <cell r="N1940"/>
          <cell r="R1940"/>
        </row>
        <row r="1941">
          <cell r="C1941"/>
          <cell r="D1941"/>
          <cell r="E1941"/>
          <cell r="G1941"/>
          <cell r="M1941"/>
          <cell r="N1941"/>
          <cell r="R1941"/>
        </row>
        <row r="1942">
          <cell r="C1942"/>
          <cell r="D1942"/>
          <cell r="E1942"/>
          <cell r="G1942"/>
          <cell r="M1942"/>
          <cell r="N1942"/>
          <cell r="R1942"/>
        </row>
        <row r="1943">
          <cell r="C1943"/>
          <cell r="D1943"/>
          <cell r="E1943"/>
          <cell r="G1943"/>
          <cell r="M1943"/>
          <cell r="N1943"/>
          <cell r="R1943"/>
        </row>
        <row r="1944">
          <cell r="C1944"/>
          <cell r="D1944"/>
          <cell r="E1944"/>
          <cell r="G1944"/>
          <cell r="M1944"/>
          <cell r="N1944"/>
          <cell r="R1944"/>
        </row>
        <row r="1945">
          <cell r="C1945"/>
          <cell r="D1945"/>
          <cell r="E1945"/>
          <cell r="G1945"/>
          <cell r="M1945"/>
          <cell r="N1945"/>
          <cell r="R1945"/>
        </row>
        <row r="1946">
          <cell r="C1946"/>
          <cell r="D1946"/>
          <cell r="E1946"/>
          <cell r="G1946"/>
          <cell r="M1946"/>
          <cell r="N1946"/>
          <cell r="R1946"/>
        </row>
        <row r="1947">
          <cell r="C1947"/>
          <cell r="D1947"/>
          <cell r="E1947"/>
          <cell r="G1947"/>
          <cell r="M1947"/>
          <cell r="N1947"/>
          <cell r="R1947"/>
        </row>
        <row r="1948">
          <cell r="C1948"/>
          <cell r="D1948"/>
          <cell r="E1948"/>
          <cell r="G1948"/>
          <cell r="M1948"/>
          <cell r="N1948"/>
          <cell r="R1948"/>
        </row>
        <row r="1949">
          <cell r="C1949"/>
          <cell r="D1949"/>
          <cell r="E1949"/>
          <cell r="G1949"/>
          <cell r="M1949"/>
          <cell r="N1949"/>
          <cell r="R1949"/>
        </row>
        <row r="1950">
          <cell r="C1950"/>
          <cell r="D1950"/>
          <cell r="E1950"/>
          <cell r="G1950"/>
          <cell r="M1950"/>
          <cell r="N1950"/>
          <cell r="R1950"/>
        </row>
        <row r="1951">
          <cell r="C1951"/>
          <cell r="D1951"/>
          <cell r="E1951"/>
          <cell r="G1951"/>
          <cell r="M1951"/>
          <cell r="N1951"/>
          <cell r="R1951"/>
        </row>
        <row r="1952">
          <cell r="C1952"/>
          <cell r="D1952"/>
          <cell r="E1952"/>
          <cell r="G1952"/>
          <cell r="M1952"/>
          <cell r="N1952"/>
          <cell r="R1952"/>
        </row>
        <row r="1953">
          <cell r="C1953"/>
          <cell r="D1953"/>
          <cell r="E1953"/>
          <cell r="G1953"/>
          <cell r="M1953"/>
          <cell r="N1953"/>
          <cell r="R1953"/>
        </row>
        <row r="1954">
          <cell r="C1954"/>
          <cell r="D1954"/>
          <cell r="E1954"/>
          <cell r="G1954"/>
          <cell r="M1954"/>
          <cell r="N1954"/>
          <cell r="R1954"/>
        </row>
        <row r="1955">
          <cell r="C1955"/>
          <cell r="D1955"/>
          <cell r="E1955"/>
          <cell r="G1955"/>
          <cell r="M1955"/>
          <cell r="N1955"/>
          <cell r="R1955"/>
        </row>
        <row r="1956">
          <cell r="C1956"/>
          <cell r="D1956"/>
          <cell r="E1956"/>
          <cell r="G1956"/>
          <cell r="M1956"/>
          <cell r="N1956"/>
          <cell r="R1956"/>
        </row>
        <row r="1957">
          <cell r="C1957"/>
          <cell r="D1957"/>
          <cell r="E1957"/>
          <cell r="G1957"/>
          <cell r="M1957"/>
          <cell r="N1957"/>
          <cell r="R1957"/>
        </row>
        <row r="1958">
          <cell r="C1958"/>
          <cell r="D1958"/>
          <cell r="E1958"/>
          <cell r="G1958"/>
          <cell r="M1958"/>
          <cell r="N1958"/>
          <cell r="R1958"/>
        </row>
        <row r="1959">
          <cell r="C1959"/>
          <cell r="D1959"/>
          <cell r="E1959"/>
          <cell r="G1959"/>
          <cell r="M1959"/>
          <cell r="N1959"/>
          <cell r="R1959"/>
        </row>
        <row r="1960">
          <cell r="C1960"/>
          <cell r="D1960"/>
          <cell r="E1960"/>
          <cell r="G1960"/>
          <cell r="M1960"/>
          <cell r="N1960"/>
          <cell r="R1960"/>
        </row>
        <row r="1961">
          <cell r="C1961"/>
          <cell r="D1961"/>
          <cell r="E1961"/>
          <cell r="G1961"/>
          <cell r="M1961"/>
          <cell r="N1961"/>
          <cell r="R1961"/>
        </row>
        <row r="1962">
          <cell r="C1962"/>
          <cell r="D1962"/>
          <cell r="E1962"/>
          <cell r="G1962"/>
          <cell r="M1962"/>
          <cell r="N1962"/>
          <cell r="R1962"/>
        </row>
        <row r="1963">
          <cell r="C1963"/>
          <cell r="D1963"/>
          <cell r="E1963"/>
          <cell r="G1963"/>
          <cell r="M1963"/>
          <cell r="N1963"/>
          <cell r="R1963"/>
        </row>
        <row r="1964">
          <cell r="C1964"/>
          <cell r="D1964"/>
          <cell r="E1964"/>
          <cell r="G1964"/>
          <cell r="M1964"/>
          <cell r="N1964"/>
          <cell r="R1964"/>
        </row>
        <row r="1965">
          <cell r="C1965"/>
          <cell r="D1965"/>
          <cell r="E1965"/>
          <cell r="G1965"/>
          <cell r="M1965"/>
          <cell r="N1965"/>
          <cell r="R1965"/>
        </row>
        <row r="1966">
          <cell r="C1966"/>
          <cell r="D1966"/>
          <cell r="E1966"/>
          <cell r="G1966"/>
          <cell r="M1966"/>
          <cell r="N1966"/>
          <cell r="R1966"/>
        </row>
        <row r="1967">
          <cell r="C1967"/>
          <cell r="D1967"/>
          <cell r="E1967"/>
          <cell r="G1967"/>
          <cell r="M1967"/>
          <cell r="N1967"/>
          <cell r="R1967"/>
        </row>
        <row r="1968">
          <cell r="C1968"/>
          <cell r="D1968"/>
          <cell r="E1968"/>
          <cell r="G1968"/>
          <cell r="M1968"/>
          <cell r="N1968"/>
          <cell r="R1968"/>
        </row>
        <row r="1969">
          <cell r="C1969"/>
          <cell r="D1969"/>
          <cell r="E1969"/>
          <cell r="G1969"/>
          <cell r="M1969"/>
          <cell r="N1969"/>
          <cell r="R1969"/>
        </row>
        <row r="1970">
          <cell r="C1970"/>
          <cell r="D1970"/>
          <cell r="E1970"/>
          <cell r="G1970"/>
          <cell r="M1970"/>
          <cell r="N1970"/>
          <cell r="R1970"/>
        </row>
        <row r="1971">
          <cell r="C1971"/>
          <cell r="D1971"/>
          <cell r="E1971"/>
          <cell r="G1971"/>
          <cell r="M1971"/>
          <cell r="N1971"/>
          <cell r="R1971"/>
        </row>
        <row r="1972">
          <cell r="C1972"/>
          <cell r="D1972"/>
          <cell r="E1972"/>
          <cell r="G1972"/>
          <cell r="M1972"/>
          <cell r="N1972"/>
          <cell r="R1972"/>
        </row>
        <row r="1973">
          <cell r="C1973"/>
          <cell r="D1973"/>
          <cell r="E1973"/>
          <cell r="G1973"/>
          <cell r="M1973"/>
          <cell r="N1973"/>
          <cell r="R1973"/>
        </row>
        <row r="1974">
          <cell r="C1974"/>
          <cell r="D1974"/>
          <cell r="E1974"/>
          <cell r="G1974"/>
          <cell r="M1974"/>
          <cell r="N1974"/>
          <cell r="R1974"/>
        </row>
        <row r="1975">
          <cell r="C1975"/>
          <cell r="D1975"/>
          <cell r="E1975"/>
          <cell r="G1975"/>
          <cell r="M1975"/>
          <cell r="N1975"/>
          <cell r="R1975"/>
        </row>
        <row r="1976">
          <cell r="C1976"/>
          <cell r="D1976"/>
          <cell r="E1976"/>
          <cell r="G1976"/>
          <cell r="M1976"/>
          <cell r="N1976"/>
          <cell r="R1976"/>
        </row>
        <row r="1977">
          <cell r="C1977"/>
          <cell r="D1977"/>
          <cell r="E1977"/>
          <cell r="G1977"/>
          <cell r="M1977"/>
          <cell r="N1977"/>
          <cell r="R1977"/>
        </row>
        <row r="1978">
          <cell r="C1978"/>
          <cell r="D1978"/>
          <cell r="E1978"/>
          <cell r="G1978"/>
          <cell r="M1978"/>
          <cell r="N1978"/>
          <cell r="R1978"/>
        </row>
        <row r="1979">
          <cell r="C1979"/>
          <cell r="D1979"/>
          <cell r="E1979"/>
          <cell r="G1979"/>
          <cell r="M1979"/>
          <cell r="N1979"/>
          <cell r="R1979"/>
        </row>
        <row r="1980">
          <cell r="C1980"/>
          <cell r="D1980"/>
          <cell r="E1980"/>
          <cell r="G1980"/>
          <cell r="M1980"/>
          <cell r="N1980"/>
          <cell r="R1980"/>
        </row>
        <row r="1981">
          <cell r="C1981"/>
          <cell r="D1981"/>
          <cell r="E1981"/>
          <cell r="G1981"/>
          <cell r="M1981"/>
          <cell r="N1981"/>
          <cell r="R1981"/>
        </row>
        <row r="1982">
          <cell r="C1982"/>
          <cell r="D1982"/>
          <cell r="E1982"/>
          <cell r="G1982"/>
          <cell r="M1982"/>
          <cell r="N1982"/>
          <cell r="R1982"/>
        </row>
        <row r="1983">
          <cell r="C1983"/>
          <cell r="D1983"/>
          <cell r="E1983"/>
          <cell r="G1983"/>
          <cell r="M1983"/>
          <cell r="N1983"/>
          <cell r="R1983"/>
        </row>
        <row r="1984">
          <cell r="C1984"/>
          <cell r="D1984"/>
          <cell r="E1984"/>
          <cell r="G1984"/>
          <cell r="M1984"/>
          <cell r="N1984"/>
          <cell r="R1984"/>
        </row>
        <row r="1985">
          <cell r="C1985"/>
          <cell r="D1985"/>
          <cell r="E1985"/>
          <cell r="G1985"/>
          <cell r="M1985"/>
          <cell r="N1985"/>
          <cell r="R1985"/>
        </row>
        <row r="1986">
          <cell r="C1986"/>
          <cell r="D1986"/>
          <cell r="E1986"/>
          <cell r="G1986"/>
          <cell r="M1986"/>
          <cell r="N1986"/>
          <cell r="R1986"/>
        </row>
        <row r="1987">
          <cell r="C1987"/>
          <cell r="D1987"/>
          <cell r="E1987"/>
          <cell r="G1987"/>
          <cell r="M1987"/>
          <cell r="N1987"/>
          <cell r="R1987"/>
        </row>
        <row r="1988">
          <cell r="C1988"/>
          <cell r="D1988"/>
          <cell r="E1988"/>
          <cell r="G1988"/>
          <cell r="M1988"/>
          <cell r="N1988"/>
          <cell r="R1988"/>
        </row>
        <row r="1989">
          <cell r="C1989"/>
          <cell r="D1989"/>
          <cell r="E1989"/>
          <cell r="G1989"/>
          <cell r="M1989"/>
          <cell r="N1989"/>
          <cell r="R1989"/>
        </row>
        <row r="1990">
          <cell r="C1990"/>
          <cell r="D1990"/>
          <cell r="E1990"/>
          <cell r="G1990"/>
          <cell r="M1990"/>
          <cell r="N1990"/>
          <cell r="R1990"/>
        </row>
        <row r="1991">
          <cell r="C1991"/>
          <cell r="D1991"/>
          <cell r="E1991"/>
          <cell r="G1991"/>
          <cell r="M1991"/>
          <cell r="N1991"/>
          <cell r="R1991"/>
        </row>
        <row r="1992">
          <cell r="C1992"/>
          <cell r="D1992"/>
          <cell r="E1992"/>
          <cell r="G1992"/>
          <cell r="M1992"/>
          <cell r="N1992"/>
          <cell r="R1992"/>
        </row>
        <row r="1993">
          <cell r="C1993"/>
          <cell r="D1993"/>
          <cell r="E1993"/>
          <cell r="G1993"/>
          <cell r="M1993"/>
          <cell r="N1993"/>
          <cell r="R1993"/>
        </row>
        <row r="1994">
          <cell r="C1994"/>
          <cell r="D1994"/>
          <cell r="E1994"/>
          <cell r="G1994"/>
          <cell r="M1994"/>
          <cell r="N1994"/>
          <cell r="R1994"/>
        </row>
        <row r="1995">
          <cell r="C1995"/>
          <cell r="D1995"/>
          <cell r="E1995"/>
          <cell r="G1995"/>
          <cell r="M1995"/>
          <cell r="N1995"/>
          <cell r="R1995"/>
        </row>
        <row r="1996">
          <cell r="C1996"/>
          <cell r="D1996"/>
          <cell r="E1996"/>
          <cell r="G1996"/>
          <cell r="M1996"/>
          <cell r="N1996"/>
          <cell r="R1996"/>
        </row>
        <row r="1997">
          <cell r="C1997"/>
          <cell r="D1997"/>
          <cell r="E1997"/>
          <cell r="G1997"/>
          <cell r="M1997"/>
          <cell r="N1997"/>
          <cell r="R1997"/>
        </row>
        <row r="1998">
          <cell r="C1998"/>
          <cell r="D1998"/>
          <cell r="E1998"/>
          <cell r="G1998"/>
          <cell r="M1998"/>
          <cell r="N1998"/>
          <cell r="R1998"/>
        </row>
        <row r="1999">
          <cell r="C1999"/>
          <cell r="D1999"/>
          <cell r="E1999"/>
          <cell r="G1999"/>
          <cell r="M1999"/>
          <cell r="N1999"/>
          <cell r="R1999"/>
        </row>
        <row r="2000">
          <cell r="C2000"/>
          <cell r="D2000"/>
          <cell r="E2000"/>
          <cell r="G2000"/>
          <cell r="M2000"/>
          <cell r="N2000"/>
          <cell r="R2000"/>
        </row>
        <row r="2001">
          <cell r="C2001"/>
          <cell r="D2001"/>
          <cell r="E2001"/>
          <cell r="G2001"/>
          <cell r="M2001"/>
          <cell r="N2001"/>
          <cell r="R2001"/>
        </row>
        <row r="2002">
          <cell r="C2002"/>
          <cell r="D2002"/>
          <cell r="E2002"/>
          <cell r="G2002"/>
          <cell r="M2002"/>
          <cell r="N2002"/>
          <cell r="R2002"/>
        </row>
        <row r="2003">
          <cell r="C2003"/>
          <cell r="D2003"/>
          <cell r="E2003"/>
          <cell r="G2003"/>
          <cell r="M2003"/>
          <cell r="N2003"/>
          <cell r="R2003"/>
        </row>
        <row r="2004">
          <cell r="C2004"/>
          <cell r="D2004"/>
          <cell r="E2004"/>
          <cell r="G2004"/>
          <cell r="M2004"/>
          <cell r="N2004"/>
          <cell r="R2004"/>
        </row>
        <row r="2005">
          <cell r="C2005"/>
          <cell r="D2005"/>
          <cell r="E2005"/>
          <cell r="G2005"/>
          <cell r="M2005"/>
          <cell r="N2005"/>
          <cell r="R2005"/>
        </row>
        <row r="2006">
          <cell r="C2006"/>
          <cell r="D2006"/>
          <cell r="E2006"/>
          <cell r="G2006"/>
          <cell r="M2006"/>
          <cell r="N2006"/>
          <cell r="R2006"/>
        </row>
        <row r="2007">
          <cell r="C2007"/>
          <cell r="D2007"/>
          <cell r="E2007"/>
          <cell r="G2007"/>
          <cell r="M2007"/>
          <cell r="N2007"/>
          <cell r="R2007"/>
        </row>
        <row r="2008">
          <cell r="C2008"/>
          <cell r="D2008"/>
          <cell r="E2008"/>
          <cell r="G2008"/>
          <cell r="M2008"/>
          <cell r="N2008"/>
          <cell r="R200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58B2F"/>
    <pageSetUpPr fitToPage="1"/>
  </sheetPr>
  <dimension ref="A1:L1008"/>
  <sheetViews>
    <sheetView showGridLines="0" rightToLeft="1" tabSelected="1" workbookViewId="0">
      <pane ySplit="8" topLeftCell="A45" activePane="bottomLeft" state="frozen"/>
      <selection pane="bottomLeft" activeCell="F53" sqref="F53"/>
    </sheetView>
  </sheetViews>
  <sheetFormatPr defaultRowHeight="14.25" x14ac:dyDescent="0.2"/>
  <cols>
    <col min="1" max="1" width="5.5" customWidth="1"/>
    <col min="2" max="2" width="11" customWidth="1"/>
    <col min="3" max="3" width="7" customWidth="1"/>
    <col min="4" max="4" width="9" customWidth="1"/>
    <col min="5" max="5" width="11" customWidth="1"/>
    <col min="6" max="6" width="24" customWidth="1"/>
    <col min="7" max="7" width="15" customWidth="1"/>
    <col min="8" max="8" width="9" customWidth="1"/>
    <col min="9" max="9" width="12" customWidth="1"/>
    <col min="10" max="10" width="15" customWidth="1"/>
    <col min="11" max="11" width="17" customWidth="1"/>
    <col min="12" max="12" width="26" customWidth="1"/>
  </cols>
  <sheetData>
    <row r="1" spans="1:12" ht="26.1" customHeight="1" x14ac:dyDescent="0.2">
      <c r="A1" s="28" t="str">
        <f>IF(Sync!$N$6="","مازندشت",Sync!$N$6)&amp;" — "&amp;IF(Sync!$N$9="","سورتینگ و بسته‌بندی مرکبات",Sync!$N$9)</f>
        <v>250000000 — 90000000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4" customHeight="1" x14ac:dyDescent="0.2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39.950000000000003" customHeight="1" x14ac:dyDescent="0.2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7" spans="1:12" ht="30" customHeight="1" x14ac:dyDescent="0.2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ht="12.95" customHeight="1" x14ac:dyDescent="0.2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</row>
    <row r="9" spans="1:12" x14ac:dyDescent="0.2">
      <c r="A9" s="3">
        <f>IF($B9="","",COUNTA($B$9:$B9))</f>
        <v>1</v>
      </c>
      <c r="B9" s="4" t="s">
        <v>132</v>
      </c>
      <c r="C9" s="4"/>
      <c r="D9" s="4"/>
      <c r="E9" s="4" t="s">
        <v>134</v>
      </c>
      <c r="F9" s="3" t="str">
        <f t="shared" ref="F9:F72" si="0">IF($E9="","",IFERROR(IF(VLOOKUP($E9,AcctTbl,4,0)="","",VLOOKUP($E9,AcctTbl,4,0)),"—"))</f>
        <v>حسن کوچکزاده</v>
      </c>
      <c r="G9" s="4" t="s">
        <v>137</v>
      </c>
      <c r="H9" s="5">
        <v>637</v>
      </c>
      <c r="I9" s="5">
        <v>25000</v>
      </c>
      <c r="J9" s="6">
        <f t="shared" ref="J9:J69" si="1">IF(OR($H9="",$I9=""),"",ROUND($H9*$I9,0))</f>
        <v>15925000</v>
      </c>
      <c r="K9" s="6" t="e">
        <f>IF(OR($B9="",$E9="",Calc!$B6=""),"",SUMIFS(CalcAmtA,CalcPartyA,$E9,CalcKeyA,"&lt;="&amp;Calc!$B6)-SUMIFS(CalcWitB,CalcPartyB,$E9,CalcKeyB,"&lt;="&amp;Calc!$B6)+SUMIFS(CalcDepB,CalcPartyB,$E9,CalcKeyB,"&lt;="&amp;Calc!$B6))</f>
        <v>#REF!</v>
      </c>
      <c r="L9" s="4"/>
    </row>
    <row r="10" spans="1:12" x14ac:dyDescent="0.2">
      <c r="A10" s="3">
        <f>IF($B10="","",COUNTA($B$9:$B10))</f>
        <v>2</v>
      </c>
      <c r="B10" s="4" t="s">
        <v>132</v>
      </c>
      <c r="C10" s="4"/>
      <c r="D10" s="4"/>
      <c r="E10" s="4" t="s">
        <v>134</v>
      </c>
      <c r="F10" s="3" t="str">
        <f t="shared" si="0"/>
        <v>حسن کوچکزاده</v>
      </c>
      <c r="G10" s="4" t="s">
        <v>136</v>
      </c>
      <c r="H10" s="5">
        <v>650</v>
      </c>
      <c r="I10" s="5">
        <v>5000</v>
      </c>
      <c r="J10" s="6">
        <f t="shared" si="1"/>
        <v>3250000</v>
      </c>
      <c r="K10" s="6" t="e">
        <f>IF(OR($B10="",$E10="",Calc!$B7=""),"",SUMIFS(CalcAmtA,CalcPartyA,$E10,CalcKeyA,"&lt;="&amp;Calc!$B7)-SUMIFS(CalcWitB,CalcPartyB,$E10,CalcKeyB,"&lt;="&amp;Calc!$B7)+SUMIFS(CalcDepB,CalcPartyB,$E10,CalcKeyB,"&lt;="&amp;Calc!$B7))</f>
        <v>#REF!</v>
      </c>
      <c r="L10" s="4"/>
    </row>
    <row r="11" spans="1:12" x14ac:dyDescent="0.2">
      <c r="A11" s="3">
        <f>IF($B11="","",COUNTA($B$9:$B11))</f>
        <v>3</v>
      </c>
      <c r="B11" s="4" t="s">
        <v>132</v>
      </c>
      <c r="C11" s="4"/>
      <c r="D11" s="4"/>
      <c r="E11" s="4" t="s">
        <v>134</v>
      </c>
      <c r="F11" s="3" t="str">
        <f t="shared" si="0"/>
        <v>حسن کوچکزاده</v>
      </c>
      <c r="G11" s="4" t="s">
        <v>137</v>
      </c>
      <c r="H11" s="5">
        <v>637</v>
      </c>
      <c r="I11" s="5">
        <v>25000</v>
      </c>
      <c r="J11" s="6">
        <f t="shared" si="1"/>
        <v>15925000</v>
      </c>
      <c r="K11" s="6" t="e">
        <f>IF(OR($B11="",$E11="",Calc!$B8=""),"",SUMIFS(CalcAmtA,CalcPartyA,$E11,CalcKeyA,"&lt;="&amp;Calc!$B8)-SUMIFS(CalcWitB,CalcPartyB,$E11,CalcKeyB,"&lt;="&amp;Calc!$B8)+SUMIFS(CalcDepB,CalcPartyB,$E11,CalcKeyB,"&lt;="&amp;Calc!$B8))</f>
        <v>#REF!</v>
      </c>
      <c r="L11" s="4"/>
    </row>
    <row r="12" spans="1:12" x14ac:dyDescent="0.2">
      <c r="A12" s="3">
        <f>IF($B12="","",COUNTA($B$9:$B12))</f>
        <v>4</v>
      </c>
      <c r="B12" s="4" t="s">
        <v>132</v>
      </c>
      <c r="C12" s="4"/>
      <c r="D12" s="4"/>
      <c r="E12" s="4" t="s">
        <v>134</v>
      </c>
      <c r="F12" s="3" t="str">
        <f t="shared" si="0"/>
        <v>حسن کوچکزاده</v>
      </c>
      <c r="G12" s="4" t="s">
        <v>136</v>
      </c>
      <c r="H12" s="5">
        <v>650</v>
      </c>
      <c r="I12" s="5">
        <v>5000</v>
      </c>
      <c r="J12" s="6">
        <f t="shared" si="1"/>
        <v>3250000</v>
      </c>
      <c r="K12" s="6" t="e">
        <f>IF(OR($B12="",$E12="",Calc!$B9=""),"",SUMIFS(CalcAmtA,CalcPartyA,$E12,CalcKeyA,"&lt;="&amp;Calc!$B9)-SUMIFS(CalcWitB,CalcPartyB,$E12,CalcKeyB,"&lt;="&amp;Calc!$B9)+SUMIFS(CalcDepB,CalcPartyB,$E12,CalcKeyB,"&lt;="&amp;Calc!$B9))</f>
        <v>#REF!</v>
      </c>
      <c r="L12" s="4"/>
    </row>
    <row r="13" spans="1:12" x14ac:dyDescent="0.2">
      <c r="A13" s="3">
        <f>IF($B13="","",COUNTA($B$9:$B13))</f>
        <v>5</v>
      </c>
      <c r="B13" s="4" t="s">
        <v>133</v>
      </c>
      <c r="C13" s="4"/>
      <c r="D13" s="4"/>
      <c r="E13" s="4" t="s">
        <v>134</v>
      </c>
      <c r="F13" s="3" t="str">
        <f t="shared" si="0"/>
        <v>حسن کوچکزاده</v>
      </c>
      <c r="G13" s="4" t="s">
        <v>137</v>
      </c>
      <c r="H13" s="5">
        <v>749</v>
      </c>
      <c r="I13" s="5">
        <v>25000</v>
      </c>
      <c r="J13" s="6">
        <f t="shared" si="1"/>
        <v>18725000</v>
      </c>
      <c r="K13" s="6" t="e">
        <f>IF(OR($B13="",$E13="",Calc!$B10=""),"",SUMIFS(CalcAmtA,CalcPartyA,$E13,CalcKeyA,"&lt;="&amp;Calc!$B10)-SUMIFS(CalcWitB,CalcPartyB,$E13,CalcKeyB,"&lt;="&amp;Calc!$B10)+SUMIFS(CalcDepB,CalcPartyB,$E13,CalcKeyB,"&lt;="&amp;Calc!$B10))</f>
        <v>#REF!</v>
      </c>
      <c r="L13" s="4"/>
    </row>
    <row r="14" spans="1:12" x14ac:dyDescent="0.2">
      <c r="A14" s="3">
        <f>IF($B14="","",COUNTA($B$9:$B14))</f>
        <v>6</v>
      </c>
      <c r="B14" s="4" t="s">
        <v>133</v>
      </c>
      <c r="C14" s="4"/>
      <c r="D14" s="4"/>
      <c r="E14" s="4" t="s">
        <v>134</v>
      </c>
      <c r="F14" s="3" t="str">
        <f t="shared" si="0"/>
        <v>حسن کوچکزاده</v>
      </c>
      <c r="G14" s="4" t="s">
        <v>136</v>
      </c>
      <c r="H14" s="5">
        <v>800</v>
      </c>
      <c r="I14" s="5">
        <v>5000</v>
      </c>
      <c r="J14" s="6">
        <f t="shared" si="1"/>
        <v>4000000</v>
      </c>
      <c r="K14" s="6" t="e">
        <f>IF(OR($B14="",$E14="",Calc!$B11=""),"",SUMIFS(CalcAmtA,CalcPartyA,$E14,CalcKeyA,"&lt;="&amp;Calc!$B11)-SUMIFS(CalcWitB,CalcPartyB,$E14,CalcKeyB,"&lt;="&amp;Calc!$B11)+SUMIFS(CalcDepB,CalcPartyB,$E14,CalcKeyB,"&lt;="&amp;Calc!$B11))</f>
        <v>#REF!</v>
      </c>
      <c r="L14" s="4"/>
    </row>
    <row r="15" spans="1:12" x14ac:dyDescent="0.2">
      <c r="A15" s="3">
        <f>IF($B15="","",COUNTA($B$9:$B15))</f>
        <v>7</v>
      </c>
      <c r="B15" s="4" t="s">
        <v>138</v>
      </c>
      <c r="C15" s="4"/>
      <c r="D15" s="4"/>
      <c r="E15" s="4" t="s">
        <v>134</v>
      </c>
      <c r="F15" s="3" t="str">
        <f t="shared" si="0"/>
        <v>حسن کوچکزاده</v>
      </c>
      <c r="G15" s="4" t="s">
        <v>137</v>
      </c>
      <c r="H15" s="5">
        <v>749</v>
      </c>
      <c r="I15" s="5">
        <v>25000</v>
      </c>
      <c r="J15" s="6">
        <f t="shared" si="1"/>
        <v>18725000</v>
      </c>
      <c r="K15" s="6" t="e">
        <f>IF(OR($B15="",$E15="",Calc!$B12=""),"",SUMIFS(CalcAmtA,CalcPartyA,$E15,CalcKeyA,"&lt;="&amp;Calc!$B12)-SUMIFS(CalcWitB,CalcPartyB,$E15,CalcKeyB,"&lt;="&amp;Calc!$B12)+SUMIFS(CalcDepB,CalcPartyB,$E15,CalcKeyB,"&lt;="&amp;Calc!$B12))</f>
        <v>#REF!</v>
      </c>
      <c r="L15" s="4"/>
    </row>
    <row r="16" spans="1:12" x14ac:dyDescent="0.2">
      <c r="A16" s="3">
        <f>IF($B16="","",COUNTA($B$9:$B16))</f>
        <v>8</v>
      </c>
      <c r="B16" s="4" t="s">
        <v>138</v>
      </c>
      <c r="C16" s="4"/>
      <c r="D16" s="4"/>
      <c r="E16" s="4" t="s">
        <v>134</v>
      </c>
      <c r="F16" s="3" t="str">
        <f t="shared" si="0"/>
        <v>حسن کوچکزاده</v>
      </c>
      <c r="G16" s="4" t="s">
        <v>136</v>
      </c>
      <c r="H16" s="5">
        <v>800</v>
      </c>
      <c r="I16" s="5">
        <v>5000</v>
      </c>
      <c r="J16" s="6">
        <f t="shared" si="1"/>
        <v>4000000</v>
      </c>
      <c r="K16" s="6" t="e">
        <f>IF(OR($B16="",$E16="",Calc!$B13=""),"",SUMIFS(CalcAmtA,CalcPartyA,$E16,CalcKeyA,"&lt;="&amp;Calc!$B13)-SUMIFS(CalcWitB,CalcPartyB,$E16,CalcKeyB,"&lt;="&amp;Calc!$B13)+SUMIFS(CalcDepB,CalcPartyB,$E16,CalcKeyB,"&lt;="&amp;Calc!$B13))</f>
        <v>#REF!</v>
      </c>
      <c r="L16" s="4"/>
    </row>
    <row r="17" spans="1:12" x14ac:dyDescent="0.2">
      <c r="A17" s="3">
        <f>IF($B17="","",COUNTA($B$9:$B17))</f>
        <v>9</v>
      </c>
      <c r="B17" s="4" t="s">
        <v>138</v>
      </c>
      <c r="C17" s="4"/>
      <c r="D17" s="4"/>
      <c r="E17" s="4" t="s">
        <v>134</v>
      </c>
      <c r="F17" s="3" t="str">
        <f t="shared" si="0"/>
        <v>حسن کوچکزاده</v>
      </c>
      <c r="G17" s="4" t="s">
        <v>137</v>
      </c>
      <c r="H17" s="5">
        <v>749</v>
      </c>
      <c r="I17" s="5">
        <v>25000</v>
      </c>
      <c r="J17" s="6">
        <f t="shared" si="1"/>
        <v>18725000</v>
      </c>
      <c r="K17" s="6" t="e">
        <f>IF(OR($B17="",$E17="",Calc!$B14=""),"",SUMIFS(CalcAmtA,CalcPartyA,$E17,CalcKeyA,"&lt;="&amp;Calc!$B14)-SUMIFS(CalcWitB,CalcPartyB,$E17,CalcKeyB,"&lt;="&amp;Calc!$B14)+SUMIFS(CalcDepB,CalcPartyB,$E17,CalcKeyB,"&lt;="&amp;Calc!$B14))</f>
        <v>#REF!</v>
      </c>
      <c r="L17" s="4"/>
    </row>
    <row r="18" spans="1:12" x14ac:dyDescent="0.2">
      <c r="A18" s="3">
        <f>IF($B18="","",COUNTA($B$9:$B18))</f>
        <v>10</v>
      </c>
      <c r="B18" s="4" t="s">
        <v>138</v>
      </c>
      <c r="C18" s="4"/>
      <c r="D18" s="4"/>
      <c r="E18" s="4" t="s">
        <v>134</v>
      </c>
      <c r="F18" s="3" t="str">
        <f t="shared" si="0"/>
        <v>حسن کوچکزاده</v>
      </c>
      <c r="G18" s="4" t="s">
        <v>136</v>
      </c>
      <c r="H18" s="5">
        <v>800</v>
      </c>
      <c r="I18" s="5">
        <v>5000</v>
      </c>
      <c r="J18" s="6">
        <f t="shared" si="1"/>
        <v>4000000</v>
      </c>
      <c r="K18" s="6" t="e">
        <f>IF(OR($B18="",$E18="",Calc!$B15=""),"",SUMIFS(CalcAmtA,CalcPartyA,$E18,CalcKeyA,"&lt;="&amp;Calc!$B15)-SUMIFS(CalcWitB,CalcPartyB,$E18,CalcKeyB,"&lt;="&amp;Calc!$B15)+SUMIFS(CalcDepB,CalcPartyB,$E18,CalcKeyB,"&lt;="&amp;Calc!$B15))</f>
        <v>#REF!</v>
      </c>
      <c r="L18" s="4"/>
    </row>
    <row r="19" spans="1:12" x14ac:dyDescent="0.2">
      <c r="A19" s="3">
        <f>IF($B19="","",COUNTA($B$9:$B19))</f>
        <v>11</v>
      </c>
      <c r="B19" s="4" t="s">
        <v>138</v>
      </c>
      <c r="C19" s="4"/>
      <c r="D19" s="4"/>
      <c r="E19" s="4" t="s">
        <v>134</v>
      </c>
      <c r="F19" s="3" t="str">
        <f t="shared" si="0"/>
        <v>حسن کوچکزاده</v>
      </c>
      <c r="G19" s="4" t="s">
        <v>137</v>
      </c>
      <c r="H19" s="5">
        <v>749</v>
      </c>
      <c r="I19" s="5">
        <v>25000</v>
      </c>
      <c r="J19" s="6">
        <f t="shared" si="1"/>
        <v>18725000</v>
      </c>
      <c r="K19" s="6" t="e">
        <f>IF(OR($B19="",$E19="",Calc!$B16=""),"",SUMIFS(CalcAmtA,CalcPartyA,$E19,CalcKeyA,"&lt;="&amp;Calc!$B16)-SUMIFS(CalcWitB,CalcPartyB,$E19,CalcKeyB,"&lt;="&amp;Calc!$B16)+SUMIFS(CalcDepB,CalcPartyB,$E19,CalcKeyB,"&lt;="&amp;Calc!$B16))</f>
        <v>#REF!</v>
      </c>
      <c r="L19" s="4"/>
    </row>
    <row r="20" spans="1:12" x14ac:dyDescent="0.2">
      <c r="A20" s="3">
        <f>IF($B20="","",COUNTA($B$9:$B20))</f>
        <v>12</v>
      </c>
      <c r="B20" s="4" t="s">
        <v>138</v>
      </c>
      <c r="C20" s="4"/>
      <c r="D20" s="4"/>
      <c r="E20" s="4" t="s">
        <v>134</v>
      </c>
      <c r="F20" s="3" t="str">
        <f t="shared" si="0"/>
        <v>حسن کوچکزاده</v>
      </c>
      <c r="G20" s="4" t="s">
        <v>136</v>
      </c>
      <c r="H20" s="5">
        <v>600</v>
      </c>
      <c r="I20" s="5">
        <v>5000</v>
      </c>
      <c r="J20" s="6">
        <f t="shared" si="1"/>
        <v>3000000</v>
      </c>
      <c r="K20" s="6" t="e">
        <f>IF(OR($B20="",$E20="",Calc!$B17=""),"",SUMIFS(CalcAmtA,CalcPartyA,$E20,CalcKeyA,"&lt;="&amp;Calc!$B17)-SUMIFS(CalcWitB,CalcPartyB,$E20,CalcKeyB,"&lt;="&amp;Calc!$B17)+SUMIFS(CalcDepB,CalcPartyB,$E20,CalcKeyB,"&lt;="&amp;Calc!$B17))</f>
        <v>#REF!</v>
      </c>
      <c r="L20" s="4"/>
    </row>
    <row r="21" spans="1:12" x14ac:dyDescent="0.2">
      <c r="A21" s="3">
        <f>IF($B21="","",COUNTA($B$9:$B21))</f>
        <v>13</v>
      </c>
      <c r="B21" s="4" t="s">
        <v>140</v>
      </c>
      <c r="C21" s="4"/>
      <c r="D21" s="4"/>
      <c r="E21" s="4" t="s">
        <v>135</v>
      </c>
      <c r="F21" s="3" t="str">
        <f t="shared" si="0"/>
        <v>سید محمد موسویان</v>
      </c>
      <c r="G21" s="4" t="s">
        <v>141</v>
      </c>
      <c r="H21" s="5">
        <v>1206</v>
      </c>
      <c r="I21" s="5">
        <v>43000</v>
      </c>
      <c r="J21" s="6">
        <f t="shared" si="1"/>
        <v>51858000</v>
      </c>
      <c r="K21" s="6">
        <f>IF(OR($B21="",$E21="",Calc!$B18=""),"",SUMIFS(CalcAmtA,CalcPartyA,$E21,CalcKeyA,"&lt;="&amp;Calc!$B18)-SUMIFS(CalcWitB,CalcPartyB,$E21,CalcKeyB,"&lt;="&amp;Calc!$B18)+SUMIFS(CalcDepB,CalcPartyB,$E21,CalcKeyB,"&lt;="&amp;Calc!$B18))</f>
        <v>-80500000</v>
      </c>
      <c r="L21" s="4"/>
    </row>
    <row r="22" spans="1:12" x14ac:dyDescent="0.2">
      <c r="A22" s="3">
        <f>IF($B22="","",COUNTA($B$9:$B22))</f>
        <v>14</v>
      </c>
      <c r="B22" s="4" t="s">
        <v>26</v>
      </c>
      <c r="C22" s="4"/>
      <c r="D22" s="4"/>
      <c r="E22" s="4" t="s">
        <v>135</v>
      </c>
      <c r="F22" s="3" t="str">
        <f t="shared" si="0"/>
        <v>سید محمد موسویان</v>
      </c>
      <c r="G22" s="4" t="s">
        <v>141</v>
      </c>
      <c r="H22" s="5">
        <v>1206</v>
      </c>
      <c r="I22" s="5">
        <v>43000</v>
      </c>
      <c r="J22" s="6">
        <f t="shared" si="1"/>
        <v>51858000</v>
      </c>
      <c r="K22" s="6">
        <f>IF(OR($B22="",$E22="",Calc!$B19=""),"",SUMIFS(CalcAmtA,CalcPartyA,$E22,CalcKeyA,"&lt;="&amp;Calc!$B19)-SUMIFS(CalcWitB,CalcPartyB,$E22,CalcKeyB,"&lt;="&amp;Calc!$B19)+SUMIFS(CalcDepB,CalcPartyB,$E22,CalcKeyB,"&lt;="&amp;Calc!$B19))</f>
        <v>-61775000</v>
      </c>
      <c r="L22" s="4"/>
    </row>
    <row r="23" spans="1:12" x14ac:dyDescent="0.2">
      <c r="A23" s="3">
        <f>IF($B23="","",COUNTA($B$9:$B23))</f>
        <v>15</v>
      </c>
      <c r="B23" s="4" t="s">
        <v>139</v>
      </c>
      <c r="C23" s="4"/>
      <c r="D23" s="4"/>
      <c r="E23" s="4" t="s">
        <v>135</v>
      </c>
      <c r="F23" s="3" t="str">
        <f t="shared" si="0"/>
        <v>سید محمد موسویان</v>
      </c>
      <c r="G23" s="4" t="s">
        <v>142</v>
      </c>
      <c r="H23" s="5">
        <v>1080</v>
      </c>
      <c r="I23" s="5">
        <v>15500</v>
      </c>
      <c r="J23" s="6">
        <f t="shared" si="1"/>
        <v>16740000</v>
      </c>
      <c r="K23" s="6">
        <f>IF(OR($B23="",$E23="",Calc!$B20=""),"",SUMIFS(CalcAmtA,CalcPartyA,$E23,CalcKeyA,"&lt;="&amp;Calc!$B20)-SUMIFS(CalcWitB,CalcPartyB,$E23,CalcKeyB,"&lt;="&amp;Calc!$B20)+SUMIFS(CalcDepB,CalcPartyB,$E23,CalcKeyB,"&lt;="&amp;Calc!$B20))</f>
        <v>-58775000</v>
      </c>
      <c r="L23" s="4"/>
    </row>
    <row r="24" spans="1:12" x14ac:dyDescent="0.2">
      <c r="A24" s="3">
        <f>IF($B24="","",COUNTA($B$9:$B24))</f>
        <v>16</v>
      </c>
      <c r="B24" s="4" t="s">
        <v>139</v>
      </c>
      <c r="C24" s="4"/>
      <c r="D24" s="4"/>
      <c r="E24" s="4" t="s">
        <v>135</v>
      </c>
      <c r="F24" s="3" t="str">
        <f t="shared" si="0"/>
        <v>سید محمد موسویان</v>
      </c>
      <c r="G24" s="4" t="s">
        <v>143</v>
      </c>
      <c r="H24" s="5">
        <v>960</v>
      </c>
      <c r="I24" s="5">
        <v>17500</v>
      </c>
      <c r="J24" s="6">
        <f t="shared" si="1"/>
        <v>16800000</v>
      </c>
      <c r="K24" s="6">
        <f>IF(OR($B24="",$E24="",Calc!$B21=""),"",SUMIFS(CalcAmtA,CalcPartyA,$E24,CalcKeyA,"&lt;="&amp;Calc!$B21)-SUMIFS(CalcWitB,CalcPartyB,$E24,CalcKeyB,"&lt;="&amp;Calc!$B21)+SUMIFS(CalcDepB,CalcPartyB,$E24,CalcKeyB,"&lt;="&amp;Calc!$B21))</f>
        <v>-6917000</v>
      </c>
      <c r="L24" s="4"/>
    </row>
    <row r="25" spans="1:12" x14ac:dyDescent="0.2">
      <c r="A25" s="3">
        <f>IF($B25="","",COUNTA($B$9:$B25))</f>
        <v>17</v>
      </c>
      <c r="B25" s="4" t="s">
        <v>139</v>
      </c>
      <c r="C25" s="4"/>
      <c r="D25" s="4"/>
      <c r="E25" s="4" t="s">
        <v>135</v>
      </c>
      <c r="F25" s="3" t="str">
        <f t="shared" si="0"/>
        <v>سید محمد موسویان</v>
      </c>
      <c r="G25" s="4" t="s">
        <v>144</v>
      </c>
      <c r="H25" s="5">
        <v>3840</v>
      </c>
      <c r="I25" s="5">
        <v>15000</v>
      </c>
      <c r="J25" s="6">
        <f t="shared" si="1"/>
        <v>57600000</v>
      </c>
      <c r="K25" s="6">
        <f>IF(OR($B25="",$E25="",Calc!$B22=""),"",SUMIFS(CalcAmtA,CalcPartyA,$E25,CalcKeyA,"&lt;="&amp;Calc!$B22)-SUMIFS(CalcWitB,CalcPartyB,$E25,CalcKeyB,"&lt;="&amp;Calc!$B22)+SUMIFS(CalcDepB,CalcPartyB,$E25,CalcKeyB,"&lt;="&amp;Calc!$B22))</f>
        <v>44941000</v>
      </c>
      <c r="L25" s="4"/>
    </row>
    <row r="26" spans="1:12" x14ac:dyDescent="0.2">
      <c r="A26" s="3">
        <f>IF($B26="","",COUNTA($B$9:$B26))</f>
        <v>18</v>
      </c>
      <c r="B26" s="4" t="s">
        <v>145</v>
      </c>
      <c r="C26" s="4"/>
      <c r="D26" s="4"/>
      <c r="E26" s="4" t="s">
        <v>135</v>
      </c>
      <c r="F26" s="3" t="str">
        <f t="shared" si="0"/>
        <v>سید محمد موسویان</v>
      </c>
      <c r="G26" s="4" t="s">
        <v>142</v>
      </c>
      <c r="H26" s="5">
        <v>1000</v>
      </c>
      <c r="I26" s="5">
        <v>16000</v>
      </c>
      <c r="J26" s="6">
        <f t="shared" si="1"/>
        <v>16000000</v>
      </c>
      <c r="K26" s="6">
        <f>IF(OR($B26="",$E26="",Calc!$B23=""),"",SUMIFS(CalcAmtA,CalcPartyA,$E26,CalcKeyA,"&lt;="&amp;Calc!$B23)-SUMIFS(CalcWitB,CalcPartyB,$E26,CalcKeyB,"&lt;="&amp;Calc!$B23)+SUMIFS(CalcDepB,CalcPartyB,$E26,CalcKeyB,"&lt;="&amp;Calc!$B23))</f>
        <v>61681000</v>
      </c>
      <c r="L26" s="4"/>
    </row>
    <row r="27" spans="1:12" x14ac:dyDescent="0.2">
      <c r="A27" s="3">
        <f>IF($B27="","",COUNTA($B$9:$B27))</f>
        <v>19</v>
      </c>
      <c r="B27" s="4" t="s">
        <v>147</v>
      </c>
      <c r="C27" s="4"/>
      <c r="D27" s="4"/>
      <c r="E27" s="4" t="s">
        <v>134</v>
      </c>
      <c r="F27" s="3" t="str">
        <f t="shared" si="0"/>
        <v>حسن کوچکزاده</v>
      </c>
      <c r="G27" s="4" t="s">
        <v>141</v>
      </c>
      <c r="H27" s="5">
        <v>565</v>
      </c>
      <c r="I27" s="5">
        <v>45000</v>
      </c>
      <c r="J27" s="6">
        <f t="shared" si="1"/>
        <v>25425000</v>
      </c>
      <c r="K27" s="6" t="e">
        <f>IF(OR($B27="",$E27="",Calc!$B24=""),"",SUMIFS(CalcAmtA,CalcPartyA,$E27,CalcKeyA,"&lt;="&amp;Calc!$B24)-SUMIFS(CalcWitB,CalcPartyB,$E27,CalcKeyB,"&lt;="&amp;Calc!$B24)+SUMIFS(CalcDepB,CalcPartyB,$E27,CalcKeyB,"&lt;="&amp;Calc!$B24))</f>
        <v>#REF!</v>
      </c>
      <c r="L27" s="4"/>
    </row>
    <row r="28" spans="1:12" x14ac:dyDescent="0.2">
      <c r="A28" s="3">
        <f>IF($B28="","",COUNTA($B$9:$B28))</f>
        <v>20</v>
      </c>
      <c r="B28" s="4" t="s">
        <v>148</v>
      </c>
      <c r="C28" s="4"/>
      <c r="D28" s="4"/>
      <c r="E28" s="4" t="s">
        <v>134</v>
      </c>
      <c r="F28" s="3" t="str">
        <f t="shared" si="0"/>
        <v>حسن کوچکزاده</v>
      </c>
      <c r="G28" s="4" t="s">
        <v>141</v>
      </c>
      <c r="H28" s="5">
        <v>805</v>
      </c>
      <c r="I28" s="5">
        <v>45000</v>
      </c>
      <c r="J28" s="6">
        <f t="shared" si="1"/>
        <v>36225000</v>
      </c>
      <c r="K28" s="6" t="e">
        <f>IF(OR($B28="",$E28="",Calc!$B25=""),"",SUMIFS(CalcAmtA,CalcPartyA,$E28,CalcKeyA,"&lt;="&amp;Calc!$B25)-SUMIFS(CalcWitB,CalcPartyB,$E28,CalcKeyB,"&lt;="&amp;Calc!$B25)+SUMIFS(CalcDepB,CalcPartyB,$E28,CalcKeyB,"&lt;="&amp;Calc!$B25))</f>
        <v>#REF!</v>
      </c>
      <c r="L28" s="4"/>
    </row>
    <row r="29" spans="1:12" x14ac:dyDescent="0.2">
      <c r="A29" s="3">
        <f>IF($B29="","",COUNTA($B$9:$B29))</f>
        <v>21</v>
      </c>
      <c r="B29" s="4" t="s">
        <v>148</v>
      </c>
      <c r="C29" s="4"/>
      <c r="D29" s="4"/>
      <c r="E29" s="4" t="s">
        <v>134</v>
      </c>
      <c r="F29" s="3" t="str">
        <f t="shared" si="0"/>
        <v>حسن کوچکزاده</v>
      </c>
      <c r="G29" s="4" t="s">
        <v>141</v>
      </c>
      <c r="H29" s="5">
        <v>490</v>
      </c>
      <c r="I29" s="5">
        <v>45000</v>
      </c>
      <c r="J29" s="6">
        <f t="shared" si="1"/>
        <v>22050000</v>
      </c>
      <c r="K29" s="6" t="e">
        <f>IF(OR($B29="",$E29="",Calc!$B26=""),"",SUMIFS(CalcAmtA,CalcPartyA,$E29,CalcKeyA,"&lt;="&amp;Calc!$B26)-SUMIFS(CalcWitB,CalcPartyB,$E29,CalcKeyB,"&lt;="&amp;Calc!$B26)+SUMIFS(CalcDepB,CalcPartyB,$E29,CalcKeyB,"&lt;="&amp;Calc!$B26))</f>
        <v>#REF!</v>
      </c>
      <c r="L29" s="4"/>
    </row>
    <row r="30" spans="1:12" x14ac:dyDescent="0.2">
      <c r="A30" s="3">
        <f>IF($B30="","",COUNTA($B$9:$B30))</f>
        <v>22</v>
      </c>
      <c r="B30" s="4" t="s">
        <v>149</v>
      </c>
      <c r="C30" s="4"/>
      <c r="D30" s="4"/>
      <c r="E30" s="4" t="s">
        <v>134</v>
      </c>
      <c r="F30" s="3" t="str">
        <f t="shared" si="0"/>
        <v>حسن کوچکزاده</v>
      </c>
      <c r="G30" s="4" t="s">
        <v>141</v>
      </c>
      <c r="H30" s="5">
        <v>2051</v>
      </c>
      <c r="I30" s="5">
        <v>47000</v>
      </c>
      <c r="J30" s="6">
        <f t="shared" si="1"/>
        <v>96397000</v>
      </c>
      <c r="K30" s="6" t="e">
        <f>IF(OR($B30="",$E30="",Calc!$B27=""),"",SUMIFS(CalcAmtA,CalcPartyA,$E30,CalcKeyA,"&lt;="&amp;Calc!$B27)-SUMIFS(CalcWitB,CalcPartyB,$E30,CalcKeyB,"&lt;="&amp;Calc!$B27)+SUMIFS(CalcDepB,CalcPartyB,$E30,CalcKeyB,"&lt;="&amp;Calc!$B27))</f>
        <v>#REF!</v>
      </c>
      <c r="L30" s="4"/>
    </row>
    <row r="31" spans="1:12" x14ac:dyDescent="0.2">
      <c r="A31" s="3">
        <f>IF($B31="","",COUNTA($B$9:$B31))</f>
        <v>23</v>
      </c>
      <c r="B31" s="4" t="s">
        <v>145</v>
      </c>
      <c r="C31" s="4"/>
      <c r="D31" s="4"/>
      <c r="E31" s="4" t="s">
        <v>134</v>
      </c>
      <c r="F31" s="3" t="str">
        <f t="shared" si="0"/>
        <v>حسن کوچکزاده</v>
      </c>
      <c r="G31" s="4" t="s">
        <v>150</v>
      </c>
      <c r="H31" s="5">
        <v>350</v>
      </c>
      <c r="I31" s="5">
        <v>25000</v>
      </c>
      <c r="J31" s="6">
        <f t="shared" si="1"/>
        <v>8750000</v>
      </c>
      <c r="K31" s="6" t="e">
        <f>IF(OR($B31="",$E31="",Calc!$B28=""),"",SUMIFS(CalcAmtA,CalcPartyA,$E31,CalcKeyA,"&lt;="&amp;Calc!$B28)-SUMIFS(CalcWitB,CalcPartyB,$E31,CalcKeyB,"&lt;="&amp;Calc!$B28)+SUMIFS(CalcDepB,CalcPartyB,$E31,CalcKeyB,"&lt;="&amp;Calc!$B28))</f>
        <v>#REF!</v>
      </c>
      <c r="L31" s="4"/>
    </row>
    <row r="32" spans="1:12" x14ac:dyDescent="0.2">
      <c r="A32" s="3">
        <f>IF($B32="","",COUNTA($B$9:$B32))</f>
        <v>24</v>
      </c>
      <c r="B32" s="4" t="s">
        <v>145</v>
      </c>
      <c r="C32" s="4"/>
      <c r="D32" s="4"/>
      <c r="E32" s="4" t="s">
        <v>146</v>
      </c>
      <c r="F32" s="3" t="str">
        <f t="shared" si="0"/>
        <v>سید ربیع موسویان</v>
      </c>
      <c r="G32" s="4" t="s">
        <v>151</v>
      </c>
      <c r="H32" s="5">
        <v>660</v>
      </c>
      <c r="I32" s="5">
        <v>37000</v>
      </c>
      <c r="J32" s="6">
        <f t="shared" si="1"/>
        <v>24420000</v>
      </c>
      <c r="K32" s="6">
        <f>IF(OR($B32="",$E32="",Calc!$B29=""),"",SUMIFS(CalcAmtA,CalcPartyA,$E32,CalcKeyA,"&lt;="&amp;Calc!$B29)-SUMIFS(CalcWitB,CalcPartyB,$E32,CalcKeyB,"&lt;="&amp;Calc!$B29)+SUMIFS(CalcDepB,CalcPartyB,$E32,CalcKeyB,"&lt;="&amp;Calc!$B29))</f>
        <v>127197000</v>
      </c>
      <c r="L32" s="4"/>
    </row>
    <row r="33" spans="1:12" x14ac:dyDescent="0.2">
      <c r="A33" s="3">
        <f>IF($B33="","",COUNTA($B$9:$B33))</f>
        <v>25</v>
      </c>
      <c r="B33" s="4" t="s">
        <v>152</v>
      </c>
      <c r="C33" s="4"/>
      <c r="D33" s="4"/>
      <c r="E33" s="4" t="s">
        <v>146</v>
      </c>
      <c r="F33" s="3" t="str">
        <f t="shared" si="0"/>
        <v>سید ربیع موسویان</v>
      </c>
      <c r="G33" s="4" t="s">
        <v>151</v>
      </c>
      <c r="H33" s="5">
        <v>372</v>
      </c>
      <c r="I33" s="5">
        <v>37000</v>
      </c>
      <c r="J33" s="6">
        <f t="shared" si="1"/>
        <v>13764000</v>
      </c>
      <c r="K33" s="6">
        <f>IF(OR($B33="",$E33="",Calc!$B30=""),"",SUMIFS(CalcAmtA,CalcPartyA,$E33,CalcKeyA,"&lt;="&amp;Calc!$B30)-SUMIFS(CalcWitB,CalcPartyB,$E33,CalcKeyB,"&lt;="&amp;Calc!$B30)+SUMIFS(CalcDepB,CalcPartyB,$E33,CalcKeyB,"&lt;="&amp;Calc!$B30))</f>
        <v>96397000</v>
      </c>
      <c r="L33" s="4"/>
    </row>
    <row r="34" spans="1:12" x14ac:dyDescent="0.2">
      <c r="A34" s="3">
        <f>IF($B34="","",COUNTA($B$9:$B34))</f>
        <v>26</v>
      </c>
      <c r="B34" s="4" t="s">
        <v>152</v>
      </c>
      <c r="C34" s="4"/>
      <c r="D34" s="4"/>
      <c r="E34" s="4" t="s">
        <v>146</v>
      </c>
      <c r="F34" s="3" t="str">
        <f t="shared" si="0"/>
        <v>سید ربیع موسویان</v>
      </c>
      <c r="G34" s="4" t="s">
        <v>143</v>
      </c>
      <c r="H34" s="5">
        <v>800</v>
      </c>
      <c r="I34" s="5">
        <v>23000</v>
      </c>
      <c r="J34" s="6">
        <f t="shared" si="1"/>
        <v>18400000</v>
      </c>
      <c r="K34" s="6">
        <f>IF(OR($B34="",$E34="",Calc!$B31=""),"",SUMIFS(CalcAmtA,CalcPartyA,$E34,CalcKeyA,"&lt;="&amp;Calc!$B31)-SUMIFS(CalcWitB,CalcPartyB,$E34,CalcKeyB,"&lt;="&amp;Calc!$B31)+SUMIFS(CalcDepB,CalcPartyB,$E34,CalcKeyB,"&lt;="&amp;Calc!$B31))</f>
        <v>105147000</v>
      </c>
      <c r="L34" s="4"/>
    </row>
    <row r="35" spans="1:12" x14ac:dyDescent="0.2">
      <c r="A35" s="3">
        <f>IF($B35="","",COUNTA($B$9:$B35))</f>
        <v>27</v>
      </c>
      <c r="B35" s="4" t="s">
        <v>153</v>
      </c>
      <c r="C35" s="4"/>
      <c r="D35" s="4"/>
      <c r="E35" s="4" t="s">
        <v>135</v>
      </c>
      <c r="F35" s="3" t="str">
        <f t="shared" si="0"/>
        <v>سید محمد موسویان</v>
      </c>
      <c r="G35" s="4" t="s">
        <v>142</v>
      </c>
      <c r="H35" s="5">
        <v>1420</v>
      </c>
      <c r="I35" s="5">
        <v>16000</v>
      </c>
      <c r="J35" s="6">
        <f t="shared" si="1"/>
        <v>22720000</v>
      </c>
      <c r="K35" s="6">
        <f>IF(OR($B35="",$E35="",Calc!$B32=""),"",SUMIFS(CalcAmtA,CalcPartyA,$E35,CalcKeyA,"&lt;="&amp;Calc!$B32)-SUMIFS(CalcWitB,CalcPartyB,$E35,CalcKeyB,"&lt;="&amp;Calc!$B32)+SUMIFS(CalcDepB,CalcPartyB,$E35,CalcKeyB,"&lt;="&amp;Calc!$B32))</f>
        <v>86101000</v>
      </c>
      <c r="L35" s="4"/>
    </row>
    <row r="36" spans="1:12" x14ac:dyDescent="0.2">
      <c r="A36" s="3">
        <f>IF($B36="","",COUNTA($B$9:$B36))</f>
        <v>28</v>
      </c>
      <c r="B36" s="4" t="s">
        <v>153</v>
      </c>
      <c r="C36" s="4"/>
      <c r="D36" s="4"/>
      <c r="E36" s="4" t="s">
        <v>135</v>
      </c>
      <c r="F36" s="3" t="str">
        <f t="shared" si="0"/>
        <v>سید محمد موسویان</v>
      </c>
      <c r="G36" s="4" t="s">
        <v>144</v>
      </c>
      <c r="H36" s="5">
        <v>704</v>
      </c>
      <c r="I36" s="5">
        <v>15000</v>
      </c>
      <c r="J36" s="6">
        <f t="shared" si="1"/>
        <v>10560000</v>
      </c>
      <c r="K36" s="6">
        <f>IF(OR($B36="",$E36="",Calc!$B33=""),"",SUMIFS(CalcAmtA,CalcPartyA,$E36,CalcKeyA,"&lt;="&amp;Calc!$B33)-SUMIFS(CalcWitB,CalcPartyB,$E36,CalcKeyB,"&lt;="&amp;Calc!$B33)+SUMIFS(CalcDepB,CalcPartyB,$E36,CalcKeyB,"&lt;="&amp;Calc!$B33))</f>
        <v>99865000</v>
      </c>
      <c r="L36" s="4"/>
    </row>
    <row r="37" spans="1:12" x14ac:dyDescent="0.2">
      <c r="A37" s="3">
        <f>IF($B37="","",COUNTA($B$9:$B37))</f>
        <v>29</v>
      </c>
      <c r="B37" s="4" t="s">
        <v>154</v>
      </c>
      <c r="C37" s="4"/>
      <c r="D37" s="4"/>
      <c r="E37" s="4" t="s">
        <v>135</v>
      </c>
      <c r="F37" s="3" t="str">
        <f t="shared" si="0"/>
        <v>سید محمد موسویان</v>
      </c>
      <c r="G37" s="4" t="s">
        <v>142</v>
      </c>
      <c r="H37" s="5">
        <v>2300</v>
      </c>
      <c r="I37" s="5">
        <v>16000</v>
      </c>
      <c r="J37" s="6">
        <f t="shared" si="1"/>
        <v>36800000</v>
      </c>
      <c r="K37" s="6">
        <f>IF(OR($B37="",$E37="",Calc!$B34=""),"",SUMIFS(CalcAmtA,CalcPartyA,$E37,CalcKeyA,"&lt;="&amp;Calc!$B34)-SUMIFS(CalcWitB,CalcPartyB,$E37,CalcKeyB,"&lt;="&amp;Calc!$B34)+SUMIFS(CalcDepB,CalcPartyB,$E37,CalcKeyB,"&lt;="&amp;Calc!$B34))</f>
        <v>118265000</v>
      </c>
      <c r="L37" s="4"/>
    </row>
    <row r="38" spans="1:12" x14ac:dyDescent="0.2">
      <c r="A38" s="3">
        <f>IF($B38="","",COUNTA($B$9:$B38))</f>
        <v>30</v>
      </c>
      <c r="B38" s="4" t="s">
        <v>153</v>
      </c>
      <c r="C38" s="4"/>
      <c r="D38" s="4"/>
      <c r="E38" s="4" t="s">
        <v>134</v>
      </c>
      <c r="F38" s="3" t="str">
        <f t="shared" si="0"/>
        <v>حسن کوچکزاده</v>
      </c>
      <c r="G38" s="4" t="s">
        <v>150</v>
      </c>
      <c r="H38" s="5">
        <v>420</v>
      </c>
      <c r="I38" s="5">
        <v>25000</v>
      </c>
      <c r="J38" s="6">
        <f t="shared" si="1"/>
        <v>10500000</v>
      </c>
      <c r="K38" s="6" t="e">
        <f>IF(OR($B38="",$E38="",Calc!$B35=""),"",SUMIFS(CalcAmtA,CalcPartyA,$E38,CalcKeyA,"&lt;="&amp;Calc!$B35)-SUMIFS(CalcWitB,CalcPartyB,$E38,CalcKeyB,"&lt;="&amp;Calc!$B35)+SUMIFS(CalcDepB,CalcPartyB,$E38,CalcKeyB,"&lt;="&amp;Calc!$B35))</f>
        <v>#REF!</v>
      </c>
      <c r="L38" s="4"/>
    </row>
    <row r="39" spans="1:12" x14ac:dyDescent="0.2">
      <c r="A39" s="3">
        <f>IF($B39="","",COUNTA($B$9:$B39))</f>
        <v>31</v>
      </c>
      <c r="B39" s="4" t="s">
        <v>153</v>
      </c>
      <c r="C39" s="4"/>
      <c r="D39" s="4"/>
      <c r="E39" s="4" t="s">
        <v>134</v>
      </c>
      <c r="F39" s="3" t="str">
        <f t="shared" si="0"/>
        <v>حسن کوچکزاده</v>
      </c>
      <c r="G39" s="4" t="s">
        <v>136</v>
      </c>
      <c r="H39" s="5">
        <v>400</v>
      </c>
      <c r="I39" s="5">
        <v>5000</v>
      </c>
      <c r="J39" s="6">
        <f t="shared" si="1"/>
        <v>2000000</v>
      </c>
      <c r="K39" s="6" t="e">
        <f>IF(OR($B39="",$E39="",Calc!$B36=""),"",SUMIFS(CalcAmtA,CalcPartyA,$E39,CalcKeyA,"&lt;="&amp;Calc!$B36)-SUMIFS(CalcWitB,CalcPartyB,$E39,CalcKeyB,"&lt;="&amp;Calc!$B36)+SUMIFS(CalcDepB,CalcPartyB,$E39,CalcKeyB,"&lt;="&amp;Calc!$B36))</f>
        <v>#REF!</v>
      </c>
      <c r="L39" s="4"/>
    </row>
    <row r="40" spans="1:12" x14ac:dyDescent="0.2">
      <c r="A40" s="3">
        <f>IF($B40="","",COUNTA($B$9:$B40))</f>
        <v>32</v>
      </c>
      <c r="B40" s="4" t="s">
        <v>155</v>
      </c>
      <c r="C40" s="4"/>
      <c r="D40" s="4"/>
      <c r="E40" s="4" t="s">
        <v>134</v>
      </c>
      <c r="F40" s="3" t="str">
        <f t="shared" si="0"/>
        <v>حسن کوچکزاده</v>
      </c>
      <c r="G40" s="4" t="s">
        <v>150</v>
      </c>
      <c r="H40" s="5">
        <v>1190</v>
      </c>
      <c r="I40" s="5">
        <v>25000</v>
      </c>
      <c r="J40" s="6">
        <f t="shared" si="1"/>
        <v>29750000</v>
      </c>
      <c r="K40" s="6" t="e">
        <f>IF(OR($B40="",$E40="",Calc!$B37=""),"",SUMIFS(CalcAmtA,CalcPartyA,$E40,CalcKeyA,"&lt;="&amp;Calc!$B37)-SUMIFS(CalcWitB,CalcPartyB,$E40,CalcKeyB,"&lt;="&amp;Calc!$B37)+SUMIFS(CalcDepB,CalcPartyB,$E40,CalcKeyB,"&lt;="&amp;Calc!$B37))</f>
        <v>#REF!</v>
      </c>
      <c r="L40" s="4"/>
    </row>
    <row r="41" spans="1:12" x14ac:dyDescent="0.2">
      <c r="A41" s="3">
        <f>IF($B41="","",COUNTA($B$9:$B41))</f>
        <v>33</v>
      </c>
      <c r="B41" s="4" t="s">
        <v>155</v>
      </c>
      <c r="C41" s="4"/>
      <c r="D41" s="4"/>
      <c r="E41" s="4" t="s">
        <v>134</v>
      </c>
      <c r="F41" s="3" t="str">
        <f t="shared" si="0"/>
        <v>حسن کوچکزاده</v>
      </c>
      <c r="G41" s="4" t="s">
        <v>136</v>
      </c>
      <c r="H41" s="5">
        <v>1200</v>
      </c>
      <c r="I41" s="5">
        <v>5000</v>
      </c>
      <c r="J41" s="6">
        <f t="shared" si="1"/>
        <v>6000000</v>
      </c>
      <c r="K41" s="6" t="e">
        <f>IF(OR($B41="",$E41="",Calc!$B38=""),"",SUMIFS(CalcAmtA,CalcPartyA,$E41,CalcKeyA,"&lt;="&amp;Calc!$B38)-SUMIFS(CalcWitB,CalcPartyB,$E41,CalcKeyB,"&lt;="&amp;Calc!$B38)+SUMIFS(CalcDepB,CalcPartyB,$E41,CalcKeyB,"&lt;="&amp;Calc!$B38))</f>
        <v>#REF!</v>
      </c>
      <c r="L41" s="4"/>
    </row>
    <row r="42" spans="1:12" x14ac:dyDescent="0.2">
      <c r="A42" s="3">
        <f>IF($B42="","",COUNTA($B$9:$B42))</f>
        <v>34</v>
      </c>
      <c r="B42" s="4" t="s">
        <v>156</v>
      </c>
      <c r="C42" s="4"/>
      <c r="D42" s="4"/>
      <c r="E42" s="4" t="s">
        <v>134</v>
      </c>
      <c r="F42" s="3" t="str">
        <f t="shared" si="0"/>
        <v>حسن کوچکزاده</v>
      </c>
      <c r="G42" s="4" t="s">
        <v>141</v>
      </c>
      <c r="H42" s="5">
        <v>847</v>
      </c>
      <c r="I42" s="5">
        <v>47000</v>
      </c>
      <c r="J42" s="6">
        <f t="shared" si="1"/>
        <v>39809000</v>
      </c>
      <c r="K42" s="6" t="e">
        <f>IF(OR($B42="",$E42="",Calc!$B39=""),"",SUMIFS(CalcAmtA,CalcPartyA,$E42,CalcKeyA,"&lt;="&amp;Calc!$B39)-SUMIFS(CalcWitB,CalcPartyB,$E42,CalcKeyB,"&lt;="&amp;Calc!$B39)+SUMIFS(CalcDepB,CalcPartyB,$E42,CalcKeyB,"&lt;="&amp;Calc!$B39))</f>
        <v>#REF!</v>
      </c>
      <c r="L42" s="4"/>
    </row>
    <row r="43" spans="1:12" x14ac:dyDescent="0.2">
      <c r="A43" s="3">
        <f>IF($B43="","",COUNTA($B$9:$B43))</f>
        <v>35</v>
      </c>
      <c r="B43" s="4" t="s">
        <v>157</v>
      </c>
      <c r="C43" s="4"/>
      <c r="D43" s="4"/>
      <c r="E43" s="4" t="s">
        <v>134</v>
      </c>
      <c r="F43" s="3" t="str">
        <f t="shared" si="0"/>
        <v>حسن کوچکزاده</v>
      </c>
      <c r="G43" s="4" t="s">
        <v>141</v>
      </c>
      <c r="H43" s="5">
        <v>2051</v>
      </c>
      <c r="I43" s="5">
        <v>47000</v>
      </c>
      <c r="J43" s="6">
        <f t="shared" si="1"/>
        <v>96397000</v>
      </c>
      <c r="K43" s="6" t="e">
        <f>IF(OR($B43="",$E43="",Calc!$B40=""),"",SUMIFS(CalcAmtA,CalcPartyA,$E43,CalcKeyA,"&lt;="&amp;Calc!$B40)-SUMIFS(CalcWitB,CalcPartyB,$E43,CalcKeyB,"&lt;="&amp;Calc!$B40)+SUMIFS(CalcDepB,CalcPartyB,$E43,CalcKeyB,"&lt;="&amp;Calc!$B40))</f>
        <v>#REF!</v>
      </c>
      <c r="L43" s="4"/>
    </row>
    <row r="44" spans="1:12" x14ac:dyDescent="0.2">
      <c r="A44" s="3">
        <f>IF($B44="","",COUNTA($B$9:$B44))</f>
        <v>36</v>
      </c>
      <c r="B44" s="4" t="s">
        <v>156</v>
      </c>
      <c r="C44" s="4"/>
      <c r="D44" s="4"/>
      <c r="E44" s="4" t="s">
        <v>134</v>
      </c>
      <c r="F44" s="3" t="str">
        <f t="shared" si="0"/>
        <v>حسن کوچکزاده</v>
      </c>
      <c r="G44" s="4" t="s">
        <v>150</v>
      </c>
      <c r="H44" s="5">
        <v>1250</v>
      </c>
      <c r="I44" s="5">
        <v>25000</v>
      </c>
      <c r="J44" s="6">
        <f t="shared" si="1"/>
        <v>31250000</v>
      </c>
      <c r="K44" s="6" t="e">
        <f>IF(OR($B44="",$E44="",Calc!$B41=""),"",SUMIFS(CalcAmtA,CalcPartyA,$E44,CalcKeyA,"&lt;="&amp;Calc!$B41)-SUMIFS(CalcWitB,CalcPartyB,$E44,CalcKeyB,"&lt;="&amp;Calc!$B41)+SUMIFS(CalcDepB,CalcPartyB,$E44,CalcKeyB,"&lt;="&amp;Calc!$B41))</f>
        <v>#REF!</v>
      </c>
      <c r="L44" s="4"/>
    </row>
    <row r="45" spans="1:12" x14ac:dyDescent="0.2">
      <c r="A45" s="3">
        <f>IF($B45="","",COUNTA($B$9:$B45))</f>
        <v>37</v>
      </c>
      <c r="B45" s="4" t="s">
        <v>156</v>
      </c>
      <c r="C45" s="4"/>
      <c r="D45" s="4"/>
      <c r="E45" s="4" t="s">
        <v>134</v>
      </c>
      <c r="F45" s="3" t="str">
        <f t="shared" si="0"/>
        <v>حسن کوچکزاده</v>
      </c>
      <c r="G45" s="4" t="s">
        <v>136</v>
      </c>
      <c r="H45" s="5">
        <v>1200</v>
      </c>
      <c r="I45" s="5">
        <v>5000</v>
      </c>
      <c r="J45" s="6">
        <f t="shared" si="1"/>
        <v>6000000</v>
      </c>
      <c r="K45" s="6" t="e">
        <f>IF(OR($B45="",$E45="",Calc!$B42=""),"",SUMIFS(CalcAmtA,CalcPartyA,$E45,CalcKeyA,"&lt;="&amp;Calc!$B42)-SUMIFS(CalcWitB,CalcPartyB,$E45,CalcKeyB,"&lt;="&amp;Calc!$B42)+SUMIFS(CalcDepB,CalcPartyB,$E45,CalcKeyB,"&lt;="&amp;Calc!$B42))</f>
        <v>#REF!</v>
      </c>
      <c r="L45" s="4"/>
    </row>
    <row r="46" spans="1:12" x14ac:dyDescent="0.2">
      <c r="A46" s="3">
        <f>IF($B46="","",COUNTA($B$9:$B46))</f>
        <v>38</v>
      </c>
      <c r="B46" s="4" t="s">
        <v>154</v>
      </c>
      <c r="C46" s="4"/>
      <c r="D46" s="4"/>
      <c r="E46" s="4" t="s">
        <v>134</v>
      </c>
      <c r="F46" s="3" t="str">
        <f t="shared" si="0"/>
        <v>حسن کوچکزاده</v>
      </c>
      <c r="G46" s="4" t="s">
        <v>150</v>
      </c>
      <c r="H46" s="5">
        <v>925</v>
      </c>
      <c r="I46" s="5">
        <v>25000</v>
      </c>
      <c r="J46" s="6">
        <f t="shared" si="1"/>
        <v>23125000</v>
      </c>
      <c r="K46" s="6" t="e">
        <f>IF(OR($B46="",$E46="",Calc!$B43=""),"",SUMIFS(CalcAmtA,CalcPartyA,$E46,CalcKeyA,"&lt;="&amp;Calc!$B43)-SUMIFS(CalcWitB,CalcPartyB,$E46,CalcKeyB,"&lt;="&amp;Calc!$B43)+SUMIFS(CalcDepB,CalcPartyB,$E46,CalcKeyB,"&lt;="&amp;Calc!$B43))</f>
        <v>#REF!</v>
      </c>
      <c r="L46" s="4"/>
    </row>
    <row r="47" spans="1:12" x14ac:dyDescent="0.2">
      <c r="A47" s="3">
        <f>IF($B47="","",COUNTA($B$9:$B47))</f>
        <v>39</v>
      </c>
      <c r="B47" s="4" t="s">
        <v>154</v>
      </c>
      <c r="C47" s="4"/>
      <c r="D47" s="4"/>
      <c r="E47" s="4" t="s">
        <v>134</v>
      </c>
      <c r="F47" s="3" t="str">
        <f t="shared" si="0"/>
        <v>حسن کوچکزاده</v>
      </c>
      <c r="G47" s="4" t="s">
        <v>136</v>
      </c>
      <c r="H47" s="5">
        <v>1000</v>
      </c>
      <c r="I47" s="5">
        <v>5000</v>
      </c>
      <c r="J47" s="6">
        <f t="shared" si="1"/>
        <v>5000000</v>
      </c>
      <c r="K47" s="6" t="e">
        <f>IF(OR($B47="",$E47="",Calc!$B44=""),"",SUMIFS(CalcAmtA,CalcPartyA,$E47,CalcKeyA,"&lt;="&amp;Calc!$B44)-SUMIFS(CalcWitB,CalcPartyB,$E47,CalcKeyB,"&lt;="&amp;Calc!$B44)+SUMIFS(CalcDepB,CalcPartyB,$E47,CalcKeyB,"&lt;="&amp;Calc!$B44))</f>
        <v>#REF!</v>
      </c>
      <c r="L47" s="4"/>
    </row>
    <row r="48" spans="1:12" x14ac:dyDescent="0.2">
      <c r="A48" s="3">
        <f>IF($B48="","",COUNTA($B$9:$B48))</f>
        <v>40</v>
      </c>
      <c r="B48" s="4" t="s">
        <v>158</v>
      </c>
      <c r="C48" s="4"/>
      <c r="D48" s="4"/>
      <c r="E48" s="4" t="s">
        <v>134</v>
      </c>
      <c r="F48" s="3" t="str">
        <f t="shared" si="0"/>
        <v>حسن کوچکزاده</v>
      </c>
      <c r="G48" s="4" t="s">
        <v>150</v>
      </c>
      <c r="H48" s="5">
        <v>910</v>
      </c>
      <c r="I48" s="5">
        <v>25000</v>
      </c>
      <c r="J48" s="6">
        <f t="shared" si="1"/>
        <v>22750000</v>
      </c>
      <c r="K48" s="6" t="e">
        <f>IF(OR($B48="",$E48="",Calc!$B45=""),"",SUMIFS(CalcAmtA,CalcPartyA,$E48,CalcKeyA,"&lt;="&amp;Calc!$B45)-SUMIFS(CalcWitB,CalcPartyB,$E48,CalcKeyB,"&lt;="&amp;Calc!$B45)+SUMIFS(CalcDepB,CalcPartyB,$E48,CalcKeyB,"&lt;="&amp;Calc!$B45))</f>
        <v>#REF!</v>
      </c>
      <c r="L48" s="4"/>
    </row>
    <row r="49" spans="1:12" x14ac:dyDescent="0.2">
      <c r="A49" s="3">
        <f>IF($B49="","",COUNTA($B$9:$B49))</f>
        <v>41</v>
      </c>
      <c r="B49" s="4" t="s">
        <v>158</v>
      </c>
      <c r="C49" s="4"/>
      <c r="D49" s="4"/>
      <c r="E49" s="4" t="s">
        <v>134</v>
      </c>
      <c r="F49" s="3" t="str">
        <f t="shared" si="0"/>
        <v>حسن کوچکزاده</v>
      </c>
      <c r="G49" s="4" t="s">
        <v>136</v>
      </c>
      <c r="H49" s="5">
        <v>800</v>
      </c>
      <c r="I49" s="5">
        <v>5000</v>
      </c>
      <c r="J49" s="6">
        <f t="shared" si="1"/>
        <v>4000000</v>
      </c>
      <c r="K49" s="6" t="e">
        <f>IF(OR($B49="",$E49="",Calc!$B46=""),"",SUMIFS(CalcAmtA,CalcPartyA,$E49,CalcKeyA,"&lt;="&amp;Calc!$B46)-SUMIFS(CalcWitB,CalcPartyB,$E49,CalcKeyB,"&lt;="&amp;Calc!$B46)+SUMIFS(CalcDepB,CalcPartyB,$E49,CalcKeyB,"&lt;="&amp;Calc!$B46))</f>
        <v>#REF!</v>
      </c>
      <c r="L49" s="4"/>
    </row>
    <row r="50" spans="1:12" x14ac:dyDescent="0.2">
      <c r="A50" s="3">
        <f>IF($B50="","",COUNTA($B$9:$B50))</f>
        <v>42</v>
      </c>
      <c r="B50" s="4" t="s">
        <v>158</v>
      </c>
      <c r="C50" s="4"/>
      <c r="D50" s="4"/>
      <c r="E50" s="4" t="s">
        <v>134</v>
      </c>
      <c r="F50" s="3" t="str">
        <f t="shared" si="0"/>
        <v>حسن کوچکزاده</v>
      </c>
      <c r="G50" s="4" t="s">
        <v>141</v>
      </c>
      <c r="H50" s="5">
        <v>2023</v>
      </c>
      <c r="I50" s="5">
        <v>47000</v>
      </c>
      <c r="J50" s="6">
        <f t="shared" si="1"/>
        <v>95081000</v>
      </c>
      <c r="K50" s="6" t="e">
        <f>IF(OR($B50="",$E50="",Calc!$B47=""),"",SUMIFS(CalcAmtA,CalcPartyA,$E50,CalcKeyA,"&lt;="&amp;Calc!$B47)-SUMIFS(CalcWitB,CalcPartyB,$E50,CalcKeyB,"&lt;="&amp;Calc!$B47)+SUMIFS(CalcDepB,CalcPartyB,$E50,CalcKeyB,"&lt;="&amp;Calc!$B47))</f>
        <v>#REF!</v>
      </c>
      <c r="L50" s="4"/>
    </row>
    <row r="51" spans="1:12" x14ac:dyDescent="0.2">
      <c r="A51" s="3" t="str">
        <f>IF($B51="","",COUNTA($B$9:$B51))</f>
        <v/>
      </c>
      <c r="B51" s="4"/>
      <c r="C51" s="4"/>
      <c r="D51" s="4"/>
      <c r="E51" s="4"/>
      <c r="F51" s="3" t="str">
        <f t="shared" si="0"/>
        <v/>
      </c>
      <c r="G51" s="4"/>
      <c r="H51" s="5"/>
      <c r="I51" s="5"/>
      <c r="J51" s="6" t="str">
        <f t="shared" si="1"/>
        <v/>
      </c>
      <c r="K51" s="6" t="str">
        <f>IF(OR($B51="",$E51="",Calc!$B48=""),"",SUMIFS(CalcAmtA,CalcPartyA,$E51,CalcKeyA,"&lt;="&amp;Calc!$B48)-SUMIFS(CalcWitB,CalcPartyB,$E51,CalcKeyB,"&lt;="&amp;Calc!$B48)+SUMIFS(CalcDepB,CalcPartyB,$E51,CalcKeyB,"&lt;="&amp;Calc!$B48))</f>
        <v/>
      </c>
      <c r="L51" s="4"/>
    </row>
    <row r="52" spans="1:12" x14ac:dyDescent="0.2">
      <c r="A52" s="3" t="str">
        <f>IF($B52="","",COUNTA($B$9:$B52))</f>
        <v/>
      </c>
      <c r="B52" s="4"/>
      <c r="C52" s="4"/>
      <c r="D52" s="4"/>
      <c r="E52" s="4"/>
      <c r="F52" s="3" t="str">
        <f t="shared" si="0"/>
        <v/>
      </c>
      <c r="G52" s="4"/>
      <c r="H52" s="5"/>
      <c r="I52" s="5"/>
      <c r="J52" s="6" t="str">
        <f t="shared" si="1"/>
        <v/>
      </c>
      <c r="K52" s="6" t="str">
        <f>IF(OR($B52="",$E52="",Calc!$B49=""),"",SUMIFS(CalcAmtA,CalcPartyA,$E52,CalcKeyA,"&lt;="&amp;Calc!$B49)-SUMIFS(CalcWitB,CalcPartyB,$E52,CalcKeyB,"&lt;="&amp;Calc!$B49)+SUMIFS(CalcDepB,CalcPartyB,$E52,CalcKeyB,"&lt;="&amp;Calc!$B49))</f>
        <v/>
      </c>
      <c r="L52" s="4"/>
    </row>
    <row r="53" spans="1:12" x14ac:dyDescent="0.2">
      <c r="A53" s="3" t="str">
        <f>IF($B53="","",COUNTA($B$9:$B53))</f>
        <v/>
      </c>
      <c r="B53" s="4"/>
      <c r="C53" s="4"/>
      <c r="D53" s="4"/>
      <c r="E53" s="4"/>
      <c r="F53" s="3" t="str">
        <f t="shared" si="0"/>
        <v/>
      </c>
      <c r="G53" s="4"/>
      <c r="H53" s="5"/>
      <c r="I53" s="5"/>
      <c r="J53" s="6" t="str">
        <f t="shared" si="1"/>
        <v/>
      </c>
      <c r="K53" s="6" t="str">
        <f>IF(OR($B53="",$E53="",Calc!$B50=""),"",SUMIFS(CalcAmtA,CalcPartyA,$E53,CalcKeyA,"&lt;="&amp;Calc!$B50)-SUMIFS(CalcWitB,CalcPartyB,$E53,CalcKeyB,"&lt;="&amp;Calc!$B50)+SUMIFS(CalcDepB,CalcPartyB,$E53,CalcKeyB,"&lt;="&amp;Calc!$B50))</f>
        <v/>
      </c>
      <c r="L53" s="4"/>
    </row>
    <row r="54" spans="1:12" x14ac:dyDescent="0.2">
      <c r="A54" s="3" t="str">
        <f>IF($B54="","",COUNTA($B$9:$B54))</f>
        <v/>
      </c>
      <c r="B54" s="4"/>
      <c r="C54" s="4"/>
      <c r="D54" s="4"/>
      <c r="E54" s="4"/>
      <c r="F54" s="3" t="str">
        <f t="shared" si="0"/>
        <v/>
      </c>
      <c r="G54" s="4"/>
      <c r="H54" s="5"/>
      <c r="I54" s="5"/>
      <c r="J54" s="6" t="str">
        <f t="shared" si="1"/>
        <v/>
      </c>
      <c r="K54" s="6" t="str">
        <f>IF(OR($B54="",$E54="",Calc!$B51=""),"",SUMIFS(CalcAmtA,CalcPartyA,$E54,CalcKeyA,"&lt;="&amp;Calc!$B51)-SUMIFS(CalcWitB,CalcPartyB,$E54,CalcKeyB,"&lt;="&amp;Calc!$B51)+SUMIFS(CalcDepB,CalcPartyB,$E54,CalcKeyB,"&lt;="&amp;Calc!$B51))</f>
        <v/>
      </c>
      <c r="L54" s="4"/>
    </row>
    <row r="55" spans="1:12" x14ac:dyDescent="0.2">
      <c r="A55" s="3" t="str">
        <f>IF($B55="","",COUNTA($B$9:$B55))</f>
        <v/>
      </c>
      <c r="B55" s="4"/>
      <c r="C55" s="4"/>
      <c r="D55" s="4"/>
      <c r="E55" s="4"/>
      <c r="F55" s="3" t="str">
        <f t="shared" si="0"/>
        <v/>
      </c>
      <c r="G55" s="4"/>
      <c r="H55" s="5"/>
      <c r="I55" s="5"/>
      <c r="J55" s="6" t="str">
        <f t="shared" si="1"/>
        <v/>
      </c>
      <c r="K55" s="6" t="str">
        <f>IF(OR($B55="",$E55="",Calc!$B52=""),"",SUMIFS(CalcAmtA,CalcPartyA,$E55,CalcKeyA,"&lt;="&amp;Calc!$B52)-SUMIFS(CalcWitB,CalcPartyB,$E55,CalcKeyB,"&lt;="&amp;Calc!$B52)+SUMIFS(CalcDepB,CalcPartyB,$E55,CalcKeyB,"&lt;="&amp;Calc!$B52))</f>
        <v/>
      </c>
      <c r="L55" s="4"/>
    </row>
    <row r="56" spans="1:12" x14ac:dyDescent="0.2">
      <c r="A56" s="3" t="str">
        <f>IF($B56="","",COUNTA($B$9:$B56))</f>
        <v/>
      </c>
      <c r="B56" s="4"/>
      <c r="C56" s="4"/>
      <c r="D56" s="4"/>
      <c r="E56" s="4"/>
      <c r="F56" s="3" t="str">
        <f t="shared" si="0"/>
        <v/>
      </c>
      <c r="G56" s="4"/>
      <c r="H56" s="5"/>
      <c r="I56" s="5"/>
      <c r="J56" s="6" t="str">
        <f t="shared" si="1"/>
        <v/>
      </c>
      <c r="K56" s="6" t="str">
        <f>IF(OR($B56="",$E56="",Calc!$B53=""),"",SUMIFS(CalcAmtA,CalcPartyA,$E56,CalcKeyA,"&lt;="&amp;Calc!$B53)-SUMIFS(CalcWitB,CalcPartyB,$E56,CalcKeyB,"&lt;="&amp;Calc!$B53)+SUMIFS(CalcDepB,CalcPartyB,$E56,CalcKeyB,"&lt;="&amp;Calc!$B53))</f>
        <v/>
      </c>
      <c r="L56" s="4"/>
    </row>
    <row r="57" spans="1:12" x14ac:dyDescent="0.2">
      <c r="A57" s="3" t="str">
        <f>IF($B57="","",COUNTA($B$9:$B57))</f>
        <v/>
      </c>
      <c r="B57" s="4"/>
      <c r="C57" s="4"/>
      <c r="D57" s="4"/>
      <c r="E57" s="4"/>
      <c r="F57" s="3" t="str">
        <f t="shared" si="0"/>
        <v/>
      </c>
      <c r="G57" s="4"/>
      <c r="H57" s="5"/>
      <c r="I57" s="5"/>
      <c r="J57" s="6" t="str">
        <f t="shared" si="1"/>
        <v/>
      </c>
      <c r="K57" s="6" t="str">
        <f>IF(OR($B57="",$E57="",Calc!$B54=""),"",SUMIFS(CalcAmtA,CalcPartyA,$E57,CalcKeyA,"&lt;="&amp;Calc!$B54)-SUMIFS(CalcWitB,CalcPartyB,$E57,CalcKeyB,"&lt;="&amp;Calc!$B54)+SUMIFS(CalcDepB,CalcPartyB,$E57,CalcKeyB,"&lt;="&amp;Calc!$B54))</f>
        <v/>
      </c>
      <c r="L57" s="4"/>
    </row>
    <row r="58" spans="1:12" x14ac:dyDescent="0.2">
      <c r="A58" s="3" t="str">
        <f>IF($B58="","",COUNTA($B$9:$B58))</f>
        <v/>
      </c>
      <c r="B58" s="4"/>
      <c r="C58" s="4"/>
      <c r="D58" s="4"/>
      <c r="E58" s="4"/>
      <c r="F58" s="3" t="str">
        <f t="shared" si="0"/>
        <v/>
      </c>
      <c r="G58" s="4"/>
      <c r="H58" s="5"/>
      <c r="I58" s="5"/>
      <c r="J58" s="6" t="str">
        <f t="shared" si="1"/>
        <v/>
      </c>
      <c r="K58" s="6" t="str">
        <f>IF(OR($B58="",$E58="",Calc!$B55=""),"",SUMIFS(CalcAmtA,CalcPartyA,$E58,CalcKeyA,"&lt;="&amp;Calc!$B55)-SUMIFS(CalcWitB,CalcPartyB,$E58,CalcKeyB,"&lt;="&amp;Calc!$B55)+SUMIFS(CalcDepB,CalcPartyB,$E58,CalcKeyB,"&lt;="&amp;Calc!$B55))</f>
        <v/>
      </c>
      <c r="L58" s="4"/>
    </row>
    <row r="59" spans="1:12" x14ac:dyDescent="0.2">
      <c r="A59" s="3" t="str">
        <f>IF($B59="","",COUNTA($B$9:$B59))</f>
        <v/>
      </c>
      <c r="B59" s="4"/>
      <c r="C59" s="4"/>
      <c r="D59" s="4"/>
      <c r="E59" s="4"/>
      <c r="F59" s="3" t="str">
        <f t="shared" si="0"/>
        <v/>
      </c>
      <c r="G59" s="4"/>
      <c r="H59" s="5"/>
      <c r="I59" s="5"/>
      <c r="J59" s="6" t="str">
        <f t="shared" si="1"/>
        <v/>
      </c>
      <c r="K59" s="6" t="str">
        <f>IF(OR($B59="",$E59="",Calc!$B56=""),"",SUMIFS(CalcAmtA,CalcPartyA,$E59,CalcKeyA,"&lt;="&amp;Calc!$B56)-SUMIFS(CalcWitB,CalcPartyB,$E59,CalcKeyB,"&lt;="&amp;Calc!$B56)+SUMIFS(CalcDepB,CalcPartyB,$E59,CalcKeyB,"&lt;="&amp;Calc!$B56))</f>
        <v/>
      </c>
      <c r="L59" s="4"/>
    </row>
    <row r="60" spans="1:12" x14ac:dyDescent="0.2">
      <c r="A60" s="3" t="str">
        <f>IF($B60="","",COUNTA($B$9:$B60))</f>
        <v/>
      </c>
      <c r="B60" s="4"/>
      <c r="C60" s="4"/>
      <c r="D60" s="4"/>
      <c r="E60" s="4"/>
      <c r="F60" s="3" t="str">
        <f t="shared" si="0"/>
        <v/>
      </c>
      <c r="G60" s="4"/>
      <c r="H60" s="5"/>
      <c r="I60" s="5"/>
      <c r="J60" s="6" t="str">
        <f t="shared" si="1"/>
        <v/>
      </c>
      <c r="K60" s="6" t="str">
        <f>IF(OR($B60="",$E60="",Calc!$B57=""),"",SUMIFS(CalcAmtA,CalcPartyA,$E60,CalcKeyA,"&lt;="&amp;Calc!$B57)-SUMIFS(CalcWitB,CalcPartyB,$E60,CalcKeyB,"&lt;="&amp;Calc!$B57)+SUMIFS(CalcDepB,CalcPartyB,$E60,CalcKeyB,"&lt;="&amp;Calc!$B57))</f>
        <v/>
      </c>
      <c r="L60" s="4"/>
    </row>
    <row r="61" spans="1:12" x14ac:dyDescent="0.2">
      <c r="A61" s="3" t="str">
        <f>IF($B61="","",COUNTA($B$9:$B61))</f>
        <v/>
      </c>
      <c r="B61" s="4"/>
      <c r="C61" s="4"/>
      <c r="D61" s="4"/>
      <c r="E61" s="4"/>
      <c r="F61" s="3" t="str">
        <f t="shared" si="0"/>
        <v/>
      </c>
      <c r="G61" s="4"/>
      <c r="H61" s="5"/>
      <c r="I61" s="5"/>
      <c r="J61" s="6" t="str">
        <f t="shared" si="1"/>
        <v/>
      </c>
      <c r="K61" s="6" t="str">
        <f>IF(OR($B61="",$E61="",Calc!$B58=""),"",SUMIFS(CalcAmtA,CalcPartyA,$E61,CalcKeyA,"&lt;="&amp;Calc!$B58)-SUMIFS(CalcWitB,CalcPartyB,$E61,CalcKeyB,"&lt;="&amp;Calc!$B58)+SUMIFS(CalcDepB,CalcPartyB,$E61,CalcKeyB,"&lt;="&amp;Calc!$B58))</f>
        <v/>
      </c>
      <c r="L61" s="4"/>
    </row>
    <row r="62" spans="1:12" x14ac:dyDescent="0.2">
      <c r="A62" s="3" t="str">
        <f>IF($B62="","",COUNTA($B$9:$B62))</f>
        <v/>
      </c>
      <c r="B62" s="4"/>
      <c r="C62" s="4"/>
      <c r="D62" s="4"/>
      <c r="E62" s="4"/>
      <c r="F62" s="3" t="str">
        <f t="shared" si="0"/>
        <v/>
      </c>
      <c r="G62" s="4"/>
      <c r="H62" s="5"/>
      <c r="I62" s="5"/>
      <c r="J62" s="6" t="str">
        <f t="shared" si="1"/>
        <v/>
      </c>
      <c r="K62" s="6" t="str">
        <f>IF(OR($B62="",$E62="",Calc!$B59=""),"",SUMIFS(CalcAmtA,CalcPartyA,$E62,CalcKeyA,"&lt;="&amp;Calc!$B59)-SUMIFS(CalcWitB,CalcPartyB,$E62,CalcKeyB,"&lt;="&amp;Calc!$B59)+SUMIFS(CalcDepB,CalcPartyB,$E62,CalcKeyB,"&lt;="&amp;Calc!$B59))</f>
        <v/>
      </c>
      <c r="L62" s="4"/>
    </row>
    <row r="63" spans="1:12" x14ac:dyDescent="0.2">
      <c r="A63" s="3" t="str">
        <f>IF($B63="","",COUNTA($B$9:$B63))</f>
        <v/>
      </c>
      <c r="B63" s="4"/>
      <c r="C63" s="4"/>
      <c r="D63" s="4"/>
      <c r="E63" s="4"/>
      <c r="F63" s="3" t="str">
        <f t="shared" si="0"/>
        <v/>
      </c>
      <c r="G63" s="4"/>
      <c r="H63" s="5"/>
      <c r="I63" s="5"/>
      <c r="J63" s="6" t="str">
        <f t="shared" si="1"/>
        <v/>
      </c>
      <c r="K63" s="6" t="str">
        <f>IF(OR($B63="",$E63="",Calc!$B60=""),"",SUMIFS(CalcAmtA,CalcPartyA,$E63,CalcKeyA,"&lt;="&amp;Calc!$B60)-SUMIFS(CalcWitB,CalcPartyB,$E63,CalcKeyB,"&lt;="&amp;Calc!$B60)+SUMIFS(CalcDepB,CalcPartyB,$E63,CalcKeyB,"&lt;="&amp;Calc!$B60))</f>
        <v/>
      </c>
      <c r="L63" s="4"/>
    </row>
    <row r="64" spans="1:12" x14ac:dyDescent="0.2">
      <c r="A64" s="3" t="str">
        <f>IF($B64="","",COUNTA($B$9:$B64))</f>
        <v/>
      </c>
      <c r="B64" s="4"/>
      <c r="C64" s="4"/>
      <c r="D64" s="4"/>
      <c r="E64" s="4"/>
      <c r="F64" s="3" t="str">
        <f t="shared" si="0"/>
        <v/>
      </c>
      <c r="G64" s="4"/>
      <c r="H64" s="5"/>
      <c r="I64" s="5"/>
      <c r="J64" s="6" t="str">
        <f t="shared" si="1"/>
        <v/>
      </c>
      <c r="K64" s="6" t="str">
        <f>IF(OR($B64="",$E64="",Calc!$B61=""),"",SUMIFS(CalcAmtA,CalcPartyA,$E64,CalcKeyA,"&lt;="&amp;Calc!$B61)-SUMIFS(CalcWitB,CalcPartyB,$E64,CalcKeyB,"&lt;="&amp;Calc!$B61)+SUMIFS(CalcDepB,CalcPartyB,$E64,CalcKeyB,"&lt;="&amp;Calc!$B61))</f>
        <v/>
      </c>
      <c r="L64" s="4"/>
    </row>
    <row r="65" spans="1:12" x14ac:dyDescent="0.2">
      <c r="A65" s="3" t="str">
        <f>IF($B65="","",COUNTA($B$9:$B65))</f>
        <v/>
      </c>
      <c r="B65" s="4"/>
      <c r="C65" s="4"/>
      <c r="D65" s="4"/>
      <c r="E65" s="4"/>
      <c r="F65" s="3" t="str">
        <f t="shared" si="0"/>
        <v/>
      </c>
      <c r="G65" s="4"/>
      <c r="H65" s="5"/>
      <c r="I65" s="5"/>
      <c r="J65" s="6" t="str">
        <f t="shared" si="1"/>
        <v/>
      </c>
      <c r="K65" s="6" t="str">
        <f>IF(OR($B65="",$E65="",Calc!$B62=""),"",SUMIFS(CalcAmtA,CalcPartyA,$E65,CalcKeyA,"&lt;="&amp;Calc!$B62)-SUMIFS(CalcWitB,CalcPartyB,$E65,CalcKeyB,"&lt;="&amp;Calc!$B62)+SUMIFS(CalcDepB,CalcPartyB,$E65,CalcKeyB,"&lt;="&amp;Calc!$B62))</f>
        <v/>
      </c>
      <c r="L65" s="4"/>
    </row>
    <row r="66" spans="1:12" x14ac:dyDescent="0.2">
      <c r="A66" s="3" t="str">
        <f>IF($B66="","",COUNTA($B$9:$B66))</f>
        <v/>
      </c>
      <c r="B66" s="4"/>
      <c r="C66" s="4"/>
      <c r="D66" s="4"/>
      <c r="E66" s="4"/>
      <c r="F66" s="3" t="str">
        <f t="shared" si="0"/>
        <v/>
      </c>
      <c r="G66" s="4"/>
      <c r="H66" s="5"/>
      <c r="I66" s="5"/>
      <c r="J66" s="6" t="str">
        <f t="shared" si="1"/>
        <v/>
      </c>
      <c r="K66" s="6" t="str">
        <f>IF(OR($B66="",$E66="",Calc!$B63=""),"",SUMIFS(CalcAmtA,CalcPartyA,$E66,CalcKeyA,"&lt;="&amp;Calc!$B63)-SUMIFS(CalcWitB,CalcPartyB,$E66,CalcKeyB,"&lt;="&amp;Calc!$B63)+SUMIFS(CalcDepB,CalcPartyB,$E66,CalcKeyB,"&lt;="&amp;Calc!$B63))</f>
        <v/>
      </c>
      <c r="L66" s="4"/>
    </row>
    <row r="67" spans="1:12" x14ac:dyDescent="0.2">
      <c r="A67" s="3" t="str">
        <f>IF($B67="","",COUNTA($B$9:$B67))</f>
        <v/>
      </c>
      <c r="B67" s="4"/>
      <c r="C67" s="4"/>
      <c r="D67" s="4"/>
      <c r="E67" s="4"/>
      <c r="F67" s="3" t="str">
        <f t="shared" si="0"/>
        <v/>
      </c>
      <c r="G67" s="4"/>
      <c r="H67" s="5"/>
      <c r="I67" s="5"/>
      <c r="J67" s="6" t="str">
        <f t="shared" si="1"/>
        <v/>
      </c>
      <c r="K67" s="6" t="str">
        <f>IF(OR($B67="",$E67="",Calc!$B64=""),"",SUMIFS(CalcAmtA,CalcPartyA,$E67,CalcKeyA,"&lt;="&amp;Calc!$B64)-SUMIFS(CalcWitB,CalcPartyB,$E67,CalcKeyB,"&lt;="&amp;Calc!$B64)+SUMIFS(CalcDepB,CalcPartyB,$E67,CalcKeyB,"&lt;="&amp;Calc!$B64))</f>
        <v/>
      </c>
      <c r="L67" s="4"/>
    </row>
    <row r="68" spans="1:12" x14ac:dyDescent="0.2">
      <c r="A68" s="3" t="str">
        <f>IF($B68="","",COUNTA($B$9:$B68))</f>
        <v/>
      </c>
      <c r="B68" s="4"/>
      <c r="C68" s="4"/>
      <c r="D68" s="4"/>
      <c r="E68" s="4"/>
      <c r="F68" s="3" t="str">
        <f t="shared" si="0"/>
        <v/>
      </c>
      <c r="G68" s="4"/>
      <c r="H68" s="5"/>
      <c r="I68" s="5"/>
      <c r="J68" s="6" t="str">
        <f t="shared" si="1"/>
        <v/>
      </c>
      <c r="K68" s="6" t="str">
        <f>IF(OR($B68="",$E68="",Calc!$B65=""),"",SUMIFS(CalcAmtA,CalcPartyA,$E68,CalcKeyA,"&lt;="&amp;Calc!$B65)-SUMIFS(CalcWitB,CalcPartyB,$E68,CalcKeyB,"&lt;="&amp;Calc!$B65)+SUMIFS(CalcDepB,CalcPartyB,$E68,CalcKeyB,"&lt;="&amp;Calc!$B65))</f>
        <v/>
      </c>
      <c r="L68" s="4"/>
    </row>
    <row r="69" spans="1:12" x14ac:dyDescent="0.2">
      <c r="A69" s="3" t="str">
        <f>IF($B69="","",COUNTA($B$9:$B69))</f>
        <v/>
      </c>
      <c r="B69" s="4"/>
      <c r="C69" s="4"/>
      <c r="D69" s="4"/>
      <c r="E69" s="4"/>
      <c r="F69" s="3" t="str">
        <f t="shared" si="0"/>
        <v/>
      </c>
      <c r="G69" s="4"/>
      <c r="H69" s="5"/>
      <c r="I69" s="5"/>
      <c r="J69" s="6" t="str">
        <f t="shared" si="1"/>
        <v/>
      </c>
      <c r="K69" s="6" t="str">
        <f>IF(OR($B69="",$E69="",Calc!$B66=""),"",SUMIFS(CalcAmtA,CalcPartyA,$E69,CalcKeyA,"&lt;="&amp;Calc!$B66)-SUMIFS(CalcWitB,CalcPartyB,$E69,CalcKeyB,"&lt;="&amp;Calc!$B66)+SUMIFS(CalcDepB,CalcPartyB,$E69,CalcKeyB,"&lt;="&amp;Calc!$B66))</f>
        <v/>
      </c>
      <c r="L69" s="4"/>
    </row>
    <row r="70" spans="1:12" x14ac:dyDescent="0.2">
      <c r="A70" s="3" t="str">
        <f>IF($B70="","",COUNTA($B$9:$B70))</f>
        <v/>
      </c>
      <c r="B70" s="4"/>
      <c r="C70" s="4"/>
      <c r="D70" s="4"/>
      <c r="E70" s="4"/>
      <c r="F70" s="3" t="str">
        <f t="shared" si="0"/>
        <v/>
      </c>
      <c r="G70" s="4"/>
      <c r="H70" s="5"/>
      <c r="I70" s="5"/>
      <c r="J70" s="6" t="str">
        <f t="shared" ref="J70:J133" si="2">IF(OR($H70="",$I70=""),"",ROUND($H70*$I70,0))</f>
        <v/>
      </c>
      <c r="K70" s="6" t="str">
        <f>IF(OR($B70="",$E70="",Calc!$B67=""),"",SUMIFS(CalcAmtA,CalcPartyA,$E70,CalcKeyA,"&lt;="&amp;Calc!$B67)-SUMIFS(CalcWitB,CalcPartyB,$E70,CalcKeyB,"&lt;="&amp;Calc!$B67)+SUMIFS(CalcDepB,CalcPartyB,$E70,CalcKeyB,"&lt;="&amp;Calc!$B67))</f>
        <v/>
      </c>
      <c r="L70" s="4"/>
    </row>
    <row r="71" spans="1:12" x14ac:dyDescent="0.2">
      <c r="A71" s="3" t="str">
        <f>IF($B71="","",COUNTA($B$9:$B71))</f>
        <v/>
      </c>
      <c r="B71" s="4"/>
      <c r="C71" s="4"/>
      <c r="D71" s="4"/>
      <c r="E71" s="4"/>
      <c r="F71" s="3" t="str">
        <f t="shared" si="0"/>
        <v/>
      </c>
      <c r="G71" s="4"/>
      <c r="H71" s="5"/>
      <c r="I71" s="5"/>
      <c r="J71" s="6" t="str">
        <f t="shared" si="2"/>
        <v/>
      </c>
      <c r="K71" s="6" t="str">
        <f>IF(OR($B71="",$E71="",Calc!$B68=""),"",SUMIFS(CalcAmtA,CalcPartyA,$E71,CalcKeyA,"&lt;="&amp;Calc!$B68)-SUMIFS(CalcWitB,CalcPartyB,$E71,CalcKeyB,"&lt;="&amp;Calc!$B68)+SUMIFS(CalcDepB,CalcPartyB,$E71,CalcKeyB,"&lt;="&amp;Calc!$B68))</f>
        <v/>
      </c>
      <c r="L71" s="4"/>
    </row>
    <row r="72" spans="1:12" x14ac:dyDescent="0.2">
      <c r="A72" s="3" t="str">
        <f>IF($B72="","",COUNTA($B$9:$B72))</f>
        <v/>
      </c>
      <c r="B72" s="4"/>
      <c r="C72" s="4"/>
      <c r="D72" s="4"/>
      <c r="E72" s="4"/>
      <c r="F72" s="3" t="str">
        <f t="shared" si="0"/>
        <v/>
      </c>
      <c r="G72" s="4"/>
      <c r="H72" s="5"/>
      <c r="I72" s="5"/>
      <c r="J72" s="6" t="str">
        <f t="shared" si="2"/>
        <v/>
      </c>
      <c r="K72" s="6" t="str">
        <f>IF(OR($B72="",$E72="",Calc!$B69=""),"",SUMIFS(CalcAmtA,CalcPartyA,$E72,CalcKeyA,"&lt;="&amp;Calc!$B69)-SUMIFS(CalcWitB,CalcPartyB,$E72,CalcKeyB,"&lt;="&amp;Calc!$B69)+SUMIFS(CalcDepB,CalcPartyB,$E72,CalcKeyB,"&lt;="&amp;Calc!$B69))</f>
        <v/>
      </c>
      <c r="L72" s="4"/>
    </row>
    <row r="73" spans="1:12" x14ac:dyDescent="0.2">
      <c r="A73" s="3" t="str">
        <f>IF($B73="","",COUNTA($B$9:$B73))</f>
        <v/>
      </c>
      <c r="B73" s="4"/>
      <c r="C73" s="4"/>
      <c r="D73" s="4"/>
      <c r="E73" s="4"/>
      <c r="F73" s="3" t="str">
        <f t="shared" ref="F73:F136" si="3">IF($E73="","",IFERROR(IF(VLOOKUP($E73,AcctTbl,4,0)="","",VLOOKUP($E73,AcctTbl,4,0)),"—"))</f>
        <v/>
      </c>
      <c r="G73" s="4"/>
      <c r="H73" s="5"/>
      <c r="I73" s="5"/>
      <c r="J73" s="6" t="str">
        <f t="shared" si="2"/>
        <v/>
      </c>
      <c r="K73" s="6" t="str">
        <f>IF(OR($B73="",$E73="",Calc!$B70=""),"",SUMIFS(CalcAmtA,CalcPartyA,$E73,CalcKeyA,"&lt;="&amp;Calc!$B70)-SUMIFS(CalcWitB,CalcPartyB,$E73,CalcKeyB,"&lt;="&amp;Calc!$B70)+SUMIFS(CalcDepB,CalcPartyB,$E73,CalcKeyB,"&lt;="&amp;Calc!$B70))</f>
        <v/>
      </c>
      <c r="L73" s="4"/>
    </row>
    <row r="74" spans="1:12" x14ac:dyDescent="0.2">
      <c r="A74" s="3" t="str">
        <f>IF($B74="","",COUNTA($B$9:$B74))</f>
        <v/>
      </c>
      <c r="B74" s="4"/>
      <c r="C74" s="4"/>
      <c r="D74" s="4"/>
      <c r="E74" s="4"/>
      <c r="F74" s="3" t="str">
        <f t="shared" si="3"/>
        <v/>
      </c>
      <c r="G74" s="4"/>
      <c r="H74" s="5"/>
      <c r="I74" s="5"/>
      <c r="J74" s="6" t="str">
        <f t="shared" si="2"/>
        <v/>
      </c>
      <c r="K74" s="6" t="str">
        <f>IF(OR($B74="",$E74="",Calc!$B71=""),"",SUMIFS(CalcAmtA,CalcPartyA,$E74,CalcKeyA,"&lt;="&amp;Calc!$B71)-SUMIFS(CalcWitB,CalcPartyB,$E74,CalcKeyB,"&lt;="&amp;Calc!$B71)+SUMIFS(CalcDepB,CalcPartyB,$E74,CalcKeyB,"&lt;="&amp;Calc!$B71))</f>
        <v/>
      </c>
      <c r="L74" s="4"/>
    </row>
    <row r="75" spans="1:12" x14ac:dyDescent="0.2">
      <c r="A75" s="3" t="str">
        <f>IF($B75="","",COUNTA($B$9:$B75))</f>
        <v/>
      </c>
      <c r="B75" s="4"/>
      <c r="C75" s="4"/>
      <c r="D75" s="4"/>
      <c r="E75" s="4"/>
      <c r="F75" s="3" t="str">
        <f t="shared" si="3"/>
        <v/>
      </c>
      <c r="G75" s="4"/>
      <c r="H75" s="5"/>
      <c r="I75" s="5"/>
      <c r="J75" s="6" t="str">
        <f t="shared" si="2"/>
        <v/>
      </c>
      <c r="K75" s="6" t="str">
        <f>IF(OR($B75="",$E75="",Calc!$B72=""),"",SUMIFS(CalcAmtA,CalcPartyA,$E75,CalcKeyA,"&lt;="&amp;Calc!$B72)-SUMIFS(CalcWitB,CalcPartyB,$E75,CalcKeyB,"&lt;="&amp;Calc!$B72)+SUMIFS(CalcDepB,CalcPartyB,$E75,CalcKeyB,"&lt;="&amp;Calc!$B72))</f>
        <v/>
      </c>
      <c r="L75" s="4"/>
    </row>
    <row r="76" spans="1:12" x14ac:dyDescent="0.2">
      <c r="A76" s="3" t="str">
        <f>IF($B76="","",COUNTA($B$9:$B76))</f>
        <v/>
      </c>
      <c r="B76" s="4"/>
      <c r="C76" s="4"/>
      <c r="D76" s="4"/>
      <c r="E76" s="4"/>
      <c r="F76" s="3" t="str">
        <f t="shared" si="3"/>
        <v/>
      </c>
      <c r="G76" s="4"/>
      <c r="H76" s="5"/>
      <c r="I76" s="5"/>
      <c r="J76" s="6" t="str">
        <f t="shared" si="2"/>
        <v/>
      </c>
      <c r="K76" s="6" t="str">
        <f>IF(OR($B76="",$E76="",Calc!$B73=""),"",SUMIFS(CalcAmtA,CalcPartyA,$E76,CalcKeyA,"&lt;="&amp;Calc!$B73)-SUMIFS(CalcWitB,CalcPartyB,$E76,CalcKeyB,"&lt;="&amp;Calc!$B73)+SUMIFS(CalcDepB,CalcPartyB,$E76,CalcKeyB,"&lt;="&amp;Calc!$B73))</f>
        <v/>
      </c>
      <c r="L76" s="4"/>
    </row>
    <row r="77" spans="1:12" x14ac:dyDescent="0.2">
      <c r="A77" s="3" t="str">
        <f>IF($B77="","",COUNTA($B$9:$B77))</f>
        <v/>
      </c>
      <c r="B77" s="4"/>
      <c r="C77" s="4"/>
      <c r="D77" s="4"/>
      <c r="E77" s="4"/>
      <c r="F77" s="3" t="str">
        <f t="shared" si="3"/>
        <v/>
      </c>
      <c r="G77" s="4"/>
      <c r="H77" s="5"/>
      <c r="I77" s="5"/>
      <c r="J77" s="6" t="str">
        <f t="shared" si="2"/>
        <v/>
      </c>
      <c r="K77" s="6" t="str">
        <f>IF(OR($B77="",$E77="",Calc!$B74=""),"",SUMIFS(CalcAmtA,CalcPartyA,$E77,CalcKeyA,"&lt;="&amp;Calc!$B74)-SUMIFS(CalcWitB,CalcPartyB,$E77,CalcKeyB,"&lt;="&amp;Calc!$B74)+SUMIFS(CalcDepB,CalcPartyB,$E77,CalcKeyB,"&lt;="&amp;Calc!$B74))</f>
        <v/>
      </c>
      <c r="L77" s="4"/>
    </row>
    <row r="78" spans="1:12" x14ac:dyDescent="0.2">
      <c r="A78" s="3" t="str">
        <f>IF($B78="","",COUNTA($B$9:$B78))</f>
        <v/>
      </c>
      <c r="B78" s="4"/>
      <c r="C78" s="4"/>
      <c r="D78" s="4"/>
      <c r="E78" s="4"/>
      <c r="F78" s="3" t="str">
        <f t="shared" si="3"/>
        <v/>
      </c>
      <c r="G78" s="4"/>
      <c r="H78" s="5"/>
      <c r="I78" s="5"/>
      <c r="J78" s="6" t="str">
        <f t="shared" si="2"/>
        <v/>
      </c>
      <c r="K78" s="6" t="str">
        <f>IF(OR($B78="",$E78="",Calc!$B75=""),"",SUMIFS(CalcAmtA,CalcPartyA,$E78,CalcKeyA,"&lt;="&amp;Calc!$B75)-SUMIFS(CalcWitB,CalcPartyB,$E78,CalcKeyB,"&lt;="&amp;Calc!$B75)+SUMIFS(CalcDepB,CalcPartyB,$E78,CalcKeyB,"&lt;="&amp;Calc!$B75))</f>
        <v/>
      </c>
      <c r="L78" s="4"/>
    </row>
    <row r="79" spans="1:12" x14ac:dyDescent="0.2">
      <c r="A79" s="3" t="str">
        <f>IF($B79="","",COUNTA($B$9:$B79))</f>
        <v/>
      </c>
      <c r="B79" s="4"/>
      <c r="C79" s="4"/>
      <c r="D79" s="4"/>
      <c r="E79" s="4"/>
      <c r="F79" s="3" t="str">
        <f t="shared" si="3"/>
        <v/>
      </c>
      <c r="G79" s="4"/>
      <c r="H79" s="5"/>
      <c r="I79" s="5"/>
      <c r="J79" s="6" t="str">
        <f t="shared" si="2"/>
        <v/>
      </c>
      <c r="K79" s="6" t="str">
        <f>IF(OR($B79="",$E79="",Calc!$B76=""),"",SUMIFS(CalcAmtA,CalcPartyA,$E79,CalcKeyA,"&lt;="&amp;Calc!$B76)-SUMIFS(CalcWitB,CalcPartyB,$E79,CalcKeyB,"&lt;="&amp;Calc!$B76)+SUMIFS(CalcDepB,CalcPartyB,$E79,CalcKeyB,"&lt;="&amp;Calc!$B76))</f>
        <v/>
      </c>
      <c r="L79" s="4"/>
    </row>
    <row r="80" spans="1:12" x14ac:dyDescent="0.2">
      <c r="A80" s="3" t="str">
        <f>IF($B80="","",COUNTA($B$9:$B80))</f>
        <v/>
      </c>
      <c r="B80" s="4"/>
      <c r="C80" s="4"/>
      <c r="D80" s="4"/>
      <c r="E80" s="4"/>
      <c r="F80" s="3" t="str">
        <f t="shared" si="3"/>
        <v/>
      </c>
      <c r="G80" s="4"/>
      <c r="H80" s="5"/>
      <c r="I80" s="5"/>
      <c r="J80" s="6" t="str">
        <f t="shared" si="2"/>
        <v/>
      </c>
      <c r="K80" s="6" t="str">
        <f>IF(OR($B80="",$E80="",Calc!$B77=""),"",SUMIFS(CalcAmtA,CalcPartyA,$E80,CalcKeyA,"&lt;="&amp;Calc!$B77)-SUMIFS(CalcWitB,CalcPartyB,$E80,CalcKeyB,"&lt;="&amp;Calc!$B77)+SUMIFS(CalcDepB,CalcPartyB,$E80,CalcKeyB,"&lt;="&amp;Calc!$B77))</f>
        <v/>
      </c>
      <c r="L80" s="4"/>
    </row>
    <row r="81" spans="1:12" x14ac:dyDescent="0.2">
      <c r="A81" s="3" t="str">
        <f>IF($B81="","",COUNTA($B$9:$B81))</f>
        <v/>
      </c>
      <c r="B81" s="4"/>
      <c r="C81" s="4"/>
      <c r="D81" s="4"/>
      <c r="E81" s="4"/>
      <c r="F81" s="3" t="str">
        <f t="shared" si="3"/>
        <v/>
      </c>
      <c r="G81" s="4"/>
      <c r="H81" s="5"/>
      <c r="I81" s="5"/>
      <c r="J81" s="6" t="str">
        <f t="shared" si="2"/>
        <v/>
      </c>
      <c r="K81" s="6" t="str">
        <f>IF(OR($B81="",$E81="",Calc!$B78=""),"",SUMIFS(CalcAmtA,CalcPartyA,$E81,CalcKeyA,"&lt;="&amp;Calc!$B78)-SUMIFS(CalcWitB,CalcPartyB,$E81,CalcKeyB,"&lt;="&amp;Calc!$B78)+SUMIFS(CalcDepB,CalcPartyB,$E81,CalcKeyB,"&lt;="&amp;Calc!$B78))</f>
        <v/>
      </c>
      <c r="L81" s="4"/>
    </row>
    <row r="82" spans="1:12" x14ac:dyDescent="0.2">
      <c r="A82" s="3" t="str">
        <f>IF($B82="","",COUNTA($B$9:$B82))</f>
        <v/>
      </c>
      <c r="B82" s="4"/>
      <c r="C82" s="4"/>
      <c r="D82" s="4"/>
      <c r="E82" s="4"/>
      <c r="F82" s="3" t="str">
        <f t="shared" si="3"/>
        <v/>
      </c>
      <c r="G82" s="4"/>
      <c r="H82" s="5"/>
      <c r="I82" s="5"/>
      <c r="J82" s="6" t="str">
        <f t="shared" si="2"/>
        <v/>
      </c>
      <c r="K82" s="6" t="str">
        <f>IF(OR($B82="",$E82="",Calc!$B79=""),"",SUMIFS(CalcAmtA,CalcPartyA,$E82,CalcKeyA,"&lt;="&amp;Calc!$B79)-SUMIFS(CalcWitB,CalcPartyB,$E82,CalcKeyB,"&lt;="&amp;Calc!$B79)+SUMIFS(CalcDepB,CalcPartyB,$E82,CalcKeyB,"&lt;="&amp;Calc!$B79))</f>
        <v/>
      </c>
      <c r="L82" s="4"/>
    </row>
    <row r="83" spans="1:12" x14ac:dyDescent="0.2">
      <c r="A83" s="3" t="str">
        <f>IF($B83="","",COUNTA($B$9:$B83))</f>
        <v/>
      </c>
      <c r="B83" s="4"/>
      <c r="C83" s="4"/>
      <c r="D83" s="4"/>
      <c r="E83" s="4"/>
      <c r="F83" s="3" t="str">
        <f t="shared" si="3"/>
        <v/>
      </c>
      <c r="G83" s="4"/>
      <c r="H83" s="5"/>
      <c r="I83" s="5"/>
      <c r="J83" s="6" t="str">
        <f t="shared" si="2"/>
        <v/>
      </c>
      <c r="K83" s="6" t="str">
        <f>IF(OR($B83="",$E83="",Calc!$B80=""),"",SUMIFS(CalcAmtA,CalcPartyA,$E83,CalcKeyA,"&lt;="&amp;Calc!$B80)-SUMIFS(CalcWitB,CalcPartyB,$E83,CalcKeyB,"&lt;="&amp;Calc!$B80)+SUMIFS(CalcDepB,CalcPartyB,$E83,CalcKeyB,"&lt;="&amp;Calc!$B80))</f>
        <v/>
      </c>
      <c r="L83" s="4"/>
    </row>
    <row r="84" spans="1:12" x14ac:dyDescent="0.2">
      <c r="A84" s="3" t="str">
        <f>IF($B84="","",COUNTA($B$9:$B84))</f>
        <v/>
      </c>
      <c r="B84" s="4"/>
      <c r="C84" s="4"/>
      <c r="D84" s="4"/>
      <c r="E84" s="4"/>
      <c r="F84" s="3" t="str">
        <f t="shared" si="3"/>
        <v/>
      </c>
      <c r="G84" s="4"/>
      <c r="H84" s="5"/>
      <c r="I84" s="5"/>
      <c r="J84" s="6" t="str">
        <f t="shared" si="2"/>
        <v/>
      </c>
      <c r="K84" s="6" t="str">
        <f>IF(OR($B84="",$E84="",Calc!$B81=""),"",SUMIFS(CalcAmtA,CalcPartyA,$E84,CalcKeyA,"&lt;="&amp;Calc!$B81)-SUMIFS(CalcWitB,CalcPartyB,$E84,CalcKeyB,"&lt;="&amp;Calc!$B81)+SUMIFS(CalcDepB,CalcPartyB,$E84,CalcKeyB,"&lt;="&amp;Calc!$B81))</f>
        <v/>
      </c>
      <c r="L84" s="4"/>
    </row>
    <row r="85" spans="1:12" x14ac:dyDescent="0.2">
      <c r="A85" s="3" t="str">
        <f>IF($B85="","",COUNTA($B$9:$B85))</f>
        <v/>
      </c>
      <c r="B85" s="4"/>
      <c r="C85" s="4"/>
      <c r="D85" s="4"/>
      <c r="E85" s="4"/>
      <c r="F85" s="3" t="str">
        <f t="shared" si="3"/>
        <v/>
      </c>
      <c r="G85" s="4"/>
      <c r="H85" s="5"/>
      <c r="I85" s="5"/>
      <c r="J85" s="6" t="str">
        <f t="shared" si="2"/>
        <v/>
      </c>
      <c r="K85" s="6" t="str">
        <f>IF(OR($B85="",$E85="",Calc!$B82=""),"",SUMIFS(CalcAmtA,CalcPartyA,$E85,CalcKeyA,"&lt;="&amp;Calc!$B82)-SUMIFS(CalcWitB,CalcPartyB,$E85,CalcKeyB,"&lt;="&amp;Calc!$B82)+SUMIFS(CalcDepB,CalcPartyB,$E85,CalcKeyB,"&lt;="&amp;Calc!$B82))</f>
        <v/>
      </c>
      <c r="L85" s="4"/>
    </row>
    <row r="86" spans="1:12" x14ac:dyDescent="0.2">
      <c r="A86" s="3" t="str">
        <f>IF($B86="","",COUNTA($B$9:$B86))</f>
        <v/>
      </c>
      <c r="B86" s="4"/>
      <c r="C86" s="4"/>
      <c r="D86" s="4"/>
      <c r="E86" s="4"/>
      <c r="F86" s="3" t="str">
        <f t="shared" si="3"/>
        <v/>
      </c>
      <c r="G86" s="4"/>
      <c r="H86" s="5"/>
      <c r="I86" s="5"/>
      <c r="J86" s="6" t="str">
        <f t="shared" si="2"/>
        <v/>
      </c>
      <c r="K86" s="6" t="str">
        <f>IF(OR($B86="",$E86="",Calc!$B83=""),"",SUMIFS(CalcAmtA,CalcPartyA,$E86,CalcKeyA,"&lt;="&amp;Calc!$B83)-SUMIFS(CalcWitB,CalcPartyB,$E86,CalcKeyB,"&lt;="&amp;Calc!$B83)+SUMIFS(CalcDepB,CalcPartyB,$E86,CalcKeyB,"&lt;="&amp;Calc!$B83))</f>
        <v/>
      </c>
      <c r="L86" s="4"/>
    </row>
    <row r="87" spans="1:12" x14ac:dyDescent="0.2">
      <c r="A87" s="3" t="str">
        <f>IF($B87="","",COUNTA($B$9:$B87))</f>
        <v/>
      </c>
      <c r="B87" s="4"/>
      <c r="C87" s="4"/>
      <c r="D87" s="4"/>
      <c r="E87" s="4"/>
      <c r="F87" s="3" t="str">
        <f t="shared" si="3"/>
        <v/>
      </c>
      <c r="G87" s="4"/>
      <c r="H87" s="5"/>
      <c r="I87" s="5"/>
      <c r="J87" s="6" t="str">
        <f t="shared" si="2"/>
        <v/>
      </c>
      <c r="K87" s="6" t="str">
        <f>IF(OR($B87="",$E87="",Calc!$B84=""),"",SUMIFS(CalcAmtA,CalcPartyA,$E87,CalcKeyA,"&lt;="&amp;Calc!$B84)-SUMIFS(CalcWitB,CalcPartyB,$E87,CalcKeyB,"&lt;="&amp;Calc!$B84)+SUMIFS(CalcDepB,CalcPartyB,$E87,CalcKeyB,"&lt;="&amp;Calc!$B84))</f>
        <v/>
      </c>
      <c r="L87" s="4"/>
    </row>
    <row r="88" spans="1:12" x14ac:dyDescent="0.2">
      <c r="A88" s="3" t="str">
        <f>IF($B88="","",COUNTA($B$9:$B88))</f>
        <v/>
      </c>
      <c r="B88" s="4"/>
      <c r="C88" s="4"/>
      <c r="D88" s="4"/>
      <c r="E88" s="4"/>
      <c r="F88" s="3" t="str">
        <f t="shared" si="3"/>
        <v/>
      </c>
      <c r="G88" s="4"/>
      <c r="H88" s="5"/>
      <c r="I88" s="5"/>
      <c r="J88" s="6" t="str">
        <f t="shared" si="2"/>
        <v/>
      </c>
      <c r="K88" s="6" t="str">
        <f>IF(OR($B88="",$E88="",Calc!$B85=""),"",SUMIFS(CalcAmtA,CalcPartyA,$E88,CalcKeyA,"&lt;="&amp;Calc!$B85)-SUMIFS(CalcWitB,CalcPartyB,$E88,CalcKeyB,"&lt;="&amp;Calc!$B85)+SUMIFS(CalcDepB,CalcPartyB,$E88,CalcKeyB,"&lt;="&amp;Calc!$B85))</f>
        <v/>
      </c>
      <c r="L88" s="4"/>
    </row>
    <row r="89" spans="1:12" x14ac:dyDescent="0.2">
      <c r="A89" s="3" t="str">
        <f>IF($B89="","",COUNTA($B$9:$B89))</f>
        <v/>
      </c>
      <c r="B89" s="4"/>
      <c r="C89" s="4"/>
      <c r="D89" s="4"/>
      <c r="E89" s="4"/>
      <c r="F89" s="3" t="str">
        <f t="shared" si="3"/>
        <v/>
      </c>
      <c r="G89" s="4"/>
      <c r="H89" s="5"/>
      <c r="I89" s="5"/>
      <c r="J89" s="6" t="str">
        <f t="shared" si="2"/>
        <v/>
      </c>
      <c r="K89" s="6" t="str">
        <f>IF(OR($B89="",$E89="",Calc!$B86=""),"",SUMIFS(CalcAmtA,CalcPartyA,$E89,CalcKeyA,"&lt;="&amp;Calc!$B86)-SUMIFS(CalcWitB,CalcPartyB,$E89,CalcKeyB,"&lt;="&amp;Calc!$B86)+SUMIFS(CalcDepB,CalcPartyB,$E89,CalcKeyB,"&lt;="&amp;Calc!$B86))</f>
        <v/>
      </c>
      <c r="L89" s="4"/>
    </row>
    <row r="90" spans="1:12" x14ac:dyDescent="0.2">
      <c r="A90" s="3" t="str">
        <f>IF($B90="","",COUNTA($B$9:$B90))</f>
        <v/>
      </c>
      <c r="B90" s="4"/>
      <c r="C90" s="4"/>
      <c r="D90" s="4"/>
      <c r="E90" s="4"/>
      <c r="F90" s="3" t="str">
        <f t="shared" si="3"/>
        <v/>
      </c>
      <c r="G90" s="4"/>
      <c r="H90" s="5"/>
      <c r="I90" s="5"/>
      <c r="J90" s="6" t="str">
        <f t="shared" si="2"/>
        <v/>
      </c>
      <c r="K90" s="6" t="str">
        <f>IF(OR($B90="",$E90="",Calc!$B87=""),"",SUMIFS(CalcAmtA,CalcPartyA,$E90,CalcKeyA,"&lt;="&amp;Calc!$B87)-SUMIFS(CalcWitB,CalcPartyB,$E90,CalcKeyB,"&lt;="&amp;Calc!$B87)+SUMIFS(CalcDepB,CalcPartyB,$E90,CalcKeyB,"&lt;="&amp;Calc!$B87))</f>
        <v/>
      </c>
      <c r="L90" s="4"/>
    </row>
    <row r="91" spans="1:12" x14ac:dyDescent="0.2">
      <c r="A91" s="3" t="str">
        <f>IF($B91="","",COUNTA($B$9:$B91))</f>
        <v/>
      </c>
      <c r="B91" s="4"/>
      <c r="C91" s="4"/>
      <c r="D91" s="4"/>
      <c r="E91" s="4"/>
      <c r="F91" s="3" t="str">
        <f t="shared" si="3"/>
        <v/>
      </c>
      <c r="G91" s="4"/>
      <c r="H91" s="5"/>
      <c r="I91" s="5"/>
      <c r="J91" s="6" t="str">
        <f t="shared" si="2"/>
        <v/>
      </c>
      <c r="K91" s="6" t="str">
        <f>IF(OR($B91="",$E91="",Calc!$B88=""),"",SUMIFS(CalcAmtA,CalcPartyA,$E91,CalcKeyA,"&lt;="&amp;Calc!$B88)-SUMIFS(CalcWitB,CalcPartyB,$E91,CalcKeyB,"&lt;="&amp;Calc!$B88)+SUMIFS(CalcDepB,CalcPartyB,$E91,CalcKeyB,"&lt;="&amp;Calc!$B88))</f>
        <v/>
      </c>
      <c r="L91" s="4"/>
    </row>
    <row r="92" spans="1:12" x14ac:dyDescent="0.2">
      <c r="A92" s="3" t="str">
        <f>IF($B92="","",COUNTA($B$9:$B92))</f>
        <v/>
      </c>
      <c r="B92" s="4"/>
      <c r="C92" s="4"/>
      <c r="D92" s="4"/>
      <c r="E92" s="4"/>
      <c r="F92" s="3" t="str">
        <f t="shared" si="3"/>
        <v/>
      </c>
      <c r="G92" s="4"/>
      <c r="H92" s="5"/>
      <c r="I92" s="5"/>
      <c r="J92" s="6" t="str">
        <f t="shared" si="2"/>
        <v/>
      </c>
      <c r="K92" s="6" t="str">
        <f>IF(OR($B92="",$E92="",Calc!$B89=""),"",SUMIFS(CalcAmtA,CalcPartyA,$E92,CalcKeyA,"&lt;="&amp;Calc!$B89)-SUMIFS(CalcWitB,CalcPartyB,$E92,CalcKeyB,"&lt;="&amp;Calc!$B89)+SUMIFS(CalcDepB,CalcPartyB,$E92,CalcKeyB,"&lt;="&amp;Calc!$B89))</f>
        <v/>
      </c>
      <c r="L92" s="4"/>
    </row>
    <row r="93" spans="1:12" x14ac:dyDescent="0.2">
      <c r="A93" s="3" t="str">
        <f>IF($B93="","",COUNTA($B$9:$B93))</f>
        <v/>
      </c>
      <c r="B93" s="4"/>
      <c r="C93" s="4"/>
      <c r="D93" s="4"/>
      <c r="E93" s="4"/>
      <c r="F93" s="3" t="str">
        <f t="shared" si="3"/>
        <v/>
      </c>
      <c r="G93" s="4"/>
      <c r="H93" s="5"/>
      <c r="I93" s="5"/>
      <c r="J93" s="6" t="str">
        <f t="shared" si="2"/>
        <v/>
      </c>
      <c r="K93" s="6" t="str">
        <f>IF(OR($B93="",$E93="",Calc!$B90=""),"",SUMIFS(CalcAmtA,CalcPartyA,$E93,CalcKeyA,"&lt;="&amp;Calc!$B90)-SUMIFS(CalcWitB,CalcPartyB,$E93,CalcKeyB,"&lt;="&amp;Calc!$B90)+SUMIFS(CalcDepB,CalcPartyB,$E93,CalcKeyB,"&lt;="&amp;Calc!$B90))</f>
        <v/>
      </c>
      <c r="L93" s="4"/>
    </row>
    <row r="94" spans="1:12" x14ac:dyDescent="0.2">
      <c r="A94" s="3" t="str">
        <f>IF($B94="","",COUNTA($B$9:$B94))</f>
        <v/>
      </c>
      <c r="B94" s="4"/>
      <c r="C94" s="4"/>
      <c r="D94" s="4"/>
      <c r="E94" s="4"/>
      <c r="F94" s="3" t="str">
        <f t="shared" si="3"/>
        <v/>
      </c>
      <c r="G94" s="4"/>
      <c r="H94" s="5"/>
      <c r="I94" s="5"/>
      <c r="J94" s="6" t="str">
        <f t="shared" si="2"/>
        <v/>
      </c>
      <c r="K94" s="6" t="str">
        <f>IF(OR($B94="",$E94="",Calc!$B91=""),"",SUMIFS(CalcAmtA,CalcPartyA,$E94,CalcKeyA,"&lt;="&amp;Calc!$B91)-SUMIFS(CalcWitB,CalcPartyB,$E94,CalcKeyB,"&lt;="&amp;Calc!$B91)+SUMIFS(CalcDepB,CalcPartyB,$E94,CalcKeyB,"&lt;="&amp;Calc!$B91))</f>
        <v/>
      </c>
      <c r="L94" s="4"/>
    </row>
    <row r="95" spans="1:12" x14ac:dyDescent="0.2">
      <c r="A95" s="3" t="str">
        <f>IF($B95="","",COUNTA($B$9:$B95))</f>
        <v/>
      </c>
      <c r="B95" s="4"/>
      <c r="C95" s="4"/>
      <c r="D95" s="4"/>
      <c r="E95" s="4"/>
      <c r="F95" s="3" t="str">
        <f t="shared" si="3"/>
        <v/>
      </c>
      <c r="G95" s="4"/>
      <c r="H95" s="5"/>
      <c r="I95" s="5"/>
      <c r="J95" s="6" t="str">
        <f t="shared" si="2"/>
        <v/>
      </c>
      <c r="K95" s="6" t="str">
        <f>IF(OR($B95="",$E95="",Calc!$B92=""),"",SUMIFS(CalcAmtA,CalcPartyA,$E95,CalcKeyA,"&lt;="&amp;Calc!$B92)-SUMIFS(CalcWitB,CalcPartyB,$E95,CalcKeyB,"&lt;="&amp;Calc!$B92)+SUMIFS(CalcDepB,CalcPartyB,$E95,CalcKeyB,"&lt;="&amp;Calc!$B92))</f>
        <v/>
      </c>
      <c r="L95" s="4"/>
    </row>
    <row r="96" spans="1:12" x14ac:dyDescent="0.2">
      <c r="A96" s="3" t="str">
        <f>IF($B96="","",COUNTA($B$9:$B96))</f>
        <v/>
      </c>
      <c r="B96" s="4"/>
      <c r="C96" s="4"/>
      <c r="D96" s="4"/>
      <c r="E96" s="4"/>
      <c r="F96" s="3" t="str">
        <f t="shared" si="3"/>
        <v/>
      </c>
      <c r="G96" s="4"/>
      <c r="H96" s="5"/>
      <c r="I96" s="5"/>
      <c r="J96" s="6" t="str">
        <f t="shared" si="2"/>
        <v/>
      </c>
      <c r="K96" s="6" t="str">
        <f>IF(OR($B96="",$E96="",Calc!$B93=""),"",SUMIFS(CalcAmtA,CalcPartyA,$E96,CalcKeyA,"&lt;="&amp;Calc!$B93)-SUMIFS(CalcWitB,CalcPartyB,$E96,CalcKeyB,"&lt;="&amp;Calc!$B93)+SUMIFS(CalcDepB,CalcPartyB,$E96,CalcKeyB,"&lt;="&amp;Calc!$B93))</f>
        <v/>
      </c>
      <c r="L96" s="4"/>
    </row>
    <row r="97" spans="1:12" x14ac:dyDescent="0.2">
      <c r="A97" s="3" t="str">
        <f>IF($B97="","",COUNTA($B$9:$B97))</f>
        <v/>
      </c>
      <c r="B97" s="4"/>
      <c r="C97" s="4"/>
      <c r="D97" s="4"/>
      <c r="E97" s="4"/>
      <c r="F97" s="3" t="str">
        <f t="shared" si="3"/>
        <v/>
      </c>
      <c r="G97" s="4"/>
      <c r="H97" s="5"/>
      <c r="I97" s="5"/>
      <c r="J97" s="6" t="str">
        <f t="shared" si="2"/>
        <v/>
      </c>
      <c r="K97" s="6" t="str">
        <f>IF(OR($B97="",$E97="",Calc!$B94=""),"",SUMIFS(CalcAmtA,CalcPartyA,$E97,CalcKeyA,"&lt;="&amp;Calc!$B94)-SUMIFS(CalcWitB,CalcPartyB,$E97,CalcKeyB,"&lt;="&amp;Calc!$B94)+SUMIFS(CalcDepB,CalcPartyB,$E97,CalcKeyB,"&lt;="&amp;Calc!$B94))</f>
        <v/>
      </c>
      <c r="L97" s="4"/>
    </row>
    <row r="98" spans="1:12" x14ac:dyDescent="0.2">
      <c r="A98" s="3" t="str">
        <f>IF($B98="","",COUNTA($B$9:$B98))</f>
        <v/>
      </c>
      <c r="B98" s="4"/>
      <c r="C98" s="4"/>
      <c r="D98" s="4"/>
      <c r="E98" s="4"/>
      <c r="F98" s="3" t="str">
        <f t="shared" si="3"/>
        <v/>
      </c>
      <c r="G98" s="4"/>
      <c r="H98" s="5"/>
      <c r="I98" s="5"/>
      <c r="J98" s="6" t="str">
        <f t="shared" si="2"/>
        <v/>
      </c>
      <c r="K98" s="6" t="str">
        <f>IF(OR($B98="",$E98="",Calc!$B95=""),"",SUMIFS(CalcAmtA,CalcPartyA,$E98,CalcKeyA,"&lt;="&amp;Calc!$B95)-SUMIFS(CalcWitB,CalcPartyB,$E98,CalcKeyB,"&lt;="&amp;Calc!$B95)+SUMIFS(CalcDepB,CalcPartyB,$E98,CalcKeyB,"&lt;="&amp;Calc!$B95))</f>
        <v/>
      </c>
      <c r="L98" s="4"/>
    </row>
    <row r="99" spans="1:12" x14ac:dyDescent="0.2">
      <c r="A99" s="3" t="str">
        <f>IF($B99="","",COUNTA($B$9:$B99))</f>
        <v/>
      </c>
      <c r="B99" s="4"/>
      <c r="C99" s="4"/>
      <c r="D99" s="4"/>
      <c r="E99" s="4"/>
      <c r="F99" s="3" t="str">
        <f t="shared" si="3"/>
        <v/>
      </c>
      <c r="G99" s="4"/>
      <c r="H99" s="5"/>
      <c r="I99" s="5"/>
      <c r="J99" s="6" t="str">
        <f t="shared" si="2"/>
        <v/>
      </c>
      <c r="K99" s="6" t="str">
        <f>IF(OR($B99="",$E99="",Calc!$B96=""),"",SUMIFS(CalcAmtA,CalcPartyA,$E99,CalcKeyA,"&lt;="&amp;Calc!$B96)-SUMIFS(CalcWitB,CalcPartyB,$E99,CalcKeyB,"&lt;="&amp;Calc!$B96)+SUMIFS(CalcDepB,CalcPartyB,$E99,CalcKeyB,"&lt;="&amp;Calc!$B96))</f>
        <v/>
      </c>
      <c r="L99" s="4"/>
    </row>
    <row r="100" spans="1:12" x14ac:dyDescent="0.2">
      <c r="A100" s="3" t="str">
        <f>IF($B100="","",COUNTA($B$9:$B100))</f>
        <v/>
      </c>
      <c r="B100" s="4"/>
      <c r="C100" s="4"/>
      <c r="D100" s="4"/>
      <c r="E100" s="4"/>
      <c r="F100" s="3" t="str">
        <f t="shared" si="3"/>
        <v/>
      </c>
      <c r="G100" s="4"/>
      <c r="H100" s="5"/>
      <c r="I100" s="5"/>
      <c r="J100" s="6" t="str">
        <f t="shared" si="2"/>
        <v/>
      </c>
      <c r="K100" s="6" t="str">
        <f>IF(OR($B100="",$E100="",Calc!$B97=""),"",SUMIFS(CalcAmtA,CalcPartyA,$E100,CalcKeyA,"&lt;="&amp;Calc!$B97)-SUMIFS(CalcWitB,CalcPartyB,$E100,CalcKeyB,"&lt;="&amp;Calc!$B97)+SUMIFS(CalcDepB,CalcPartyB,$E100,CalcKeyB,"&lt;="&amp;Calc!$B97))</f>
        <v/>
      </c>
      <c r="L100" s="4"/>
    </row>
    <row r="101" spans="1:12" x14ac:dyDescent="0.2">
      <c r="A101" s="3" t="str">
        <f>IF($B101="","",COUNTA($B$9:$B101))</f>
        <v/>
      </c>
      <c r="B101" s="4"/>
      <c r="C101" s="4"/>
      <c r="D101" s="4"/>
      <c r="E101" s="4"/>
      <c r="F101" s="3" t="str">
        <f t="shared" si="3"/>
        <v/>
      </c>
      <c r="G101" s="4"/>
      <c r="H101" s="5"/>
      <c r="I101" s="5"/>
      <c r="J101" s="6" t="str">
        <f t="shared" si="2"/>
        <v/>
      </c>
      <c r="K101" s="6" t="str">
        <f>IF(OR($B101="",$E101="",Calc!$B98=""),"",SUMIFS(CalcAmtA,CalcPartyA,$E101,CalcKeyA,"&lt;="&amp;Calc!$B98)-SUMIFS(CalcWitB,CalcPartyB,$E101,CalcKeyB,"&lt;="&amp;Calc!$B98)+SUMIFS(CalcDepB,CalcPartyB,$E101,CalcKeyB,"&lt;="&amp;Calc!$B98))</f>
        <v/>
      </c>
      <c r="L101" s="4"/>
    </row>
    <row r="102" spans="1:12" x14ac:dyDescent="0.2">
      <c r="A102" s="3" t="str">
        <f>IF($B102="","",COUNTA($B$9:$B102))</f>
        <v/>
      </c>
      <c r="B102" s="4"/>
      <c r="C102" s="4"/>
      <c r="D102" s="4"/>
      <c r="E102" s="4"/>
      <c r="F102" s="3" t="str">
        <f t="shared" si="3"/>
        <v/>
      </c>
      <c r="G102" s="4"/>
      <c r="H102" s="5"/>
      <c r="I102" s="5"/>
      <c r="J102" s="6" t="str">
        <f t="shared" si="2"/>
        <v/>
      </c>
      <c r="K102" s="6" t="str">
        <f>IF(OR($B102="",$E102="",Calc!$B99=""),"",SUMIFS(CalcAmtA,CalcPartyA,$E102,CalcKeyA,"&lt;="&amp;Calc!$B99)-SUMIFS(CalcWitB,CalcPartyB,$E102,CalcKeyB,"&lt;="&amp;Calc!$B99)+SUMIFS(CalcDepB,CalcPartyB,$E102,CalcKeyB,"&lt;="&amp;Calc!$B99))</f>
        <v/>
      </c>
      <c r="L102" s="4"/>
    </row>
    <row r="103" spans="1:12" x14ac:dyDescent="0.2">
      <c r="A103" s="3" t="str">
        <f>IF($B103="","",COUNTA($B$9:$B103))</f>
        <v/>
      </c>
      <c r="B103" s="4"/>
      <c r="C103" s="4"/>
      <c r="D103" s="4"/>
      <c r="E103" s="4"/>
      <c r="F103" s="3" t="str">
        <f t="shared" si="3"/>
        <v/>
      </c>
      <c r="G103" s="4"/>
      <c r="H103" s="5"/>
      <c r="I103" s="5"/>
      <c r="J103" s="6" t="str">
        <f t="shared" si="2"/>
        <v/>
      </c>
      <c r="K103" s="6" t="str">
        <f>IF(OR($B103="",$E103="",Calc!$B100=""),"",SUMIFS(CalcAmtA,CalcPartyA,$E103,CalcKeyA,"&lt;="&amp;Calc!$B100)-SUMIFS(CalcWitB,CalcPartyB,$E103,CalcKeyB,"&lt;="&amp;Calc!$B100)+SUMIFS(CalcDepB,CalcPartyB,$E103,CalcKeyB,"&lt;="&amp;Calc!$B100))</f>
        <v/>
      </c>
      <c r="L103" s="4"/>
    </row>
    <row r="104" spans="1:12" x14ac:dyDescent="0.2">
      <c r="A104" s="3" t="str">
        <f>IF($B104="","",COUNTA($B$9:$B104))</f>
        <v/>
      </c>
      <c r="B104" s="4"/>
      <c r="C104" s="4"/>
      <c r="D104" s="4"/>
      <c r="E104" s="4"/>
      <c r="F104" s="3" t="str">
        <f t="shared" si="3"/>
        <v/>
      </c>
      <c r="G104" s="4"/>
      <c r="H104" s="5"/>
      <c r="I104" s="5"/>
      <c r="J104" s="6" t="str">
        <f t="shared" si="2"/>
        <v/>
      </c>
      <c r="K104" s="6" t="str">
        <f>IF(OR($B104="",$E104="",Calc!$B101=""),"",SUMIFS(CalcAmtA,CalcPartyA,$E104,CalcKeyA,"&lt;="&amp;Calc!$B101)-SUMIFS(CalcWitB,CalcPartyB,$E104,CalcKeyB,"&lt;="&amp;Calc!$B101)+SUMIFS(CalcDepB,CalcPartyB,$E104,CalcKeyB,"&lt;="&amp;Calc!$B101))</f>
        <v/>
      </c>
      <c r="L104" s="4"/>
    </row>
    <row r="105" spans="1:12" x14ac:dyDescent="0.2">
      <c r="A105" s="3" t="str">
        <f>IF($B105="","",COUNTA($B$9:$B105))</f>
        <v/>
      </c>
      <c r="B105" s="4"/>
      <c r="C105" s="4"/>
      <c r="D105" s="4"/>
      <c r="E105" s="4"/>
      <c r="F105" s="3" t="str">
        <f t="shared" si="3"/>
        <v/>
      </c>
      <c r="G105" s="4"/>
      <c r="H105" s="5"/>
      <c r="I105" s="5"/>
      <c r="J105" s="6" t="str">
        <f t="shared" si="2"/>
        <v/>
      </c>
      <c r="K105" s="6" t="str">
        <f>IF(OR($B105="",$E105="",Calc!$B102=""),"",SUMIFS(CalcAmtA,CalcPartyA,$E105,CalcKeyA,"&lt;="&amp;Calc!$B102)-SUMIFS(CalcWitB,CalcPartyB,$E105,CalcKeyB,"&lt;="&amp;Calc!$B102)+SUMIFS(CalcDepB,CalcPartyB,$E105,CalcKeyB,"&lt;="&amp;Calc!$B102))</f>
        <v/>
      </c>
      <c r="L105" s="4"/>
    </row>
    <row r="106" spans="1:12" x14ac:dyDescent="0.2">
      <c r="A106" s="3" t="str">
        <f>IF($B106="","",COUNTA($B$9:$B106))</f>
        <v/>
      </c>
      <c r="B106" s="4"/>
      <c r="C106" s="4"/>
      <c r="D106" s="4"/>
      <c r="E106" s="4"/>
      <c r="F106" s="3" t="str">
        <f t="shared" si="3"/>
        <v/>
      </c>
      <c r="G106" s="4"/>
      <c r="H106" s="5"/>
      <c r="I106" s="5"/>
      <c r="J106" s="6" t="str">
        <f t="shared" si="2"/>
        <v/>
      </c>
      <c r="K106" s="6" t="str">
        <f>IF(OR($B106="",$E106="",Calc!$B103=""),"",SUMIFS(CalcAmtA,CalcPartyA,$E106,CalcKeyA,"&lt;="&amp;Calc!$B103)-SUMIFS(CalcWitB,CalcPartyB,$E106,CalcKeyB,"&lt;="&amp;Calc!$B103)+SUMIFS(CalcDepB,CalcPartyB,$E106,CalcKeyB,"&lt;="&amp;Calc!$B103))</f>
        <v/>
      </c>
      <c r="L106" s="4"/>
    </row>
    <row r="107" spans="1:12" x14ac:dyDescent="0.2">
      <c r="A107" s="3" t="str">
        <f>IF($B107="","",COUNTA($B$9:$B107))</f>
        <v/>
      </c>
      <c r="B107" s="4"/>
      <c r="C107" s="4"/>
      <c r="D107" s="4"/>
      <c r="E107" s="4"/>
      <c r="F107" s="3" t="str">
        <f t="shared" si="3"/>
        <v/>
      </c>
      <c r="G107" s="4"/>
      <c r="H107" s="5"/>
      <c r="I107" s="5"/>
      <c r="J107" s="6" t="str">
        <f t="shared" si="2"/>
        <v/>
      </c>
      <c r="K107" s="6" t="str">
        <f>IF(OR($B107="",$E107="",Calc!$B104=""),"",SUMIFS(CalcAmtA,CalcPartyA,$E107,CalcKeyA,"&lt;="&amp;Calc!$B104)-SUMIFS(CalcWitB,CalcPartyB,$E107,CalcKeyB,"&lt;="&amp;Calc!$B104)+SUMIFS(CalcDepB,CalcPartyB,$E107,CalcKeyB,"&lt;="&amp;Calc!$B104))</f>
        <v/>
      </c>
      <c r="L107" s="4"/>
    </row>
    <row r="108" spans="1:12" x14ac:dyDescent="0.2">
      <c r="A108" s="3" t="str">
        <f>IF($B108="","",COUNTA($B$9:$B108))</f>
        <v/>
      </c>
      <c r="B108" s="4"/>
      <c r="C108" s="4"/>
      <c r="D108" s="4"/>
      <c r="E108" s="4"/>
      <c r="F108" s="3" t="str">
        <f t="shared" si="3"/>
        <v/>
      </c>
      <c r="G108" s="4"/>
      <c r="H108" s="5"/>
      <c r="I108" s="5"/>
      <c r="J108" s="6" t="str">
        <f t="shared" si="2"/>
        <v/>
      </c>
      <c r="K108" s="6" t="str">
        <f>IF(OR($B108="",$E108="",Calc!$B105=""),"",SUMIFS(CalcAmtA,CalcPartyA,$E108,CalcKeyA,"&lt;="&amp;Calc!$B105)-SUMIFS(CalcWitB,CalcPartyB,$E108,CalcKeyB,"&lt;="&amp;Calc!$B105)+SUMIFS(CalcDepB,CalcPartyB,$E108,CalcKeyB,"&lt;="&amp;Calc!$B105))</f>
        <v/>
      </c>
      <c r="L108" s="4"/>
    </row>
    <row r="109" spans="1:12" x14ac:dyDescent="0.2">
      <c r="A109" s="3" t="str">
        <f>IF($B109="","",COUNTA($B$9:$B109))</f>
        <v/>
      </c>
      <c r="B109" s="4"/>
      <c r="C109" s="4"/>
      <c r="D109" s="4"/>
      <c r="E109" s="4"/>
      <c r="F109" s="3" t="str">
        <f t="shared" si="3"/>
        <v/>
      </c>
      <c r="G109" s="4"/>
      <c r="H109" s="5"/>
      <c r="I109" s="5"/>
      <c r="J109" s="6" t="str">
        <f t="shared" si="2"/>
        <v/>
      </c>
      <c r="K109" s="6" t="str">
        <f>IF(OR($B109="",$E109="",Calc!$B106=""),"",SUMIFS(CalcAmtA,CalcPartyA,$E109,CalcKeyA,"&lt;="&amp;Calc!$B106)-SUMIFS(CalcWitB,CalcPartyB,$E109,CalcKeyB,"&lt;="&amp;Calc!$B106)+SUMIFS(CalcDepB,CalcPartyB,$E109,CalcKeyB,"&lt;="&amp;Calc!$B106))</f>
        <v/>
      </c>
      <c r="L109" s="4"/>
    </row>
    <row r="110" spans="1:12" x14ac:dyDescent="0.2">
      <c r="A110" s="3" t="str">
        <f>IF($B110="","",COUNTA($B$9:$B110))</f>
        <v/>
      </c>
      <c r="B110" s="4"/>
      <c r="C110" s="4"/>
      <c r="D110" s="4"/>
      <c r="E110" s="4"/>
      <c r="F110" s="3" t="str">
        <f t="shared" si="3"/>
        <v/>
      </c>
      <c r="G110" s="4"/>
      <c r="H110" s="5"/>
      <c r="I110" s="5"/>
      <c r="J110" s="6" t="str">
        <f t="shared" si="2"/>
        <v/>
      </c>
      <c r="K110" s="6" t="str">
        <f>IF(OR($B110="",$E110="",Calc!$B107=""),"",SUMIFS(CalcAmtA,CalcPartyA,$E110,CalcKeyA,"&lt;="&amp;Calc!$B107)-SUMIFS(CalcWitB,CalcPartyB,$E110,CalcKeyB,"&lt;="&amp;Calc!$B107)+SUMIFS(CalcDepB,CalcPartyB,$E110,CalcKeyB,"&lt;="&amp;Calc!$B107))</f>
        <v/>
      </c>
      <c r="L110" s="4"/>
    </row>
    <row r="111" spans="1:12" x14ac:dyDescent="0.2">
      <c r="A111" s="3" t="str">
        <f>IF($B111="","",COUNTA($B$9:$B111))</f>
        <v/>
      </c>
      <c r="B111" s="4"/>
      <c r="C111" s="4"/>
      <c r="D111" s="4"/>
      <c r="E111" s="4"/>
      <c r="F111" s="3" t="str">
        <f t="shared" si="3"/>
        <v/>
      </c>
      <c r="G111" s="4"/>
      <c r="H111" s="5"/>
      <c r="I111" s="5"/>
      <c r="J111" s="6" t="str">
        <f t="shared" si="2"/>
        <v/>
      </c>
      <c r="K111" s="6" t="str">
        <f>IF(OR($B111="",$E111="",Calc!$B108=""),"",SUMIFS(CalcAmtA,CalcPartyA,$E111,CalcKeyA,"&lt;="&amp;Calc!$B108)-SUMIFS(CalcWitB,CalcPartyB,$E111,CalcKeyB,"&lt;="&amp;Calc!$B108)+SUMIFS(CalcDepB,CalcPartyB,$E111,CalcKeyB,"&lt;="&amp;Calc!$B108))</f>
        <v/>
      </c>
      <c r="L111" s="4"/>
    </row>
    <row r="112" spans="1:12" x14ac:dyDescent="0.2">
      <c r="A112" s="3" t="str">
        <f>IF($B112="","",COUNTA($B$9:$B112))</f>
        <v/>
      </c>
      <c r="B112" s="4"/>
      <c r="C112" s="4"/>
      <c r="D112" s="4"/>
      <c r="E112" s="4"/>
      <c r="F112" s="3" t="str">
        <f t="shared" si="3"/>
        <v/>
      </c>
      <c r="G112" s="4"/>
      <c r="H112" s="5"/>
      <c r="I112" s="5"/>
      <c r="J112" s="6" t="str">
        <f t="shared" si="2"/>
        <v/>
      </c>
      <c r="K112" s="6" t="str">
        <f>IF(OR($B112="",$E112="",Calc!$B109=""),"",SUMIFS(CalcAmtA,CalcPartyA,$E112,CalcKeyA,"&lt;="&amp;Calc!$B109)-SUMIFS(CalcWitB,CalcPartyB,$E112,CalcKeyB,"&lt;="&amp;Calc!$B109)+SUMIFS(CalcDepB,CalcPartyB,$E112,CalcKeyB,"&lt;="&amp;Calc!$B109))</f>
        <v/>
      </c>
      <c r="L112" s="4"/>
    </row>
    <row r="113" spans="1:12" x14ac:dyDescent="0.2">
      <c r="A113" s="3" t="str">
        <f>IF($B113="","",COUNTA($B$9:$B113))</f>
        <v/>
      </c>
      <c r="B113" s="4"/>
      <c r="C113" s="4"/>
      <c r="D113" s="4"/>
      <c r="E113" s="4"/>
      <c r="F113" s="3" t="str">
        <f t="shared" si="3"/>
        <v/>
      </c>
      <c r="G113" s="4"/>
      <c r="H113" s="5"/>
      <c r="I113" s="5"/>
      <c r="J113" s="6" t="str">
        <f t="shared" si="2"/>
        <v/>
      </c>
      <c r="K113" s="6" t="str">
        <f>IF(OR($B113="",$E113="",Calc!$B110=""),"",SUMIFS(CalcAmtA,CalcPartyA,$E113,CalcKeyA,"&lt;="&amp;Calc!$B110)-SUMIFS(CalcWitB,CalcPartyB,$E113,CalcKeyB,"&lt;="&amp;Calc!$B110)+SUMIFS(CalcDepB,CalcPartyB,$E113,CalcKeyB,"&lt;="&amp;Calc!$B110))</f>
        <v/>
      </c>
      <c r="L113" s="4"/>
    </row>
    <row r="114" spans="1:12" x14ac:dyDescent="0.2">
      <c r="A114" s="3" t="str">
        <f>IF($B114="","",COUNTA($B$9:$B114))</f>
        <v/>
      </c>
      <c r="B114" s="4"/>
      <c r="C114" s="4"/>
      <c r="D114" s="4"/>
      <c r="E114" s="4"/>
      <c r="F114" s="3" t="str">
        <f t="shared" si="3"/>
        <v/>
      </c>
      <c r="G114" s="4"/>
      <c r="H114" s="5"/>
      <c r="I114" s="5"/>
      <c r="J114" s="6" t="str">
        <f t="shared" si="2"/>
        <v/>
      </c>
      <c r="K114" s="6" t="str">
        <f>IF(OR($B114="",$E114="",Calc!$B111=""),"",SUMIFS(CalcAmtA,CalcPartyA,$E114,CalcKeyA,"&lt;="&amp;Calc!$B111)-SUMIFS(CalcWitB,CalcPartyB,$E114,CalcKeyB,"&lt;="&amp;Calc!$B111)+SUMIFS(CalcDepB,CalcPartyB,$E114,CalcKeyB,"&lt;="&amp;Calc!$B111))</f>
        <v/>
      </c>
      <c r="L114" s="4"/>
    </row>
    <row r="115" spans="1:12" x14ac:dyDescent="0.2">
      <c r="A115" s="3" t="str">
        <f>IF($B115="","",COUNTA($B$9:$B115))</f>
        <v/>
      </c>
      <c r="B115" s="4"/>
      <c r="C115" s="4"/>
      <c r="D115" s="4"/>
      <c r="E115" s="4"/>
      <c r="F115" s="3" t="str">
        <f t="shared" si="3"/>
        <v/>
      </c>
      <c r="G115" s="4"/>
      <c r="H115" s="5"/>
      <c r="I115" s="5"/>
      <c r="J115" s="6" t="str">
        <f t="shared" si="2"/>
        <v/>
      </c>
      <c r="K115" s="6" t="str">
        <f>IF(OR($B115="",$E115="",Calc!$B112=""),"",SUMIFS(CalcAmtA,CalcPartyA,$E115,CalcKeyA,"&lt;="&amp;Calc!$B112)-SUMIFS(CalcWitB,CalcPartyB,$E115,CalcKeyB,"&lt;="&amp;Calc!$B112)+SUMIFS(CalcDepB,CalcPartyB,$E115,CalcKeyB,"&lt;="&amp;Calc!$B112))</f>
        <v/>
      </c>
      <c r="L115" s="4"/>
    </row>
    <row r="116" spans="1:12" x14ac:dyDescent="0.2">
      <c r="A116" s="3" t="str">
        <f>IF($B116="","",COUNTA($B$9:$B116))</f>
        <v/>
      </c>
      <c r="B116" s="4"/>
      <c r="C116" s="4"/>
      <c r="D116" s="4"/>
      <c r="E116" s="4"/>
      <c r="F116" s="3" t="str">
        <f t="shared" si="3"/>
        <v/>
      </c>
      <c r="G116" s="4"/>
      <c r="H116" s="5"/>
      <c r="I116" s="5"/>
      <c r="J116" s="6" t="str">
        <f t="shared" si="2"/>
        <v/>
      </c>
      <c r="K116" s="6" t="str">
        <f>IF(OR($B116="",$E116="",Calc!$B113=""),"",SUMIFS(CalcAmtA,CalcPartyA,$E116,CalcKeyA,"&lt;="&amp;Calc!$B113)-SUMIFS(CalcWitB,CalcPartyB,$E116,CalcKeyB,"&lt;="&amp;Calc!$B113)+SUMIFS(CalcDepB,CalcPartyB,$E116,CalcKeyB,"&lt;="&amp;Calc!$B113))</f>
        <v/>
      </c>
      <c r="L116" s="4"/>
    </row>
    <row r="117" spans="1:12" x14ac:dyDescent="0.2">
      <c r="A117" s="3" t="str">
        <f>IF($B117="","",COUNTA($B$9:$B117))</f>
        <v/>
      </c>
      <c r="B117" s="4"/>
      <c r="C117" s="4"/>
      <c r="D117" s="4"/>
      <c r="E117" s="4"/>
      <c r="F117" s="3" t="str">
        <f t="shared" si="3"/>
        <v/>
      </c>
      <c r="G117" s="4"/>
      <c r="H117" s="5"/>
      <c r="I117" s="5"/>
      <c r="J117" s="6" t="str">
        <f t="shared" si="2"/>
        <v/>
      </c>
      <c r="K117" s="6" t="str">
        <f>IF(OR($B117="",$E117="",Calc!$B114=""),"",SUMIFS(CalcAmtA,CalcPartyA,$E117,CalcKeyA,"&lt;="&amp;Calc!$B114)-SUMIFS(CalcWitB,CalcPartyB,$E117,CalcKeyB,"&lt;="&amp;Calc!$B114)+SUMIFS(CalcDepB,CalcPartyB,$E117,CalcKeyB,"&lt;="&amp;Calc!$B114))</f>
        <v/>
      </c>
      <c r="L117" s="4"/>
    </row>
    <row r="118" spans="1:12" x14ac:dyDescent="0.2">
      <c r="A118" s="3" t="str">
        <f>IF($B118="","",COUNTA($B$9:$B118))</f>
        <v/>
      </c>
      <c r="B118" s="4"/>
      <c r="C118" s="4"/>
      <c r="D118" s="4"/>
      <c r="E118" s="4"/>
      <c r="F118" s="3" t="str">
        <f t="shared" si="3"/>
        <v/>
      </c>
      <c r="G118" s="4"/>
      <c r="H118" s="5"/>
      <c r="I118" s="5"/>
      <c r="J118" s="6" t="str">
        <f t="shared" si="2"/>
        <v/>
      </c>
      <c r="K118" s="6" t="str">
        <f>IF(OR($B118="",$E118="",Calc!$B115=""),"",SUMIFS(CalcAmtA,CalcPartyA,$E118,CalcKeyA,"&lt;="&amp;Calc!$B115)-SUMIFS(CalcWitB,CalcPartyB,$E118,CalcKeyB,"&lt;="&amp;Calc!$B115)+SUMIFS(CalcDepB,CalcPartyB,$E118,CalcKeyB,"&lt;="&amp;Calc!$B115))</f>
        <v/>
      </c>
      <c r="L118" s="4"/>
    </row>
    <row r="119" spans="1:12" x14ac:dyDescent="0.2">
      <c r="A119" s="3" t="str">
        <f>IF($B119="","",COUNTA($B$9:$B119))</f>
        <v/>
      </c>
      <c r="B119" s="4"/>
      <c r="C119" s="4"/>
      <c r="D119" s="4"/>
      <c r="E119" s="4"/>
      <c r="F119" s="3" t="str">
        <f t="shared" si="3"/>
        <v/>
      </c>
      <c r="G119" s="4"/>
      <c r="H119" s="5"/>
      <c r="I119" s="5"/>
      <c r="J119" s="6" t="str">
        <f t="shared" si="2"/>
        <v/>
      </c>
      <c r="K119" s="6" t="str">
        <f>IF(OR($B119="",$E119="",Calc!$B116=""),"",SUMIFS(CalcAmtA,CalcPartyA,$E119,CalcKeyA,"&lt;="&amp;Calc!$B116)-SUMIFS(CalcWitB,CalcPartyB,$E119,CalcKeyB,"&lt;="&amp;Calc!$B116)+SUMIFS(CalcDepB,CalcPartyB,$E119,CalcKeyB,"&lt;="&amp;Calc!$B116))</f>
        <v/>
      </c>
      <c r="L119" s="4"/>
    </row>
    <row r="120" spans="1:12" x14ac:dyDescent="0.2">
      <c r="A120" s="3" t="str">
        <f>IF($B120="","",COUNTA($B$9:$B120))</f>
        <v/>
      </c>
      <c r="B120" s="4"/>
      <c r="C120" s="4"/>
      <c r="D120" s="4"/>
      <c r="E120" s="4"/>
      <c r="F120" s="3" t="str">
        <f t="shared" si="3"/>
        <v/>
      </c>
      <c r="G120" s="4"/>
      <c r="H120" s="5"/>
      <c r="I120" s="5"/>
      <c r="J120" s="6" t="str">
        <f t="shared" si="2"/>
        <v/>
      </c>
      <c r="K120" s="6" t="str">
        <f>IF(OR($B120="",$E120="",Calc!$B117=""),"",SUMIFS(CalcAmtA,CalcPartyA,$E120,CalcKeyA,"&lt;="&amp;Calc!$B117)-SUMIFS(CalcWitB,CalcPartyB,$E120,CalcKeyB,"&lt;="&amp;Calc!$B117)+SUMIFS(CalcDepB,CalcPartyB,$E120,CalcKeyB,"&lt;="&amp;Calc!$B117))</f>
        <v/>
      </c>
      <c r="L120" s="4"/>
    </row>
    <row r="121" spans="1:12" x14ac:dyDescent="0.2">
      <c r="A121" s="3" t="str">
        <f>IF($B121="","",COUNTA($B$9:$B121))</f>
        <v/>
      </c>
      <c r="B121" s="4"/>
      <c r="C121" s="4"/>
      <c r="D121" s="4"/>
      <c r="E121" s="4"/>
      <c r="F121" s="3" t="str">
        <f t="shared" si="3"/>
        <v/>
      </c>
      <c r="G121" s="4"/>
      <c r="H121" s="5"/>
      <c r="I121" s="5"/>
      <c r="J121" s="6" t="str">
        <f t="shared" si="2"/>
        <v/>
      </c>
      <c r="K121" s="6" t="str">
        <f>IF(OR($B121="",$E121="",Calc!$B118=""),"",SUMIFS(CalcAmtA,CalcPartyA,$E121,CalcKeyA,"&lt;="&amp;Calc!$B118)-SUMIFS(CalcWitB,CalcPartyB,$E121,CalcKeyB,"&lt;="&amp;Calc!$B118)+SUMIFS(CalcDepB,CalcPartyB,$E121,CalcKeyB,"&lt;="&amp;Calc!$B118))</f>
        <v/>
      </c>
      <c r="L121" s="4"/>
    </row>
    <row r="122" spans="1:12" x14ac:dyDescent="0.2">
      <c r="A122" s="3" t="str">
        <f>IF($B122="","",COUNTA($B$9:$B122))</f>
        <v/>
      </c>
      <c r="B122" s="4"/>
      <c r="C122" s="4"/>
      <c r="D122" s="4"/>
      <c r="E122" s="4"/>
      <c r="F122" s="3" t="str">
        <f t="shared" si="3"/>
        <v/>
      </c>
      <c r="G122" s="4"/>
      <c r="H122" s="5"/>
      <c r="I122" s="5"/>
      <c r="J122" s="6" t="str">
        <f t="shared" si="2"/>
        <v/>
      </c>
      <c r="K122" s="6" t="str">
        <f>IF(OR($B122="",$E122="",Calc!$B119=""),"",SUMIFS(CalcAmtA,CalcPartyA,$E122,CalcKeyA,"&lt;="&amp;Calc!$B119)-SUMIFS(CalcWitB,CalcPartyB,$E122,CalcKeyB,"&lt;="&amp;Calc!$B119)+SUMIFS(CalcDepB,CalcPartyB,$E122,CalcKeyB,"&lt;="&amp;Calc!$B119))</f>
        <v/>
      </c>
      <c r="L122" s="4"/>
    </row>
    <row r="123" spans="1:12" x14ac:dyDescent="0.2">
      <c r="A123" s="3" t="str">
        <f>IF($B123="","",COUNTA($B$9:$B123))</f>
        <v/>
      </c>
      <c r="B123" s="4"/>
      <c r="C123" s="4"/>
      <c r="D123" s="4"/>
      <c r="E123" s="4"/>
      <c r="F123" s="3" t="str">
        <f t="shared" si="3"/>
        <v/>
      </c>
      <c r="G123" s="4"/>
      <c r="H123" s="5"/>
      <c r="I123" s="5"/>
      <c r="J123" s="6" t="str">
        <f t="shared" si="2"/>
        <v/>
      </c>
      <c r="K123" s="6" t="str">
        <f>IF(OR($B123="",$E123="",Calc!$B120=""),"",SUMIFS(CalcAmtA,CalcPartyA,$E123,CalcKeyA,"&lt;="&amp;Calc!$B120)-SUMIFS(CalcWitB,CalcPartyB,$E123,CalcKeyB,"&lt;="&amp;Calc!$B120)+SUMIFS(CalcDepB,CalcPartyB,$E123,CalcKeyB,"&lt;="&amp;Calc!$B120))</f>
        <v/>
      </c>
      <c r="L123" s="4"/>
    </row>
    <row r="124" spans="1:12" x14ac:dyDescent="0.2">
      <c r="A124" s="3" t="str">
        <f>IF($B124="","",COUNTA($B$9:$B124))</f>
        <v/>
      </c>
      <c r="B124" s="4"/>
      <c r="C124" s="4"/>
      <c r="D124" s="4"/>
      <c r="E124" s="4"/>
      <c r="F124" s="3" t="str">
        <f t="shared" si="3"/>
        <v/>
      </c>
      <c r="G124" s="4"/>
      <c r="H124" s="5"/>
      <c r="I124" s="5"/>
      <c r="J124" s="6" t="str">
        <f t="shared" si="2"/>
        <v/>
      </c>
      <c r="K124" s="6" t="str">
        <f>IF(OR($B124="",$E124="",Calc!$B121=""),"",SUMIFS(CalcAmtA,CalcPartyA,$E124,CalcKeyA,"&lt;="&amp;Calc!$B121)-SUMIFS(CalcWitB,CalcPartyB,$E124,CalcKeyB,"&lt;="&amp;Calc!$B121)+SUMIFS(CalcDepB,CalcPartyB,$E124,CalcKeyB,"&lt;="&amp;Calc!$B121))</f>
        <v/>
      </c>
      <c r="L124" s="4"/>
    </row>
    <row r="125" spans="1:12" x14ac:dyDescent="0.2">
      <c r="A125" s="3" t="str">
        <f>IF($B125="","",COUNTA($B$9:$B125))</f>
        <v/>
      </c>
      <c r="B125" s="4"/>
      <c r="C125" s="4"/>
      <c r="D125" s="4"/>
      <c r="E125" s="4"/>
      <c r="F125" s="3" t="str">
        <f t="shared" si="3"/>
        <v/>
      </c>
      <c r="G125" s="4"/>
      <c r="H125" s="5"/>
      <c r="I125" s="5"/>
      <c r="J125" s="6" t="str">
        <f t="shared" si="2"/>
        <v/>
      </c>
      <c r="K125" s="6" t="str">
        <f>IF(OR($B125="",$E125="",Calc!$B122=""),"",SUMIFS(CalcAmtA,CalcPartyA,$E125,CalcKeyA,"&lt;="&amp;Calc!$B122)-SUMIFS(CalcWitB,CalcPartyB,$E125,CalcKeyB,"&lt;="&amp;Calc!$B122)+SUMIFS(CalcDepB,CalcPartyB,$E125,CalcKeyB,"&lt;="&amp;Calc!$B122))</f>
        <v/>
      </c>
      <c r="L125" s="4"/>
    </row>
    <row r="126" spans="1:12" x14ac:dyDescent="0.2">
      <c r="A126" s="3" t="str">
        <f>IF($B126="","",COUNTA($B$9:$B126))</f>
        <v/>
      </c>
      <c r="B126" s="4"/>
      <c r="C126" s="4"/>
      <c r="D126" s="4"/>
      <c r="E126" s="4"/>
      <c r="F126" s="3" t="str">
        <f t="shared" si="3"/>
        <v/>
      </c>
      <c r="G126" s="4"/>
      <c r="H126" s="5"/>
      <c r="I126" s="5"/>
      <c r="J126" s="6" t="str">
        <f t="shared" si="2"/>
        <v/>
      </c>
      <c r="K126" s="6" t="str">
        <f>IF(OR($B126="",$E126="",Calc!$B123=""),"",SUMIFS(CalcAmtA,CalcPartyA,$E126,CalcKeyA,"&lt;="&amp;Calc!$B123)-SUMIFS(CalcWitB,CalcPartyB,$E126,CalcKeyB,"&lt;="&amp;Calc!$B123)+SUMIFS(CalcDepB,CalcPartyB,$E126,CalcKeyB,"&lt;="&amp;Calc!$B123))</f>
        <v/>
      </c>
      <c r="L126" s="4"/>
    </row>
    <row r="127" spans="1:12" x14ac:dyDescent="0.2">
      <c r="A127" s="3" t="str">
        <f>IF($B127="","",COUNTA($B$9:$B127))</f>
        <v/>
      </c>
      <c r="B127" s="4"/>
      <c r="C127" s="4"/>
      <c r="D127" s="4"/>
      <c r="E127" s="4"/>
      <c r="F127" s="3" t="str">
        <f t="shared" si="3"/>
        <v/>
      </c>
      <c r="G127" s="4"/>
      <c r="H127" s="5"/>
      <c r="I127" s="5"/>
      <c r="J127" s="6" t="str">
        <f t="shared" si="2"/>
        <v/>
      </c>
      <c r="K127" s="6" t="str">
        <f>IF(OR($B127="",$E127="",Calc!$B124=""),"",SUMIFS(CalcAmtA,CalcPartyA,$E127,CalcKeyA,"&lt;="&amp;Calc!$B124)-SUMIFS(CalcWitB,CalcPartyB,$E127,CalcKeyB,"&lt;="&amp;Calc!$B124)+SUMIFS(CalcDepB,CalcPartyB,$E127,CalcKeyB,"&lt;="&amp;Calc!$B124))</f>
        <v/>
      </c>
      <c r="L127" s="4"/>
    </row>
    <row r="128" spans="1:12" x14ac:dyDescent="0.2">
      <c r="A128" s="3" t="str">
        <f>IF($B128="","",COUNTA($B$9:$B128))</f>
        <v/>
      </c>
      <c r="B128" s="4"/>
      <c r="C128" s="4"/>
      <c r="D128" s="4"/>
      <c r="E128" s="4"/>
      <c r="F128" s="3" t="str">
        <f t="shared" si="3"/>
        <v/>
      </c>
      <c r="G128" s="4"/>
      <c r="H128" s="5"/>
      <c r="I128" s="5"/>
      <c r="J128" s="6" t="str">
        <f t="shared" si="2"/>
        <v/>
      </c>
      <c r="K128" s="6" t="str">
        <f>IF(OR($B128="",$E128="",Calc!$B125=""),"",SUMIFS(CalcAmtA,CalcPartyA,$E128,CalcKeyA,"&lt;="&amp;Calc!$B125)-SUMIFS(CalcWitB,CalcPartyB,$E128,CalcKeyB,"&lt;="&amp;Calc!$B125)+SUMIFS(CalcDepB,CalcPartyB,$E128,CalcKeyB,"&lt;="&amp;Calc!$B125))</f>
        <v/>
      </c>
      <c r="L128" s="4"/>
    </row>
    <row r="129" spans="1:12" x14ac:dyDescent="0.2">
      <c r="A129" s="3" t="str">
        <f>IF($B129="","",COUNTA($B$9:$B129))</f>
        <v/>
      </c>
      <c r="B129" s="4"/>
      <c r="C129" s="4"/>
      <c r="D129" s="4"/>
      <c r="E129" s="4"/>
      <c r="F129" s="3" t="str">
        <f t="shared" si="3"/>
        <v/>
      </c>
      <c r="G129" s="4"/>
      <c r="H129" s="5"/>
      <c r="I129" s="5"/>
      <c r="J129" s="6" t="str">
        <f t="shared" si="2"/>
        <v/>
      </c>
      <c r="K129" s="6" t="str">
        <f>IF(OR($B129="",$E129="",Calc!$B126=""),"",SUMIFS(CalcAmtA,CalcPartyA,$E129,CalcKeyA,"&lt;="&amp;Calc!$B126)-SUMIFS(CalcWitB,CalcPartyB,$E129,CalcKeyB,"&lt;="&amp;Calc!$B126)+SUMIFS(CalcDepB,CalcPartyB,$E129,CalcKeyB,"&lt;="&amp;Calc!$B126))</f>
        <v/>
      </c>
      <c r="L129" s="4"/>
    </row>
    <row r="130" spans="1:12" x14ac:dyDescent="0.2">
      <c r="A130" s="3" t="str">
        <f>IF($B130="","",COUNTA($B$9:$B130))</f>
        <v/>
      </c>
      <c r="B130" s="4"/>
      <c r="C130" s="4"/>
      <c r="D130" s="4"/>
      <c r="E130" s="4"/>
      <c r="F130" s="3" t="str">
        <f t="shared" si="3"/>
        <v/>
      </c>
      <c r="G130" s="4"/>
      <c r="H130" s="5"/>
      <c r="I130" s="5"/>
      <c r="J130" s="6" t="str">
        <f t="shared" si="2"/>
        <v/>
      </c>
      <c r="K130" s="6" t="str">
        <f>IF(OR($B130="",$E130="",Calc!$B127=""),"",SUMIFS(CalcAmtA,CalcPartyA,$E130,CalcKeyA,"&lt;="&amp;Calc!$B127)-SUMIFS(CalcWitB,CalcPartyB,$E130,CalcKeyB,"&lt;="&amp;Calc!$B127)+SUMIFS(CalcDepB,CalcPartyB,$E130,CalcKeyB,"&lt;="&amp;Calc!$B127))</f>
        <v/>
      </c>
      <c r="L130" s="4"/>
    </row>
    <row r="131" spans="1:12" x14ac:dyDescent="0.2">
      <c r="A131" s="3" t="str">
        <f>IF($B131="","",COUNTA($B$9:$B131))</f>
        <v/>
      </c>
      <c r="B131" s="4"/>
      <c r="C131" s="4"/>
      <c r="D131" s="4"/>
      <c r="E131" s="4"/>
      <c r="F131" s="3" t="str">
        <f t="shared" si="3"/>
        <v/>
      </c>
      <c r="G131" s="4"/>
      <c r="H131" s="5"/>
      <c r="I131" s="5"/>
      <c r="J131" s="6" t="str">
        <f t="shared" si="2"/>
        <v/>
      </c>
      <c r="K131" s="6" t="str">
        <f>IF(OR($B131="",$E131="",Calc!$B128=""),"",SUMIFS(CalcAmtA,CalcPartyA,$E131,CalcKeyA,"&lt;="&amp;Calc!$B128)-SUMIFS(CalcWitB,CalcPartyB,$E131,CalcKeyB,"&lt;="&amp;Calc!$B128)+SUMIFS(CalcDepB,CalcPartyB,$E131,CalcKeyB,"&lt;="&amp;Calc!$B128))</f>
        <v/>
      </c>
      <c r="L131" s="4"/>
    </row>
    <row r="132" spans="1:12" x14ac:dyDescent="0.2">
      <c r="A132" s="3" t="str">
        <f>IF($B132="","",COUNTA($B$9:$B132))</f>
        <v/>
      </c>
      <c r="B132" s="4"/>
      <c r="C132" s="4"/>
      <c r="D132" s="4"/>
      <c r="E132" s="4"/>
      <c r="F132" s="3" t="str">
        <f t="shared" si="3"/>
        <v/>
      </c>
      <c r="G132" s="4"/>
      <c r="H132" s="5"/>
      <c r="I132" s="5"/>
      <c r="J132" s="6" t="str">
        <f t="shared" si="2"/>
        <v/>
      </c>
      <c r="K132" s="6" t="str">
        <f>IF(OR($B132="",$E132="",Calc!$B129=""),"",SUMIFS(CalcAmtA,CalcPartyA,$E132,CalcKeyA,"&lt;="&amp;Calc!$B129)-SUMIFS(CalcWitB,CalcPartyB,$E132,CalcKeyB,"&lt;="&amp;Calc!$B129)+SUMIFS(CalcDepB,CalcPartyB,$E132,CalcKeyB,"&lt;="&amp;Calc!$B129))</f>
        <v/>
      </c>
      <c r="L132" s="4"/>
    </row>
    <row r="133" spans="1:12" x14ac:dyDescent="0.2">
      <c r="A133" s="3" t="str">
        <f>IF($B133="","",COUNTA($B$9:$B133))</f>
        <v/>
      </c>
      <c r="B133" s="4"/>
      <c r="C133" s="4"/>
      <c r="D133" s="4"/>
      <c r="E133" s="4"/>
      <c r="F133" s="3" t="str">
        <f t="shared" si="3"/>
        <v/>
      </c>
      <c r="G133" s="4"/>
      <c r="H133" s="5"/>
      <c r="I133" s="5"/>
      <c r="J133" s="6" t="str">
        <f t="shared" si="2"/>
        <v/>
      </c>
      <c r="K133" s="6" t="str">
        <f>IF(OR($B133="",$E133="",Calc!$B130=""),"",SUMIFS(CalcAmtA,CalcPartyA,$E133,CalcKeyA,"&lt;="&amp;Calc!$B130)-SUMIFS(CalcWitB,CalcPartyB,$E133,CalcKeyB,"&lt;="&amp;Calc!$B130)+SUMIFS(CalcDepB,CalcPartyB,$E133,CalcKeyB,"&lt;="&amp;Calc!$B130))</f>
        <v/>
      </c>
      <c r="L133" s="4"/>
    </row>
    <row r="134" spans="1:12" x14ac:dyDescent="0.2">
      <c r="A134" s="3" t="str">
        <f>IF($B134="","",COUNTA($B$9:$B134))</f>
        <v/>
      </c>
      <c r="B134" s="4"/>
      <c r="C134" s="4"/>
      <c r="D134" s="4"/>
      <c r="E134" s="4"/>
      <c r="F134" s="3" t="str">
        <f t="shared" si="3"/>
        <v/>
      </c>
      <c r="G134" s="4"/>
      <c r="H134" s="5"/>
      <c r="I134" s="5"/>
      <c r="J134" s="6" t="str">
        <f t="shared" ref="J134:J197" si="4">IF(OR($H134="",$I134=""),"",ROUND($H134*$I134,0))</f>
        <v/>
      </c>
      <c r="K134" s="6" t="str">
        <f>IF(OR($B134="",$E134="",Calc!$B131=""),"",SUMIFS(CalcAmtA,CalcPartyA,$E134,CalcKeyA,"&lt;="&amp;Calc!$B131)-SUMIFS(CalcWitB,CalcPartyB,$E134,CalcKeyB,"&lt;="&amp;Calc!$B131)+SUMIFS(CalcDepB,CalcPartyB,$E134,CalcKeyB,"&lt;="&amp;Calc!$B131))</f>
        <v/>
      </c>
      <c r="L134" s="4"/>
    </row>
    <row r="135" spans="1:12" x14ac:dyDescent="0.2">
      <c r="A135" s="3" t="str">
        <f>IF($B135="","",COUNTA($B$9:$B135))</f>
        <v/>
      </c>
      <c r="B135" s="4"/>
      <c r="C135" s="4"/>
      <c r="D135" s="4"/>
      <c r="E135" s="4"/>
      <c r="F135" s="3" t="str">
        <f t="shared" si="3"/>
        <v/>
      </c>
      <c r="G135" s="4"/>
      <c r="H135" s="5"/>
      <c r="I135" s="5"/>
      <c r="J135" s="6" t="str">
        <f t="shared" si="4"/>
        <v/>
      </c>
      <c r="K135" s="6" t="str">
        <f>IF(OR($B135="",$E135="",Calc!$B132=""),"",SUMIFS(CalcAmtA,CalcPartyA,$E135,CalcKeyA,"&lt;="&amp;Calc!$B132)-SUMIFS(CalcWitB,CalcPartyB,$E135,CalcKeyB,"&lt;="&amp;Calc!$B132)+SUMIFS(CalcDepB,CalcPartyB,$E135,CalcKeyB,"&lt;="&amp;Calc!$B132))</f>
        <v/>
      </c>
      <c r="L135" s="4"/>
    </row>
    <row r="136" spans="1:12" x14ac:dyDescent="0.2">
      <c r="A136" s="3" t="str">
        <f>IF($B136="","",COUNTA($B$9:$B136))</f>
        <v/>
      </c>
      <c r="B136" s="4"/>
      <c r="C136" s="4"/>
      <c r="D136" s="4"/>
      <c r="E136" s="4"/>
      <c r="F136" s="3" t="str">
        <f t="shared" si="3"/>
        <v/>
      </c>
      <c r="G136" s="4"/>
      <c r="H136" s="5"/>
      <c r="I136" s="5"/>
      <c r="J136" s="6" t="str">
        <f t="shared" si="4"/>
        <v/>
      </c>
      <c r="K136" s="6" t="str">
        <f>IF(OR($B136="",$E136="",Calc!$B133=""),"",SUMIFS(CalcAmtA,CalcPartyA,$E136,CalcKeyA,"&lt;="&amp;Calc!$B133)-SUMIFS(CalcWitB,CalcPartyB,$E136,CalcKeyB,"&lt;="&amp;Calc!$B133)+SUMIFS(CalcDepB,CalcPartyB,$E136,CalcKeyB,"&lt;="&amp;Calc!$B133))</f>
        <v/>
      </c>
      <c r="L136" s="4"/>
    </row>
    <row r="137" spans="1:12" x14ac:dyDescent="0.2">
      <c r="A137" s="3" t="str">
        <f>IF($B137="","",COUNTA($B$9:$B137))</f>
        <v/>
      </c>
      <c r="B137" s="4"/>
      <c r="C137" s="4"/>
      <c r="D137" s="4"/>
      <c r="E137" s="4"/>
      <c r="F137" s="3" t="str">
        <f t="shared" ref="F137:F200" si="5">IF($E137="","",IFERROR(IF(VLOOKUP($E137,AcctTbl,4,0)="","",VLOOKUP($E137,AcctTbl,4,0)),"—"))</f>
        <v/>
      </c>
      <c r="G137" s="4"/>
      <c r="H137" s="5"/>
      <c r="I137" s="5"/>
      <c r="J137" s="6" t="str">
        <f t="shared" si="4"/>
        <v/>
      </c>
      <c r="K137" s="6" t="str">
        <f>IF(OR($B137="",$E137="",Calc!$B134=""),"",SUMIFS(CalcAmtA,CalcPartyA,$E137,CalcKeyA,"&lt;="&amp;Calc!$B134)-SUMIFS(CalcWitB,CalcPartyB,$E137,CalcKeyB,"&lt;="&amp;Calc!$B134)+SUMIFS(CalcDepB,CalcPartyB,$E137,CalcKeyB,"&lt;="&amp;Calc!$B134))</f>
        <v/>
      </c>
      <c r="L137" s="4"/>
    </row>
    <row r="138" spans="1:12" x14ac:dyDescent="0.2">
      <c r="A138" s="3" t="str">
        <f>IF($B138="","",COUNTA($B$9:$B138))</f>
        <v/>
      </c>
      <c r="B138" s="4"/>
      <c r="C138" s="4"/>
      <c r="D138" s="4"/>
      <c r="E138" s="4"/>
      <c r="F138" s="3" t="str">
        <f t="shared" si="5"/>
        <v/>
      </c>
      <c r="G138" s="4"/>
      <c r="H138" s="5"/>
      <c r="I138" s="5"/>
      <c r="J138" s="6" t="str">
        <f t="shared" si="4"/>
        <v/>
      </c>
      <c r="K138" s="6" t="str">
        <f>IF(OR($B138="",$E138="",Calc!$B135=""),"",SUMIFS(CalcAmtA,CalcPartyA,$E138,CalcKeyA,"&lt;="&amp;Calc!$B135)-SUMIFS(CalcWitB,CalcPartyB,$E138,CalcKeyB,"&lt;="&amp;Calc!$B135)+SUMIFS(CalcDepB,CalcPartyB,$E138,CalcKeyB,"&lt;="&amp;Calc!$B135))</f>
        <v/>
      </c>
      <c r="L138" s="4"/>
    </row>
    <row r="139" spans="1:12" x14ac:dyDescent="0.2">
      <c r="A139" s="3" t="str">
        <f>IF($B139="","",COUNTA($B$9:$B139))</f>
        <v/>
      </c>
      <c r="B139" s="4"/>
      <c r="C139" s="4"/>
      <c r="D139" s="4"/>
      <c r="E139" s="4"/>
      <c r="F139" s="3" t="str">
        <f t="shared" si="5"/>
        <v/>
      </c>
      <c r="G139" s="4"/>
      <c r="H139" s="5"/>
      <c r="I139" s="5"/>
      <c r="J139" s="6" t="str">
        <f t="shared" si="4"/>
        <v/>
      </c>
      <c r="K139" s="6" t="str">
        <f>IF(OR($B139="",$E139="",Calc!$B136=""),"",SUMIFS(CalcAmtA,CalcPartyA,$E139,CalcKeyA,"&lt;="&amp;Calc!$B136)-SUMIFS(CalcWitB,CalcPartyB,$E139,CalcKeyB,"&lt;="&amp;Calc!$B136)+SUMIFS(CalcDepB,CalcPartyB,$E139,CalcKeyB,"&lt;="&amp;Calc!$B136))</f>
        <v/>
      </c>
      <c r="L139" s="4"/>
    </row>
    <row r="140" spans="1:12" x14ac:dyDescent="0.2">
      <c r="A140" s="3" t="str">
        <f>IF($B140="","",COUNTA($B$9:$B140))</f>
        <v/>
      </c>
      <c r="B140" s="4"/>
      <c r="C140" s="4"/>
      <c r="D140" s="4"/>
      <c r="E140" s="4"/>
      <c r="F140" s="3" t="str">
        <f t="shared" si="5"/>
        <v/>
      </c>
      <c r="G140" s="4"/>
      <c r="H140" s="5"/>
      <c r="I140" s="5"/>
      <c r="J140" s="6" t="str">
        <f t="shared" si="4"/>
        <v/>
      </c>
      <c r="K140" s="6" t="str">
        <f>IF(OR($B140="",$E140="",Calc!$B137=""),"",SUMIFS(CalcAmtA,CalcPartyA,$E140,CalcKeyA,"&lt;="&amp;Calc!$B137)-SUMIFS(CalcWitB,CalcPartyB,$E140,CalcKeyB,"&lt;="&amp;Calc!$B137)+SUMIFS(CalcDepB,CalcPartyB,$E140,CalcKeyB,"&lt;="&amp;Calc!$B137))</f>
        <v/>
      </c>
      <c r="L140" s="4"/>
    </row>
    <row r="141" spans="1:12" x14ac:dyDescent="0.2">
      <c r="A141" s="3" t="str">
        <f>IF($B141="","",COUNTA($B$9:$B141))</f>
        <v/>
      </c>
      <c r="B141" s="4"/>
      <c r="C141" s="4"/>
      <c r="D141" s="4"/>
      <c r="E141" s="4"/>
      <c r="F141" s="3" t="str">
        <f t="shared" si="5"/>
        <v/>
      </c>
      <c r="G141" s="4"/>
      <c r="H141" s="5"/>
      <c r="I141" s="5"/>
      <c r="J141" s="6" t="str">
        <f t="shared" si="4"/>
        <v/>
      </c>
      <c r="K141" s="6" t="str">
        <f>IF(OR($B141="",$E141="",Calc!$B138=""),"",SUMIFS(CalcAmtA,CalcPartyA,$E141,CalcKeyA,"&lt;="&amp;Calc!$B138)-SUMIFS(CalcWitB,CalcPartyB,$E141,CalcKeyB,"&lt;="&amp;Calc!$B138)+SUMIFS(CalcDepB,CalcPartyB,$E141,CalcKeyB,"&lt;="&amp;Calc!$B138))</f>
        <v/>
      </c>
      <c r="L141" s="4"/>
    </row>
    <row r="142" spans="1:12" x14ac:dyDescent="0.2">
      <c r="A142" s="3" t="str">
        <f>IF($B142="","",COUNTA($B$9:$B142))</f>
        <v/>
      </c>
      <c r="B142" s="4"/>
      <c r="C142" s="4"/>
      <c r="D142" s="4"/>
      <c r="E142" s="4"/>
      <c r="F142" s="3" t="str">
        <f t="shared" si="5"/>
        <v/>
      </c>
      <c r="G142" s="4"/>
      <c r="H142" s="5"/>
      <c r="I142" s="5"/>
      <c r="J142" s="6" t="str">
        <f t="shared" si="4"/>
        <v/>
      </c>
      <c r="K142" s="6" t="str">
        <f>IF(OR($B142="",$E142="",Calc!$B139=""),"",SUMIFS(CalcAmtA,CalcPartyA,$E142,CalcKeyA,"&lt;="&amp;Calc!$B139)-SUMIFS(CalcWitB,CalcPartyB,$E142,CalcKeyB,"&lt;="&amp;Calc!$B139)+SUMIFS(CalcDepB,CalcPartyB,$E142,CalcKeyB,"&lt;="&amp;Calc!$B139))</f>
        <v/>
      </c>
      <c r="L142" s="4"/>
    </row>
    <row r="143" spans="1:12" x14ac:dyDescent="0.2">
      <c r="A143" s="3" t="str">
        <f>IF($B143="","",COUNTA($B$9:$B143))</f>
        <v/>
      </c>
      <c r="B143" s="4"/>
      <c r="C143" s="4"/>
      <c r="D143" s="4"/>
      <c r="E143" s="4"/>
      <c r="F143" s="3" t="str">
        <f t="shared" si="5"/>
        <v/>
      </c>
      <c r="G143" s="4"/>
      <c r="H143" s="5"/>
      <c r="I143" s="5"/>
      <c r="J143" s="6" t="str">
        <f t="shared" si="4"/>
        <v/>
      </c>
      <c r="K143" s="6" t="str">
        <f>IF(OR($B143="",$E143="",Calc!$B140=""),"",SUMIFS(CalcAmtA,CalcPartyA,$E143,CalcKeyA,"&lt;="&amp;Calc!$B140)-SUMIFS(CalcWitB,CalcPartyB,$E143,CalcKeyB,"&lt;="&amp;Calc!$B140)+SUMIFS(CalcDepB,CalcPartyB,$E143,CalcKeyB,"&lt;="&amp;Calc!$B140))</f>
        <v/>
      </c>
      <c r="L143" s="4"/>
    </row>
    <row r="144" spans="1:12" x14ac:dyDescent="0.2">
      <c r="A144" s="3" t="str">
        <f>IF($B144="","",COUNTA($B$9:$B144))</f>
        <v/>
      </c>
      <c r="B144" s="4"/>
      <c r="C144" s="4"/>
      <c r="D144" s="4"/>
      <c r="E144" s="4"/>
      <c r="F144" s="3" t="str">
        <f t="shared" si="5"/>
        <v/>
      </c>
      <c r="G144" s="4"/>
      <c r="H144" s="5"/>
      <c r="I144" s="5"/>
      <c r="J144" s="6" t="str">
        <f t="shared" si="4"/>
        <v/>
      </c>
      <c r="K144" s="6" t="str">
        <f>IF(OR($B144="",$E144="",Calc!$B141=""),"",SUMIFS(CalcAmtA,CalcPartyA,$E144,CalcKeyA,"&lt;="&amp;Calc!$B141)-SUMIFS(CalcWitB,CalcPartyB,$E144,CalcKeyB,"&lt;="&amp;Calc!$B141)+SUMIFS(CalcDepB,CalcPartyB,$E144,CalcKeyB,"&lt;="&amp;Calc!$B141))</f>
        <v/>
      </c>
      <c r="L144" s="4"/>
    </row>
    <row r="145" spans="1:12" x14ac:dyDescent="0.2">
      <c r="A145" s="3" t="str">
        <f>IF($B145="","",COUNTA($B$9:$B145))</f>
        <v/>
      </c>
      <c r="B145" s="4"/>
      <c r="C145" s="4"/>
      <c r="D145" s="4"/>
      <c r="E145" s="4"/>
      <c r="F145" s="3" t="str">
        <f t="shared" si="5"/>
        <v/>
      </c>
      <c r="G145" s="4"/>
      <c r="H145" s="5"/>
      <c r="I145" s="5"/>
      <c r="J145" s="6" t="str">
        <f t="shared" si="4"/>
        <v/>
      </c>
      <c r="K145" s="6" t="str">
        <f>IF(OR($B145="",$E145="",Calc!$B142=""),"",SUMIFS(CalcAmtA,CalcPartyA,$E145,CalcKeyA,"&lt;="&amp;Calc!$B142)-SUMIFS(CalcWitB,CalcPartyB,$E145,CalcKeyB,"&lt;="&amp;Calc!$B142)+SUMIFS(CalcDepB,CalcPartyB,$E145,CalcKeyB,"&lt;="&amp;Calc!$B142))</f>
        <v/>
      </c>
      <c r="L145" s="4"/>
    </row>
    <row r="146" spans="1:12" x14ac:dyDescent="0.2">
      <c r="A146" s="3" t="str">
        <f>IF($B146="","",COUNTA($B$9:$B146))</f>
        <v/>
      </c>
      <c r="B146" s="4"/>
      <c r="C146" s="4"/>
      <c r="D146" s="4"/>
      <c r="E146" s="4"/>
      <c r="F146" s="3" t="str">
        <f t="shared" si="5"/>
        <v/>
      </c>
      <c r="G146" s="4"/>
      <c r="H146" s="5"/>
      <c r="I146" s="5"/>
      <c r="J146" s="6" t="str">
        <f t="shared" si="4"/>
        <v/>
      </c>
      <c r="K146" s="6" t="str">
        <f>IF(OR($B146="",$E146="",Calc!$B143=""),"",SUMIFS(CalcAmtA,CalcPartyA,$E146,CalcKeyA,"&lt;="&amp;Calc!$B143)-SUMIFS(CalcWitB,CalcPartyB,$E146,CalcKeyB,"&lt;="&amp;Calc!$B143)+SUMIFS(CalcDepB,CalcPartyB,$E146,CalcKeyB,"&lt;="&amp;Calc!$B143))</f>
        <v/>
      </c>
      <c r="L146" s="4"/>
    </row>
    <row r="147" spans="1:12" x14ac:dyDescent="0.2">
      <c r="A147" s="3" t="str">
        <f>IF($B147="","",COUNTA($B$9:$B147))</f>
        <v/>
      </c>
      <c r="B147" s="4"/>
      <c r="C147" s="4"/>
      <c r="D147" s="4"/>
      <c r="E147" s="4"/>
      <c r="F147" s="3" t="str">
        <f t="shared" si="5"/>
        <v/>
      </c>
      <c r="G147" s="4"/>
      <c r="H147" s="5"/>
      <c r="I147" s="5"/>
      <c r="J147" s="6" t="str">
        <f t="shared" si="4"/>
        <v/>
      </c>
      <c r="K147" s="6" t="str">
        <f>IF(OR($B147="",$E147="",Calc!$B144=""),"",SUMIFS(CalcAmtA,CalcPartyA,$E147,CalcKeyA,"&lt;="&amp;Calc!$B144)-SUMIFS(CalcWitB,CalcPartyB,$E147,CalcKeyB,"&lt;="&amp;Calc!$B144)+SUMIFS(CalcDepB,CalcPartyB,$E147,CalcKeyB,"&lt;="&amp;Calc!$B144))</f>
        <v/>
      </c>
      <c r="L147" s="4"/>
    </row>
    <row r="148" spans="1:12" x14ac:dyDescent="0.2">
      <c r="A148" s="3" t="str">
        <f>IF($B148="","",COUNTA($B$9:$B148))</f>
        <v/>
      </c>
      <c r="B148" s="4"/>
      <c r="C148" s="4"/>
      <c r="D148" s="4"/>
      <c r="E148" s="4"/>
      <c r="F148" s="3" t="str">
        <f t="shared" si="5"/>
        <v/>
      </c>
      <c r="G148" s="4"/>
      <c r="H148" s="5"/>
      <c r="I148" s="5"/>
      <c r="J148" s="6" t="str">
        <f t="shared" si="4"/>
        <v/>
      </c>
      <c r="K148" s="6" t="str">
        <f>IF(OR($B148="",$E148="",Calc!$B145=""),"",SUMIFS(CalcAmtA,CalcPartyA,$E148,CalcKeyA,"&lt;="&amp;Calc!$B145)-SUMIFS(CalcWitB,CalcPartyB,$E148,CalcKeyB,"&lt;="&amp;Calc!$B145)+SUMIFS(CalcDepB,CalcPartyB,$E148,CalcKeyB,"&lt;="&amp;Calc!$B145))</f>
        <v/>
      </c>
      <c r="L148" s="4"/>
    </row>
    <row r="149" spans="1:12" x14ac:dyDescent="0.2">
      <c r="A149" s="3" t="str">
        <f>IF($B149="","",COUNTA($B$9:$B149))</f>
        <v/>
      </c>
      <c r="B149" s="4"/>
      <c r="C149" s="4"/>
      <c r="D149" s="4"/>
      <c r="E149" s="4"/>
      <c r="F149" s="3" t="str">
        <f t="shared" si="5"/>
        <v/>
      </c>
      <c r="G149" s="4"/>
      <c r="H149" s="5"/>
      <c r="I149" s="5"/>
      <c r="J149" s="6" t="str">
        <f t="shared" si="4"/>
        <v/>
      </c>
      <c r="K149" s="6" t="str">
        <f>IF(OR($B149="",$E149="",Calc!$B146=""),"",SUMIFS(CalcAmtA,CalcPartyA,$E149,CalcKeyA,"&lt;="&amp;Calc!$B146)-SUMIFS(CalcWitB,CalcPartyB,$E149,CalcKeyB,"&lt;="&amp;Calc!$B146)+SUMIFS(CalcDepB,CalcPartyB,$E149,CalcKeyB,"&lt;="&amp;Calc!$B146))</f>
        <v/>
      </c>
      <c r="L149" s="4"/>
    </row>
    <row r="150" spans="1:12" x14ac:dyDescent="0.2">
      <c r="A150" s="3" t="str">
        <f>IF($B150="","",COUNTA($B$9:$B150))</f>
        <v/>
      </c>
      <c r="B150" s="4"/>
      <c r="C150" s="4"/>
      <c r="D150" s="4"/>
      <c r="E150" s="4"/>
      <c r="F150" s="3" t="str">
        <f t="shared" si="5"/>
        <v/>
      </c>
      <c r="G150" s="4"/>
      <c r="H150" s="5"/>
      <c r="I150" s="5"/>
      <c r="J150" s="6" t="str">
        <f t="shared" si="4"/>
        <v/>
      </c>
      <c r="K150" s="6" t="str">
        <f>IF(OR($B150="",$E150="",Calc!$B147=""),"",SUMIFS(CalcAmtA,CalcPartyA,$E150,CalcKeyA,"&lt;="&amp;Calc!$B147)-SUMIFS(CalcWitB,CalcPartyB,$E150,CalcKeyB,"&lt;="&amp;Calc!$B147)+SUMIFS(CalcDepB,CalcPartyB,$E150,CalcKeyB,"&lt;="&amp;Calc!$B147))</f>
        <v/>
      </c>
      <c r="L150" s="4"/>
    </row>
    <row r="151" spans="1:12" x14ac:dyDescent="0.2">
      <c r="A151" s="3" t="str">
        <f>IF($B151="","",COUNTA($B$9:$B151))</f>
        <v/>
      </c>
      <c r="B151" s="4"/>
      <c r="C151" s="4"/>
      <c r="D151" s="4"/>
      <c r="E151" s="4"/>
      <c r="F151" s="3" t="str">
        <f t="shared" si="5"/>
        <v/>
      </c>
      <c r="G151" s="4"/>
      <c r="H151" s="5"/>
      <c r="I151" s="5"/>
      <c r="J151" s="6" t="str">
        <f t="shared" si="4"/>
        <v/>
      </c>
      <c r="K151" s="6" t="str">
        <f>IF(OR($B151="",$E151="",Calc!$B148=""),"",SUMIFS(CalcAmtA,CalcPartyA,$E151,CalcKeyA,"&lt;="&amp;Calc!$B148)-SUMIFS(CalcWitB,CalcPartyB,$E151,CalcKeyB,"&lt;="&amp;Calc!$B148)+SUMIFS(CalcDepB,CalcPartyB,$E151,CalcKeyB,"&lt;="&amp;Calc!$B148))</f>
        <v/>
      </c>
      <c r="L151" s="4"/>
    </row>
    <row r="152" spans="1:12" x14ac:dyDescent="0.2">
      <c r="A152" s="3" t="str">
        <f>IF($B152="","",COUNTA($B$9:$B152))</f>
        <v/>
      </c>
      <c r="B152" s="4"/>
      <c r="C152" s="4"/>
      <c r="D152" s="4"/>
      <c r="E152" s="4"/>
      <c r="F152" s="3" t="str">
        <f t="shared" si="5"/>
        <v/>
      </c>
      <c r="G152" s="4"/>
      <c r="H152" s="5"/>
      <c r="I152" s="5"/>
      <c r="J152" s="6" t="str">
        <f t="shared" si="4"/>
        <v/>
      </c>
      <c r="K152" s="6" t="str">
        <f>IF(OR($B152="",$E152="",Calc!$B149=""),"",SUMIFS(CalcAmtA,CalcPartyA,$E152,CalcKeyA,"&lt;="&amp;Calc!$B149)-SUMIFS(CalcWitB,CalcPartyB,$E152,CalcKeyB,"&lt;="&amp;Calc!$B149)+SUMIFS(CalcDepB,CalcPartyB,$E152,CalcKeyB,"&lt;="&amp;Calc!$B149))</f>
        <v/>
      </c>
      <c r="L152" s="4"/>
    </row>
    <row r="153" spans="1:12" x14ac:dyDescent="0.2">
      <c r="A153" s="3" t="str">
        <f>IF($B153="","",COUNTA($B$9:$B153))</f>
        <v/>
      </c>
      <c r="B153" s="4"/>
      <c r="C153" s="4"/>
      <c r="D153" s="4"/>
      <c r="E153" s="4"/>
      <c r="F153" s="3" t="str">
        <f t="shared" si="5"/>
        <v/>
      </c>
      <c r="G153" s="4"/>
      <c r="H153" s="5"/>
      <c r="I153" s="5"/>
      <c r="J153" s="6" t="str">
        <f t="shared" si="4"/>
        <v/>
      </c>
      <c r="K153" s="6" t="str">
        <f>IF(OR($B153="",$E153="",Calc!$B150=""),"",SUMIFS(CalcAmtA,CalcPartyA,$E153,CalcKeyA,"&lt;="&amp;Calc!$B150)-SUMIFS(CalcWitB,CalcPartyB,$E153,CalcKeyB,"&lt;="&amp;Calc!$B150)+SUMIFS(CalcDepB,CalcPartyB,$E153,CalcKeyB,"&lt;="&amp;Calc!$B150))</f>
        <v/>
      </c>
      <c r="L153" s="4"/>
    </row>
    <row r="154" spans="1:12" x14ac:dyDescent="0.2">
      <c r="A154" s="3" t="str">
        <f>IF($B154="","",COUNTA($B$9:$B154))</f>
        <v/>
      </c>
      <c r="B154" s="4"/>
      <c r="C154" s="4"/>
      <c r="D154" s="4"/>
      <c r="E154" s="4"/>
      <c r="F154" s="3" t="str">
        <f t="shared" si="5"/>
        <v/>
      </c>
      <c r="G154" s="4"/>
      <c r="H154" s="5"/>
      <c r="I154" s="5"/>
      <c r="J154" s="6" t="str">
        <f t="shared" si="4"/>
        <v/>
      </c>
      <c r="K154" s="6" t="str">
        <f>IF(OR($B154="",$E154="",Calc!$B151=""),"",SUMIFS(CalcAmtA,CalcPartyA,$E154,CalcKeyA,"&lt;="&amp;Calc!$B151)-SUMIFS(CalcWitB,CalcPartyB,$E154,CalcKeyB,"&lt;="&amp;Calc!$B151)+SUMIFS(CalcDepB,CalcPartyB,$E154,CalcKeyB,"&lt;="&amp;Calc!$B151))</f>
        <v/>
      </c>
      <c r="L154" s="4"/>
    </row>
    <row r="155" spans="1:12" x14ac:dyDescent="0.2">
      <c r="A155" s="3" t="str">
        <f>IF($B155="","",COUNTA($B$9:$B155))</f>
        <v/>
      </c>
      <c r="B155" s="4"/>
      <c r="C155" s="4"/>
      <c r="D155" s="4"/>
      <c r="E155" s="4"/>
      <c r="F155" s="3" t="str">
        <f t="shared" si="5"/>
        <v/>
      </c>
      <c r="G155" s="4"/>
      <c r="H155" s="5"/>
      <c r="I155" s="5"/>
      <c r="J155" s="6" t="str">
        <f t="shared" si="4"/>
        <v/>
      </c>
      <c r="K155" s="6" t="str">
        <f>IF(OR($B155="",$E155="",Calc!$B152=""),"",SUMIFS(CalcAmtA,CalcPartyA,$E155,CalcKeyA,"&lt;="&amp;Calc!$B152)-SUMIFS(CalcWitB,CalcPartyB,$E155,CalcKeyB,"&lt;="&amp;Calc!$B152)+SUMIFS(CalcDepB,CalcPartyB,$E155,CalcKeyB,"&lt;="&amp;Calc!$B152))</f>
        <v/>
      </c>
      <c r="L155" s="4"/>
    </row>
    <row r="156" spans="1:12" x14ac:dyDescent="0.2">
      <c r="A156" s="3" t="str">
        <f>IF($B156="","",COUNTA($B$9:$B156))</f>
        <v/>
      </c>
      <c r="B156" s="4"/>
      <c r="C156" s="4"/>
      <c r="D156" s="4"/>
      <c r="E156" s="4"/>
      <c r="F156" s="3" t="str">
        <f t="shared" si="5"/>
        <v/>
      </c>
      <c r="G156" s="4"/>
      <c r="H156" s="5"/>
      <c r="I156" s="5"/>
      <c r="J156" s="6" t="str">
        <f t="shared" si="4"/>
        <v/>
      </c>
      <c r="K156" s="6" t="str">
        <f>IF(OR($B156="",$E156="",Calc!$B153=""),"",SUMIFS(CalcAmtA,CalcPartyA,$E156,CalcKeyA,"&lt;="&amp;Calc!$B153)-SUMIFS(CalcWitB,CalcPartyB,$E156,CalcKeyB,"&lt;="&amp;Calc!$B153)+SUMIFS(CalcDepB,CalcPartyB,$E156,CalcKeyB,"&lt;="&amp;Calc!$B153))</f>
        <v/>
      </c>
      <c r="L156" s="4"/>
    </row>
    <row r="157" spans="1:12" x14ac:dyDescent="0.2">
      <c r="A157" s="3" t="str">
        <f>IF($B157="","",COUNTA($B$9:$B157))</f>
        <v/>
      </c>
      <c r="B157" s="4"/>
      <c r="C157" s="4"/>
      <c r="D157" s="4"/>
      <c r="E157" s="4"/>
      <c r="F157" s="3" t="str">
        <f t="shared" si="5"/>
        <v/>
      </c>
      <c r="G157" s="4"/>
      <c r="H157" s="5"/>
      <c r="I157" s="5"/>
      <c r="J157" s="6" t="str">
        <f t="shared" si="4"/>
        <v/>
      </c>
      <c r="K157" s="6" t="str">
        <f>IF(OR($B157="",$E157="",Calc!$B154=""),"",SUMIFS(CalcAmtA,CalcPartyA,$E157,CalcKeyA,"&lt;="&amp;Calc!$B154)-SUMIFS(CalcWitB,CalcPartyB,$E157,CalcKeyB,"&lt;="&amp;Calc!$B154)+SUMIFS(CalcDepB,CalcPartyB,$E157,CalcKeyB,"&lt;="&amp;Calc!$B154))</f>
        <v/>
      </c>
      <c r="L157" s="4"/>
    </row>
    <row r="158" spans="1:12" x14ac:dyDescent="0.2">
      <c r="A158" s="3" t="str">
        <f>IF($B158="","",COUNTA($B$9:$B158))</f>
        <v/>
      </c>
      <c r="B158" s="4"/>
      <c r="C158" s="4"/>
      <c r="D158" s="4"/>
      <c r="E158" s="4"/>
      <c r="F158" s="3" t="str">
        <f t="shared" si="5"/>
        <v/>
      </c>
      <c r="G158" s="4"/>
      <c r="H158" s="5"/>
      <c r="I158" s="5"/>
      <c r="J158" s="6" t="str">
        <f t="shared" si="4"/>
        <v/>
      </c>
      <c r="K158" s="6" t="str">
        <f>IF(OR($B158="",$E158="",Calc!$B155=""),"",SUMIFS(CalcAmtA,CalcPartyA,$E158,CalcKeyA,"&lt;="&amp;Calc!$B155)-SUMIFS(CalcWitB,CalcPartyB,$E158,CalcKeyB,"&lt;="&amp;Calc!$B155)+SUMIFS(CalcDepB,CalcPartyB,$E158,CalcKeyB,"&lt;="&amp;Calc!$B155))</f>
        <v/>
      </c>
      <c r="L158" s="4"/>
    </row>
    <row r="159" spans="1:12" x14ac:dyDescent="0.2">
      <c r="A159" s="3" t="str">
        <f>IF($B159="","",COUNTA($B$9:$B159))</f>
        <v/>
      </c>
      <c r="B159" s="4"/>
      <c r="C159" s="4"/>
      <c r="D159" s="4"/>
      <c r="E159" s="4"/>
      <c r="F159" s="3" t="str">
        <f t="shared" si="5"/>
        <v/>
      </c>
      <c r="G159" s="4"/>
      <c r="H159" s="5"/>
      <c r="I159" s="5"/>
      <c r="J159" s="6" t="str">
        <f t="shared" si="4"/>
        <v/>
      </c>
      <c r="K159" s="6" t="str">
        <f>IF(OR($B159="",$E159="",Calc!$B156=""),"",SUMIFS(CalcAmtA,CalcPartyA,$E159,CalcKeyA,"&lt;="&amp;Calc!$B156)-SUMIFS(CalcWitB,CalcPartyB,$E159,CalcKeyB,"&lt;="&amp;Calc!$B156)+SUMIFS(CalcDepB,CalcPartyB,$E159,CalcKeyB,"&lt;="&amp;Calc!$B156))</f>
        <v/>
      </c>
      <c r="L159" s="4"/>
    </row>
    <row r="160" spans="1:12" x14ac:dyDescent="0.2">
      <c r="A160" s="3" t="str">
        <f>IF($B160="","",COUNTA($B$9:$B160))</f>
        <v/>
      </c>
      <c r="B160" s="4"/>
      <c r="C160" s="4"/>
      <c r="D160" s="4"/>
      <c r="E160" s="4"/>
      <c r="F160" s="3" t="str">
        <f t="shared" si="5"/>
        <v/>
      </c>
      <c r="G160" s="4"/>
      <c r="H160" s="5"/>
      <c r="I160" s="5"/>
      <c r="J160" s="6" t="str">
        <f t="shared" si="4"/>
        <v/>
      </c>
      <c r="K160" s="6" t="str">
        <f>IF(OR($B160="",$E160="",Calc!$B157=""),"",SUMIFS(CalcAmtA,CalcPartyA,$E160,CalcKeyA,"&lt;="&amp;Calc!$B157)-SUMIFS(CalcWitB,CalcPartyB,$E160,CalcKeyB,"&lt;="&amp;Calc!$B157)+SUMIFS(CalcDepB,CalcPartyB,$E160,CalcKeyB,"&lt;="&amp;Calc!$B157))</f>
        <v/>
      </c>
      <c r="L160" s="4"/>
    </row>
    <row r="161" spans="1:12" x14ac:dyDescent="0.2">
      <c r="A161" s="3" t="str">
        <f>IF($B161="","",COUNTA($B$9:$B161))</f>
        <v/>
      </c>
      <c r="B161" s="4"/>
      <c r="C161" s="4"/>
      <c r="D161" s="4"/>
      <c r="E161" s="4"/>
      <c r="F161" s="3" t="str">
        <f t="shared" si="5"/>
        <v/>
      </c>
      <c r="G161" s="4"/>
      <c r="H161" s="5"/>
      <c r="I161" s="5"/>
      <c r="J161" s="6" t="str">
        <f t="shared" si="4"/>
        <v/>
      </c>
      <c r="K161" s="6" t="str">
        <f>IF(OR($B161="",$E161="",Calc!$B158=""),"",SUMIFS(CalcAmtA,CalcPartyA,$E161,CalcKeyA,"&lt;="&amp;Calc!$B158)-SUMIFS(CalcWitB,CalcPartyB,$E161,CalcKeyB,"&lt;="&amp;Calc!$B158)+SUMIFS(CalcDepB,CalcPartyB,$E161,CalcKeyB,"&lt;="&amp;Calc!$B158))</f>
        <v/>
      </c>
      <c r="L161" s="4"/>
    </row>
    <row r="162" spans="1:12" x14ac:dyDescent="0.2">
      <c r="A162" s="3" t="str">
        <f>IF($B162="","",COUNTA($B$9:$B162))</f>
        <v/>
      </c>
      <c r="B162" s="4"/>
      <c r="C162" s="4"/>
      <c r="D162" s="4"/>
      <c r="E162" s="4"/>
      <c r="F162" s="3" t="str">
        <f t="shared" si="5"/>
        <v/>
      </c>
      <c r="G162" s="4"/>
      <c r="H162" s="5"/>
      <c r="I162" s="5"/>
      <c r="J162" s="6" t="str">
        <f t="shared" si="4"/>
        <v/>
      </c>
      <c r="K162" s="6" t="str">
        <f>IF(OR($B162="",$E162="",Calc!$B159=""),"",SUMIFS(CalcAmtA,CalcPartyA,$E162,CalcKeyA,"&lt;="&amp;Calc!$B159)-SUMIFS(CalcWitB,CalcPartyB,$E162,CalcKeyB,"&lt;="&amp;Calc!$B159)+SUMIFS(CalcDepB,CalcPartyB,$E162,CalcKeyB,"&lt;="&amp;Calc!$B159))</f>
        <v/>
      </c>
      <c r="L162" s="4"/>
    </row>
    <row r="163" spans="1:12" x14ac:dyDescent="0.2">
      <c r="A163" s="3" t="str">
        <f>IF($B163="","",COUNTA($B$9:$B163))</f>
        <v/>
      </c>
      <c r="B163" s="4"/>
      <c r="C163" s="4"/>
      <c r="D163" s="4"/>
      <c r="E163" s="4"/>
      <c r="F163" s="3" t="str">
        <f t="shared" si="5"/>
        <v/>
      </c>
      <c r="G163" s="4"/>
      <c r="H163" s="5"/>
      <c r="I163" s="5"/>
      <c r="J163" s="6" t="str">
        <f t="shared" si="4"/>
        <v/>
      </c>
      <c r="K163" s="6" t="str">
        <f>IF(OR($B163="",$E163="",Calc!$B160=""),"",SUMIFS(CalcAmtA,CalcPartyA,$E163,CalcKeyA,"&lt;="&amp;Calc!$B160)-SUMIFS(CalcWitB,CalcPartyB,$E163,CalcKeyB,"&lt;="&amp;Calc!$B160)+SUMIFS(CalcDepB,CalcPartyB,$E163,CalcKeyB,"&lt;="&amp;Calc!$B160))</f>
        <v/>
      </c>
      <c r="L163" s="4"/>
    </row>
    <row r="164" spans="1:12" x14ac:dyDescent="0.2">
      <c r="A164" s="3" t="str">
        <f>IF($B164="","",COUNTA($B$9:$B164))</f>
        <v/>
      </c>
      <c r="B164" s="4"/>
      <c r="C164" s="4"/>
      <c r="D164" s="4"/>
      <c r="E164" s="4"/>
      <c r="F164" s="3" t="str">
        <f t="shared" si="5"/>
        <v/>
      </c>
      <c r="G164" s="4"/>
      <c r="H164" s="5"/>
      <c r="I164" s="5"/>
      <c r="J164" s="6" t="str">
        <f t="shared" si="4"/>
        <v/>
      </c>
      <c r="K164" s="6" t="str">
        <f>IF(OR($B164="",$E164="",Calc!$B161=""),"",SUMIFS(CalcAmtA,CalcPartyA,$E164,CalcKeyA,"&lt;="&amp;Calc!$B161)-SUMIFS(CalcWitB,CalcPartyB,$E164,CalcKeyB,"&lt;="&amp;Calc!$B161)+SUMIFS(CalcDepB,CalcPartyB,$E164,CalcKeyB,"&lt;="&amp;Calc!$B161))</f>
        <v/>
      </c>
      <c r="L164" s="4"/>
    </row>
    <row r="165" spans="1:12" x14ac:dyDescent="0.2">
      <c r="A165" s="3" t="str">
        <f>IF($B165="","",COUNTA($B$9:$B165))</f>
        <v/>
      </c>
      <c r="B165" s="4"/>
      <c r="C165" s="4"/>
      <c r="D165" s="4"/>
      <c r="E165" s="4"/>
      <c r="F165" s="3" t="str">
        <f t="shared" si="5"/>
        <v/>
      </c>
      <c r="G165" s="4"/>
      <c r="H165" s="5"/>
      <c r="I165" s="5"/>
      <c r="J165" s="6" t="str">
        <f t="shared" si="4"/>
        <v/>
      </c>
      <c r="K165" s="6" t="str">
        <f>IF(OR($B165="",$E165="",Calc!$B162=""),"",SUMIFS(CalcAmtA,CalcPartyA,$E165,CalcKeyA,"&lt;="&amp;Calc!$B162)-SUMIFS(CalcWitB,CalcPartyB,$E165,CalcKeyB,"&lt;="&amp;Calc!$B162)+SUMIFS(CalcDepB,CalcPartyB,$E165,CalcKeyB,"&lt;="&amp;Calc!$B162))</f>
        <v/>
      </c>
      <c r="L165" s="4"/>
    </row>
    <row r="166" spans="1:12" x14ac:dyDescent="0.2">
      <c r="A166" s="3" t="str">
        <f>IF($B166="","",COUNTA($B$9:$B166))</f>
        <v/>
      </c>
      <c r="B166" s="4"/>
      <c r="C166" s="4"/>
      <c r="D166" s="4"/>
      <c r="E166" s="4"/>
      <c r="F166" s="3" t="str">
        <f t="shared" si="5"/>
        <v/>
      </c>
      <c r="G166" s="4"/>
      <c r="H166" s="5"/>
      <c r="I166" s="5"/>
      <c r="J166" s="6" t="str">
        <f t="shared" si="4"/>
        <v/>
      </c>
      <c r="K166" s="6" t="str">
        <f>IF(OR($B166="",$E166="",Calc!$B163=""),"",SUMIFS(CalcAmtA,CalcPartyA,$E166,CalcKeyA,"&lt;="&amp;Calc!$B163)-SUMIFS(CalcWitB,CalcPartyB,$E166,CalcKeyB,"&lt;="&amp;Calc!$B163)+SUMIFS(CalcDepB,CalcPartyB,$E166,CalcKeyB,"&lt;="&amp;Calc!$B163))</f>
        <v/>
      </c>
      <c r="L166" s="4"/>
    </row>
    <row r="167" spans="1:12" x14ac:dyDescent="0.2">
      <c r="A167" s="3" t="str">
        <f>IF($B167="","",COUNTA($B$9:$B167))</f>
        <v/>
      </c>
      <c r="B167" s="4"/>
      <c r="C167" s="4"/>
      <c r="D167" s="4"/>
      <c r="E167" s="4"/>
      <c r="F167" s="3" t="str">
        <f t="shared" si="5"/>
        <v/>
      </c>
      <c r="G167" s="4"/>
      <c r="H167" s="5"/>
      <c r="I167" s="5"/>
      <c r="J167" s="6" t="str">
        <f t="shared" si="4"/>
        <v/>
      </c>
      <c r="K167" s="6" t="str">
        <f>IF(OR($B167="",$E167="",Calc!$B164=""),"",SUMIFS(CalcAmtA,CalcPartyA,$E167,CalcKeyA,"&lt;="&amp;Calc!$B164)-SUMIFS(CalcWitB,CalcPartyB,$E167,CalcKeyB,"&lt;="&amp;Calc!$B164)+SUMIFS(CalcDepB,CalcPartyB,$E167,CalcKeyB,"&lt;="&amp;Calc!$B164))</f>
        <v/>
      </c>
      <c r="L167" s="4"/>
    </row>
    <row r="168" spans="1:12" x14ac:dyDescent="0.2">
      <c r="A168" s="3" t="str">
        <f>IF($B168="","",COUNTA($B$9:$B168))</f>
        <v/>
      </c>
      <c r="B168" s="4"/>
      <c r="C168" s="4"/>
      <c r="D168" s="4"/>
      <c r="E168" s="4"/>
      <c r="F168" s="3" t="str">
        <f t="shared" si="5"/>
        <v/>
      </c>
      <c r="G168" s="4"/>
      <c r="H168" s="5"/>
      <c r="I168" s="5"/>
      <c r="J168" s="6" t="str">
        <f t="shared" si="4"/>
        <v/>
      </c>
      <c r="K168" s="6" t="str">
        <f>IF(OR($B168="",$E168="",Calc!$B165=""),"",SUMIFS(CalcAmtA,CalcPartyA,$E168,CalcKeyA,"&lt;="&amp;Calc!$B165)-SUMIFS(CalcWitB,CalcPartyB,$E168,CalcKeyB,"&lt;="&amp;Calc!$B165)+SUMIFS(CalcDepB,CalcPartyB,$E168,CalcKeyB,"&lt;="&amp;Calc!$B165))</f>
        <v/>
      </c>
      <c r="L168" s="4"/>
    </row>
    <row r="169" spans="1:12" x14ac:dyDescent="0.2">
      <c r="A169" s="3" t="str">
        <f>IF($B169="","",COUNTA($B$9:$B169))</f>
        <v/>
      </c>
      <c r="B169" s="4"/>
      <c r="C169" s="4"/>
      <c r="D169" s="4"/>
      <c r="E169" s="4"/>
      <c r="F169" s="3" t="str">
        <f t="shared" si="5"/>
        <v/>
      </c>
      <c r="G169" s="4"/>
      <c r="H169" s="5"/>
      <c r="I169" s="5"/>
      <c r="J169" s="6" t="str">
        <f t="shared" si="4"/>
        <v/>
      </c>
      <c r="K169" s="6" t="str">
        <f>IF(OR($B169="",$E169="",Calc!$B166=""),"",SUMIFS(CalcAmtA,CalcPartyA,$E169,CalcKeyA,"&lt;="&amp;Calc!$B166)-SUMIFS(CalcWitB,CalcPartyB,$E169,CalcKeyB,"&lt;="&amp;Calc!$B166)+SUMIFS(CalcDepB,CalcPartyB,$E169,CalcKeyB,"&lt;="&amp;Calc!$B166))</f>
        <v/>
      </c>
      <c r="L169" s="4"/>
    </row>
    <row r="170" spans="1:12" x14ac:dyDescent="0.2">
      <c r="A170" s="3" t="str">
        <f>IF($B170="","",COUNTA($B$9:$B170))</f>
        <v/>
      </c>
      <c r="B170" s="4"/>
      <c r="C170" s="4"/>
      <c r="D170" s="4"/>
      <c r="E170" s="4"/>
      <c r="F170" s="3" t="str">
        <f t="shared" si="5"/>
        <v/>
      </c>
      <c r="G170" s="4"/>
      <c r="H170" s="5"/>
      <c r="I170" s="5"/>
      <c r="J170" s="6" t="str">
        <f t="shared" si="4"/>
        <v/>
      </c>
      <c r="K170" s="6" t="str">
        <f>IF(OR($B170="",$E170="",Calc!$B167=""),"",SUMIFS(CalcAmtA,CalcPartyA,$E170,CalcKeyA,"&lt;="&amp;Calc!$B167)-SUMIFS(CalcWitB,CalcPartyB,$E170,CalcKeyB,"&lt;="&amp;Calc!$B167)+SUMIFS(CalcDepB,CalcPartyB,$E170,CalcKeyB,"&lt;="&amp;Calc!$B167))</f>
        <v/>
      </c>
      <c r="L170" s="4"/>
    </row>
    <row r="171" spans="1:12" x14ac:dyDescent="0.2">
      <c r="A171" s="3" t="str">
        <f>IF($B171="","",COUNTA($B$9:$B171))</f>
        <v/>
      </c>
      <c r="B171" s="4"/>
      <c r="C171" s="4"/>
      <c r="D171" s="4"/>
      <c r="E171" s="4"/>
      <c r="F171" s="3" t="str">
        <f t="shared" si="5"/>
        <v/>
      </c>
      <c r="G171" s="4"/>
      <c r="H171" s="5"/>
      <c r="I171" s="5"/>
      <c r="J171" s="6" t="str">
        <f t="shared" si="4"/>
        <v/>
      </c>
      <c r="K171" s="6" t="str">
        <f>IF(OR($B171="",$E171="",Calc!$B168=""),"",SUMIFS(CalcAmtA,CalcPartyA,$E171,CalcKeyA,"&lt;="&amp;Calc!$B168)-SUMIFS(CalcWitB,CalcPartyB,$E171,CalcKeyB,"&lt;="&amp;Calc!$B168)+SUMIFS(CalcDepB,CalcPartyB,$E171,CalcKeyB,"&lt;="&amp;Calc!$B168))</f>
        <v/>
      </c>
      <c r="L171" s="4"/>
    </row>
    <row r="172" spans="1:12" x14ac:dyDescent="0.2">
      <c r="A172" s="3" t="str">
        <f>IF($B172="","",COUNTA($B$9:$B172))</f>
        <v/>
      </c>
      <c r="B172" s="4"/>
      <c r="C172" s="4"/>
      <c r="D172" s="4"/>
      <c r="E172" s="4"/>
      <c r="F172" s="3" t="str">
        <f t="shared" si="5"/>
        <v/>
      </c>
      <c r="G172" s="4"/>
      <c r="H172" s="5"/>
      <c r="I172" s="5"/>
      <c r="J172" s="6" t="str">
        <f t="shared" si="4"/>
        <v/>
      </c>
      <c r="K172" s="6" t="str">
        <f>IF(OR($B172="",$E172="",Calc!$B169=""),"",SUMIFS(CalcAmtA,CalcPartyA,$E172,CalcKeyA,"&lt;="&amp;Calc!$B169)-SUMIFS(CalcWitB,CalcPartyB,$E172,CalcKeyB,"&lt;="&amp;Calc!$B169)+SUMIFS(CalcDepB,CalcPartyB,$E172,CalcKeyB,"&lt;="&amp;Calc!$B169))</f>
        <v/>
      </c>
      <c r="L172" s="4"/>
    </row>
    <row r="173" spans="1:12" x14ac:dyDescent="0.2">
      <c r="A173" s="3" t="str">
        <f>IF($B173="","",COUNTA($B$9:$B173))</f>
        <v/>
      </c>
      <c r="B173" s="4"/>
      <c r="C173" s="4"/>
      <c r="D173" s="4"/>
      <c r="E173" s="4"/>
      <c r="F173" s="3" t="str">
        <f t="shared" si="5"/>
        <v/>
      </c>
      <c r="G173" s="4"/>
      <c r="H173" s="5"/>
      <c r="I173" s="5"/>
      <c r="J173" s="6" t="str">
        <f t="shared" si="4"/>
        <v/>
      </c>
      <c r="K173" s="6" t="str">
        <f>IF(OR($B173="",$E173="",Calc!$B170=""),"",SUMIFS(CalcAmtA,CalcPartyA,$E173,CalcKeyA,"&lt;="&amp;Calc!$B170)-SUMIFS(CalcWitB,CalcPartyB,$E173,CalcKeyB,"&lt;="&amp;Calc!$B170)+SUMIFS(CalcDepB,CalcPartyB,$E173,CalcKeyB,"&lt;="&amp;Calc!$B170))</f>
        <v/>
      </c>
      <c r="L173" s="4"/>
    </row>
    <row r="174" spans="1:12" x14ac:dyDescent="0.2">
      <c r="A174" s="3" t="str">
        <f>IF($B174="","",COUNTA($B$9:$B174))</f>
        <v/>
      </c>
      <c r="B174" s="4"/>
      <c r="C174" s="4"/>
      <c r="D174" s="4"/>
      <c r="E174" s="4"/>
      <c r="F174" s="3" t="str">
        <f t="shared" si="5"/>
        <v/>
      </c>
      <c r="G174" s="4"/>
      <c r="H174" s="5"/>
      <c r="I174" s="5"/>
      <c r="J174" s="6" t="str">
        <f t="shared" si="4"/>
        <v/>
      </c>
      <c r="K174" s="6" t="str">
        <f>IF(OR($B174="",$E174="",Calc!$B171=""),"",SUMIFS(CalcAmtA,CalcPartyA,$E174,CalcKeyA,"&lt;="&amp;Calc!$B171)-SUMIFS(CalcWitB,CalcPartyB,$E174,CalcKeyB,"&lt;="&amp;Calc!$B171)+SUMIFS(CalcDepB,CalcPartyB,$E174,CalcKeyB,"&lt;="&amp;Calc!$B171))</f>
        <v/>
      </c>
      <c r="L174" s="4"/>
    </row>
    <row r="175" spans="1:12" x14ac:dyDescent="0.2">
      <c r="A175" s="3" t="str">
        <f>IF($B175="","",COUNTA($B$9:$B175))</f>
        <v/>
      </c>
      <c r="B175" s="4"/>
      <c r="C175" s="4"/>
      <c r="D175" s="4"/>
      <c r="E175" s="4"/>
      <c r="F175" s="3" t="str">
        <f t="shared" si="5"/>
        <v/>
      </c>
      <c r="G175" s="4"/>
      <c r="H175" s="5"/>
      <c r="I175" s="5"/>
      <c r="J175" s="6" t="str">
        <f t="shared" si="4"/>
        <v/>
      </c>
      <c r="K175" s="6" t="str">
        <f>IF(OR($B175="",$E175="",Calc!$B172=""),"",SUMIFS(CalcAmtA,CalcPartyA,$E175,CalcKeyA,"&lt;="&amp;Calc!$B172)-SUMIFS(CalcWitB,CalcPartyB,$E175,CalcKeyB,"&lt;="&amp;Calc!$B172)+SUMIFS(CalcDepB,CalcPartyB,$E175,CalcKeyB,"&lt;="&amp;Calc!$B172))</f>
        <v/>
      </c>
      <c r="L175" s="4"/>
    </row>
    <row r="176" spans="1:12" x14ac:dyDescent="0.2">
      <c r="A176" s="3" t="str">
        <f>IF($B176="","",COUNTA($B$9:$B176))</f>
        <v/>
      </c>
      <c r="B176" s="4"/>
      <c r="C176" s="4"/>
      <c r="D176" s="4"/>
      <c r="E176" s="4"/>
      <c r="F176" s="3" t="str">
        <f t="shared" si="5"/>
        <v/>
      </c>
      <c r="G176" s="4"/>
      <c r="H176" s="5"/>
      <c r="I176" s="5"/>
      <c r="J176" s="6" t="str">
        <f t="shared" si="4"/>
        <v/>
      </c>
      <c r="K176" s="6" t="str">
        <f>IF(OR($B176="",$E176="",Calc!$B173=""),"",SUMIFS(CalcAmtA,CalcPartyA,$E176,CalcKeyA,"&lt;="&amp;Calc!$B173)-SUMIFS(CalcWitB,CalcPartyB,$E176,CalcKeyB,"&lt;="&amp;Calc!$B173)+SUMIFS(CalcDepB,CalcPartyB,$E176,CalcKeyB,"&lt;="&amp;Calc!$B173))</f>
        <v/>
      </c>
      <c r="L176" s="4"/>
    </row>
    <row r="177" spans="1:12" x14ac:dyDescent="0.2">
      <c r="A177" s="3" t="str">
        <f>IF($B177="","",COUNTA($B$9:$B177))</f>
        <v/>
      </c>
      <c r="B177" s="4"/>
      <c r="C177" s="4"/>
      <c r="D177" s="4"/>
      <c r="E177" s="4"/>
      <c r="F177" s="3" t="str">
        <f t="shared" si="5"/>
        <v/>
      </c>
      <c r="G177" s="4"/>
      <c r="H177" s="5"/>
      <c r="I177" s="5"/>
      <c r="J177" s="6" t="str">
        <f t="shared" si="4"/>
        <v/>
      </c>
      <c r="K177" s="6" t="str">
        <f>IF(OR($B177="",$E177="",Calc!$B174=""),"",SUMIFS(CalcAmtA,CalcPartyA,$E177,CalcKeyA,"&lt;="&amp;Calc!$B174)-SUMIFS(CalcWitB,CalcPartyB,$E177,CalcKeyB,"&lt;="&amp;Calc!$B174)+SUMIFS(CalcDepB,CalcPartyB,$E177,CalcKeyB,"&lt;="&amp;Calc!$B174))</f>
        <v/>
      </c>
      <c r="L177" s="4"/>
    </row>
    <row r="178" spans="1:12" x14ac:dyDescent="0.2">
      <c r="A178" s="3" t="str">
        <f>IF($B178="","",COUNTA($B$9:$B178))</f>
        <v/>
      </c>
      <c r="B178" s="4"/>
      <c r="C178" s="4"/>
      <c r="D178" s="4"/>
      <c r="E178" s="4"/>
      <c r="F178" s="3" t="str">
        <f t="shared" si="5"/>
        <v/>
      </c>
      <c r="G178" s="4"/>
      <c r="H178" s="5"/>
      <c r="I178" s="5"/>
      <c r="J178" s="6" t="str">
        <f t="shared" si="4"/>
        <v/>
      </c>
      <c r="K178" s="6" t="str">
        <f>IF(OR($B178="",$E178="",Calc!$B175=""),"",SUMIFS(CalcAmtA,CalcPartyA,$E178,CalcKeyA,"&lt;="&amp;Calc!$B175)-SUMIFS(CalcWitB,CalcPartyB,$E178,CalcKeyB,"&lt;="&amp;Calc!$B175)+SUMIFS(CalcDepB,CalcPartyB,$E178,CalcKeyB,"&lt;="&amp;Calc!$B175))</f>
        <v/>
      </c>
      <c r="L178" s="4"/>
    </row>
    <row r="179" spans="1:12" x14ac:dyDescent="0.2">
      <c r="A179" s="3" t="str">
        <f>IF($B179="","",COUNTA($B$9:$B179))</f>
        <v/>
      </c>
      <c r="B179" s="4"/>
      <c r="C179" s="4"/>
      <c r="D179" s="4"/>
      <c r="E179" s="4"/>
      <c r="F179" s="3" t="str">
        <f t="shared" si="5"/>
        <v/>
      </c>
      <c r="G179" s="4"/>
      <c r="H179" s="5"/>
      <c r="I179" s="5"/>
      <c r="J179" s="6" t="str">
        <f t="shared" si="4"/>
        <v/>
      </c>
      <c r="K179" s="6" t="str">
        <f>IF(OR($B179="",$E179="",Calc!$B176=""),"",SUMIFS(CalcAmtA,CalcPartyA,$E179,CalcKeyA,"&lt;="&amp;Calc!$B176)-SUMIFS(CalcWitB,CalcPartyB,$E179,CalcKeyB,"&lt;="&amp;Calc!$B176)+SUMIFS(CalcDepB,CalcPartyB,$E179,CalcKeyB,"&lt;="&amp;Calc!$B176))</f>
        <v/>
      </c>
      <c r="L179" s="4"/>
    </row>
    <row r="180" spans="1:12" x14ac:dyDescent="0.2">
      <c r="A180" s="3" t="str">
        <f>IF($B180="","",COUNTA($B$9:$B180))</f>
        <v/>
      </c>
      <c r="B180" s="4"/>
      <c r="C180" s="4"/>
      <c r="D180" s="4"/>
      <c r="E180" s="4"/>
      <c r="F180" s="3" t="str">
        <f t="shared" si="5"/>
        <v/>
      </c>
      <c r="G180" s="4"/>
      <c r="H180" s="5"/>
      <c r="I180" s="5"/>
      <c r="J180" s="6" t="str">
        <f t="shared" si="4"/>
        <v/>
      </c>
      <c r="K180" s="6" t="str">
        <f>IF(OR($B180="",$E180="",Calc!$B177=""),"",SUMIFS(CalcAmtA,CalcPartyA,$E180,CalcKeyA,"&lt;="&amp;Calc!$B177)-SUMIFS(CalcWitB,CalcPartyB,$E180,CalcKeyB,"&lt;="&amp;Calc!$B177)+SUMIFS(CalcDepB,CalcPartyB,$E180,CalcKeyB,"&lt;="&amp;Calc!$B177))</f>
        <v/>
      </c>
      <c r="L180" s="4"/>
    </row>
    <row r="181" spans="1:12" x14ac:dyDescent="0.2">
      <c r="A181" s="3" t="str">
        <f>IF($B181="","",COUNTA($B$9:$B181))</f>
        <v/>
      </c>
      <c r="B181" s="4"/>
      <c r="C181" s="4"/>
      <c r="D181" s="4"/>
      <c r="E181" s="4"/>
      <c r="F181" s="3" t="str">
        <f t="shared" si="5"/>
        <v/>
      </c>
      <c r="G181" s="4"/>
      <c r="H181" s="5"/>
      <c r="I181" s="5"/>
      <c r="J181" s="6" t="str">
        <f t="shared" si="4"/>
        <v/>
      </c>
      <c r="K181" s="6" t="str">
        <f>IF(OR($B181="",$E181="",Calc!$B178=""),"",SUMIFS(CalcAmtA,CalcPartyA,$E181,CalcKeyA,"&lt;="&amp;Calc!$B178)-SUMIFS(CalcWitB,CalcPartyB,$E181,CalcKeyB,"&lt;="&amp;Calc!$B178)+SUMIFS(CalcDepB,CalcPartyB,$E181,CalcKeyB,"&lt;="&amp;Calc!$B178))</f>
        <v/>
      </c>
      <c r="L181" s="4"/>
    </row>
    <row r="182" spans="1:12" x14ac:dyDescent="0.2">
      <c r="A182" s="3" t="str">
        <f>IF($B182="","",COUNTA($B$9:$B182))</f>
        <v/>
      </c>
      <c r="B182" s="4"/>
      <c r="C182" s="4"/>
      <c r="D182" s="4"/>
      <c r="E182" s="4"/>
      <c r="F182" s="3" t="str">
        <f t="shared" si="5"/>
        <v/>
      </c>
      <c r="G182" s="4"/>
      <c r="H182" s="5"/>
      <c r="I182" s="5"/>
      <c r="J182" s="6" t="str">
        <f t="shared" si="4"/>
        <v/>
      </c>
      <c r="K182" s="6" t="str">
        <f>IF(OR($B182="",$E182="",Calc!$B179=""),"",SUMIFS(CalcAmtA,CalcPartyA,$E182,CalcKeyA,"&lt;="&amp;Calc!$B179)-SUMIFS(CalcWitB,CalcPartyB,$E182,CalcKeyB,"&lt;="&amp;Calc!$B179)+SUMIFS(CalcDepB,CalcPartyB,$E182,CalcKeyB,"&lt;="&amp;Calc!$B179))</f>
        <v/>
      </c>
      <c r="L182" s="4"/>
    </row>
    <row r="183" spans="1:12" x14ac:dyDescent="0.2">
      <c r="A183" s="3" t="str">
        <f>IF($B183="","",COUNTA($B$9:$B183))</f>
        <v/>
      </c>
      <c r="B183" s="4"/>
      <c r="C183" s="4"/>
      <c r="D183" s="4"/>
      <c r="E183" s="4"/>
      <c r="F183" s="3" t="str">
        <f t="shared" si="5"/>
        <v/>
      </c>
      <c r="G183" s="4"/>
      <c r="H183" s="5"/>
      <c r="I183" s="5"/>
      <c r="J183" s="6" t="str">
        <f t="shared" si="4"/>
        <v/>
      </c>
      <c r="K183" s="6" t="str">
        <f>IF(OR($B183="",$E183="",Calc!$B180=""),"",SUMIFS(CalcAmtA,CalcPartyA,$E183,CalcKeyA,"&lt;="&amp;Calc!$B180)-SUMIFS(CalcWitB,CalcPartyB,$E183,CalcKeyB,"&lt;="&amp;Calc!$B180)+SUMIFS(CalcDepB,CalcPartyB,$E183,CalcKeyB,"&lt;="&amp;Calc!$B180))</f>
        <v/>
      </c>
      <c r="L183" s="4"/>
    </row>
    <row r="184" spans="1:12" x14ac:dyDescent="0.2">
      <c r="A184" s="3" t="str">
        <f>IF($B184="","",COUNTA($B$9:$B184))</f>
        <v/>
      </c>
      <c r="B184" s="4"/>
      <c r="C184" s="4"/>
      <c r="D184" s="4"/>
      <c r="E184" s="4"/>
      <c r="F184" s="3" t="str">
        <f t="shared" si="5"/>
        <v/>
      </c>
      <c r="G184" s="4"/>
      <c r="H184" s="5"/>
      <c r="I184" s="5"/>
      <c r="J184" s="6" t="str">
        <f t="shared" si="4"/>
        <v/>
      </c>
      <c r="K184" s="6" t="str">
        <f>IF(OR($B184="",$E184="",Calc!$B181=""),"",SUMIFS(CalcAmtA,CalcPartyA,$E184,CalcKeyA,"&lt;="&amp;Calc!$B181)-SUMIFS(CalcWitB,CalcPartyB,$E184,CalcKeyB,"&lt;="&amp;Calc!$B181)+SUMIFS(CalcDepB,CalcPartyB,$E184,CalcKeyB,"&lt;="&amp;Calc!$B181))</f>
        <v/>
      </c>
      <c r="L184" s="4"/>
    </row>
    <row r="185" spans="1:12" x14ac:dyDescent="0.2">
      <c r="A185" s="3" t="str">
        <f>IF($B185="","",COUNTA($B$9:$B185))</f>
        <v/>
      </c>
      <c r="B185" s="4"/>
      <c r="C185" s="4"/>
      <c r="D185" s="4"/>
      <c r="E185" s="4"/>
      <c r="F185" s="3" t="str">
        <f t="shared" si="5"/>
        <v/>
      </c>
      <c r="G185" s="4"/>
      <c r="H185" s="5"/>
      <c r="I185" s="5"/>
      <c r="J185" s="6" t="str">
        <f t="shared" si="4"/>
        <v/>
      </c>
      <c r="K185" s="6" t="str">
        <f>IF(OR($B185="",$E185="",Calc!$B182=""),"",SUMIFS(CalcAmtA,CalcPartyA,$E185,CalcKeyA,"&lt;="&amp;Calc!$B182)-SUMIFS(CalcWitB,CalcPartyB,$E185,CalcKeyB,"&lt;="&amp;Calc!$B182)+SUMIFS(CalcDepB,CalcPartyB,$E185,CalcKeyB,"&lt;="&amp;Calc!$B182))</f>
        <v/>
      </c>
      <c r="L185" s="4"/>
    </row>
    <row r="186" spans="1:12" x14ac:dyDescent="0.2">
      <c r="A186" s="3" t="str">
        <f>IF($B186="","",COUNTA($B$9:$B186))</f>
        <v/>
      </c>
      <c r="B186" s="4"/>
      <c r="C186" s="4"/>
      <c r="D186" s="4"/>
      <c r="E186" s="4"/>
      <c r="F186" s="3" t="str">
        <f t="shared" si="5"/>
        <v/>
      </c>
      <c r="G186" s="4"/>
      <c r="H186" s="5"/>
      <c r="I186" s="5"/>
      <c r="J186" s="6" t="str">
        <f t="shared" si="4"/>
        <v/>
      </c>
      <c r="K186" s="6" t="str">
        <f>IF(OR($B186="",$E186="",Calc!$B183=""),"",SUMIFS(CalcAmtA,CalcPartyA,$E186,CalcKeyA,"&lt;="&amp;Calc!$B183)-SUMIFS(CalcWitB,CalcPartyB,$E186,CalcKeyB,"&lt;="&amp;Calc!$B183)+SUMIFS(CalcDepB,CalcPartyB,$E186,CalcKeyB,"&lt;="&amp;Calc!$B183))</f>
        <v/>
      </c>
      <c r="L186" s="4"/>
    </row>
    <row r="187" spans="1:12" x14ac:dyDescent="0.2">
      <c r="A187" s="3" t="str">
        <f>IF($B187="","",COUNTA($B$9:$B187))</f>
        <v/>
      </c>
      <c r="B187" s="4"/>
      <c r="C187" s="4"/>
      <c r="D187" s="4"/>
      <c r="E187" s="4"/>
      <c r="F187" s="3" t="str">
        <f t="shared" si="5"/>
        <v/>
      </c>
      <c r="G187" s="4"/>
      <c r="H187" s="5"/>
      <c r="I187" s="5"/>
      <c r="J187" s="6" t="str">
        <f t="shared" si="4"/>
        <v/>
      </c>
      <c r="K187" s="6" t="str">
        <f>IF(OR($B187="",$E187="",Calc!$B184=""),"",SUMIFS(CalcAmtA,CalcPartyA,$E187,CalcKeyA,"&lt;="&amp;Calc!$B184)-SUMIFS(CalcWitB,CalcPartyB,$E187,CalcKeyB,"&lt;="&amp;Calc!$B184)+SUMIFS(CalcDepB,CalcPartyB,$E187,CalcKeyB,"&lt;="&amp;Calc!$B184))</f>
        <v/>
      </c>
      <c r="L187" s="4"/>
    </row>
    <row r="188" spans="1:12" x14ac:dyDescent="0.2">
      <c r="A188" s="3" t="str">
        <f>IF($B188="","",COUNTA($B$9:$B188))</f>
        <v/>
      </c>
      <c r="B188" s="4"/>
      <c r="C188" s="4"/>
      <c r="D188" s="4"/>
      <c r="E188" s="4"/>
      <c r="F188" s="3" t="str">
        <f t="shared" si="5"/>
        <v/>
      </c>
      <c r="G188" s="4"/>
      <c r="H188" s="5"/>
      <c r="I188" s="5"/>
      <c r="J188" s="6" t="str">
        <f t="shared" si="4"/>
        <v/>
      </c>
      <c r="K188" s="6" t="str">
        <f>IF(OR($B188="",$E188="",Calc!$B185=""),"",SUMIFS(CalcAmtA,CalcPartyA,$E188,CalcKeyA,"&lt;="&amp;Calc!$B185)-SUMIFS(CalcWitB,CalcPartyB,$E188,CalcKeyB,"&lt;="&amp;Calc!$B185)+SUMIFS(CalcDepB,CalcPartyB,$E188,CalcKeyB,"&lt;="&amp;Calc!$B185))</f>
        <v/>
      </c>
      <c r="L188" s="4"/>
    </row>
    <row r="189" spans="1:12" x14ac:dyDescent="0.2">
      <c r="A189" s="3" t="str">
        <f>IF($B189="","",COUNTA($B$9:$B189))</f>
        <v/>
      </c>
      <c r="B189" s="4"/>
      <c r="C189" s="4"/>
      <c r="D189" s="4"/>
      <c r="E189" s="4"/>
      <c r="F189" s="3" t="str">
        <f t="shared" si="5"/>
        <v/>
      </c>
      <c r="G189" s="4"/>
      <c r="H189" s="5"/>
      <c r="I189" s="5"/>
      <c r="J189" s="6" t="str">
        <f t="shared" si="4"/>
        <v/>
      </c>
      <c r="K189" s="6" t="str">
        <f>IF(OR($B189="",$E189="",Calc!$B186=""),"",SUMIFS(CalcAmtA,CalcPartyA,$E189,CalcKeyA,"&lt;="&amp;Calc!$B186)-SUMIFS(CalcWitB,CalcPartyB,$E189,CalcKeyB,"&lt;="&amp;Calc!$B186)+SUMIFS(CalcDepB,CalcPartyB,$E189,CalcKeyB,"&lt;="&amp;Calc!$B186))</f>
        <v/>
      </c>
      <c r="L189" s="4"/>
    </row>
    <row r="190" spans="1:12" x14ac:dyDescent="0.2">
      <c r="A190" s="3" t="str">
        <f>IF($B190="","",COUNTA($B$9:$B190))</f>
        <v/>
      </c>
      <c r="B190" s="4"/>
      <c r="C190" s="4"/>
      <c r="D190" s="4"/>
      <c r="E190" s="4"/>
      <c r="F190" s="3" t="str">
        <f t="shared" si="5"/>
        <v/>
      </c>
      <c r="G190" s="4"/>
      <c r="H190" s="5"/>
      <c r="I190" s="5"/>
      <c r="J190" s="6" t="str">
        <f t="shared" si="4"/>
        <v/>
      </c>
      <c r="K190" s="6" t="str">
        <f>IF(OR($B190="",$E190="",Calc!$B187=""),"",SUMIFS(CalcAmtA,CalcPartyA,$E190,CalcKeyA,"&lt;="&amp;Calc!$B187)-SUMIFS(CalcWitB,CalcPartyB,$E190,CalcKeyB,"&lt;="&amp;Calc!$B187)+SUMIFS(CalcDepB,CalcPartyB,$E190,CalcKeyB,"&lt;="&amp;Calc!$B187))</f>
        <v/>
      </c>
      <c r="L190" s="4"/>
    </row>
    <row r="191" spans="1:12" x14ac:dyDescent="0.2">
      <c r="A191" s="3" t="str">
        <f>IF($B191="","",COUNTA($B$9:$B191))</f>
        <v/>
      </c>
      <c r="B191" s="4"/>
      <c r="C191" s="4"/>
      <c r="D191" s="4"/>
      <c r="E191" s="4"/>
      <c r="F191" s="3" t="str">
        <f t="shared" si="5"/>
        <v/>
      </c>
      <c r="G191" s="4"/>
      <c r="H191" s="5"/>
      <c r="I191" s="5"/>
      <c r="J191" s="6" t="str">
        <f t="shared" si="4"/>
        <v/>
      </c>
      <c r="K191" s="6" t="str">
        <f>IF(OR($B191="",$E191="",Calc!$B188=""),"",SUMIFS(CalcAmtA,CalcPartyA,$E191,CalcKeyA,"&lt;="&amp;Calc!$B188)-SUMIFS(CalcWitB,CalcPartyB,$E191,CalcKeyB,"&lt;="&amp;Calc!$B188)+SUMIFS(CalcDepB,CalcPartyB,$E191,CalcKeyB,"&lt;="&amp;Calc!$B188))</f>
        <v/>
      </c>
      <c r="L191" s="4"/>
    </row>
    <row r="192" spans="1:12" x14ac:dyDescent="0.2">
      <c r="A192" s="3" t="str">
        <f>IF($B192="","",COUNTA($B$9:$B192))</f>
        <v/>
      </c>
      <c r="B192" s="4"/>
      <c r="C192" s="4"/>
      <c r="D192" s="4"/>
      <c r="E192" s="4"/>
      <c r="F192" s="3" t="str">
        <f t="shared" si="5"/>
        <v/>
      </c>
      <c r="G192" s="4"/>
      <c r="H192" s="5"/>
      <c r="I192" s="5"/>
      <c r="J192" s="6" t="str">
        <f t="shared" si="4"/>
        <v/>
      </c>
      <c r="K192" s="6" t="str">
        <f>IF(OR($B192="",$E192="",Calc!$B189=""),"",SUMIFS(CalcAmtA,CalcPartyA,$E192,CalcKeyA,"&lt;="&amp;Calc!$B189)-SUMIFS(CalcWitB,CalcPartyB,$E192,CalcKeyB,"&lt;="&amp;Calc!$B189)+SUMIFS(CalcDepB,CalcPartyB,$E192,CalcKeyB,"&lt;="&amp;Calc!$B189))</f>
        <v/>
      </c>
      <c r="L192" s="4"/>
    </row>
    <row r="193" spans="1:12" x14ac:dyDescent="0.2">
      <c r="A193" s="3" t="str">
        <f>IF($B193="","",COUNTA($B$9:$B193))</f>
        <v/>
      </c>
      <c r="B193" s="4"/>
      <c r="C193" s="4"/>
      <c r="D193" s="4"/>
      <c r="E193" s="4"/>
      <c r="F193" s="3" t="str">
        <f t="shared" si="5"/>
        <v/>
      </c>
      <c r="G193" s="4"/>
      <c r="H193" s="5"/>
      <c r="I193" s="5"/>
      <c r="J193" s="6" t="str">
        <f t="shared" si="4"/>
        <v/>
      </c>
      <c r="K193" s="6" t="str">
        <f>IF(OR($B193="",$E193="",Calc!$B190=""),"",SUMIFS(CalcAmtA,CalcPartyA,$E193,CalcKeyA,"&lt;="&amp;Calc!$B190)-SUMIFS(CalcWitB,CalcPartyB,$E193,CalcKeyB,"&lt;="&amp;Calc!$B190)+SUMIFS(CalcDepB,CalcPartyB,$E193,CalcKeyB,"&lt;="&amp;Calc!$B190))</f>
        <v/>
      </c>
      <c r="L193" s="4"/>
    </row>
    <row r="194" spans="1:12" x14ac:dyDescent="0.2">
      <c r="A194" s="3" t="str">
        <f>IF($B194="","",COUNTA($B$9:$B194))</f>
        <v/>
      </c>
      <c r="B194" s="4"/>
      <c r="C194" s="4"/>
      <c r="D194" s="4"/>
      <c r="E194" s="4"/>
      <c r="F194" s="3" t="str">
        <f t="shared" si="5"/>
        <v/>
      </c>
      <c r="G194" s="4"/>
      <c r="H194" s="5"/>
      <c r="I194" s="5"/>
      <c r="J194" s="6" t="str">
        <f t="shared" si="4"/>
        <v/>
      </c>
      <c r="K194" s="6" t="str">
        <f>IF(OR($B194="",$E194="",Calc!$B191=""),"",SUMIFS(CalcAmtA,CalcPartyA,$E194,CalcKeyA,"&lt;="&amp;Calc!$B191)-SUMIFS(CalcWitB,CalcPartyB,$E194,CalcKeyB,"&lt;="&amp;Calc!$B191)+SUMIFS(CalcDepB,CalcPartyB,$E194,CalcKeyB,"&lt;="&amp;Calc!$B191))</f>
        <v/>
      </c>
      <c r="L194" s="4"/>
    </row>
    <row r="195" spans="1:12" x14ac:dyDescent="0.2">
      <c r="A195" s="3" t="str">
        <f>IF($B195="","",COUNTA($B$9:$B195))</f>
        <v/>
      </c>
      <c r="B195" s="4"/>
      <c r="C195" s="4"/>
      <c r="D195" s="4"/>
      <c r="E195" s="4"/>
      <c r="F195" s="3" t="str">
        <f t="shared" si="5"/>
        <v/>
      </c>
      <c r="G195" s="4"/>
      <c r="H195" s="5"/>
      <c r="I195" s="5"/>
      <c r="J195" s="6" t="str">
        <f t="shared" si="4"/>
        <v/>
      </c>
      <c r="K195" s="6" t="str">
        <f>IF(OR($B195="",$E195="",Calc!$B192=""),"",SUMIFS(CalcAmtA,CalcPartyA,$E195,CalcKeyA,"&lt;="&amp;Calc!$B192)-SUMIFS(CalcWitB,CalcPartyB,$E195,CalcKeyB,"&lt;="&amp;Calc!$B192)+SUMIFS(CalcDepB,CalcPartyB,$E195,CalcKeyB,"&lt;="&amp;Calc!$B192))</f>
        <v/>
      </c>
      <c r="L195" s="4"/>
    </row>
    <row r="196" spans="1:12" x14ac:dyDescent="0.2">
      <c r="A196" s="3" t="str">
        <f>IF($B196="","",COUNTA($B$9:$B196))</f>
        <v/>
      </c>
      <c r="B196" s="4"/>
      <c r="C196" s="4"/>
      <c r="D196" s="4"/>
      <c r="E196" s="4"/>
      <c r="F196" s="3" t="str">
        <f t="shared" si="5"/>
        <v/>
      </c>
      <c r="G196" s="4"/>
      <c r="H196" s="5"/>
      <c r="I196" s="5"/>
      <c r="J196" s="6" t="str">
        <f t="shared" si="4"/>
        <v/>
      </c>
      <c r="K196" s="6" t="str">
        <f>IF(OR($B196="",$E196="",Calc!$B193=""),"",SUMIFS(CalcAmtA,CalcPartyA,$E196,CalcKeyA,"&lt;="&amp;Calc!$B193)-SUMIFS(CalcWitB,CalcPartyB,$E196,CalcKeyB,"&lt;="&amp;Calc!$B193)+SUMIFS(CalcDepB,CalcPartyB,$E196,CalcKeyB,"&lt;="&amp;Calc!$B193))</f>
        <v/>
      </c>
      <c r="L196" s="4"/>
    </row>
    <row r="197" spans="1:12" x14ac:dyDescent="0.2">
      <c r="A197" s="3" t="str">
        <f>IF($B197="","",COUNTA($B$9:$B197))</f>
        <v/>
      </c>
      <c r="B197" s="4"/>
      <c r="C197" s="4"/>
      <c r="D197" s="4"/>
      <c r="E197" s="4"/>
      <c r="F197" s="3" t="str">
        <f t="shared" si="5"/>
        <v/>
      </c>
      <c r="G197" s="4"/>
      <c r="H197" s="5"/>
      <c r="I197" s="5"/>
      <c r="J197" s="6" t="str">
        <f t="shared" si="4"/>
        <v/>
      </c>
      <c r="K197" s="6" t="str">
        <f>IF(OR($B197="",$E197="",Calc!$B194=""),"",SUMIFS(CalcAmtA,CalcPartyA,$E197,CalcKeyA,"&lt;="&amp;Calc!$B194)-SUMIFS(CalcWitB,CalcPartyB,$E197,CalcKeyB,"&lt;="&amp;Calc!$B194)+SUMIFS(CalcDepB,CalcPartyB,$E197,CalcKeyB,"&lt;="&amp;Calc!$B194))</f>
        <v/>
      </c>
      <c r="L197" s="4"/>
    </row>
    <row r="198" spans="1:12" x14ac:dyDescent="0.2">
      <c r="A198" s="3" t="str">
        <f>IF($B198="","",COUNTA($B$9:$B198))</f>
        <v/>
      </c>
      <c r="B198" s="4"/>
      <c r="C198" s="4"/>
      <c r="D198" s="4"/>
      <c r="E198" s="4"/>
      <c r="F198" s="3" t="str">
        <f t="shared" si="5"/>
        <v/>
      </c>
      <c r="G198" s="4"/>
      <c r="H198" s="5"/>
      <c r="I198" s="5"/>
      <c r="J198" s="6" t="str">
        <f t="shared" ref="J198:J261" si="6">IF(OR($H198="",$I198=""),"",ROUND($H198*$I198,0))</f>
        <v/>
      </c>
      <c r="K198" s="6" t="str">
        <f>IF(OR($B198="",$E198="",Calc!$B195=""),"",SUMIFS(CalcAmtA,CalcPartyA,$E198,CalcKeyA,"&lt;="&amp;Calc!$B195)-SUMIFS(CalcWitB,CalcPartyB,$E198,CalcKeyB,"&lt;="&amp;Calc!$B195)+SUMIFS(CalcDepB,CalcPartyB,$E198,CalcKeyB,"&lt;="&amp;Calc!$B195))</f>
        <v/>
      </c>
      <c r="L198" s="4"/>
    </row>
    <row r="199" spans="1:12" x14ac:dyDescent="0.2">
      <c r="A199" s="3" t="str">
        <f>IF($B199="","",COUNTA($B$9:$B199))</f>
        <v/>
      </c>
      <c r="B199" s="4"/>
      <c r="C199" s="4"/>
      <c r="D199" s="4"/>
      <c r="E199" s="4"/>
      <c r="F199" s="3" t="str">
        <f t="shared" si="5"/>
        <v/>
      </c>
      <c r="G199" s="4"/>
      <c r="H199" s="5"/>
      <c r="I199" s="5"/>
      <c r="J199" s="6" t="str">
        <f t="shared" si="6"/>
        <v/>
      </c>
      <c r="K199" s="6" t="str">
        <f>IF(OR($B199="",$E199="",Calc!$B196=""),"",SUMIFS(CalcAmtA,CalcPartyA,$E199,CalcKeyA,"&lt;="&amp;Calc!$B196)-SUMIFS(CalcWitB,CalcPartyB,$E199,CalcKeyB,"&lt;="&amp;Calc!$B196)+SUMIFS(CalcDepB,CalcPartyB,$E199,CalcKeyB,"&lt;="&amp;Calc!$B196))</f>
        <v/>
      </c>
      <c r="L199" s="4"/>
    </row>
    <row r="200" spans="1:12" x14ac:dyDescent="0.2">
      <c r="A200" s="3" t="str">
        <f>IF($B200="","",COUNTA($B$9:$B200))</f>
        <v/>
      </c>
      <c r="B200" s="4"/>
      <c r="C200" s="4"/>
      <c r="D200" s="4"/>
      <c r="E200" s="4"/>
      <c r="F200" s="3" t="str">
        <f t="shared" si="5"/>
        <v/>
      </c>
      <c r="G200" s="4"/>
      <c r="H200" s="5"/>
      <c r="I200" s="5"/>
      <c r="J200" s="6" t="str">
        <f t="shared" si="6"/>
        <v/>
      </c>
      <c r="K200" s="6" t="str">
        <f>IF(OR($B200="",$E200="",Calc!$B197=""),"",SUMIFS(CalcAmtA,CalcPartyA,$E200,CalcKeyA,"&lt;="&amp;Calc!$B197)-SUMIFS(CalcWitB,CalcPartyB,$E200,CalcKeyB,"&lt;="&amp;Calc!$B197)+SUMIFS(CalcDepB,CalcPartyB,$E200,CalcKeyB,"&lt;="&amp;Calc!$B197))</f>
        <v/>
      </c>
      <c r="L200" s="4"/>
    </row>
    <row r="201" spans="1:12" x14ac:dyDescent="0.2">
      <c r="A201" s="3" t="str">
        <f>IF($B201="","",COUNTA($B$9:$B201))</f>
        <v/>
      </c>
      <c r="B201" s="4"/>
      <c r="C201" s="4"/>
      <c r="D201" s="4"/>
      <c r="E201" s="4"/>
      <c r="F201" s="3" t="str">
        <f t="shared" ref="F201:F264" si="7">IF($E201="","",IFERROR(IF(VLOOKUP($E201,AcctTbl,4,0)="","",VLOOKUP($E201,AcctTbl,4,0)),"—"))</f>
        <v/>
      </c>
      <c r="G201" s="4"/>
      <c r="H201" s="5"/>
      <c r="I201" s="5"/>
      <c r="J201" s="6" t="str">
        <f t="shared" si="6"/>
        <v/>
      </c>
      <c r="K201" s="6" t="str">
        <f>IF(OR($B201="",$E201="",Calc!$B198=""),"",SUMIFS(CalcAmtA,CalcPartyA,$E201,CalcKeyA,"&lt;="&amp;Calc!$B198)-SUMIFS(CalcWitB,CalcPartyB,$E201,CalcKeyB,"&lt;="&amp;Calc!$B198)+SUMIFS(CalcDepB,CalcPartyB,$E201,CalcKeyB,"&lt;="&amp;Calc!$B198))</f>
        <v/>
      </c>
      <c r="L201" s="4"/>
    </row>
    <row r="202" spans="1:12" x14ac:dyDescent="0.2">
      <c r="A202" s="3" t="str">
        <f>IF($B202="","",COUNTA($B$9:$B202))</f>
        <v/>
      </c>
      <c r="B202" s="4"/>
      <c r="C202" s="4"/>
      <c r="D202" s="4"/>
      <c r="E202" s="4"/>
      <c r="F202" s="3" t="str">
        <f t="shared" si="7"/>
        <v/>
      </c>
      <c r="G202" s="4"/>
      <c r="H202" s="5"/>
      <c r="I202" s="5"/>
      <c r="J202" s="6" t="str">
        <f t="shared" si="6"/>
        <v/>
      </c>
      <c r="K202" s="6" t="str">
        <f>IF(OR($B202="",$E202="",Calc!$B199=""),"",SUMIFS(CalcAmtA,CalcPartyA,$E202,CalcKeyA,"&lt;="&amp;Calc!$B199)-SUMIFS(CalcWitB,CalcPartyB,$E202,CalcKeyB,"&lt;="&amp;Calc!$B199)+SUMIFS(CalcDepB,CalcPartyB,$E202,CalcKeyB,"&lt;="&amp;Calc!$B199))</f>
        <v/>
      </c>
      <c r="L202" s="4"/>
    </row>
    <row r="203" spans="1:12" x14ac:dyDescent="0.2">
      <c r="A203" s="3" t="str">
        <f>IF($B203="","",COUNTA($B$9:$B203))</f>
        <v/>
      </c>
      <c r="B203" s="4"/>
      <c r="C203" s="4"/>
      <c r="D203" s="4"/>
      <c r="E203" s="4"/>
      <c r="F203" s="3" t="str">
        <f t="shared" si="7"/>
        <v/>
      </c>
      <c r="G203" s="4"/>
      <c r="H203" s="5"/>
      <c r="I203" s="5"/>
      <c r="J203" s="6" t="str">
        <f t="shared" si="6"/>
        <v/>
      </c>
      <c r="K203" s="6" t="str">
        <f>IF(OR($B203="",$E203="",Calc!$B200=""),"",SUMIFS(CalcAmtA,CalcPartyA,$E203,CalcKeyA,"&lt;="&amp;Calc!$B200)-SUMIFS(CalcWitB,CalcPartyB,$E203,CalcKeyB,"&lt;="&amp;Calc!$B200)+SUMIFS(CalcDepB,CalcPartyB,$E203,CalcKeyB,"&lt;="&amp;Calc!$B200))</f>
        <v/>
      </c>
      <c r="L203" s="4"/>
    </row>
    <row r="204" spans="1:12" x14ac:dyDescent="0.2">
      <c r="A204" s="3" t="str">
        <f>IF($B204="","",COUNTA($B$9:$B204))</f>
        <v/>
      </c>
      <c r="B204" s="4"/>
      <c r="C204" s="4"/>
      <c r="D204" s="4"/>
      <c r="E204" s="4"/>
      <c r="F204" s="3" t="str">
        <f t="shared" si="7"/>
        <v/>
      </c>
      <c r="G204" s="4"/>
      <c r="H204" s="5"/>
      <c r="I204" s="5"/>
      <c r="J204" s="6" t="str">
        <f t="shared" si="6"/>
        <v/>
      </c>
      <c r="K204" s="6" t="str">
        <f>IF(OR($B204="",$E204="",Calc!$B201=""),"",SUMIFS(CalcAmtA,CalcPartyA,$E204,CalcKeyA,"&lt;="&amp;Calc!$B201)-SUMIFS(CalcWitB,CalcPartyB,$E204,CalcKeyB,"&lt;="&amp;Calc!$B201)+SUMIFS(CalcDepB,CalcPartyB,$E204,CalcKeyB,"&lt;="&amp;Calc!$B201))</f>
        <v/>
      </c>
      <c r="L204" s="4"/>
    </row>
    <row r="205" spans="1:12" x14ac:dyDescent="0.2">
      <c r="A205" s="3" t="str">
        <f>IF($B205="","",COUNTA($B$9:$B205))</f>
        <v/>
      </c>
      <c r="B205" s="4"/>
      <c r="C205" s="4"/>
      <c r="D205" s="4"/>
      <c r="E205" s="4"/>
      <c r="F205" s="3" t="str">
        <f t="shared" si="7"/>
        <v/>
      </c>
      <c r="G205" s="4"/>
      <c r="H205" s="5"/>
      <c r="I205" s="5"/>
      <c r="J205" s="6" t="str">
        <f t="shared" si="6"/>
        <v/>
      </c>
      <c r="K205" s="6" t="str">
        <f>IF(OR($B205="",$E205="",Calc!$B202=""),"",SUMIFS(CalcAmtA,CalcPartyA,$E205,CalcKeyA,"&lt;="&amp;Calc!$B202)-SUMIFS(CalcWitB,CalcPartyB,$E205,CalcKeyB,"&lt;="&amp;Calc!$B202)+SUMIFS(CalcDepB,CalcPartyB,$E205,CalcKeyB,"&lt;="&amp;Calc!$B202))</f>
        <v/>
      </c>
      <c r="L205" s="4"/>
    </row>
    <row r="206" spans="1:12" x14ac:dyDescent="0.2">
      <c r="A206" s="3" t="str">
        <f>IF($B206="","",COUNTA($B$9:$B206))</f>
        <v/>
      </c>
      <c r="B206" s="4"/>
      <c r="C206" s="4"/>
      <c r="D206" s="4"/>
      <c r="E206" s="4"/>
      <c r="F206" s="3" t="str">
        <f t="shared" si="7"/>
        <v/>
      </c>
      <c r="G206" s="4"/>
      <c r="H206" s="5"/>
      <c r="I206" s="5"/>
      <c r="J206" s="6" t="str">
        <f t="shared" si="6"/>
        <v/>
      </c>
      <c r="K206" s="6" t="str">
        <f>IF(OR($B206="",$E206="",Calc!$B203=""),"",SUMIFS(CalcAmtA,CalcPartyA,$E206,CalcKeyA,"&lt;="&amp;Calc!$B203)-SUMIFS(CalcWitB,CalcPartyB,$E206,CalcKeyB,"&lt;="&amp;Calc!$B203)+SUMIFS(CalcDepB,CalcPartyB,$E206,CalcKeyB,"&lt;="&amp;Calc!$B203))</f>
        <v/>
      </c>
      <c r="L206" s="4"/>
    </row>
    <row r="207" spans="1:12" x14ac:dyDescent="0.2">
      <c r="A207" s="3" t="str">
        <f>IF($B207="","",COUNTA($B$9:$B207))</f>
        <v/>
      </c>
      <c r="B207" s="4"/>
      <c r="C207" s="4"/>
      <c r="D207" s="4"/>
      <c r="E207" s="4"/>
      <c r="F207" s="3" t="str">
        <f t="shared" si="7"/>
        <v/>
      </c>
      <c r="G207" s="4"/>
      <c r="H207" s="5"/>
      <c r="I207" s="5"/>
      <c r="J207" s="6" t="str">
        <f t="shared" si="6"/>
        <v/>
      </c>
      <c r="K207" s="6" t="str">
        <f>IF(OR($B207="",$E207="",Calc!$B204=""),"",SUMIFS(CalcAmtA,CalcPartyA,$E207,CalcKeyA,"&lt;="&amp;Calc!$B204)-SUMIFS(CalcWitB,CalcPartyB,$E207,CalcKeyB,"&lt;="&amp;Calc!$B204)+SUMIFS(CalcDepB,CalcPartyB,$E207,CalcKeyB,"&lt;="&amp;Calc!$B204))</f>
        <v/>
      </c>
      <c r="L207" s="4"/>
    </row>
    <row r="208" spans="1:12" x14ac:dyDescent="0.2">
      <c r="A208" s="3" t="str">
        <f>IF($B208="","",COUNTA($B$9:$B208))</f>
        <v/>
      </c>
      <c r="B208" s="4"/>
      <c r="C208" s="4"/>
      <c r="D208" s="4"/>
      <c r="E208" s="4"/>
      <c r="F208" s="3" t="str">
        <f t="shared" si="7"/>
        <v/>
      </c>
      <c r="G208" s="4"/>
      <c r="H208" s="5"/>
      <c r="I208" s="5"/>
      <c r="J208" s="6" t="str">
        <f t="shared" si="6"/>
        <v/>
      </c>
      <c r="K208" s="6" t="str">
        <f>IF(OR($B208="",$E208="",Calc!$B205=""),"",SUMIFS(CalcAmtA,CalcPartyA,$E208,CalcKeyA,"&lt;="&amp;Calc!$B205)-SUMIFS(CalcWitB,CalcPartyB,$E208,CalcKeyB,"&lt;="&amp;Calc!$B205)+SUMIFS(CalcDepB,CalcPartyB,$E208,CalcKeyB,"&lt;="&amp;Calc!$B205))</f>
        <v/>
      </c>
      <c r="L208" s="4"/>
    </row>
    <row r="209" spans="1:12" x14ac:dyDescent="0.2">
      <c r="A209" s="3" t="str">
        <f>IF($B209="","",COUNTA($B$9:$B209))</f>
        <v/>
      </c>
      <c r="B209" s="4"/>
      <c r="C209" s="4"/>
      <c r="D209" s="4"/>
      <c r="E209" s="4"/>
      <c r="F209" s="3" t="str">
        <f t="shared" si="7"/>
        <v/>
      </c>
      <c r="G209" s="4"/>
      <c r="H209" s="5"/>
      <c r="I209" s="5"/>
      <c r="J209" s="6" t="str">
        <f t="shared" si="6"/>
        <v/>
      </c>
      <c r="K209" s="6" t="str">
        <f>IF(OR($B209="",$E209="",Calc!$B206=""),"",SUMIFS(CalcAmtA,CalcPartyA,$E209,CalcKeyA,"&lt;="&amp;Calc!$B206)-SUMIFS(CalcWitB,CalcPartyB,$E209,CalcKeyB,"&lt;="&amp;Calc!$B206)+SUMIFS(CalcDepB,CalcPartyB,$E209,CalcKeyB,"&lt;="&amp;Calc!$B206))</f>
        <v/>
      </c>
      <c r="L209" s="4"/>
    </row>
    <row r="210" spans="1:12" x14ac:dyDescent="0.2">
      <c r="A210" s="3" t="str">
        <f>IF($B210="","",COUNTA($B$9:$B210))</f>
        <v/>
      </c>
      <c r="B210" s="4"/>
      <c r="C210" s="4"/>
      <c r="D210" s="4"/>
      <c r="E210" s="4"/>
      <c r="F210" s="3" t="str">
        <f t="shared" si="7"/>
        <v/>
      </c>
      <c r="G210" s="4"/>
      <c r="H210" s="5"/>
      <c r="I210" s="5"/>
      <c r="J210" s="6" t="str">
        <f t="shared" si="6"/>
        <v/>
      </c>
      <c r="K210" s="6" t="str">
        <f>IF(OR($B210="",$E210="",Calc!$B207=""),"",SUMIFS(CalcAmtA,CalcPartyA,$E210,CalcKeyA,"&lt;="&amp;Calc!$B207)-SUMIFS(CalcWitB,CalcPartyB,$E210,CalcKeyB,"&lt;="&amp;Calc!$B207)+SUMIFS(CalcDepB,CalcPartyB,$E210,CalcKeyB,"&lt;="&amp;Calc!$B207))</f>
        <v/>
      </c>
      <c r="L210" s="4"/>
    </row>
    <row r="211" spans="1:12" x14ac:dyDescent="0.2">
      <c r="A211" s="3" t="str">
        <f>IF($B211="","",COUNTA($B$9:$B211))</f>
        <v/>
      </c>
      <c r="B211" s="4"/>
      <c r="C211" s="4"/>
      <c r="D211" s="4"/>
      <c r="E211" s="4"/>
      <c r="F211" s="3" t="str">
        <f t="shared" si="7"/>
        <v/>
      </c>
      <c r="G211" s="4"/>
      <c r="H211" s="5"/>
      <c r="I211" s="5"/>
      <c r="J211" s="6" t="str">
        <f t="shared" si="6"/>
        <v/>
      </c>
      <c r="K211" s="6" t="str">
        <f>IF(OR($B211="",$E211="",Calc!$B208=""),"",SUMIFS(CalcAmtA,CalcPartyA,$E211,CalcKeyA,"&lt;="&amp;Calc!$B208)-SUMIFS(CalcWitB,CalcPartyB,$E211,CalcKeyB,"&lt;="&amp;Calc!$B208)+SUMIFS(CalcDepB,CalcPartyB,$E211,CalcKeyB,"&lt;="&amp;Calc!$B208))</f>
        <v/>
      </c>
      <c r="L211" s="4"/>
    </row>
    <row r="212" spans="1:12" x14ac:dyDescent="0.2">
      <c r="A212" s="3" t="str">
        <f>IF($B212="","",COUNTA($B$9:$B212))</f>
        <v/>
      </c>
      <c r="B212" s="4"/>
      <c r="C212" s="4"/>
      <c r="D212" s="4"/>
      <c r="E212" s="4"/>
      <c r="F212" s="3" t="str">
        <f t="shared" si="7"/>
        <v/>
      </c>
      <c r="G212" s="4"/>
      <c r="H212" s="5"/>
      <c r="I212" s="5"/>
      <c r="J212" s="6" t="str">
        <f t="shared" si="6"/>
        <v/>
      </c>
      <c r="K212" s="6" t="str">
        <f>IF(OR($B212="",$E212="",Calc!$B209=""),"",SUMIFS(CalcAmtA,CalcPartyA,$E212,CalcKeyA,"&lt;="&amp;Calc!$B209)-SUMIFS(CalcWitB,CalcPartyB,$E212,CalcKeyB,"&lt;="&amp;Calc!$B209)+SUMIFS(CalcDepB,CalcPartyB,$E212,CalcKeyB,"&lt;="&amp;Calc!$B209))</f>
        <v/>
      </c>
      <c r="L212" s="4"/>
    </row>
    <row r="213" spans="1:12" x14ac:dyDescent="0.2">
      <c r="A213" s="3" t="str">
        <f>IF($B213="","",COUNTA($B$9:$B213))</f>
        <v/>
      </c>
      <c r="B213" s="4"/>
      <c r="C213" s="4"/>
      <c r="D213" s="4"/>
      <c r="E213" s="4"/>
      <c r="F213" s="3" t="str">
        <f t="shared" si="7"/>
        <v/>
      </c>
      <c r="G213" s="4"/>
      <c r="H213" s="5"/>
      <c r="I213" s="5"/>
      <c r="J213" s="6" t="str">
        <f t="shared" si="6"/>
        <v/>
      </c>
      <c r="K213" s="6" t="str">
        <f>IF(OR($B213="",$E213="",Calc!$B210=""),"",SUMIFS(CalcAmtA,CalcPartyA,$E213,CalcKeyA,"&lt;="&amp;Calc!$B210)-SUMIFS(CalcWitB,CalcPartyB,$E213,CalcKeyB,"&lt;="&amp;Calc!$B210)+SUMIFS(CalcDepB,CalcPartyB,$E213,CalcKeyB,"&lt;="&amp;Calc!$B210))</f>
        <v/>
      </c>
      <c r="L213" s="4"/>
    </row>
    <row r="214" spans="1:12" x14ac:dyDescent="0.2">
      <c r="A214" s="3" t="str">
        <f>IF($B214="","",COUNTA($B$9:$B214))</f>
        <v/>
      </c>
      <c r="B214" s="4"/>
      <c r="C214" s="4"/>
      <c r="D214" s="4"/>
      <c r="E214" s="4"/>
      <c r="F214" s="3" t="str">
        <f t="shared" si="7"/>
        <v/>
      </c>
      <c r="G214" s="4"/>
      <c r="H214" s="5"/>
      <c r="I214" s="5"/>
      <c r="J214" s="6" t="str">
        <f t="shared" si="6"/>
        <v/>
      </c>
      <c r="K214" s="6" t="str">
        <f>IF(OR($B214="",$E214="",Calc!$B211=""),"",SUMIFS(CalcAmtA,CalcPartyA,$E214,CalcKeyA,"&lt;="&amp;Calc!$B211)-SUMIFS(CalcWitB,CalcPartyB,$E214,CalcKeyB,"&lt;="&amp;Calc!$B211)+SUMIFS(CalcDepB,CalcPartyB,$E214,CalcKeyB,"&lt;="&amp;Calc!$B211))</f>
        <v/>
      </c>
      <c r="L214" s="4"/>
    </row>
    <row r="215" spans="1:12" x14ac:dyDescent="0.2">
      <c r="A215" s="3" t="str">
        <f>IF($B215="","",COUNTA($B$9:$B215))</f>
        <v/>
      </c>
      <c r="B215" s="4"/>
      <c r="C215" s="4"/>
      <c r="D215" s="4"/>
      <c r="E215" s="4"/>
      <c r="F215" s="3" t="str">
        <f t="shared" si="7"/>
        <v/>
      </c>
      <c r="G215" s="4"/>
      <c r="H215" s="5"/>
      <c r="I215" s="5"/>
      <c r="J215" s="6" t="str">
        <f t="shared" si="6"/>
        <v/>
      </c>
      <c r="K215" s="6" t="str">
        <f>IF(OR($B215="",$E215="",Calc!$B212=""),"",SUMIFS(CalcAmtA,CalcPartyA,$E215,CalcKeyA,"&lt;="&amp;Calc!$B212)-SUMIFS(CalcWitB,CalcPartyB,$E215,CalcKeyB,"&lt;="&amp;Calc!$B212)+SUMIFS(CalcDepB,CalcPartyB,$E215,CalcKeyB,"&lt;="&amp;Calc!$B212))</f>
        <v/>
      </c>
      <c r="L215" s="4"/>
    </row>
    <row r="216" spans="1:12" x14ac:dyDescent="0.2">
      <c r="A216" s="3" t="str">
        <f>IF($B216="","",COUNTA($B$9:$B216))</f>
        <v/>
      </c>
      <c r="B216" s="4"/>
      <c r="C216" s="4"/>
      <c r="D216" s="4"/>
      <c r="E216" s="4"/>
      <c r="F216" s="3" t="str">
        <f t="shared" si="7"/>
        <v/>
      </c>
      <c r="G216" s="4"/>
      <c r="H216" s="5"/>
      <c r="I216" s="5"/>
      <c r="J216" s="6" t="str">
        <f t="shared" si="6"/>
        <v/>
      </c>
      <c r="K216" s="6" t="str">
        <f>IF(OR($B216="",$E216="",Calc!$B213=""),"",SUMIFS(CalcAmtA,CalcPartyA,$E216,CalcKeyA,"&lt;="&amp;Calc!$B213)-SUMIFS(CalcWitB,CalcPartyB,$E216,CalcKeyB,"&lt;="&amp;Calc!$B213)+SUMIFS(CalcDepB,CalcPartyB,$E216,CalcKeyB,"&lt;="&amp;Calc!$B213))</f>
        <v/>
      </c>
      <c r="L216" s="4"/>
    </row>
    <row r="217" spans="1:12" x14ac:dyDescent="0.2">
      <c r="A217" s="3" t="str">
        <f>IF($B217="","",COUNTA($B$9:$B217))</f>
        <v/>
      </c>
      <c r="B217" s="4"/>
      <c r="C217" s="4"/>
      <c r="D217" s="4"/>
      <c r="E217" s="4"/>
      <c r="F217" s="3" t="str">
        <f t="shared" si="7"/>
        <v/>
      </c>
      <c r="G217" s="4"/>
      <c r="H217" s="5"/>
      <c r="I217" s="5"/>
      <c r="J217" s="6" t="str">
        <f t="shared" si="6"/>
        <v/>
      </c>
      <c r="K217" s="6" t="str">
        <f>IF(OR($B217="",$E217="",Calc!$B214=""),"",SUMIFS(CalcAmtA,CalcPartyA,$E217,CalcKeyA,"&lt;="&amp;Calc!$B214)-SUMIFS(CalcWitB,CalcPartyB,$E217,CalcKeyB,"&lt;="&amp;Calc!$B214)+SUMIFS(CalcDepB,CalcPartyB,$E217,CalcKeyB,"&lt;="&amp;Calc!$B214))</f>
        <v/>
      </c>
      <c r="L217" s="4"/>
    </row>
    <row r="218" spans="1:12" x14ac:dyDescent="0.2">
      <c r="A218" s="3" t="str">
        <f>IF($B218="","",COUNTA($B$9:$B218))</f>
        <v/>
      </c>
      <c r="B218" s="4"/>
      <c r="C218" s="4"/>
      <c r="D218" s="4"/>
      <c r="E218" s="4"/>
      <c r="F218" s="3" t="str">
        <f t="shared" si="7"/>
        <v/>
      </c>
      <c r="G218" s="4"/>
      <c r="H218" s="5"/>
      <c r="I218" s="5"/>
      <c r="J218" s="6" t="str">
        <f t="shared" si="6"/>
        <v/>
      </c>
      <c r="K218" s="6" t="str">
        <f>IF(OR($B218="",$E218="",Calc!$B215=""),"",SUMIFS(CalcAmtA,CalcPartyA,$E218,CalcKeyA,"&lt;="&amp;Calc!$B215)-SUMIFS(CalcWitB,CalcPartyB,$E218,CalcKeyB,"&lt;="&amp;Calc!$B215)+SUMIFS(CalcDepB,CalcPartyB,$E218,CalcKeyB,"&lt;="&amp;Calc!$B215))</f>
        <v/>
      </c>
      <c r="L218" s="4"/>
    </row>
    <row r="219" spans="1:12" x14ac:dyDescent="0.2">
      <c r="A219" s="3" t="str">
        <f>IF($B219="","",COUNTA($B$9:$B219))</f>
        <v/>
      </c>
      <c r="B219" s="4"/>
      <c r="C219" s="4"/>
      <c r="D219" s="4"/>
      <c r="E219" s="4"/>
      <c r="F219" s="3" t="str">
        <f t="shared" si="7"/>
        <v/>
      </c>
      <c r="G219" s="4"/>
      <c r="H219" s="5"/>
      <c r="I219" s="5"/>
      <c r="J219" s="6" t="str">
        <f t="shared" si="6"/>
        <v/>
      </c>
      <c r="K219" s="6" t="str">
        <f>IF(OR($B219="",$E219="",Calc!$B216=""),"",SUMIFS(CalcAmtA,CalcPartyA,$E219,CalcKeyA,"&lt;="&amp;Calc!$B216)-SUMIFS(CalcWitB,CalcPartyB,$E219,CalcKeyB,"&lt;="&amp;Calc!$B216)+SUMIFS(CalcDepB,CalcPartyB,$E219,CalcKeyB,"&lt;="&amp;Calc!$B216))</f>
        <v/>
      </c>
      <c r="L219" s="4"/>
    </row>
    <row r="220" spans="1:12" x14ac:dyDescent="0.2">
      <c r="A220" s="3" t="str">
        <f>IF($B220="","",COUNTA($B$9:$B220))</f>
        <v/>
      </c>
      <c r="B220" s="4"/>
      <c r="C220" s="4"/>
      <c r="D220" s="4"/>
      <c r="E220" s="4"/>
      <c r="F220" s="3" t="str">
        <f t="shared" si="7"/>
        <v/>
      </c>
      <c r="G220" s="4"/>
      <c r="H220" s="5"/>
      <c r="I220" s="5"/>
      <c r="J220" s="6" t="str">
        <f t="shared" si="6"/>
        <v/>
      </c>
      <c r="K220" s="6" t="str">
        <f>IF(OR($B220="",$E220="",Calc!$B217=""),"",SUMIFS(CalcAmtA,CalcPartyA,$E220,CalcKeyA,"&lt;="&amp;Calc!$B217)-SUMIFS(CalcWitB,CalcPartyB,$E220,CalcKeyB,"&lt;="&amp;Calc!$B217)+SUMIFS(CalcDepB,CalcPartyB,$E220,CalcKeyB,"&lt;="&amp;Calc!$B217))</f>
        <v/>
      </c>
      <c r="L220" s="4"/>
    </row>
    <row r="221" spans="1:12" x14ac:dyDescent="0.2">
      <c r="A221" s="3" t="str">
        <f>IF($B221="","",COUNTA($B$9:$B221))</f>
        <v/>
      </c>
      <c r="B221" s="4"/>
      <c r="C221" s="4"/>
      <c r="D221" s="4"/>
      <c r="E221" s="4"/>
      <c r="F221" s="3" t="str">
        <f t="shared" si="7"/>
        <v/>
      </c>
      <c r="G221" s="4"/>
      <c r="H221" s="5"/>
      <c r="I221" s="5"/>
      <c r="J221" s="6" t="str">
        <f t="shared" si="6"/>
        <v/>
      </c>
      <c r="K221" s="6" t="str">
        <f>IF(OR($B221="",$E221="",Calc!$B218=""),"",SUMIFS(CalcAmtA,CalcPartyA,$E221,CalcKeyA,"&lt;="&amp;Calc!$B218)-SUMIFS(CalcWitB,CalcPartyB,$E221,CalcKeyB,"&lt;="&amp;Calc!$B218)+SUMIFS(CalcDepB,CalcPartyB,$E221,CalcKeyB,"&lt;="&amp;Calc!$B218))</f>
        <v/>
      </c>
      <c r="L221" s="4"/>
    </row>
    <row r="222" spans="1:12" x14ac:dyDescent="0.2">
      <c r="A222" s="3" t="str">
        <f>IF($B222="","",COUNTA($B$9:$B222))</f>
        <v/>
      </c>
      <c r="B222" s="4"/>
      <c r="C222" s="4"/>
      <c r="D222" s="4"/>
      <c r="E222" s="4"/>
      <c r="F222" s="3" t="str">
        <f t="shared" si="7"/>
        <v/>
      </c>
      <c r="G222" s="4"/>
      <c r="H222" s="5"/>
      <c r="I222" s="5"/>
      <c r="J222" s="6" t="str">
        <f t="shared" si="6"/>
        <v/>
      </c>
      <c r="K222" s="6" t="str">
        <f>IF(OR($B222="",$E222="",Calc!$B219=""),"",SUMIFS(CalcAmtA,CalcPartyA,$E222,CalcKeyA,"&lt;="&amp;Calc!$B219)-SUMIFS(CalcWitB,CalcPartyB,$E222,CalcKeyB,"&lt;="&amp;Calc!$B219)+SUMIFS(CalcDepB,CalcPartyB,$E222,CalcKeyB,"&lt;="&amp;Calc!$B219))</f>
        <v/>
      </c>
      <c r="L222" s="4"/>
    </row>
    <row r="223" spans="1:12" x14ac:dyDescent="0.2">
      <c r="A223" s="3" t="str">
        <f>IF($B223="","",COUNTA($B$9:$B223))</f>
        <v/>
      </c>
      <c r="B223" s="4"/>
      <c r="C223" s="4"/>
      <c r="D223" s="4"/>
      <c r="E223" s="4"/>
      <c r="F223" s="3" t="str">
        <f t="shared" si="7"/>
        <v/>
      </c>
      <c r="G223" s="4"/>
      <c r="H223" s="5"/>
      <c r="I223" s="5"/>
      <c r="J223" s="6" t="str">
        <f t="shared" si="6"/>
        <v/>
      </c>
      <c r="K223" s="6" t="str">
        <f>IF(OR($B223="",$E223="",Calc!$B220=""),"",SUMIFS(CalcAmtA,CalcPartyA,$E223,CalcKeyA,"&lt;="&amp;Calc!$B220)-SUMIFS(CalcWitB,CalcPartyB,$E223,CalcKeyB,"&lt;="&amp;Calc!$B220)+SUMIFS(CalcDepB,CalcPartyB,$E223,CalcKeyB,"&lt;="&amp;Calc!$B220))</f>
        <v/>
      </c>
      <c r="L223" s="4"/>
    </row>
    <row r="224" spans="1:12" x14ac:dyDescent="0.2">
      <c r="A224" s="3" t="str">
        <f>IF($B224="","",COUNTA($B$9:$B224))</f>
        <v/>
      </c>
      <c r="B224" s="4"/>
      <c r="C224" s="4"/>
      <c r="D224" s="4"/>
      <c r="E224" s="4"/>
      <c r="F224" s="3" t="str">
        <f t="shared" si="7"/>
        <v/>
      </c>
      <c r="G224" s="4"/>
      <c r="H224" s="5"/>
      <c r="I224" s="5"/>
      <c r="J224" s="6" t="str">
        <f t="shared" si="6"/>
        <v/>
      </c>
      <c r="K224" s="6" t="str">
        <f>IF(OR($B224="",$E224="",Calc!$B221=""),"",SUMIFS(CalcAmtA,CalcPartyA,$E224,CalcKeyA,"&lt;="&amp;Calc!$B221)-SUMIFS(CalcWitB,CalcPartyB,$E224,CalcKeyB,"&lt;="&amp;Calc!$B221)+SUMIFS(CalcDepB,CalcPartyB,$E224,CalcKeyB,"&lt;="&amp;Calc!$B221))</f>
        <v/>
      </c>
      <c r="L224" s="4"/>
    </row>
    <row r="225" spans="1:12" x14ac:dyDescent="0.2">
      <c r="A225" s="3" t="str">
        <f>IF($B225="","",COUNTA($B$9:$B225))</f>
        <v/>
      </c>
      <c r="B225" s="4"/>
      <c r="C225" s="4"/>
      <c r="D225" s="4"/>
      <c r="E225" s="4"/>
      <c r="F225" s="3" t="str">
        <f t="shared" si="7"/>
        <v/>
      </c>
      <c r="G225" s="4"/>
      <c r="H225" s="5"/>
      <c r="I225" s="5"/>
      <c r="J225" s="6" t="str">
        <f t="shared" si="6"/>
        <v/>
      </c>
      <c r="K225" s="6" t="str">
        <f>IF(OR($B225="",$E225="",Calc!$B222=""),"",SUMIFS(CalcAmtA,CalcPartyA,$E225,CalcKeyA,"&lt;="&amp;Calc!$B222)-SUMIFS(CalcWitB,CalcPartyB,$E225,CalcKeyB,"&lt;="&amp;Calc!$B222)+SUMIFS(CalcDepB,CalcPartyB,$E225,CalcKeyB,"&lt;="&amp;Calc!$B222))</f>
        <v/>
      </c>
      <c r="L225" s="4"/>
    </row>
    <row r="226" spans="1:12" x14ac:dyDescent="0.2">
      <c r="A226" s="3" t="str">
        <f>IF($B226="","",COUNTA($B$9:$B226))</f>
        <v/>
      </c>
      <c r="B226" s="4"/>
      <c r="C226" s="4"/>
      <c r="D226" s="4"/>
      <c r="E226" s="4"/>
      <c r="F226" s="3" t="str">
        <f t="shared" si="7"/>
        <v/>
      </c>
      <c r="G226" s="4"/>
      <c r="H226" s="5"/>
      <c r="I226" s="5"/>
      <c r="J226" s="6" t="str">
        <f t="shared" si="6"/>
        <v/>
      </c>
      <c r="K226" s="6" t="str">
        <f>IF(OR($B226="",$E226="",Calc!$B223=""),"",SUMIFS(CalcAmtA,CalcPartyA,$E226,CalcKeyA,"&lt;="&amp;Calc!$B223)-SUMIFS(CalcWitB,CalcPartyB,$E226,CalcKeyB,"&lt;="&amp;Calc!$B223)+SUMIFS(CalcDepB,CalcPartyB,$E226,CalcKeyB,"&lt;="&amp;Calc!$B223))</f>
        <v/>
      </c>
      <c r="L226" s="4"/>
    </row>
    <row r="227" spans="1:12" x14ac:dyDescent="0.2">
      <c r="A227" s="3" t="str">
        <f>IF($B227="","",COUNTA($B$9:$B227))</f>
        <v/>
      </c>
      <c r="B227" s="4"/>
      <c r="C227" s="4"/>
      <c r="D227" s="4"/>
      <c r="E227" s="4"/>
      <c r="F227" s="3" t="str">
        <f t="shared" si="7"/>
        <v/>
      </c>
      <c r="G227" s="4"/>
      <c r="H227" s="5"/>
      <c r="I227" s="5"/>
      <c r="J227" s="6" t="str">
        <f t="shared" si="6"/>
        <v/>
      </c>
      <c r="K227" s="6" t="str">
        <f>IF(OR($B227="",$E227="",Calc!$B224=""),"",SUMIFS(CalcAmtA,CalcPartyA,$E227,CalcKeyA,"&lt;="&amp;Calc!$B224)-SUMIFS(CalcWitB,CalcPartyB,$E227,CalcKeyB,"&lt;="&amp;Calc!$B224)+SUMIFS(CalcDepB,CalcPartyB,$E227,CalcKeyB,"&lt;="&amp;Calc!$B224))</f>
        <v/>
      </c>
      <c r="L227" s="4"/>
    </row>
    <row r="228" spans="1:12" x14ac:dyDescent="0.2">
      <c r="A228" s="3" t="str">
        <f>IF($B228="","",COUNTA($B$9:$B228))</f>
        <v/>
      </c>
      <c r="B228" s="4"/>
      <c r="C228" s="4"/>
      <c r="D228" s="4"/>
      <c r="E228" s="4"/>
      <c r="F228" s="3" t="str">
        <f t="shared" si="7"/>
        <v/>
      </c>
      <c r="G228" s="4"/>
      <c r="H228" s="5"/>
      <c r="I228" s="5"/>
      <c r="J228" s="6" t="str">
        <f t="shared" si="6"/>
        <v/>
      </c>
      <c r="K228" s="6" t="str">
        <f>IF(OR($B228="",$E228="",Calc!$B225=""),"",SUMIFS(CalcAmtA,CalcPartyA,$E228,CalcKeyA,"&lt;="&amp;Calc!$B225)-SUMIFS(CalcWitB,CalcPartyB,$E228,CalcKeyB,"&lt;="&amp;Calc!$B225)+SUMIFS(CalcDepB,CalcPartyB,$E228,CalcKeyB,"&lt;="&amp;Calc!$B225))</f>
        <v/>
      </c>
      <c r="L228" s="4"/>
    </row>
    <row r="229" spans="1:12" x14ac:dyDescent="0.2">
      <c r="A229" s="3" t="str">
        <f>IF($B229="","",COUNTA($B$9:$B229))</f>
        <v/>
      </c>
      <c r="B229" s="4"/>
      <c r="C229" s="4"/>
      <c r="D229" s="4"/>
      <c r="E229" s="4"/>
      <c r="F229" s="3" t="str">
        <f t="shared" si="7"/>
        <v/>
      </c>
      <c r="G229" s="4"/>
      <c r="H229" s="5"/>
      <c r="I229" s="5"/>
      <c r="J229" s="6" t="str">
        <f t="shared" si="6"/>
        <v/>
      </c>
      <c r="K229" s="6" t="str">
        <f>IF(OR($B229="",$E229="",Calc!$B226=""),"",SUMIFS(CalcAmtA,CalcPartyA,$E229,CalcKeyA,"&lt;="&amp;Calc!$B226)-SUMIFS(CalcWitB,CalcPartyB,$E229,CalcKeyB,"&lt;="&amp;Calc!$B226)+SUMIFS(CalcDepB,CalcPartyB,$E229,CalcKeyB,"&lt;="&amp;Calc!$B226))</f>
        <v/>
      </c>
      <c r="L229" s="4"/>
    </row>
    <row r="230" spans="1:12" x14ac:dyDescent="0.2">
      <c r="A230" s="3" t="str">
        <f>IF($B230="","",COUNTA($B$9:$B230))</f>
        <v/>
      </c>
      <c r="B230" s="4"/>
      <c r="C230" s="4"/>
      <c r="D230" s="4"/>
      <c r="E230" s="4"/>
      <c r="F230" s="3" t="str">
        <f t="shared" si="7"/>
        <v/>
      </c>
      <c r="G230" s="4"/>
      <c r="H230" s="5"/>
      <c r="I230" s="5"/>
      <c r="J230" s="6" t="str">
        <f t="shared" si="6"/>
        <v/>
      </c>
      <c r="K230" s="6" t="str">
        <f>IF(OR($B230="",$E230="",Calc!$B227=""),"",SUMIFS(CalcAmtA,CalcPartyA,$E230,CalcKeyA,"&lt;="&amp;Calc!$B227)-SUMIFS(CalcWitB,CalcPartyB,$E230,CalcKeyB,"&lt;="&amp;Calc!$B227)+SUMIFS(CalcDepB,CalcPartyB,$E230,CalcKeyB,"&lt;="&amp;Calc!$B227))</f>
        <v/>
      </c>
      <c r="L230" s="4"/>
    </row>
    <row r="231" spans="1:12" x14ac:dyDescent="0.2">
      <c r="A231" s="3" t="str">
        <f>IF($B231="","",COUNTA($B$9:$B231))</f>
        <v/>
      </c>
      <c r="B231" s="4"/>
      <c r="C231" s="4"/>
      <c r="D231" s="4"/>
      <c r="E231" s="4"/>
      <c r="F231" s="3" t="str">
        <f t="shared" si="7"/>
        <v/>
      </c>
      <c r="G231" s="4"/>
      <c r="H231" s="5"/>
      <c r="I231" s="5"/>
      <c r="J231" s="6" t="str">
        <f t="shared" si="6"/>
        <v/>
      </c>
      <c r="K231" s="6" t="str">
        <f>IF(OR($B231="",$E231="",Calc!$B228=""),"",SUMIFS(CalcAmtA,CalcPartyA,$E231,CalcKeyA,"&lt;="&amp;Calc!$B228)-SUMIFS(CalcWitB,CalcPartyB,$E231,CalcKeyB,"&lt;="&amp;Calc!$B228)+SUMIFS(CalcDepB,CalcPartyB,$E231,CalcKeyB,"&lt;="&amp;Calc!$B228))</f>
        <v/>
      </c>
      <c r="L231" s="4"/>
    </row>
    <row r="232" spans="1:12" x14ac:dyDescent="0.2">
      <c r="A232" s="3" t="str">
        <f>IF($B232="","",COUNTA($B$9:$B232))</f>
        <v/>
      </c>
      <c r="B232" s="4"/>
      <c r="C232" s="4"/>
      <c r="D232" s="4"/>
      <c r="E232" s="4"/>
      <c r="F232" s="3" t="str">
        <f t="shared" si="7"/>
        <v/>
      </c>
      <c r="G232" s="4"/>
      <c r="H232" s="5"/>
      <c r="I232" s="5"/>
      <c r="J232" s="6" t="str">
        <f t="shared" si="6"/>
        <v/>
      </c>
      <c r="K232" s="6" t="str">
        <f>IF(OR($B232="",$E232="",Calc!$B229=""),"",SUMIFS(CalcAmtA,CalcPartyA,$E232,CalcKeyA,"&lt;="&amp;Calc!$B229)-SUMIFS(CalcWitB,CalcPartyB,$E232,CalcKeyB,"&lt;="&amp;Calc!$B229)+SUMIFS(CalcDepB,CalcPartyB,$E232,CalcKeyB,"&lt;="&amp;Calc!$B229))</f>
        <v/>
      </c>
      <c r="L232" s="4"/>
    </row>
    <row r="233" spans="1:12" x14ac:dyDescent="0.2">
      <c r="A233" s="3" t="str">
        <f>IF($B233="","",COUNTA($B$9:$B233))</f>
        <v/>
      </c>
      <c r="B233" s="4"/>
      <c r="C233" s="4"/>
      <c r="D233" s="4"/>
      <c r="E233" s="4"/>
      <c r="F233" s="3" t="str">
        <f t="shared" si="7"/>
        <v/>
      </c>
      <c r="G233" s="4"/>
      <c r="H233" s="5"/>
      <c r="I233" s="5"/>
      <c r="J233" s="6" t="str">
        <f t="shared" si="6"/>
        <v/>
      </c>
      <c r="K233" s="6" t="str">
        <f>IF(OR($B233="",$E233="",Calc!$B230=""),"",SUMIFS(CalcAmtA,CalcPartyA,$E233,CalcKeyA,"&lt;="&amp;Calc!$B230)-SUMIFS(CalcWitB,CalcPartyB,$E233,CalcKeyB,"&lt;="&amp;Calc!$B230)+SUMIFS(CalcDepB,CalcPartyB,$E233,CalcKeyB,"&lt;="&amp;Calc!$B230))</f>
        <v/>
      </c>
      <c r="L233" s="4"/>
    </row>
    <row r="234" spans="1:12" x14ac:dyDescent="0.2">
      <c r="A234" s="3" t="str">
        <f>IF($B234="","",COUNTA($B$9:$B234))</f>
        <v/>
      </c>
      <c r="B234" s="4"/>
      <c r="C234" s="4"/>
      <c r="D234" s="4"/>
      <c r="E234" s="4"/>
      <c r="F234" s="3" t="str">
        <f t="shared" si="7"/>
        <v/>
      </c>
      <c r="G234" s="4"/>
      <c r="H234" s="5"/>
      <c r="I234" s="5"/>
      <c r="J234" s="6" t="str">
        <f t="shared" si="6"/>
        <v/>
      </c>
      <c r="K234" s="6" t="str">
        <f>IF(OR($B234="",$E234="",Calc!$B231=""),"",SUMIFS(CalcAmtA,CalcPartyA,$E234,CalcKeyA,"&lt;="&amp;Calc!$B231)-SUMIFS(CalcWitB,CalcPartyB,$E234,CalcKeyB,"&lt;="&amp;Calc!$B231)+SUMIFS(CalcDepB,CalcPartyB,$E234,CalcKeyB,"&lt;="&amp;Calc!$B231))</f>
        <v/>
      </c>
      <c r="L234" s="4"/>
    </row>
    <row r="235" spans="1:12" x14ac:dyDescent="0.2">
      <c r="A235" s="3" t="str">
        <f>IF($B235="","",COUNTA($B$9:$B235))</f>
        <v/>
      </c>
      <c r="B235" s="4"/>
      <c r="C235" s="4"/>
      <c r="D235" s="4"/>
      <c r="E235" s="4"/>
      <c r="F235" s="3" t="str">
        <f t="shared" si="7"/>
        <v/>
      </c>
      <c r="G235" s="4"/>
      <c r="H235" s="5"/>
      <c r="I235" s="5"/>
      <c r="J235" s="6" t="str">
        <f t="shared" si="6"/>
        <v/>
      </c>
      <c r="K235" s="6" t="str">
        <f>IF(OR($B235="",$E235="",Calc!$B232=""),"",SUMIFS(CalcAmtA,CalcPartyA,$E235,CalcKeyA,"&lt;="&amp;Calc!$B232)-SUMIFS(CalcWitB,CalcPartyB,$E235,CalcKeyB,"&lt;="&amp;Calc!$B232)+SUMIFS(CalcDepB,CalcPartyB,$E235,CalcKeyB,"&lt;="&amp;Calc!$B232))</f>
        <v/>
      </c>
      <c r="L235" s="4"/>
    </row>
    <row r="236" spans="1:12" x14ac:dyDescent="0.2">
      <c r="A236" s="3" t="str">
        <f>IF($B236="","",COUNTA($B$9:$B236))</f>
        <v/>
      </c>
      <c r="B236" s="4"/>
      <c r="C236" s="4"/>
      <c r="D236" s="4"/>
      <c r="E236" s="4"/>
      <c r="F236" s="3" t="str">
        <f t="shared" si="7"/>
        <v/>
      </c>
      <c r="G236" s="4"/>
      <c r="H236" s="5"/>
      <c r="I236" s="5"/>
      <c r="J236" s="6" t="str">
        <f t="shared" si="6"/>
        <v/>
      </c>
      <c r="K236" s="6" t="str">
        <f>IF(OR($B236="",$E236="",Calc!$B233=""),"",SUMIFS(CalcAmtA,CalcPartyA,$E236,CalcKeyA,"&lt;="&amp;Calc!$B233)-SUMIFS(CalcWitB,CalcPartyB,$E236,CalcKeyB,"&lt;="&amp;Calc!$B233)+SUMIFS(CalcDepB,CalcPartyB,$E236,CalcKeyB,"&lt;="&amp;Calc!$B233))</f>
        <v/>
      </c>
      <c r="L236" s="4"/>
    </row>
    <row r="237" spans="1:12" x14ac:dyDescent="0.2">
      <c r="A237" s="3" t="str">
        <f>IF($B237="","",COUNTA($B$9:$B237))</f>
        <v/>
      </c>
      <c r="B237" s="4"/>
      <c r="C237" s="4"/>
      <c r="D237" s="4"/>
      <c r="E237" s="4"/>
      <c r="F237" s="3" t="str">
        <f t="shared" si="7"/>
        <v/>
      </c>
      <c r="G237" s="4"/>
      <c r="H237" s="5"/>
      <c r="I237" s="5"/>
      <c r="J237" s="6" t="str">
        <f t="shared" si="6"/>
        <v/>
      </c>
      <c r="K237" s="6" t="str">
        <f>IF(OR($B237="",$E237="",Calc!$B234=""),"",SUMIFS(CalcAmtA,CalcPartyA,$E237,CalcKeyA,"&lt;="&amp;Calc!$B234)-SUMIFS(CalcWitB,CalcPartyB,$E237,CalcKeyB,"&lt;="&amp;Calc!$B234)+SUMIFS(CalcDepB,CalcPartyB,$E237,CalcKeyB,"&lt;="&amp;Calc!$B234))</f>
        <v/>
      </c>
      <c r="L237" s="4"/>
    </row>
    <row r="238" spans="1:12" x14ac:dyDescent="0.2">
      <c r="A238" s="3" t="str">
        <f>IF($B238="","",COUNTA($B$9:$B238))</f>
        <v/>
      </c>
      <c r="B238" s="4"/>
      <c r="C238" s="4"/>
      <c r="D238" s="4"/>
      <c r="E238" s="4"/>
      <c r="F238" s="3" t="str">
        <f t="shared" si="7"/>
        <v/>
      </c>
      <c r="G238" s="4"/>
      <c r="H238" s="5"/>
      <c r="I238" s="5"/>
      <c r="J238" s="6" t="str">
        <f t="shared" si="6"/>
        <v/>
      </c>
      <c r="K238" s="6" t="str">
        <f>IF(OR($B238="",$E238="",Calc!$B235=""),"",SUMIFS(CalcAmtA,CalcPartyA,$E238,CalcKeyA,"&lt;="&amp;Calc!$B235)-SUMIFS(CalcWitB,CalcPartyB,$E238,CalcKeyB,"&lt;="&amp;Calc!$B235)+SUMIFS(CalcDepB,CalcPartyB,$E238,CalcKeyB,"&lt;="&amp;Calc!$B235))</f>
        <v/>
      </c>
      <c r="L238" s="4"/>
    </row>
    <row r="239" spans="1:12" x14ac:dyDescent="0.2">
      <c r="A239" s="3" t="str">
        <f>IF($B239="","",COUNTA($B$9:$B239))</f>
        <v/>
      </c>
      <c r="B239" s="4"/>
      <c r="C239" s="4"/>
      <c r="D239" s="4"/>
      <c r="E239" s="4"/>
      <c r="F239" s="3" t="str">
        <f t="shared" si="7"/>
        <v/>
      </c>
      <c r="G239" s="4"/>
      <c r="H239" s="5"/>
      <c r="I239" s="5"/>
      <c r="J239" s="6" t="str">
        <f t="shared" si="6"/>
        <v/>
      </c>
      <c r="K239" s="6" t="str">
        <f>IF(OR($B239="",$E239="",Calc!$B236=""),"",SUMIFS(CalcAmtA,CalcPartyA,$E239,CalcKeyA,"&lt;="&amp;Calc!$B236)-SUMIFS(CalcWitB,CalcPartyB,$E239,CalcKeyB,"&lt;="&amp;Calc!$B236)+SUMIFS(CalcDepB,CalcPartyB,$E239,CalcKeyB,"&lt;="&amp;Calc!$B236))</f>
        <v/>
      </c>
      <c r="L239" s="4"/>
    </row>
    <row r="240" spans="1:12" x14ac:dyDescent="0.2">
      <c r="A240" s="3" t="str">
        <f>IF($B240="","",COUNTA($B$9:$B240))</f>
        <v/>
      </c>
      <c r="B240" s="4"/>
      <c r="C240" s="4"/>
      <c r="D240" s="4"/>
      <c r="E240" s="4"/>
      <c r="F240" s="3" t="str">
        <f t="shared" si="7"/>
        <v/>
      </c>
      <c r="G240" s="4"/>
      <c r="H240" s="5"/>
      <c r="I240" s="5"/>
      <c r="J240" s="6" t="str">
        <f t="shared" si="6"/>
        <v/>
      </c>
      <c r="K240" s="6" t="str">
        <f>IF(OR($B240="",$E240="",Calc!$B237=""),"",SUMIFS(CalcAmtA,CalcPartyA,$E240,CalcKeyA,"&lt;="&amp;Calc!$B237)-SUMIFS(CalcWitB,CalcPartyB,$E240,CalcKeyB,"&lt;="&amp;Calc!$B237)+SUMIFS(CalcDepB,CalcPartyB,$E240,CalcKeyB,"&lt;="&amp;Calc!$B237))</f>
        <v/>
      </c>
      <c r="L240" s="4"/>
    </row>
    <row r="241" spans="1:12" x14ac:dyDescent="0.2">
      <c r="A241" s="3" t="str">
        <f>IF($B241="","",COUNTA($B$9:$B241))</f>
        <v/>
      </c>
      <c r="B241" s="4"/>
      <c r="C241" s="4"/>
      <c r="D241" s="4"/>
      <c r="E241" s="4"/>
      <c r="F241" s="3" t="str">
        <f t="shared" si="7"/>
        <v/>
      </c>
      <c r="G241" s="4"/>
      <c r="H241" s="5"/>
      <c r="I241" s="5"/>
      <c r="J241" s="6" t="str">
        <f t="shared" si="6"/>
        <v/>
      </c>
      <c r="K241" s="6" t="str">
        <f>IF(OR($B241="",$E241="",Calc!$B238=""),"",SUMIFS(CalcAmtA,CalcPartyA,$E241,CalcKeyA,"&lt;="&amp;Calc!$B238)-SUMIFS(CalcWitB,CalcPartyB,$E241,CalcKeyB,"&lt;="&amp;Calc!$B238)+SUMIFS(CalcDepB,CalcPartyB,$E241,CalcKeyB,"&lt;="&amp;Calc!$B238))</f>
        <v/>
      </c>
      <c r="L241" s="4"/>
    </row>
    <row r="242" spans="1:12" x14ac:dyDescent="0.2">
      <c r="A242" s="3" t="str">
        <f>IF($B242="","",COUNTA($B$9:$B242))</f>
        <v/>
      </c>
      <c r="B242" s="4"/>
      <c r="C242" s="4"/>
      <c r="D242" s="4"/>
      <c r="E242" s="4"/>
      <c r="F242" s="3" t="str">
        <f t="shared" si="7"/>
        <v/>
      </c>
      <c r="G242" s="4"/>
      <c r="H242" s="5"/>
      <c r="I242" s="5"/>
      <c r="J242" s="6" t="str">
        <f t="shared" si="6"/>
        <v/>
      </c>
      <c r="K242" s="6" t="str">
        <f>IF(OR($B242="",$E242="",Calc!$B239=""),"",SUMIFS(CalcAmtA,CalcPartyA,$E242,CalcKeyA,"&lt;="&amp;Calc!$B239)-SUMIFS(CalcWitB,CalcPartyB,$E242,CalcKeyB,"&lt;="&amp;Calc!$B239)+SUMIFS(CalcDepB,CalcPartyB,$E242,CalcKeyB,"&lt;="&amp;Calc!$B239))</f>
        <v/>
      </c>
      <c r="L242" s="4"/>
    </row>
    <row r="243" spans="1:12" x14ac:dyDescent="0.2">
      <c r="A243" s="3" t="str">
        <f>IF($B243="","",COUNTA($B$9:$B243))</f>
        <v/>
      </c>
      <c r="B243" s="4"/>
      <c r="C243" s="4"/>
      <c r="D243" s="4"/>
      <c r="E243" s="4"/>
      <c r="F243" s="3" t="str">
        <f t="shared" si="7"/>
        <v/>
      </c>
      <c r="G243" s="4"/>
      <c r="H243" s="5"/>
      <c r="I243" s="5"/>
      <c r="J243" s="6" t="str">
        <f t="shared" si="6"/>
        <v/>
      </c>
      <c r="K243" s="6" t="str">
        <f>IF(OR($B243="",$E243="",Calc!$B240=""),"",SUMIFS(CalcAmtA,CalcPartyA,$E243,CalcKeyA,"&lt;="&amp;Calc!$B240)-SUMIFS(CalcWitB,CalcPartyB,$E243,CalcKeyB,"&lt;="&amp;Calc!$B240)+SUMIFS(CalcDepB,CalcPartyB,$E243,CalcKeyB,"&lt;="&amp;Calc!$B240))</f>
        <v/>
      </c>
      <c r="L243" s="4"/>
    </row>
    <row r="244" spans="1:12" x14ac:dyDescent="0.2">
      <c r="A244" s="3" t="str">
        <f>IF($B244="","",COUNTA($B$9:$B244))</f>
        <v/>
      </c>
      <c r="B244" s="4"/>
      <c r="C244" s="4"/>
      <c r="D244" s="4"/>
      <c r="E244" s="4"/>
      <c r="F244" s="3" t="str">
        <f t="shared" si="7"/>
        <v/>
      </c>
      <c r="G244" s="4"/>
      <c r="H244" s="5"/>
      <c r="I244" s="5"/>
      <c r="J244" s="6" t="str">
        <f t="shared" si="6"/>
        <v/>
      </c>
      <c r="K244" s="6" t="str">
        <f>IF(OR($B244="",$E244="",Calc!$B241=""),"",SUMIFS(CalcAmtA,CalcPartyA,$E244,CalcKeyA,"&lt;="&amp;Calc!$B241)-SUMIFS(CalcWitB,CalcPartyB,$E244,CalcKeyB,"&lt;="&amp;Calc!$B241)+SUMIFS(CalcDepB,CalcPartyB,$E244,CalcKeyB,"&lt;="&amp;Calc!$B241))</f>
        <v/>
      </c>
      <c r="L244" s="4"/>
    </row>
    <row r="245" spans="1:12" x14ac:dyDescent="0.2">
      <c r="A245" s="3" t="str">
        <f>IF($B245="","",COUNTA($B$9:$B245))</f>
        <v/>
      </c>
      <c r="B245" s="4"/>
      <c r="C245" s="4"/>
      <c r="D245" s="4"/>
      <c r="E245" s="4"/>
      <c r="F245" s="3" t="str">
        <f t="shared" si="7"/>
        <v/>
      </c>
      <c r="G245" s="4"/>
      <c r="H245" s="5"/>
      <c r="I245" s="5"/>
      <c r="J245" s="6" t="str">
        <f t="shared" si="6"/>
        <v/>
      </c>
      <c r="K245" s="6" t="str">
        <f>IF(OR($B245="",$E245="",Calc!$B242=""),"",SUMIFS(CalcAmtA,CalcPartyA,$E245,CalcKeyA,"&lt;="&amp;Calc!$B242)-SUMIFS(CalcWitB,CalcPartyB,$E245,CalcKeyB,"&lt;="&amp;Calc!$B242)+SUMIFS(CalcDepB,CalcPartyB,$E245,CalcKeyB,"&lt;="&amp;Calc!$B242))</f>
        <v/>
      </c>
      <c r="L245" s="4"/>
    </row>
    <row r="246" spans="1:12" x14ac:dyDescent="0.2">
      <c r="A246" s="3" t="str">
        <f>IF($B246="","",COUNTA($B$9:$B246))</f>
        <v/>
      </c>
      <c r="B246" s="4"/>
      <c r="C246" s="4"/>
      <c r="D246" s="4"/>
      <c r="E246" s="4"/>
      <c r="F246" s="3" t="str">
        <f t="shared" si="7"/>
        <v/>
      </c>
      <c r="G246" s="4"/>
      <c r="H246" s="5"/>
      <c r="I246" s="5"/>
      <c r="J246" s="6" t="str">
        <f t="shared" si="6"/>
        <v/>
      </c>
      <c r="K246" s="6" t="str">
        <f>IF(OR($B246="",$E246="",Calc!$B243=""),"",SUMIFS(CalcAmtA,CalcPartyA,$E246,CalcKeyA,"&lt;="&amp;Calc!$B243)-SUMIFS(CalcWitB,CalcPartyB,$E246,CalcKeyB,"&lt;="&amp;Calc!$B243)+SUMIFS(CalcDepB,CalcPartyB,$E246,CalcKeyB,"&lt;="&amp;Calc!$B243))</f>
        <v/>
      </c>
      <c r="L246" s="4"/>
    </row>
    <row r="247" spans="1:12" x14ac:dyDescent="0.2">
      <c r="A247" s="3" t="str">
        <f>IF($B247="","",COUNTA($B$9:$B247))</f>
        <v/>
      </c>
      <c r="B247" s="4"/>
      <c r="C247" s="4"/>
      <c r="D247" s="4"/>
      <c r="E247" s="4"/>
      <c r="F247" s="3" t="str">
        <f t="shared" si="7"/>
        <v/>
      </c>
      <c r="G247" s="4"/>
      <c r="H247" s="5"/>
      <c r="I247" s="5"/>
      <c r="J247" s="6" t="str">
        <f t="shared" si="6"/>
        <v/>
      </c>
      <c r="K247" s="6" t="str">
        <f>IF(OR($B247="",$E247="",Calc!$B244=""),"",SUMIFS(CalcAmtA,CalcPartyA,$E247,CalcKeyA,"&lt;="&amp;Calc!$B244)-SUMIFS(CalcWitB,CalcPartyB,$E247,CalcKeyB,"&lt;="&amp;Calc!$B244)+SUMIFS(CalcDepB,CalcPartyB,$E247,CalcKeyB,"&lt;="&amp;Calc!$B244))</f>
        <v/>
      </c>
      <c r="L247" s="4"/>
    </row>
    <row r="248" spans="1:12" x14ac:dyDescent="0.2">
      <c r="A248" s="3" t="str">
        <f>IF($B248="","",COUNTA($B$9:$B248))</f>
        <v/>
      </c>
      <c r="B248" s="4"/>
      <c r="C248" s="4"/>
      <c r="D248" s="4"/>
      <c r="E248" s="4"/>
      <c r="F248" s="3" t="str">
        <f t="shared" si="7"/>
        <v/>
      </c>
      <c r="G248" s="4"/>
      <c r="H248" s="5"/>
      <c r="I248" s="5"/>
      <c r="J248" s="6" t="str">
        <f t="shared" si="6"/>
        <v/>
      </c>
      <c r="K248" s="6" t="str">
        <f>IF(OR($B248="",$E248="",Calc!$B245=""),"",SUMIFS(CalcAmtA,CalcPartyA,$E248,CalcKeyA,"&lt;="&amp;Calc!$B245)-SUMIFS(CalcWitB,CalcPartyB,$E248,CalcKeyB,"&lt;="&amp;Calc!$B245)+SUMIFS(CalcDepB,CalcPartyB,$E248,CalcKeyB,"&lt;="&amp;Calc!$B245))</f>
        <v/>
      </c>
      <c r="L248" s="4"/>
    </row>
    <row r="249" spans="1:12" x14ac:dyDescent="0.2">
      <c r="A249" s="3" t="str">
        <f>IF($B249="","",COUNTA($B$9:$B249))</f>
        <v/>
      </c>
      <c r="B249" s="4"/>
      <c r="C249" s="4"/>
      <c r="D249" s="4"/>
      <c r="E249" s="4"/>
      <c r="F249" s="3" t="str">
        <f t="shared" si="7"/>
        <v/>
      </c>
      <c r="G249" s="4"/>
      <c r="H249" s="5"/>
      <c r="I249" s="5"/>
      <c r="J249" s="6" t="str">
        <f t="shared" si="6"/>
        <v/>
      </c>
      <c r="K249" s="6" t="str">
        <f>IF(OR($B249="",$E249="",Calc!$B246=""),"",SUMIFS(CalcAmtA,CalcPartyA,$E249,CalcKeyA,"&lt;="&amp;Calc!$B246)-SUMIFS(CalcWitB,CalcPartyB,$E249,CalcKeyB,"&lt;="&amp;Calc!$B246)+SUMIFS(CalcDepB,CalcPartyB,$E249,CalcKeyB,"&lt;="&amp;Calc!$B246))</f>
        <v/>
      </c>
      <c r="L249" s="4"/>
    </row>
    <row r="250" spans="1:12" x14ac:dyDescent="0.2">
      <c r="A250" s="3" t="str">
        <f>IF($B250="","",COUNTA($B$9:$B250))</f>
        <v/>
      </c>
      <c r="B250" s="4"/>
      <c r="C250" s="4"/>
      <c r="D250" s="4"/>
      <c r="E250" s="4"/>
      <c r="F250" s="3" t="str">
        <f t="shared" si="7"/>
        <v/>
      </c>
      <c r="G250" s="4"/>
      <c r="H250" s="5"/>
      <c r="I250" s="5"/>
      <c r="J250" s="6" t="str">
        <f t="shared" si="6"/>
        <v/>
      </c>
      <c r="K250" s="6" t="str">
        <f>IF(OR($B250="",$E250="",Calc!$B247=""),"",SUMIFS(CalcAmtA,CalcPartyA,$E250,CalcKeyA,"&lt;="&amp;Calc!$B247)-SUMIFS(CalcWitB,CalcPartyB,$E250,CalcKeyB,"&lt;="&amp;Calc!$B247)+SUMIFS(CalcDepB,CalcPartyB,$E250,CalcKeyB,"&lt;="&amp;Calc!$B247))</f>
        <v/>
      </c>
      <c r="L250" s="4"/>
    </row>
    <row r="251" spans="1:12" x14ac:dyDescent="0.2">
      <c r="A251" s="3" t="str">
        <f>IF($B251="","",COUNTA($B$9:$B251))</f>
        <v/>
      </c>
      <c r="B251" s="4"/>
      <c r="C251" s="4"/>
      <c r="D251" s="4"/>
      <c r="E251" s="4"/>
      <c r="F251" s="3" t="str">
        <f t="shared" si="7"/>
        <v/>
      </c>
      <c r="G251" s="4"/>
      <c r="H251" s="5"/>
      <c r="I251" s="5"/>
      <c r="J251" s="6" t="str">
        <f t="shared" si="6"/>
        <v/>
      </c>
      <c r="K251" s="6" t="str">
        <f>IF(OR($B251="",$E251="",Calc!$B248=""),"",SUMIFS(CalcAmtA,CalcPartyA,$E251,CalcKeyA,"&lt;="&amp;Calc!$B248)-SUMIFS(CalcWitB,CalcPartyB,$E251,CalcKeyB,"&lt;="&amp;Calc!$B248)+SUMIFS(CalcDepB,CalcPartyB,$E251,CalcKeyB,"&lt;="&amp;Calc!$B248))</f>
        <v/>
      </c>
      <c r="L251" s="4"/>
    </row>
    <row r="252" spans="1:12" x14ac:dyDescent="0.2">
      <c r="A252" s="3" t="str">
        <f>IF($B252="","",COUNTA($B$9:$B252))</f>
        <v/>
      </c>
      <c r="B252" s="4"/>
      <c r="C252" s="4"/>
      <c r="D252" s="4"/>
      <c r="E252" s="4"/>
      <c r="F252" s="3" t="str">
        <f t="shared" si="7"/>
        <v/>
      </c>
      <c r="G252" s="4"/>
      <c r="H252" s="5"/>
      <c r="I252" s="5"/>
      <c r="J252" s="6" t="str">
        <f t="shared" si="6"/>
        <v/>
      </c>
      <c r="K252" s="6" t="str">
        <f>IF(OR($B252="",$E252="",Calc!$B249=""),"",SUMIFS(CalcAmtA,CalcPartyA,$E252,CalcKeyA,"&lt;="&amp;Calc!$B249)-SUMIFS(CalcWitB,CalcPartyB,$E252,CalcKeyB,"&lt;="&amp;Calc!$B249)+SUMIFS(CalcDepB,CalcPartyB,$E252,CalcKeyB,"&lt;="&amp;Calc!$B249))</f>
        <v/>
      </c>
      <c r="L252" s="4"/>
    </row>
    <row r="253" spans="1:12" x14ac:dyDescent="0.2">
      <c r="A253" s="3" t="str">
        <f>IF($B253="","",COUNTA($B$9:$B253))</f>
        <v/>
      </c>
      <c r="B253" s="4"/>
      <c r="C253" s="4"/>
      <c r="D253" s="4"/>
      <c r="E253" s="4"/>
      <c r="F253" s="3" t="str">
        <f t="shared" si="7"/>
        <v/>
      </c>
      <c r="G253" s="4"/>
      <c r="H253" s="5"/>
      <c r="I253" s="5"/>
      <c r="J253" s="6" t="str">
        <f t="shared" si="6"/>
        <v/>
      </c>
      <c r="K253" s="6" t="str">
        <f>IF(OR($B253="",$E253="",Calc!$B250=""),"",SUMIFS(CalcAmtA,CalcPartyA,$E253,CalcKeyA,"&lt;="&amp;Calc!$B250)-SUMIFS(CalcWitB,CalcPartyB,$E253,CalcKeyB,"&lt;="&amp;Calc!$B250)+SUMIFS(CalcDepB,CalcPartyB,$E253,CalcKeyB,"&lt;="&amp;Calc!$B250))</f>
        <v/>
      </c>
      <c r="L253" s="4"/>
    </row>
    <row r="254" spans="1:12" x14ac:dyDescent="0.2">
      <c r="A254" s="3" t="str">
        <f>IF($B254="","",COUNTA($B$9:$B254))</f>
        <v/>
      </c>
      <c r="B254" s="4"/>
      <c r="C254" s="4"/>
      <c r="D254" s="4"/>
      <c r="E254" s="4"/>
      <c r="F254" s="3" t="str">
        <f t="shared" si="7"/>
        <v/>
      </c>
      <c r="G254" s="4"/>
      <c r="H254" s="5"/>
      <c r="I254" s="5"/>
      <c r="J254" s="6" t="str">
        <f t="shared" si="6"/>
        <v/>
      </c>
      <c r="K254" s="6" t="str">
        <f>IF(OR($B254="",$E254="",Calc!$B251=""),"",SUMIFS(CalcAmtA,CalcPartyA,$E254,CalcKeyA,"&lt;="&amp;Calc!$B251)-SUMIFS(CalcWitB,CalcPartyB,$E254,CalcKeyB,"&lt;="&amp;Calc!$B251)+SUMIFS(CalcDepB,CalcPartyB,$E254,CalcKeyB,"&lt;="&amp;Calc!$B251))</f>
        <v/>
      </c>
      <c r="L254" s="4"/>
    </row>
    <row r="255" spans="1:12" x14ac:dyDescent="0.2">
      <c r="A255" s="3" t="str">
        <f>IF($B255="","",COUNTA($B$9:$B255))</f>
        <v/>
      </c>
      <c r="B255" s="4"/>
      <c r="C255" s="4"/>
      <c r="D255" s="4"/>
      <c r="E255" s="4"/>
      <c r="F255" s="3" t="str">
        <f t="shared" si="7"/>
        <v/>
      </c>
      <c r="G255" s="4"/>
      <c r="H255" s="5"/>
      <c r="I255" s="5"/>
      <c r="J255" s="6" t="str">
        <f t="shared" si="6"/>
        <v/>
      </c>
      <c r="K255" s="6" t="str">
        <f>IF(OR($B255="",$E255="",Calc!$B252=""),"",SUMIFS(CalcAmtA,CalcPartyA,$E255,CalcKeyA,"&lt;="&amp;Calc!$B252)-SUMIFS(CalcWitB,CalcPartyB,$E255,CalcKeyB,"&lt;="&amp;Calc!$B252)+SUMIFS(CalcDepB,CalcPartyB,$E255,CalcKeyB,"&lt;="&amp;Calc!$B252))</f>
        <v/>
      </c>
      <c r="L255" s="4"/>
    </row>
    <row r="256" spans="1:12" x14ac:dyDescent="0.2">
      <c r="A256" s="3" t="str">
        <f>IF($B256="","",COUNTA($B$9:$B256))</f>
        <v/>
      </c>
      <c r="B256" s="4"/>
      <c r="C256" s="4"/>
      <c r="D256" s="4"/>
      <c r="E256" s="4"/>
      <c r="F256" s="3" t="str">
        <f t="shared" si="7"/>
        <v/>
      </c>
      <c r="G256" s="4"/>
      <c r="H256" s="5"/>
      <c r="I256" s="5"/>
      <c r="J256" s="6" t="str">
        <f t="shared" si="6"/>
        <v/>
      </c>
      <c r="K256" s="6" t="str">
        <f>IF(OR($B256="",$E256="",Calc!$B253=""),"",SUMIFS(CalcAmtA,CalcPartyA,$E256,CalcKeyA,"&lt;="&amp;Calc!$B253)-SUMIFS(CalcWitB,CalcPartyB,$E256,CalcKeyB,"&lt;="&amp;Calc!$B253)+SUMIFS(CalcDepB,CalcPartyB,$E256,CalcKeyB,"&lt;="&amp;Calc!$B253))</f>
        <v/>
      </c>
      <c r="L256" s="4"/>
    </row>
    <row r="257" spans="1:12" x14ac:dyDescent="0.2">
      <c r="A257" s="3" t="str">
        <f>IF($B257="","",COUNTA($B$9:$B257))</f>
        <v/>
      </c>
      <c r="B257" s="4"/>
      <c r="C257" s="4"/>
      <c r="D257" s="4"/>
      <c r="E257" s="4"/>
      <c r="F257" s="3" t="str">
        <f t="shared" si="7"/>
        <v/>
      </c>
      <c r="G257" s="4"/>
      <c r="H257" s="5"/>
      <c r="I257" s="5"/>
      <c r="J257" s="6" t="str">
        <f t="shared" si="6"/>
        <v/>
      </c>
      <c r="K257" s="6" t="str">
        <f>IF(OR($B257="",$E257="",Calc!$B254=""),"",SUMIFS(CalcAmtA,CalcPartyA,$E257,CalcKeyA,"&lt;="&amp;Calc!$B254)-SUMIFS(CalcWitB,CalcPartyB,$E257,CalcKeyB,"&lt;="&amp;Calc!$B254)+SUMIFS(CalcDepB,CalcPartyB,$E257,CalcKeyB,"&lt;="&amp;Calc!$B254))</f>
        <v/>
      </c>
      <c r="L257" s="4"/>
    </row>
    <row r="258" spans="1:12" x14ac:dyDescent="0.2">
      <c r="A258" s="3" t="str">
        <f>IF($B258="","",COUNTA($B$9:$B258))</f>
        <v/>
      </c>
      <c r="B258" s="4"/>
      <c r="C258" s="4"/>
      <c r="D258" s="4"/>
      <c r="E258" s="4"/>
      <c r="F258" s="3" t="str">
        <f t="shared" si="7"/>
        <v/>
      </c>
      <c r="G258" s="4"/>
      <c r="H258" s="5"/>
      <c r="I258" s="5"/>
      <c r="J258" s="6" t="str">
        <f t="shared" si="6"/>
        <v/>
      </c>
      <c r="K258" s="6" t="str">
        <f>IF(OR($B258="",$E258="",Calc!$B255=""),"",SUMIFS(CalcAmtA,CalcPartyA,$E258,CalcKeyA,"&lt;="&amp;Calc!$B255)-SUMIFS(CalcWitB,CalcPartyB,$E258,CalcKeyB,"&lt;="&amp;Calc!$B255)+SUMIFS(CalcDepB,CalcPartyB,$E258,CalcKeyB,"&lt;="&amp;Calc!$B255))</f>
        <v/>
      </c>
      <c r="L258" s="4"/>
    </row>
    <row r="259" spans="1:12" x14ac:dyDescent="0.2">
      <c r="A259" s="3" t="str">
        <f>IF($B259="","",COUNTA($B$9:$B259))</f>
        <v/>
      </c>
      <c r="B259" s="4"/>
      <c r="C259" s="4"/>
      <c r="D259" s="4"/>
      <c r="E259" s="4"/>
      <c r="F259" s="3" t="str">
        <f t="shared" si="7"/>
        <v/>
      </c>
      <c r="G259" s="4"/>
      <c r="H259" s="5"/>
      <c r="I259" s="5"/>
      <c r="J259" s="6" t="str">
        <f t="shared" si="6"/>
        <v/>
      </c>
      <c r="K259" s="6" t="str">
        <f>IF(OR($B259="",$E259="",Calc!$B256=""),"",SUMIFS(CalcAmtA,CalcPartyA,$E259,CalcKeyA,"&lt;="&amp;Calc!$B256)-SUMIFS(CalcWitB,CalcPartyB,$E259,CalcKeyB,"&lt;="&amp;Calc!$B256)+SUMIFS(CalcDepB,CalcPartyB,$E259,CalcKeyB,"&lt;="&amp;Calc!$B256))</f>
        <v/>
      </c>
      <c r="L259" s="4"/>
    </row>
    <row r="260" spans="1:12" x14ac:dyDescent="0.2">
      <c r="A260" s="3" t="str">
        <f>IF($B260="","",COUNTA($B$9:$B260))</f>
        <v/>
      </c>
      <c r="B260" s="4"/>
      <c r="C260" s="4"/>
      <c r="D260" s="4"/>
      <c r="E260" s="4"/>
      <c r="F260" s="3" t="str">
        <f t="shared" si="7"/>
        <v/>
      </c>
      <c r="G260" s="4"/>
      <c r="H260" s="5"/>
      <c r="I260" s="5"/>
      <c r="J260" s="6" t="str">
        <f t="shared" si="6"/>
        <v/>
      </c>
      <c r="K260" s="6" t="str">
        <f>IF(OR($B260="",$E260="",Calc!$B257=""),"",SUMIFS(CalcAmtA,CalcPartyA,$E260,CalcKeyA,"&lt;="&amp;Calc!$B257)-SUMIFS(CalcWitB,CalcPartyB,$E260,CalcKeyB,"&lt;="&amp;Calc!$B257)+SUMIFS(CalcDepB,CalcPartyB,$E260,CalcKeyB,"&lt;="&amp;Calc!$B257))</f>
        <v/>
      </c>
      <c r="L260" s="4"/>
    </row>
    <row r="261" spans="1:12" x14ac:dyDescent="0.2">
      <c r="A261" s="3" t="str">
        <f>IF($B261="","",COUNTA($B$9:$B261))</f>
        <v/>
      </c>
      <c r="B261" s="4"/>
      <c r="C261" s="4"/>
      <c r="D261" s="4"/>
      <c r="E261" s="4"/>
      <c r="F261" s="3" t="str">
        <f t="shared" si="7"/>
        <v/>
      </c>
      <c r="G261" s="4"/>
      <c r="H261" s="5"/>
      <c r="I261" s="5"/>
      <c r="J261" s="6" t="str">
        <f t="shared" si="6"/>
        <v/>
      </c>
      <c r="K261" s="6" t="str">
        <f>IF(OR($B261="",$E261="",Calc!$B258=""),"",SUMIFS(CalcAmtA,CalcPartyA,$E261,CalcKeyA,"&lt;="&amp;Calc!$B258)-SUMIFS(CalcWitB,CalcPartyB,$E261,CalcKeyB,"&lt;="&amp;Calc!$B258)+SUMIFS(CalcDepB,CalcPartyB,$E261,CalcKeyB,"&lt;="&amp;Calc!$B258))</f>
        <v/>
      </c>
      <c r="L261" s="4"/>
    </row>
    <row r="262" spans="1:12" x14ac:dyDescent="0.2">
      <c r="A262" s="3" t="str">
        <f>IF($B262="","",COUNTA($B$9:$B262))</f>
        <v/>
      </c>
      <c r="B262" s="4"/>
      <c r="C262" s="4"/>
      <c r="D262" s="4"/>
      <c r="E262" s="4"/>
      <c r="F262" s="3" t="str">
        <f t="shared" si="7"/>
        <v/>
      </c>
      <c r="G262" s="4"/>
      <c r="H262" s="5"/>
      <c r="I262" s="5"/>
      <c r="J262" s="6" t="str">
        <f t="shared" ref="J262:J325" si="8">IF(OR($H262="",$I262=""),"",ROUND($H262*$I262,0))</f>
        <v/>
      </c>
      <c r="K262" s="6" t="str">
        <f>IF(OR($B262="",$E262="",Calc!$B259=""),"",SUMIFS(CalcAmtA,CalcPartyA,$E262,CalcKeyA,"&lt;="&amp;Calc!$B259)-SUMIFS(CalcWitB,CalcPartyB,$E262,CalcKeyB,"&lt;="&amp;Calc!$B259)+SUMIFS(CalcDepB,CalcPartyB,$E262,CalcKeyB,"&lt;="&amp;Calc!$B259))</f>
        <v/>
      </c>
      <c r="L262" s="4"/>
    </row>
    <row r="263" spans="1:12" x14ac:dyDescent="0.2">
      <c r="A263" s="3" t="str">
        <f>IF($B263="","",COUNTA($B$9:$B263))</f>
        <v/>
      </c>
      <c r="B263" s="4"/>
      <c r="C263" s="4"/>
      <c r="D263" s="4"/>
      <c r="E263" s="4"/>
      <c r="F263" s="3" t="str">
        <f t="shared" si="7"/>
        <v/>
      </c>
      <c r="G263" s="4"/>
      <c r="H263" s="5"/>
      <c r="I263" s="5"/>
      <c r="J263" s="6" t="str">
        <f t="shared" si="8"/>
        <v/>
      </c>
      <c r="K263" s="6" t="str">
        <f>IF(OR($B263="",$E263="",Calc!$B260=""),"",SUMIFS(CalcAmtA,CalcPartyA,$E263,CalcKeyA,"&lt;="&amp;Calc!$B260)-SUMIFS(CalcWitB,CalcPartyB,$E263,CalcKeyB,"&lt;="&amp;Calc!$B260)+SUMIFS(CalcDepB,CalcPartyB,$E263,CalcKeyB,"&lt;="&amp;Calc!$B260))</f>
        <v/>
      </c>
      <c r="L263" s="4"/>
    </row>
    <row r="264" spans="1:12" x14ac:dyDescent="0.2">
      <c r="A264" s="3" t="str">
        <f>IF($B264="","",COUNTA($B$9:$B264))</f>
        <v/>
      </c>
      <c r="B264" s="4"/>
      <c r="C264" s="4"/>
      <c r="D264" s="4"/>
      <c r="E264" s="4"/>
      <c r="F264" s="3" t="str">
        <f t="shared" si="7"/>
        <v/>
      </c>
      <c r="G264" s="4"/>
      <c r="H264" s="5"/>
      <c r="I264" s="5"/>
      <c r="J264" s="6" t="str">
        <f t="shared" si="8"/>
        <v/>
      </c>
      <c r="K264" s="6" t="str">
        <f>IF(OR($B264="",$E264="",Calc!$B261=""),"",SUMIFS(CalcAmtA,CalcPartyA,$E264,CalcKeyA,"&lt;="&amp;Calc!$B261)-SUMIFS(CalcWitB,CalcPartyB,$E264,CalcKeyB,"&lt;="&amp;Calc!$B261)+SUMIFS(CalcDepB,CalcPartyB,$E264,CalcKeyB,"&lt;="&amp;Calc!$B261))</f>
        <v/>
      </c>
      <c r="L264" s="4"/>
    </row>
    <row r="265" spans="1:12" x14ac:dyDescent="0.2">
      <c r="A265" s="3" t="str">
        <f>IF($B265="","",COUNTA($B$9:$B265))</f>
        <v/>
      </c>
      <c r="B265" s="4"/>
      <c r="C265" s="4"/>
      <c r="D265" s="4"/>
      <c r="E265" s="4"/>
      <c r="F265" s="3" t="str">
        <f t="shared" ref="F265:F328" si="9">IF($E265="","",IFERROR(IF(VLOOKUP($E265,AcctTbl,4,0)="","",VLOOKUP($E265,AcctTbl,4,0)),"—"))</f>
        <v/>
      </c>
      <c r="G265" s="4"/>
      <c r="H265" s="5"/>
      <c r="I265" s="5"/>
      <c r="J265" s="6" t="str">
        <f t="shared" si="8"/>
        <v/>
      </c>
      <c r="K265" s="6" t="str">
        <f>IF(OR($B265="",$E265="",Calc!$B262=""),"",SUMIFS(CalcAmtA,CalcPartyA,$E265,CalcKeyA,"&lt;="&amp;Calc!$B262)-SUMIFS(CalcWitB,CalcPartyB,$E265,CalcKeyB,"&lt;="&amp;Calc!$B262)+SUMIFS(CalcDepB,CalcPartyB,$E265,CalcKeyB,"&lt;="&amp;Calc!$B262))</f>
        <v/>
      </c>
      <c r="L265" s="4"/>
    </row>
    <row r="266" spans="1:12" x14ac:dyDescent="0.2">
      <c r="A266" s="3" t="str">
        <f>IF($B266="","",COUNTA($B$9:$B266))</f>
        <v/>
      </c>
      <c r="B266" s="4"/>
      <c r="C266" s="4"/>
      <c r="D266" s="4"/>
      <c r="E266" s="4"/>
      <c r="F266" s="3" t="str">
        <f t="shared" si="9"/>
        <v/>
      </c>
      <c r="G266" s="4"/>
      <c r="H266" s="5"/>
      <c r="I266" s="5"/>
      <c r="J266" s="6" t="str">
        <f t="shared" si="8"/>
        <v/>
      </c>
      <c r="K266" s="6" t="str">
        <f>IF(OR($B266="",$E266="",Calc!$B263=""),"",SUMIFS(CalcAmtA,CalcPartyA,$E266,CalcKeyA,"&lt;="&amp;Calc!$B263)-SUMIFS(CalcWitB,CalcPartyB,$E266,CalcKeyB,"&lt;="&amp;Calc!$B263)+SUMIFS(CalcDepB,CalcPartyB,$E266,CalcKeyB,"&lt;="&amp;Calc!$B263))</f>
        <v/>
      </c>
      <c r="L266" s="4"/>
    </row>
    <row r="267" spans="1:12" x14ac:dyDescent="0.2">
      <c r="A267" s="3" t="str">
        <f>IF($B267="","",COUNTA($B$9:$B267))</f>
        <v/>
      </c>
      <c r="B267" s="4"/>
      <c r="C267" s="4"/>
      <c r="D267" s="4"/>
      <c r="E267" s="4"/>
      <c r="F267" s="3" t="str">
        <f t="shared" si="9"/>
        <v/>
      </c>
      <c r="G267" s="4"/>
      <c r="H267" s="5"/>
      <c r="I267" s="5"/>
      <c r="J267" s="6" t="str">
        <f t="shared" si="8"/>
        <v/>
      </c>
      <c r="K267" s="6" t="str">
        <f>IF(OR($B267="",$E267="",Calc!$B264=""),"",SUMIFS(CalcAmtA,CalcPartyA,$E267,CalcKeyA,"&lt;="&amp;Calc!$B264)-SUMIFS(CalcWitB,CalcPartyB,$E267,CalcKeyB,"&lt;="&amp;Calc!$B264)+SUMIFS(CalcDepB,CalcPartyB,$E267,CalcKeyB,"&lt;="&amp;Calc!$B264))</f>
        <v/>
      </c>
      <c r="L267" s="4"/>
    </row>
    <row r="268" spans="1:12" x14ac:dyDescent="0.2">
      <c r="A268" s="3" t="str">
        <f>IF($B268="","",COUNTA($B$9:$B268))</f>
        <v/>
      </c>
      <c r="B268" s="4"/>
      <c r="C268" s="4"/>
      <c r="D268" s="4"/>
      <c r="E268" s="4"/>
      <c r="F268" s="3" t="str">
        <f t="shared" si="9"/>
        <v/>
      </c>
      <c r="G268" s="4"/>
      <c r="H268" s="5"/>
      <c r="I268" s="5"/>
      <c r="J268" s="6" t="str">
        <f t="shared" si="8"/>
        <v/>
      </c>
      <c r="K268" s="6" t="str">
        <f>IF(OR($B268="",$E268="",Calc!$B265=""),"",SUMIFS(CalcAmtA,CalcPartyA,$E268,CalcKeyA,"&lt;="&amp;Calc!$B265)-SUMIFS(CalcWitB,CalcPartyB,$E268,CalcKeyB,"&lt;="&amp;Calc!$B265)+SUMIFS(CalcDepB,CalcPartyB,$E268,CalcKeyB,"&lt;="&amp;Calc!$B265))</f>
        <v/>
      </c>
      <c r="L268" s="4"/>
    </row>
    <row r="269" spans="1:12" x14ac:dyDescent="0.2">
      <c r="A269" s="3" t="str">
        <f>IF($B269="","",COUNTA($B$9:$B269))</f>
        <v/>
      </c>
      <c r="B269" s="4"/>
      <c r="C269" s="4"/>
      <c r="D269" s="4"/>
      <c r="E269" s="4"/>
      <c r="F269" s="3" t="str">
        <f t="shared" si="9"/>
        <v/>
      </c>
      <c r="G269" s="4"/>
      <c r="H269" s="5"/>
      <c r="I269" s="5"/>
      <c r="J269" s="6" t="str">
        <f t="shared" si="8"/>
        <v/>
      </c>
      <c r="K269" s="6" t="str">
        <f>IF(OR($B269="",$E269="",Calc!$B266=""),"",SUMIFS(CalcAmtA,CalcPartyA,$E269,CalcKeyA,"&lt;="&amp;Calc!$B266)-SUMIFS(CalcWitB,CalcPartyB,$E269,CalcKeyB,"&lt;="&amp;Calc!$B266)+SUMIFS(CalcDepB,CalcPartyB,$E269,CalcKeyB,"&lt;="&amp;Calc!$B266))</f>
        <v/>
      </c>
      <c r="L269" s="4"/>
    </row>
    <row r="270" spans="1:12" x14ac:dyDescent="0.2">
      <c r="A270" s="3" t="str">
        <f>IF($B270="","",COUNTA($B$9:$B270))</f>
        <v/>
      </c>
      <c r="B270" s="4"/>
      <c r="C270" s="4"/>
      <c r="D270" s="4"/>
      <c r="E270" s="4"/>
      <c r="F270" s="3" t="str">
        <f t="shared" si="9"/>
        <v/>
      </c>
      <c r="G270" s="4"/>
      <c r="H270" s="5"/>
      <c r="I270" s="5"/>
      <c r="J270" s="6" t="str">
        <f t="shared" si="8"/>
        <v/>
      </c>
      <c r="K270" s="6" t="str">
        <f>IF(OR($B270="",$E270="",Calc!$B267=""),"",SUMIFS(CalcAmtA,CalcPartyA,$E270,CalcKeyA,"&lt;="&amp;Calc!$B267)-SUMIFS(CalcWitB,CalcPartyB,$E270,CalcKeyB,"&lt;="&amp;Calc!$B267)+SUMIFS(CalcDepB,CalcPartyB,$E270,CalcKeyB,"&lt;="&amp;Calc!$B267))</f>
        <v/>
      </c>
      <c r="L270" s="4"/>
    </row>
    <row r="271" spans="1:12" x14ac:dyDescent="0.2">
      <c r="A271" s="3" t="str">
        <f>IF($B271="","",COUNTA($B$9:$B271))</f>
        <v/>
      </c>
      <c r="B271" s="4"/>
      <c r="C271" s="4"/>
      <c r="D271" s="4"/>
      <c r="E271" s="4"/>
      <c r="F271" s="3" t="str">
        <f t="shared" si="9"/>
        <v/>
      </c>
      <c r="G271" s="4"/>
      <c r="H271" s="5"/>
      <c r="I271" s="5"/>
      <c r="J271" s="6" t="str">
        <f t="shared" si="8"/>
        <v/>
      </c>
      <c r="K271" s="6" t="str">
        <f>IF(OR($B271="",$E271="",Calc!$B268=""),"",SUMIFS(CalcAmtA,CalcPartyA,$E271,CalcKeyA,"&lt;="&amp;Calc!$B268)-SUMIFS(CalcWitB,CalcPartyB,$E271,CalcKeyB,"&lt;="&amp;Calc!$B268)+SUMIFS(CalcDepB,CalcPartyB,$E271,CalcKeyB,"&lt;="&amp;Calc!$B268))</f>
        <v/>
      </c>
      <c r="L271" s="4"/>
    </row>
    <row r="272" spans="1:12" x14ac:dyDescent="0.2">
      <c r="A272" s="3" t="str">
        <f>IF($B272="","",COUNTA($B$9:$B272))</f>
        <v/>
      </c>
      <c r="B272" s="4"/>
      <c r="C272" s="4"/>
      <c r="D272" s="4"/>
      <c r="E272" s="4"/>
      <c r="F272" s="3" t="str">
        <f t="shared" si="9"/>
        <v/>
      </c>
      <c r="G272" s="4"/>
      <c r="H272" s="5"/>
      <c r="I272" s="5"/>
      <c r="J272" s="6" t="str">
        <f t="shared" si="8"/>
        <v/>
      </c>
      <c r="K272" s="6" t="str">
        <f>IF(OR($B272="",$E272="",Calc!$B269=""),"",SUMIFS(CalcAmtA,CalcPartyA,$E272,CalcKeyA,"&lt;="&amp;Calc!$B269)-SUMIFS(CalcWitB,CalcPartyB,$E272,CalcKeyB,"&lt;="&amp;Calc!$B269)+SUMIFS(CalcDepB,CalcPartyB,$E272,CalcKeyB,"&lt;="&amp;Calc!$B269))</f>
        <v/>
      </c>
      <c r="L272" s="4"/>
    </row>
    <row r="273" spans="1:12" x14ac:dyDescent="0.2">
      <c r="A273" s="3" t="str">
        <f>IF($B273="","",COUNTA($B$9:$B273))</f>
        <v/>
      </c>
      <c r="B273" s="4"/>
      <c r="C273" s="4"/>
      <c r="D273" s="4"/>
      <c r="E273" s="4"/>
      <c r="F273" s="3" t="str">
        <f t="shared" si="9"/>
        <v/>
      </c>
      <c r="G273" s="4"/>
      <c r="H273" s="5"/>
      <c r="I273" s="5"/>
      <c r="J273" s="6" t="str">
        <f t="shared" si="8"/>
        <v/>
      </c>
      <c r="K273" s="6" t="str">
        <f>IF(OR($B273="",$E273="",Calc!$B270=""),"",SUMIFS(CalcAmtA,CalcPartyA,$E273,CalcKeyA,"&lt;="&amp;Calc!$B270)-SUMIFS(CalcWitB,CalcPartyB,$E273,CalcKeyB,"&lt;="&amp;Calc!$B270)+SUMIFS(CalcDepB,CalcPartyB,$E273,CalcKeyB,"&lt;="&amp;Calc!$B270))</f>
        <v/>
      </c>
      <c r="L273" s="4"/>
    </row>
    <row r="274" spans="1:12" x14ac:dyDescent="0.2">
      <c r="A274" s="3" t="str">
        <f>IF($B274="","",COUNTA($B$9:$B274))</f>
        <v/>
      </c>
      <c r="B274" s="4"/>
      <c r="C274" s="4"/>
      <c r="D274" s="4"/>
      <c r="E274" s="4"/>
      <c r="F274" s="3" t="str">
        <f t="shared" si="9"/>
        <v/>
      </c>
      <c r="G274" s="4"/>
      <c r="H274" s="5"/>
      <c r="I274" s="5"/>
      <c r="J274" s="6" t="str">
        <f t="shared" si="8"/>
        <v/>
      </c>
      <c r="K274" s="6" t="str">
        <f>IF(OR($B274="",$E274="",Calc!$B271=""),"",SUMIFS(CalcAmtA,CalcPartyA,$E274,CalcKeyA,"&lt;="&amp;Calc!$B271)-SUMIFS(CalcWitB,CalcPartyB,$E274,CalcKeyB,"&lt;="&amp;Calc!$B271)+SUMIFS(CalcDepB,CalcPartyB,$E274,CalcKeyB,"&lt;="&amp;Calc!$B271))</f>
        <v/>
      </c>
      <c r="L274" s="4"/>
    </row>
    <row r="275" spans="1:12" x14ac:dyDescent="0.2">
      <c r="A275" s="3" t="str">
        <f>IF($B275="","",COUNTA($B$9:$B275))</f>
        <v/>
      </c>
      <c r="B275" s="4"/>
      <c r="C275" s="4"/>
      <c r="D275" s="4"/>
      <c r="E275" s="4"/>
      <c r="F275" s="3" t="str">
        <f t="shared" si="9"/>
        <v/>
      </c>
      <c r="G275" s="4"/>
      <c r="H275" s="5"/>
      <c r="I275" s="5"/>
      <c r="J275" s="6" t="str">
        <f t="shared" si="8"/>
        <v/>
      </c>
      <c r="K275" s="6" t="str">
        <f>IF(OR($B275="",$E275="",Calc!$B272=""),"",SUMIFS(CalcAmtA,CalcPartyA,$E275,CalcKeyA,"&lt;="&amp;Calc!$B272)-SUMIFS(CalcWitB,CalcPartyB,$E275,CalcKeyB,"&lt;="&amp;Calc!$B272)+SUMIFS(CalcDepB,CalcPartyB,$E275,CalcKeyB,"&lt;="&amp;Calc!$B272))</f>
        <v/>
      </c>
      <c r="L275" s="4"/>
    </row>
    <row r="276" spans="1:12" x14ac:dyDescent="0.2">
      <c r="A276" s="3" t="str">
        <f>IF($B276="","",COUNTA($B$9:$B276))</f>
        <v/>
      </c>
      <c r="B276" s="4"/>
      <c r="C276" s="4"/>
      <c r="D276" s="4"/>
      <c r="E276" s="4"/>
      <c r="F276" s="3" t="str">
        <f t="shared" si="9"/>
        <v/>
      </c>
      <c r="G276" s="4"/>
      <c r="H276" s="5"/>
      <c r="I276" s="5"/>
      <c r="J276" s="6" t="str">
        <f t="shared" si="8"/>
        <v/>
      </c>
      <c r="K276" s="6" t="str">
        <f>IF(OR($B276="",$E276="",Calc!$B273=""),"",SUMIFS(CalcAmtA,CalcPartyA,$E276,CalcKeyA,"&lt;="&amp;Calc!$B273)-SUMIFS(CalcWitB,CalcPartyB,$E276,CalcKeyB,"&lt;="&amp;Calc!$B273)+SUMIFS(CalcDepB,CalcPartyB,$E276,CalcKeyB,"&lt;="&amp;Calc!$B273))</f>
        <v/>
      </c>
      <c r="L276" s="4"/>
    </row>
    <row r="277" spans="1:12" x14ac:dyDescent="0.2">
      <c r="A277" s="3" t="str">
        <f>IF($B277="","",COUNTA($B$9:$B277))</f>
        <v/>
      </c>
      <c r="B277" s="4"/>
      <c r="C277" s="4"/>
      <c r="D277" s="4"/>
      <c r="E277" s="4"/>
      <c r="F277" s="3" t="str">
        <f t="shared" si="9"/>
        <v/>
      </c>
      <c r="G277" s="4"/>
      <c r="H277" s="5"/>
      <c r="I277" s="5"/>
      <c r="J277" s="6" t="str">
        <f t="shared" si="8"/>
        <v/>
      </c>
      <c r="K277" s="6" t="str">
        <f>IF(OR($B277="",$E277="",Calc!$B274=""),"",SUMIFS(CalcAmtA,CalcPartyA,$E277,CalcKeyA,"&lt;="&amp;Calc!$B274)-SUMIFS(CalcWitB,CalcPartyB,$E277,CalcKeyB,"&lt;="&amp;Calc!$B274)+SUMIFS(CalcDepB,CalcPartyB,$E277,CalcKeyB,"&lt;="&amp;Calc!$B274))</f>
        <v/>
      </c>
      <c r="L277" s="4"/>
    </row>
    <row r="278" spans="1:12" x14ac:dyDescent="0.2">
      <c r="A278" s="3" t="str">
        <f>IF($B278="","",COUNTA($B$9:$B278))</f>
        <v/>
      </c>
      <c r="B278" s="4"/>
      <c r="C278" s="4"/>
      <c r="D278" s="4"/>
      <c r="E278" s="4"/>
      <c r="F278" s="3" t="str">
        <f t="shared" si="9"/>
        <v/>
      </c>
      <c r="G278" s="4"/>
      <c r="H278" s="5"/>
      <c r="I278" s="5"/>
      <c r="J278" s="6" t="str">
        <f t="shared" si="8"/>
        <v/>
      </c>
      <c r="K278" s="6" t="str">
        <f>IF(OR($B278="",$E278="",Calc!$B275=""),"",SUMIFS(CalcAmtA,CalcPartyA,$E278,CalcKeyA,"&lt;="&amp;Calc!$B275)-SUMIFS(CalcWitB,CalcPartyB,$E278,CalcKeyB,"&lt;="&amp;Calc!$B275)+SUMIFS(CalcDepB,CalcPartyB,$E278,CalcKeyB,"&lt;="&amp;Calc!$B275))</f>
        <v/>
      </c>
      <c r="L278" s="4"/>
    </row>
    <row r="279" spans="1:12" x14ac:dyDescent="0.2">
      <c r="A279" s="3" t="str">
        <f>IF($B279="","",COUNTA($B$9:$B279))</f>
        <v/>
      </c>
      <c r="B279" s="4"/>
      <c r="C279" s="4"/>
      <c r="D279" s="4"/>
      <c r="E279" s="4"/>
      <c r="F279" s="3" t="str">
        <f t="shared" si="9"/>
        <v/>
      </c>
      <c r="G279" s="4"/>
      <c r="H279" s="5"/>
      <c r="I279" s="5"/>
      <c r="J279" s="6" t="str">
        <f t="shared" si="8"/>
        <v/>
      </c>
      <c r="K279" s="6" t="str">
        <f>IF(OR($B279="",$E279="",Calc!$B276=""),"",SUMIFS(CalcAmtA,CalcPartyA,$E279,CalcKeyA,"&lt;="&amp;Calc!$B276)-SUMIFS(CalcWitB,CalcPartyB,$E279,CalcKeyB,"&lt;="&amp;Calc!$B276)+SUMIFS(CalcDepB,CalcPartyB,$E279,CalcKeyB,"&lt;="&amp;Calc!$B276))</f>
        <v/>
      </c>
      <c r="L279" s="4"/>
    </row>
    <row r="280" spans="1:12" x14ac:dyDescent="0.2">
      <c r="A280" s="3" t="str">
        <f>IF($B280="","",COUNTA($B$9:$B280))</f>
        <v/>
      </c>
      <c r="B280" s="4"/>
      <c r="C280" s="4"/>
      <c r="D280" s="4"/>
      <c r="E280" s="4"/>
      <c r="F280" s="3" t="str">
        <f t="shared" si="9"/>
        <v/>
      </c>
      <c r="G280" s="4"/>
      <c r="H280" s="5"/>
      <c r="I280" s="5"/>
      <c r="J280" s="6" t="str">
        <f t="shared" si="8"/>
        <v/>
      </c>
      <c r="K280" s="6" t="str">
        <f>IF(OR($B280="",$E280="",Calc!$B277=""),"",SUMIFS(CalcAmtA,CalcPartyA,$E280,CalcKeyA,"&lt;="&amp;Calc!$B277)-SUMIFS(CalcWitB,CalcPartyB,$E280,CalcKeyB,"&lt;="&amp;Calc!$B277)+SUMIFS(CalcDepB,CalcPartyB,$E280,CalcKeyB,"&lt;="&amp;Calc!$B277))</f>
        <v/>
      </c>
      <c r="L280" s="4"/>
    </row>
    <row r="281" spans="1:12" x14ac:dyDescent="0.2">
      <c r="A281" s="3" t="str">
        <f>IF($B281="","",COUNTA($B$9:$B281))</f>
        <v/>
      </c>
      <c r="B281" s="4"/>
      <c r="C281" s="4"/>
      <c r="D281" s="4"/>
      <c r="E281" s="4"/>
      <c r="F281" s="3" t="str">
        <f t="shared" si="9"/>
        <v/>
      </c>
      <c r="G281" s="4"/>
      <c r="H281" s="5"/>
      <c r="I281" s="5"/>
      <c r="J281" s="6" t="str">
        <f t="shared" si="8"/>
        <v/>
      </c>
      <c r="K281" s="6" t="str">
        <f>IF(OR($B281="",$E281="",Calc!$B278=""),"",SUMIFS(CalcAmtA,CalcPartyA,$E281,CalcKeyA,"&lt;="&amp;Calc!$B278)-SUMIFS(CalcWitB,CalcPartyB,$E281,CalcKeyB,"&lt;="&amp;Calc!$B278)+SUMIFS(CalcDepB,CalcPartyB,$E281,CalcKeyB,"&lt;="&amp;Calc!$B278))</f>
        <v/>
      </c>
      <c r="L281" s="4"/>
    </row>
    <row r="282" spans="1:12" x14ac:dyDescent="0.2">
      <c r="A282" s="3" t="str">
        <f>IF($B282="","",COUNTA($B$9:$B282))</f>
        <v/>
      </c>
      <c r="B282" s="4"/>
      <c r="C282" s="4"/>
      <c r="D282" s="4"/>
      <c r="E282" s="4"/>
      <c r="F282" s="3" t="str">
        <f t="shared" si="9"/>
        <v/>
      </c>
      <c r="G282" s="4"/>
      <c r="H282" s="5"/>
      <c r="I282" s="5"/>
      <c r="J282" s="6" t="str">
        <f t="shared" si="8"/>
        <v/>
      </c>
      <c r="K282" s="6" t="str">
        <f>IF(OR($B282="",$E282="",Calc!$B279=""),"",SUMIFS(CalcAmtA,CalcPartyA,$E282,CalcKeyA,"&lt;="&amp;Calc!$B279)-SUMIFS(CalcWitB,CalcPartyB,$E282,CalcKeyB,"&lt;="&amp;Calc!$B279)+SUMIFS(CalcDepB,CalcPartyB,$E282,CalcKeyB,"&lt;="&amp;Calc!$B279))</f>
        <v/>
      </c>
      <c r="L282" s="4"/>
    </row>
    <row r="283" spans="1:12" x14ac:dyDescent="0.2">
      <c r="A283" s="3" t="str">
        <f>IF($B283="","",COUNTA($B$9:$B283))</f>
        <v/>
      </c>
      <c r="B283" s="4"/>
      <c r="C283" s="4"/>
      <c r="D283" s="4"/>
      <c r="E283" s="4"/>
      <c r="F283" s="3" t="str">
        <f t="shared" si="9"/>
        <v/>
      </c>
      <c r="G283" s="4"/>
      <c r="H283" s="5"/>
      <c r="I283" s="5"/>
      <c r="J283" s="6" t="str">
        <f t="shared" si="8"/>
        <v/>
      </c>
      <c r="K283" s="6" t="str">
        <f>IF(OR($B283="",$E283="",Calc!$B280=""),"",SUMIFS(CalcAmtA,CalcPartyA,$E283,CalcKeyA,"&lt;="&amp;Calc!$B280)-SUMIFS(CalcWitB,CalcPartyB,$E283,CalcKeyB,"&lt;="&amp;Calc!$B280)+SUMIFS(CalcDepB,CalcPartyB,$E283,CalcKeyB,"&lt;="&amp;Calc!$B280))</f>
        <v/>
      </c>
      <c r="L283" s="4"/>
    </row>
    <row r="284" spans="1:12" x14ac:dyDescent="0.2">
      <c r="A284" s="3" t="str">
        <f>IF($B284="","",COUNTA($B$9:$B284))</f>
        <v/>
      </c>
      <c r="B284" s="4"/>
      <c r="C284" s="4"/>
      <c r="D284" s="4"/>
      <c r="E284" s="4"/>
      <c r="F284" s="3" t="str">
        <f t="shared" si="9"/>
        <v/>
      </c>
      <c r="G284" s="4"/>
      <c r="H284" s="5"/>
      <c r="I284" s="5"/>
      <c r="J284" s="6" t="str">
        <f t="shared" si="8"/>
        <v/>
      </c>
      <c r="K284" s="6" t="str">
        <f>IF(OR($B284="",$E284="",Calc!$B281=""),"",SUMIFS(CalcAmtA,CalcPartyA,$E284,CalcKeyA,"&lt;="&amp;Calc!$B281)-SUMIFS(CalcWitB,CalcPartyB,$E284,CalcKeyB,"&lt;="&amp;Calc!$B281)+SUMIFS(CalcDepB,CalcPartyB,$E284,CalcKeyB,"&lt;="&amp;Calc!$B281))</f>
        <v/>
      </c>
      <c r="L284" s="4"/>
    </row>
    <row r="285" spans="1:12" x14ac:dyDescent="0.2">
      <c r="A285" s="3" t="str">
        <f>IF($B285="","",COUNTA($B$9:$B285))</f>
        <v/>
      </c>
      <c r="B285" s="4"/>
      <c r="C285" s="4"/>
      <c r="D285" s="4"/>
      <c r="E285" s="4"/>
      <c r="F285" s="3" t="str">
        <f t="shared" si="9"/>
        <v/>
      </c>
      <c r="G285" s="4"/>
      <c r="H285" s="5"/>
      <c r="I285" s="5"/>
      <c r="J285" s="6" t="str">
        <f t="shared" si="8"/>
        <v/>
      </c>
      <c r="K285" s="6" t="str">
        <f>IF(OR($B285="",$E285="",Calc!$B282=""),"",SUMIFS(CalcAmtA,CalcPartyA,$E285,CalcKeyA,"&lt;="&amp;Calc!$B282)-SUMIFS(CalcWitB,CalcPartyB,$E285,CalcKeyB,"&lt;="&amp;Calc!$B282)+SUMIFS(CalcDepB,CalcPartyB,$E285,CalcKeyB,"&lt;="&amp;Calc!$B282))</f>
        <v/>
      </c>
      <c r="L285" s="4"/>
    </row>
    <row r="286" spans="1:12" x14ac:dyDescent="0.2">
      <c r="A286" s="3" t="str">
        <f>IF($B286="","",COUNTA($B$9:$B286))</f>
        <v/>
      </c>
      <c r="B286" s="4"/>
      <c r="C286" s="4"/>
      <c r="D286" s="4"/>
      <c r="E286" s="4"/>
      <c r="F286" s="3" t="str">
        <f t="shared" si="9"/>
        <v/>
      </c>
      <c r="G286" s="4"/>
      <c r="H286" s="5"/>
      <c r="I286" s="5"/>
      <c r="J286" s="6" t="str">
        <f t="shared" si="8"/>
        <v/>
      </c>
      <c r="K286" s="6" t="str">
        <f>IF(OR($B286="",$E286="",Calc!$B283=""),"",SUMIFS(CalcAmtA,CalcPartyA,$E286,CalcKeyA,"&lt;="&amp;Calc!$B283)-SUMIFS(CalcWitB,CalcPartyB,$E286,CalcKeyB,"&lt;="&amp;Calc!$B283)+SUMIFS(CalcDepB,CalcPartyB,$E286,CalcKeyB,"&lt;="&amp;Calc!$B283))</f>
        <v/>
      </c>
      <c r="L286" s="4"/>
    </row>
    <row r="287" spans="1:12" x14ac:dyDescent="0.2">
      <c r="A287" s="3" t="str">
        <f>IF($B287="","",COUNTA($B$9:$B287))</f>
        <v/>
      </c>
      <c r="B287" s="4"/>
      <c r="C287" s="4"/>
      <c r="D287" s="4"/>
      <c r="E287" s="4"/>
      <c r="F287" s="3" t="str">
        <f t="shared" si="9"/>
        <v/>
      </c>
      <c r="G287" s="4"/>
      <c r="H287" s="5"/>
      <c r="I287" s="5"/>
      <c r="J287" s="6" t="str">
        <f t="shared" si="8"/>
        <v/>
      </c>
      <c r="K287" s="6" t="str">
        <f>IF(OR($B287="",$E287="",Calc!$B284=""),"",SUMIFS(CalcAmtA,CalcPartyA,$E287,CalcKeyA,"&lt;="&amp;Calc!$B284)-SUMIFS(CalcWitB,CalcPartyB,$E287,CalcKeyB,"&lt;="&amp;Calc!$B284)+SUMIFS(CalcDepB,CalcPartyB,$E287,CalcKeyB,"&lt;="&amp;Calc!$B284))</f>
        <v/>
      </c>
      <c r="L287" s="4"/>
    </row>
    <row r="288" spans="1:12" x14ac:dyDescent="0.2">
      <c r="A288" s="3" t="str">
        <f>IF($B288="","",COUNTA($B$9:$B288))</f>
        <v/>
      </c>
      <c r="B288" s="4"/>
      <c r="C288" s="4"/>
      <c r="D288" s="4"/>
      <c r="E288" s="4"/>
      <c r="F288" s="3" t="str">
        <f t="shared" si="9"/>
        <v/>
      </c>
      <c r="G288" s="4"/>
      <c r="H288" s="5"/>
      <c r="I288" s="5"/>
      <c r="J288" s="6" t="str">
        <f t="shared" si="8"/>
        <v/>
      </c>
      <c r="K288" s="6" t="str">
        <f>IF(OR($B288="",$E288="",Calc!$B285=""),"",SUMIFS(CalcAmtA,CalcPartyA,$E288,CalcKeyA,"&lt;="&amp;Calc!$B285)-SUMIFS(CalcWitB,CalcPartyB,$E288,CalcKeyB,"&lt;="&amp;Calc!$B285)+SUMIFS(CalcDepB,CalcPartyB,$E288,CalcKeyB,"&lt;="&amp;Calc!$B285))</f>
        <v/>
      </c>
      <c r="L288" s="4"/>
    </row>
    <row r="289" spans="1:12" x14ac:dyDescent="0.2">
      <c r="A289" s="3" t="str">
        <f>IF($B289="","",COUNTA($B$9:$B289))</f>
        <v/>
      </c>
      <c r="B289" s="4"/>
      <c r="C289" s="4"/>
      <c r="D289" s="4"/>
      <c r="E289" s="4"/>
      <c r="F289" s="3" t="str">
        <f t="shared" si="9"/>
        <v/>
      </c>
      <c r="G289" s="4"/>
      <c r="H289" s="5"/>
      <c r="I289" s="5"/>
      <c r="J289" s="6" t="str">
        <f t="shared" si="8"/>
        <v/>
      </c>
      <c r="K289" s="6" t="str">
        <f>IF(OR($B289="",$E289="",Calc!$B286=""),"",SUMIFS(CalcAmtA,CalcPartyA,$E289,CalcKeyA,"&lt;="&amp;Calc!$B286)-SUMIFS(CalcWitB,CalcPartyB,$E289,CalcKeyB,"&lt;="&amp;Calc!$B286)+SUMIFS(CalcDepB,CalcPartyB,$E289,CalcKeyB,"&lt;="&amp;Calc!$B286))</f>
        <v/>
      </c>
      <c r="L289" s="4"/>
    </row>
    <row r="290" spans="1:12" x14ac:dyDescent="0.2">
      <c r="A290" s="3" t="str">
        <f>IF($B290="","",COUNTA($B$9:$B290))</f>
        <v/>
      </c>
      <c r="B290" s="4"/>
      <c r="C290" s="4"/>
      <c r="D290" s="4"/>
      <c r="E290" s="4"/>
      <c r="F290" s="3" t="str">
        <f t="shared" si="9"/>
        <v/>
      </c>
      <c r="G290" s="4"/>
      <c r="H290" s="5"/>
      <c r="I290" s="5"/>
      <c r="J290" s="6" t="str">
        <f t="shared" si="8"/>
        <v/>
      </c>
      <c r="K290" s="6" t="str">
        <f>IF(OR($B290="",$E290="",Calc!$B287=""),"",SUMIFS(CalcAmtA,CalcPartyA,$E290,CalcKeyA,"&lt;="&amp;Calc!$B287)-SUMIFS(CalcWitB,CalcPartyB,$E290,CalcKeyB,"&lt;="&amp;Calc!$B287)+SUMIFS(CalcDepB,CalcPartyB,$E290,CalcKeyB,"&lt;="&amp;Calc!$B287))</f>
        <v/>
      </c>
      <c r="L290" s="4"/>
    </row>
    <row r="291" spans="1:12" x14ac:dyDescent="0.2">
      <c r="A291" s="3" t="str">
        <f>IF($B291="","",COUNTA($B$9:$B291))</f>
        <v/>
      </c>
      <c r="B291" s="4"/>
      <c r="C291" s="4"/>
      <c r="D291" s="4"/>
      <c r="E291" s="4"/>
      <c r="F291" s="3" t="str">
        <f t="shared" si="9"/>
        <v/>
      </c>
      <c r="G291" s="4"/>
      <c r="H291" s="5"/>
      <c r="I291" s="5"/>
      <c r="J291" s="6" t="str">
        <f t="shared" si="8"/>
        <v/>
      </c>
      <c r="K291" s="6" t="str">
        <f>IF(OR($B291="",$E291="",Calc!$B288=""),"",SUMIFS(CalcAmtA,CalcPartyA,$E291,CalcKeyA,"&lt;="&amp;Calc!$B288)-SUMIFS(CalcWitB,CalcPartyB,$E291,CalcKeyB,"&lt;="&amp;Calc!$B288)+SUMIFS(CalcDepB,CalcPartyB,$E291,CalcKeyB,"&lt;="&amp;Calc!$B288))</f>
        <v/>
      </c>
      <c r="L291" s="4"/>
    </row>
    <row r="292" spans="1:12" x14ac:dyDescent="0.2">
      <c r="A292" s="3" t="str">
        <f>IF($B292="","",COUNTA($B$9:$B292))</f>
        <v/>
      </c>
      <c r="B292" s="4"/>
      <c r="C292" s="4"/>
      <c r="D292" s="4"/>
      <c r="E292" s="4"/>
      <c r="F292" s="3" t="str">
        <f t="shared" si="9"/>
        <v/>
      </c>
      <c r="G292" s="4"/>
      <c r="H292" s="5"/>
      <c r="I292" s="5"/>
      <c r="J292" s="6" t="str">
        <f t="shared" si="8"/>
        <v/>
      </c>
      <c r="K292" s="6" t="str">
        <f>IF(OR($B292="",$E292="",Calc!$B289=""),"",SUMIFS(CalcAmtA,CalcPartyA,$E292,CalcKeyA,"&lt;="&amp;Calc!$B289)-SUMIFS(CalcWitB,CalcPartyB,$E292,CalcKeyB,"&lt;="&amp;Calc!$B289)+SUMIFS(CalcDepB,CalcPartyB,$E292,CalcKeyB,"&lt;="&amp;Calc!$B289))</f>
        <v/>
      </c>
      <c r="L292" s="4"/>
    </row>
    <row r="293" spans="1:12" x14ac:dyDescent="0.2">
      <c r="A293" s="3" t="str">
        <f>IF($B293="","",COUNTA($B$9:$B293))</f>
        <v/>
      </c>
      <c r="B293" s="4"/>
      <c r="C293" s="4"/>
      <c r="D293" s="4"/>
      <c r="E293" s="4"/>
      <c r="F293" s="3" t="str">
        <f t="shared" si="9"/>
        <v/>
      </c>
      <c r="G293" s="4"/>
      <c r="H293" s="5"/>
      <c r="I293" s="5"/>
      <c r="J293" s="6" t="str">
        <f t="shared" si="8"/>
        <v/>
      </c>
      <c r="K293" s="6" t="str">
        <f>IF(OR($B293="",$E293="",Calc!$B290=""),"",SUMIFS(CalcAmtA,CalcPartyA,$E293,CalcKeyA,"&lt;="&amp;Calc!$B290)-SUMIFS(CalcWitB,CalcPartyB,$E293,CalcKeyB,"&lt;="&amp;Calc!$B290)+SUMIFS(CalcDepB,CalcPartyB,$E293,CalcKeyB,"&lt;="&amp;Calc!$B290))</f>
        <v/>
      </c>
      <c r="L293" s="4"/>
    </row>
    <row r="294" spans="1:12" x14ac:dyDescent="0.2">
      <c r="A294" s="3" t="str">
        <f>IF($B294="","",COUNTA($B$9:$B294))</f>
        <v/>
      </c>
      <c r="B294" s="4"/>
      <c r="C294" s="4"/>
      <c r="D294" s="4"/>
      <c r="E294" s="4"/>
      <c r="F294" s="3" t="str">
        <f t="shared" si="9"/>
        <v/>
      </c>
      <c r="G294" s="4"/>
      <c r="H294" s="5"/>
      <c r="I294" s="5"/>
      <c r="J294" s="6" t="str">
        <f t="shared" si="8"/>
        <v/>
      </c>
      <c r="K294" s="6" t="str">
        <f>IF(OR($B294="",$E294="",Calc!$B291=""),"",SUMIFS(CalcAmtA,CalcPartyA,$E294,CalcKeyA,"&lt;="&amp;Calc!$B291)-SUMIFS(CalcWitB,CalcPartyB,$E294,CalcKeyB,"&lt;="&amp;Calc!$B291)+SUMIFS(CalcDepB,CalcPartyB,$E294,CalcKeyB,"&lt;="&amp;Calc!$B291))</f>
        <v/>
      </c>
      <c r="L294" s="4"/>
    </row>
    <row r="295" spans="1:12" x14ac:dyDescent="0.2">
      <c r="A295" s="3" t="str">
        <f>IF($B295="","",COUNTA($B$9:$B295))</f>
        <v/>
      </c>
      <c r="B295" s="4"/>
      <c r="C295" s="4"/>
      <c r="D295" s="4"/>
      <c r="E295" s="4"/>
      <c r="F295" s="3" t="str">
        <f t="shared" si="9"/>
        <v/>
      </c>
      <c r="G295" s="4"/>
      <c r="H295" s="5"/>
      <c r="I295" s="5"/>
      <c r="J295" s="6" t="str">
        <f t="shared" si="8"/>
        <v/>
      </c>
      <c r="K295" s="6" t="str">
        <f>IF(OR($B295="",$E295="",Calc!$B292=""),"",SUMIFS(CalcAmtA,CalcPartyA,$E295,CalcKeyA,"&lt;="&amp;Calc!$B292)-SUMIFS(CalcWitB,CalcPartyB,$E295,CalcKeyB,"&lt;="&amp;Calc!$B292)+SUMIFS(CalcDepB,CalcPartyB,$E295,CalcKeyB,"&lt;="&amp;Calc!$B292))</f>
        <v/>
      </c>
      <c r="L295" s="4"/>
    </row>
    <row r="296" spans="1:12" x14ac:dyDescent="0.2">
      <c r="A296" s="3" t="str">
        <f>IF($B296="","",COUNTA($B$9:$B296))</f>
        <v/>
      </c>
      <c r="B296" s="4"/>
      <c r="C296" s="4"/>
      <c r="D296" s="4"/>
      <c r="E296" s="4"/>
      <c r="F296" s="3" t="str">
        <f t="shared" si="9"/>
        <v/>
      </c>
      <c r="G296" s="4"/>
      <c r="H296" s="5"/>
      <c r="I296" s="5"/>
      <c r="J296" s="6" t="str">
        <f t="shared" si="8"/>
        <v/>
      </c>
      <c r="K296" s="6" t="str">
        <f>IF(OR($B296="",$E296="",Calc!$B293=""),"",SUMIFS(CalcAmtA,CalcPartyA,$E296,CalcKeyA,"&lt;="&amp;Calc!$B293)-SUMIFS(CalcWitB,CalcPartyB,$E296,CalcKeyB,"&lt;="&amp;Calc!$B293)+SUMIFS(CalcDepB,CalcPartyB,$E296,CalcKeyB,"&lt;="&amp;Calc!$B293))</f>
        <v/>
      </c>
      <c r="L296" s="4"/>
    </row>
    <row r="297" spans="1:12" x14ac:dyDescent="0.2">
      <c r="A297" s="3" t="str">
        <f>IF($B297="","",COUNTA($B$9:$B297))</f>
        <v/>
      </c>
      <c r="B297" s="4"/>
      <c r="C297" s="4"/>
      <c r="D297" s="4"/>
      <c r="E297" s="4"/>
      <c r="F297" s="3" t="str">
        <f t="shared" si="9"/>
        <v/>
      </c>
      <c r="G297" s="4"/>
      <c r="H297" s="5"/>
      <c r="I297" s="5"/>
      <c r="J297" s="6" t="str">
        <f t="shared" si="8"/>
        <v/>
      </c>
      <c r="K297" s="6" t="str">
        <f>IF(OR($B297="",$E297="",Calc!$B294=""),"",SUMIFS(CalcAmtA,CalcPartyA,$E297,CalcKeyA,"&lt;="&amp;Calc!$B294)-SUMIFS(CalcWitB,CalcPartyB,$E297,CalcKeyB,"&lt;="&amp;Calc!$B294)+SUMIFS(CalcDepB,CalcPartyB,$E297,CalcKeyB,"&lt;="&amp;Calc!$B294))</f>
        <v/>
      </c>
      <c r="L297" s="4"/>
    </row>
    <row r="298" spans="1:12" x14ac:dyDescent="0.2">
      <c r="A298" s="3" t="str">
        <f>IF($B298="","",COUNTA($B$9:$B298))</f>
        <v/>
      </c>
      <c r="B298" s="4"/>
      <c r="C298" s="4"/>
      <c r="D298" s="4"/>
      <c r="E298" s="4"/>
      <c r="F298" s="3" t="str">
        <f t="shared" si="9"/>
        <v/>
      </c>
      <c r="G298" s="4"/>
      <c r="H298" s="5"/>
      <c r="I298" s="5"/>
      <c r="J298" s="6" t="str">
        <f t="shared" si="8"/>
        <v/>
      </c>
      <c r="K298" s="6" t="str">
        <f>IF(OR($B298="",$E298="",Calc!$B295=""),"",SUMIFS(CalcAmtA,CalcPartyA,$E298,CalcKeyA,"&lt;="&amp;Calc!$B295)-SUMIFS(CalcWitB,CalcPartyB,$E298,CalcKeyB,"&lt;="&amp;Calc!$B295)+SUMIFS(CalcDepB,CalcPartyB,$E298,CalcKeyB,"&lt;="&amp;Calc!$B295))</f>
        <v/>
      </c>
      <c r="L298" s="4"/>
    </row>
    <row r="299" spans="1:12" x14ac:dyDescent="0.2">
      <c r="A299" s="3" t="str">
        <f>IF($B299="","",COUNTA($B$9:$B299))</f>
        <v/>
      </c>
      <c r="B299" s="4"/>
      <c r="C299" s="4"/>
      <c r="D299" s="4"/>
      <c r="E299" s="4"/>
      <c r="F299" s="3" t="str">
        <f t="shared" si="9"/>
        <v/>
      </c>
      <c r="G299" s="4"/>
      <c r="H299" s="5"/>
      <c r="I299" s="5"/>
      <c r="J299" s="6" t="str">
        <f t="shared" si="8"/>
        <v/>
      </c>
      <c r="K299" s="6" t="str">
        <f>IF(OR($B299="",$E299="",Calc!$B296=""),"",SUMIFS(CalcAmtA,CalcPartyA,$E299,CalcKeyA,"&lt;="&amp;Calc!$B296)-SUMIFS(CalcWitB,CalcPartyB,$E299,CalcKeyB,"&lt;="&amp;Calc!$B296)+SUMIFS(CalcDepB,CalcPartyB,$E299,CalcKeyB,"&lt;="&amp;Calc!$B296))</f>
        <v/>
      </c>
      <c r="L299" s="4"/>
    </row>
    <row r="300" spans="1:12" x14ac:dyDescent="0.2">
      <c r="A300" s="3" t="str">
        <f>IF($B300="","",COUNTA($B$9:$B300))</f>
        <v/>
      </c>
      <c r="B300" s="4"/>
      <c r="C300" s="4"/>
      <c r="D300" s="4"/>
      <c r="E300" s="4"/>
      <c r="F300" s="3" t="str">
        <f t="shared" si="9"/>
        <v/>
      </c>
      <c r="G300" s="4"/>
      <c r="H300" s="5"/>
      <c r="I300" s="5"/>
      <c r="J300" s="6" t="str">
        <f t="shared" si="8"/>
        <v/>
      </c>
      <c r="K300" s="6" t="str">
        <f>IF(OR($B300="",$E300="",Calc!$B297=""),"",SUMIFS(CalcAmtA,CalcPartyA,$E300,CalcKeyA,"&lt;="&amp;Calc!$B297)-SUMIFS(CalcWitB,CalcPartyB,$E300,CalcKeyB,"&lt;="&amp;Calc!$B297)+SUMIFS(CalcDepB,CalcPartyB,$E300,CalcKeyB,"&lt;="&amp;Calc!$B297))</f>
        <v/>
      </c>
      <c r="L300" s="4"/>
    </row>
    <row r="301" spans="1:12" x14ac:dyDescent="0.2">
      <c r="A301" s="3" t="str">
        <f>IF($B301="","",COUNTA($B$9:$B301))</f>
        <v/>
      </c>
      <c r="B301" s="4"/>
      <c r="C301" s="4"/>
      <c r="D301" s="4"/>
      <c r="E301" s="4"/>
      <c r="F301" s="3" t="str">
        <f t="shared" si="9"/>
        <v/>
      </c>
      <c r="G301" s="4"/>
      <c r="H301" s="5"/>
      <c r="I301" s="5"/>
      <c r="J301" s="6" t="str">
        <f t="shared" si="8"/>
        <v/>
      </c>
      <c r="K301" s="6" t="str">
        <f>IF(OR($B301="",$E301="",Calc!$B298=""),"",SUMIFS(CalcAmtA,CalcPartyA,$E301,CalcKeyA,"&lt;="&amp;Calc!$B298)-SUMIFS(CalcWitB,CalcPartyB,$E301,CalcKeyB,"&lt;="&amp;Calc!$B298)+SUMIFS(CalcDepB,CalcPartyB,$E301,CalcKeyB,"&lt;="&amp;Calc!$B298))</f>
        <v/>
      </c>
      <c r="L301" s="4"/>
    </row>
    <row r="302" spans="1:12" x14ac:dyDescent="0.2">
      <c r="A302" s="3" t="str">
        <f>IF($B302="","",COUNTA($B$9:$B302))</f>
        <v/>
      </c>
      <c r="B302" s="4"/>
      <c r="C302" s="4"/>
      <c r="D302" s="4"/>
      <c r="E302" s="4"/>
      <c r="F302" s="3" t="str">
        <f t="shared" si="9"/>
        <v/>
      </c>
      <c r="G302" s="4"/>
      <c r="H302" s="5"/>
      <c r="I302" s="5"/>
      <c r="J302" s="6" t="str">
        <f t="shared" si="8"/>
        <v/>
      </c>
      <c r="K302" s="6" t="str">
        <f>IF(OR($B302="",$E302="",Calc!$B299=""),"",SUMIFS(CalcAmtA,CalcPartyA,$E302,CalcKeyA,"&lt;="&amp;Calc!$B299)-SUMIFS(CalcWitB,CalcPartyB,$E302,CalcKeyB,"&lt;="&amp;Calc!$B299)+SUMIFS(CalcDepB,CalcPartyB,$E302,CalcKeyB,"&lt;="&amp;Calc!$B299))</f>
        <v/>
      </c>
      <c r="L302" s="4"/>
    </row>
    <row r="303" spans="1:12" x14ac:dyDescent="0.2">
      <c r="A303" s="3" t="str">
        <f>IF($B303="","",COUNTA($B$9:$B303))</f>
        <v/>
      </c>
      <c r="B303" s="4"/>
      <c r="C303" s="4"/>
      <c r="D303" s="4"/>
      <c r="E303" s="4"/>
      <c r="F303" s="3" t="str">
        <f t="shared" si="9"/>
        <v/>
      </c>
      <c r="G303" s="4"/>
      <c r="H303" s="5"/>
      <c r="I303" s="5"/>
      <c r="J303" s="6" t="str">
        <f t="shared" si="8"/>
        <v/>
      </c>
      <c r="K303" s="6" t="str">
        <f>IF(OR($B303="",$E303="",Calc!$B300=""),"",SUMIFS(CalcAmtA,CalcPartyA,$E303,CalcKeyA,"&lt;="&amp;Calc!$B300)-SUMIFS(CalcWitB,CalcPartyB,$E303,CalcKeyB,"&lt;="&amp;Calc!$B300)+SUMIFS(CalcDepB,CalcPartyB,$E303,CalcKeyB,"&lt;="&amp;Calc!$B300))</f>
        <v/>
      </c>
      <c r="L303" s="4"/>
    </row>
    <row r="304" spans="1:12" x14ac:dyDescent="0.2">
      <c r="A304" s="3" t="str">
        <f>IF($B304="","",COUNTA($B$9:$B304))</f>
        <v/>
      </c>
      <c r="B304" s="4"/>
      <c r="C304" s="4"/>
      <c r="D304" s="4"/>
      <c r="E304" s="4"/>
      <c r="F304" s="3" t="str">
        <f t="shared" si="9"/>
        <v/>
      </c>
      <c r="G304" s="4"/>
      <c r="H304" s="5"/>
      <c r="I304" s="5"/>
      <c r="J304" s="6" t="str">
        <f t="shared" si="8"/>
        <v/>
      </c>
      <c r="K304" s="6" t="str">
        <f>IF(OR($B304="",$E304="",Calc!$B301=""),"",SUMIFS(CalcAmtA,CalcPartyA,$E304,CalcKeyA,"&lt;="&amp;Calc!$B301)-SUMIFS(CalcWitB,CalcPartyB,$E304,CalcKeyB,"&lt;="&amp;Calc!$B301)+SUMIFS(CalcDepB,CalcPartyB,$E304,CalcKeyB,"&lt;="&amp;Calc!$B301))</f>
        <v/>
      </c>
      <c r="L304" s="4"/>
    </row>
    <row r="305" spans="1:12" x14ac:dyDescent="0.2">
      <c r="A305" s="3" t="str">
        <f>IF($B305="","",COUNTA($B$9:$B305))</f>
        <v/>
      </c>
      <c r="B305" s="4"/>
      <c r="C305" s="4"/>
      <c r="D305" s="4"/>
      <c r="E305" s="4"/>
      <c r="F305" s="3" t="str">
        <f t="shared" si="9"/>
        <v/>
      </c>
      <c r="G305" s="4"/>
      <c r="H305" s="5"/>
      <c r="I305" s="5"/>
      <c r="J305" s="6" t="str">
        <f t="shared" si="8"/>
        <v/>
      </c>
      <c r="K305" s="6" t="str">
        <f>IF(OR($B305="",$E305="",Calc!$B302=""),"",SUMIFS(CalcAmtA,CalcPartyA,$E305,CalcKeyA,"&lt;="&amp;Calc!$B302)-SUMIFS(CalcWitB,CalcPartyB,$E305,CalcKeyB,"&lt;="&amp;Calc!$B302)+SUMIFS(CalcDepB,CalcPartyB,$E305,CalcKeyB,"&lt;="&amp;Calc!$B302))</f>
        <v/>
      </c>
      <c r="L305" s="4"/>
    </row>
    <row r="306" spans="1:12" x14ac:dyDescent="0.2">
      <c r="A306" s="3" t="str">
        <f>IF($B306="","",COUNTA($B$9:$B306))</f>
        <v/>
      </c>
      <c r="B306" s="4"/>
      <c r="C306" s="4"/>
      <c r="D306" s="4"/>
      <c r="E306" s="4"/>
      <c r="F306" s="3" t="str">
        <f t="shared" si="9"/>
        <v/>
      </c>
      <c r="G306" s="4"/>
      <c r="H306" s="5"/>
      <c r="I306" s="5"/>
      <c r="J306" s="6" t="str">
        <f t="shared" si="8"/>
        <v/>
      </c>
      <c r="K306" s="6" t="str">
        <f>IF(OR($B306="",$E306="",Calc!$B303=""),"",SUMIFS(CalcAmtA,CalcPartyA,$E306,CalcKeyA,"&lt;="&amp;Calc!$B303)-SUMIFS(CalcWitB,CalcPartyB,$E306,CalcKeyB,"&lt;="&amp;Calc!$B303)+SUMIFS(CalcDepB,CalcPartyB,$E306,CalcKeyB,"&lt;="&amp;Calc!$B303))</f>
        <v/>
      </c>
      <c r="L306" s="4"/>
    </row>
    <row r="307" spans="1:12" x14ac:dyDescent="0.2">
      <c r="A307" s="3" t="str">
        <f>IF($B307="","",COUNTA($B$9:$B307))</f>
        <v/>
      </c>
      <c r="B307" s="4"/>
      <c r="C307" s="4"/>
      <c r="D307" s="4"/>
      <c r="E307" s="4"/>
      <c r="F307" s="3" t="str">
        <f t="shared" si="9"/>
        <v/>
      </c>
      <c r="G307" s="4"/>
      <c r="H307" s="5"/>
      <c r="I307" s="5"/>
      <c r="J307" s="6" t="str">
        <f t="shared" si="8"/>
        <v/>
      </c>
      <c r="K307" s="6" t="str">
        <f>IF(OR($B307="",$E307="",Calc!$B304=""),"",SUMIFS(CalcAmtA,CalcPartyA,$E307,CalcKeyA,"&lt;="&amp;Calc!$B304)-SUMIFS(CalcWitB,CalcPartyB,$E307,CalcKeyB,"&lt;="&amp;Calc!$B304)+SUMIFS(CalcDepB,CalcPartyB,$E307,CalcKeyB,"&lt;="&amp;Calc!$B304))</f>
        <v/>
      </c>
      <c r="L307" s="4"/>
    </row>
    <row r="308" spans="1:12" x14ac:dyDescent="0.2">
      <c r="A308" s="3" t="str">
        <f>IF($B308="","",COUNTA($B$9:$B308))</f>
        <v/>
      </c>
      <c r="B308" s="4"/>
      <c r="C308" s="4"/>
      <c r="D308" s="4"/>
      <c r="E308" s="4"/>
      <c r="F308" s="3" t="str">
        <f t="shared" si="9"/>
        <v/>
      </c>
      <c r="G308" s="4"/>
      <c r="H308" s="5"/>
      <c r="I308" s="5"/>
      <c r="J308" s="6" t="str">
        <f t="shared" si="8"/>
        <v/>
      </c>
      <c r="K308" s="6" t="str">
        <f>IF(OR($B308="",$E308="",Calc!$B305=""),"",SUMIFS(CalcAmtA,CalcPartyA,$E308,CalcKeyA,"&lt;="&amp;Calc!$B305)-SUMIFS(CalcWitB,CalcPartyB,$E308,CalcKeyB,"&lt;="&amp;Calc!$B305)+SUMIFS(CalcDepB,CalcPartyB,$E308,CalcKeyB,"&lt;="&amp;Calc!$B305))</f>
        <v/>
      </c>
      <c r="L308" s="4"/>
    </row>
    <row r="309" spans="1:12" x14ac:dyDescent="0.2">
      <c r="A309" s="3" t="str">
        <f>IF($B309="","",COUNTA($B$9:$B309))</f>
        <v/>
      </c>
      <c r="B309" s="4"/>
      <c r="C309" s="4"/>
      <c r="D309" s="4"/>
      <c r="E309" s="4"/>
      <c r="F309" s="3" t="str">
        <f t="shared" si="9"/>
        <v/>
      </c>
      <c r="G309" s="4"/>
      <c r="H309" s="5"/>
      <c r="I309" s="5"/>
      <c r="J309" s="6" t="str">
        <f t="shared" si="8"/>
        <v/>
      </c>
      <c r="K309" s="6" t="str">
        <f>IF(OR($B309="",$E309="",Calc!$B306=""),"",SUMIFS(CalcAmtA,CalcPartyA,$E309,CalcKeyA,"&lt;="&amp;Calc!$B306)-SUMIFS(CalcWitB,CalcPartyB,$E309,CalcKeyB,"&lt;="&amp;Calc!$B306)+SUMIFS(CalcDepB,CalcPartyB,$E309,CalcKeyB,"&lt;="&amp;Calc!$B306))</f>
        <v/>
      </c>
      <c r="L309" s="4"/>
    </row>
    <row r="310" spans="1:12" x14ac:dyDescent="0.2">
      <c r="A310" s="3" t="str">
        <f>IF($B310="","",COUNTA($B$9:$B310))</f>
        <v/>
      </c>
      <c r="B310" s="4"/>
      <c r="C310" s="4"/>
      <c r="D310" s="4"/>
      <c r="E310" s="4"/>
      <c r="F310" s="3" t="str">
        <f t="shared" si="9"/>
        <v/>
      </c>
      <c r="G310" s="4"/>
      <c r="H310" s="5"/>
      <c r="I310" s="5"/>
      <c r="J310" s="6" t="str">
        <f t="shared" si="8"/>
        <v/>
      </c>
      <c r="K310" s="6" t="str">
        <f>IF(OR($B310="",$E310="",Calc!$B307=""),"",SUMIFS(CalcAmtA,CalcPartyA,$E310,CalcKeyA,"&lt;="&amp;Calc!$B307)-SUMIFS(CalcWitB,CalcPartyB,$E310,CalcKeyB,"&lt;="&amp;Calc!$B307)+SUMIFS(CalcDepB,CalcPartyB,$E310,CalcKeyB,"&lt;="&amp;Calc!$B307))</f>
        <v/>
      </c>
      <c r="L310" s="4"/>
    </row>
    <row r="311" spans="1:12" x14ac:dyDescent="0.2">
      <c r="A311" s="3" t="str">
        <f>IF($B311="","",COUNTA($B$9:$B311))</f>
        <v/>
      </c>
      <c r="B311" s="4"/>
      <c r="C311" s="4"/>
      <c r="D311" s="4"/>
      <c r="E311" s="4"/>
      <c r="F311" s="3" t="str">
        <f t="shared" si="9"/>
        <v/>
      </c>
      <c r="G311" s="4"/>
      <c r="H311" s="5"/>
      <c r="I311" s="5"/>
      <c r="J311" s="6" t="str">
        <f t="shared" si="8"/>
        <v/>
      </c>
      <c r="K311" s="6" t="str">
        <f>IF(OR($B311="",$E311="",Calc!$B308=""),"",SUMIFS(CalcAmtA,CalcPartyA,$E311,CalcKeyA,"&lt;="&amp;Calc!$B308)-SUMIFS(CalcWitB,CalcPartyB,$E311,CalcKeyB,"&lt;="&amp;Calc!$B308)+SUMIFS(CalcDepB,CalcPartyB,$E311,CalcKeyB,"&lt;="&amp;Calc!$B308))</f>
        <v/>
      </c>
      <c r="L311" s="4"/>
    </row>
    <row r="312" spans="1:12" x14ac:dyDescent="0.2">
      <c r="A312" s="3" t="str">
        <f>IF($B312="","",COUNTA($B$9:$B312))</f>
        <v/>
      </c>
      <c r="B312" s="4"/>
      <c r="C312" s="4"/>
      <c r="D312" s="4"/>
      <c r="E312" s="4"/>
      <c r="F312" s="3" t="str">
        <f t="shared" si="9"/>
        <v/>
      </c>
      <c r="G312" s="4"/>
      <c r="H312" s="5"/>
      <c r="I312" s="5"/>
      <c r="J312" s="6" t="str">
        <f t="shared" si="8"/>
        <v/>
      </c>
      <c r="K312" s="6" t="str">
        <f>IF(OR($B312="",$E312="",Calc!$B309=""),"",SUMIFS(CalcAmtA,CalcPartyA,$E312,CalcKeyA,"&lt;="&amp;Calc!$B309)-SUMIFS(CalcWitB,CalcPartyB,$E312,CalcKeyB,"&lt;="&amp;Calc!$B309)+SUMIFS(CalcDepB,CalcPartyB,$E312,CalcKeyB,"&lt;="&amp;Calc!$B309))</f>
        <v/>
      </c>
      <c r="L312" s="4"/>
    </row>
    <row r="313" spans="1:12" x14ac:dyDescent="0.2">
      <c r="A313" s="3" t="str">
        <f>IF($B313="","",COUNTA($B$9:$B313))</f>
        <v/>
      </c>
      <c r="B313" s="4"/>
      <c r="C313" s="4"/>
      <c r="D313" s="4"/>
      <c r="E313" s="4"/>
      <c r="F313" s="3" t="str">
        <f t="shared" si="9"/>
        <v/>
      </c>
      <c r="G313" s="4"/>
      <c r="H313" s="5"/>
      <c r="I313" s="5"/>
      <c r="J313" s="6" t="str">
        <f t="shared" si="8"/>
        <v/>
      </c>
      <c r="K313" s="6" t="str">
        <f>IF(OR($B313="",$E313="",Calc!$B310=""),"",SUMIFS(CalcAmtA,CalcPartyA,$E313,CalcKeyA,"&lt;="&amp;Calc!$B310)-SUMIFS(CalcWitB,CalcPartyB,$E313,CalcKeyB,"&lt;="&amp;Calc!$B310)+SUMIFS(CalcDepB,CalcPartyB,$E313,CalcKeyB,"&lt;="&amp;Calc!$B310))</f>
        <v/>
      </c>
      <c r="L313" s="4"/>
    </row>
    <row r="314" spans="1:12" x14ac:dyDescent="0.2">
      <c r="A314" s="3" t="str">
        <f>IF($B314="","",COUNTA($B$9:$B314))</f>
        <v/>
      </c>
      <c r="B314" s="4"/>
      <c r="C314" s="4"/>
      <c r="D314" s="4"/>
      <c r="E314" s="4"/>
      <c r="F314" s="3" t="str">
        <f t="shared" si="9"/>
        <v/>
      </c>
      <c r="G314" s="4"/>
      <c r="H314" s="5"/>
      <c r="I314" s="5"/>
      <c r="J314" s="6" t="str">
        <f t="shared" si="8"/>
        <v/>
      </c>
      <c r="K314" s="6" t="str">
        <f>IF(OR($B314="",$E314="",Calc!$B311=""),"",SUMIFS(CalcAmtA,CalcPartyA,$E314,CalcKeyA,"&lt;="&amp;Calc!$B311)-SUMIFS(CalcWitB,CalcPartyB,$E314,CalcKeyB,"&lt;="&amp;Calc!$B311)+SUMIFS(CalcDepB,CalcPartyB,$E314,CalcKeyB,"&lt;="&amp;Calc!$B311))</f>
        <v/>
      </c>
      <c r="L314" s="4"/>
    </row>
    <row r="315" spans="1:12" x14ac:dyDescent="0.2">
      <c r="A315" s="3" t="str">
        <f>IF($B315="","",COUNTA($B$9:$B315))</f>
        <v/>
      </c>
      <c r="B315" s="4"/>
      <c r="C315" s="4"/>
      <c r="D315" s="4"/>
      <c r="E315" s="4"/>
      <c r="F315" s="3" t="str">
        <f t="shared" si="9"/>
        <v/>
      </c>
      <c r="G315" s="4"/>
      <c r="H315" s="5"/>
      <c r="I315" s="5"/>
      <c r="J315" s="6" t="str">
        <f t="shared" si="8"/>
        <v/>
      </c>
      <c r="K315" s="6" t="str">
        <f>IF(OR($B315="",$E315="",Calc!$B312=""),"",SUMIFS(CalcAmtA,CalcPartyA,$E315,CalcKeyA,"&lt;="&amp;Calc!$B312)-SUMIFS(CalcWitB,CalcPartyB,$E315,CalcKeyB,"&lt;="&amp;Calc!$B312)+SUMIFS(CalcDepB,CalcPartyB,$E315,CalcKeyB,"&lt;="&amp;Calc!$B312))</f>
        <v/>
      </c>
      <c r="L315" s="4"/>
    </row>
    <row r="316" spans="1:12" x14ac:dyDescent="0.2">
      <c r="A316" s="3" t="str">
        <f>IF($B316="","",COUNTA($B$9:$B316))</f>
        <v/>
      </c>
      <c r="B316" s="4"/>
      <c r="C316" s="4"/>
      <c r="D316" s="4"/>
      <c r="E316" s="4"/>
      <c r="F316" s="3" t="str">
        <f t="shared" si="9"/>
        <v/>
      </c>
      <c r="G316" s="4"/>
      <c r="H316" s="5"/>
      <c r="I316" s="5"/>
      <c r="J316" s="6" t="str">
        <f t="shared" si="8"/>
        <v/>
      </c>
      <c r="K316" s="6" t="str">
        <f>IF(OR($B316="",$E316="",Calc!$B313=""),"",SUMIFS(CalcAmtA,CalcPartyA,$E316,CalcKeyA,"&lt;="&amp;Calc!$B313)-SUMIFS(CalcWitB,CalcPartyB,$E316,CalcKeyB,"&lt;="&amp;Calc!$B313)+SUMIFS(CalcDepB,CalcPartyB,$E316,CalcKeyB,"&lt;="&amp;Calc!$B313))</f>
        <v/>
      </c>
      <c r="L316" s="4"/>
    </row>
    <row r="317" spans="1:12" x14ac:dyDescent="0.2">
      <c r="A317" s="3" t="str">
        <f>IF($B317="","",COUNTA($B$9:$B317))</f>
        <v/>
      </c>
      <c r="B317" s="4"/>
      <c r="C317" s="4"/>
      <c r="D317" s="4"/>
      <c r="E317" s="4"/>
      <c r="F317" s="3" t="str">
        <f t="shared" si="9"/>
        <v/>
      </c>
      <c r="G317" s="4"/>
      <c r="H317" s="5"/>
      <c r="I317" s="5"/>
      <c r="J317" s="6" t="str">
        <f t="shared" si="8"/>
        <v/>
      </c>
      <c r="K317" s="6" t="str">
        <f>IF(OR($B317="",$E317="",Calc!$B314=""),"",SUMIFS(CalcAmtA,CalcPartyA,$E317,CalcKeyA,"&lt;="&amp;Calc!$B314)-SUMIFS(CalcWitB,CalcPartyB,$E317,CalcKeyB,"&lt;="&amp;Calc!$B314)+SUMIFS(CalcDepB,CalcPartyB,$E317,CalcKeyB,"&lt;="&amp;Calc!$B314))</f>
        <v/>
      </c>
      <c r="L317" s="4"/>
    </row>
    <row r="318" spans="1:12" x14ac:dyDescent="0.2">
      <c r="A318" s="3" t="str">
        <f>IF($B318="","",COUNTA($B$9:$B318))</f>
        <v/>
      </c>
      <c r="B318" s="4"/>
      <c r="C318" s="4"/>
      <c r="D318" s="4"/>
      <c r="E318" s="4"/>
      <c r="F318" s="3" t="str">
        <f t="shared" si="9"/>
        <v/>
      </c>
      <c r="G318" s="4"/>
      <c r="H318" s="5"/>
      <c r="I318" s="5"/>
      <c r="J318" s="6" t="str">
        <f t="shared" si="8"/>
        <v/>
      </c>
      <c r="K318" s="6" t="str">
        <f>IF(OR($B318="",$E318="",Calc!$B315=""),"",SUMIFS(CalcAmtA,CalcPartyA,$E318,CalcKeyA,"&lt;="&amp;Calc!$B315)-SUMIFS(CalcWitB,CalcPartyB,$E318,CalcKeyB,"&lt;="&amp;Calc!$B315)+SUMIFS(CalcDepB,CalcPartyB,$E318,CalcKeyB,"&lt;="&amp;Calc!$B315))</f>
        <v/>
      </c>
      <c r="L318" s="4"/>
    </row>
    <row r="319" spans="1:12" x14ac:dyDescent="0.2">
      <c r="A319" s="3" t="str">
        <f>IF($B319="","",COUNTA($B$9:$B319))</f>
        <v/>
      </c>
      <c r="B319" s="4"/>
      <c r="C319" s="4"/>
      <c r="D319" s="4"/>
      <c r="E319" s="4"/>
      <c r="F319" s="3" t="str">
        <f t="shared" si="9"/>
        <v/>
      </c>
      <c r="G319" s="4"/>
      <c r="H319" s="5"/>
      <c r="I319" s="5"/>
      <c r="J319" s="6" t="str">
        <f t="shared" si="8"/>
        <v/>
      </c>
      <c r="K319" s="6" t="str">
        <f>IF(OR($B319="",$E319="",Calc!$B316=""),"",SUMIFS(CalcAmtA,CalcPartyA,$E319,CalcKeyA,"&lt;="&amp;Calc!$B316)-SUMIFS(CalcWitB,CalcPartyB,$E319,CalcKeyB,"&lt;="&amp;Calc!$B316)+SUMIFS(CalcDepB,CalcPartyB,$E319,CalcKeyB,"&lt;="&amp;Calc!$B316))</f>
        <v/>
      </c>
      <c r="L319" s="4"/>
    </row>
    <row r="320" spans="1:12" x14ac:dyDescent="0.2">
      <c r="A320" s="3" t="str">
        <f>IF($B320="","",COUNTA($B$9:$B320))</f>
        <v/>
      </c>
      <c r="B320" s="4"/>
      <c r="C320" s="4"/>
      <c r="D320" s="4"/>
      <c r="E320" s="4"/>
      <c r="F320" s="3" t="str">
        <f t="shared" si="9"/>
        <v/>
      </c>
      <c r="G320" s="4"/>
      <c r="H320" s="5"/>
      <c r="I320" s="5"/>
      <c r="J320" s="6" t="str">
        <f t="shared" si="8"/>
        <v/>
      </c>
      <c r="K320" s="6" t="str">
        <f>IF(OR($B320="",$E320="",Calc!$B317=""),"",SUMIFS(CalcAmtA,CalcPartyA,$E320,CalcKeyA,"&lt;="&amp;Calc!$B317)-SUMIFS(CalcWitB,CalcPartyB,$E320,CalcKeyB,"&lt;="&amp;Calc!$B317)+SUMIFS(CalcDepB,CalcPartyB,$E320,CalcKeyB,"&lt;="&amp;Calc!$B317))</f>
        <v/>
      </c>
      <c r="L320" s="4"/>
    </row>
    <row r="321" spans="1:12" x14ac:dyDescent="0.2">
      <c r="A321" s="3" t="str">
        <f>IF($B321="","",COUNTA($B$9:$B321))</f>
        <v/>
      </c>
      <c r="B321" s="4"/>
      <c r="C321" s="4"/>
      <c r="D321" s="4"/>
      <c r="E321" s="4"/>
      <c r="F321" s="3" t="str">
        <f t="shared" si="9"/>
        <v/>
      </c>
      <c r="G321" s="4"/>
      <c r="H321" s="5"/>
      <c r="I321" s="5"/>
      <c r="J321" s="6" t="str">
        <f t="shared" si="8"/>
        <v/>
      </c>
      <c r="K321" s="6" t="str">
        <f>IF(OR($B321="",$E321="",Calc!$B318=""),"",SUMIFS(CalcAmtA,CalcPartyA,$E321,CalcKeyA,"&lt;="&amp;Calc!$B318)-SUMIFS(CalcWitB,CalcPartyB,$E321,CalcKeyB,"&lt;="&amp;Calc!$B318)+SUMIFS(CalcDepB,CalcPartyB,$E321,CalcKeyB,"&lt;="&amp;Calc!$B318))</f>
        <v/>
      </c>
      <c r="L321" s="4"/>
    </row>
    <row r="322" spans="1:12" x14ac:dyDescent="0.2">
      <c r="A322" s="3" t="str">
        <f>IF($B322="","",COUNTA($B$9:$B322))</f>
        <v/>
      </c>
      <c r="B322" s="4"/>
      <c r="C322" s="4"/>
      <c r="D322" s="4"/>
      <c r="E322" s="4"/>
      <c r="F322" s="3" t="str">
        <f t="shared" si="9"/>
        <v/>
      </c>
      <c r="G322" s="4"/>
      <c r="H322" s="5"/>
      <c r="I322" s="5"/>
      <c r="J322" s="6" t="str">
        <f t="shared" si="8"/>
        <v/>
      </c>
      <c r="K322" s="6" t="str">
        <f>IF(OR($B322="",$E322="",Calc!$B319=""),"",SUMIFS(CalcAmtA,CalcPartyA,$E322,CalcKeyA,"&lt;="&amp;Calc!$B319)-SUMIFS(CalcWitB,CalcPartyB,$E322,CalcKeyB,"&lt;="&amp;Calc!$B319)+SUMIFS(CalcDepB,CalcPartyB,$E322,CalcKeyB,"&lt;="&amp;Calc!$B319))</f>
        <v/>
      </c>
      <c r="L322" s="4"/>
    </row>
    <row r="323" spans="1:12" x14ac:dyDescent="0.2">
      <c r="A323" s="3" t="str">
        <f>IF($B323="","",COUNTA($B$9:$B323))</f>
        <v/>
      </c>
      <c r="B323" s="4"/>
      <c r="C323" s="4"/>
      <c r="D323" s="4"/>
      <c r="E323" s="4"/>
      <c r="F323" s="3" t="str">
        <f t="shared" si="9"/>
        <v/>
      </c>
      <c r="G323" s="4"/>
      <c r="H323" s="5"/>
      <c r="I323" s="5"/>
      <c r="J323" s="6" t="str">
        <f t="shared" si="8"/>
        <v/>
      </c>
      <c r="K323" s="6" t="str">
        <f>IF(OR($B323="",$E323="",Calc!$B320=""),"",SUMIFS(CalcAmtA,CalcPartyA,$E323,CalcKeyA,"&lt;="&amp;Calc!$B320)-SUMIFS(CalcWitB,CalcPartyB,$E323,CalcKeyB,"&lt;="&amp;Calc!$B320)+SUMIFS(CalcDepB,CalcPartyB,$E323,CalcKeyB,"&lt;="&amp;Calc!$B320))</f>
        <v/>
      </c>
      <c r="L323" s="4"/>
    </row>
    <row r="324" spans="1:12" x14ac:dyDescent="0.2">
      <c r="A324" s="3" t="str">
        <f>IF($B324="","",COUNTA($B$9:$B324))</f>
        <v/>
      </c>
      <c r="B324" s="4"/>
      <c r="C324" s="4"/>
      <c r="D324" s="4"/>
      <c r="E324" s="4"/>
      <c r="F324" s="3" t="str">
        <f t="shared" si="9"/>
        <v/>
      </c>
      <c r="G324" s="4"/>
      <c r="H324" s="5"/>
      <c r="I324" s="5"/>
      <c r="J324" s="6" t="str">
        <f t="shared" si="8"/>
        <v/>
      </c>
      <c r="K324" s="6" t="str">
        <f>IF(OR($B324="",$E324="",Calc!$B321=""),"",SUMIFS(CalcAmtA,CalcPartyA,$E324,CalcKeyA,"&lt;="&amp;Calc!$B321)-SUMIFS(CalcWitB,CalcPartyB,$E324,CalcKeyB,"&lt;="&amp;Calc!$B321)+SUMIFS(CalcDepB,CalcPartyB,$E324,CalcKeyB,"&lt;="&amp;Calc!$B321))</f>
        <v/>
      </c>
      <c r="L324" s="4"/>
    </row>
    <row r="325" spans="1:12" x14ac:dyDescent="0.2">
      <c r="A325" s="3" t="str">
        <f>IF($B325="","",COUNTA($B$9:$B325))</f>
        <v/>
      </c>
      <c r="B325" s="4"/>
      <c r="C325" s="4"/>
      <c r="D325" s="4"/>
      <c r="E325" s="4"/>
      <c r="F325" s="3" t="str">
        <f t="shared" si="9"/>
        <v/>
      </c>
      <c r="G325" s="4"/>
      <c r="H325" s="5"/>
      <c r="I325" s="5"/>
      <c r="J325" s="6" t="str">
        <f t="shared" si="8"/>
        <v/>
      </c>
      <c r="K325" s="6" t="str">
        <f>IF(OR($B325="",$E325="",Calc!$B322=""),"",SUMIFS(CalcAmtA,CalcPartyA,$E325,CalcKeyA,"&lt;="&amp;Calc!$B322)-SUMIFS(CalcWitB,CalcPartyB,$E325,CalcKeyB,"&lt;="&amp;Calc!$B322)+SUMIFS(CalcDepB,CalcPartyB,$E325,CalcKeyB,"&lt;="&amp;Calc!$B322))</f>
        <v/>
      </c>
      <c r="L325" s="4"/>
    </row>
    <row r="326" spans="1:12" x14ac:dyDescent="0.2">
      <c r="A326" s="3" t="str">
        <f>IF($B326="","",COUNTA($B$9:$B326))</f>
        <v/>
      </c>
      <c r="B326" s="4"/>
      <c r="C326" s="4"/>
      <c r="D326" s="4"/>
      <c r="E326" s="4"/>
      <c r="F326" s="3" t="str">
        <f t="shared" si="9"/>
        <v/>
      </c>
      <c r="G326" s="4"/>
      <c r="H326" s="5"/>
      <c r="I326" s="5"/>
      <c r="J326" s="6" t="str">
        <f t="shared" ref="J326:J389" si="10">IF(OR($H326="",$I326=""),"",ROUND($H326*$I326,0))</f>
        <v/>
      </c>
      <c r="K326" s="6" t="str">
        <f>IF(OR($B326="",$E326="",Calc!$B323=""),"",SUMIFS(CalcAmtA,CalcPartyA,$E326,CalcKeyA,"&lt;="&amp;Calc!$B323)-SUMIFS(CalcWitB,CalcPartyB,$E326,CalcKeyB,"&lt;="&amp;Calc!$B323)+SUMIFS(CalcDepB,CalcPartyB,$E326,CalcKeyB,"&lt;="&amp;Calc!$B323))</f>
        <v/>
      </c>
      <c r="L326" s="4"/>
    </row>
    <row r="327" spans="1:12" x14ac:dyDescent="0.2">
      <c r="A327" s="3" t="str">
        <f>IF($B327="","",COUNTA($B$9:$B327))</f>
        <v/>
      </c>
      <c r="B327" s="4"/>
      <c r="C327" s="4"/>
      <c r="D327" s="4"/>
      <c r="E327" s="4"/>
      <c r="F327" s="3" t="str">
        <f t="shared" si="9"/>
        <v/>
      </c>
      <c r="G327" s="4"/>
      <c r="H327" s="5"/>
      <c r="I327" s="5"/>
      <c r="J327" s="6" t="str">
        <f t="shared" si="10"/>
        <v/>
      </c>
      <c r="K327" s="6" t="str">
        <f>IF(OR($B327="",$E327="",Calc!$B324=""),"",SUMIFS(CalcAmtA,CalcPartyA,$E327,CalcKeyA,"&lt;="&amp;Calc!$B324)-SUMIFS(CalcWitB,CalcPartyB,$E327,CalcKeyB,"&lt;="&amp;Calc!$B324)+SUMIFS(CalcDepB,CalcPartyB,$E327,CalcKeyB,"&lt;="&amp;Calc!$B324))</f>
        <v/>
      </c>
      <c r="L327" s="4"/>
    </row>
    <row r="328" spans="1:12" x14ac:dyDescent="0.2">
      <c r="A328" s="3" t="str">
        <f>IF($B328="","",COUNTA($B$9:$B328))</f>
        <v/>
      </c>
      <c r="B328" s="4"/>
      <c r="C328" s="4"/>
      <c r="D328" s="4"/>
      <c r="E328" s="4"/>
      <c r="F328" s="3" t="str">
        <f t="shared" si="9"/>
        <v/>
      </c>
      <c r="G328" s="4"/>
      <c r="H328" s="5"/>
      <c r="I328" s="5"/>
      <c r="J328" s="6" t="str">
        <f t="shared" si="10"/>
        <v/>
      </c>
      <c r="K328" s="6" t="str">
        <f>IF(OR($B328="",$E328="",Calc!$B325=""),"",SUMIFS(CalcAmtA,CalcPartyA,$E328,CalcKeyA,"&lt;="&amp;Calc!$B325)-SUMIFS(CalcWitB,CalcPartyB,$E328,CalcKeyB,"&lt;="&amp;Calc!$B325)+SUMIFS(CalcDepB,CalcPartyB,$E328,CalcKeyB,"&lt;="&amp;Calc!$B325))</f>
        <v/>
      </c>
      <c r="L328" s="4"/>
    </row>
    <row r="329" spans="1:12" x14ac:dyDescent="0.2">
      <c r="A329" s="3" t="str">
        <f>IF($B329="","",COUNTA($B$9:$B329))</f>
        <v/>
      </c>
      <c r="B329" s="4"/>
      <c r="C329" s="4"/>
      <c r="D329" s="4"/>
      <c r="E329" s="4"/>
      <c r="F329" s="3" t="str">
        <f t="shared" ref="F329:F392" si="11">IF($E329="","",IFERROR(IF(VLOOKUP($E329,AcctTbl,4,0)="","",VLOOKUP($E329,AcctTbl,4,0)),"—"))</f>
        <v/>
      </c>
      <c r="G329" s="4"/>
      <c r="H329" s="5"/>
      <c r="I329" s="5"/>
      <c r="J329" s="6" t="str">
        <f t="shared" si="10"/>
        <v/>
      </c>
      <c r="K329" s="6" t="str">
        <f>IF(OR($B329="",$E329="",Calc!$B326=""),"",SUMIFS(CalcAmtA,CalcPartyA,$E329,CalcKeyA,"&lt;="&amp;Calc!$B326)-SUMIFS(CalcWitB,CalcPartyB,$E329,CalcKeyB,"&lt;="&amp;Calc!$B326)+SUMIFS(CalcDepB,CalcPartyB,$E329,CalcKeyB,"&lt;="&amp;Calc!$B326))</f>
        <v/>
      </c>
      <c r="L329" s="4"/>
    </row>
    <row r="330" spans="1:12" x14ac:dyDescent="0.2">
      <c r="A330" s="3" t="str">
        <f>IF($B330="","",COUNTA($B$9:$B330))</f>
        <v/>
      </c>
      <c r="B330" s="4"/>
      <c r="C330" s="4"/>
      <c r="D330" s="4"/>
      <c r="E330" s="4"/>
      <c r="F330" s="3" t="str">
        <f t="shared" si="11"/>
        <v/>
      </c>
      <c r="G330" s="4"/>
      <c r="H330" s="5"/>
      <c r="I330" s="5"/>
      <c r="J330" s="6" t="str">
        <f t="shared" si="10"/>
        <v/>
      </c>
      <c r="K330" s="6" t="str">
        <f>IF(OR($B330="",$E330="",Calc!$B327=""),"",SUMIFS(CalcAmtA,CalcPartyA,$E330,CalcKeyA,"&lt;="&amp;Calc!$B327)-SUMIFS(CalcWitB,CalcPartyB,$E330,CalcKeyB,"&lt;="&amp;Calc!$B327)+SUMIFS(CalcDepB,CalcPartyB,$E330,CalcKeyB,"&lt;="&amp;Calc!$B327))</f>
        <v/>
      </c>
      <c r="L330" s="4"/>
    </row>
    <row r="331" spans="1:12" x14ac:dyDescent="0.2">
      <c r="A331" s="3" t="str">
        <f>IF($B331="","",COUNTA($B$9:$B331))</f>
        <v/>
      </c>
      <c r="B331" s="4"/>
      <c r="C331" s="4"/>
      <c r="D331" s="4"/>
      <c r="E331" s="4"/>
      <c r="F331" s="3" t="str">
        <f t="shared" si="11"/>
        <v/>
      </c>
      <c r="G331" s="4"/>
      <c r="H331" s="5"/>
      <c r="I331" s="5"/>
      <c r="J331" s="6" t="str">
        <f t="shared" si="10"/>
        <v/>
      </c>
      <c r="K331" s="6" t="str">
        <f>IF(OR($B331="",$E331="",Calc!$B328=""),"",SUMIFS(CalcAmtA,CalcPartyA,$E331,CalcKeyA,"&lt;="&amp;Calc!$B328)-SUMIFS(CalcWitB,CalcPartyB,$E331,CalcKeyB,"&lt;="&amp;Calc!$B328)+SUMIFS(CalcDepB,CalcPartyB,$E331,CalcKeyB,"&lt;="&amp;Calc!$B328))</f>
        <v/>
      </c>
      <c r="L331" s="4"/>
    </row>
    <row r="332" spans="1:12" x14ac:dyDescent="0.2">
      <c r="A332" s="3" t="str">
        <f>IF($B332="","",COUNTA($B$9:$B332))</f>
        <v/>
      </c>
      <c r="B332" s="4"/>
      <c r="C332" s="4"/>
      <c r="D332" s="4"/>
      <c r="E332" s="4"/>
      <c r="F332" s="3" t="str">
        <f t="shared" si="11"/>
        <v/>
      </c>
      <c r="G332" s="4"/>
      <c r="H332" s="5"/>
      <c r="I332" s="5"/>
      <c r="J332" s="6" t="str">
        <f t="shared" si="10"/>
        <v/>
      </c>
      <c r="K332" s="6" t="str">
        <f>IF(OR($B332="",$E332="",Calc!$B329=""),"",SUMIFS(CalcAmtA,CalcPartyA,$E332,CalcKeyA,"&lt;="&amp;Calc!$B329)-SUMIFS(CalcWitB,CalcPartyB,$E332,CalcKeyB,"&lt;="&amp;Calc!$B329)+SUMIFS(CalcDepB,CalcPartyB,$E332,CalcKeyB,"&lt;="&amp;Calc!$B329))</f>
        <v/>
      </c>
      <c r="L332" s="4"/>
    </row>
    <row r="333" spans="1:12" x14ac:dyDescent="0.2">
      <c r="A333" s="3" t="str">
        <f>IF($B333="","",COUNTA($B$9:$B333))</f>
        <v/>
      </c>
      <c r="B333" s="4"/>
      <c r="C333" s="4"/>
      <c r="D333" s="4"/>
      <c r="E333" s="4"/>
      <c r="F333" s="3" t="str">
        <f t="shared" si="11"/>
        <v/>
      </c>
      <c r="G333" s="4"/>
      <c r="H333" s="5"/>
      <c r="I333" s="5"/>
      <c r="J333" s="6" t="str">
        <f t="shared" si="10"/>
        <v/>
      </c>
      <c r="K333" s="6" t="str">
        <f>IF(OR($B333="",$E333="",Calc!$B330=""),"",SUMIFS(CalcAmtA,CalcPartyA,$E333,CalcKeyA,"&lt;="&amp;Calc!$B330)-SUMIFS(CalcWitB,CalcPartyB,$E333,CalcKeyB,"&lt;="&amp;Calc!$B330)+SUMIFS(CalcDepB,CalcPartyB,$E333,CalcKeyB,"&lt;="&amp;Calc!$B330))</f>
        <v/>
      </c>
      <c r="L333" s="4"/>
    </row>
    <row r="334" spans="1:12" x14ac:dyDescent="0.2">
      <c r="A334" s="3" t="str">
        <f>IF($B334="","",COUNTA($B$9:$B334))</f>
        <v/>
      </c>
      <c r="B334" s="4"/>
      <c r="C334" s="4"/>
      <c r="D334" s="4"/>
      <c r="E334" s="4"/>
      <c r="F334" s="3" t="str">
        <f t="shared" si="11"/>
        <v/>
      </c>
      <c r="G334" s="4"/>
      <c r="H334" s="5"/>
      <c r="I334" s="5"/>
      <c r="J334" s="6" t="str">
        <f t="shared" si="10"/>
        <v/>
      </c>
      <c r="K334" s="6" t="str">
        <f>IF(OR($B334="",$E334="",Calc!$B331=""),"",SUMIFS(CalcAmtA,CalcPartyA,$E334,CalcKeyA,"&lt;="&amp;Calc!$B331)-SUMIFS(CalcWitB,CalcPartyB,$E334,CalcKeyB,"&lt;="&amp;Calc!$B331)+SUMIFS(CalcDepB,CalcPartyB,$E334,CalcKeyB,"&lt;="&amp;Calc!$B331))</f>
        <v/>
      </c>
      <c r="L334" s="4"/>
    </row>
    <row r="335" spans="1:12" x14ac:dyDescent="0.2">
      <c r="A335" s="3" t="str">
        <f>IF($B335="","",COUNTA($B$9:$B335))</f>
        <v/>
      </c>
      <c r="B335" s="4"/>
      <c r="C335" s="4"/>
      <c r="D335" s="4"/>
      <c r="E335" s="4"/>
      <c r="F335" s="3" t="str">
        <f t="shared" si="11"/>
        <v/>
      </c>
      <c r="G335" s="4"/>
      <c r="H335" s="5"/>
      <c r="I335" s="5"/>
      <c r="J335" s="6" t="str">
        <f t="shared" si="10"/>
        <v/>
      </c>
      <c r="K335" s="6" t="str">
        <f>IF(OR($B335="",$E335="",Calc!$B332=""),"",SUMIFS(CalcAmtA,CalcPartyA,$E335,CalcKeyA,"&lt;="&amp;Calc!$B332)-SUMIFS(CalcWitB,CalcPartyB,$E335,CalcKeyB,"&lt;="&amp;Calc!$B332)+SUMIFS(CalcDepB,CalcPartyB,$E335,CalcKeyB,"&lt;="&amp;Calc!$B332))</f>
        <v/>
      </c>
      <c r="L335" s="4"/>
    </row>
    <row r="336" spans="1:12" x14ac:dyDescent="0.2">
      <c r="A336" s="3" t="str">
        <f>IF($B336="","",COUNTA($B$9:$B336))</f>
        <v/>
      </c>
      <c r="B336" s="4"/>
      <c r="C336" s="4"/>
      <c r="D336" s="4"/>
      <c r="E336" s="4"/>
      <c r="F336" s="3" t="str">
        <f t="shared" si="11"/>
        <v/>
      </c>
      <c r="G336" s="4"/>
      <c r="H336" s="5"/>
      <c r="I336" s="5"/>
      <c r="J336" s="6" t="str">
        <f t="shared" si="10"/>
        <v/>
      </c>
      <c r="K336" s="6" t="str">
        <f>IF(OR($B336="",$E336="",Calc!$B333=""),"",SUMIFS(CalcAmtA,CalcPartyA,$E336,CalcKeyA,"&lt;="&amp;Calc!$B333)-SUMIFS(CalcWitB,CalcPartyB,$E336,CalcKeyB,"&lt;="&amp;Calc!$B333)+SUMIFS(CalcDepB,CalcPartyB,$E336,CalcKeyB,"&lt;="&amp;Calc!$B333))</f>
        <v/>
      </c>
      <c r="L336" s="4"/>
    </row>
    <row r="337" spans="1:12" x14ac:dyDescent="0.2">
      <c r="A337" s="3" t="str">
        <f>IF($B337="","",COUNTA($B$9:$B337))</f>
        <v/>
      </c>
      <c r="B337" s="4"/>
      <c r="C337" s="4"/>
      <c r="D337" s="4"/>
      <c r="E337" s="4"/>
      <c r="F337" s="3" t="str">
        <f t="shared" si="11"/>
        <v/>
      </c>
      <c r="G337" s="4"/>
      <c r="H337" s="5"/>
      <c r="I337" s="5"/>
      <c r="J337" s="6" t="str">
        <f t="shared" si="10"/>
        <v/>
      </c>
      <c r="K337" s="6" t="str">
        <f>IF(OR($B337="",$E337="",Calc!$B334=""),"",SUMIFS(CalcAmtA,CalcPartyA,$E337,CalcKeyA,"&lt;="&amp;Calc!$B334)-SUMIFS(CalcWitB,CalcPartyB,$E337,CalcKeyB,"&lt;="&amp;Calc!$B334)+SUMIFS(CalcDepB,CalcPartyB,$E337,CalcKeyB,"&lt;="&amp;Calc!$B334))</f>
        <v/>
      </c>
      <c r="L337" s="4"/>
    </row>
    <row r="338" spans="1:12" x14ac:dyDescent="0.2">
      <c r="A338" s="3" t="str">
        <f>IF($B338="","",COUNTA($B$9:$B338))</f>
        <v/>
      </c>
      <c r="B338" s="4"/>
      <c r="C338" s="4"/>
      <c r="D338" s="4"/>
      <c r="E338" s="4"/>
      <c r="F338" s="3" t="str">
        <f t="shared" si="11"/>
        <v/>
      </c>
      <c r="G338" s="4"/>
      <c r="H338" s="5"/>
      <c r="I338" s="5"/>
      <c r="J338" s="6" t="str">
        <f t="shared" si="10"/>
        <v/>
      </c>
      <c r="K338" s="6" t="str">
        <f>IF(OR($B338="",$E338="",Calc!$B335=""),"",SUMIFS(CalcAmtA,CalcPartyA,$E338,CalcKeyA,"&lt;="&amp;Calc!$B335)-SUMIFS(CalcWitB,CalcPartyB,$E338,CalcKeyB,"&lt;="&amp;Calc!$B335)+SUMIFS(CalcDepB,CalcPartyB,$E338,CalcKeyB,"&lt;="&amp;Calc!$B335))</f>
        <v/>
      </c>
      <c r="L338" s="4"/>
    </row>
    <row r="339" spans="1:12" x14ac:dyDescent="0.2">
      <c r="A339" s="3" t="str">
        <f>IF($B339="","",COUNTA($B$9:$B339))</f>
        <v/>
      </c>
      <c r="B339" s="4"/>
      <c r="C339" s="4"/>
      <c r="D339" s="4"/>
      <c r="E339" s="4"/>
      <c r="F339" s="3" t="str">
        <f t="shared" si="11"/>
        <v/>
      </c>
      <c r="G339" s="4"/>
      <c r="H339" s="5"/>
      <c r="I339" s="5"/>
      <c r="J339" s="6" t="str">
        <f t="shared" si="10"/>
        <v/>
      </c>
      <c r="K339" s="6" t="str">
        <f>IF(OR($B339="",$E339="",Calc!$B336=""),"",SUMIFS(CalcAmtA,CalcPartyA,$E339,CalcKeyA,"&lt;="&amp;Calc!$B336)-SUMIFS(CalcWitB,CalcPartyB,$E339,CalcKeyB,"&lt;="&amp;Calc!$B336)+SUMIFS(CalcDepB,CalcPartyB,$E339,CalcKeyB,"&lt;="&amp;Calc!$B336))</f>
        <v/>
      </c>
      <c r="L339" s="4"/>
    </row>
    <row r="340" spans="1:12" x14ac:dyDescent="0.2">
      <c r="A340" s="3" t="str">
        <f>IF($B340="","",COUNTA($B$9:$B340))</f>
        <v/>
      </c>
      <c r="B340" s="4"/>
      <c r="C340" s="4"/>
      <c r="D340" s="4"/>
      <c r="E340" s="4"/>
      <c r="F340" s="3" t="str">
        <f t="shared" si="11"/>
        <v/>
      </c>
      <c r="G340" s="4"/>
      <c r="H340" s="5"/>
      <c r="I340" s="5"/>
      <c r="J340" s="6" t="str">
        <f t="shared" si="10"/>
        <v/>
      </c>
      <c r="K340" s="6" t="str">
        <f>IF(OR($B340="",$E340="",Calc!$B337=""),"",SUMIFS(CalcAmtA,CalcPartyA,$E340,CalcKeyA,"&lt;="&amp;Calc!$B337)-SUMIFS(CalcWitB,CalcPartyB,$E340,CalcKeyB,"&lt;="&amp;Calc!$B337)+SUMIFS(CalcDepB,CalcPartyB,$E340,CalcKeyB,"&lt;="&amp;Calc!$B337))</f>
        <v/>
      </c>
      <c r="L340" s="4"/>
    </row>
    <row r="341" spans="1:12" x14ac:dyDescent="0.2">
      <c r="A341" s="3" t="str">
        <f>IF($B341="","",COUNTA($B$9:$B341))</f>
        <v/>
      </c>
      <c r="B341" s="4"/>
      <c r="C341" s="4"/>
      <c r="D341" s="4"/>
      <c r="E341" s="4"/>
      <c r="F341" s="3" t="str">
        <f t="shared" si="11"/>
        <v/>
      </c>
      <c r="G341" s="4"/>
      <c r="H341" s="5"/>
      <c r="I341" s="5"/>
      <c r="J341" s="6" t="str">
        <f t="shared" si="10"/>
        <v/>
      </c>
      <c r="K341" s="6" t="str">
        <f>IF(OR($B341="",$E341="",Calc!$B338=""),"",SUMIFS(CalcAmtA,CalcPartyA,$E341,CalcKeyA,"&lt;="&amp;Calc!$B338)-SUMIFS(CalcWitB,CalcPartyB,$E341,CalcKeyB,"&lt;="&amp;Calc!$B338)+SUMIFS(CalcDepB,CalcPartyB,$E341,CalcKeyB,"&lt;="&amp;Calc!$B338))</f>
        <v/>
      </c>
      <c r="L341" s="4"/>
    </row>
    <row r="342" spans="1:12" x14ac:dyDescent="0.2">
      <c r="A342" s="3" t="str">
        <f>IF($B342="","",COUNTA($B$9:$B342))</f>
        <v/>
      </c>
      <c r="B342" s="4"/>
      <c r="C342" s="4"/>
      <c r="D342" s="4"/>
      <c r="E342" s="4"/>
      <c r="F342" s="3" t="str">
        <f t="shared" si="11"/>
        <v/>
      </c>
      <c r="G342" s="4"/>
      <c r="H342" s="5"/>
      <c r="I342" s="5"/>
      <c r="J342" s="6" t="str">
        <f t="shared" si="10"/>
        <v/>
      </c>
      <c r="K342" s="6" t="str">
        <f>IF(OR($B342="",$E342="",Calc!$B339=""),"",SUMIFS(CalcAmtA,CalcPartyA,$E342,CalcKeyA,"&lt;="&amp;Calc!$B339)-SUMIFS(CalcWitB,CalcPartyB,$E342,CalcKeyB,"&lt;="&amp;Calc!$B339)+SUMIFS(CalcDepB,CalcPartyB,$E342,CalcKeyB,"&lt;="&amp;Calc!$B339))</f>
        <v/>
      </c>
      <c r="L342" s="4"/>
    </row>
    <row r="343" spans="1:12" x14ac:dyDescent="0.2">
      <c r="A343" s="3" t="str">
        <f>IF($B343="","",COUNTA($B$9:$B343))</f>
        <v/>
      </c>
      <c r="B343" s="4"/>
      <c r="C343" s="4"/>
      <c r="D343" s="4"/>
      <c r="E343" s="4"/>
      <c r="F343" s="3" t="str">
        <f t="shared" si="11"/>
        <v/>
      </c>
      <c r="G343" s="4"/>
      <c r="H343" s="5"/>
      <c r="I343" s="5"/>
      <c r="J343" s="6" t="str">
        <f t="shared" si="10"/>
        <v/>
      </c>
      <c r="K343" s="6" t="str">
        <f>IF(OR($B343="",$E343="",Calc!$B340=""),"",SUMIFS(CalcAmtA,CalcPartyA,$E343,CalcKeyA,"&lt;="&amp;Calc!$B340)-SUMIFS(CalcWitB,CalcPartyB,$E343,CalcKeyB,"&lt;="&amp;Calc!$B340)+SUMIFS(CalcDepB,CalcPartyB,$E343,CalcKeyB,"&lt;="&amp;Calc!$B340))</f>
        <v/>
      </c>
      <c r="L343" s="4"/>
    </row>
    <row r="344" spans="1:12" x14ac:dyDescent="0.2">
      <c r="A344" s="3" t="str">
        <f>IF($B344="","",COUNTA($B$9:$B344))</f>
        <v/>
      </c>
      <c r="B344" s="4"/>
      <c r="C344" s="4"/>
      <c r="D344" s="4"/>
      <c r="E344" s="4"/>
      <c r="F344" s="3" t="str">
        <f t="shared" si="11"/>
        <v/>
      </c>
      <c r="G344" s="4"/>
      <c r="H344" s="5"/>
      <c r="I344" s="5"/>
      <c r="J344" s="6" t="str">
        <f t="shared" si="10"/>
        <v/>
      </c>
      <c r="K344" s="6" t="str">
        <f>IF(OR($B344="",$E344="",Calc!$B341=""),"",SUMIFS(CalcAmtA,CalcPartyA,$E344,CalcKeyA,"&lt;="&amp;Calc!$B341)-SUMIFS(CalcWitB,CalcPartyB,$E344,CalcKeyB,"&lt;="&amp;Calc!$B341)+SUMIFS(CalcDepB,CalcPartyB,$E344,CalcKeyB,"&lt;="&amp;Calc!$B341))</f>
        <v/>
      </c>
      <c r="L344" s="4"/>
    </row>
    <row r="345" spans="1:12" x14ac:dyDescent="0.2">
      <c r="A345" s="3" t="str">
        <f>IF($B345="","",COUNTA($B$9:$B345))</f>
        <v/>
      </c>
      <c r="B345" s="4"/>
      <c r="C345" s="4"/>
      <c r="D345" s="4"/>
      <c r="E345" s="4"/>
      <c r="F345" s="3" t="str">
        <f t="shared" si="11"/>
        <v/>
      </c>
      <c r="G345" s="4"/>
      <c r="H345" s="5"/>
      <c r="I345" s="5"/>
      <c r="J345" s="6" t="str">
        <f t="shared" si="10"/>
        <v/>
      </c>
      <c r="K345" s="6" t="str">
        <f>IF(OR($B345="",$E345="",Calc!$B342=""),"",SUMIFS(CalcAmtA,CalcPartyA,$E345,CalcKeyA,"&lt;="&amp;Calc!$B342)-SUMIFS(CalcWitB,CalcPartyB,$E345,CalcKeyB,"&lt;="&amp;Calc!$B342)+SUMIFS(CalcDepB,CalcPartyB,$E345,CalcKeyB,"&lt;="&amp;Calc!$B342))</f>
        <v/>
      </c>
      <c r="L345" s="4"/>
    </row>
    <row r="346" spans="1:12" x14ac:dyDescent="0.2">
      <c r="A346" s="3" t="str">
        <f>IF($B346="","",COUNTA($B$9:$B346))</f>
        <v/>
      </c>
      <c r="B346" s="4"/>
      <c r="C346" s="4"/>
      <c r="D346" s="4"/>
      <c r="E346" s="4"/>
      <c r="F346" s="3" t="str">
        <f t="shared" si="11"/>
        <v/>
      </c>
      <c r="G346" s="4"/>
      <c r="H346" s="5"/>
      <c r="I346" s="5"/>
      <c r="J346" s="6" t="str">
        <f t="shared" si="10"/>
        <v/>
      </c>
      <c r="K346" s="6" t="str">
        <f>IF(OR($B346="",$E346="",Calc!$B343=""),"",SUMIFS(CalcAmtA,CalcPartyA,$E346,CalcKeyA,"&lt;="&amp;Calc!$B343)-SUMIFS(CalcWitB,CalcPartyB,$E346,CalcKeyB,"&lt;="&amp;Calc!$B343)+SUMIFS(CalcDepB,CalcPartyB,$E346,CalcKeyB,"&lt;="&amp;Calc!$B343))</f>
        <v/>
      </c>
      <c r="L346" s="4"/>
    </row>
    <row r="347" spans="1:12" x14ac:dyDescent="0.2">
      <c r="A347" s="3" t="str">
        <f>IF($B347="","",COUNTA($B$9:$B347))</f>
        <v/>
      </c>
      <c r="B347" s="4"/>
      <c r="C347" s="4"/>
      <c r="D347" s="4"/>
      <c r="E347" s="4"/>
      <c r="F347" s="3" t="str">
        <f t="shared" si="11"/>
        <v/>
      </c>
      <c r="G347" s="4"/>
      <c r="H347" s="5"/>
      <c r="I347" s="5"/>
      <c r="J347" s="6" t="str">
        <f t="shared" si="10"/>
        <v/>
      </c>
      <c r="K347" s="6" t="str">
        <f>IF(OR($B347="",$E347="",Calc!$B344=""),"",SUMIFS(CalcAmtA,CalcPartyA,$E347,CalcKeyA,"&lt;="&amp;Calc!$B344)-SUMIFS(CalcWitB,CalcPartyB,$E347,CalcKeyB,"&lt;="&amp;Calc!$B344)+SUMIFS(CalcDepB,CalcPartyB,$E347,CalcKeyB,"&lt;="&amp;Calc!$B344))</f>
        <v/>
      </c>
      <c r="L347" s="4"/>
    </row>
    <row r="348" spans="1:12" x14ac:dyDescent="0.2">
      <c r="A348" s="3" t="str">
        <f>IF($B348="","",COUNTA($B$9:$B348))</f>
        <v/>
      </c>
      <c r="B348" s="4"/>
      <c r="C348" s="4"/>
      <c r="D348" s="4"/>
      <c r="E348" s="4"/>
      <c r="F348" s="3" t="str">
        <f t="shared" si="11"/>
        <v/>
      </c>
      <c r="G348" s="4"/>
      <c r="H348" s="5"/>
      <c r="I348" s="5"/>
      <c r="J348" s="6" t="str">
        <f t="shared" si="10"/>
        <v/>
      </c>
      <c r="K348" s="6" t="str">
        <f>IF(OR($B348="",$E348="",Calc!$B345=""),"",SUMIFS(CalcAmtA,CalcPartyA,$E348,CalcKeyA,"&lt;="&amp;Calc!$B345)-SUMIFS(CalcWitB,CalcPartyB,$E348,CalcKeyB,"&lt;="&amp;Calc!$B345)+SUMIFS(CalcDepB,CalcPartyB,$E348,CalcKeyB,"&lt;="&amp;Calc!$B345))</f>
        <v/>
      </c>
      <c r="L348" s="4"/>
    </row>
    <row r="349" spans="1:12" x14ac:dyDescent="0.2">
      <c r="A349" s="3" t="str">
        <f>IF($B349="","",COUNTA($B$9:$B349))</f>
        <v/>
      </c>
      <c r="B349" s="4"/>
      <c r="C349" s="4"/>
      <c r="D349" s="4"/>
      <c r="E349" s="4"/>
      <c r="F349" s="3" t="str">
        <f t="shared" si="11"/>
        <v/>
      </c>
      <c r="G349" s="4"/>
      <c r="H349" s="5"/>
      <c r="I349" s="5"/>
      <c r="J349" s="6" t="str">
        <f t="shared" si="10"/>
        <v/>
      </c>
      <c r="K349" s="6" t="str">
        <f>IF(OR($B349="",$E349="",Calc!$B346=""),"",SUMIFS(CalcAmtA,CalcPartyA,$E349,CalcKeyA,"&lt;="&amp;Calc!$B346)-SUMIFS(CalcWitB,CalcPartyB,$E349,CalcKeyB,"&lt;="&amp;Calc!$B346)+SUMIFS(CalcDepB,CalcPartyB,$E349,CalcKeyB,"&lt;="&amp;Calc!$B346))</f>
        <v/>
      </c>
      <c r="L349" s="4"/>
    </row>
    <row r="350" spans="1:12" x14ac:dyDescent="0.2">
      <c r="A350" s="3" t="str">
        <f>IF($B350="","",COUNTA($B$9:$B350))</f>
        <v/>
      </c>
      <c r="B350" s="4"/>
      <c r="C350" s="4"/>
      <c r="D350" s="4"/>
      <c r="E350" s="4"/>
      <c r="F350" s="3" t="str">
        <f t="shared" si="11"/>
        <v/>
      </c>
      <c r="G350" s="4"/>
      <c r="H350" s="5"/>
      <c r="I350" s="5"/>
      <c r="J350" s="6" t="str">
        <f t="shared" si="10"/>
        <v/>
      </c>
      <c r="K350" s="6" t="str">
        <f>IF(OR($B350="",$E350="",Calc!$B347=""),"",SUMIFS(CalcAmtA,CalcPartyA,$E350,CalcKeyA,"&lt;="&amp;Calc!$B347)-SUMIFS(CalcWitB,CalcPartyB,$E350,CalcKeyB,"&lt;="&amp;Calc!$B347)+SUMIFS(CalcDepB,CalcPartyB,$E350,CalcKeyB,"&lt;="&amp;Calc!$B347))</f>
        <v/>
      </c>
      <c r="L350" s="4"/>
    </row>
    <row r="351" spans="1:12" x14ac:dyDescent="0.2">
      <c r="A351" s="3" t="str">
        <f>IF($B351="","",COUNTA($B$9:$B351))</f>
        <v/>
      </c>
      <c r="B351" s="4"/>
      <c r="C351" s="4"/>
      <c r="D351" s="4"/>
      <c r="E351" s="4"/>
      <c r="F351" s="3" t="str">
        <f t="shared" si="11"/>
        <v/>
      </c>
      <c r="G351" s="4"/>
      <c r="H351" s="5"/>
      <c r="I351" s="5"/>
      <c r="J351" s="6" t="str">
        <f t="shared" si="10"/>
        <v/>
      </c>
      <c r="K351" s="6" t="str">
        <f>IF(OR($B351="",$E351="",Calc!$B348=""),"",SUMIFS(CalcAmtA,CalcPartyA,$E351,CalcKeyA,"&lt;="&amp;Calc!$B348)-SUMIFS(CalcWitB,CalcPartyB,$E351,CalcKeyB,"&lt;="&amp;Calc!$B348)+SUMIFS(CalcDepB,CalcPartyB,$E351,CalcKeyB,"&lt;="&amp;Calc!$B348))</f>
        <v/>
      </c>
      <c r="L351" s="4"/>
    </row>
    <row r="352" spans="1:12" x14ac:dyDescent="0.2">
      <c r="A352" s="3" t="str">
        <f>IF($B352="","",COUNTA($B$9:$B352))</f>
        <v/>
      </c>
      <c r="B352" s="4"/>
      <c r="C352" s="4"/>
      <c r="D352" s="4"/>
      <c r="E352" s="4"/>
      <c r="F352" s="3" t="str">
        <f t="shared" si="11"/>
        <v/>
      </c>
      <c r="G352" s="4"/>
      <c r="H352" s="5"/>
      <c r="I352" s="5"/>
      <c r="J352" s="6" t="str">
        <f t="shared" si="10"/>
        <v/>
      </c>
      <c r="K352" s="6" t="str">
        <f>IF(OR($B352="",$E352="",Calc!$B349=""),"",SUMIFS(CalcAmtA,CalcPartyA,$E352,CalcKeyA,"&lt;="&amp;Calc!$B349)-SUMIFS(CalcWitB,CalcPartyB,$E352,CalcKeyB,"&lt;="&amp;Calc!$B349)+SUMIFS(CalcDepB,CalcPartyB,$E352,CalcKeyB,"&lt;="&amp;Calc!$B349))</f>
        <v/>
      </c>
      <c r="L352" s="4"/>
    </row>
    <row r="353" spans="1:12" x14ac:dyDescent="0.2">
      <c r="A353" s="3" t="str">
        <f>IF($B353="","",COUNTA($B$9:$B353))</f>
        <v/>
      </c>
      <c r="B353" s="4"/>
      <c r="C353" s="4"/>
      <c r="D353" s="4"/>
      <c r="E353" s="4"/>
      <c r="F353" s="3" t="str">
        <f t="shared" si="11"/>
        <v/>
      </c>
      <c r="G353" s="4"/>
      <c r="H353" s="5"/>
      <c r="I353" s="5"/>
      <c r="J353" s="6" t="str">
        <f t="shared" si="10"/>
        <v/>
      </c>
      <c r="K353" s="6" t="str">
        <f>IF(OR($B353="",$E353="",Calc!$B350=""),"",SUMIFS(CalcAmtA,CalcPartyA,$E353,CalcKeyA,"&lt;="&amp;Calc!$B350)-SUMIFS(CalcWitB,CalcPartyB,$E353,CalcKeyB,"&lt;="&amp;Calc!$B350)+SUMIFS(CalcDepB,CalcPartyB,$E353,CalcKeyB,"&lt;="&amp;Calc!$B350))</f>
        <v/>
      </c>
      <c r="L353" s="4"/>
    </row>
    <row r="354" spans="1:12" x14ac:dyDescent="0.2">
      <c r="A354" s="3" t="str">
        <f>IF($B354="","",COUNTA($B$9:$B354))</f>
        <v/>
      </c>
      <c r="B354" s="4"/>
      <c r="C354" s="4"/>
      <c r="D354" s="4"/>
      <c r="E354" s="4"/>
      <c r="F354" s="3" t="str">
        <f t="shared" si="11"/>
        <v/>
      </c>
      <c r="G354" s="4"/>
      <c r="H354" s="5"/>
      <c r="I354" s="5"/>
      <c r="J354" s="6" t="str">
        <f t="shared" si="10"/>
        <v/>
      </c>
      <c r="K354" s="6" t="str">
        <f>IF(OR($B354="",$E354="",Calc!$B351=""),"",SUMIFS(CalcAmtA,CalcPartyA,$E354,CalcKeyA,"&lt;="&amp;Calc!$B351)-SUMIFS(CalcWitB,CalcPartyB,$E354,CalcKeyB,"&lt;="&amp;Calc!$B351)+SUMIFS(CalcDepB,CalcPartyB,$E354,CalcKeyB,"&lt;="&amp;Calc!$B351))</f>
        <v/>
      </c>
      <c r="L354" s="4"/>
    </row>
    <row r="355" spans="1:12" x14ac:dyDescent="0.2">
      <c r="A355" s="3" t="str">
        <f>IF($B355="","",COUNTA($B$9:$B355))</f>
        <v/>
      </c>
      <c r="B355" s="4"/>
      <c r="C355" s="4"/>
      <c r="D355" s="4"/>
      <c r="E355" s="4"/>
      <c r="F355" s="3" t="str">
        <f t="shared" si="11"/>
        <v/>
      </c>
      <c r="G355" s="4"/>
      <c r="H355" s="5"/>
      <c r="I355" s="5"/>
      <c r="J355" s="6" t="str">
        <f t="shared" si="10"/>
        <v/>
      </c>
      <c r="K355" s="6" t="str">
        <f>IF(OR($B355="",$E355="",Calc!$B352=""),"",SUMIFS(CalcAmtA,CalcPartyA,$E355,CalcKeyA,"&lt;="&amp;Calc!$B352)-SUMIFS(CalcWitB,CalcPartyB,$E355,CalcKeyB,"&lt;="&amp;Calc!$B352)+SUMIFS(CalcDepB,CalcPartyB,$E355,CalcKeyB,"&lt;="&amp;Calc!$B352))</f>
        <v/>
      </c>
      <c r="L355" s="4"/>
    </row>
    <row r="356" spans="1:12" x14ac:dyDescent="0.2">
      <c r="A356" s="3" t="str">
        <f>IF($B356="","",COUNTA($B$9:$B356))</f>
        <v/>
      </c>
      <c r="B356" s="4"/>
      <c r="C356" s="4"/>
      <c r="D356" s="4"/>
      <c r="E356" s="4"/>
      <c r="F356" s="3" t="str">
        <f t="shared" si="11"/>
        <v/>
      </c>
      <c r="G356" s="4"/>
      <c r="H356" s="5"/>
      <c r="I356" s="5"/>
      <c r="J356" s="6" t="str">
        <f t="shared" si="10"/>
        <v/>
      </c>
      <c r="K356" s="6" t="str">
        <f>IF(OR($B356="",$E356="",Calc!$B353=""),"",SUMIFS(CalcAmtA,CalcPartyA,$E356,CalcKeyA,"&lt;="&amp;Calc!$B353)-SUMIFS(CalcWitB,CalcPartyB,$E356,CalcKeyB,"&lt;="&amp;Calc!$B353)+SUMIFS(CalcDepB,CalcPartyB,$E356,CalcKeyB,"&lt;="&amp;Calc!$B353))</f>
        <v/>
      </c>
      <c r="L356" s="4"/>
    </row>
    <row r="357" spans="1:12" x14ac:dyDescent="0.2">
      <c r="A357" s="3" t="str">
        <f>IF($B357="","",COUNTA($B$9:$B357))</f>
        <v/>
      </c>
      <c r="B357" s="4"/>
      <c r="C357" s="4"/>
      <c r="D357" s="4"/>
      <c r="E357" s="4"/>
      <c r="F357" s="3" t="str">
        <f t="shared" si="11"/>
        <v/>
      </c>
      <c r="G357" s="4"/>
      <c r="H357" s="5"/>
      <c r="I357" s="5"/>
      <c r="J357" s="6" t="str">
        <f t="shared" si="10"/>
        <v/>
      </c>
      <c r="K357" s="6" t="str">
        <f>IF(OR($B357="",$E357="",Calc!$B354=""),"",SUMIFS(CalcAmtA,CalcPartyA,$E357,CalcKeyA,"&lt;="&amp;Calc!$B354)-SUMIFS(CalcWitB,CalcPartyB,$E357,CalcKeyB,"&lt;="&amp;Calc!$B354)+SUMIFS(CalcDepB,CalcPartyB,$E357,CalcKeyB,"&lt;="&amp;Calc!$B354))</f>
        <v/>
      </c>
      <c r="L357" s="4"/>
    </row>
    <row r="358" spans="1:12" x14ac:dyDescent="0.2">
      <c r="A358" s="3" t="str">
        <f>IF($B358="","",COUNTA($B$9:$B358))</f>
        <v/>
      </c>
      <c r="B358" s="4"/>
      <c r="C358" s="4"/>
      <c r="D358" s="4"/>
      <c r="E358" s="4"/>
      <c r="F358" s="3" t="str">
        <f t="shared" si="11"/>
        <v/>
      </c>
      <c r="G358" s="4"/>
      <c r="H358" s="5"/>
      <c r="I358" s="5"/>
      <c r="J358" s="6" t="str">
        <f t="shared" si="10"/>
        <v/>
      </c>
      <c r="K358" s="6" t="str">
        <f>IF(OR($B358="",$E358="",Calc!$B355=""),"",SUMIFS(CalcAmtA,CalcPartyA,$E358,CalcKeyA,"&lt;="&amp;Calc!$B355)-SUMIFS(CalcWitB,CalcPartyB,$E358,CalcKeyB,"&lt;="&amp;Calc!$B355)+SUMIFS(CalcDepB,CalcPartyB,$E358,CalcKeyB,"&lt;="&amp;Calc!$B355))</f>
        <v/>
      </c>
      <c r="L358" s="4"/>
    </row>
    <row r="359" spans="1:12" x14ac:dyDescent="0.2">
      <c r="A359" s="3" t="str">
        <f>IF($B359="","",COUNTA($B$9:$B359))</f>
        <v/>
      </c>
      <c r="B359" s="4"/>
      <c r="C359" s="4"/>
      <c r="D359" s="4"/>
      <c r="E359" s="4"/>
      <c r="F359" s="3" t="str">
        <f t="shared" si="11"/>
        <v/>
      </c>
      <c r="G359" s="4"/>
      <c r="H359" s="5"/>
      <c r="I359" s="5"/>
      <c r="J359" s="6" t="str">
        <f t="shared" si="10"/>
        <v/>
      </c>
      <c r="K359" s="6" t="str">
        <f>IF(OR($B359="",$E359="",Calc!$B356=""),"",SUMIFS(CalcAmtA,CalcPartyA,$E359,CalcKeyA,"&lt;="&amp;Calc!$B356)-SUMIFS(CalcWitB,CalcPartyB,$E359,CalcKeyB,"&lt;="&amp;Calc!$B356)+SUMIFS(CalcDepB,CalcPartyB,$E359,CalcKeyB,"&lt;="&amp;Calc!$B356))</f>
        <v/>
      </c>
      <c r="L359" s="4"/>
    </row>
    <row r="360" spans="1:12" x14ac:dyDescent="0.2">
      <c r="A360" s="3" t="str">
        <f>IF($B360="","",COUNTA($B$9:$B360))</f>
        <v/>
      </c>
      <c r="B360" s="4"/>
      <c r="C360" s="4"/>
      <c r="D360" s="4"/>
      <c r="E360" s="4"/>
      <c r="F360" s="3" t="str">
        <f t="shared" si="11"/>
        <v/>
      </c>
      <c r="G360" s="4"/>
      <c r="H360" s="5"/>
      <c r="I360" s="5"/>
      <c r="J360" s="6" t="str">
        <f t="shared" si="10"/>
        <v/>
      </c>
      <c r="K360" s="6" t="str">
        <f>IF(OR($B360="",$E360="",Calc!$B357=""),"",SUMIFS(CalcAmtA,CalcPartyA,$E360,CalcKeyA,"&lt;="&amp;Calc!$B357)-SUMIFS(CalcWitB,CalcPartyB,$E360,CalcKeyB,"&lt;="&amp;Calc!$B357)+SUMIFS(CalcDepB,CalcPartyB,$E360,CalcKeyB,"&lt;="&amp;Calc!$B357))</f>
        <v/>
      </c>
      <c r="L360" s="4"/>
    </row>
    <row r="361" spans="1:12" x14ac:dyDescent="0.2">
      <c r="A361" s="3" t="str">
        <f>IF($B361="","",COUNTA($B$9:$B361))</f>
        <v/>
      </c>
      <c r="B361" s="4"/>
      <c r="C361" s="4"/>
      <c r="D361" s="4"/>
      <c r="E361" s="4"/>
      <c r="F361" s="3" t="str">
        <f t="shared" si="11"/>
        <v/>
      </c>
      <c r="G361" s="4"/>
      <c r="H361" s="5"/>
      <c r="I361" s="5"/>
      <c r="J361" s="6" t="str">
        <f t="shared" si="10"/>
        <v/>
      </c>
      <c r="K361" s="6" t="str">
        <f>IF(OR($B361="",$E361="",Calc!$B358=""),"",SUMIFS(CalcAmtA,CalcPartyA,$E361,CalcKeyA,"&lt;="&amp;Calc!$B358)-SUMIFS(CalcWitB,CalcPartyB,$E361,CalcKeyB,"&lt;="&amp;Calc!$B358)+SUMIFS(CalcDepB,CalcPartyB,$E361,CalcKeyB,"&lt;="&amp;Calc!$B358))</f>
        <v/>
      </c>
      <c r="L361" s="4"/>
    </row>
    <row r="362" spans="1:12" x14ac:dyDescent="0.2">
      <c r="A362" s="3" t="str">
        <f>IF($B362="","",COUNTA($B$9:$B362))</f>
        <v/>
      </c>
      <c r="B362" s="4"/>
      <c r="C362" s="4"/>
      <c r="D362" s="4"/>
      <c r="E362" s="4"/>
      <c r="F362" s="3" t="str">
        <f t="shared" si="11"/>
        <v/>
      </c>
      <c r="G362" s="4"/>
      <c r="H362" s="5"/>
      <c r="I362" s="5"/>
      <c r="J362" s="6" t="str">
        <f t="shared" si="10"/>
        <v/>
      </c>
      <c r="K362" s="6" t="str">
        <f>IF(OR($B362="",$E362="",Calc!$B359=""),"",SUMIFS(CalcAmtA,CalcPartyA,$E362,CalcKeyA,"&lt;="&amp;Calc!$B359)-SUMIFS(CalcWitB,CalcPartyB,$E362,CalcKeyB,"&lt;="&amp;Calc!$B359)+SUMIFS(CalcDepB,CalcPartyB,$E362,CalcKeyB,"&lt;="&amp;Calc!$B359))</f>
        <v/>
      </c>
      <c r="L362" s="4"/>
    </row>
    <row r="363" spans="1:12" x14ac:dyDescent="0.2">
      <c r="A363" s="3" t="str">
        <f>IF($B363="","",COUNTA($B$9:$B363))</f>
        <v/>
      </c>
      <c r="B363" s="4"/>
      <c r="C363" s="4"/>
      <c r="D363" s="4"/>
      <c r="E363" s="4"/>
      <c r="F363" s="3" t="str">
        <f t="shared" si="11"/>
        <v/>
      </c>
      <c r="G363" s="4"/>
      <c r="H363" s="5"/>
      <c r="I363" s="5"/>
      <c r="J363" s="6" t="str">
        <f t="shared" si="10"/>
        <v/>
      </c>
      <c r="K363" s="6" t="str">
        <f>IF(OR($B363="",$E363="",Calc!$B360=""),"",SUMIFS(CalcAmtA,CalcPartyA,$E363,CalcKeyA,"&lt;="&amp;Calc!$B360)-SUMIFS(CalcWitB,CalcPartyB,$E363,CalcKeyB,"&lt;="&amp;Calc!$B360)+SUMIFS(CalcDepB,CalcPartyB,$E363,CalcKeyB,"&lt;="&amp;Calc!$B360))</f>
        <v/>
      </c>
      <c r="L363" s="4"/>
    </row>
    <row r="364" spans="1:12" x14ac:dyDescent="0.2">
      <c r="A364" s="3" t="str">
        <f>IF($B364="","",COUNTA($B$9:$B364))</f>
        <v/>
      </c>
      <c r="B364" s="4"/>
      <c r="C364" s="4"/>
      <c r="D364" s="4"/>
      <c r="E364" s="4"/>
      <c r="F364" s="3" t="str">
        <f t="shared" si="11"/>
        <v/>
      </c>
      <c r="G364" s="4"/>
      <c r="H364" s="5"/>
      <c r="I364" s="5"/>
      <c r="J364" s="6" t="str">
        <f t="shared" si="10"/>
        <v/>
      </c>
      <c r="K364" s="6" t="str">
        <f>IF(OR($B364="",$E364="",Calc!$B361=""),"",SUMIFS(CalcAmtA,CalcPartyA,$E364,CalcKeyA,"&lt;="&amp;Calc!$B361)-SUMIFS(CalcWitB,CalcPartyB,$E364,CalcKeyB,"&lt;="&amp;Calc!$B361)+SUMIFS(CalcDepB,CalcPartyB,$E364,CalcKeyB,"&lt;="&amp;Calc!$B361))</f>
        <v/>
      </c>
      <c r="L364" s="4"/>
    </row>
    <row r="365" spans="1:12" x14ac:dyDescent="0.2">
      <c r="A365" s="3" t="str">
        <f>IF($B365="","",COUNTA($B$9:$B365))</f>
        <v/>
      </c>
      <c r="B365" s="4"/>
      <c r="C365" s="4"/>
      <c r="D365" s="4"/>
      <c r="E365" s="4"/>
      <c r="F365" s="3" t="str">
        <f t="shared" si="11"/>
        <v/>
      </c>
      <c r="G365" s="4"/>
      <c r="H365" s="5"/>
      <c r="I365" s="5"/>
      <c r="J365" s="6" t="str">
        <f t="shared" si="10"/>
        <v/>
      </c>
      <c r="K365" s="6" t="str">
        <f>IF(OR($B365="",$E365="",Calc!$B362=""),"",SUMIFS(CalcAmtA,CalcPartyA,$E365,CalcKeyA,"&lt;="&amp;Calc!$B362)-SUMIFS(CalcWitB,CalcPartyB,$E365,CalcKeyB,"&lt;="&amp;Calc!$B362)+SUMIFS(CalcDepB,CalcPartyB,$E365,CalcKeyB,"&lt;="&amp;Calc!$B362))</f>
        <v/>
      </c>
      <c r="L365" s="4"/>
    </row>
    <row r="366" spans="1:12" x14ac:dyDescent="0.2">
      <c r="A366" s="3" t="str">
        <f>IF($B366="","",COUNTA($B$9:$B366))</f>
        <v/>
      </c>
      <c r="B366" s="4"/>
      <c r="C366" s="4"/>
      <c r="D366" s="4"/>
      <c r="E366" s="4"/>
      <c r="F366" s="3" t="str">
        <f t="shared" si="11"/>
        <v/>
      </c>
      <c r="G366" s="4"/>
      <c r="H366" s="5"/>
      <c r="I366" s="5"/>
      <c r="J366" s="6" t="str">
        <f t="shared" si="10"/>
        <v/>
      </c>
      <c r="K366" s="6" t="str">
        <f>IF(OR($B366="",$E366="",Calc!$B363=""),"",SUMIFS(CalcAmtA,CalcPartyA,$E366,CalcKeyA,"&lt;="&amp;Calc!$B363)-SUMIFS(CalcWitB,CalcPartyB,$E366,CalcKeyB,"&lt;="&amp;Calc!$B363)+SUMIFS(CalcDepB,CalcPartyB,$E366,CalcKeyB,"&lt;="&amp;Calc!$B363))</f>
        <v/>
      </c>
      <c r="L366" s="4"/>
    </row>
    <row r="367" spans="1:12" x14ac:dyDescent="0.2">
      <c r="A367" s="3" t="str">
        <f>IF($B367="","",COUNTA($B$9:$B367))</f>
        <v/>
      </c>
      <c r="B367" s="4"/>
      <c r="C367" s="4"/>
      <c r="D367" s="4"/>
      <c r="E367" s="4"/>
      <c r="F367" s="3" t="str">
        <f t="shared" si="11"/>
        <v/>
      </c>
      <c r="G367" s="4"/>
      <c r="H367" s="5"/>
      <c r="I367" s="5"/>
      <c r="J367" s="6" t="str">
        <f t="shared" si="10"/>
        <v/>
      </c>
      <c r="K367" s="6" t="str">
        <f>IF(OR($B367="",$E367="",Calc!$B364=""),"",SUMIFS(CalcAmtA,CalcPartyA,$E367,CalcKeyA,"&lt;="&amp;Calc!$B364)-SUMIFS(CalcWitB,CalcPartyB,$E367,CalcKeyB,"&lt;="&amp;Calc!$B364)+SUMIFS(CalcDepB,CalcPartyB,$E367,CalcKeyB,"&lt;="&amp;Calc!$B364))</f>
        <v/>
      </c>
      <c r="L367" s="4"/>
    </row>
    <row r="368" spans="1:12" x14ac:dyDescent="0.2">
      <c r="A368" s="3" t="str">
        <f>IF($B368="","",COUNTA($B$9:$B368))</f>
        <v/>
      </c>
      <c r="B368" s="4"/>
      <c r="C368" s="4"/>
      <c r="D368" s="4"/>
      <c r="E368" s="4"/>
      <c r="F368" s="3" t="str">
        <f t="shared" si="11"/>
        <v/>
      </c>
      <c r="G368" s="4"/>
      <c r="H368" s="5"/>
      <c r="I368" s="5"/>
      <c r="J368" s="6" t="str">
        <f t="shared" si="10"/>
        <v/>
      </c>
      <c r="K368" s="6" t="str">
        <f>IF(OR($B368="",$E368="",Calc!$B365=""),"",SUMIFS(CalcAmtA,CalcPartyA,$E368,CalcKeyA,"&lt;="&amp;Calc!$B365)-SUMIFS(CalcWitB,CalcPartyB,$E368,CalcKeyB,"&lt;="&amp;Calc!$B365)+SUMIFS(CalcDepB,CalcPartyB,$E368,CalcKeyB,"&lt;="&amp;Calc!$B365))</f>
        <v/>
      </c>
      <c r="L368" s="4"/>
    </row>
    <row r="369" spans="1:12" x14ac:dyDescent="0.2">
      <c r="A369" s="3" t="str">
        <f>IF($B369="","",COUNTA($B$9:$B369))</f>
        <v/>
      </c>
      <c r="B369" s="4"/>
      <c r="C369" s="4"/>
      <c r="D369" s="4"/>
      <c r="E369" s="4"/>
      <c r="F369" s="3" t="str">
        <f t="shared" si="11"/>
        <v/>
      </c>
      <c r="G369" s="4"/>
      <c r="H369" s="5"/>
      <c r="I369" s="5"/>
      <c r="J369" s="6" t="str">
        <f t="shared" si="10"/>
        <v/>
      </c>
      <c r="K369" s="6" t="str">
        <f>IF(OR($B369="",$E369="",Calc!$B366=""),"",SUMIFS(CalcAmtA,CalcPartyA,$E369,CalcKeyA,"&lt;="&amp;Calc!$B366)-SUMIFS(CalcWitB,CalcPartyB,$E369,CalcKeyB,"&lt;="&amp;Calc!$B366)+SUMIFS(CalcDepB,CalcPartyB,$E369,CalcKeyB,"&lt;="&amp;Calc!$B366))</f>
        <v/>
      </c>
      <c r="L369" s="4"/>
    </row>
    <row r="370" spans="1:12" x14ac:dyDescent="0.2">
      <c r="A370" s="3" t="str">
        <f>IF($B370="","",COUNTA($B$9:$B370))</f>
        <v/>
      </c>
      <c r="B370" s="4"/>
      <c r="C370" s="4"/>
      <c r="D370" s="4"/>
      <c r="E370" s="4"/>
      <c r="F370" s="3" t="str">
        <f t="shared" si="11"/>
        <v/>
      </c>
      <c r="G370" s="4"/>
      <c r="H370" s="5"/>
      <c r="I370" s="5"/>
      <c r="J370" s="6" t="str">
        <f t="shared" si="10"/>
        <v/>
      </c>
      <c r="K370" s="6" t="str">
        <f>IF(OR($B370="",$E370="",Calc!$B367=""),"",SUMIFS(CalcAmtA,CalcPartyA,$E370,CalcKeyA,"&lt;="&amp;Calc!$B367)-SUMIFS(CalcWitB,CalcPartyB,$E370,CalcKeyB,"&lt;="&amp;Calc!$B367)+SUMIFS(CalcDepB,CalcPartyB,$E370,CalcKeyB,"&lt;="&amp;Calc!$B367))</f>
        <v/>
      </c>
      <c r="L370" s="4"/>
    </row>
    <row r="371" spans="1:12" x14ac:dyDescent="0.2">
      <c r="A371" s="3" t="str">
        <f>IF($B371="","",COUNTA($B$9:$B371))</f>
        <v/>
      </c>
      <c r="B371" s="4"/>
      <c r="C371" s="4"/>
      <c r="D371" s="4"/>
      <c r="E371" s="4"/>
      <c r="F371" s="3" t="str">
        <f t="shared" si="11"/>
        <v/>
      </c>
      <c r="G371" s="4"/>
      <c r="H371" s="5"/>
      <c r="I371" s="5"/>
      <c r="J371" s="6" t="str">
        <f t="shared" si="10"/>
        <v/>
      </c>
      <c r="K371" s="6" t="str">
        <f>IF(OR($B371="",$E371="",Calc!$B368=""),"",SUMIFS(CalcAmtA,CalcPartyA,$E371,CalcKeyA,"&lt;="&amp;Calc!$B368)-SUMIFS(CalcWitB,CalcPartyB,$E371,CalcKeyB,"&lt;="&amp;Calc!$B368)+SUMIFS(CalcDepB,CalcPartyB,$E371,CalcKeyB,"&lt;="&amp;Calc!$B368))</f>
        <v/>
      </c>
      <c r="L371" s="4"/>
    </row>
    <row r="372" spans="1:12" x14ac:dyDescent="0.2">
      <c r="A372" s="3" t="str">
        <f>IF($B372="","",COUNTA($B$9:$B372))</f>
        <v/>
      </c>
      <c r="B372" s="4"/>
      <c r="C372" s="4"/>
      <c r="D372" s="4"/>
      <c r="E372" s="4"/>
      <c r="F372" s="3" t="str">
        <f t="shared" si="11"/>
        <v/>
      </c>
      <c r="G372" s="4"/>
      <c r="H372" s="5"/>
      <c r="I372" s="5"/>
      <c r="J372" s="6" t="str">
        <f t="shared" si="10"/>
        <v/>
      </c>
      <c r="K372" s="6" t="str">
        <f>IF(OR($B372="",$E372="",Calc!$B369=""),"",SUMIFS(CalcAmtA,CalcPartyA,$E372,CalcKeyA,"&lt;="&amp;Calc!$B369)-SUMIFS(CalcWitB,CalcPartyB,$E372,CalcKeyB,"&lt;="&amp;Calc!$B369)+SUMIFS(CalcDepB,CalcPartyB,$E372,CalcKeyB,"&lt;="&amp;Calc!$B369))</f>
        <v/>
      </c>
      <c r="L372" s="4"/>
    </row>
    <row r="373" spans="1:12" x14ac:dyDescent="0.2">
      <c r="A373" s="3" t="str">
        <f>IF($B373="","",COUNTA($B$9:$B373))</f>
        <v/>
      </c>
      <c r="B373" s="4"/>
      <c r="C373" s="4"/>
      <c r="D373" s="4"/>
      <c r="E373" s="4"/>
      <c r="F373" s="3" t="str">
        <f t="shared" si="11"/>
        <v/>
      </c>
      <c r="G373" s="4"/>
      <c r="H373" s="5"/>
      <c r="I373" s="5"/>
      <c r="J373" s="6" t="str">
        <f t="shared" si="10"/>
        <v/>
      </c>
      <c r="K373" s="6" t="str">
        <f>IF(OR($B373="",$E373="",Calc!$B370=""),"",SUMIFS(CalcAmtA,CalcPartyA,$E373,CalcKeyA,"&lt;="&amp;Calc!$B370)-SUMIFS(CalcWitB,CalcPartyB,$E373,CalcKeyB,"&lt;="&amp;Calc!$B370)+SUMIFS(CalcDepB,CalcPartyB,$E373,CalcKeyB,"&lt;="&amp;Calc!$B370))</f>
        <v/>
      </c>
      <c r="L373" s="4"/>
    </row>
    <row r="374" spans="1:12" x14ac:dyDescent="0.2">
      <c r="A374" s="3" t="str">
        <f>IF($B374="","",COUNTA($B$9:$B374))</f>
        <v/>
      </c>
      <c r="B374" s="4"/>
      <c r="C374" s="4"/>
      <c r="D374" s="4"/>
      <c r="E374" s="4"/>
      <c r="F374" s="3" t="str">
        <f t="shared" si="11"/>
        <v/>
      </c>
      <c r="G374" s="4"/>
      <c r="H374" s="5"/>
      <c r="I374" s="5"/>
      <c r="J374" s="6" t="str">
        <f t="shared" si="10"/>
        <v/>
      </c>
      <c r="K374" s="6" t="str">
        <f>IF(OR($B374="",$E374="",Calc!$B371=""),"",SUMIFS(CalcAmtA,CalcPartyA,$E374,CalcKeyA,"&lt;="&amp;Calc!$B371)-SUMIFS(CalcWitB,CalcPartyB,$E374,CalcKeyB,"&lt;="&amp;Calc!$B371)+SUMIFS(CalcDepB,CalcPartyB,$E374,CalcKeyB,"&lt;="&amp;Calc!$B371))</f>
        <v/>
      </c>
      <c r="L374" s="4"/>
    </row>
    <row r="375" spans="1:12" x14ac:dyDescent="0.2">
      <c r="A375" s="3" t="str">
        <f>IF($B375="","",COUNTA($B$9:$B375))</f>
        <v/>
      </c>
      <c r="B375" s="4"/>
      <c r="C375" s="4"/>
      <c r="D375" s="4"/>
      <c r="E375" s="4"/>
      <c r="F375" s="3" t="str">
        <f t="shared" si="11"/>
        <v/>
      </c>
      <c r="G375" s="4"/>
      <c r="H375" s="5"/>
      <c r="I375" s="5"/>
      <c r="J375" s="6" t="str">
        <f t="shared" si="10"/>
        <v/>
      </c>
      <c r="K375" s="6" t="str">
        <f>IF(OR($B375="",$E375="",Calc!$B372=""),"",SUMIFS(CalcAmtA,CalcPartyA,$E375,CalcKeyA,"&lt;="&amp;Calc!$B372)-SUMIFS(CalcWitB,CalcPartyB,$E375,CalcKeyB,"&lt;="&amp;Calc!$B372)+SUMIFS(CalcDepB,CalcPartyB,$E375,CalcKeyB,"&lt;="&amp;Calc!$B372))</f>
        <v/>
      </c>
      <c r="L375" s="4"/>
    </row>
    <row r="376" spans="1:12" x14ac:dyDescent="0.2">
      <c r="A376" s="3" t="str">
        <f>IF($B376="","",COUNTA($B$9:$B376))</f>
        <v/>
      </c>
      <c r="B376" s="4"/>
      <c r="C376" s="4"/>
      <c r="D376" s="4"/>
      <c r="E376" s="4"/>
      <c r="F376" s="3" t="str">
        <f t="shared" si="11"/>
        <v/>
      </c>
      <c r="G376" s="4"/>
      <c r="H376" s="5"/>
      <c r="I376" s="5"/>
      <c r="J376" s="6" t="str">
        <f t="shared" si="10"/>
        <v/>
      </c>
      <c r="K376" s="6" t="str">
        <f>IF(OR($B376="",$E376="",Calc!$B373=""),"",SUMIFS(CalcAmtA,CalcPartyA,$E376,CalcKeyA,"&lt;="&amp;Calc!$B373)-SUMIFS(CalcWitB,CalcPartyB,$E376,CalcKeyB,"&lt;="&amp;Calc!$B373)+SUMIFS(CalcDepB,CalcPartyB,$E376,CalcKeyB,"&lt;="&amp;Calc!$B373))</f>
        <v/>
      </c>
      <c r="L376" s="4"/>
    </row>
    <row r="377" spans="1:12" x14ac:dyDescent="0.2">
      <c r="A377" s="3" t="str">
        <f>IF($B377="","",COUNTA($B$9:$B377))</f>
        <v/>
      </c>
      <c r="B377" s="4"/>
      <c r="C377" s="4"/>
      <c r="D377" s="4"/>
      <c r="E377" s="4"/>
      <c r="F377" s="3" t="str">
        <f t="shared" si="11"/>
        <v/>
      </c>
      <c r="G377" s="4"/>
      <c r="H377" s="5"/>
      <c r="I377" s="5"/>
      <c r="J377" s="6" t="str">
        <f t="shared" si="10"/>
        <v/>
      </c>
      <c r="K377" s="6" t="str">
        <f>IF(OR($B377="",$E377="",Calc!$B374=""),"",SUMIFS(CalcAmtA,CalcPartyA,$E377,CalcKeyA,"&lt;="&amp;Calc!$B374)-SUMIFS(CalcWitB,CalcPartyB,$E377,CalcKeyB,"&lt;="&amp;Calc!$B374)+SUMIFS(CalcDepB,CalcPartyB,$E377,CalcKeyB,"&lt;="&amp;Calc!$B374))</f>
        <v/>
      </c>
      <c r="L377" s="4"/>
    </row>
    <row r="378" spans="1:12" x14ac:dyDescent="0.2">
      <c r="A378" s="3" t="str">
        <f>IF($B378="","",COUNTA($B$9:$B378))</f>
        <v/>
      </c>
      <c r="B378" s="4"/>
      <c r="C378" s="4"/>
      <c r="D378" s="4"/>
      <c r="E378" s="4"/>
      <c r="F378" s="3" t="str">
        <f t="shared" si="11"/>
        <v/>
      </c>
      <c r="G378" s="4"/>
      <c r="H378" s="5"/>
      <c r="I378" s="5"/>
      <c r="J378" s="6" t="str">
        <f t="shared" si="10"/>
        <v/>
      </c>
      <c r="K378" s="6" t="str">
        <f>IF(OR($B378="",$E378="",Calc!$B375=""),"",SUMIFS(CalcAmtA,CalcPartyA,$E378,CalcKeyA,"&lt;="&amp;Calc!$B375)-SUMIFS(CalcWitB,CalcPartyB,$E378,CalcKeyB,"&lt;="&amp;Calc!$B375)+SUMIFS(CalcDepB,CalcPartyB,$E378,CalcKeyB,"&lt;="&amp;Calc!$B375))</f>
        <v/>
      </c>
      <c r="L378" s="4"/>
    </row>
    <row r="379" spans="1:12" x14ac:dyDescent="0.2">
      <c r="A379" s="3" t="str">
        <f>IF($B379="","",COUNTA($B$9:$B379))</f>
        <v/>
      </c>
      <c r="B379" s="4"/>
      <c r="C379" s="4"/>
      <c r="D379" s="4"/>
      <c r="E379" s="4"/>
      <c r="F379" s="3" t="str">
        <f t="shared" si="11"/>
        <v/>
      </c>
      <c r="G379" s="4"/>
      <c r="H379" s="5"/>
      <c r="I379" s="5"/>
      <c r="J379" s="6" t="str">
        <f t="shared" si="10"/>
        <v/>
      </c>
      <c r="K379" s="6" t="str">
        <f>IF(OR($B379="",$E379="",Calc!$B376=""),"",SUMIFS(CalcAmtA,CalcPartyA,$E379,CalcKeyA,"&lt;="&amp;Calc!$B376)-SUMIFS(CalcWitB,CalcPartyB,$E379,CalcKeyB,"&lt;="&amp;Calc!$B376)+SUMIFS(CalcDepB,CalcPartyB,$E379,CalcKeyB,"&lt;="&amp;Calc!$B376))</f>
        <v/>
      </c>
      <c r="L379" s="4"/>
    </row>
    <row r="380" spans="1:12" x14ac:dyDescent="0.2">
      <c r="A380" s="3" t="str">
        <f>IF($B380="","",COUNTA($B$9:$B380))</f>
        <v/>
      </c>
      <c r="B380" s="4"/>
      <c r="C380" s="4"/>
      <c r="D380" s="4"/>
      <c r="E380" s="4"/>
      <c r="F380" s="3" t="str">
        <f t="shared" si="11"/>
        <v/>
      </c>
      <c r="G380" s="4"/>
      <c r="H380" s="5"/>
      <c r="I380" s="5"/>
      <c r="J380" s="6" t="str">
        <f t="shared" si="10"/>
        <v/>
      </c>
      <c r="K380" s="6" t="str">
        <f>IF(OR($B380="",$E380="",Calc!$B377=""),"",SUMIFS(CalcAmtA,CalcPartyA,$E380,CalcKeyA,"&lt;="&amp;Calc!$B377)-SUMIFS(CalcWitB,CalcPartyB,$E380,CalcKeyB,"&lt;="&amp;Calc!$B377)+SUMIFS(CalcDepB,CalcPartyB,$E380,CalcKeyB,"&lt;="&amp;Calc!$B377))</f>
        <v/>
      </c>
      <c r="L380" s="4"/>
    </row>
    <row r="381" spans="1:12" x14ac:dyDescent="0.2">
      <c r="A381" s="3" t="str">
        <f>IF($B381="","",COUNTA($B$9:$B381))</f>
        <v/>
      </c>
      <c r="B381" s="4"/>
      <c r="C381" s="4"/>
      <c r="D381" s="4"/>
      <c r="E381" s="4"/>
      <c r="F381" s="3" t="str">
        <f t="shared" si="11"/>
        <v/>
      </c>
      <c r="G381" s="4"/>
      <c r="H381" s="5"/>
      <c r="I381" s="5"/>
      <c r="J381" s="6" t="str">
        <f t="shared" si="10"/>
        <v/>
      </c>
      <c r="K381" s="6" t="str">
        <f>IF(OR($B381="",$E381="",Calc!$B378=""),"",SUMIFS(CalcAmtA,CalcPartyA,$E381,CalcKeyA,"&lt;="&amp;Calc!$B378)-SUMIFS(CalcWitB,CalcPartyB,$E381,CalcKeyB,"&lt;="&amp;Calc!$B378)+SUMIFS(CalcDepB,CalcPartyB,$E381,CalcKeyB,"&lt;="&amp;Calc!$B378))</f>
        <v/>
      </c>
      <c r="L381" s="4"/>
    </row>
    <row r="382" spans="1:12" x14ac:dyDescent="0.2">
      <c r="A382" s="3" t="str">
        <f>IF($B382="","",COUNTA($B$9:$B382))</f>
        <v/>
      </c>
      <c r="B382" s="4"/>
      <c r="C382" s="4"/>
      <c r="D382" s="4"/>
      <c r="E382" s="4"/>
      <c r="F382" s="3" t="str">
        <f t="shared" si="11"/>
        <v/>
      </c>
      <c r="G382" s="4"/>
      <c r="H382" s="5"/>
      <c r="I382" s="5"/>
      <c r="J382" s="6" t="str">
        <f t="shared" si="10"/>
        <v/>
      </c>
      <c r="K382" s="6" t="str">
        <f>IF(OR($B382="",$E382="",Calc!$B379=""),"",SUMIFS(CalcAmtA,CalcPartyA,$E382,CalcKeyA,"&lt;="&amp;Calc!$B379)-SUMIFS(CalcWitB,CalcPartyB,$E382,CalcKeyB,"&lt;="&amp;Calc!$B379)+SUMIFS(CalcDepB,CalcPartyB,$E382,CalcKeyB,"&lt;="&amp;Calc!$B379))</f>
        <v/>
      </c>
      <c r="L382" s="4"/>
    </row>
    <row r="383" spans="1:12" x14ac:dyDescent="0.2">
      <c r="A383" s="3" t="str">
        <f>IF($B383="","",COUNTA($B$9:$B383))</f>
        <v/>
      </c>
      <c r="B383" s="4"/>
      <c r="C383" s="4"/>
      <c r="D383" s="4"/>
      <c r="E383" s="4"/>
      <c r="F383" s="3" t="str">
        <f t="shared" si="11"/>
        <v/>
      </c>
      <c r="G383" s="4"/>
      <c r="H383" s="5"/>
      <c r="I383" s="5"/>
      <c r="J383" s="6" t="str">
        <f t="shared" si="10"/>
        <v/>
      </c>
      <c r="K383" s="6" t="str">
        <f>IF(OR($B383="",$E383="",Calc!$B380=""),"",SUMIFS(CalcAmtA,CalcPartyA,$E383,CalcKeyA,"&lt;="&amp;Calc!$B380)-SUMIFS(CalcWitB,CalcPartyB,$E383,CalcKeyB,"&lt;="&amp;Calc!$B380)+SUMIFS(CalcDepB,CalcPartyB,$E383,CalcKeyB,"&lt;="&amp;Calc!$B380))</f>
        <v/>
      </c>
      <c r="L383" s="4"/>
    </row>
    <row r="384" spans="1:12" x14ac:dyDescent="0.2">
      <c r="A384" s="3" t="str">
        <f>IF($B384="","",COUNTA($B$9:$B384))</f>
        <v/>
      </c>
      <c r="B384" s="4"/>
      <c r="C384" s="4"/>
      <c r="D384" s="4"/>
      <c r="E384" s="4"/>
      <c r="F384" s="3" t="str">
        <f t="shared" si="11"/>
        <v/>
      </c>
      <c r="G384" s="4"/>
      <c r="H384" s="5"/>
      <c r="I384" s="5"/>
      <c r="J384" s="6" t="str">
        <f t="shared" si="10"/>
        <v/>
      </c>
      <c r="K384" s="6" t="str">
        <f>IF(OR($B384="",$E384="",Calc!$B381=""),"",SUMIFS(CalcAmtA,CalcPartyA,$E384,CalcKeyA,"&lt;="&amp;Calc!$B381)-SUMIFS(CalcWitB,CalcPartyB,$E384,CalcKeyB,"&lt;="&amp;Calc!$B381)+SUMIFS(CalcDepB,CalcPartyB,$E384,CalcKeyB,"&lt;="&amp;Calc!$B381))</f>
        <v/>
      </c>
      <c r="L384" s="4"/>
    </row>
    <row r="385" spans="1:12" x14ac:dyDescent="0.2">
      <c r="A385" s="3" t="str">
        <f>IF($B385="","",COUNTA($B$9:$B385))</f>
        <v/>
      </c>
      <c r="B385" s="4"/>
      <c r="C385" s="4"/>
      <c r="D385" s="4"/>
      <c r="E385" s="4"/>
      <c r="F385" s="3" t="str">
        <f t="shared" si="11"/>
        <v/>
      </c>
      <c r="G385" s="4"/>
      <c r="H385" s="5"/>
      <c r="I385" s="5"/>
      <c r="J385" s="6" t="str">
        <f t="shared" si="10"/>
        <v/>
      </c>
      <c r="K385" s="6" t="str">
        <f>IF(OR($B385="",$E385="",Calc!$B382=""),"",SUMIFS(CalcAmtA,CalcPartyA,$E385,CalcKeyA,"&lt;="&amp;Calc!$B382)-SUMIFS(CalcWitB,CalcPartyB,$E385,CalcKeyB,"&lt;="&amp;Calc!$B382)+SUMIFS(CalcDepB,CalcPartyB,$E385,CalcKeyB,"&lt;="&amp;Calc!$B382))</f>
        <v/>
      </c>
      <c r="L385" s="4"/>
    </row>
    <row r="386" spans="1:12" x14ac:dyDescent="0.2">
      <c r="A386" s="3" t="str">
        <f>IF($B386="","",COUNTA($B$9:$B386))</f>
        <v/>
      </c>
      <c r="B386" s="4"/>
      <c r="C386" s="4"/>
      <c r="D386" s="4"/>
      <c r="E386" s="4"/>
      <c r="F386" s="3" t="str">
        <f t="shared" si="11"/>
        <v/>
      </c>
      <c r="G386" s="4"/>
      <c r="H386" s="5"/>
      <c r="I386" s="5"/>
      <c r="J386" s="6" t="str">
        <f t="shared" si="10"/>
        <v/>
      </c>
      <c r="K386" s="6" t="str">
        <f>IF(OR($B386="",$E386="",Calc!$B383=""),"",SUMIFS(CalcAmtA,CalcPartyA,$E386,CalcKeyA,"&lt;="&amp;Calc!$B383)-SUMIFS(CalcWitB,CalcPartyB,$E386,CalcKeyB,"&lt;="&amp;Calc!$B383)+SUMIFS(CalcDepB,CalcPartyB,$E386,CalcKeyB,"&lt;="&amp;Calc!$B383))</f>
        <v/>
      </c>
      <c r="L386" s="4"/>
    </row>
    <row r="387" spans="1:12" x14ac:dyDescent="0.2">
      <c r="A387" s="3" t="str">
        <f>IF($B387="","",COUNTA($B$9:$B387))</f>
        <v/>
      </c>
      <c r="B387" s="4"/>
      <c r="C387" s="4"/>
      <c r="D387" s="4"/>
      <c r="E387" s="4"/>
      <c r="F387" s="3" t="str">
        <f t="shared" si="11"/>
        <v/>
      </c>
      <c r="G387" s="4"/>
      <c r="H387" s="5"/>
      <c r="I387" s="5"/>
      <c r="J387" s="6" t="str">
        <f t="shared" si="10"/>
        <v/>
      </c>
      <c r="K387" s="6" t="str">
        <f>IF(OR($B387="",$E387="",Calc!$B384=""),"",SUMIFS(CalcAmtA,CalcPartyA,$E387,CalcKeyA,"&lt;="&amp;Calc!$B384)-SUMIFS(CalcWitB,CalcPartyB,$E387,CalcKeyB,"&lt;="&amp;Calc!$B384)+SUMIFS(CalcDepB,CalcPartyB,$E387,CalcKeyB,"&lt;="&amp;Calc!$B384))</f>
        <v/>
      </c>
      <c r="L387" s="4"/>
    </row>
    <row r="388" spans="1:12" x14ac:dyDescent="0.2">
      <c r="A388" s="3" t="str">
        <f>IF($B388="","",COUNTA($B$9:$B388))</f>
        <v/>
      </c>
      <c r="B388" s="4"/>
      <c r="C388" s="4"/>
      <c r="D388" s="4"/>
      <c r="E388" s="4"/>
      <c r="F388" s="3" t="str">
        <f t="shared" si="11"/>
        <v/>
      </c>
      <c r="G388" s="4"/>
      <c r="H388" s="5"/>
      <c r="I388" s="5"/>
      <c r="J388" s="6" t="str">
        <f t="shared" si="10"/>
        <v/>
      </c>
      <c r="K388" s="6" t="str">
        <f>IF(OR($B388="",$E388="",Calc!$B385=""),"",SUMIFS(CalcAmtA,CalcPartyA,$E388,CalcKeyA,"&lt;="&amp;Calc!$B385)-SUMIFS(CalcWitB,CalcPartyB,$E388,CalcKeyB,"&lt;="&amp;Calc!$B385)+SUMIFS(CalcDepB,CalcPartyB,$E388,CalcKeyB,"&lt;="&amp;Calc!$B385))</f>
        <v/>
      </c>
      <c r="L388" s="4"/>
    </row>
    <row r="389" spans="1:12" x14ac:dyDescent="0.2">
      <c r="A389" s="3" t="str">
        <f>IF($B389="","",COUNTA($B$9:$B389))</f>
        <v/>
      </c>
      <c r="B389" s="4"/>
      <c r="C389" s="4"/>
      <c r="D389" s="4"/>
      <c r="E389" s="4"/>
      <c r="F389" s="3" t="str">
        <f t="shared" si="11"/>
        <v/>
      </c>
      <c r="G389" s="4"/>
      <c r="H389" s="5"/>
      <c r="I389" s="5"/>
      <c r="J389" s="6" t="str">
        <f t="shared" si="10"/>
        <v/>
      </c>
      <c r="K389" s="6" t="str">
        <f>IF(OR($B389="",$E389="",Calc!$B386=""),"",SUMIFS(CalcAmtA,CalcPartyA,$E389,CalcKeyA,"&lt;="&amp;Calc!$B386)-SUMIFS(CalcWitB,CalcPartyB,$E389,CalcKeyB,"&lt;="&amp;Calc!$B386)+SUMIFS(CalcDepB,CalcPartyB,$E389,CalcKeyB,"&lt;="&amp;Calc!$B386))</f>
        <v/>
      </c>
      <c r="L389" s="4"/>
    </row>
    <row r="390" spans="1:12" x14ac:dyDescent="0.2">
      <c r="A390" s="3" t="str">
        <f>IF($B390="","",COUNTA($B$9:$B390))</f>
        <v/>
      </c>
      <c r="B390" s="4"/>
      <c r="C390" s="4"/>
      <c r="D390" s="4"/>
      <c r="E390" s="4"/>
      <c r="F390" s="3" t="str">
        <f t="shared" si="11"/>
        <v/>
      </c>
      <c r="G390" s="4"/>
      <c r="H390" s="5"/>
      <c r="I390" s="5"/>
      <c r="J390" s="6" t="str">
        <f t="shared" ref="J390:J453" si="12">IF(OR($H390="",$I390=""),"",ROUND($H390*$I390,0))</f>
        <v/>
      </c>
      <c r="K390" s="6" t="str">
        <f>IF(OR($B390="",$E390="",Calc!$B387=""),"",SUMIFS(CalcAmtA,CalcPartyA,$E390,CalcKeyA,"&lt;="&amp;Calc!$B387)-SUMIFS(CalcWitB,CalcPartyB,$E390,CalcKeyB,"&lt;="&amp;Calc!$B387)+SUMIFS(CalcDepB,CalcPartyB,$E390,CalcKeyB,"&lt;="&amp;Calc!$B387))</f>
        <v/>
      </c>
      <c r="L390" s="4"/>
    </row>
    <row r="391" spans="1:12" x14ac:dyDescent="0.2">
      <c r="A391" s="3" t="str">
        <f>IF($B391="","",COUNTA($B$9:$B391))</f>
        <v/>
      </c>
      <c r="B391" s="4"/>
      <c r="C391" s="4"/>
      <c r="D391" s="4"/>
      <c r="E391" s="4"/>
      <c r="F391" s="3" t="str">
        <f t="shared" si="11"/>
        <v/>
      </c>
      <c r="G391" s="4"/>
      <c r="H391" s="5"/>
      <c r="I391" s="5"/>
      <c r="J391" s="6" t="str">
        <f t="shared" si="12"/>
        <v/>
      </c>
      <c r="K391" s="6" t="str">
        <f>IF(OR($B391="",$E391="",Calc!$B388=""),"",SUMIFS(CalcAmtA,CalcPartyA,$E391,CalcKeyA,"&lt;="&amp;Calc!$B388)-SUMIFS(CalcWitB,CalcPartyB,$E391,CalcKeyB,"&lt;="&amp;Calc!$B388)+SUMIFS(CalcDepB,CalcPartyB,$E391,CalcKeyB,"&lt;="&amp;Calc!$B388))</f>
        <v/>
      </c>
      <c r="L391" s="4"/>
    </row>
    <row r="392" spans="1:12" x14ac:dyDescent="0.2">
      <c r="A392" s="3" t="str">
        <f>IF($B392="","",COUNTA($B$9:$B392))</f>
        <v/>
      </c>
      <c r="B392" s="4"/>
      <c r="C392" s="4"/>
      <c r="D392" s="4"/>
      <c r="E392" s="4"/>
      <c r="F392" s="3" t="str">
        <f t="shared" si="11"/>
        <v/>
      </c>
      <c r="G392" s="4"/>
      <c r="H392" s="5"/>
      <c r="I392" s="5"/>
      <c r="J392" s="6" t="str">
        <f t="shared" si="12"/>
        <v/>
      </c>
      <c r="K392" s="6" t="str">
        <f>IF(OR($B392="",$E392="",Calc!$B389=""),"",SUMIFS(CalcAmtA,CalcPartyA,$E392,CalcKeyA,"&lt;="&amp;Calc!$B389)-SUMIFS(CalcWitB,CalcPartyB,$E392,CalcKeyB,"&lt;="&amp;Calc!$B389)+SUMIFS(CalcDepB,CalcPartyB,$E392,CalcKeyB,"&lt;="&amp;Calc!$B389))</f>
        <v/>
      </c>
      <c r="L392" s="4"/>
    </row>
    <row r="393" spans="1:12" x14ac:dyDescent="0.2">
      <c r="A393" s="3" t="str">
        <f>IF($B393="","",COUNTA($B$9:$B393))</f>
        <v/>
      </c>
      <c r="B393" s="4"/>
      <c r="C393" s="4"/>
      <c r="D393" s="4"/>
      <c r="E393" s="4"/>
      <c r="F393" s="3" t="str">
        <f t="shared" ref="F393:F456" si="13">IF($E393="","",IFERROR(IF(VLOOKUP($E393,AcctTbl,4,0)="","",VLOOKUP($E393,AcctTbl,4,0)),"—"))</f>
        <v/>
      </c>
      <c r="G393" s="4"/>
      <c r="H393" s="5"/>
      <c r="I393" s="5"/>
      <c r="J393" s="6" t="str">
        <f t="shared" si="12"/>
        <v/>
      </c>
      <c r="K393" s="6" t="str">
        <f>IF(OR($B393="",$E393="",Calc!$B390=""),"",SUMIFS(CalcAmtA,CalcPartyA,$E393,CalcKeyA,"&lt;="&amp;Calc!$B390)-SUMIFS(CalcWitB,CalcPartyB,$E393,CalcKeyB,"&lt;="&amp;Calc!$B390)+SUMIFS(CalcDepB,CalcPartyB,$E393,CalcKeyB,"&lt;="&amp;Calc!$B390))</f>
        <v/>
      </c>
      <c r="L393" s="4"/>
    </row>
    <row r="394" spans="1:12" x14ac:dyDescent="0.2">
      <c r="A394" s="3" t="str">
        <f>IF($B394="","",COUNTA($B$9:$B394))</f>
        <v/>
      </c>
      <c r="B394" s="4"/>
      <c r="C394" s="4"/>
      <c r="D394" s="4"/>
      <c r="E394" s="4"/>
      <c r="F394" s="3" t="str">
        <f t="shared" si="13"/>
        <v/>
      </c>
      <c r="G394" s="4"/>
      <c r="H394" s="5"/>
      <c r="I394" s="5"/>
      <c r="J394" s="6" t="str">
        <f t="shared" si="12"/>
        <v/>
      </c>
      <c r="K394" s="6" t="str">
        <f>IF(OR($B394="",$E394="",Calc!$B391=""),"",SUMIFS(CalcAmtA,CalcPartyA,$E394,CalcKeyA,"&lt;="&amp;Calc!$B391)-SUMIFS(CalcWitB,CalcPartyB,$E394,CalcKeyB,"&lt;="&amp;Calc!$B391)+SUMIFS(CalcDepB,CalcPartyB,$E394,CalcKeyB,"&lt;="&amp;Calc!$B391))</f>
        <v/>
      </c>
      <c r="L394" s="4"/>
    </row>
    <row r="395" spans="1:12" x14ac:dyDescent="0.2">
      <c r="A395" s="3" t="str">
        <f>IF($B395="","",COUNTA($B$9:$B395))</f>
        <v/>
      </c>
      <c r="B395" s="4"/>
      <c r="C395" s="4"/>
      <c r="D395" s="4"/>
      <c r="E395" s="4"/>
      <c r="F395" s="3" t="str">
        <f t="shared" si="13"/>
        <v/>
      </c>
      <c r="G395" s="4"/>
      <c r="H395" s="5"/>
      <c r="I395" s="5"/>
      <c r="J395" s="6" t="str">
        <f t="shared" si="12"/>
        <v/>
      </c>
      <c r="K395" s="6" t="str">
        <f>IF(OR($B395="",$E395="",Calc!$B392=""),"",SUMIFS(CalcAmtA,CalcPartyA,$E395,CalcKeyA,"&lt;="&amp;Calc!$B392)-SUMIFS(CalcWitB,CalcPartyB,$E395,CalcKeyB,"&lt;="&amp;Calc!$B392)+SUMIFS(CalcDepB,CalcPartyB,$E395,CalcKeyB,"&lt;="&amp;Calc!$B392))</f>
        <v/>
      </c>
      <c r="L395" s="4"/>
    </row>
    <row r="396" spans="1:12" x14ac:dyDescent="0.2">
      <c r="A396" s="3" t="str">
        <f>IF($B396="","",COUNTA($B$9:$B396))</f>
        <v/>
      </c>
      <c r="B396" s="4"/>
      <c r="C396" s="4"/>
      <c r="D396" s="4"/>
      <c r="E396" s="4"/>
      <c r="F396" s="3" t="str">
        <f t="shared" si="13"/>
        <v/>
      </c>
      <c r="G396" s="4"/>
      <c r="H396" s="5"/>
      <c r="I396" s="5"/>
      <c r="J396" s="6" t="str">
        <f t="shared" si="12"/>
        <v/>
      </c>
      <c r="K396" s="6" t="str">
        <f>IF(OR($B396="",$E396="",Calc!$B393=""),"",SUMIFS(CalcAmtA,CalcPartyA,$E396,CalcKeyA,"&lt;="&amp;Calc!$B393)-SUMIFS(CalcWitB,CalcPartyB,$E396,CalcKeyB,"&lt;="&amp;Calc!$B393)+SUMIFS(CalcDepB,CalcPartyB,$E396,CalcKeyB,"&lt;="&amp;Calc!$B393))</f>
        <v/>
      </c>
      <c r="L396" s="4"/>
    </row>
    <row r="397" spans="1:12" x14ac:dyDescent="0.2">
      <c r="A397" s="3" t="str">
        <f>IF($B397="","",COUNTA($B$9:$B397))</f>
        <v/>
      </c>
      <c r="B397" s="4"/>
      <c r="C397" s="4"/>
      <c r="D397" s="4"/>
      <c r="E397" s="4"/>
      <c r="F397" s="3" t="str">
        <f t="shared" si="13"/>
        <v/>
      </c>
      <c r="G397" s="4"/>
      <c r="H397" s="5"/>
      <c r="I397" s="5"/>
      <c r="J397" s="6" t="str">
        <f t="shared" si="12"/>
        <v/>
      </c>
      <c r="K397" s="6" t="str">
        <f>IF(OR($B397="",$E397="",Calc!$B394=""),"",SUMIFS(CalcAmtA,CalcPartyA,$E397,CalcKeyA,"&lt;="&amp;Calc!$B394)-SUMIFS(CalcWitB,CalcPartyB,$E397,CalcKeyB,"&lt;="&amp;Calc!$B394)+SUMIFS(CalcDepB,CalcPartyB,$E397,CalcKeyB,"&lt;="&amp;Calc!$B394))</f>
        <v/>
      </c>
      <c r="L397" s="4"/>
    </row>
    <row r="398" spans="1:12" x14ac:dyDescent="0.2">
      <c r="A398" s="3" t="str">
        <f>IF($B398="","",COUNTA($B$9:$B398))</f>
        <v/>
      </c>
      <c r="B398" s="4"/>
      <c r="C398" s="4"/>
      <c r="D398" s="4"/>
      <c r="E398" s="4"/>
      <c r="F398" s="3" t="str">
        <f t="shared" si="13"/>
        <v/>
      </c>
      <c r="G398" s="4"/>
      <c r="H398" s="5"/>
      <c r="I398" s="5"/>
      <c r="J398" s="6" t="str">
        <f t="shared" si="12"/>
        <v/>
      </c>
      <c r="K398" s="6" t="str">
        <f>IF(OR($B398="",$E398="",Calc!$B395=""),"",SUMIFS(CalcAmtA,CalcPartyA,$E398,CalcKeyA,"&lt;="&amp;Calc!$B395)-SUMIFS(CalcWitB,CalcPartyB,$E398,CalcKeyB,"&lt;="&amp;Calc!$B395)+SUMIFS(CalcDepB,CalcPartyB,$E398,CalcKeyB,"&lt;="&amp;Calc!$B395))</f>
        <v/>
      </c>
      <c r="L398" s="4"/>
    </row>
    <row r="399" spans="1:12" x14ac:dyDescent="0.2">
      <c r="A399" s="3" t="str">
        <f>IF($B399="","",COUNTA($B$9:$B399))</f>
        <v/>
      </c>
      <c r="B399" s="4"/>
      <c r="C399" s="4"/>
      <c r="D399" s="4"/>
      <c r="E399" s="4"/>
      <c r="F399" s="3" t="str">
        <f t="shared" si="13"/>
        <v/>
      </c>
      <c r="G399" s="4"/>
      <c r="H399" s="5"/>
      <c r="I399" s="5"/>
      <c r="J399" s="6" t="str">
        <f t="shared" si="12"/>
        <v/>
      </c>
      <c r="K399" s="6" t="str">
        <f>IF(OR($B399="",$E399="",Calc!$B396=""),"",SUMIFS(CalcAmtA,CalcPartyA,$E399,CalcKeyA,"&lt;="&amp;Calc!$B396)-SUMIFS(CalcWitB,CalcPartyB,$E399,CalcKeyB,"&lt;="&amp;Calc!$B396)+SUMIFS(CalcDepB,CalcPartyB,$E399,CalcKeyB,"&lt;="&amp;Calc!$B396))</f>
        <v/>
      </c>
      <c r="L399" s="4"/>
    </row>
    <row r="400" spans="1:12" x14ac:dyDescent="0.2">
      <c r="A400" s="3" t="str">
        <f>IF($B400="","",COUNTA($B$9:$B400))</f>
        <v/>
      </c>
      <c r="B400" s="4"/>
      <c r="C400" s="4"/>
      <c r="D400" s="4"/>
      <c r="E400" s="4"/>
      <c r="F400" s="3" t="str">
        <f t="shared" si="13"/>
        <v/>
      </c>
      <c r="G400" s="4"/>
      <c r="H400" s="5"/>
      <c r="I400" s="5"/>
      <c r="J400" s="6" t="str">
        <f t="shared" si="12"/>
        <v/>
      </c>
      <c r="K400" s="6" t="str">
        <f>IF(OR($B400="",$E400="",Calc!$B397=""),"",SUMIFS(CalcAmtA,CalcPartyA,$E400,CalcKeyA,"&lt;="&amp;Calc!$B397)-SUMIFS(CalcWitB,CalcPartyB,$E400,CalcKeyB,"&lt;="&amp;Calc!$B397)+SUMIFS(CalcDepB,CalcPartyB,$E400,CalcKeyB,"&lt;="&amp;Calc!$B397))</f>
        <v/>
      </c>
      <c r="L400" s="4"/>
    </row>
    <row r="401" spans="1:12" x14ac:dyDescent="0.2">
      <c r="A401" s="3" t="str">
        <f>IF($B401="","",COUNTA($B$9:$B401))</f>
        <v/>
      </c>
      <c r="B401" s="4"/>
      <c r="C401" s="4"/>
      <c r="D401" s="4"/>
      <c r="E401" s="4"/>
      <c r="F401" s="3" t="str">
        <f t="shared" si="13"/>
        <v/>
      </c>
      <c r="G401" s="4"/>
      <c r="H401" s="5"/>
      <c r="I401" s="5"/>
      <c r="J401" s="6" t="str">
        <f t="shared" si="12"/>
        <v/>
      </c>
      <c r="K401" s="6" t="str">
        <f>IF(OR($B401="",$E401="",Calc!$B398=""),"",SUMIFS(CalcAmtA,CalcPartyA,$E401,CalcKeyA,"&lt;="&amp;Calc!$B398)-SUMIFS(CalcWitB,CalcPartyB,$E401,CalcKeyB,"&lt;="&amp;Calc!$B398)+SUMIFS(CalcDepB,CalcPartyB,$E401,CalcKeyB,"&lt;="&amp;Calc!$B398))</f>
        <v/>
      </c>
      <c r="L401" s="4"/>
    </row>
    <row r="402" spans="1:12" x14ac:dyDescent="0.2">
      <c r="A402" s="3" t="str">
        <f>IF($B402="","",COUNTA($B$9:$B402))</f>
        <v/>
      </c>
      <c r="B402" s="4"/>
      <c r="C402" s="4"/>
      <c r="D402" s="4"/>
      <c r="E402" s="4"/>
      <c r="F402" s="3" t="str">
        <f t="shared" si="13"/>
        <v/>
      </c>
      <c r="G402" s="4"/>
      <c r="H402" s="5"/>
      <c r="I402" s="5"/>
      <c r="J402" s="6" t="str">
        <f t="shared" si="12"/>
        <v/>
      </c>
      <c r="K402" s="6" t="str">
        <f>IF(OR($B402="",$E402="",Calc!$B399=""),"",SUMIFS(CalcAmtA,CalcPartyA,$E402,CalcKeyA,"&lt;="&amp;Calc!$B399)-SUMIFS(CalcWitB,CalcPartyB,$E402,CalcKeyB,"&lt;="&amp;Calc!$B399)+SUMIFS(CalcDepB,CalcPartyB,$E402,CalcKeyB,"&lt;="&amp;Calc!$B399))</f>
        <v/>
      </c>
      <c r="L402" s="4"/>
    </row>
    <row r="403" spans="1:12" x14ac:dyDescent="0.2">
      <c r="A403" s="3" t="str">
        <f>IF($B403="","",COUNTA($B$9:$B403))</f>
        <v/>
      </c>
      <c r="B403" s="4"/>
      <c r="C403" s="4"/>
      <c r="D403" s="4"/>
      <c r="E403" s="4"/>
      <c r="F403" s="3" t="str">
        <f t="shared" si="13"/>
        <v/>
      </c>
      <c r="G403" s="4"/>
      <c r="H403" s="5"/>
      <c r="I403" s="5"/>
      <c r="J403" s="6" t="str">
        <f t="shared" si="12"/>
        <v/>
      </c>
      <c r="K403" s="6" t="str">
        <f>IF(OR($B403="",$E403="",Calc!$B400=""),"",SUMIFS(CalcAmtA,CalcPartyA,$E403,CalcKeyA,"&lt;="&amp;Calc!$B400)-SUMIFS(CalcWitB,CalcPartyB,$E403,CalcKeyB,"&lt;="&amp;Calc!$B400)+SUMIFS(CalcDepB,CalcPartyB,$E403,CalcKeyB,"&lt;="&amp;Calc!$B400))</f>
        <v/>
      </c>
      <c r="L403" s="4"/>
    </row>
    <row r="404" spans="1:12" x14ac:dyDescent="0.2">
      <c r="A404" s="3" t="str">
        <f>IF($B404="","",COUNTA($B$9:$B404))</f>
        <v/>
      </c>
      <c r="B404" s="4"/>
      <c r="C404" s="4"/>
      <c r="D404" s="4"/>
      <c r="E404" s="4"/>
      <c r="F404" s="3" t="str">
        <f t="shared" si="13"/>
        <v/>
      </c>
      <c r="G404" s="4"/>
      <c r="H404" s="5"/>
      <c r="I404" s="5"/>
      <c r="J404" s="6" t="str">
        <f t="shared" si="12"/>
        <v/>
      </c>
      <c r="K404" s="6" t="str">
        <f>IF(OR($B404="",$E404="",Calc!$B401=""),"",SUMIFS(CalcAmtA,CalcPartyA,$E404,CalcKeyA,"&lt;="&amp;Calc!$B401)-SUMIFS(CalcWitB,CalcPartyB,$E404,CalcKeyB,"&lt;="&amp;Calc!$B401)+SUMIFS(CalcDepB,CalcPartyB,$E404,CalcKeyB,"&lt;="&amp;Calc!$B401))</f>
        <v/>
      </c>
      <c r="L404" s="4"/>
    </row>
    <row r="405" spans="1:12" x14ac:dyDescent="0.2">
      <c r="A405" s="3" t="str">
        <f>IF($B405="","",COUNTA($B$9:$B405))</f>
        <v/>
      </c>
      <c r="B405" s="4"/>
      <c r="C405" s="4"/>
      <c r="D405" s="4"/>
      <c r="E405" s="4"/>
      <c r="F405" s="3" t="str">
        <f t="shared" si="13"/>
        <v/>
      </c>
      <c r="G405" s="4"/>
      <c r="H405" s="5"/>
      <c r="I405" s="5"/>
      <c r="J405" s="6" t="str">
        <f t="shared" si="12"/>
        <v/>
      </c>
      <c r="K405" s="6" t="str">
        <f>IF(OR($B405="",$E405="",Calc!$B402=""),"",SUMIFS(CalcAmtA,CalcPartyA,$E405,CalcKeyA,"&lt;="&amp;Calc!$B402)-SUMIFS(CalcWitB,CalcPartyB,$E405,CalcKeyB,"&lt;="&amp;Calc!$B402)+SUMIFS(CalcDepB,CalcPartyB,$E405,CalcKeyB,"&lt;="&amp;Calc!$B402))</f>
        <v/>
      </c>
      <c r="L405" s="4"/>
    </row>
    <row r="406" spans="1:12" x14ac:dyDescent="0.2">
      <c r="A406" s="3" t="str">
        <f>IF($B406="","",COUNTA($B$9:$B406))</f>
        <v/>
      </c>
      <c r="B406" s="4"/>
      <c r="C406" s="4"/>
      <c r="D406" s="4"/>
      <c r="E406" s="4"/>
      <c r="F406" s="3" t="str">
        <f t="shared" si="13"/>
        <v/>
      </c>
      <c r="G406" s="4"/>
      <c r="H406" s="5"/>
      <c r="I406" s="5"/>
      <c r="J406" s="6" t="str">
        <f t="shared" si="12"/>
        <v/>
      </c>
      <c r="K406" s="6" t="str">
        <f>IF(OR($B406="",$E406="",Calc!$B403=""),"",SUMIFS(CalcAmtA,CalcPartyA,$E406,CalcKeyA,"&lt;="&amp;Calc!$B403)-SUMIFS(CalcWitB,CalcPartyB,$E406,CalcKeyB,"&lt;="&amp;Calc!$B403)+SUMIFS(CalcDepB,CalcPartyB,$E406,CalcKeyB,"&lt;="&amp;Calc!$B403))</f>
        <v/>
      </c>
      <c r="L406" s="4"/>
    </row>
    <row r="407" spans="1:12" x14ac:dyDescent="0.2">
      <c r="A407" s="3" t="str">
        <f>IF($B407="","",COUNTA($B$9:$B407))</f>
        <v/>
      </c>
      <c r="B407" s="4"/>
      <c r="C407" s="4"/>
      <c r="D407" s="4"/>
      <c r="E407" s="4"/>
      <c r="F407" s="3" t="str">
        <f t="shared" si="13"/>
        <v/>
      </c>
      <c r="G407" s="4"/>
      <c r="H407" s="5"/>
      <c r="I407" s="5"/>
      <c r="J407" s="6" t="str">
        <f t="shared" si="12"/>
        <v/>
      </c>
      <c r="K407" s="6" t="str">
        <f>IF(OR($B407="",$E407="",Calc!$B404=""),"",SUMIFS(CalcAmtA,CalcPartyA,$E407,CalcKeyA,"&lt;="&amp;Calc!$B404)-SUMIFS(CalcWitB,CalcPartyB,$E407,CalcKeyB,"&lt;="&amp;Calc!$B404)+SUMIFS(CalcDepB,CalcPartyB,$E407,CalcKeyB,"&lt;="&amp;Calc!$B404))</f>
        <v/>
      </c>
      <c r="L407" s="4"/>
    </row>
    <row r="408" spans="1:12" x14ac:dyDescent="0.2">
      <c r="A408" s="3" t="str">
        <f>IF($B408="","",COUNTA($B$9:$B408))</f>
        <v/>
      </c>
      <c r="B408" s="4"/>
      <c r="C408" s="4"/>
      <c r="D408" s="4"/>
      <c r="E408" s="4"/>
      <c r="F408" s="3" t="str">
        <f t="shared" si="13"/>
        <v/>
      </c>
      <c r="G408" s="4"/>
      <c r="H408" s="5"/>
      <c r="I408" s="5"/>
      <c r="J408" s="6" t="str">
        <f t="shared" si="12"/>
        <v/>
      </c>
      <c r="K408" s="6" t="str">
        <f>IF(OR($B408="",$E408="",Calc!$B405=""),"",SUMIFS(CalcAmtA,CalcPartyA,$E408,CalcKeyA,"&lt;="&amp;Calc!$B405)-SUMIFS(CalcWitB,CalcPartyB,$E408,CalcKeyB,"&lt;="&amp;Calc!$B405)+SUMIFS(CalcDepB,CalcPartyB,$E408,CalcKeyB,"&lt;="&amp;Calc!$B405))</f>
        <v/>
      </c>
      <c r="L408" s="4"/>
    </row>
    <row r="409" spans="1:12" x14ac:dyDescent="0.2">
      <c r="A409" s="3" t="str">
        <f>IF($B409="","",COUNTA($B$9:$B409))</f>
        <v/>
      </c>
      <c r="B409" s="4"/>
      <c r="C409" s="4"/>
      <c r="D409" s="4"/>
      <c r="E409" s="4"/>
      <c r="F409" s="3" t="str">
        <f t="shared" si="13"/>
        <v/>
      </c>
      <c r="G409" s="4"/>
      <c r="H409" s="5"/>
      <c r="I409" s="5"/>
      <c r="J409" s="6" t="str">
        <f t="shared" si="12"/>
        <v/>
      </c>
      <c r="K409" s="6" t="str">
        <f>IF(OR($B409="",$E409="",Calc!$B406=""),"",SUMIFS(CalcAmtA,CalcPartyA,$E409,CalcKeyA,"&lt;="&amp;Calc!$B406)-SUMIFS(CalcWitB,CalcPartyB,$E409,CalcKeyB,"&lt;="&amp;Calc!$B406)+SUMIFS(CalcDepB,CalcPartyB,$E409,CalcKeyB,"&lt;="&amp;Calc!$B406))</f>
        <v/>
      </c>
      <c r="L409" s="4"/>
    </row>
    <row r="410" spans="1:12" x14ac:dyDescent="0.2">
      <c r="A410" s="3" t="str">
        <f>IF($B410="","",COUNTA($B$9:$B410))</f>
        <v/>
      </c>
      <c r="B410" s="4"/>
      <c r="C410" s="4"/>
      <c r="D410" s="4"/>
      <c r="E410" s="4"/>
      <c r="F410" s="3" t="str">
        <f t="shared" si="13"/>
        <v/>
      </c>
      <c r="G410" s="4"/>
      <c r="H410" s="5"/>
      <c r="I410" s="5"/>
      <c r="J410" s="6" t="str">
        <f t="shared" si="12"/>
        <v/>
      </c>
      <c r="K410" s="6" t="str">
        <f>IF(OR($B410="",$E410="",Calc!$B407=""),"",SUMIFS(CalcAmtA,CalcPartyA,$E410,CalcKeyA,"&lt;="&amp;Calc!$B407)-SUMIFS(CalcWitB,CalcPartyB,$E410,CalcKeyB,"&lt;="&amp;Calc!$B407)+SUMIFS(CalcDepB,CalcPartyB,$E410,CalcKeyB,"&lt;="&amp;Calc!$B407))</f>
        <v/>
      </c>
      <c r="L410" s="4"/>
    </row>
    <row r="411" spans="1:12" x14ac:dyDescent="0.2">
      <c r="A411" s="3" t="str">
        <f>IF($B411="","",COUNTA($B$9:$B411))</f>
        <v/>
      </c>
      <c r="B411" s="4"/>
      <c r="C411" s="4"/>
      <c r="D411" s="4"/>
      <c r="E411" s="4"/>
      <c r="F411" s="3" t="str">
        <f t="shared" si="13"/>
        <v/>
      </c>
      <c r="G411" s="4"/>
      <c r="H411" s="5"/>
      <c r="I411" s="5"/>
      <c r="J411" s="6" t="str">
        <f t="shared" si="12"/>
        <v/>
      </c>
      <c r="K411" s="6" t="str">
        <f>IF(OR($B411="",$E411="",Calc!$B408=""),"",SUMIFS(CalcAmtA,CalcPartyA,$E411,CalcKeyA,"&lt;="&amp;Calc!$B408)-SUMIFS(CalcWitB,CalcPartyB,$E411,CalcKeyB,"&lt;="&amp;Calc!$B408)+SUMIFS(CalcDepB,CalcPartyB,$E411,CalcKeyB,"&lt;="&amp;Calc!$B408))</f>
        <v/>
      </c>
      <c r="L411" s="4"/>
    </row>
    <row r="412" spans="1:12" x14ac:dyDescent="0.2">
      <c r="A412" s="3" t="str">
        <f>IF($B412="","",COUNTA($B$9:$B412))</f>
        <v/>
      </c>
      <c r="B412" s="4"/>
      <c r="C412" s="4"/>
      <c r="D412" s="4"/>
      <c r="E412" s="4"/>
      <c r="F412" s="3" t="str">
        <f t="shared" si="13"/>
        <v/>
      </c>
      <c r="G412" s="4"/>
      <c r="H412" s="5"/>
      <c r="I412" s="5"/>
      <c r="J412" s="6" t="str">
        <f t="shared" si="12"/>
        <v/>
      </c>
      <c r="K412" s="6" t="str">
        <f>IF(OR($B412="",$E412="",Calc!$B409=""),"",SUMIFS(CalcAmtA,CalcPartyA,$E412,CalcKeyA,"&lt;="&amp;Calc!$B409)-SUMIFS(CalcWitB,CalcPartyB,$E412,CalcKeyB,"&lt;="&amp;Calc!$B409)+SUMIFS(CalcDepB,CalcPartyB,$E412,CalcKeyB,"&lt;="&amp;Calc!$B409))</f>
        <v/>
      </c>
      <c r="L412" s="4"/>
    </row>
    <row r="413" spans="1:12" x14ac:dyDescent="0.2">
      <c r="A413" s="3" t="str">
        <f>IF($B413="","",COUNTA($B$9:$B413))</f>
        <v/>
      </c>
      <c r="B413" s="4"/>
      <c r="C413" s="4"/>
      <c r="D413" s="4"/>
      <c r="E413" s="4"/>
      <c r="F413" s="3" t="str">
        <f t="shared" si="13"/>
        <v/>
      </c>
      <c r="G413" s="4"/>
      <c r="H413" s="5"/>
      <c r="I413" s="5"/>
      <c r="J413" s="6" t="str">
        <f t="shared" si="12"/>
        <v/>
      </c>
      <c r="K413" s="6" t="str">
        <f>IF(OR($B413="",$E413="",Calc!$B410=""),"",SUMIFS(CalcAmtA,CalcPartyA,$E413,CalcKeyA,"&lt;="&amp;Calc!$B410)-SUMIFS(CalcWitB,CalcPartyB,$E413,CalcKeyB,"&lt;="&amp;Calc!$B410)+SUMIFS(CalcDepB,CalcPartyB,$E413,CalcKeyB,"&lt;="&amp;Calc!$B410))</f>
        <v/>
      </c>
      <c r="L413" s="4"/>
    </row>
    <row r="414" spans="1:12" x14ac:dyDescent="0.2">
      <c r="A414" s="3" t="str">
        <f>IF($B414="","",COUNTA($B$9:$B414))</f>
        <v/>
      </c>
      <c r="B414" s="4"/>
      <c r="C414" s="4"/>
      <c r="D414" s="4"/>
      <c r="E414" s="4"/>
      <c r="F414" s="3" t="str">
        <f t="shared" si="13"/>
        <v/>
      </c>
      <c r="G414" s="4"/>
      <c r="H414" s="5"/>
      <c r="I414" s="5"/>
      <c r="J414" s="6" t="str">
        <f t="shared" si="12"/>
        <v/>
      </c>
      <c r="K414" s="6" t="str">
        <f>IF(OR($B414="",$E414="",Calc!$B411=""),"",SUMIFS(CalcAmtA,CalcPartyA,$E414,CalcKeyA,"&lt;="&amp;Calc!$B411)-SUMIFS(CalcWitB,CalcPartyB,$E414,CalcKeyB,"&lt;="&amp;Calc!$B411)+SUMIFS(CalcDepB,CalcPartyB,$E414,CalcKeyB,"&lt;="&amp;Calc!$B411))</f>
        <v/>
      </c>
      <c r="L414" s="4"/>
    </row>
    <row r="415" spans="1:12" x14ac:dyDescent="0.2">
      <c r="A415" s="3" t="str">
        <f>IF($B415="","",COUNTA($B$9:$B415))</f>
        <v/>
      </c>
      <c r="B415" s="4"/>
      <c r="C415" s="4"/>
      <c r="D415" s="4"/>
      <c r="E415" s="4"/>
      <c r="F415" s="3" t="str">
        <f t="shared" si="13"/>
        <v/>
      </c>
      <c r="G415" s="4"/>
      <c r="H415" s="5"/>
      <c r="I415" s="5"/>
      <c r="J415" s="6" t="str">
        <f t="shared" si="12"/>
        <v/>
      </c>
      <c r="K415" s="6" t="str">
        <f>IF(OR($B415="",$E415="",Calc!$B412=""),"",SUMIFS(CalcAmtA,CalcPartyA,$E415,CalcKeyA,"&lt;="&amp;Calc!$B412)-SUMIFS(CalcWitB,CalcPartyB,$E415,CalcKeyB,"&lt;="&amp;Calc!$B412)+SUMIFS(CalcDepB,CalcPartyB,$E415,CalcKeyB,"&lt;="&amp;Calc!$B412))</f>
        <v/>
      </c>
      <c r="L415" s="4"/>
    </row>
    <row r="416" spans="1:12" x14ac:dyDescent="0.2">
      <c r="A416" s="3" t="str">
        <f>IF($B416="","",COUNTA($B$9:$B416))</f>
        <v/>
      </c>
      <c r="B416" s="4"/>
      <c r="C416" s="4"/>
      <c r="D416" s="4"/>
      <c r="E416" s="4"/>
      <c r="F416" s="3" t="str">
        <f t="shared" si="13"/>
        <v/>
      </c>
      <c r="G416" s="4"/>
      <c r="H416" s="5"/>
      <c r="I416" s="5"/>
      <c r="J416" s="6" t="str">
        <f t="shared" si="12"/>
        <v/>
      </c>
      <c r="K416" s="6" t="str">
        <f>IF(OR($B416="",$E416="",Calc!$B413=""),"",SUMIFS(CalcAmtA,CalcPartyA,$E416,CalcKeyA,"&lt;="&amp;Calc!$B413)-SUMIFS(CalcWitB,CalcPartyB,$E416,CalcKeyB,"&lt;="&amp;Calc!$B413)+SUMIFS(CalcDepB,CalcPartyB,$E416,CalcKeyB,"&lt;="&amp;Calc!$B413))</f>
        <v/>
      </c>
      <c r="L416" s="4"/>
    </row>
    <row r="417" spans="1:12" x14ac:dyDescent="0.2">
      <c r="A417" s="3" t="str">
        <f>IF($B417="","",COUNTA($B$9:$B417))</f>
        <v/>
      </c>
      <c r="B417" s="4"/>
      <c r="C417" s="4"/>
      <c r="D417" s="4"/>
      <c r="E417" s="4"/>
      <c r="F417" s="3" t="str">
        <f t="shared" si="13"/>
        <v/>
      </c>
      <c r="G417" s="4"/>
      <c r="H417" s="5"/>
      <c r="I417" s="5"/>
      <c r="J417" s="6" t="str">
        <f t="shared" si="12"/>
        <v/>
      </c>
      <c r="K417" s="6" t="str">
        <f>IF(OR($B417="",$E417="",Calc!$B414=""),"",SUMIFS(CalcAmtA,CalcPartyA,$E417,CalcKeyA,"&lt;="&amp;Calc!$B414)-SUMIFS(CalcWitB,CalcPartyB,$E417,CalcKeyB,"&lt;="&amp;Calc!$B414)+SUMIFS(CalcDepB,CalcPartyB,$E417,CalcKeyB,"&lt;="&amp;Calc!$B414))</f>
        <v/>
      </c>
      <c r="L417" s="4"/>
    </row>
    <row r="418" spans="1:12" x14ac:dyDescent="0.2">
      <c r="A418" s="3" t="str">
        <f>IF($B418="","",COUNTA($B$9:$B418))</f>
        <v/>
      </c>
      <c r="B418" s="4"/>
      <c r="C418" s="4"/>
      <c r="D418" s="4"/>
      <c r="E418" s="4"/>
      <c r="F418" s="3" t="str">
        <f t="shared" si="13"/>
        <v/>
      </c>
      <c r="G418" s="4"/>
      <c r="H418" s="5"/>
      <c r="I418" s="5"/>
      <c r="J418" s="6" t="str">
        <f t="shared" si="12"/>
        <v/>
      </c>
      <c r="K418" s="6" t="str">
        <f>IF(OR($B418="",$E418="",Calc!$B415=""),"",SUMIFS(CalcAmtA,CalcPartyA,$E418,CalcKeyA,"&lt;="&amp;Calc!$B415)-SUMIFS(CalcWitB,CalcPartyB,$E418,CalcKeyB,"&lt;="&amp;Calc!$B415)+SUMIFS(CalcDepB,CalcPartyB,$E418,CalcKeyB,"&lt;="&amp;Calc!$B415))</f>
        <v/>
      </c>
      <c r="L418" s="4"/>
    </row>
    <row r="419" spans="1:12" x14ac:dyDescent="0.2">
      <c r="A419" s="3" t="str">
        <f>IF($B419="","",COUNTA($B$9:$B419))</f>
        <v/>
      </c>
      <c r="B419" s="4"/>
      <c r="C419" s="4"/>
      <c r="D419" s="4"/>
      <c r="E419" s="4"/>
      <c r="F419" s="3" t="str">
        <f t="shared" si="13"/>
        <v/>
      </c>
      <c r="G419" s="4"/>
      <c r="H419" s="5"/>
      <c r="I419" s="5"/>
      <c r="J419" s="6" t="str">
        <f t="shared" si="12"/>
        <v/>
      </c>
      <c r="K419" s="6" t="str">
        <f>IF(OR($B419="",$E419="",Calc!$B416=""),"",SUMIFS(CalcAmtA,CalcPartyA,$E419,CalcKeyA,"&lt;="&amp;Calc!$B416)-SUMIFS(CalcWitB,CalcPartyB,$E419,CalcKeyB,"&lt;="&amp;Calc!$B416)+SUMIFS(CalcDepB,CalcPartyB,$E419,CalcKeyB,"&lt;="&amp;Calc!$B416))</f>
        <v/>
      </c>
      <c r="L419" s="4"/>
    </row>
    <row r="420" spans="1:12" x14ac:dyDescent="0.2">
      <c r="A420" s="3" t="str">
        <f>IF($B420="","",COUNTA($B$9:$B420))</f>
        <v/>
      </c>
      <c r="B420" s="4"/>
      <c r="C420" s="4"/>
      <c r="D420" s="4"/>
      <c r="E420" s="4"/>
      <c r="F420" s="3" t="str">
        <f t="shared" si="13"/>
        <v/>
      </c>
      <c r="G420" s="4"/>
      <c r="H420" s="5"/>
      <c r="I420" s="5"/>
      <c r="J420" s="6" t="str">
        <f t="shared" si="12"/>
        <v/>
      </c>
      <c r="K420" s="6" t="str">
        <f>IF(OR($B420="",$E420="",Calc!$B417=""),"",SUMIFS(CalcAmtA,CalcPartyA,$E420,CalcKeyA,"&lt;="&amp;Calc!$B417)-SUMIFS(CalcWitB,CalcPartyB,$E420,CalcKeyB,"&lt;="&amp;Calc!$B417)+SUMIFS(CalcDepB,CalcPartyB,$E420,CalcKeyB,"&lt;="&amp;Calc!$B417))</f>
        <v/>
      </c>
      <c r="L420" s="4"/>
    </row>
    <row r="421" spans="1:12" x14ac:dyDescent="0.2">
      <c r="A421" s="3" t="str">
        <f>IF($B421="","",COUNTA($B$9:$B421))</f>
        <v/>
      </c>
      <c r="B421" s="4"/>
      <c r="C421" s="4"/>
      <c r="D421" s="4"/>
      <c r="E421" s="4"/>
      <c r="F421" s="3" t="str">
        <f t="shared" si="13"/>
        <v/>
      </c>
      <c r="G421" s="4"/>
      <c r="H421" s="5"/>
      <c r="I421" s="5"/>
      <c r="J421" s="6" t="str">
        <f t="shared" si="12"/>
        <v/>
      </c>
      <c r="K421" s="6" t="str">
        <f>IF(OR($B421="",$E421="",Calc!$B418=""),"",SUMIFS(CalcAmtA,CalcPartyA,$E421,CalcKeyA,"&lt;="&amp;Calc!$B418)-SUMIFS(CalcWitB,CalcPartyB,$E421,CalcKeyB,"&lt;="&amp;Calc!$B418)+SUMIFS(CalcDepB,CalcPartyB,$E421,CalcKeyB,"&lt;="&amp;Calc!$B418))</f>
        <v/>
      </c>
      <c r="L421" s="4"/>
    </row>
    <row r="422" spans="1:12" x14ac:dyDescent="0.2">
      <c r="A422" s="3" t="str">
        <f>IF($B422="","",COUNTA($B$9:$B422))</f>
        <v/>
      </c>
      <c r="B422" s="4"/>
      <c r="C422" s="4"/>
      <c r="D422" s="4"/>
      <c r="E422" s="4"/>
      <c r="F422" s="3" t="str">
        <f t="shared" si="13"/>
        <v/>
      </c>
      <c r="G422" s="4"/>
      <c r="H422" s="5"/>
      <c r="I422" s="5"/>
      <c r="J422" s="6" t="str">
        <f t="shared" si="12"/>
        <v/>
      </c>
      <c r="K422" s="6" t="str">
        <f>IF(OR($B422="",$E422="",Calc!$B419=""),"",SUMIFS(CalcAmtA,CalcPartyA,$E422,CalcKeyA,"&lt;="&amp;Calc!$B419)-SUMIFS(CalcWitB,CalcPartyB,$E422,CalcKeyB,"&lt;="&amp;Calc!$B419)+SUMIFS(CalcDepB,CalcPartyB,$E422,CalcKeyB,"&lt;="&amp;Calc!$B419))</f>
        <v/>
      </c>
      <c r="L422" s="4"/>
    </row>
    <row r="423" spans="1:12" x14ac:dyDescent="0.2">
      <c r="A423" s="3" t="str">
        <f>IF($B423="","",COUNTA($B$9:$B423))</f>
        <v/>
      </c>
      <c r="B423" s="4"/>
      <c r="C423" s="4"/>
      <c r="D423" s="4"/>
      <c r="E423" s="4"/>
      <c r="F423" s="3" t="str">
        <f t="shared" si="13"/>
        <v/>
      </c>
      <c r="G423" s="4"/>
      <c r="H423" s="5"/>
      <c r="I423" s="5"/>
      <c r="J423" s="6" t="str">
        <f t="shared" si="12"/>
        <v/>
      </c>
      <c r="K423" s="6" t="str">
        <f>IF(OR($B423="",$E423="",Calc!$B420=""),"",SUMIFS(CalcAmtA,CalcPartyA,$E423,CalcKeyA,"&lt;="&amp;Calc!$B420)-SUMIFS(CalcWitB,CalcPartyB,$E423,CalcKeyB,"&lt;="&amp;Calc!$B420)+SUMIFS(CalcDepB,CalcPartyB,$E423,CalcKeyB,"&lt;="&amp;Calc!$B420))</f>
        <v/>
      </c>
      <c r="L423" s="4"/>
    </row>
    <row r="424" spans="1:12" x14ac:dyDescent="0.2">
      <c r="A424" s="3" t="str">
        <f>IF($B424="","",COUNTA($B$9:$B424))</f>
        <v/>
      </c>
      <c r="B424" s="4"/>
      <c r="C424" s="4"/>
      <c r="D424" s="4"/>
      <c r="E424" s="4"/>
      <c r="F424" s="3" t="str">
        <f t="shared" si="13"/>
        <v/>
      </c>
      <c r="G424" s="4"/>
      <c r="H424" s="5"/>
      <c r="I424" s="5"/>
      <c r="J424" s="6" t="str">
        <f t="shared" si="12"/>
        <v/>
      </c>
      <c r="K424" s="6" t="str">
        <f>IF(OR($B424="",$E424="",Calc!$B421=""),"",SUMIFS(CalcAmtA,CalcPartyA,$E424,CalcKeyA,"&lt;="&amp;Calc!$B421)-SUMIFS(CalcWitB,CalcPartyB,$E424,CalcKeyB,"&lt;="&amp;Calc!$B421)+SUMIFS(CalcDepB,CalcPartyB,$E424,CalcKeyB,"&lt;="&amp;Calc!$B421))</f>
        <v/>
      </c>
      <c r="L424" s="4"/>
    </row>
    <row r="425" spans="1:12" x14ac:dyDescent="0.2">
      <c r="A425" s="3" t="str">
        <f>IF($B425="","",COUNTA($B$9:$B425))</f>
        <v/>
      </c>
      <c r="B425" s="4"/>
      <c r="C425" s="4"/>
      <c r="D425" s="4"/>
      <c r="E425" s="4"/>
      <c r="F425" s="3" t="str">
        <f t="shared" si="13"/>
        <v/>
      </c>
      <c r="G425" s="4"/>
      <c r="H425" s="5"/>
      <c r="I425" s="5"/>
      <c r="J425" s="6" t="str">
        <f t="shared" si="12"/>
        <v/>
      </c>
      <c r="K425" s="6" t="str">
        <f>IF(OR($B425="",$E425="",Calc!$B422=""),"",SUMIFS(CalcAmtA,CalcPartyA,$E425,CalcKeyA,"&lt;="&amp;Calc!$B422)-SUMIFS(CalcWitB,CalcPartyB,$E425,CalcKeyB,"&lt;="&amp;Calc!$B422)+SUMIFS(CalcDepB,CalcPartyB,$E425,CalcKeyB,"&lt;="&amp;Calc!$B422))</f>
        <v/>
      </c>
      <c r="L425" s="4"/>
    </row>
    <row r="426" spans="1:12" x14ac:dyDescent="0.2">
      <c r="A426" s="3" t="str">
        <f>IF($B426="","",COUNTA($B$9:$B426))</f>
        <v/>
      </c>
      <c r="B426" s="4"/>
      <c r="C426" s="4"/>
      <c r="D426" s="4"/>
      <c r="E426" s="4"/>
      <c r="F426" s="3" t="str">
        <f t="shared" si="13"/>
        <v/>
      </c>
      <c r="G426" s="4"/>
      <c r="H426" s="5"/>
      <c r="I426" s="5"/>
      <c r="J426" s="6" t="str">
        <f t="shared" si="12"/>
        <v/>
      </c>
      <c r="K426" s="6" t="str">
        <f>IF(OR($B426="",$E426="",Calc!$B423=""),"",SUMIFS(CalcAmtA,CalcPartyA,$E426,CalcKeyA,"&lt;="&amp;Calc!$B423)-SUMIFS(CalcWitB,CalcPartyB,$E426,CalcKeyB,"&lt;="&amp;Calc!$B423)+SUMIFS(CalcDepB,CalcPartyB,$E426,CalcKeyB,"&lt;="&amp;Calc!$B423))</f>
        <v/>
      </c>
      <c r="L426" s="4"/>
    </row>
    <row r="427" spans="1:12" x14ac:dyDescent="0.2">
      <c r="A427" s="3" t="str">
        <f>IF($B427="","",COUNTA($B$9:$B427))</f>
        <v/>
      </c>
      <c r="B427" s="4"/>
      <c r="C427" s="4"/>
      <c r="D427" s="4"/>
      <c r="E427" s="4"/>
      <c r="F427" s="3" t="str">
        <f t="shared" si="13"/>
        <v/>
      </c>
      <c r="G427" s="4"/>
      <c r="H427" s="5"/>
      <c r="I427" s="5"/>
      <c r="J427" s="6" t="str">
        <f t="shared" si="12"/>
        <v/>
      </c>
      <c r="K427" s="6" t="str">
        <f>IF(OR($B427="",$E427="",Calc!$B424=""),"",SUMIFS(CalcAmtA,CalcPartyA,$E427,CalcKeyA,"&lt;="&amp;Calc!$B424)-SUMIFS(CalcWitB,CalcPartyB,$E427,CalcKeyB,"&lt;="&amp;Calc!$B424)+SUMIFS(CalcDepB,CalcPartyB,$E427,CalcKeyB,"&lt;="&amp;Calc!$B424))</f>
        <v/>
      </c>
      <c r="L427" s="4"/>
    </row>
    <row r="428" spans="1:12" x14ac:dyDescent="0.2">
      <c r="A428" s="3" t="str">
        <f>IF($B428="","",COUNTA($B$9:$B428))</f>
        <v/>
      </c>
      <c r="B428" s="4"/>
      <c r="C428" s="4"/>
      <c r="D428" s="4"/>
      <c r="E428" s="4"/>
      <c r="F428" s="3" t="str">
        <f t="shared" si="13"/>
        <v/>
      </c>
      <c r="G428" s="4"/>
      <c r="H428" s="5"/>
      <c r="I428" s="5"/>
      <c r="J428" s="6" t="str">
        <f t="shared" si="12"/>
        <v/>
      </c>
      <c r="K428" s="6" t="str">
        <f>IF(OR($B428="",$E428="",Calc!$B425=""),"",SUMIFS(CalcAmtA,CalcPartyA,$E428,CalcKeyA,"&lt;="&amp;Calc!$B425)-SUMIFS(CalcWitB,CalcPartyB,$E428,CalcKeyB,"&lt;="&amp;Calc!$B425)+SUMIFS(CalcDepB,CalcPartyB,$E428,CalcKeyB,"&lt;="&amp;Calc!$B425))</f>
        <v/>
      </c>
      <c r="L428" s="4"/>
    </row>
    <row r="429" spans="1:12" x14ac:dyDescent="0.2">
      <c r="A429" s="3" t="str">
        <f>IF($B429="","",COUNTA($B$9:$B429))</f>
        <v/>
      </c>
      <c r="B429" s="4"/>
      <c r="C429" s="4"/>
      <c r="D429" s="4"/>
      <c r="E429" s="4"/>
      <c r="F429" s="3" t="str">
        <f t="shared" si="13"/>
        <v/>
      </c>
      <c r="G429" s="4"/>
      <c r="H429" s="5"/>
      <c r="I429" s="5"/>
      <c r="J429" s="6" t="str">
        <f t="shared" si="12"/>
        <v/>
      </c>
      <c r="K429" s="6" t="str">
        <f>IF(OR($B429="",$E429="",Calc!$B426=""),"",SUMIFS(CalcAmtA,CalcPartyA,$E429,CalcKeyA,"&lt;="&amp;Calc!$B426)-SUMIFS(CalcWitB,CalcPartyB,$E429,CalcKeyB,"&lt;="&amp;Calc!$B426)+SUMIFS(CalcDepB,CalcPartyB,$E429,CalcKeyB,"&lt;="&amp;Calc!$B426))</f>
        <v/>
      </c>
      <c r="L429" s="4"/>
    </row>
    <row r="430" spans="1:12" x14ac:dyDescent="0.2">
      <c r="A430" s="3" t="str">
        <f>IF($B430="","",COUNTA($B$9:$B430))</f>
        <v/>
      </c>
      <c r="B430" s="4"/>
      <c r="C430" s="4"/>
      <c r="D430" s="4"/>
      <c r="E430" s="4"/>
      <c r="F430" s="3" t="str">
        <f t="shared" si="13"/>
        <v/>
      </c>
      <c r="G430" s="4"/>
      <c r="H430" s="5"/>
      <c r="I430" s="5"/>
      <c r="J430" s="6" t="str">
        <f t="shared" si="12"/>
        <v/>
      </c>
      <c r="K430" s="6" t="str">
        <f>IF(OR($B430="",$E430="",Calc!$B427=""),"",SUMIFS(CalcAmtA,CalcPartyA,$E430,CalcKeyA,"&lt;="&amp;Calc!$B427)-SUMIFS(CalcWitB,CalcPartyB,$E430,CalcKeyB,"&lt;="&amp;Calc!$B427)+SUMIFS(CalcDepB,CalcPartyB,$E430,CalcKeyB,"&lt;="&amp;Calc!$B427))</f>
        <v/>
      </c>
      <c r="L430" s="4"/>
    </row>
    <row r="431" spans="1:12" x14ac:dyDescent="0.2">
      <c r="A431" s="3" t="str">
        <f>IF($B431="","",COUNTA($B$9:$B431))</f>
        <v/>
      </c>
      <c r="B431" s="4"/>
      <c r="C431" s="4"/>
      <c r="D431" s="4"/>
      <c r="E431" s="4"/>
      <c r="F431" s="3" t="str">
        <f t="shared" si="13"/>
        <v/>
      </c>
      <c r="G431" s="4"/>
      <c r="H431" s="5"/>
      <c r="I431" s="5"/>
      <c r="J431" s="6" t="str">
        <f t="shared" si="12"/>
        <v/>
      </c>
      <c r="K431" s="6" t="str">
        <f>IF(OR($B431="",$E431="",Calc!$B428=""),"",SUMIFS(CalcAmtA,CalcPartyA,$E431,CalcKeyA,"&lt;="&amp;Calc!$B428)-SUMIFS(CalcWitB,CalcPartyB,$E431,CalcKeyB,"&lt;="&amp;Calc!$B428)+SUMIFS(CalcDepB,CalcPartyB,$E431,CalcKeyB,"&lt;="&amp;Calc!$B428))</f>
        <v/>
      </c>
      <c r="L431" s="4"/>
    </row>
    <row r="432" spans="1:12" x14ac:dyDescent="0.2">
      <c r="A432" s="3" t="str">
        <f>IF($B432="","",COUNTA($B$9:$B432))</f>
        <v/>
      </c>
      <c r="B432" s="4"/>
      <c r="C432" s="4"/>
      <c r="D432" s="4"/>
      <c r="E432" s="4"/>
      <c r="F432" s="3" t="str">
        <f t="shared" si="13"/>
        <v/>
      </c>
      <c r="G432" s="4"/>
      <c r="H432" s="5"/>
      <c r="I432" s="5"/>
      <c r="J432" s="6" t="str">
        <f t="shared" si="12"/>
        <v/>
      </c>
      <c r="K432" s="6" t="str">
        <f>IF(OR($B432="",$E432="",Calc!$B429=""),"",SUMIFS(CalcAmtA,CalcPartyA,$E432,CalcKeyA,"&lt;="&amp;Calc!$B429)-SUMIFS(CalcWitB,CalcPartyB,$E432,CalcKeyB,"&lt;="&amp;Calc!$B429)+SUMIFS(CalcDepB,CalcPartyB,$E432,CalcKeyB,"&lt;="&amp;Calc!$B429))</f>
        <v/>
      </c>
      <c r="L432" s="4"/>
    </row>
    <row r="433" spans="1:12" x14ac:dyDescent="0.2">
      <c r="A433" s="3" t="str">
        <f>IF($B433="","",COUNTA($B$9:$B433))</f>
        <v/>
      </c>
      <c r="B433" s="4"/>
      <c r="C433" s="4"/>
      <c r="D433" s="4"/>
      <c r="E433" s="4"/>
      <c r="F433" s="3" t="str">
        <f t="shared" si="13"/>
        <v/>
      </c>
      <c r="G433" s="4"/>
      <c r="H433" s="5"/>
      <c r="I433" s="5"/>
      <c r="J433" s="6" t="str">
        <f t="shared" si="12"/>
        <v/>
      </c>
      <c r="K433" s="6" t="str">
        <f>IF(OR($B433="",$E433="",Calc!$B430=""),"",SUMIFS(CalcAmtA,CalcPartyA,$E433,CalcKeyA,"&lt;="&amp;Calc!$B430)-SUMIFS(CalcWitB,CalcPartyB,$E433,CalcKeyB,"&lt;="&amp;Calc!$B430)+SUMIFS(CalcDepB,CalcPartyB,$E433,CalcKeyB,"&lt;="&amp;Calc!$B430))</f>
        <v/>
      </c>
      <c r="L433" s="4"/>
    </row>
    <row r="434" spans="1:12" x14ac:dyDescent="0.2">
      <c r="A434" s="3" t="str">
        <f>IF($B434="","",COUNTA($B$9:$B434))</f>
        <v/>
      </c>
      <c r="B434" s="4"/>
      <c r="C434" s="4"/>
      <c r="D434" s="4"/>
      <c r="E434" s="4"/>
      <c r="F434" s="3" t="str">
        <f t="shared" si="13"/>
        <v/>
      </c>
      <c r="G434" s="4"/>
      <c r="H434" s="5"/>
      <c r="I434" s="5"/>
      <c r="J434" s="6" t="str">
        <f t="shared" si="12"/>
        <v/>
      </c>
      <c r="K434" s="6" t="str">
        <f>IF(OR($B434="",$E434="",Calc!$B431=""),"",SUMIFS(CalcAmtA,CalcPartyA,$E434,CalcKeyA,"&lt;="&amp;Calc!$B431)-SUMIFS(CalcWitB,CalcPartyB,$E434,CalcKeyB,"&lt;="&amp;Calc!$B431)+SUMIFS(CalcDepB,CalcPartyB,$E434,CalcKeyB,"&lt;="&amp;Calc!$B431))</f>
        <v/>
      </c>
      <c r="L434" s="4"/>
    </row>
    <row r="435" spans="1:12" x14ac:dyDescent="0.2">
      <c r="A435" s="3" t="str">
        <f>IF($B435="","",COUNTA($B$9:$B435))</f>
        <v/>
      </c>
      <c r="B435" s="4"/>
      <c r="C435" s="4"/>
      <c r="D435" s="4"/>
      <c r="E435" s="4"/>
      <c r="F435" s="3" t="str">
        <f t="shared" si="13"/>
        <v/>
      </c>
      <c r="G435" s="4"/>
      <c r="H435" s="5"/>
      <c r="I435" s="5"/>
      <c r="J435" s="6" t="str">
        <f t="shared" si="12"/>
        <v/>
      </c>
      <c r="K435" s="6" t="str">
        <f>IF(OR($B435="",$E435="",Calc!$B432=""),"",SUMIFS(CalcAmtA,CalcPartyA,$E435,CalcKeyA,"&lt;="&amp;Calc!$B432)-SUMIFS(CalcWitB,CalcPartyB,$E435,CalcKeyB,"&lt;="&amp;Calc!$B432)+SUMIFS(CalcDepB,CalcPartyB,$E435,CalcKeyB,"&lt;="&amp;Calc!$B432))</f>
        <v/>
      </c>
      <c r="L435" s="4"/>
    </row>
    <row r="436" spans="1:12" x14ac:dyDescent="0.2">
      <c r="A436" s="3" t="str">
        <f>IF($B436="","",COUNTA($B$9:$B436))</f>
        <v/>
      </c>
      <c r="B436" s="4"/>
      <c r="C436" s="4"/>
      <c r="D436" s="4"/>
      <c r="E436" s="4"/>
      <c r="F436" s="3" t="str">
        <f t="shared" si="13"/>
        <v/>
      </c>
      <c r="G436" s="4"/>
      <c r="H436" s="5"/>
      <c r="I436" s="5"/>
      <c r="J436" s="6" t="str">
        <f t="shared" si="12"/>
        <v/>
      </c>
      <c r="K436" s="6" t="str">
        <f>IF(OR($B436="",$E436="",Calc!$B433=""),"",SUMIFS(CalcAmtA,CalcPartyA,$E436,CalcKeyA,"&lt;="&amp;Calc!$B433)-SUMIFS(CalcWitB,CalcPartyB,$E436,CalcKeyB,"&lt;="&amp;Calc!$B433)+SUMIFS(CalcDepB,CalcPartyB,$E436,CalcKeyB,"&lt;="&amp;Calc!$B433))</f>
        <v/>
      </c>
      <c r="L436" s="4"/>
    </row>
    <row r="437" spans="1:12" x14ac:dyDescent="0.2">
      <c r="A437" s="3" t="str">
        <f>IF($B437="","",COUNTA($B$9:$B437))</f>
        <v/>
      </c>
      <c r="B437" s="4"/>
      <c r="C437" s="4"/>
      <c r="D437" s="4"/>
      <c r="E437" s="4"/>
      <c r="F437" s="3" t="str">
        <f t="shared" si="13"/>
        <v/>
      </c>
      <c r="G437" s="4"/>
      <c r="H437" s="5"/>
      <c r="I437" s="5"/>
      <c r="J437" s="6" t="str">
        <f t="shared" si="12"/>
        <v/>
      </c>
      <c r="K437" s="6" t="str">
        <f>IF(OR($B437="",$E437="",Calc!$B434=""),"",SUMIFS(CalcAmtA,CalcPartyA,$E437,CalcKeyA,"&lt;="&amp;Calc!$B434)-SUMIFS(CalcWitB,CalcPartyB,$E437,CalcKeyB,"&lt;="&amp;Calc!$B434)+SUMIFS(CalcDepB,CalcPartyB,$E437,CalcKeyB,"&lt;="&amp;Calc!$B434))</f>
        <v/>
      </c>
      <c r="L437" s="4"/>
    </row>
    <row r="438" spans="1:12" x14ac:dyDescent="0.2">
      <c r="A438" s="3" t="str">
        <f>IF($B438="","",COUNTA($B$9:$B438))</f>
        <v/>
      </c>
      <c r="B438" s="4"/>
      <c r="C438" s="4"/>
      <c r="D438" s="4"/>
      <c r="E438" s="4"/>
      <c r="F438" s="3" t="str">
        <f t="shared" si="13"/>
        <v/>
      </c>
      <c r="G438" s="4"/>
      <c r="H438" s="5"/>
      <c r="I438" s="5"/>
      <c r="J438" s="6" t="str">
        <f t="shared" si="12"/>
        <v/>
      </c>
      <c r="K438" s="6" t="str">
        <f>IF(OR($B438="",$E438="",Calc!$B435=""),"",SUMIFS(CalcAmtA,CalcPartyA,$E438,CalcKeyA,"&lt;="&amp;Calc!$B435)-SUMIFS(CalcWitB,CalcPartyB,$E438,CalcKeyB,"&lt;="&amp;Calc!$B435)+SUMIFS(CalcDepB,CalcPartyB,$E438,CalcKeyB,"&lt;="&amp;Calc!$B435))</f>
        <v/>
      </c>
      <c r="L438" s="4"/>
    </row>
    <row r="439" spans="1:12" x14ac:dyDescent="0.2">
      <c r="A439" s="3" t="str">
        <f>IF($B439="","",COUNTA($B$9:$B439))</f>
        <v/>
      </c>
      <c r="B439" s="4"/>
      <c r="C439" s="4"/>
      <c r="D439" s="4"/>
      <c r="E439" s="4"/>
      <c r="F439" s="3" t="str">
        <f t="shared" si="13"/>
        <v/>
      </c>
      <c r="G439" s="4"/>
      <c r="H439" s="5"/>
      <c r="I439" s="5"/>
      <c r="J439" s="6" t="str">
        <f t="shared" si="12"/>
        <v/>
      </c>
      <c r="K439" s="6" t="str">
        <f>IF(OR($B439="",$E439="",Calc!$B436=""),"",SUMIFS(CalcAmtA,CalcPartyA,$E439,CalcKeyA,"&lt;="&amp;Calc!$B436)-SUMIFS(CalcWitB,CalcPartyB,$E439,CalcKeyB,"&lt;="&amp;Calc!$B436)+SUMIFS(CalcDepB,CalcPartyB,$E439,CalcKeyB,"&lt;="&amp;Calc!$B436))</f>
        <v/>
      </c>
      <c r="L439" s="4"/>
    </row>
    <row r="440" spans="1:12" x14ac:dyDescent="0.2">
      <c r="A440" s="3" t="str">
        <f>IF($B440="","",COUNTA($B$9:$B440))</f>
        <v/>
      </c>
      <c r="B440" s="4"/>
      <c r="C440" s="4"/>
      <c r="D440" s="4"/>
      <c r="E440" s="4"/>
      <c r="F440" s="3" t="str">
        <f t="shared" si="13"/>
        <v/>
      </c>
      <c r="G440" s="4"/>
      <c r="H440" s="5"/>
      <c r="I440" s="5"/>
      <c r="J440" s="6" t="str">
        <f t="shared" si="12"/>
        <v/>
      </c>
      <c r="K440" s="6" t="str">
        <f>IF(OR($B440="",$E440="",Calc!$B437=""),"",SUMIFS(CalcAmtA,CalcPartyA,$E440,CalcKeyA,"&lt;="&amp;Calc!$B437)-SUMIFS(CalcWitB,CalcPartyB,$E440,CalcKeyB,"&lt;="&amp;Calc!$B437)+SUMIFS(CalcDepB,CalcPartyB,$E440,CalcKeyB,"&lt;="&amp;Calc!$B437))</f>
        <v/>
      </c>
      <c r="L440" s="4"/>
    </row>
    <row r="441" spans="1:12" x14ac:dyDescent="0.2">
      <c r="A441" s="3" t="str">
        <f>IF($B441="","",COUNTA($B$9:$B441))</f>
        <v/>
      </c>
      <c r="B441" s="4"/>
      <c r="C441" s="4"/>
      <c r="D441" s="4"/>
      <c r="E441" s="4"/>
      <c r="F441" s="3" t="str">
        <f t="shared" si="13"/>
        <v/>
      </c>
      <c r="G441" s="4"/>
      <c r="H441" s="5"/>
      <c r="I441" s="5"/>
      <c r="J441" s="6" t="str">
        <f t="shared" si="12"/>
        <v/>
      </c>
      <c r="K441" s="6" t="str">
        <f>IF(OR($B441="",$E441="",Calc!$B438=""),"",SUMIFS(CalcAmtA,CalcPartyA,$E441,CalcKeyA,"&lt;="&amp;Calc!$B438)-SUMIFS(CalcWitB,CalcPartyB,$E441,CalcKeyB,"&lt;="&amp;Calc!$B438)+SUMIFS(CalcDepB,CalcPartyB,$E441,CalcKeyB,"&lt;="&amp;Calc!$B438))</f>
        <v/>
      </c>
      <c r="L441" s="4"/>
    </row>
    <row r="442" spans="1:12" x14ac:dyDescent="0.2">
      <c r="A442" s="3" t="str">
        <f>IF($B442="","",COUNTA($B$9:$B442))</f>
        <v/>
      </c>
      <c r="B442" s="4"/>
      <c r="C442" s="4"/>
      <c r="D442" s="4"/>
      <c r="E442" s="4"/>
      <c r="F442" s="3" t="str">
        <f t="shared" si="13"/>
        <v/>
      </c>
      <c r="G442" s="4"/>
      <c r="H442" s="5"/>
      <c r="I442" s="5"/>
      <c r="J442" s="6" t="str">
        <f t="shared" si="12"/>
        <v/>
      </c>
      <c r="K442" s="6" t="str">
        <f>IF(OR($B442="",$E442="",Calc!$B439=""),"",SUMIFS(CalcAmtA,CalcPartyA,$E442,CalcKeyA,"&lt;="&amp;Calc!$B439)-SUMIFS(CalcWitB,CalcPartyB,$E442,CalcKeyB,"&lt;="&amp;Calc!$B439)+SUMIFS(CalcDepB,CalcPartyB,$E442,CalcKeyB,"&lt;="&amp;Calc!$B439))</f>
        <v/>
      </c>
      <c r="L442" s="4"/>
    </row>
    <row r="443" spans="1:12" x14ac:dyDescent="0.2">
      <c r="A443" s="3" t="str">
        <f>IF($B443="","",COUNTA($B$9:$B443))</f>
        <v/>
      </c>
      <c r="B443" s="4"/>
      <c r="C443" s="4"/>
      <c r="D443" s="4"/>
      <c r="E443" s="4"/>
      <c r="F443" s="3" t="str">
        <f t="shared" si="13"/>
        <v/>
      </c>
      <c r="G443" s="4"/>
      <c r="H443" s="5"/>
      <c r="I443" s="5"/>
      <c r="J443" s="6" t="str">
        <f t="shared" si="12"/>
        <v/>
      </c>
      <c r="K443" s="6" t="str">
        <f>IF(OR($B443="",$E443="",Calc!$B440=""),"",SUMIFS(CalcAmtA,CalcPartyA,$E443,CalcKeyA,"&lt;="&amp;Calc!$B440)-SUMIFS(CalcWitB,CalcPartyB,$E443,CalcKeyB,"&lt;="&amp;Calc!$B440)+SUMIFS(CalcDepB,CalcPartyB,$E443,CalcKeyB,"&lt;="&amp;Calc!$B440))</f>
        <v/>
      </c>
      <c r="L443" s="4"/>
    </row>
    <row r="444" spans="1:12" x14ac:dyDescent="0.2">
      <c r="A444" s="3" t="str">
        <f>IF($B444="","",COUNTA($B$9:$B444))</f>
        <v/>
      </c>
      <c r="B444" s="4"/>
      <c r="C444" s="4"/>
      <c r="D444" s="4"/>
      <c r="E444" s="4"/>
      <c r="F444" s="3" t="str">
        <f t="shared" si="13"/>
        <v/>
      </c>
      <c r="G444" s="4"/>
      <c r="H444" s="5"/>
      <c r="I444" s="5"/>
      <c r="J444" s="6" t="str">
        <f t="shared" si="12"/>
        <v/>
      </c>
      <c r="K444" s="6" t="str">
        <f>IF(OR($B444="",$E444="",Calc!$B441=""),"",SUMIFS(CalcAmtA,CalcPartyA,$E444,CalcKeyA,"&lt;="&amp;Calc!$B441)-SUMIFS(CalcWitB,CalcPartyB,$E444,CalcKeyB,"&lt;="&amp;Calc!$B441)+SUMIFS(CalcDepB,CalcPartyB,$E444,CalcKeyB,"&lt;="&amp;Calc!$B441))</f>
        <v/>
      </c>
      <c r="L444" s="4"/>
    </row>
    <row r="445" spans="1:12" x14ac:dyDescent="0.2">
      <c r="A445" s="3" t="str">
        <f>IF($B445="","",COUNTA($B$9:$B445))</f>
        <v/>
      </c>
      <c r="B445" s="4"/>
      <c r="C445" s="4"/>
      <c r="D445" s="4"/>
      <c r="E445" s="4"/>
      <c r="F445" s="3" t="str">
        <f t="shared" si="13"/>
        <v/>
      </c>
      <c r="G445" s="4"/>
      <c r="H445" s="5"/>
      <c r="I445" s="5"/>
      <c r="J445" s="6" t="str">
        <f t="shared" si="12"/>
        <v/>
      </c>
      <c r="K445" s="6" t="str">
        <f>IF(OR($B445="",$E445="",Calc!$B442=""),"",SUMIFS(CalcAmtA,CalcPartyA,$E445,CalcKeyA,"&lt;="&amp;Calc!$B442)-SUMIFS(CalcWitB,CalcPartyB,$E445,CalcKeyB,"&lt;="&amp;Calc!$B442)+SUMIFS(CalcDepB,CalcPartyB,$E445,CalcKeyB,"&lt;="&amp;Calc!$B442))</f>
        <v/>
      </c>
      <c r="L445" s="4"/>
    </row>
    <row r="446" spans="1:12" x14ac:dyDescent="0.2">
      <c r="A446" s="3" t="str">
        <f>IF($B446="","",COUNTA($B$9:$B446))</f>
        <v/>
      </c>
      <c r="B446" s="4"/>
      <c r="C446" s="4"/>
      <c r="D446" s="4"/>
      <c r="E446" s="4"/>
      <c r="F446" s="3" t="str">
        <f t="shared" si="13"/>
        <v/>
      </c>
      <c r="G446" s="4"/>
      <c r="H446" s="5"/>
      <c r="I446" s="5"/>
      <c r="J446" s="6" t="str">
        <f t="shared" si="12"/>
        <v/>
      </c>
      <c r="K446" s="6" t="str">
        <f>IF(OR($B446="",$E446="",Calc!$B443=""),"",SUMIFS(CalcAmtA,CalcPartyA,$E446,CalcKeyA,"&lt;="&amp;Calc!$B443)-SUMIFS(CalcWitB,CalcPartyB,$E446,CalcKeyB,"&lt;="&amp;Calc!$B443)+SUMIFS(CalcDepB,CalcPartyB,$E446,CalcKeyB,"&lt;="&amp;Calc!$B443))</f>
        <v/>
      </c>
      <c r="L446" s="4"/>
    </row>
    <row r="447" spans="1:12" x14ac:dyDescent="0.2">
      <c r="A447" s="3" t="str">
        <f>IF($B447="","",COUNTA($B$9:$B447))</f>
        <v/>
      </c>
      <c r="B447" s="4"/>
      <c r="C447" s="4"/>
      <c r="D447" s="4"/>
      <c r="E447" s="4"/>
      <c r="F447" s="3" t="str">
        <f t="shared" si="13"/>
        <v/>
      </c>
      <c r="G447" s="4"/>
      <c r="H447" s="5"/>
      <c r="I447" s="5"/>
      <c r="J447" s="6" t="str">
        <f t="shared" si="12"/>
        <v/>
      </c>
      <c r="K447" s="6" t="str">
        <f>IF(OR($B447="",$E447="",Calc!$B444=""),"",SUMIFS(CalcAmtA,CalcPartyA,$E447,CalcKeyA,"&lt;="&amp;Calc!$B444)-SUMIFS(CalcWitB,CalcPartyB,$E447,CalcKeyB,"&lt;="&amp;Calc!$B444)+SUMIFS(CalcDepB,CalcPartyB,$E447,CalcKeyB,"&lt;="&amp;Calc!$B444))</f>
        <v/>
      </c>
      <c r="L447" s="4"/>
    </row>
    <row r="448" spans="1:12" x14ac:dyDescent="0.2">
      <c r="A448" s="3" t="str">
        <f>IF($B448="","",COUNTA($B$9:$B448))</f>
        <v/>
      </c>
      <c r="B448" s="4"/>
      <c r="C448" s="4"/>
      <c r="D448" s="4"/>
      <c r="E448" s="4"/>
      <c r="F448" s="3" t="str">
        <f t="shared" si="13"/>
        <v/>
      </c>
      <c r="G448" s="4"/>
      <c r="H448" s="5"/>
      <c r="I448" s="5"/>
      <c r="J448" s="6" t="str">
        <f t="shared" si="12"/>
        <v/>
      </c>
      <c r="K448" s="6" t="str">
        <f>IF(OR($B448="",$E448="",Calc!$B445=""),"",SUMIFS(CalcAmtA,CalcPartyA,$E448,CalcKeyA,"&lt;="&amp;Calc!$B445)-SUMIFS(CalcWitB,CalcPartyB,$E448,CalcKeyB,"&lt;="&amp;Calc!$B445)+SUMIFS(CalcDepB,CalcPartyB,$E448,CalcKeyB,"&lt;="&amp;Calc!$B445))</f>
        <v/>
      </c>
      <c r="L448" s="4"/>
    </row>
    <row r="449" spans="1:12" x14ac:dyDescent="0.2">
      <c r="A449" s="3" t="str">
        <f>IF($B449="","",COUNTA($B$9:$B449))</f>
        <v/>
      </c>
      <c r="B449" s="4"/>
      <c r="C449" s="4"/>
      <c r="D449" s="4"/>
      <c r="E449" s="4"/>
      <c r="F449" s="3" t="str">
        <f t="shared" si="13"/>
        <v/>
      </c>
      <c r="G449" s="4"/>
      <c r="H449" s="5"/>
      <c r="I449" s="5"/>
      <c r="J449" s="6" t="str">
        <f t="shared" si="12"/>
        <v/>
      </c>
      <c r="K449" s="6" t="str">
        <f>IF(OR($B449="",$E449="",Calc!$B446=""),"",SUMIFS(CalcAmtA,CalcPartyA,$E449,CalcKeyA,"&lt;="&amp;Calc!$B446)-SUMIFS(CalcWitB,CalcPartyB,$E449,CalcKeyB,"&lt;="&amp;Calc!$B446)+SUMIFS(CalcDepB,CalcPartyB,$E449,CalcKeyB,"&lt;="&amp;Calc!$B446))</f>
        <v/>
      </c>
      <c r="L449" s="4"/>
    </row>
    <row r="450" spans="1:12" x14ac:dyDescent="0.2">
      <c r="A450" s="3" t="str">
        <f>IF($B450="","",COUNTA($B$9:$B450))</f>
        <v/>
      </c>
      <c r="B450" s="4"/>
      <c r="C450" s="4"/>
      <c r="D450" s="4"/>
      <c r="E450" s="4"/>
      <c r="F450" s="3" t="str">
        <f t="shared" si="13"/>
        <v/>
      </c>
      <c r="G450" s="4"/>
      <c r="H450" s="5"/>
      <c r="I450" s="5"/>
      <c r="J450" s="6" t="str">
        <f t="shared" si="12"/>
        <v/>
      </c>
      <c r="K450" s="6" t="str">
        <f>IF(OR($B450="",$E450="",Calc!$B447=""),"",SUMIFS(CalcAmtA,CalcPartyA,$E450,CalcKeyA,"&lt;="&amp;Calc!$B447)-SUMIFS(CalcWitB,CalcPartyB,$E450,CalcKeyB,"&lt;="&amp;Calc!$B447)+SUMIFS(CalcDepB,CalcPartyB,$E450,CalcKeyB,"&lt;="&amp;Calc!$B447))</f>
        <v/>
      </c>
      <c r="L450" s="4"/>
    </row>
    <row r="451" spans="1:12" x14ac:dyDescent="0.2">
      <c r="A451" s="3" t="str">
        <f>IF($B451="","",COUNTA($B$9:$B451))</f>
        <v/>
      </c>
      <c r="B451" s="4"/>
      <c r="C451" s="4"/>
      <c r="D451" s="4"/>
      <c r="E451" s="4"/>
      <c r="F451" s="3" t="str">
        <f t="shared" si="13"/>
        <v/>
      </c>
      <c r="G451" s="4"/>
      <c r="H451" s="5"/>
      <c r="I451" s="5"/>
      <c r="J451" s="6" t="str">
        <f t="shared" si="12"/>
        <v/>
      </c>
      <c r="K451" s="6" t="str">
        <f>IF(OR($B451="",$E451="",Calc!$B448=""),"",SUMIFS(CalcAmtA,CalcPartyA,$E451,CalcKeyA,"&lt;="&amp;Calc!$B448)-SUMIFS(CalcWitB,CalcPartyB,$E451,CalcKeyB,"&lt;="&amp;Calc!$B448)+SUMIFS(CalcDepB,CalcPartyB,$E451,CalcKeyB,"&lt;="&amp;Calc!$B448))</f>
        <v/>
      </c>
      <c r="L451" s="4"/>
    </row>
    <row r="452" spans="1:12" x14ac:dyDescent="0.2">
      <c r="A452" s="3" t="str">
        <f>IF($B452="","",COUNTA($B$9:$B452))</f>
        <v/>
      </c>
      <c r="B452" s="4"/>
      <c r="C452" s="4"/>
      <c r="D452" s="4"/>
      <c r="E452" s="4"/>
      <c r="F452" s="3" t="str">
        <f t="shared" si="13"/>
        <v/>
      </c>
      <c r="G452" s="4"/>
      <c r="H452" s="5"/>
      <c r="I452" s="5"/>
      <c r="J452" s="6" t="str">
        <f t="shared" si="12"/>
        <v/>
      </c>
      <c r="K452" s="6" t="str">
        <f>IF(OR($B452="",$E452="",Calc!$B449=""),"",SUMIFS(CalcAmtA,CalcPartyA,$E452,CalcKeyA,"&lt;="&amp;Calc!$B449)-SUMIFS(CalcWitB,CalcPartyB,$E452,CalcKeyB,"&lt;="&amp;Calc!$B449)+SUMIFS(CalcDepB,CalcPartyB,$E452,CalcKeyB,"&lt;="&amp;Calc!$B449))</f>
        <v/>
      </c>
      <c r="L452" s="4"/>
    </row>
    <row r="453" spans="1:12" x14ac:dyDescent="0.2">
      <c r="A453" s="3" t="str">
        <f>IF($B453="","",COUNTA($B$9:$B453))</f>
        <v/>
      </c>
      <c r="B453" s="4"/>
      <c r="C453" s="4"/>
      <c r="D453" s="4"/>
      <c r="E453" s="4"/>
      <c r="F453" s="3" t="str">
        <f t="shared" si="13"/>
        <v/>
      </c>
      <c r="G453" s="4"/>
      <c r="H453" s="5"/>
      <c r="I453" s="5"/>
      <c r="J453" s="6" t="str">
        <f t="shared" si="12"/>
        <v/>
      </c>
      <c r="K453" s="6" t="str">
        <f>IF(OR($B453="",$E453="",Calc!$B450=""),"",SUMIFS(CalcAmtA,CalcPartyA,$E453,CalcKeyA,"&lt;="&amp;Calc!$B450)-SUMIFS(CalcWitB,CalcPartyB,$E453,CalcKeyB,"&lt;="&amp;Calc!$B450)+SUMIFS(CalcDepB,CalcPartyB,$E453,CalcKeyB,"&lt;="&amp;Calc!$B450))</f>
        <v/>
      </c>
      <c r="L453" s="4"/>
    </row>
    <row r="454" spans="1:12" x14ac:dyDescent="0.2">
      <c r="A454" s="3" t="str">
        <f>IF($B454="","",COUNTA($B$9:$B454))</f>
        <v/>
      </c>
      <c r="B454" s="4"/>
      <c r="C454" s="4"/>
      <c r="D454" s="4"/>
      <c r="E454" s="4"/>
      <c r="F454" s="3" t="str">
        <f t="shared" si="13"/>
        <v/>
      </c>
      <c r="G454" s="4"/>
      <c r="H454" s="5"/>
      <c r="I454" s="5"/>
      <c r="J454" s="6" t="str">
        <f t="shared" ref="J454:J517" si="14">IF(OR($H454="",$I454=""),"",ROUND($H454*$I454,0))</f>
        <v/>
      </c>
      <c r="K454" s="6" t="str">
        <f>IF(OR($B454="",$E454="",Calc!$B451=""),"",SUMIFS(CalcAmtA,CalcPartyA,$E454,CalcKeyA,"&lt;="&amp;Calc!$B451)-SUMIFS(CalcWitB,CalcPartyB,$E454,CalcKeyB,"&lt;="&amp;Calc!$B451)+SUMIFS(CalcDepB,CalcPartyB,$E454,CalcKeyB,"&lt;="&amp;Calc!$B451))</f>
        <v/>
      </c>
      <c r="L454" s="4"/>
    </row>
    <row r="455" spans="1:12" x14ac:dyDescent="0.2">
      <c r="A455" s="3" t="str">
        <f>IF($B455="","",COUNTA($B$9:$B455))</f>
        <v/>
      </c>
      <c r="B455" s="4"/>
      <c r="C455" s="4"/>
      <c r="D455" s="4"/>
      <c r="E455" s="4"/>
      <c r="F455" s="3" t="str">
        <f t="shared" si="13"/>
        <v/>
      </c>
      <c r="G455" s="4"/>
      <c r="H455" s="5"/>
      <c r="I455" s="5"/>
      <c r="J455" s="6" t="str">
        <f t="shared" si="14"/>
        <v/>
      </c>
      <c r="K455" s="6" t="str">
        <f>IF(OR($B455="",$E455="",Calc!$B452=""),"",SUMIFS(CalcAmtA,CalcPartyA,$E455,CalcKeyA,"&lt;="&amp;Calc!$B452)-SUMIFS(CalcWitB,CalcPartyB,$E455,CalcKeyB,"&lt;="&amp;Calc!$B452)+SUMIFS(CalcDepB,CalcPartyB,$E455,CalcKeyB,"&lt;="&amp;Calc!$B452))</f>
        <v/>
      </c>
      <c r="L455" s="4"/>
    </row>
    <row r="456" spans="1:12" x14ac:dyDescent="0.2">
      <c r="A456" s="3" t="str">
        <f>IF($B456="","",COUNTA($B$9:$B456))</f>
        <v/>
      </c>
      <c r="B456" s="4"/>
      <c r="C456" s="4"/>
      <c r="D456" s="4"/>
      <c r="E456" s="4"/>
      <c r="F456" s="3" t="str">
        <f t="shared" si="13"/>
        <v/>
      </c>
      <c r="G456" s="4"/>
      <c r="H456" s="5"/>
      <c r="I456" s="5"/>
      <c r="J456" s="6" t="str">
        <f t="shared" si="14"/>
        <v/>
      </c>
      <c r="K456" s="6" t="str">
        <f>IF(OR($B456="",$E456="",Calc!$B453=""),"",SUMIFS(CalcAmtA,CalcPartyA,$E456,CalcKeyA,"&lt;="&amp;Calc!$B453)-SUMIFS(CalcWitB,CalcPartyB,$E456,CalcKeyB,"&lt;="&amp;Calc!$B453)+SUMIFS(CalcDepB,CalcPartyB,$E456,CalcKeyB,"&lt;="&amp;Calc!$B453))</f>
        <v/>
      </c>
      <c r="L456" s="4"/>
    </row>
    <row r="457" spans="1:12" x14ac:dyDescent="0.2">
      <c r="A457" s="3" t="str">
        <f>IF($B457="","",COUNTA($B$9:$B457))</f>
        <v/>
      </c>
      <c r="B457" s="4"/>
      <c r="C457" s="4"/>
      <c r="D457" s="4"/>
      <c r="E457" s="4"/>
      <c r="F457" s="3" t="str">
        <f t="shared" ref="F457:F520" si="15">IF($E457="","",IFERROR(IF(VLOOKUP($E457,AcctTbl,4,0)="","",VLOOKUP($E457,AcctTbl,4,0)),"—"))</f>
        <v/>
      </c>
      <c r="G457" s="4"/>
      <c r="H457" s="5"/>
      <c r="I457" s="5"/>
      <c r="J457" s="6" t="str">
        <f t="shared" si="14"/>
        <v/>
      </c>
      <c r="K457" s="6" t="str">
        <f>IF(OR($B457="",$E457="",Calc!$B454=""),"",SUMIFS(CalcAmtA,CalcPartyA,$E457,CalcKeyA,"&lt;="&amp;Calc!$B454)-SUMIFS(CalcWitB,CalcPartyB,$E457,CalcKeyB,"&lt;="&amp;Calc!$B454)+SUMIFS(CalcDepB,CalcPartyB,$E457,CalcKeyB,"&lt;="&amp;Calc!$B454))</f>
        <v/>
      </c>
      <c r="L457" s="4"/>
    </row>
    <row r="458" spans="1:12" x14ac:dyDescent="0.2">
      <c r="A458" s="3" t="str">
        <f>IF($B458="","",COUNTA($B$9:$B458))</f>
        <v/>
      </c>
      <c r="B458" s="4"/>
      <c r="C458" s="4"/>
      <c r="D458" s="4"/>
      <c r="E458" s="4"/>
      <c r="F458" s="3" t="str">
        <f t="shared" si="15"/>
        <v/>
      </c>
      <c r="G458" s="4"/>
      <c r="H458" s="5"/>
      <c r="I458" s="5"/>
      <c r="J458" s="6" t="str">
        <f t="shared" si="14"/>
        <v/>
      </c>
      <c r="K458" s="6" t="str">
        <f>IF(OR($B458="",$E458="",Calc!$B455=""),"",SUMIFS(CalcAmtA,CalcPartyA,$E458,CalcKeyA,"&lt;="&amp;Calc!$B455)-SUMIFS(CalcWitB,CalcPartyB,$E458,CalcKeyB,"&lt;="&amp;Calc!$B455)+SUMIFS(CalcDepB,CalcPartyB,$E458,CalcKeyB,"&lt;="&amp;Calc!$B455))</f>
        <v/>
      </c>
      <c r="L458" s="4"/>
    </row>
    <row r="459" spans="1:12" x14ac:dyDescent="0.2">
      <c r="A459" s="3" t="str">
        <f>IF($B459="","",COUNTA($B$9:$B459))</f>
        <v/>
      </c>
      <c r="B459" s="4"/>
      <c r="C459" s="4"/>
      <c r="D459" s="4"/>
      <c r="E459" s="4"/>
      <c r="F459" s="3" t="str">
        <f t="shared" si="15"/>
        <v/>
      </c>
      <c r="G459" s="4"/>
      <c r="H459" s="5"/>
      <c r="I459" s="5"/>
      <c r="J459" s="6" t="str">
        <f t="shared" si="14"/>
        <v/>
      </c>
      <c r="K459" s="6" t="str">
        <f>IF(OR($B459="",$E459="",Calc!$B456=""),"",SUMIFS(CalcAmtA,CalcPartyA,$E459,CalcKeyA,"&lt;="&amp;Calc!$B456)-SUMIFS(CalcWitB,CalcPartyB,$E459,CalcKeyB,"&lt;="&amp;Calc!$B456)+SUMIFS(CalcDepB,CalcPartyB,$E459,CalcKeyB,"&lt;="&amp;Calc!$B456))</f>
        <v/>
      </c>
      <c r="L459" s="4"/>
    </row>
    <row r="460" spans="1:12" x14ac:dyDescent="0.2">
      <c r="A460" s="3" t="str">
        <f>IF($B460="","",COUNTA($B$9:$B460))</f>
        <v/>
      </c>
      <c r="B460" s="4"/>
      <c r="C460" s="4"/>
      <c r="D460" s="4"/>
      <c r="E460" s="4"/>
      <c r="F460" s="3" t="str">
        <f t="shared" si="15"/>
        <v/>
      </c>
      <c r="G460" s="4"/>
      <c r="H460" s="5"/>
      <c r="I460" s="5"/>
      <c r="J460" s="6" t="str">
        <f t="shared" si="14"/>
        <v/>
      </c>
      <c r="K460" s="6" t="str">
        <f>IF(OR($B460="",$E460="",Calc!$B457=""),"",SUMIFS(CalcAmtA,CalcPartyA,$E460,CalcKeyA,"&lt;="&amp;Calc!$B457)-SUMIFS(CalcWitB,CalcPartyB,$E460,CalcKeyB,"&lt;="&amp;Calc!$B457)+SUMIFS(CalcDepB,CalcPartyB,$E460,CalcKeyB,"&lt;="&amp;Calc!$B457))</f>
        <v/>
      </c>
      <c r="L460" s="4"/>
    </row>
    <row r="461" spans="1:12" x14ac:dyDescent="0.2">
      <c r="A461" s="3" t="str">
        <f>IF($B461="","",COUNTA($B$9:$B461))</f>
        <v/>
      </c>
      <c r="B461" s="4"/>
      <c r="C461" s="4"/>
      <c r="D461" s="4"/>
      <c r="E461" s="4"/>
      <c r="F461" s="3" t="str">
        <f t="shared" si="15"/>
        <v/>
      </c>
      <c r="G461" s="4"/>
      <c r="H461" s="5"/>
      <c r="I461" s="5"/>
      <c r="J461" s="6" t="str">
        <f t="shared" si="14"/>
        <v/>
      </c>
      <c r="K461" s="6" t="str">
        <f>IF(OR($B461="",$E461="",Calc!$B458=""),"",SUMIFS(CalcAmtA,CalcPartyA,$E461,CalcKeyA,"&lt;="&amp;Calc!$B458)-SUMIFS(CalcWitB,CalcPartyB,$E461,CalcKeyB,"&lt;="&amp;Calc!$B458)+SUMIFS(CalcDepB,CalcPartyB,$E461,CalcKeyB,"&lt;="&amp;Calc!$B458))</f>
        <v/>
      </c>
      <c r="L461" s="4"/>
    </row>
    <row r="462" spans="1:12" x14ac:dyDescent="0.2">
      <c r="A462" s="3" t="str">
        <f>IF($B462="","",COUNTA($B$9:$B462))</f>
        <v/>
      </c>
      <c r="B462" s="4"/>
      <c r="C462" s="4"/>
      <c r="D462" s="4"/>
      <c r="E462" s="4"/>
      <c r="F462" s="3" t="str">
        <f t="shared" si="15"/>
        <v/>
      </c>
      <c r="G462" s="4"/>
      <c r="H462" s="5"/>
      <c r="I462" s="5"/>
      <c r="J462" s="6" t="str">
        <f t="shared" si="14"/>
        <v/>
      </c>
      <c r="K462" s="6" t="str">
        <f>IF(OR($B462="",$E462="",Calc!$B459=""),"",SUMIFS(CalcAmtA,CalcPartyA,$E462,CalcKeyA,"&lt;="&amp;Calc!$B459)-SUMIFS(CalcWitB,CalcPartyB,$E462,CalcKeyB,"&lt;="&amp;Calc!$B459)+SUMIFS(CalcDepB,CalcPartyB,$E462,CalcKeyB,"&lt;="&amp;Calc!$B459))</f>
        <v/>
      </c>
      <c r="L462" s="4"/>
    </row>
    <row r="463" spans="1:12" x14ac:dyDescent="0.2">
      <c r="A463" s="3" t="str">
        <f>IF($B463="","",COUNTA($B$9:$B463))</f>
        <v/>
      </c>
      <c r="B463" s="4"/>
      <c r="C463" s="4"/>
      <c r="D463" s="4"/>
      <c r="E463" s="4"/>
      <c r="F463" s="3" t="str">
        <f t="shared" si="15"/>
        <v/>
      </c>
      <c r="G463" s="4"/>
      <c r="H463" s="5"/>
      <c r="I463" s="5"/>
      <c r="J463" s="6" t="str">
        <f t="shared" si="14"/>
        <v/>
      </c>
      <c r="K463" s="6" t="str">
        <f>IF(OR($B463="",$E463="",Calc!$B460=""),"",SUMIFS(CalcAmtA,CalcPartyA,$E463,CalcKeyA,"&lt;="&amp;Calc!$B460)-SUMIFS(CalcWitB,CalcPartyB,$E463,CalcKeyB,"&lt;="&amp;Calc!$B460)+SUMIFS(CalcDepB,CalcPartyB,$E463,CalcKeyB,"&lt;="&amp;Calc!$B460))</f>
        <v/>
      </c>
      <c r="L463" s="4"/>
    </row>
    <row r="464" spans="1:12" x14ac:dyDescent="0.2">
      <c r="A464" s="3" t="str">
        <f>IF($B464="","",COUNTA($B$9:$B464))</f>
        <v/>
      </c>
      <c r="B464" s="4"/>
      <c r="C464" s="4"/>
      <c r="D464" s="4"/>
      <c r="E464" s="4"/>
      <c r="F464" s="3" t="str">
        <f t="shared" si="15"/>
        <v/>
      </c>
      <c r="G464" s="4"/>
      <c r="H464" s="5"/>
      <c r="I464" s="5"/>
      <c r="J464" s="6" t="str">
        <f t="shared" si="14"/>
        <v/>
      </c>
      <c r="K464" s="6" t="str">
        <f>IF(OR($B464="",$E464="",Calc!$B461=""),"",SUMIFS(CalcAmtA,CalcPartyA,$E464,CalcKeyA,"&lt;="&amp;Calc!$B461)-SUMIFS(CalcWitB,CalcPartyB,$E464,CalcKeyB,"&lt;="&amp;Calc!$B461)+SUMIFS(CalcDepB,CalcPartyB,$E464,CalcKeyB,"&lt;="&amp;Calc!$B461))</f>
        <v/>
      </c>
      <c r="L464" s="4"/>
    </row>
    <row r="465" spans="1:12" x14ac:dyDescent="0.2">
      <c r="A465" s="3" t="str">
        <f>IF($B465="","",COUNTA($B$9:$B465))</f>
        <v/>
      </c>
      <c r="B465" s="4"/>
      <c r="C465" s="4"/>
      <c r="D465" s="4"/>
      <c r="E465" s="4"/>
      <c r="F465" s="3" t="str">
        <f t="shared" si="15"/>
        <v/>
      </c>
      <c r="G465" s="4"/>
      <c r="H465" s="5"/>
      <c r="I465" s="5"/>
      <c r="J465" s="6" t="str">
        <f t="shared" si="14"/>
        <v/>
      </c>
      <c r="K465" s="6" t="str">
        <f>IF(OR($B465="",$E465="",Calc!$B462=""),"",SUMIFS(CalcAmtA,CalcPartyA,$E465,CalcKeyA,"&lt;="&amp;Calc!$B462)-SUMIFS(CalcWitB,CalcPartyB,$E465,CalcKeyB,"&lt;="&amp;Calc!$B462)+SUMIFS(CalcDepB,CalcPartyB,$E465,CalcKeyB,"&lt;="&amp;Calc!$B462))</f>
        <v/>
      </c>
      <c r="L465" s="4"/>
    </row>
    <row r="466" spans="1:12" x14ac:dyDescent="0.2">
      <c r="A466" s="3" t="str">
        <f>IF($B466="","",COUNTA($B$9:$B466))</f>
        <v/>
      </c>
      <c r="B466" s="4"/>
      <c r="C466" s="4"/>
      <c r="D466" s="4"/>
      <c r="E466" s="4"/>
      <c r="F466" s="3" t="str">
        <f t="shared" si="15"/>
        <v/>
      </c>
      <c r="G466" s="4"/>
      <c r="H466" s="5"/>
      <c r="I466" s="5"/>
      <c r="J466" s="6" t="str">
        <f t="shared" si="14"/>
        <v/>
      </c>
      <c r="K466" s="6" t="str">
        <f>IF(OR($B466="",$E466="",Calc!$B463=""),"",SUMIFS(CalcAmtA,CalcPartyA,$E466,CalcKeyA,"&lt;="&amp;Calc!$B463)-SUMIFS(CalcWitB,CalcPartyB,$E466,CalcKeyB,"&lt;="&amp;Calc!$B463)+SUMIFS(CalcDepB,CalcPartyB,$E466,CalcKeyB,"&lt;="&amp;Calc!$B463))</f>
        <v/>
      </c>
      <c r="L466" s="4"/>
    </row>
    <row r="467" spans="1:12" x14ac:dyDescent="0.2">
      <c r="A467" s="3" t="str">
        <f>IF($B467="","",COUNTA($B$9:$B467))</f>
        <v/>
      </c>
      <c r="B467" s="4"/>
      <c r="C467" s="4"/>
      <c r="D467" s="4"/>
      <c r="E467" s="4"/>
      <c r="F467" s="3" t="str">
        <f t="shared" si="15"/>
        <v/>
      </c>
      <c r="G467" s="4"/>
      <c r="H467" s="5"/>
      <c r="I467" s="5"/>
      <c r="J467" s="6" t="str">
        <f t="shared" si="14"/>
        <v/>
      </c>
      <c r="K467" s="6" t="str">
        <f>IF(OR($B467="",$E467="",Calc!$B464=""),"",SUMIFS(CalcAmtA,CalcPartyA,$E467,CalcKeyA,"&lt;="&amp;Calc!$B464)-SUMIFS(CalcWitB,CalcPartyB,$E467,CalcKeyB,"&lt;="&amp;Calc!$B464)+SUMIFS(CalcDepB,CalcPartyB,$E467,CalcKeyB,"&lt;="&amp;Calc!$B464))</f>
        <v/>
      </c>
      <c r="L467" s="4"/>
    </row>
    <row r="468" spans="1:12" x14ac:dyDescent="0.2">
      <c r="A468" s="3" t="str">
        <f>IF($B468="","",COUNTA($B$9:$B468))</f>
        <v/>
      </c>
      <c r="B468" s="4"/>
      <c r="C468" s="4"/>
      <c r="D468" s="4"/>
      <c r="E468" s="4"/>
      <c r="F468" s="3" t="str">
        <f t="shared" si="15"/>
        <v/>
      </c>
      <c r="G468" s="4"/>
      <c r="H468" s="5"/>
      <c r="I468" s="5"/>
      <c r="J468" s="6" t="str">
        <f t="shared" si="14"/>
        <v/>
      </c>
      <c r="K468" s="6" t="str">
        <f>IF(OR($B468="",$E468="",Calc!$B465=""),"",SUMIFS(CalcAmtA,CalcPartyA,$E468,CalcKeyA,"&lt;="&amp;Calc!$B465)-SUMIFS(CalcWitB,CalcPartyB,$E468,CalcKeyB,"&lt;="&amp;Calc!$B465)+SUMIFS(CalcDepB,CalcPartyB,$E468,CalcKeyB,"&lt;="&amp;Calc!$B465))</f>
        <v/>
      </c>
      <c r="L468" s="4"/>
    </row>
    <row r="469" spans="1:12" x14ac:dyDescent="0.2">
      <c r="A469" s="3" t="str">
        <f>IF($B469="","",COUNTA($B$9:$B469))</f>
        <v/>
      </c>
      <c r="B469" s="4"/>
      <c r="C469" s="4"/>
      <c r="D469" s="4"/>
      <c r="E469" s="4"/>
      <c r="F469" s="3" t="str">
        <f t="shared" si="15"/>
        <v/>
      </c>
      <c r="G469" s="4"/>
      <c r="H469" s="5"/>
      <c r="I469" s="5"/>
      <c r="J469" s="6" t="str">
        <f t="shared" si="14"/>
        <v/>
      </c>
      <c r="K469" s="6" t="str">
        <f>IF(OR($B469="",$E469="",Calc!$B466=""),"",SUMIFS(CalcAmtA,CalcPartyA,$E469,CalcKeyA,"&lt;="&amp;Calc!$B466)-SUMIFS(CalcWitB,CalcPartyB,$E469,CalcKeyB,"&lt;="&amp;Calc!$B466)+SUMIFS(CalcDepB,CalcPartyB,$E469,CalcKeyB,"&lt;="&amp;Calc!$B466))</f>
        <v/>
      </c>
      <c r="L469" s="4"/>
    </row>
    <row r="470" spans="1:12" x14ac:dyDescent="0.2">
      <c r="A470" s="3" t="str">
        <f>IF($B470="","",COUNTA($B$9:$B470))</f>
        <v/>
      </c>
      <c r="B470" s="4"/>
      <c r="C470" s="4"/>
      <c r="D470" s="4"/>
      <c r="E470" s="4"/>
      <c r="F470" s="3" t="str">
        <f t="shared" si="15"/>
        <v/>
      </c>
      <c r="G470" s="4"/>
      <c r="H470" s="5"/>
      <c r="I470" s="5"/>
      <c r="J470" s="6" t="str">
        <f t="shared" si="14"/>
        <v/>
      </c>
      <c r="K470" s="6" t="str">
        <f>IF(OR($B470="",$E470="",Calc!$B467=""),"",SUMIFS(CalcAmtA,CalcPartyA,$E470,CalcKeyA,"&lt;="&amp;Calc!$B467)-SUMIFS(CalcWitB,CalcPartyB,$E470,CalcKeyB,"&lt;="&amp;Calc!$B467)+SUMIFS(CalcDepB,CalcPartyB,$E470,CalcKeyB,"&lt;="&amp;Calc!$B467))</f>
        <v/>
      </c>
      <c r="L470" s="4"/>
    </row>
    <row r="471" spans="1:12" x14ac:dyDescent="0.2">
      <c r="A471" s="3" t="str">
        <f>IF($B471="","",COUNTA($B$9:$B471))</f>
        <v/>
      </c>
      <c r="B471" s="4"/>
      <c r="C471" s="4"/>
      <c r="D471" s="4"/>
      <c r="E471" s="4"/>
      <c r="F471" s="3" t="str">
        <f t="shared" si="15"/>
        <v/>
      </c>
      <c r="G471" s="4"/>
      <c r="H471" s="5"/>
      <c r="I471" s="5"/>
      <c r="J471" s="6" t="str">
        <f t="shared" si="14"/>
        <v/>
      </c>
      <c r="K471" s="6" t="str">
        <f>IF(OR($B471="",$E471="",Calc!$B468=""),"",SUMIFS(CalcAmtA,CalcPartyA,$E471,CalcKeyA,"&lt;="&amp;Calc!$B468)-SUMIFS(CalcWitB,CalcPartyB,$E471,CalcKeyB,"&lt;="&amp;Calc!$B468)+SUMIFS(CalcDepB,CalcPartyB,$E471,CalcKeyB,"&lt;="&amp;Calc!$B468))</f>
        <v/>
      </c>
      <c r="L471" s="4"/>
    </row>
    <row r="472" spans="1:12" x14ac:dyDescent="0.2">
      <c r="A472" s="3" t="str">
        <f>IF($B472="","",COUNTA($B$9:$B472))</f>
        <v/>
      </c>
      <c r="B472" s="4"/>
      <c r="C472" s="4"/>
      <c r="D472" s="4"/>
      <c r="E472" s="4"/>
      <c r="F472" s="3" t="str">
        <f t="shared" si="15"/>
        <v/>
      </c>
      <c r="G472" s="4"/>
      <c r="H472" s="5"/>
      <c r="I472" s="5"/>
      <c r="J472" s="6" t="str">
        <f t="shared" si="14"/>
        <v/>
      </c>
      <c r="K472" s="6" t="str">
        <f>IF(OR($B472="",$E472="",Calc!$B469=""),"",SUMIFS(CalcAmtA,CalcPartyA,$E472,CalcKeyA,"&lt;="&amp;Calc!$B469)-SUMIFS(CalcWitB,CalcPartyB,$E472,CalcKeyB,"&lt;="&amp;Calc!$B469)+SUMIFS(CalcDepB,CalcPartyB,$E472,CalcKeyB,"&lt;="&amp;Calc!$B469))</f>
        <v/>
      </c>
      <c r="L472" s="4"/>
    </row>
    <row r="473" spans="1:12" x14ac:dyDescent="0.2">
      <c r="A473" s="3" t="str">
        <f>IF($B473="","",COUNTA($B$9:$B473))</f>
        <v/>
      </c>
      <c r="B473" s="4"/>
      <c r="C473" s="4"/>
      <c r="D473" s="4"/>
      <c r="E473" s="4"/>
      <c r="F473" s="3" t="str">
        <f t="shared" si="15"/>
        <v/>
      </c>
      <c r="G473" s="4"/>
      <c r="H473" s="5"/>
      <c r="I473" s="5"/>
      <c r="J473" s="6" t="str">
        <f t="shared" si="14"/>
        <v/>
      </c>
      <c r="K473" s="6" t="str">
        <f>IF(OR($B473="",$E473="",Calc!$B470=""),"",SUMIFS(CalcAmtA,CalcPartyA,$E473,CalcKeyA,"&lt;="&amp;Calc!$B470)-SUMIFS(CalcWitB,CalcPartyB,$E473,CalcKeyB,"&lt;="&amp;Calc!$B470)+SUMIFS(CalcDepB,CalcPartyB,$E473,CalcKeyB,"&lt;="&amp;Calc!$B470))</f>
        <v/>
      </c>
      <c r="L473" s="4"/>
    </row>
    <row r="474" spans="1:12" x14ac:dyDescent="0.2">
      <c r="A474" s="3" t="str">
        <f>IF($B474="","",COUNTA($B$9:$B474))</f>
        <v/>
      </c>
      <c r="B474" s="4"/>
      <c r="C474" s="4"/>
      <c r="D474" s="4"/>
      <c r="E474" s="4"/>
      <c r="F474" s="3" t="str">
        <f t="shared" si="15"/>
        <v/>
      </c>
      <c r="G474" s="4"/>
      <c r="H474" s="5"/>
      <c r="I474" s="5"/>
      <c r="J474" s="6" t="str">
        <f t="shared" si="14"/>
        <v/>
      </c>
      <c r="K474" s="6" t="str">
        <f>IF(OR($B474="",$E474="",Calc!$B471=""),"",SUMIFS(CalcAmtA,CalcPartyA,$E474,CalcKeyA,"&lt;="&amp;Calc!$B471)-SUMIFS(CalcWitB,CalcPartyB,$E474,CalcKeyB,"&lt;="&amp;Calc!$B471)+SUMIFS(CalcDepB,CalcPartyB,$E474,CalcKeyB,"&lt;="&amp;Calc!$B471))</f>
        <v/>
      </c>
      <c r="L474" s="4"/>
    </row>
    <row r="475" spans="1:12" x14ac:dyDescent="0.2">
      <c r="A475" s="3" t="str">
        <f>IF($B475="","",COUNTA($B$9:$B475))</f>
        <v/>
      </c>
      <c r="B475" s="4"/>
      <c r="C475" s="4"/>
      <c r="D475" s="4"/>
      <c r="E475" s="4"/>
      <c r="F475" s="3" t="str">
        <f t="shared" si="15"/>
        <v/>
      </c>
      <c r="G475" s="4"/>
      <c r="H475" s="5"/>
      <c r="I475" s="5"/>
      <c r="J475" s="6" t="str">
        <f t="shared" si="14"/>
        <v/>
      </c>
      <c r="K475" s="6" t="str">
        <f>IF(OR($B475="",$E475="",Calc!$B472=""),"",SUMIFS(CalcAmtA,CalcPartyA,$E475,CalcKeyA,"&lt;="&amp;Calc!$B472)-SUMIFS(CalcWitB,CalcPartyB,$E475,CalcKeyB,"&lt;="&amp;Calc!$B472)+SUMIFS(CalcDepB,CalcPartyB,$E475,CalcKeyB,"&lt;="&amp;Calc!$B472))</f>
        <v/>
      </c>
      <c r="L475" s="4"/>
    </row>
    <row r="476" spans="1:12" x14ac:dyDescent="0.2">
      <c r="A476" s="3" t="str">
        <f>IF($B476="","",COUNTA($B$9:$B476))</f>
        <v/>
      </c>
      <c r="B476" s="4"/>
      <c r="C476" s="4"/>
      <c r="D476" s="4"/>
      <c r="E476" s="4"/>
      <c r="F476" s="3" t="str">
        <f t="shared" si="15"/>
        <v/>
      </c>
      <c r="G476" s="4"/>
      <c r="H476" s="5"/>
      <c r="I476" s="5"/>
      <c r="J476" s="6" t="str">
        <f t="shared" si="14"/>
        <v/>
      </c>
      <c r="K476" s="6" t="str">
        <f>IF(OR($B476="",$E476="",Calc!$B473=""),"",SUMIFS(CalcAmtA,CalcPartyA,$E476,CalcKeyA,"&lt;="&amp;Calc!$B473)-SUMIFS(CalcWitB,CalcPartyB,$E476,CalcKeyB,"&lt;="&amp;Calc!$B473)+SUMIFS(CalcDepB,CalcPartyB,$E476,CalcKeyB,"&lt;="&amp;Calc!$B473))</f>
        <v/>
      </c>
      <c r="L476" s="4"/>
    </row>
    <row r="477" spans="1:12" x14ac:dyDescent="0.2">
      <c r="A477" s="3" t="str">
        <f>IF($B477="","",COUNTA($B$9:$B477))</f>
        <v/>
      </c>
      <c r="B477" s="4"/>
      <c r="C477" s="4"/>
      <c r="D477" s="4"/>
      <c r="E477" s="4"/>
      <c r="F477" s="3" t="str">
        <f t="shared" si="15"/>
        <v/>
      </c>
      <c r="G477" s="4"/>
      <c r="H477" s="5"/>
      <c r="I477" s="5"/>
      <c r="J477" s="6" t="str">
        <f t="shared" si="14"/>
        <v/>
      </c>
      <c r="K477" s="6" t="str">
        <f>IF(OR($B477="",$E477="",Calc!$B474=""),"",SUMIFS(CalcAmtA,CalcPartyA,$E477,CalcKeyA,"&lt;="&amp;Calc!$B474)-SUMIFS(CalcWitB,CalcPartyB,$E477,CalcKeyB,"&lt;="&amp;Calc!$B474)+SUMIFS(CalcDepB,CalcPartyB,$E477,CalcKeyB,"&lt;="&amp;Calc!$B474))</f>
        <v/>
      </c>
      <c r="L477" s="4"/>
    </row>
    <row r="478" spans="1:12" x14ac:dyDescent="0.2">
      <c r="A478" s="3" t="str">
        <f>IF($B478="","",COUNTA($B$9:$B478))</f>
        <v/>
      </c>
      <c r="B478" s="4"/>
      <c r="C478" s="4"/>
      <c r="D478" s="4"/>
      <c r="E478" s="4"/>
      <c r="F478" s="3" t="str">
        <f t="shared" si="15"/>
        <v/>
      </c>
      <c r="G478" s="4"/>
      <c r="H478" s="5"/>
      <c r="I478" s="5"/>
      <c r="J478" s="6" t="str">
        <f t="shared" si="14"/>
        <v/>
      </c>
      <c r="K478" s="6" t="str">
        <f>IF(OR($B478="",$E478="",Calc!$B475=""),"",SUMIFS(CalcAmtA,CalcPartyA,$E478,CalcKeyA,"&lt;="&amp;Calc!$B475)-SUMIFS(CalcWitB,CalcPartyB,$E478,CalcKeyB,"&lt;="&amp;Calc!$B475)+SUMIFS(CalcDepB,CalcPartyB,$E478,CalcKeyB,"&lt;="&amp;Calc!$B475))</f>
        <v/>
      </c>
      <c r="L478" s="4"/>
    </row>
    <row r="479" spans="1:12" x14ac:dyDescent="0.2">
      <c r="A479" s="3" t="str">
        <f>IF($B479="","",COUNTA($B$9:$B479))</f>
        <v/>
      </c>
      <c r="B479" s="4"/>
      <c r="C479" s="4"/>
      <c r="D479" s="4"/>
      <c r="E479" s="4"/>
      <c r="F479" s="3" t="str">
        <f t="shared" si="15"/>
        <v/>
      </c>
      <c r="G479" s="4"/>
      <c r="H479" s="5"/>
      <c r="I479" s="5"/>
      <c r="J479" s="6" t="str">
        <f t="shared" si="14"/>
        <v/>
      </c>
      <c r="K479" s="6" t="str">
        <f>IF(OR($B479="",$E479="",Calc!$B476=""),"",SUMIFS(CalcAmtA,CalcPartyA,$E479,CalcKeyA,"&lt;="&amp;Calc!$B476)-SUMIFS(CalcWitB,CalcPartyB,$E479,CalcKeyB,"&lt;="&amp;Calc!$B476)+SUMIFS(CalcDepB,CalcPartyB,$E479,CalcKeyB,"&lt;="&amp;Calc!$B476))</f>
        <v/>
      </c>
      <c r="L479" s="4"/>
    </row>
    <row r="480" spans="1:12" x14ac:dyDescent="0.2">
      <c r="A480" s="3" t="str">
        <f>IF($B480="","",COUNTA($B$9:$B480))</f>
        <v/>
      </c>
      <c r="B480" s="4"/>
      <c r="C480" s="4"/>
      <c r="D480" s="4"/>
      <c r="E480" s="4"/>
      <c r="F480" s="3" t="str">
        <f t="shared" si="15"/>
        <v/>
      </c>
      <c r="G480" s="4"/>
      <c r="H480" s="5"/>
      <c r="I480" s="5"/>
      <c r="J480" s="6" t="str">
        <f t="shared" si="14"/>
        <v/>
      </c>
      <c r="K480" s="6" t="str">
        <f>IF(OR($B480="",$E480="",Calc!$B477=""),"",SUMIFS(CalcAmtA,CalcPartyA,$E480,CalcKeyA,"&lt;="&amp;Calc!$B477)-SUMIFS(CalcWitB,CalcPartyB,$E480,CalcKeyB,"&lt;="&amp;Calc!$B477)+SUMIFS(CalcDepB,CalcPartyB,$E480,CalcKeyB,"&lt;="&amp;Calc!$B477))</f>
        <v/>
      </c>
      <c r="L480" s="4"/>
    </row>
    <row r="481" spans="1:12" x14ac:dyDescent="0.2">
      <c r="A481" s="3" t="str">
        <f>IF($B481="","",COUNTA($B$9:$B481))</f>
        <v/>
      </c>
      <c r="B481" s="4"/>
      <c r="C481" s="4"/>
      <c r="D481" s="4"/>
      <c r="E481" s="4"/>
      <c r="F481" s="3" t="str">
        <f t="shared" si="15"/>
        <v/>
      </c>
      <c r="G481" s="4"/>
      <c r="H481" s="5"/>
      <c r="I481" s="5"/>
      <c r="J481" s="6" t="str">
        <f t="shared" si="14"/>
        <v/>
      </c>
      <c r="K481" s="6" t="str">
        <f>IF(OR($B481="",$E481="",Calc!$B478=""),"",SUMIFS(CalcAmtA,CalcPartyA,$E481,CalcKeyA,"&lt;="&amp;Calc!$B478)-SUMIFS(CalcWitB,CalcPartyB,$E481,CalcKeyB,"&lt;="&amp;Calc!$B478)+SUMIFS(CalcDepB,CalcPartyB,$E481,CalcKeyB,"&lt;="&amp;Calc!$B478))</f>
        <v/>
      </c>
      <c r="L481" s="4"/>
    </row>
    <row r="482" spans="1:12" x14ac:dyDescent="0.2">
      <c r="A482" s="3" t="str">
        <f>IF($B482="","",COUNTA($B$9:$B482))</f>
        <v/>
      </c>
      <c r="B482" s="4"/>
      <c r="C482" s="4"/>
      <c r="D482" s="4"/>
      <c r="E482" s="4"/>
      <c r="F482" s="3" t="str">
        <f t="shared" si="15"/>
        <v/>
      </c>
      <c r="G482" s="4"/>
      <c r="H482" s="5"/>
      <c r="I482" s="5"/>
      <c r="J482" s="6" t="str">
        <f t="shared" si="14"/>
        <v/>
      </c>
      <c r="K482" s="6" t="str">
        <f>IF(OR($B482="",$E482="",Calc!$B479=""),"",SUMIFS(CalcAmtA,CalcPartyA,$E482,CalcKeyA,"&lt;="&amp;Calc!$B479)-SUMIFS(CalcWitB,CalcPartyB,$E482,CalcKeyB,"&lt;="&amp;Calc!$B479)+SUMIFS(CalcDepB,CalcPartyB,$E482,CalcKeyB,"&lt;="&amp;Calc!$B479))</f>
        <v/>
      </c>
      <c r="L482" s="4"/>
    </row>
    <row r="483" spans="1:12" x14ac:dyDescent="0.2">
      <c r="A483" s="3" t="str">
        <f>IF($B483="","",COUNTA($B$9:$B483))</f>
        <v/>
      </c>
      <c r="B483" s="4"/>
      <c r="C483" s="4"/>
      <c r="D483" s="4"/>
      <c r="E483" s="4"/>
      <c r="F483" s="3" t="str">
        <f t="shared" si="15"/>
        <v/>
      </c>
      <c r="G483" s="4"/>
      <c r="H483" s="5"/>
      <c r="I483" s="5"/>
      <c r="J483" s="6" t="str">
        <f t="shared" si="14"/>
        <v/>
      </c>
      <c r="K483" s="6" t="str">
        <f>IF(OR($B483="",$E483="",Calc!$B480=""),"",SUMIFS(CalcAmtA,CalcPartyA,$E483,CalcKeyA,"&lt;="&amp;Calc!$B480)-SUMIFS(CalcWitB,CalcPartyB,$E483,CalcKeyB,"&lt;="&amp;Calc!$B480)+SUMIFS(CalcDepB,CalcPartyB,$E483,CalcKeyB,"&lt;="&amp;Calc!$B480))</f>
        <v/>
      </c>
      <c r="L483" s="4"/>
    </row>
    <row r="484" spans="1:12" x14ac:dyDescent="0.2">
      <c r="A484" s="3" t="str">
        <f>IF($B484="","",COUNTA($B$9:$B484))</f>
        <v/>
      </c>
      <c r="B484" s="4"/>
      <c r="C484" s="4"/>
      <c r="D484" s="4"/>
      <c r="E484" s="4"/>
      <c r="F484" s="3" t="str">
        <f t="shared" si="15"/>
        <v/>
      </c>
      <c r="G484" s="4"/>
      <c r="H484" s="5"/>
      <c r="I484" s="5"/>
      <c r="J484" s="6" t="str">
        <f t="shared" si="14"/>
        <v/>
      </c>
      <c r="K484" s="6" t="str">
        <f>IF(OR($B484="",$E484="",Calc!$B481=""),"",SUMIFS(CalcAmtA,CalcPartyA,$E484,CalcKeyA,"&lt;="&amp;Calc!$B481)-SUMIFS(CalcWitB,CalcPartyB,$E484,CalcKeyB,"&lt;="&amp;Calc!$B481)+SUMIFS(CalcDepB,CalcPartyB,$E484,CalcKeyB,"&lt;="&amp;Calc!$B481))</f>
        <v/>
      </c>
      <c r="L484" s="4"/>
    </row>
    <row r="485" spans="1:12" x14ac:dyDescent="0.2">
      <c r="A485" s="3" t="str">
        <f>IF($B485="","",COUNTA($B$9:$B485))</f>
        <v/>
      </c>
      <c r="B485" s="4"/>
      <c r="C485" s="4"/>
      <c r="D485" s="4"/>
      <c r="E485" s="4"/>
      <c r="F485" s="3" t="str">
        <f t="shared" si="15"/>
        <v/>
      </c>
      <c r="G485" s="4"/>
      <c r="H485" s="5"/>
      <c r="I485" s="5"/>
      <c r="J485" s="6" t="str">
        <f t="shared" si="14"/>
        <v/>
      </c>
      <c r="K485" s="6" t="str">
        <f>IF(OR($B485="",$E485="",Calc!$B482=""),"",SUMIFS(CalcAmtA,CalcPartyA,$E485,CalcKeyA,"&lt;="&amp;Calc!$B482)-SUMIFS(CalcWitB,CalcPartyB,$E485,CalcKeyB,"&lt;="&amp;Calc!$B482)+SUMIFS(CalcDepB,CalcPartyB,$E485,CalcKeyB,"&lt;="&amp;Calc!$B482))</f>
        <v/>
      </c>
      <c r="L485" s="4"/>
    </row>
    <row r="486" spans="1:12" x14ac:dyDescent="0.2">
      <c r="A486" s="3" t="str">
        <f>IF($B486="","",COUNTA($B$9:$B486))</f>
        <v/>
      </c>
      <c r="B486" s="4"/>
      <c r="C486" s="4"/>
      <c r="D486" s="4"/>
      <c r="E486" s="4"/>
      <c r="F486" s="3" t="str">
        <f t="shared" si="15"/>
        <v/>
      </c>
      <c r="G486" s="4"/>
      <c r="H486" s="5"/>
      <c r="I486" s="5"/>
      <c r="J486" s="6" t="str">
        <f t="shared" si="14"/>
        <v/>
      </c>
      <c r="K486" s="6" t="str">
        <f>IF(OR($B486="",$E486="",Calc!$B483=""),"",SUMIFS(CalcAmtA,CalcPartyA,$E486,CalcKeyA,"&lt;="&amp;Calc!$B483)-SUMIFS(CalcWitB,CalcPartyB,$E486,CalcKeyB,"&lt;="&amp;Calc!$B483)+SUMIFS(CalcDepB,CalcPartyB,$E486,CalcKeyB,"&lt;="&amp;Calc!$B483))</f>
        <v/>
      </c>
      <c r="L486" s="4"/>
    </row>
    <row r="487" spans="1:12" x14ac:dyDescent="0.2">
      <c r="A487" s="3" t="str">
        <f>IF($B487="","",COUNTA($B$9:$B487))</f>
        <v/>
      </c>
      <c r="B487" s="4"/>
      <c r="C487" s="4"/>
      <c r="D487" s="4"/>
      <c r="E487" s="4"/>
      <c r="F487" s="3" t="str">
        <f t="shared" si="15"/>
        <v/>
      </c>
      <c r="G487" s="4"/>
      <c r="H487" s="5"/>
      <c r="I487" s="5"/>
      <c r="J487" s="6" t="str">
        <f t="shared" si="14"/>
        <v/>
      </c>
      <c r="K487" s="6" t="str">
        <f>IF(OR($B487="",$E487="",Calc!$B484=""),"",SUMIFS(CalcAmtA,CalcPartyA,$E487,CalcKeyA,"&lt;="&amp;Calc!$B484)-SUMIFS(CalcWitB,CalcPartyB,$E487,CalcKeyB,"&lt;="&amp;Calc!$B484)+SUMIFS(CalcDepB,CalcPartyB,$E487,CalcKeyB,"&lt;="&amp;Calc!$B484))</f>
        <v/>
      </c>
      <c r="L487" s="4"/>
    </row>
    <row r="488" spans="1:12" x14ac:dyDescent="0.2">
      <c r="A488" s="3" t="str">
        <f>IF($B488="","",COUNTA($B$9:$B488))</f>
        <v/>
      </c>
      <c r="B488" s="4"/>
      <c r="C488" s="4"/>
      <c r="D488" s="4"/>
      <c r="E488" s="4"/>
      <c r="F488" s="3" t="str">
        <f t="shared" si="15"/>
        <v/>
      </c>
      <c r="G488" s="4"/>
      <c r="H488" s="5"/>
      <c r="I488" s="5"/>
      <c r="J488" s="6" t="str">
        <f t="shared" si="14"/>
        <v/>
      </c>
      <c r="K488" s="6" t="str">
        <f>IF(OR($B488="",$E488="",Calc!$B485=""),"",SUMIFS(CalcAmtA,CalcPartyA,$E488,CalcKeyA,"&lt;="&amp;Calc!$B485)-SUMIFS(CalcWitB,CalcPartyB,$E488,CalcKeyB,"&lt;="&amp;Calc!$B485)+SUMIFS(CalcDepB,CalcPartyB,$E488,CalcKeyB,"&lt;="&amp;Calc!$B485))</f>
        <v/>
      </c>
      <c r="L488" s="4"/>
    </row>
    <row r="489" spans="1:12" x14ac:dyDescent="0.2">
      <c r="A489" s="3" t="str">
        <f>IF($B489="","",COUNTA($B$9:$B489))</f>
        <v/>
      </c>
      <c r="B489" s="4"/>
      <c r="C489" s="4"/>
      <c r="D489" s="4"/>
      <c r="E489" s="4"/>
      <c r="F489" s="3" t="str">
        <f t="shared" si="15"/>
        <v/>
      </c>
      <c r="G489" s="4"/>
      <c r="H489" s="5"/>
      <c r="I489" s="5"/>
      <c r="J489" s="6" t="str">
        <f t="shared" si="14"/>
        <v/>
      </c>
      <c r="K489" s="6" t="str">
        <f>IF(OR($B489="",$E489="",Calc!$B486=""),"",SUMIFS(CalcAmtA,CalcPartyA,$E489,CalcKeyA,"&lt;="&amp;Calc!$B486)-SUMIFS(CalcWitB,CalcPartyB,$E489,CalcKeyB,"&lt;="&amp;Calc!$B486)+SUMIFS(CalcDepB,CalcPartyB,$E489,CalcKeyB,"&lt;="&amp;Calc!$B486))</f>
        <v/>
      </c>
      <c r="L489" s="4"/>
    </row>
    <row r="490" spans="1:12" x14ac:dyDescent="0.2">
      <c r="A490" s="3" t="str">
        <f>IF($B490="","",COUNTA($B$9:$B490))</f>
        <v/>
      </c>
      <c r="B490" s="4"/>
      <c r="C490" s="4"/>
      <c r="D490" s="4"/>
      <c r="E490" s="4"/>
      <c r="F490" s="3" t="str">
        <f t="shared" si="15"/>
        <v/>
      </c>
      <c r="G490" s="4"/>
      <c r="H490" s="5"/>
      <c r="I490" s="5"/>
      <c r="J490" s="6" t="str">
        <f t="shared" si="14"/>
        <v/>
      </c>
      <c r="K490" s="6" t="str">
        <f>IF(OR($B490="",$E490="",Calc!$B487=""),"",SUMIFS(CalcAmtA,CalcPartyA,$E490,CalcKeyA,"&lt;="&amp;Calc!$B487)-SUMIFS(CalcWitB,CalcPartyB,$E490,CalcKeyB,"&lt;="&amp;Calc!$B487)+SUMIFS(CalcDepB,CalcPartyB,$E490,CalcKeyB,"&lt;="&amp;Calc!$B487))</f>
        <v/>
      </c>
      <c r="L490" s="4"/>
    </row>
    <row r="491" spans="1:12" x14ac:dyDescent="0.2">
      <c r="A491" s="3" t="str">
        <f>IF($B491="","",COUNTA($B$9:$B491))</f>
        <v/>
      </c>
      <c r="B491" s="4"/>
      <c r="C491" s="4"/>
      <c r="D491" s="4"/>
      <c r="E491" s="4"/>
      <c r="F491" s="3" t="str">
        <f t="shared" si="15"/>
        <v/>
      </c>
      <c r="G491" s="4"/>
      <c r="H491" s="5"/>
      <c r="I491" s="5"/>
      <c r="J491" s="6" t="str">
        <f t="shared" si="14"/>
        <v/>
      </c>
      <c r="K491" s="6" t="str">
        <f>IF(OR($B491="",$E491="",Calc!$B488=""),"",SUMIFS(CalcAmtA,CalcPartyA,$E491,CalcKeyA,"&lt;="&amp;Calc!$B488)-SUMIFS(CalcWitB,CalcPartyB,$E491,CalcKeyB,"&lt;="&amp;Calc!$B488)+SUMIFS(CalcDepB,CalcPartyB,$E491,CalcKeyB,"&lt;="&amp;Calc!$B488))</f>
        <v/>
      </c>
      <c r="L491" s="4"/>
    </row>
    <row r="492" spans="1:12" x14ac:dyDescent="0.2">
      <c r="A492" s="3" t="str">
        <f>IF($B492="","",COUNTA($B$9:$B492))</f>
        <v/>
      </c>
      <c r="B492" s="4"/>
      <c r="C492" s="4"/>
      <c r="D492" s="4"/>
      <c r="E492" s="4"/>
      <c r="F492" s="3" t="str">
        <f t="shared" si="15"/>
        <v/>
      </c>
      <c r="G492" s="4"/>
      <c r="H492" s="5"/>
      <c r="I492" s="5"/>
      <c r="J492" s="6" t="str">
        <f t="shared" si="14"/>
        <v/>
      </c>
      <c r="K492" s="6" t="str">
        <f>IF(OR($B492="",$E492="",Calc!$B489=""),"",SUMIFS(CalcAmtA,CalcPartyA,$E492,CalcKeyA,"&lt;="&amp;Calc!$B489)-SUMIFS(CalcWitB,CalcPartyB,$E492,CalcKeyB,"&lt;="&amp;Calc!$B489)+SUMIFS(CalcDepB,CalcPartyB,$E492,CalcKeyB,"&lt;="&amp;Calc!$B489))</f>
        <v/>
      </c>
      <c r="L492" s="4"/>
    </row>
    <row r="493" spans="1:12" x14ac:dyDescent="0.2">
      <c r="A493" s="3" t="str">
        <f>IF($B493="","",COUNTA($B$9:$B493))</f>
        <v/>
      </c>
      <c r="B493" s="4"/>
      <c r="C493" s="4"/>
      <c r="D493" s="4"/>
      <c r="E493" s="4"/>
      <c r="F493" s="3" t="str">
        <f t="shared" si="15"/>
        <v/>
      </c>
      <c r="G493" s="4"/>
      <c r="H493" s="5"/>
      <c r="I493" s="5"/>
      <c r="J493" s="6" t="str">
        <f t="shared" si="14"/>
        <v/>
      </c>
      <c r="K493" s="6" t="str">
        <f>IF(OR($B493="",$E493="",Calc!$B490=""),"",SUMIFS(CalcAmtA,CalcPartyA,$E493,CalcKeyA,"&lt;="&amp;Calc!$B490)-SUMIFS(CalcWitB,CalcPartyB,$E493,CalcKeyB,"&lt;="&amp;Calc!$B490)+SUMIFS(CalcDepB,CalcPartyB,$E493,CalcKeyB,"&lt;="&amp;Calc!$B490))</f>
        <v/>
      </c>
      <c r="L493" s="4"/>
    </row>
    <row r="494" spans="1:12" x14ac:dyDescent="0.2">
      <c r="A494" s="3" t="str">
        <f>IF($B494="","",COUNTA($B$9:$B494))</f>
        <v/>
      </c>
      <c r="B494" s="4"/>
      <c r="C494" s="4"/>
      <c r="D494" s="4"/>
      <c r="E494" s="4"/>
      <c r="F494" s="3" t="str">
        <f t="shared" si="15"/>
        <v/>
      </c>
      <c r="G494" s="4"/>
      <c r="H494" s="5"/>
      <c r="I494" s="5"/>
      <c r="J494" s="6" t="str">
        <f t="shared" si="14"/>
        <v/>
      </c>
      <c r="K494" s="6" t="str">
        <f>IF(OR($B494="",$E494="",Calc!$B491=""),"",SUMIFS(CalcAmtA,CalcPartyA,$E494,CalcKeyA,"&lt;="&amp;Calc!$B491)-SUMIFS(CalcWitB,CalcPartyB,$E494,CalcKeyB,"&lt;="&amp;Calc!$B491)+SUMIFS(CalcDepB,CalcPartyB,$E494,CalcKeyB,"&lt;="&amp;Calc!$B491))</f>
        <v/>
      </c>
      <c r="L494" s="4"/>
    </row>
    <row r="495" spans="1:12" x14ac:dyDescent="0.2">
      <c r="A495" s="3" t="str">
        <f>IF($B495="","",COUNTA($B$9:$B495))</f>
        <v/>
      </c>
      <c r="B495" s="4"/>
      <c r="C495" s="4"/>
      <c r="D495" s="4"/>
      <c r="E495" s="4"/>
      <c r="F495" s="3" t="str">
        <f t="shared" si="15"/>
        <v/>
      </c>
      <c r="G495" s="4"/>
      <c r="H495" s="5"/>
      <c r="I495" s="5"/>
      <c r="J495" s="6" t="str">
        <f t="shared" si="14"/>
        <v/>
      </c>
      <c r="K495" s="6" t="str">
        <f>IF(OR($B495="",$E495="",Calc!$B492=""),"",SUMIFS(CalcAmtA,CalcPartyA,$E495,CalcKeyA,"&lt;="&amp;Calc!$B492)-SUMIFS(CalcWitB,CalcPartyB,$E495,CalcKeyB,"&lt;="&amp;Calc!$B492)+SUMIFS(CalcDepB,CalcPartyB,$E495,CalcKeyB,"&lt;="&amp;Calc!$B492))</f>
        <v/>
      </c>
      <c r="L495" s="4"/>
    </row>
    <row r="496" spans="1:12" x14ac:dyDescent="0.2">
      <c r="A496" s="3" t="str">
        <f>IF($B496="","",COUNTA($B$9:$B496))</f>
        <v/>
      </c>
      <c r="B496" s="4"/>
      <c r="C496" s="4"/>
      <c r="D496" s="4"/>
      <c r="E496" s="4"/>
      <c r="F496" s="3" t="str">
        <f t="shared" si="15"/>
        <v/>
      </c>
      <c r="G496" s="4"/>
      <c r="H496" s="5"/>
      <c r="I496" s="5"/>
      <c r="J496" s="6" t="str">
        <f t="shared" si="14"/>
        <v/>
      </c>
      <c r="K496" s="6" t="str">
        <f>IF(OR($B496="",$E496="",Calc!$B493=""),"",SUMIFS(CalcAmtA,CalcPartyA,$E496,CalcKeyA,"&lt;="&amp;Calc!$B493)-SUMIFS(CalcWitB,CalcPartyB,$E496,CalcKeyB,"&lt;="&amp;Calc!$B493)+SUMIFS(CalcDepB,CalcPartyB,$E496,CalcKeyB,"&lt;="&amp;Calc!$B493))</f>
        <v/>
      </c>
      <c r="L496" s="4"/>
    </row>
    <row r="497" spans="1:12" x14ac:dyDescent="0.2">
      <c r="A497" s="3" t="str">
        <f>IF($B497="","",COUNTA($B$9:$B497))</f>
        <v/>
      </c>
      <c r="B497" s="4"/>
      <c r="C497" s="4"/>
      <c r="D497" s="4"/>
      <c r="E497" s="4"/>
      <c r="F497" s="3" t="str">
        <f t="shared" si="15"/>
        <v/>
      </c>
      <c r="G497" s="4"/>
      <c r="H497" s="5"/>
      <c r="I497" s="5"/>
      <c r="J497" s="6" t="str">
        <f t="shared" si="14"/>
        <v/>
      </c>
      <c r="K497" s="6" t="str">
        <f>IF(OR($B497="",$E497="",Calc!$B494=""),"",SUMIFS(CalcAmtA,CalcPartyA,$E497,CalcKeyA,"&lt;="&amp;Calc!$B494)-SUMIFS(CalcWitB,CalcPartyB,$E497,CalcKeyB,"&lt;="&amp;Calc!$B494)+SUMIFS(CalcDepB,CalcPartyB,$E497,CalcKeyB,"&lt;="&amp;Calc!$B494))</f>
        <v/>
      </c>
      <c r="L497" s="4"/>
    </row>
    <row r="498" spans="1:12" x14ac:dyDescent="0.2">
      <c r="A498" s="3" t="str">
        <f>IF($B498="","",COUNTA($B$9:$B498))</f>
        <v/>
      </c>
      <c r="B498" s="4"/>
      <c r="C498" s="4"/>
      <c r="D498" s="4"/>
      <c r="E498" s="4"/>
      <c r="F498" s="3" t="str">
        <f t="shared" si="15"/>
        <v/>
      </c>
      <c r="G498" s="4"/>
      <c r="H498" s="5"/>
      <c r="I498" s="5"/>
      <c r="J498" s="6" t="str">
        <f t="shared" si="14"/>
        <v/>
      </c>
      <c r="K498" s="6" t="str">
        <f>IF(OR($B498="",$E498="",Calc!$B495=""),"",SUMIFS(CalcAmtA,CalcPartyA,$E498,CalcKeyA,"&lt;="&amp;Calc!$B495)-SUMIFS(CalcWitB,CalcPartyB,$E498,CalcKeyB,"&lt;="&amp;Calc!$B495)+SUMIFS(CalcDepB,CalcPartyB,$E498,CalcKeyB,"&lt;="&amp;Calc!$B495))</f>
        <v/>
      </c>
      <c r="L498" s="4"/>
    </row>
    <row r="499" spans="1:12" x14ac:dyDescent="0.2">
      <c r="A499" s="3" t="str">
        <f>IF($B499="","",COUNTA($B$9:$B499))</f>
        <v/>
      </c>
      <c r="B499" s="4"/>
      <c r="C499" s="4"/>
      <c r="D499" s="4"/>
      <c r="E499" s="4"/>
      <c r="F499" s="3" t="str">
        <f t="shared" si="15"/>
        <v/>
      </c>
      <c r="G499" s="4"/>
      <c r="H499" s="5"/>
      <c r="I499" s="5"/>
      <c r="J499" s="6" t="str">
        <f t="shared" si="14"/>
        <v/>
      </c>
      <c r="K499" s="6" t="str">
        <f>IF(OR($B499="",$E499="",Calc!$B496=""),"",SUMIFS(CalcAmtA,CalcPartyA,$E499,CalcKeyA,"&lt;="&amp;Calc!$B496)-SUMIFS(CalcWitB,CalcPartyB,$E499,CalcKeyB,"&lt;="&amp;Calc!$B496)+SUMIFS(CalcDepB,CalcPartyB,$E499,CalcKeyB,"&lt;="&amp;Calc!$B496))</f>
        <v/>
      </c>
      <c r="L499" s="4"/>
    </row>
    <row r="500" spans="1:12" x14ac:dyDescent="0.2">
      <c r="A500" s="3" t="str">
        <f>IF($B500="","",COUNTA($B$9:$B500))</f>
        <v/>
      </c>
      <c r="B500" s="4"/>
      <c r="C500" s="4"/>
      <c r="D500" s="4"/>
      <c r="E500" s="4"/>
      <c r="F500" s="3" t="str">
        <f t="shared" si="15"/>
        <v/>
      </c>
      <c r="G500" s="4"/>
      <c r="H500" s="5"/>
      <c r="I500" s="5"/>
      <c r="J500" s="6" t="str">
        <f t="shared" si="14"/>
        <v/>
      </c>
      <c r="K500" s="6" t="str">
        <f>IF(OR($B500="",$E500="",Calc!$B497=""),"",SUMIFS(CalcAmtA,CalcPartyA,$E500,CalcKeyA,"&lt;="&amp;Calc!$B497)-SUMIFS(CalcWitB,CalcPartyB,$E500,CalcKeyB,"&lt;="&amp;Calc!$B497)+SUMIFS(CalcDepB,CalcPartyB,$E500,CalcKeyB,"&lt;="&amp;Calc!$B497))</f>
        <v/>
      </c>
      <c r="L500" s="4"/>
    </row>
    <row r="501" spans="1:12" x14ac:dyDescent="0.2">
      <c r="A501" s="3" t="str">
        <f>IF($B501="","",COUNTA($B$9:$B501))</f>
        <v/>
      </c>
      <c r="B501" s="4"/>
      <c r="C501" s="4"/>
      <c r="D501" s="4"/>
      <c r="E501" s="4"/>
      <c r="F501" s="3" t="str">
        <f t="shared" si="15"/>
        <v/>
      </c>
      <c r="G501" s="4"/>
      <c r="H501" s="5"/>
      <c r="I501" s="5"/>
      <c r="J501" s="6" t="str">
        <f t="shared" si="14"/>
        <v/>
      </c>
      <c r="K501" s="6" t="str">
        <f>IF(OR($B501="",$E501="",Calc!$B498=""),"",SUMIFS(CalcAmtA,CalcPartyA,$E501,CalcKeyA,"&lt;="&amp;Calc!$B498)-SUMIFS(CalcWitB,CalcPartyB,$E501,CalcKeyB,"&lt;="&amp;Calc!$B498)+SUMIFS(CalcDepB,CalcPartyB,$E501,CalcKeyB,"&lt;="&amp;Calc!$B498))</f>
        <v/>
      </c>
      <c r="L501" s="4"/>
    </row>
    <row r="502" spans="1:12" x14ac:dyDescent="0.2">
      <c r="A502" s="3" t="str">
        <f>IF($B502="","",COUNTA($B$9:$B502))</f>
        <v/>
      </c>
      <c r="B502" s="4"/>
      <c r="C502" s="4"/>
      <c r="D502" s="4"/>
      <c r="E502" s="4"/>
      <c r="F502" s="3" t="str">
        <f t="shared" si="15"/>
        <v/>
      </c>
      <c r="G502" s="4"/>
      <c r="H502" s="5"/>
      <c r="I502" s="5"/>
      <c r="J502" s="6" t="str">
        <f t="shared" si="14"/>
        <v/>
      </c>
      <c r="K502" s="6" t="str">
        <f>IF(OR($B502="",$E502="",Calc!$B499=""),"",SUMIFS(CalcAmtA,CalcPartyA,$E502,CalcKeyA,"&lt;="&amp;Calc!$B499)-SUMIFS(CalcWitB,CalcPartyB,$E502,CalcKeyB,"&lt;="&amp;Calc!$B499)+SUMIFS(CalcDepB,CalcPartyB,$E502,CalcKeyB,"&lt;="&amp;Calc!$B499))</f>
        <v/>
      </c>
      <c r="L502" s="4"/>
    </row>
    <row r="503" spans="1:12" x14ac:dyDescent="0.2">
      <c r="A503" s="3" t="str">
        <f>IF($B503="","",COUNTA($B$9:$B503))</f>
        <v/>
      </c>
      <c r="B503" s="4"/>
      <c r="C503" s="4"/>
      <c r="D503" s="4"/>
      <c r="E503" s="4"/>
      <c r="F503" s="3" t="str">
        <f t="shared" si="15"/>
        <v/>
      </c>
      <c r="G503" s="4"/>
      <c r="H503" s="5"/>
      <c r="I503" s="5"/>
      <c r="J503" s="6" t="str">
        <f t="shared" si="14"/>
        <v/>
      </c>
      <c r="K503" s="6" t="str">
        <f>IF(OR($B503="",$E503="",Calc!$B500=""),"",SUMIFS(CalcAmtA,CalcPartyA,$E503,CalcKeyA,"&lt;="&amp;Calc!$B500)-SUMIFS(CalcWitB,CalcPartyB,$E503,CalcKeyB,"&lt;="&amp;Calc!$B500)+SUMIFS(CalcDepB,CalcPartyB,$E503,CalcKeyB,"&lt;="&amp;Calc!$B500))</f>
        <v/>
      </c>
      <c r="L503" s="4"/>
    </row>
    <row r="504" spans="1:12" x14ac:dyDescent="0.2">
      <c r="A504" s="3" t="str">
        <f>IF($B504="","",COUNTA($B$9:$B504))</f>
        <v/>
      </c>
      <c r="B504" s="4"/>
      <c r="C504" s="4"/>
      <c r="D504" s="4"/>
      <c r="E504" s="4"/>
      <c r="F504" s="3" t="str">
        <f t="shared" si="15"/>
        <v/>
      </c>
      <c r="G504" s="4"/>
      <c r="H504" s="5"/>
      <c r="I504" s="5"/>
      <c r="J504" s="6" t="str">
        <f t="shared" si="14"/>
        <v/>
      </c>
      <c r="K504" s="6" t="str">
        <f>IF(OR($B504="",$E504="",Calc!$B501=""),"",SUMIFS(CalcAmtA,CalcPartyA,$E504,CalcKeyA,"&lt;="&amp;Calc!$B501)-SUMIFS(CalcWitB,CalcPartyB,$E504,CalcKeyB,"&lt;="&amp;Calc!$B501)+SUMIFS(CalcDepB,CalcPartyB,$E504,CalcKeyB,"&lt;="&amp;Calc!$B501))</f>
        <v/>
      </c>
      <c r="L504" s="4"/>
    </row>
    <row r="505" spans="1:12" x14ac:dyDescent="0.2">
      <c r="A505" s="3" t="str">
        <f>IF($B505="","",COUNTA($B$9:$B505))</f>
        <v/>
      </c>
      <c r="B505" s="4"/>
      <c r="C505" s="4"/>
      <c r="D505" s="4"/>
      <c r="E505" s="4"/>
      <c r="F505" s="3" t="str">
        <f t="shared" si="15"/>
        <v/>
      </c>
      <c r="G505" s="4"/>
      <c r="H505" s="5"/>
      <c r="I505" s="5"/>
      <c r="J505" s="6" t="str">
        <f t="shared" si="14"/>
        <v/>
      </c>
      <c r="K505" s="6" t="str">
        <f>IF(OR($B505="",$E505="",Calc!$B502=""),"",SUMIFS(CalcAmtA,CalcPartyA,$E505,CalcKeyA,"&lt;="&amp;Calc!$B502)-SUMIFS(CalcWitB,CalcPartyB,$E505,CalcKeyB,"&lt;="&amp;Calc!$B502)+SUMIFS(CalcDepB,CalcPartyB,$E505,CalcKeyB,"&lt;="&amp;Calc!$B502))</f>
        <v/>
      </c>
      <c r="L505" s="4"/>
    </row>
    <row r="506" spans="1:12" x14ac:dyDescent="0.2">
      <c r="A506" s="3" t="str">
        <f>IF($B506="","",COUNTA($B$9:$B506))</f>
        <v/>
      </c>
      <c r="B506" s="4"/>
      <c r="C506" s="4"/>
      <c r="D506" s="4"/>
      <c r="E506" s="4"/>
      <c r="F506" s="3" t="str">
        <f t="shared" si="15"/>
        <v/>
      </c>
      <c r="G506" s="4"/>
      <c r="H506" s="5"/>
      <c r="I506" s="5"/>
      <c r="J506" s="6" t="str">
        <f t="shared" si="14"/>
        <v/>
      </c>
      <c r="K506" s="6" t="str">
        <f>IF(OR($B506="",$E506="",Calc!$B503=""),"",SUMIFS(CalcAmtA,CalcPartyA,$E506,CalcKeyA,"&lt;="&amp;Calc!$B503)-SUMIFS(CalcWitB,CalcPartyB,$E506,CalcKeyB,"&lt;="&amp;Calc!$B503)+SUMIFS(CalcDepB,CalcPartyB,$E506,CalcKeyB,"&lt;="&amp;Calc!$B503))</f>
        <v/>
      </c>
      <c r="L506" s="4"/>
    </row>
    <row r="507" spans="1:12" x14ac:dyDescent="0.2">
      <c r="A507" s="3" t="str">
        <f>IF($B507="","",COUNTA($B$9:$B507))</f>
        <v/>
      </c>
      <c r="B507" s="4"/>
      <c r="C507" s="4"/>
      <c r="D507" s="4"/>
      <c r="E507" s="4"/>
      <c r="F507" s="3" t="str">
        <f t="shared" si="15"/>
        <v/>
      </c>
      <c r="G507" s="4"/>
      <c r="H507" s="5"/>
      <c r="I507" s="5"/>
      <c r="J507" s="6" t="str">
        <f t="shared" si="14"/>
        <v/>
      </c>
      <c r="K507" s="6" t="str">
        <f>IF(OR($B507="",$E507="",Calc!$B504=""),"",SUMIFS(CalcAmtA,CalcPartyA,$E507,CalcKeyA,"&lt;="&amp;Calc!$B504)-SUMIFS(CalcWitB,CalcPartyB,$E507,CalcKeyB,"&lt;="&amp;Calc!$B504)+SUMIFS(CalcDepB,CalcPartyB,$E507,CalcKeyB,"&lt;="&amp;Calc!$B504))</f>
        <v/>
      </c>
      <c r="L507" s="4"/>
    </row>
    <row r="508" spans="1:12" x14ac:dyDescent="0.2">
      <c r="A508" s="3" t="str">
        <f>IF($B508="","",COUNTA($B$9:$B508))</f>
        <v/>
      </c>
      <c r="B508" s="4"/>
      <c r="C508" s="4"/>
      <c r="D508" s="4"/>
      <c r="E508" s="4"/>
      <c r="F508" s="3" t="str">
        <f t="shared" si="15"/>
        <v/>
      </c>
      <c r="G508" s="4"/>
      <c r="H508" s="5"/>
      <c r="I508" s="5"/>
      <c r="J508" s="6" t="str">
        <f t="shared" si="14"/>
        <v/>
      </c>
      <c r="K508" s="6" t="str">
        <f>IF(OR($B508="",$E508="",Calc!$B505=""),"",SUMIFS(CalcAmtA,CalcPartyA,$E508,CalcKeyA,"&lt;="&amp;Calc!$B505)-SUMIFS(CalcWitB,CalcPartyB,$E508,CalcKeyB,"&lt;="&amp;Calc!$B505)+SUMIFS(CalcDepB,CalcPartyB,$E508,CalcKeyB,"&lt;="&amp;Calc!$B505))</f>
        <v/>
      </c>
      <c r="L508" s="4"/>
    </row>
    <row r="509" spans="1:12" x14ac:dyDescent="0.2">
      <c r="A509" s="3" t="str">
        <f>IF($B509="","",COUNTA($B$9:$B509))</f>
        <v/>
      </c>
      <c r="B509" s="4"/>
      <c r="C509" s="4"/>
      <c r="D509" s="4"/>
      <c r="E509" s="4"/>
      <c r="F509" s="3" t="str">
        <f t="shared" si="15"/>
        <v/>
      </c>
      <c r="G509" s="4"/>
      <c r="H509" s="5"/>
      <c r="I509" s="5"/>
      <c r="J509" s="6" t="str">
        <f t="shared" si="14"/>
        <v/>
      </c>
      <c r="K509" s="6" t="str">
        <f>IF(OR($B509="",$E509="",Calc!$B506=""),"",SUMIFS(CalcAmtA,CalcPartyA,$E509,CalcKeyA,"&lt;="&amp;Calc!$B506)-SUMIFS(CalcWitB,CalcPartyB,$E509,CalcKeyB,"&lt;="&amp;Calc!$B506)+SUMIFS(CalcDepB,CalcPartyB,$E509,CalcKeyB,"&lt;="&amp;Calc!$B506))</f>
        <v/>
      </c>
      <c r="L509" s="4"/>
    </row>
    <row r="510" spans="1:12" x14ac:dyDescent="0.2">
      <c r="A510" s="3" t="str">
        <f>IF($B510="","",COUNTA($B$9:$B510))</f>
        <v/>
      </c>
      <c r="B510" s="4"/>
      <c r="C510" s="4"/>
      <c r="D510" s="4"/>
      <c r="E510" s="4"/>
      <c r="F510" s="3" t="str">
        <f t="shared" si="15"/>
        <v/>
      </c>
      <c r="G510" s="4"/>
      <c r="H510" s="5"/>
      <c r="I510" s="5"/>
      <c r="J510" s="6" t="str">
        <f t="shared" si="14"/>
        <v/>
      </c>
      <c r="K510" s="6" t="str">
        <f>IF(OR($B510="",$E510="",Calc!$B507=""),"",SUMIFS(CalcAmtA,CalcPartyA,$E510,CalcKeyA,"&lt;="&amp;Calc!$B507)-SUMIFS(CalcWitB,CalcPartyB,$E510,CalcKeyB,"&lt;="&amp;Calc!$B507)+SUMIFS(CalcDepB,CalcPartyB,$E510,CalcKeyB,"&lt;="&amp;Calc!$B507))</f>
        <v/>
      </c>
      <c r="L510" s="4"/>
    </row>
    <row r="511" spans="1:12" x14ac:dyDescent="0.2">
      <c r="A511" s="3" t="str">
        <f>IF($B511="","",COUNTA($B$9:$B511))</f>
        <v/>
      </c>
      <c r="B511" s="4"/>
      <c r="C511" s="4"/>
      <c r="D511" s="4"/>
      <c r="E511" s="4"/>
      <c r="F511" s="3" t="str">
        <f t="shared" si="15"/>
        <v/>
      </c>
      <c r="G511" s="4"/>
      <c r="H511" s="5"/>
      <c r="I511" s="5"/>
      <c r="J511" s="6" t="str">
        <f t="shared" si="14"/>
        <v/>
      </c>
      <c r="K511" s="6" t="str">
        <f>IF(OR($B511="",$E511="",Calc!$B508=""),"",SUMIFS(CalcAmtA,CalcPartyA,$E511,CalcKeyA,"&lt;="&amp;Calc!$B508)-SUMIFS(CalcWitB,CalcPartyB,$E511,CalcKeyB,"&lt;="&amp;Calc!$B508)+SUMIFS(CalcDepB,CalcPartyB,$E511,CalcKeyB,"&lt;="&amp;Calc!$B508))</f>
        <v/>
      </c>
      <c r="L511" s="4"/>
    </row>
    <row r="512" spans="1:12" x14ac:dyDescent="0.2">
      <c r="A512" s="3" t="str">
        <f>IF($B512="","",COUNTA($B$9:$B512))</f>
        <v/>
      </c>
      <c r="B512" s="4"/>
      <c r="C512" s="4"/>
      <c r="D512" s="4"/>
      <c r="E512" s="4"/>
      <c r="F512" s="3" t="str">
        <f t="shared" si="15"/>
        <v/>
      </c>
      <c r="G512" s="4"/>
      <c r="H512" s="5"/>
      <c r="I512" s="5"/>
      <c r="J512" s="6" t="str">
        <f t="shared" si="14"/>
        <v/>
      </c>
      <c r="K512" s="6" t="str">
        <f>IF(OR($B512="",$E512="",Calc!$B509=""),"",SUMIFS(CalcAmtA,CalcPartyA,$E512,CalcKeyA,"&lt;="&amp;Calc!$B509)-SUMIFS(CalcWitB,CalcPartyB,$E512,CalcKeyB,"&lt;="&amp;Calc!$B509)+SUMIFS(CalcDepB,CalcPartyB,$E512,CalcKeyB,"&lt;="&amp;Calc!$B509))</f>
        <v/>
      </c>
      <c r="L512" s="4"/>
    </row>
    <row r="513" spans="1:12" x14ac:dyDescent="0.2">
      <c r="A513" s="3" t="str">
        <f>IF($B513="","",COUNTA($B$9:$B513))</f>
        <v/>
      </c>
      <c r="B513" s="4"/>
      <c r="C513" s="4"/>
      <c r="D513" s="4"/>
      <c r="E513" s="4"/>
      <c r="F513" s="3" t="str">
        <f t="shared" si="15"/>
        <v/>
      </c>
      <c r="G513" s="4"/>
      <c r="H513" s="5"/>
      <c r="I513" s="5"/>
      <c r="J513" s="6" t="str">
        <f t="shared" si="14"/>
        <v/>
      </c>
      <c r="K513" s="6" t="str">
        <f>IF(OR($B513="",$E513="",Calc!$B510=""),"",SUMIFS(CalcAmtA,CalcPartyA,$E513,CalcKeyA,"&lt;="&amp;Calc!$B510)-SUMIFS(CalcWitB,CalcPartyB,$E513,CalcKeyB,"&lt;="&amp;Calc!$B510)+SUMIFS(CalcDepB,CalcPartyB,$E513,CalcKeyB,"&lt;="&amp;Calc!$B510))</f>
        <v/>
      </c>
      <c r="L513" s="4"/>
    </row>
    <row r="514" spans="1:12" x14ac:dyDescent="0.2">
      <c r="A514" s="3" t="str">
        <f>IF($B514="","",COUNTA($B$9:$B514))</f>
        <v/>
      </c>
      <c r="B514" s="4"/>
      <c r="C514" s="4"/>
      <c r="D514" s="4"/>
      <c r="E514" s="4"/>
      <c r="F514" s="3" t="str">
        <f t="shared" si="15"/>
        <v/>
      </c>
      <c r="G514" s="4"/>
      <c r="H514" s="5"/>
      <c r="I514" s="5"/>
      <c r="J514" s="6" t="str">
        <f t="shared" si="14"/>
        <v/>
      </c>
      <c r="K514" s="6" t="str">
        <f>IF(OR($B514="",$E514="",Calc!$B511=""),"",SUMIFS(CalcAmtA,CalcPartyA,$E514,CalcKeyA,"&lt;="&amp;Calc!$B511)-SUMIFS(CalcWitB,CalcPartyB,$E514,CalcKeyB,"&lt;="&amp;Calc!$B511)+SUMIFS(CalcDepB,CalcPartyB,$E514,CalcKeyB,"&lt;="&amp;Calc!$B511))</f>
        <v/>
      </c>
      <c r="L514" s="4"/>
    </row>
    <row r="515" spans="1:12" x14ac:dyDescent="0.2">
      <c r="A515" s="3" t="str">
        <f>IF($B515="","",COUNTA($B$9:$B515))</f>
        <v/>
      </c>
      <c r="B515" s="4"/>
      <c r="C515" s="4"/>
      <c r="D515" s="4"/>
      <c r="E515" s="4"/>
      <c r="F515" s="3" t="str">
        <f t="shared" si="15"/>
        <v/>
      </c>
      <c r="G515" s="4"/>
      <c r="H515" s="5"/>
      <c r="I515" s="5"/>
      <c r="J515" s="6" t="str">
        <f t="shared" si="14"/>
        <v/>
      </c>
      <c r="K515" s="6" t="str">
        <f>IF(OR($B515="",$E515="",Calc!$B512=""),"",SUMIFS(CalcAmtA,CalcPartyA,$E515,CalcKeyA,"&lt;="&amp;Calc!$B512)-SUMIFS(CalcWitB,CalcPartyB,$E515,CalcKeyB,"&lt;="&amp;Calc!$B512)+SUMIFS(CalcDepB,CalcPartyB,$E515,CalcKeyB,"&lt;="&amp;Calc!$B512))</f>
        <v/>
      </c>
      <c r="L515" s="4"/>
    </row>
    <row r="516" spans="1:12" x14ac:dyDescent="0.2">
      <c r="A516" s="3" t="str">
        <f>IF($B516="","",COUNTA($B$9:$B516))</f>
        <v/>
      </c>
      <c r="B516" s="4"/>
      <c r="C516" s="4"/>
      <c r="D516" s="4"/>
      <c r="E516" s="4"/>
      <c r="F516" s="3" t="str">
        <f t="shared" si="15"/>
        <v/>
      </c>
      <c r="G516" s="4"/>
      <c r="H516" s="5"/>
      <c r="I516" s="5"/>
      <c r="J516" s="6" t="str">
        <f t="shared" si="14"/>
        <v/>
      </c>
      <c r="K516" s="6" t="str">
        <f>IF(OR($B516="",$E516="",Calc!$B513=""),"",SUMIFS(CalcAmtA,CalcPartyA,$E516,CalcKeyA,"&lt;="&amp;Calc!$B513)-SUMIFS(CalcWitB,CalcPartyB,$E516,CalcKeyB,"&lt;="&amp;Calc!$B513)+SUMIFS(CalcDepB,CalcPartyB,$E516,CalcKeyB,"&lt;="&amp;Calc!$B513))</f>
        <v/>
      </c>
      <c r="L516" s="4"/>
    </row>
    <row r="517" spans="1:12" x14ac:dyDescent="0.2">
      <c r="A517" s="3" t="str">
        <f>IF($B517="","",COUNTA($B$9:$B517))</f>
        <v/>
      </c>
      <c r="B517" s="4"/>
      <c r="C517" s="4"/>
      <c r="D517" s="4"/>
      <c r="E517" s="4"/>
      <c r="F517" s="3" t="str">
        <f t="shared" si="15"/>
        <v/>
      </c>
      <c r="G517" s="4"/>
      <c r="H517" s="5"/>
      <c r="I517" s="5"/>
      <c r="J517" s="6" t="str">
        <f t="shared" si="14"/>
        <v/>
      </c>
      <c r="K517" s="6" t="str">
        <f>IF(OR($B517="",$E517="",Calc!$B514=""),"",SUMIFS(CalcAmtA,CalcPartyA,$E517,CalcKeyA,"&lt;="&amp;Calc!$B514)-SUMIFS(CalcWitB,CalcPartyB,$E517,CalcKeyB,"&lt;="&amp;Calc!$B514)+SUMIFS(CalcDepB,CalcPartyB,$E517,CalcKeyB,"&lt;="&amp;Calc!$B514))</f>
        <v/>
      </c>
      <c r="L517" s="4"/>
    </row>
    <row r="518" spans="1:12" x14ac:dyDescent="0.2">
      <c r="A518" s="3" t="str">
        <f>IF($B518="","",COUNTA($B$9:$B518))</f>
        <v/>
      </c>
      <c r="B518" s="4"/>
      <c r="C518" s="4"/>
      <c r="D518" s="4"/>
      <c r="E518" s="4"/>
      <c r="F518" s="3" t="str">
        <f t="shared" si="15"/>
        <v/>
      </c>
      <c r="G518" s="4"/>
      <c r="H518" s="5"/>
      <c r="I518" s="5"/>
      <c r="J518" s="6" t="str">
        <f t="shared" ref="J518:J581" si="16">IF(OR($H518="",$I518=""),"",ROUND($H518*$I518,0))</f>
        <v/>
      </c>
      <c r="K518" s="6" t="str">
        <f>IF(OR($B518="",$E518="",Calc!$B515=""),"",SUMIFS(CalcAmtA,CalcPartyA,$E518,CalcKeyA,"&lt;="&amp;Calc!$B515)-SUMIFS(CalcWitB,CalcPartyB,$E518,CalcKeyB,"&lt;="&amp;Calc!$B515)+SUMIFS(CalcDepB,CalcPartyB,$E518,CalcKeyB,"&lt;="&amp;Calc!$B515))</f>
        <v/>
      </c>
      <c r="L518" s="4"/>
    </row>
    <row r="519" spans="1:12" x14ac:dyDescent="0.2">
      <c r="A519" s="3" t="str">
        <f>IF($B519="","",COUNTA($B$9:$B519))</f>
        <v/>
      </c>
      <c r="B519" s="4"/>
      <c r="C519" s="4"/>
      <c r="D519" s="4"/>
      <c r="E519" s="4"/>
      <c r="F519" s="3" t="str">
        <f t="shared" si="15"/>
        <v/>
      </c>
      <c r="G519" s="4"/>
      <c r="H519" s="5"/>
      <c r="I519" s="5"/>
      <c r="J519" s="6" t="str">
        <f t="shared" si="16"/>
        <v/>
      </c>
      <c r="K519" s="6" t="str">
        <f>IF(OR($B519="",$E519="",Calc!$B516=""),"",SUMIFS(CalcAmtA,CalcPartyA,$E519,CalcKeyA,"&lt;="&amp;Calc!$B516)-SUMIFS(CalcWitB,CalcPartyB,$E519,CalcKeyB,"&lt;="&amp;Calc!$B516)+SUMIFS(CalcDepB,CalcPartyB,$E519,CalcKeyB,"&lt;="&amp;Calc!$B516))</f>
        <v/>
      </c>
      <c r="L519" s="4"/>
    </row>
    <row r="520" spans="1:12" x14ac:dyDescent="0.2">
      <c r="A520" s="3" t="str">
        <f>IF($B520="","",COUNTA($B$9:$B520))</f>
        <v/>
      </c>
      <c r="B520" s="4"/>
      <c r="C520" s="4"/>
      <c r="D520" s="4"/>
      <c r="E520" s="4"/>
      <c r="F520" s="3" t="str">
        <f t="shared" si="15"/>
        <v/>
      </c>
      <c r="G520" s="4"/>
      <c r="H520" s="5"/>
      <c r="I520" s="5"/>
      <c r="J520" s="6" t="str">
        <f t="shared" si="16"/>
        <v/>
      </c>
      <c r="K520" s="6" t="str">
        <f>IF(OR($B520="",$E520="",Calc!$B517=""),"",SUMIFS(CalcAmtA,CalcPartyA,$E520,CalcKeyA,"&lt;="&amp;Calc!$B517)-SUMIFS(CalcWitB,CalcPartyB,$E520,CalcKeyB,"&lt;="&amp;Calc!$B517)+SUMIFS(CalcDepB,CalcPartyB,$E520,CalcKeyB,"&lt;="&amp;Calc!$B517))</f>
        <v/>
      </c>
      <c r="L520" s="4"/>
    </row>
    <row r="521" spans="1:12" x14ac:dyDescent="0.2">
      <c r="A521" s="3" t="str">
        <f>IF($B521="","",COUNTA($B$9:$B521))</f>
        <v/>
      </c>
      <c r="B521" s="4"/>
      <c r="C521" s="4"/>
      <c r="D521" s="4"/>
      <c r="E521" s="4"/>
      <c r="F521" s="3" t="str">
        <f t="shared" ref="F521:F584" si="17">IF($E521="","",IFERROR(IF(VLOOKUP($E521,AcctTbl,4,0)="","",VLOOKUP($E521,AcctTbl,4,0)),"—"))</f>
        <v/>
      </c>
      <c r="G521" s="4"/>
      <c r="H521" s="5"/>
      <c r="I521" s="5"/>
      <c r="J521" s="6" t="str">
        <f t="shared" si="16"/>
        <v/>
      </c>
      <c r="K521" s="6" t="str">
        <f>IF(OR($B521="",$E521="",Calc!$B518=""),"",SUMIFS(CalcAmtA,CalcPartyA,$E521,CalcKeyA,"&lt;="&amp;Calc!$B518)-SUMIFS(CalcWitB,CalcPartyB,$E521,CalcKeyB,"&lt;="&amp;Calc!$B518)+SUMIFS(CalcDepB,CalcPartyB,$E521,CalcKeyB,"&lt;="&amp;Calc!$B518))</f>
        <v/>
      </c>
      <c r="L521" s="4"/>
    </row>
    <row r="522" spans="1:12" x14ac:dyDescent="0.2">
      <c r="A522" s="3" t="str">
        <f>IF($B522="","",COUNTA($B$9:$B522))</f>
        <v/>
      </c>
      <c r="B522" s="4"/>
      <c r="C522" s="4"/>
      <c r="D522" s="4"/>
      <c r="E522" s="4"/>
      <c r="F522" s="3" t="str">
        <f t="shared" si="17"/>
        <v/>
      </c>
      <c r="G522" s="4"/>
      <c r="H522" s="5"/>
      <c r="I522" s="5"/>
      <c r="J522" s="6" t="str">
        <f t="shared" si="16"/>
        <v/>
      </c>
      <c r="K522" s="6" t="str">
        <f>IF(OR($B522="",$E522="",Calc!$B519=""),"",SUMIFS(CalcAmtA,CalcPartyA,$E522,CalcKeyA,"&lt;="&amp;Calc!$B519)-SUMIFS(CalcWitB,CalcPartyB,$E522,CalcKeyB,"&lt;="&amp;Calc!$B519)+SUMIFS(CalcDepB,CalcPartyB,$E522,CalcKeyB,"&lt;="&amp;Calc!$B519))</f>
        <v/>
      </c>
      <c r="L522" s="4"/>
    </row>
    <row r="523" spans="1:12" x14ac:dyDescent="0.2">
      <c r="A523" s="3" t="str">
        <f>IF($B523="","",COUNTA($B$9:$B523))</f>
        <v/>
      </c>
      <c r="B523" s="4"/>
      <c r="C523" s="4"/>
      <c r="D523" s="4"/>
      <c r="E523" s="4"/>
      <c r="F523" s="3" t="str">
        <f t="shared" si="17"/>
        <v/>
      </c>
      <c r="G523" s="4"/>
      <c r="H523" s="5"/>
      <c r="I523" s="5"/>
      <c r="J523" s="6" t="str">
        <f t="shared" si="16"/>
        <v/>
      </c>
      <c r="K523" s="6" t="str">
        <f>IF(OR($B523="",$E523="",Calc!$B520=""),"",SUMIFS(CalcAmtA,CalcPartyA,$E523,CalcKeyA,"&lt;="&amp;Calc!$B520)-SUMIFS(CalcWitB,CalcPartyB,$E523,CalcKeyB,"&lt;="&amp;Calc!$B520)+SUMIFS(CalcDepB,CalcPartyB,$E523,CalcKeyB,"&lt;="&amp;Calc!$B520))</f>
        <v/>
      </c>
      <c r="L523" s="4"/>
    </row>
    <row r="524" spans="1:12" x14ac:dyDescent="0.2">
      <c r="A524" s="3" t="str">
        <f>IF($B524="","",COUNTA($B$9:$B524))</f>
        <v/>
      </c>
      <c r="B524" s="4"/>
      <c r="C524" s="4"/>
      <c r="D524" s="4"/>
      <c r="E524" s="4"/>
      <c r="F524" s="3" t="str">
        <f t="shared" si="17"/>
        <v/>
      </c>
      <c r="G524" s="4"/>
      <c r="H524" s="5"/>
      <c r="I524" s="5"/>
      <c r="J524" s="6" t="str">
        <f t="shared" si="16"/>
        <v/>
      </c>
      <c r="K524" s="6" t="str">
        <f>IF(OR($B524="",$E524="",Calc!$B521=""),"",SUMIFS(CalcAmtA,CalcPartyA,$E524,CalcKeyA,"&lt;="&amp;Calc!$B521)-SUMIFS(CalcWitB,CalcPartyB,$E524,CalcKeyB,"&lt;="&amp;Calc!$B521)+SUMIFS(CalcDepB,CalcPartyB,$E524,CalcKeyB,"&lt;="&amp;Calc!$B521))</f>
        <v/>
      </c>
      <c r="L524" s="4"/>
    </row>
    <row r="525" spans="1:12" x14ac:dyDescent="0.2">
      <c r="A525" s="3" t="str">
        <f>IF($B525="","",COUNTA($B$9:$B525))</f>
        <v/>
      </c>
      <c r="B525" s="4"/>
      <c r="C525" s="4"/>
      <c r="D525" s="4"/>
      <c r="E525" s="4"/>
      <c r="F525" s="3" t="str">
        <f t="shared" si="17"/>
        <v/>
      </c>
      <c r="G525" s="4"/>
      <c r="H525" s="5"/>
      <c r="I525" s="5"/>
      <c r="J525" s="6" t="str">
        <f t="shared" si="16"/>
        <v/>
      </c>
      <c r="K525" s="6" t="str">
        <f>IF(OR($B525="",$E525="",Calc!$B522=""),"",SUMIFS(CalcAmtA,CalcPartyA,$E525,CalcKeyA,"&lt;="&amp;Calc!$B522)-SUMIFS(CalcWitB,CalcPartyB,$E525,CalcKeyB,"&lt;="&amp;Calc!$B522)+SUMIFS(CalcDepB,CalcPartyB,$E525,CalcKeyB,"&lt;="&amp;Calc!$B522))</f>
        <v/>
      </c>
      <c r="L525" s="4"/>
    </row>
    <row r="526" spans="1:12" x14ac:dyDescent="0.2">
      <c r="A526" s="3" t="str">
        <f>IF($B526="","",COUNTA($B$9:$B526))</f>
        <v/>
      </c>
      <c r="B526" s="4"/>
      <c r="C526" s="4"/>
      <c r="D526" s="4"/>
      <c r="E526" s="4"/>
      <c r="F526" s="3" t="str">
        <f t="shared" si="17"/>
        <v/>
      </c>
      <c r="G526" s="4"/>
      <c r="H526" s="5"/>
      <c r="I526" s="5"/>
      <c r="J526" s="6" t="str">
        <f t="shared" si="16"/>
        <v/>
      </c>
      <c r="K526" s="6" t="str">
        <f>IF(OR($B526="",$E526="",Calc!$B523=""),"",SUMIFS(CalcAmtA,CalcPartyA,$E526,CalcKeyA,"&lt;="&amp;Calc!$B523)-SUMIFS(CalcWitB,CalcPartyB,$E526,CalcKeyB,"&lt;="&amp;Calc!$B523)+SUMIFS(CalcDepB,CalcPartyB,$E526,CalcKeyB,"&lt;="&amp;Calc!$B523))</f>
        <v/>
      </c>
      <c r="L526" s="4"/>
    </row>
    <row r="527" spans="1:12" x14ac:dyDescent="0.2">
      <c r="A527" s="3" t="str">
        <f>IF($B527="","",COUNTA($B$9:$B527))</f>
        <v/>
      </c>
      <c r="B527" s="4"/>
      <c r="C527" s="4"/>
      <c r="D527" s="4"/>
      <c r="E527" s="4"/>
      <c r="F527" s="3" t="str">
        <f t="shared" si="17"/>
        <v/>
      </c>
      <c r="G527" s="4"/>
      <c r="H527" s="5"/>
      <c r="I527" s="5"/>
      <c r="J527" s="6" t="str">
        <f t="shared" si="16"/>
        <v/>
      </c>
      <c r="K527" s="6" t="str">
        <f>IF(OR($B527="",$E527="",Calc!$B524=""),"",SUMIFS(CalcAmtA,CalcPartyA,$E527,CalcKeyA,"&lt;="&amp;Calc!$B524)-SUMIFS(CalcWitB,CalcPartyB,$E527,CalcKeyB,"&lt;="&amp;Calc!$B524)+SUMIFS(CalcDepB,CalcPartyB,$E527,CalcKeyB,"&lt;="&amp;Calc!$B524))</f>
        <v/>
      </c>
      <c r="L527" s="4"/>
    </row>
    <row r="528" spans="1:12" x14ac:dyDescent="0.2">
      <c r="A528" s="3" t="str">
        <f>IF($B528="","",COUNTA($B$9:$B528))</f>
        <v/>
      </c>
      <c r="B528" s="4"/>
      <c r="C528" s="4"/>
      <c r="D528" s="4"/>
      <c r="E528" s="4"/>
      <c r="F528" s="3" t="str">
        <f t="shared" si="17"/>
        <v/>
      </c>
      <c r="G528" s="4"/>
      <c r="H528" s="5"/>
      <c r="I528" s="5"/>
      <c r="J528" s="6" t="str">
        <f t="shared" si="16"/>
        <v/>
      </c>
      <c r="K528" s="6" t="str">
        <f>IF(OR($B528="",$E528="",Calc!$B525=""),"",SUMIFS(CalcAmtA,CalcPartyA,$E528,CalcKeyA,"&lt;="&amp;Calc!$B525)-SUMIFS(CalcWitB,CalcPartyB,$E528,CalcKeyB,"&lt;="&amp;Calc!$B525)+SUMIFS(CalcDepB,CalcPartyB,$E528,CalcKeyB,"&lt;="&amp;Calc!$B525))</f>
        <v/>
      </c>
      <c r="L528" s="4"/>
    </row>
    <row r="529" spans="1:12" x14ac:dyDescent="0.2">
      <c r="A529" s="3" t="str">
        <f>IF($B529="","",COUNTA($B$9:$B529))</f>
        <v/>
      </c>
      <c r="B529" s="4"/>
      <c r="C529" s="4"/>
      <c r="D529" s="4"/>
      <c r="E529" s="4"/>
      <c r="F529" s="3" t="str">
        <f t="shared" si="17"/>
        <v/>
      </c>
      <c r="G529" s="4"/>
      <c r="H529" s="5"/>
      <c r="I529" s="5"/>
      <c r="J529" s="6" t="str">
        <f t="shared" si="16"/>
        <v/>
      </c>
      <c r="K529" s="6" t="str">
        <f>IF(OR($B529="",$E529="",Calc!$B526=""),"",SUMIFS(CalcAmtA,CalcPartyA,$E529,CalcKeyA,"&lt;="&amp;Calc!$B526)-SUMIFS(CalcWitB,CalcPartyB,$E529,CalcKeyB,"&lt;="&amp;Calc!$B526)+SUMIFS(CalcDepB,CalcPartyB,$E529,CalcKeyB,"&lt;="&amp;Calc!$B526))</f>
        <v/>
      </c>
      <c r="L529" s="4"/>
    </row>
    <row r="530" spans="1:12" x14ac:dyDescent="0.2">
      <c r="A530" s="3" t="str">
        <f>IF($B530="","",COUNTA($B$9:$B530))</f>
        <v/>
      </c>
      <c r="B530" s="4"/>
      <c r="C530" s="4"/>
      <c r="D530" s="4"/>
      <c r="E530" s="4"/>
      <c r="F530" s="3" t="str">
        <f t="shared" si="17"/>
        <v/>
      </c>
      <c r="G530" s="4"/>
      <c r="H530" s="5"/>
      <c r="I530" s="5"/>
      <c r="J530" s="6" t="str">
        <f t="shared" si="16"/>
        <v/>
      </c>
      <c r="K530" s="6" t="str">
        <f>IF(OR($B530="",$E530="",Calc!$B527=""),"",SUMIFS(CalcAmtA,CalcPartyA,$E530,CalcKeyA,"&lt;="&amp;Calc!$B527)-SUMIFS(CalcWitB,CalcPartyB,$E530,CalcKeyB,"&lt;="&amp;Calc!$B527)+SUMIFS(CalcDepB,CalcPartyB,$E530,CalcKeyB,"&lt;="&amp;Calc!$B527))</f>
        <v/>
      </c>
      <c r="L530" s="4"/>
    </row>
    <row r="531" spans="1:12" x14ac:dyDescent="0.2">
      <c r="A531" s="3" t="str">
        <f>IF($B531="","",COUNTA($B$9:$B531))</f>
        <v/>
      </c>
      <c r="B531" s="4"/>
      <c r="C531" s="4"/>
      <c r="D531" s="4"/>
      <c r="E531" s="4"/>
      <c r="F531" s="3" t="str">
        <f t="shared" si="17"/>
        <v/>
      </c>
      <c r="G531" s="4"/>
      <c r="H531" s="5"/>
      <c r="I531" s="5"/>
      <c r="J531" s="6" t="str">
        <f t="shared" si="16"/>
        <v/>
      </c>
      <c r="K531" s="6" t="str">
        <f>IF(OR($B531="",$E531="",Calc!$B528=""),"",SUMIFS(CalcAmtA,CalcPartyA,$E531,CalcKeyA,"&lt;="&amp;Calc!$B528)-SUMIFS(CalcWitB,CalcPartyB,$E531,CalcKeyB,"&lt;="&amp;Calc!$B528)+SUMIFS(CalcDepB,CalcPartyB,$E531,CalcKeyB,"&lt;="&amp;Calc!$B528))</f>
        <v/>
      </c>
      <c r="L531" s="4"/>
    </row>
    <row r="532" spans="1:12" x14ac:dyDescent="0.2">
      <c r="A532" s="3" t="str">
        <f>IF($B532="","",COUNTA($B$9:$B532))</f>
        <v/>
      </c>
      <c r="B532" s="4"/>
      <c r="C532" s="4"/>
      <c r="D532" s="4"/>
      <c r="E532" s="4"/>
      <c r="F532" s="3" t="str">
        <f t="shared" si="17"/>
        <v/>
      </c>
      <c r="G532" s="4"/>
      <c r="H532" s="5"/>
      <c r="I532" s="5"/>
      <c r="J532" s="6" t="str">
        <f t="shared" si="16"/>
        <v/>
      </c>
      <c r="K532" s="6" t="str">
        <f>IF(OR($B532="",$E532="",Calc!$B529=""),"",SUMIFS(CalcAmtA,CalcPartyA,$E532,CalcKeyA,"&lt;="&amp;Calc!$B529)-SUMIFS(CalcWitB,CalcPartyB,$E532,CalcKeyB,"&lt;="&amp;Calc!$B529)+SUMIFS(CalcDepB,CalcPartyB,$E532,CalcKeyB,"&lt;="&amp;Calc!$B529))</f>
        <v/>
      </c>
      <c r="L532" s="4"/>
    </row>
    <row r="533" spans="1:12" x14ac:dyDescent="0.2">
      <c r="A533" s="3" t="str">
        <f>IF($B533="","",COUNTA($B$9:$B533))</f>
        <v/>
      </c>
      <c r="B533" s="4"/>
      <c r="C533" s="4"/>
      <c r="D533" s="4"/>
      <c r="E533" s="4"/>
      <c r="F533" s="3" t="str">
        <f t="shared" si="17"/>
        <v/>
      </c>
      <c r="G533" s="4"/>
      <c r="H533" s="5"/>
      <c r="I533" s="5"/>
      <c r="J533" s="6" t="str">
        <f t="shared" si="16"/>
        <v/>
      </c>
      <c r="K533" s="6" t="str">
        <f>IF(OR($B533="",$E533="",Calc!$B530=""),"",SUMIFS(CalcAmtA,CalcPartyA,$E533,CalcKeyA,"&lt;="&amp;Calc!$B530)-SUMIFS(CalcWitB,CalcPartyB,$E533,CalcKeyB,"&lt;="&amp;Calc!$B530)+SUMIFS(CalcDepB,CalcPartyB,$E533,CalcKeyB,"&lt;="&amp;Calc!$B530))</f>
        <v/>
      </c>
      <c r="L533" s="4"/>
    </row>
    <row r="534" spans="1:12" x14ac:dyDescent="0.2">
      <c r="A534" s="3" t="str">
        <f>IF($B534="","",COUNTA($B$9:$B534))</f>
        <v/>
      </c>
      <c r="B534" s="4"/>
      <c r="C534" s="4"/>
      <c r="D534" s="4"/>
      <c r="E534" s="4"/>
      <c r="F534" s="3" t="str">
        <f t="shared" si="17"/>
        <v/>
      </c>
      <c r="G534" s="4"/>
      <c r="H534" s="5"/>
      <c r="I534" s="5"/>
      <c r="J534" s="6" t="str">
        <f t="shared" si="16"/>
        <v/>
      </c>
      <c r="K534" s="6" t="str">
        <f>IF(OR($B534="",$E534="",Calc!$B531=""),"",SUMIFS(CalcAmtA,CalcPartyA,$E534,CalcKeyA,"&lt;="&amp;Calc!$B531)-SUMIFS(CalcWitB,CalcPartyB,$E534,CalcKeyB,"&lt;="&amp;Calc!$B531)+SUMIFS(CalcDepB,CalcPartyB,$E534,CalcKeyB,"&lt;="&amp;Calc!$B531))</f>
        <v/>
      </c>
      <c r="L534" s="4"/>
    </row>
    <row r="535" spans="1:12" x14ac:dyDescent="0.2">
      <c r="A535" s="3" t="str">
        <f>IF($B535="","",COUNTA($B$9:$B535))</f>
        <v/>
      </c>
      <c r="B535" s="4"/>
      <c r="C535" s="4"/>
      <c r="D535" s="4"/>
      <c r="E535" s="4"/>
      <c r="F535" s="3" t="str">
        <f t="shared" si="17"/>
        <v/>
      </c>
      <c r="G535" s="4"/>
      <c r="H535" s="5"/>
      <c r="I535" s="5"/>
      <c r="J535" s="6" t="str">
        <f t="shared" si="16"/>
        <v/>
      </c>
      <c r="K535" s="6" t="str">
        <f>IF(OR($B535="",$E535="",Calc!$B532=""),"",SUMIFS(CalcAmtA,CalcPartyA,$E535,CalcKeyA,"&lt;="&amp;Calc!$B532)-SUMIFS(CalcWitB,CalcPartyB,$E535,CalcKeyB,"&lt;="&amp;Calc!$B532)+SUMIFS(CalcDepB,CalcPartyB,$E535,CalcKeyB,"&lt;="&amp;Calc!$B532))</f>
        <v/>
      </c>
      <c r="L535" s="4"/>
    </row>
    <row r="536" spans="1:12" x14ac:dyDescent="0.2">
      <c r="A536" s="3" t="str">
        <f>IF($B536="","",COUNTA($B$9:$B536))</f>
        <v/>
      </c>
      <c r="B536" s="4"/>
      <c r="C536" s="4"/>
      <c r="D536" s="4"/>
      <c r="E536" s="4"/>
      <c r="F536" s="3" t="str">
        <f t="shared" si="17"/>
        <v/>
      </c>
      <c r="G536" s="4"/>
      <c r="H536" s="5"/>
      <c r="I536" s="5"/>
      <c r="J536" s="6" t="str">
        <f t="shared" si="16"/>
        <v/>
      </c>
      <c r="K536" s="6" t="str">
        <f>IF(OR($B536="",$E536="",Calc!$B533=""),"",SUMIFS(CalcAmtA,CalcPartyA,$E536,CalcKeyA,"&lt;="&amp;Calc!$B533)-SUMIFS(CalcWitB,CalcPartyB,$E536,CalcKeyB,"&lt;="&amp;Calc!$B533)+SUMIFS(CalcDepB,CalcPartyB,$E536,CalcKeyB,"&lt;="&amp;Calc!$B533))</f>
        <v/>
      </c>
      <c r="L536" s="4"/>
    </row>
    <row r="537" spans="1:12" x14ac:dyDescent="0.2">
      <c r="A537" s="3" t="str">
        <f>IF($B537="","",COUNTA($B$9:$B537))</f>
        <v/>
      </c>
      <c r="B537" s="4"/>
      <c r="C537" s="4"/>
      <c r="D537" s="4"/>
      <c r="E537" s="4"/>
      <c r="F537" s="3" t="str">
        <f t="shared" si="17"/>
        <v/>
      </c>
      <c r="G537" s="4"/>
      <c r="H537" s="5"/>
      <c r="I537" s="5"/>
      <c r="J537" s="6" t="str">
        <f t="shared" si="16"/>
        <v/>
      </c>
      <c r="K537" s="6" t="str">
        <f>IF(OR($B537="",$E537="",Calc!$B534=""),"",SUMIFS(CalcAmtA,CalcPartyA,$E537,CalcKeyA,"&lt;="&amp;Calc!$B534)-SUMIFS(CalcWitB,CalcPartyB,$E537,CalcKeyB,"&lt;="&amp;Calc!$B534)+SUMIFS(CalcDepB,CalcPartyB,$E537,CalcKeyB,"&lt;="&amp;Calc!$B534))</f>
        <v/>
      </c>
      <c r="L537" s="4"/>
    </row>
    <row r="538" spans="1:12" x14ac:dyDescent="0.2">
      <c r="A538" s="3" t="str">
        <f>IF($B538="","",COUNTA($B$9:$B538))</f>
        <v/>
      </c>
      <c r="B538" s="4"/>
      <c r="C538" s="4"/>
      <c r="D538" s="4"/>
      <c r="E538" s="4"/>
      <c r="F538" s="3" t="str">
        <f t="shared" si="17"/>
        <v/>
      </c>
      <c r="G538" s="4"/>
      <c r="H538" s="5"/>
      <c r="I538" s="5"/>
      <c r="J538" s="6" t="str">
        <f t="shared" si="16"/>
        <v/>
      </c>
      <c r="K538" s="6" t="str">
        <f>IF(OR($B538="",$E538="",Calc!$B535=""),"",SUMIFS(CalcAmtA,CalcPartyA,$E538,CalcKeyA,"&lt;="&amp;Calc!$B535)-SUMIFS(CalcWitB,CalcPartyB,$E538,CalcKeyB,"&lt;="&amp;Calc!$B535)+SUMIFS(CalcDepB,CalcPartyB,$E538,CalcKeyB,"&lt;="&amp;Calc!$B535))</f>
        <v/>
      </c>
      <c r="L538" s="4"/>
    </row>
    <row r="539" spans="1:12" x14ac:dyDescent="0.2">
      <c r="A539" s="3" t="str">
        <f>IF($B539="","",COUNTA($B$9:$B539))</f>
        <v/>
      </c>
      <c r="B539" s="4"/>
      <c r="C539" s="4"/>
      <c r="D539" s="4"/>
      <c r="E539" s="4"/>
      <c r="F539" s="3" t="str">
        <f t="shared" si="17"/>
        <v/>
      </c>
      <c r="G539" s="4"/>
      <c r="H539" s="5"/>
      <c r="I539" s="5"/>
      <c r="J539" s="6" t="str">
        <f t="shared" si="16"/>
        <v/>
      </c>
      <c r="K539" s="6" t="str">
        <f>IF(OR($B539="",$E539="",Calc!$B536=""),"",SUMIFS(CalcAmtA,CalcPartyA,$E539,CalcKeyA,"&lt;="&amp;Calc!$B536)-SUMIFS(CalcWitB,CalcPartyB,$E539,CalcKeyB,"&lt;="&amp;Calc!$B536)+SUMIFS(CalcDepB,CalcPartyB,$E539,CalcKeyB,"&lt;="&amp;Calc!$B536))</f>
        <v/>
      </c>
      <c r="L539" s="4"/>
    </row>
    <row r="540" spans="1:12" x14ac:dyDescent="0.2">
      <c r="A540" s="3" t="str">
        <f>IF($B540="","",COUNTA($B$9:$B540))</f>
        <v/>
      </c>
      <c r="B540" s="4"/>
      <c r="C540" s="4"/>
      <c r="D540" s="4"/>
      <c r="E540" s="4"/>
      <c r="F540" s="3" t="str">
        <f t="shared" si="17"/>
        <v/>
      </c>
      <c r="G540" s="4"/>
      <c r="H540" s="5"/>
      <c r="I540" s="5"/>
      <c r="J540" s="6" t="str">
        <f t="shared" si="16"/>
        <v/>
      </c>
      <c r="K540" s="6" t="str">
        <f>IF(OR($B540="",$E540="",Calc!$B537=""),"",SUMIFS(CalcAmtA,CalcPartyA,$E540,CalcKeyA,"&lt;="&amp;Calc!$B537)-SUMIFS(CalcWitB,CalcPartyB,$E540,CalcKeyB,"&lt;="&amp;Calc!$B537)+SUMIFS(CalcDepB,CalcPartyB,$E540,CalcKeyB,"&lt;="&amp;Calc!$B537))</f>
        <v/>
      </c>
      <c r="L540" s="4"/>
    </row>
    <row r="541" spans="1:12" x14ac:dyDescent="0.2">
      <c r="A541" s="3" t="str">
        <f>IF($B541="","",COUNTA($B$9:$B541))</f>
        <v/>
      </c>
      <c r="B541" s="4"/>
      <c r="C541" s="4"/>
      <c r="D541" s="4"/>
      <c r="E541" s="4"/>
      <c r="F541" s="3" t="str">
        <f t="shared" si="17"/>
        <v/>
      </c>
      <c r="G541" s="4"/>
      <c r="H541" s="5"/>
      <c r="I541" s="5"/>
      <c r="J541" s="6" t="str">
        <f t="shared" si="16"/>
        <v/>
      </c>
      <c r="K541" s="6" t="str">
        <f>IF(OR($B541="",$E541="",Calc!$B538=""),"",SUMIFS(CalcAmtA,CalcPartyA,$E541,CalcKeyA,"&lt;="&amp;Calc!$B538)-SUMIFS(CalcWitB,CalcPartyB,$E541,CalcKeyB,"&lt;="&amp;Calc!$B538)+SUMIFS(CalcDepB,CalcPartyB,$E541,CalcKeyB,"&lt;="&amp;Calc!$B538))</f>
        <v/>
      </c>
      <c r="L541" s="4"/>
    </row>
    <row r="542" spans="1:12" x14ac:dyDescent="0.2">
      <c r="A542" s="3" t="str">
        <f>IF($B542="","",COUNTA($B$9:$B542))</f>
        <v/>
      </c>
      <c r="B542" s="4"/>
      <c r="C542" s="4"/>
      <c r="D542" s="4"/>
      <c r="E542" s="4"/>
      <c r="F542" s="3" t="str">
        <f t="shared" si="17"/>
        <v/>
      </c>
      <c r="G542" s="4"/>
      <c r="H542" s="5"/>
      <c r="I542" s="5"/>
      <c r="J542" s="6" t="str">
        <f t="shared" si="16"/>
        <v/>
      </c>
      <c r="K542" s="6" t="str">
        <f>IF(OR($B542="",$E542="",Calc!$B539=""),"",SUMIFS(CalcAmtA,CalcPartyA,$E542,CalcKeyA,"&lt;="&amp;Calc!$B539)-SUMIFS(CalcWitB,CalcPartyB,$E542,CalcKeyB,"&lt;="&amp;Calc!$B539)+SUMIFS(CalcDepB,CalcPartyB,$E542,CalcKeyB,"&lt;="&amp;Calc!$B539))</f>
        <v/>
      </c>
      <c r="L542" s="4"/>
    </row>
    <row r="543" spans="1:12" x14ac:dyDescent="0.2">
      <c r="A543" s="3" t="str">
        <f>IF($B543="","",COUNTA($B$9:$B543))</f>
        <v/>
      </c>
      <c r="B543" s="4"/>
      <c r="C543" s="4"/>
      <c r="D543" s="4"/>
      <c r="E543" s="4"/>
      <c r="F543" s="3" t="str">
        <f t="shared" si="17"/>
        <v/>
      </c>
      <c r="G543" s="4"/>
      <c r="H543" s="5"/>
      <c r="I543" s="5"/>
      <c r="J543" s="6" t="str">
        <f t="shared" si="16"/>
        <v/>
      </c>
      <c r="K543" s="6" t="str">
        <f>IF(OR($B543="",$E543="",Calc!$B540=""),"",SUMIFS(CalcAmtA,CalcPartyA,$E543,CalcKeyA,"&lt;="&amp;Calc!$B540)-SUMIFS(CalcWitB,CalcPartyB,$E543,CalcKeyB,"&lt;="&amp;Calc!$B540)+SUMIFS(CalcDepB,CalcPartyB,$E543,CalcKeyB,"&lt;="&amp;Calc!$B540))</f>
        <v/>
      </c>
      <c r="L543" s="4"/>
    </row>
    <row r="544" spans="1:12" x14ac:dyDescent="0.2">
      <c r="A544" s="3" t="str">
        <f>IF($B544="","",COUNTA($B$9:$B544))</f>
        <v/>
      </c>
      <c r="B544" s="4"/>
      <c r="C544" s="4"/>
      <c r="D544" s="4"/>
      <c r="E544" s="4"/>
      <c r="F544" s="3" t="str">
        <f t="shared" si="17"/>
        <v/>
      </c>
      <c r="G544" s="4"/>
      <c r="H544" s="5"/>
      <c r="I544" s="5"/>
      <c r="J544" s="6" t="str">
        <f t="shared" si="16"/>
        <v/>
      </c>
      <c r="K544" s="6" t="str">
        <f>IF(OR($B544="",$E544="",Calc!$B541=""),"",SUMIFS(CalcAmtA,CalcPartyA,$E544,CalcKeyA,"&lt;="&amp;Calc!$B541)-SUMIFS(CalcWitB,CalcPartyB,$E544,CalcKeyB,"&lt;="&amp;Calc!$B541)+SUMIFS(CalcDepB,CalcPartyB,$E544,CalcKeyB,"&lt;="&amp;Calc!$B541))</f>
        <v/>
      </c>
      <c r="L544" s="4"/>
    </row>
    <row r="545" spans="1:12" x14ac:dyDescent="0.2">
      <c r="A545" s="3" t="str">
        <f>IF($B545="","",COUNTA($B$9:$B545))</f>
        <v/>
      </c>
      <c r="B545" s="4"/>
      <c r="C545" s="4"/>
      <c r="D545" s="4"/>
      <c r="E545" s="4"/>
      <c r="F545" s="3" t="str">
        <f t="shared" si="17"/>
        <v/>
      </c>
      <c r="G545" s="4"/>
      <c r="H545" s="5"/>
      <c r="I545" s="5"/>
      <c r="J545" s="6" t="str">
        <f t="shared" si="16"/>
        <v/>
      </c>
      <c r="K545" s="6" t="str">
        <f>IF(OR($B545="",$E545="",Calc!$B542=""),"",SUMIFS(CalcAmtA,CalcPartyA,$E545,CalcKeyA,"&lt;="&amp;Calc!$B542)-SUMIFS(CalcWitB,CalcPartyB,$E545,CalcKeyB,"&lt;="&amp;Calc!$B542)+SUMIFS(CalcDepB,CalcPartyB,$E545,CalcKeyB,"&lt;="&amp;Calc!$B542))</f>
        <v/>
      </c>
      <c r="L545" s="4"/>
    </row>
    <row r="546" spans="1:12" x14ac:dyDescent="0.2">
      <c r="A546" s="3" t="str">
        <f>IF($B546="","",COUNTA($B$9:$B546))</f>
        <v/>
      </c>
      <c r="B546" s="4"/>
      <c r="C546" s="4"/>
      <c r="D546" s="4"/>
      <c r="E546" s="4"/>
      <c r="F546" s="3" t="str">
        <f t="shared" si="17"/>
        <v/>
      </c>
      <c r="G546" s="4"/>
      <c r="H546" s="5"/>
      <c r="I546" s="5"/>
      <c r="J546" s="6" t="str">
        <f t="shared" si="16"/>
        <v/>
      </c>
      <c r="K546" s="6" t="str">
        <f>IF(OR($B546="",$E546="",Calc!$B543=""),"",SUMIFS(CalcAmtA,CalcPartyA,$E546,CalcKeyA,"&lt;="&amp;Calc!$B543)-SUMIFS(CalcWitB,CalcPartyB,$E546,CalcKeyB,"&lt;="&amp;Calc!$B543)+SUMIFS(CalcDepB,CalcPartyB,$E546,CalcKeyB,"&lt;="&amp;Calc!$B543))</f>
        <v/>
      </c>
      <c r="L546" s="4"/>
    </row>
    <row r="547" spans="1:12" x14ac:dyDescent="0.2">
      <c r="A547" s="3" t="str">
        <f>IF($B547="","",COUNTA($B$9:$B547))</f>
        <v/>
      </c>
      <c r="B547" s="4"/>
      <c r="C547" s="4"/>
      <c r="D547" s="4"/>
      <c r="E547" s="4"/>
      <c r="F547" s="3" t="str">
        <f t="shared" si="17"/>
        <v/>
      </c>
      <c r="G547" s="4"/>
      <c r="H547" s="5"/>
      <c r="I547" s="5"/>
      <c r="J547" s="6" t="str">
        <f t="shared" si="16"/>
        <v/>
      </c>
      <c r="K547" s="6" t="str">
        <f>IF(OR($B547="",$E547="",Calc!$B544=""),"",SUMIFS(CalcAmtA,CalcPartyA,$E547,CalcKeyA,"&lt;="&amp;Calc!$B544)-SUMIFS(CalcWitB,CalcPartyB,$E547,CalcKeyB,"&lt;="&amp;Calc!$B544)+SUMIFS(CalcDepB,CalcPartyB,$E547,CalcKeyB,"&lt;="&amp;Calc!$B544))</f>
        <v/>
      </c>
      <c r="L547" s="4"/>
    </row>
    <row r="548" spans="1:12" x14ac:dyDescent="0.2">
      <c r="A548" s="3" t="str">
        <f>IF($B548="","",COUNTA($B$9:$B548))</f>
        <v/>
      </c>
      <c r="B548" s="4"/>
      <c r="C548" s="4"/>
      <c r="D548" s="4"/>
      <c r="E548" s="4"/>
      <c r="F548" s="3" t="str">
        <f t="shared" si="17"/>
        <v/>
      </c>
      <c r="G548" s="4"/>
      <c r="H548" s="5"/>
      <c r="I548" s="5"/>
      <c r="J548" s="6" t="str">
        <f t="shared" si="16"/>
        <v/>
      </c>
      <c r="K548" s="6" t="str">
        <f>IF(OR($B548="",$E548="",Calc!$B545=""),"",SUMIFS(CalcAmtA,CalcPartyA,$E548,CalcKeyA,"&lt;="&amp;Calc!$B545)-SUMIFS(CalcWitB,CalcPartyB,$E548,CalcKeyB,"&lt;="&amp;Calc!$B545)+SUMIFS(CalcDepB,CalcPartyB,$E548,CalcKeyB,"&lt;="&amp;Calc!$B545))</f>
        <v/>
      </c>
      <c r="L548" s="4"/>
    </row>
    <row r="549" spans="1:12" x14ac:dyDescent="0.2">
      <c r="A549" s="3" t="str">
        <f>IF($B549="","",COUNTA($B$9:$B549))</f>
        <v/>
      </c>
      <c r="B549" s="4"/>
      <c r="C549" s="4"/>
      <c r="D549" s="4"/>
      <c r="E549" s="4"/>
      <c r="F549" s="3" t="str">
        <f t="shared" si="17"/>
        <v/>
      </c>
      <c r="G549" s="4"/>
      <c r="H549" s="5"/>
      <c r="I549" s="5"/>
      <c r="J549" s="6" t="str">
        <f t="shared" si="16"/>
        <v/>
      </c>
      <c r="K549" s="6" t="str">
        <f>IF(OR($B549="",$E549="",Calc!$B546=""),"",SUMIFS(CalcAmtA,CalcPartyA,$E549,CalcKeyA,"&lt;="&amp;Calc!$B546)-SUMIFS(CalcWitB,CalcPartyB,$E549,CalcKeyB,"&lt;="&amp;Calc!$B546)+SUMIFS(CalcDepB,CalcPartyB,$E549,CalcKeyB,"&lt;="&amp;Calc!$B546))</f>
        <v/>
      </c>
      <c r="L549" s="4"/>
    </row>
    <row r="550" spans="1:12" x14ac:dyDescent="0.2">
      <c r="A550" s="3" t="str">
        <f>IF($B550="","",COUNTA($B$9:$B550))</f>
        <v/>
      </c>
      <c r="B550" s="4"/>
      <c r="C550" s="4"/>
      <c r="D550" s="4"/>
      <c r="E550" s="4"/>
      <c r="F550" s="3" t="str">
        <f t="shared" si="17"/>
        <v/>
      </c>
      <c r="G550" s="4"/>
      <c r="H550" s="5"/>
      <c r="I550" s="5"/>
      <c r="J550" s="6" t="str">
        <f t="shared" si="16"/>
        <v/>
      </c>
      <c r="K550" s="6" t="str">
        <f>IF(OR($B550="",$E550="",Calc!$B547=""),"",SUMIFS(CalcAmtA,CalcPartyA,$E550,CalcKeyA,"&lt;="&amp;Calc!$B547)-SUMIFS(CalcWitB,CalcPartyB,$E550,CalcKeyB,"&lt;="&amp;Calc!$B547)+SUMIFS(CalcDepB,CalcPartyB,$E550,CalcKeyB,"&lt;="&amp;Calc!$B547))</f>
        <v/>
      </c>
      <c r="L550" s="4"/>
    </row>
    <row r="551" spans="1:12" x14ac:dyDescent="0.2">
      <c r="A551" s="3" t="str">
        <f>IF($B551="","",COUNTA($B$9:$B551))</f>
        <v/>
      </c>
      <c r="B551" s="4"/>
      <c r="C551" s="4"/>
      <c r="D551" s="4"/>
      <c r="E551" s="4"/>
      <c r="F551" s="3" t="str">
        <f t="shared" si="17"/>
        <v/>
      </c>
      <c r="G551" s="4"/>
      <c r="H551" s="5"/>
      <c r="I551" s="5"/>
      <c r="J551" s="6" t="str">
        <f t="shared" si="16"/>
        <v/>
      </c>
      <c r="K551" s="6" t="str">
        <f>IF(OR($B551="",$E551="",Calc!$B548=""),"",SUMIFS(CalcAmtA,CalcPartyA,$E551,CalcKeyA,"&lt;="&amp;Calc!$B548)-SUMIFS(CalcWitB,CalcPartyB,$E551,CalcKeyB,"&lt;="&amp;Calc!$B548)+SUMIFS(CalcDepB,CalcPartyB,$E551,CalcKeyB,"&lt;="&amp;Calc!$B548))</f>
        <v/>
      </c>
      <c r="L551" s="4"/>
    </row>
    <row r="552" spans="1:12" x14ac:dyDescent="0.2">
      <c r="A552" s="3" t="str">
        <f>IF($B552="","",COUNTA($B$9:$B552))</f>
        <v/>
      </c>
      <c r="B552" s="4"/>
      <c r="C552" s="4"/>
      <c r="D552" s="4"/>
      <c r="E552" s="4"/>
      <c r="F552" s="3" t="str">
        <f t="shared" si="17"/>
        <v/>
      </c>
      <c r="G552" s="4"/>
      <c r="H552" s="5"/>
      <c r="I552" s="5"/>
      <c r="J552" s="6" t="str">
        <f t="shared" si="16"/>
        <v/>
      </c>
      <c r="K552" s="6" t="str">
        <f>IF(OR($B552="",$E552="",Calc!$B549=""),"",SUMIFS(CalcAmtA,CalcPartyA,$E552,CalcKeyA,"&lt;="&amp;Calc!$B549)-SUMIFS(CalcWitB,CalcPartyB,$E552,CalcKeyB,"&lt;="&amp;Calc!$B549)+SUMIFS(CalcDepB,CalcPartyB,$E552,CalcKeyB,"&lt;="&amp;Calc!$B549))</f>
        <v/>
      </c>
      <c r="L552" s="4"/>
    </row>
    <row r="553" spans="1:12" x14ac:dyDescent="0.2">
      <c r="A553" s="3" t="str">
        <f>IF($B553="","",COUNTA($B$9:$B553))</f>
        <v/>
      </c>
      <c r="B553" s="4"/>
      <c r="C553" s="4"/>
      <c r="D553" s="4"/>
      <c r="E553" s="4"/>
      <c r="F553" s="3" t="str">
        <f t="shared" si="17"/>
        <v/>
      </c>
      <c r="G553" s="4"/>
      <c r="H553" s="5"/>
      <c r="I553" s="5"/>
      <c r="J553" s="6" t="str">
        <f t="shared" si="16"/>
        <v/>
      </c>
      <c r="K553" s="6" t="str">
        <f>IF(OR($B553="",$E553="",Calc!$B550=""),"",SUMIFS(CalcAmtA,CalcPartyA,$E553,CalcKeyA,"&lt;="&amp;Calc!$B550)-SUMIFS(CalcWitB,CalcPartyB,$E553,CalcKeyB,"&lt;="&amp;Calc!$B550)+SUMIFS(CalcDepB,CalcPartyB,$E553,CalcKeyB,"&lt;="&amp;Calc!$B550))</f>
        <v/>
      </c>
      <c r="L553" s="4"/>
    </row>
    <row r="554" spans="1:12" x14ac:dyDescent="0.2">
      <c r="A554" s="3" t="str">
        <f>IF($B554="","",COUNTA($B$9:$B554))</f>
        <v/>
      </c>
      <c r="B554" s="4"/>
      <c r="C554" s="4"/>
      <c r="D554" s="4"/>
      <c r="E554" s="4"/>
      <c r="F554" s="3" t="str">
        <f t="shared" si="17"/>
        <v/>
      </c>
      <c r="G554" s="4"/>
      <c r="H554" s="5"/>
      <c r="I554" s="5"/>
      <c r="J554" s="6" t="str">
        <f t="shared" si="16"/>
        <v/>
      </c>
      <c r="K554" s="6" t="str">
        <f>IF(OR($B554="",$E554="",Calc!$B551=""),"",SUMIFS(CalcAmtA,CalcPartyA,$E554,CalcKeyA,"&lt;="&amp;Calc!$B551)-SUMIFS(CalcWitB,CalcPartyB,$E554,CalcKeyB,"&lt;="&amp;Calc!$B551)+SUMIFS(CalcDepB,CalcPartyB,$E554,CalcKeyB,"&lt;="&amp;Calc!$B551))</f>
        <v/>
      </c>
      <c r="L554" s="4"/>
    </row>
    <row r="555" spans="1:12" x14ac:dyDescent="0.2">
      <c r="A555" s="3" t="str">
        <f>IF($B555="","",COUNTA($B$9:$B555))</f>
        <v/>
      </c>
      <c r="B555" s="4"/>
      <c r="C555" s="4"/>
      <c r="D555" s="4"/>
      <c r="E555" s="4"/>
      <c r="F555" s="3" t="str">
        <f t="shared" si="17"/>
        <v/>
      </c>
      <c r="G555" s="4"/>
      <c r="H555" s="5"/>
      <c r="I555" s="5"/>
      <c r="J555" s="6" t="str">
        <f t="shared" si="16"/>
        <v/>
      </c>
      <c r="K555" s="6" t="str">
        <f>IF(OR($B555="",$E555="",Calc!$B552=""),"",SUMIFS(CalcAmtA,CalcPartyA,$E555,CalcKeyA,"&lt;="&amp;Calc!$B552)-SUMIFS(CalcWitB,CalcPartyB,$E555,CalcKeyB,"&lt;="&amp;Calc!$B552)+SUMIFS(CalcDepB,CalcPartyB,$E555,CalcKeyB,"&lt;="&amp;Calc!$B552))</f>
        <v/>
      </c>
      <c r="L555" s="4"/>
    </row>
    <row r="556" spans="1:12" x14ac:dyDescent="0.2">
      <c r="A556" s="3" t="str">
        <f>IF($B556="","",COUNTA($B$9:$B556))</f>
        <v/>
      </c>
      <c r="B556" s="4"/>
      <c r="C556" s="4"/>
      <c r="D556" s="4"/>
      <c r="E556" s="4"/>
      <c r="F556" s="3" t="str">
        <f t="shared" si="17"/>
        <v/>
      </c>
      <c r="G556" s="4"/>
      <c r="H556" s="5"/>
      <c r="I556" s="5"/>
      <c r="J556" s="6" t="str">
        <f t="shared" si="16"/>
        <v/>
      </c>
      <c r="K556" s="6" t="str">
        <f>IF(OR($B556="",$E556="",Calc!$B553=""),"",SUMIFS(CalcAmtA,CalcPartyA,$E556,CalcKeyA,"&lt;="&amp;Calc!$B553)-SUMIFS(CalcWitB,CalcPartyB,$E556,CalcKeyB,"&lt;="&amp;Calc!$B553)+SUMIFS(CalcDepB,CalcPartyB,$E556,CalcKeyB,"&lt;="&amp;Calc!$B553))</f>
        <v/>
      </c>
      <c r="L556" s="4"/>
    </row>
    <row r="557" spans="1:12" x14ac:dyDescent="0.2">
      <c r="A557" s="3" t="str">
        <f>IF($B557="","",COUNTA($B$9:$B557))</f>
        <v/>
      </c>
      <c r="B557" s="4"/>
      <c r="C557" s="4"/>
      <c r="D557" s="4"/>
      <c r="E557" s="4"/>
      <c r="F557" s="3" t="str">
        <f t="shared" si="17"/>
        <v/>
      </c>
      <c r="G557" s="4"/>
      <c r="H557" s="5"/>
      <c r="I557" s="5"/>
      <c r="J557" s="6" t="str">
        <f t="shared" si="16"/>
        <v/>
      </c>
      <c r="K557" s="6" t="str">
        <f>IF(OR($B557="",$E557="",Calc!$B554=""),"",SUMIFS(CalcAmtA,CalcPartyA,$E557,CalcKeyA,"&lt;="&amp;Calc!$B554)-SUMIFS(CalcWitB,CalcPartyB,$E557,CalcKeyB,"&lt;="&amp;Calc!$B554)+SUMIFS(CalcDepB,CalcPartyB,$E557,CalcKeyB,"&lt;="&amp;Calc!$B554))</f>
        <v/>
      </c>
      <c r="L557" s="4"/>
    </row>
    <row r="558" spans="1:12" x14ac:dyDescent="0.2">
      <c r="A558" s="3" t="str">
        <f>IF($B558="","",COUNTA($B$9:$B558))</f>
        <v/>
      </c>
      <c r="B558" s="4"/>
      <c r="C558" s="4"/>
      <c r="D558" s="4"/>
      <c r="E558" s="4"/>
      <c r="F558" s="3" t="str">
        <f t="shared" si="17"/>
        <v/>
      </c>
      <c r="G558" s="4"/>
      <c r="H558" s="5"/>
      <c r="I558" s="5"/>
      <c r="J558" s="6" t="str">
        <f t="shared" si="16"/>
        <v/>
      </c>
      <c r="K558" s="6" t="str">
        <f>IF(OR($B558="",$E558="",Calc!$B555=""),"",SUMIFS(CalcAmtA,CalcPartyA,$E558,CalcKeyA,"&lt;="&amp;Calc!$B555)-SUMIFS(CalcWitB,CalcPartyB,$E558,CalcKeyB,"&lt;="&amp;Calc!$B555)+SUMIFS(CalcDepB,CalcPartyB,$E558,CalcKeyB,"&lt;="&amp;Calc!$B555))</f>
        <v/>
      </c>
      <c r="L558" s="4"/>
    </row>
    <row r="559" spans="1:12" x14ac:dyDescent="0.2">
      <c r="A559" s="3" t="str">
        <f>IF($B559="","",COUNTA($B$9:$B559))</f>
        <v/>
      </c>
      <c r="B559" s="4"/>
      <c r="C559" s="4"/>
      <c r="D559" s="4"/>
      <c r="E559" s="4"/>
      <c r="F559" s="3" t="str">
        <f t="shared" si="17"/>
        <v/>
      </c>
      <c r="G559" s="4"/>
      <c r="H559" s="5"/>
      <c r="I559" s="5"/>
      <c r="J559" s="6" t="str">
        <f t="shared" si="16"/>
        <v/>
      </c>
      <c r="K559" s="6" t="str">
        <f>IF(OR($B559="",$E559="",Calc!$B556=""),"",SUMIFS(CalcAmtA,CalcPartyA,$E559,CalcKeyA,"&lt;="&amp;Calc!$B556)-SUMIFS(CalcWitB,CalcPartyB,$E559,CalcKeyB,"&lt;="&amp;Calc!$B556)+SUMIFS(CalcDepB,CalcPartyB,$E559,CalcKeyB,"&lt;="&amp;Calc!$B556))</f>
        <v/>
      </c>
      <c r="L559" s="4"/>
    </row>
    <row r="560" spans="1:12" x14ac:dyDescent="0.2">
      <c r="A560" s="3" t="str">
        <f>IF($B560="","",COUNTA($B$9:$B560))</f>
        <v/>
      </c>
      <c r="B560" s="4"/>
      <c r="C560" s="4"/>
      <c r="D560" s="4"/>
      <c r="E560" s="4"/>
      <c r="F560" s="3" t="str">
        <f t="shared" si="17"/>
        <v/>
      </c>
      <c r="G560" s="4"/>
      <c r="H560" s="5"/>
      <c r="I560" s="5"/>
      <c r="J560" s="6" t="str">
        <f t="shared" si="16"/>
        <v/>
      </c>
      <c r="K560" s="6" t="str">
        <f>IF(OR($B560="",$E560="",Calc!$B557=""),"",SUMIFS(CalcAmtA,CalcPartyA,$E560,CalcKeyA,"&lt;="&amp;Calc!$B557)-SUMIFS(CalcWitB,CalcPartyB,$E560,CalcKeyB,"&lt;="&amp;Calc!$B557)+SUMIFS(CalcDepB,CalcPartyB,$E560,CalcKeyB,"&lt;="&amp;Calc!$B557))</f>
        <v/>
      </c>
      <c r="L560" s="4"/>
    </row>
    <row r="561" spans="1:12" x14ac:dyDescent="0.2">
      <c r="A561" s="3" t="str">
        <f>IF($B561="","",COUNTA($B$9:$B561))</f>
        <v/>
      </c>
      <c r="B561" s="4"/>
      <c r="C561" s="4"/>
      <c r="D561" s="4"/>
      <c r="E561" s="4"/>
      <c r="F561" s="3" t="str">
        <f t="shared" si="17"/>
        <v/>
      </c>
      <c r="G561" s="4"/>
      <c r="H561" s="5"/>
      <c r="I561" s="5"/>
      <c r="J561" s="6" t="str">
        <f t="shared" si="16"/>
        <v/>
      </c>
      <c r="K561" s="6" t="str">
        <f>IF(OR($B561="",$E561="",Calc!$B558=""),"",SUMIFS(CalcAmtA,CalcPartyA,$E561,CalcKeyA,"&lt;="&amp;Calc!$B558)-SUMIFS(CalcWitB,CalcPartyB,$E561,CalcKeyB,"&lt;="&amp;Calc!$B558)+SUMIFS(CalcDepB,CalcPartyB,$E561,CalcKeyB,"&lt;="&amp;Calc!$B558))</f>
        <v/>
      </c>
      <c r="L561" s="4"/>
    </row>
    <row r="562" spans="1:12" x14ac:dyDescent="0.2">
      <c r="A562" s="3" t="str">
        <f>IF($B562="","",COUNTA($B$9:$B562))</f>
        <v/>
      </c>
      <c r="B562" s="4"/>
      <c r="C562" s="4"/>
      <c r="D562" s="4"/>
      <c r="E562" s="4"/>
      <c r="F562" s="3" t="str">
        <f t="shared" si="17"/>
        <v/>
      </c>
      <c r="G562" s="4"/>
      <c r="H562" s="5"/>
      <c r="I562" s="5"/>
      <c r="J562" s="6" t="str">
        <f t="shared" si="16"/>
        <v/>
      </c>
      <c r="K562" s="6" t="str">
        <f>IF(OR($B562="",$E562="",Calc!$B559=""),"",SUMIFS(CalcAmtA,CalcPartyA,$E562,CalcKeyA,"&lt;="&amp;Calc!$B559)-SUMIFS(CalcWitB,CalcPartyB,$E562,CalcKeyB,"&lt;="&amp;Calc!$B559)+SUMIFS(CalcDepB,CalcPartyB,$E562,CalcKeyB,"&lt;="&amp;Calc!$B559))</f>
        <v/>
      </c>
      <c r="L562" s="4"/>
    </row>
    <row r="563" spans="1:12" x14ac:dyDescent="0.2">
      <c r="A563" s="3" t="str">
        <f>IF($B563="","",COUNTA($B$9:$B563))</f>
        <v/>
      </c>
      <c r="B563" s="4"/>
      <c r="C563" s="4"/>
      <c r="D563" s="4"/>
      <c r="E563" s="4"/>
      <c r="F563" s="3" t="str">
        <f t="shared" si="17"/>
        <v/>
      </c>
      <c r="G563" s="4"/>
      <c r="H563" s="5"/>
      <c r="I563" s="5"/>
      <c r="J563" s="6" t="str">
        <f t="shared" si="16"/>
        <v/>
      </c>
      <c r="K563" s="6" t="str">
        <f>IF(OR($B563="",$E563="",Calc!$B560=""),"",SUMIFS(CalcAmtA,CalcPartyA,$E563,CalcKeyA,"&lt;="&amp;Calc!$B560)-SUMIFS(CalcWitB,CalcPartyB,$E563,CalcKeyB,"&lt;="&amp;Calc!$B560)+SUMIFS(CalcDepB,CalcPartyB,$E563,CalcKeyB,"&lt;="&amp;Calc!$B560))</f>
        <v/>
      </c>
      <c r="L563" s="4"/>
    </row>
    <row r="564" spans="1:12" x14ac:dyDescent="0.2">
      <c r="A564" s="3" t="str">
        <f>IF($B564="","",COUNTA($B$9:$B564))</f>
        <v/>
      </c>
      <c r="B564" s="4"/>
      <c r="C564" s="4"/>
      <c r="D564" s="4"/>
      <c r="E564" s="4"/>
      <c r="F564" s="3" t="str">
        <f t="shared" si="17"/>
        <v/>
      </c>
      <c r="G564" s="4"/>
      <c r="H564" s="5"/>
      <c r="I564" s="5"/>
      <c r="J564" s="6" t="str">
        <f t="shared" si="16"/>
        <v/>
      </c>
      <c r="K564" s="6" t="str">
        <f>IF(OR($B564="",$E564="",Calc!$B561=""),"",SUMIFS(CalcAmtA,CalcPartyA,$E564,CalcKeyA,"&lt;="&amp;Calc!$B561)-SUMIFS(CalcWitB,CalcPartyB,$E564,CalcKeyB,"&lt;="&amp;Calc!$B561)+SUMIFS(CalcDepB,CalcPartyB,$E564,CalcKeyB,"&lt;="&amp;Calc!$B561))</f>
        <v/>
      </c>
      <c r="L564" s="4"/>
    </row>
    <row r="565" spans="1:12" x14ac:dyDescent="0.2">
      <c r="A565" s="3" t="str">
        <f>IF($B565="","",COUNTA($B$9:$B565))</f>
        <v/>
      </c>
      <c r="B565" s="4"/>
      <c r="C565" s="4"/>
      <c r="D565" s="4"/>
      <c r="E565" s="4"/>
      <c r="F565" s="3" t="str">
        <f t="shared" si="17"/>
        <v/>
      </c>
      <c r="G565" s="4"/>
      <c r="H565" s="5"/>
      <c r="I565" s="5"/>
      <c r="J565" s="6" t="str">
        <f t="shared" si="16"/>
        <v/>
      </c>
      <c r="K565" s="6" t="str">
        <f>IF(OR($B565="",$E565="",Calc!$B562=""),"",SUMIFS(CalcAmtA,CalcPartyA,$E565,CalcKeyA,"&lt;="&amp;Calc!$B562)-SUMIFS(CalcWitB,CalcPartyB,$E565,CalcKeyB,"&lt;="&amp;Calc!$B562)+SUMIFS(CalcDepB,CalcPartyB,$E565,CalcKeyB,"&lt;="&amp;Calc!$B562))</f>
        <v/>
      </c>
      <c r="L565" s="4"/>
    </row>
    <row r="566" spans="1:12" x14ac:dyDescent="0.2">
      <c r="A566" s="3" t="str">
        <f>IF($B566="","",COUNTA($B$9:$B566))</f>
        <v/>
      </c>
      <c r="B566" s="4"/>
      <c r="C566" s="4"/>
      <c r="D566" s="4"/>
      <c r="E566" s="4"/>
      <c r="F566" s="3" t="str">
        <f t="shared" si="17"/>
        <v/>
      </c>
      <c r="G566" s="4"/>
      <c r="H566" s="5"/>
      <c r="I566" s="5"/>
      <c r="J566" s="6" t="str">
        <f t="shared" si="16"/>
        <v/>
      </c>
      <c r="K566" s="6" t="str">
        <f>IF(OR($B566="",$E566="",Calc!$B563=""),"",SUMIFS(CalcAmtA,CalcPartyA,$E566,CalcKeyA,"&lt;="&amp;Calc!$B563)-SUMIFS(CalcWitB,CalcPartyB,$E566,CalcKeyB,"&lt;="&amp;Calc!$B563)+SUMIFS(CalcDepB,CalcPartyB,$E566,CalcKeyB,"&lt;="&amp;Calc!$B563))</f>
        <v/>
      </c>
      <c r="L566" s="4"/>
    </row>
    <row r="567" spans="1:12" x14ac:dyDescent="0.2">
      <c r="A567" s="3" t="str">
        <f>IF($B567="","",COUNTA($B$9:$B567))</f>
        <v/>
      </c>
      <c r="B567" s="4"/>
      <c r="C567" s="4"/>
      <c r="D567" s="4"/>
      <c r="E567" s="4"/>
      <c r="F567" s="3" t="str">
        <f t="shared" si="17"/>
        <v/>
      </c>
      <c r="G567" s="4"/>
      <c r="H567" s="5"/>
      <c r="I567" s="5"/>
      <c r="J567" s="6" t="str">
        <f t="shared" si="16"/>
        <v/>
      </c>
      <c r="K567" s="6" t="str">
        <f>IF(OR($B567="",$E567="",Calc!$B564=""),"",SUMIFS(CalcAmtA,CalcPartyA,$E567,CalcKeyA,"&lt;="&amp;Calc!$B564)-SUMIFS(CalcWitB,CalcPartyB,$E567,CalcKeyB,"&lt;="&amp;Calc!$B564)+SUMIFS(CalcDepB,CalcPartyB,$E567,CalcKeyB,"&lt;="&amp;Calc!$B564))</f>
        <v/>
      </c>
      <c r="L567" s="4"/>
    </row>
    <row r="568" spans="1:12" x14ac:dyDescent="0.2">
      <c r="A568" s="3" t="str">
        <f>IF($B568="","",COUNTA($B$9:$B568))</f>
        <v/>
      </c>
      <c r="B568" s="4"/>
      <c r="C568" s="4"/>
      <c r="D568" s="4"/>
      <c r="E568" s="4"/>
      <c r="F568" s="3" t="str">
        <f t="shared" si="17"/>
        <v/>
      </c>
      <c r="G568" s="4"/>
      <c r="H568" s="5"/>
      <c r="I568" s="5"/>
      <c r="J568" s="6" t="str">
        <f t="shared" si="16"/>
        <v/>
      </c>
      <c r="K568" s="6" t="str">
        <f>IF(OR($B568="",$E568="",Calc!$B565=""),"",SUMIFS(CalcAmtA,CalcPartyA,$E568,CalcKeyA,"&lt;="&amp;Calc!$B565)-SUMIFS(CalcWitB,CalcPartyB,$E568,CalcKeyB,"&lt;="&amp;Calc!$B565)+SUMIFS(CalcDepB,CalcPartyB,$E568,CalcKeyB,"&lt;="&amp;Calc!$B565))</f>
        <v/>
      </c>
      <c r="L568" s="4"/>
    </row>
    <row r="569" spans="1:12" x14ac:dyDescent="0.2">
      <c r="A569" s="3" t="str">
        <f>IF($B569="","",COUNTA($B$9:$B569))</f>
        <v/>
      </c>
      <c r="B569" s="4"/>
      <c r="C569" s="4"/>
      <c r="D569" s="4"/>
      <c r="E569" s="4"/>
      <c r="F569" s="3" t="str">
        <f t="shared" si="17"/>
        <v/>
      </c>
      <c r="G569" s="4"/>
      <c r="H569" s="5"/>
      <c r="I569" s="5"/>
      <c r="J569" s="6" t="str">
        <f t="shared" si="16"/>
        <v/>
      </c>
      <c r="K569" s="6" t="str">
        <f>IF(OR($B569="",$E569="",Calc!$B566=""),"",SUMIFS(CalcAmtA,CalcPartyA,$E569,CalcKeyA,"&lt;="&amp;Calc!$B566)-SUMIFS(CalcWitB,CalcPartyB,$E569,CalcKeyB,"&lt;="&amp;Calc!$B566)+SUMIFS(CalcDepB,CalcPartyB,$E569,CalcKeyB,"&lt;="&amp;Calc!$B566))</f>
        <v/>
      </c>
      <c r="L569" s="4"/>
    </row>
    <row r="570" spans="1:12" x14ac:dyDescent="0.2">
      <c r="A570" s="3" t="str">
        <f>IF($B570="","",COUNTA($B$9:$B570))</f>
        <v/>
      </c>
      <c r="B570" s="4"/>
      <c r="C570" s="4"/>
      <c r="D570" s="4"/>
      <c r="E570" s="4"/>
      <c r="F570" s="3" t="str">
        <f t="shared" si="17"/>
        <v/>
      </c>
      <c r="G570" s="4"/>
      <c r="H570" s="5"/>
      <c r="I570" s="5"/>
      <c r="J570" s="6" t="str">
        <f t="shared" si="16"/>
        <v/>
      </c>
      <c r="K570" s="6" t="str">
        <f>IF(OR($B570="",$E570="",Calc!$B567=""),"",SUMIFS(CalcAmtA,CalcPartyA,$E570,CalcKeyA,"&lt;="&amp;Calc!$B567)-SUMIFS(CalcWitB,CalcPartyB,$E570,CalcKeyB,"&lt;="&amp;Calc!$B567)+SUMIFS(CalcDepB,CalcPartyB,$E570,CalcKeyB,"&lt;="&amp;Calc!$B567))</f>
        <v/>
      </c>
      <c r="L570" s="4"/>
    </row>
    <row r="571" spans="1:12" x14ac:dyDescent="0.2">
      <c r="A571" s="3" t="str">
        <f>IF($B571="","",COUNTA($B$9:$B571))</f>
        <v/>
      </c>
      <c r="B571" s="4"/>
      <c r="C571" s="4"/>
      <c r="D571" s="4"/>
      <c r="E571" s="4"/>
      <c r="F571" s="3" t="str">
        <f t="shared" si="17"/>
        <v/>
      </c>
      <c r="G571" s="4"/>
      <c r="H571" s="5"/>
      <c r="I571" s="5"/>
      <c r="J571" s="6" t="str">
        <f t="shared" si="16"/>
        <v/>
      </c>
      <c r="K571" s="6" t="str">
        <f>IF(OR($B571="",$E571="",Calc!$B568=""),"",SUMIFS(CalcAmtA,CalcPartyA,$E571,CalcKeyA,"&lt;="&amp;Calc!$B568)-SUMIFS(CalcWitB,CalcPartyB,$E571,CalcKeyB,"&lt;="&amp;Calc!$B568)+SUMIFS(CalcDepB,CalcPartyB,$E571,CalcKeyB,"&lt;="&amp;Calc!$B568))</f>
        <v/>
      </c>
      <c r="L571" s="4"/>
    </row>
    <row r="572" spans="1:12" x14ac:dyDescent="0.2">
      <c r="A572" s="3" t="str">
        <f>IF($B572="","",COUNTA($B$9:$B572))</f>
        <v/>
      </c>
      <c r="B572" s="4"/>
      <c r="C572" s="4"/>
      <c r="D572" s="4"/>
      <c r="E572" s="4"/>
      <c r="F572" s="3" t="str">
        <f t="shared" si="17"/>
        <v/>
      </c>
      <c r="G572" s="4"/>
      <c r="H572" s="5"/>
      <c r="I572" s="5"/>
      <c r="J572" s="6" t="str">
        <f t="shared" si="16"/>
        <v/>
      </c>
      <c r="K572" s="6" t="str">
        <f>IF(OR($B572="",$E572="",Calc!$B569=""),"",SUMIFS(CalcAmtA,CalcPartyA,$E572,CalcKeyA,"&lt;="&amp;Calc!$B569)-SUMIFS(CalcWitB,CalcPartyB,$E572,CalcKeyB,"&lt;="&amp;Calc!$B569)+SUMIFS(CalcDepB,CalcPartyB,$E572,CalcKeyB,"&lt;="&amp;Calc!$B569))</f>
        <v/>
      </c>
      <c r="L572" s="4"/>
    </row>
    <row r="573" spans="1:12" x14ac:dyDescent="0.2">
      <c r="A573" s="3" t="str">
        <f>IF($B573="","",COUNTA($B$9:$B573))</f>
        <v/>
      </c>
      <c r="B573" s="4"/>
      <c r="C573" s="4"/>
      <c r="D573" s="4"/>
      <c r="E573" s="4"/>
      <c r="F573" s="3" t="str">
        <f t="shared" si="17"/>
        <v/>
      </c>
      <c r="G573" s="4"/>
      <c r="H573" s="5"/>
      <c r="I573" s="5"/>
      <c r="J573" s="6" t="str">
        <f t="shared" si="16"/>
        <v/>
      </c>
      <c r="K573" s="6" t="str">
        <f>IF(OR($B573="",$E573="",Calc!$B570=""),"",SUMIFS(CalcAmtA,CalcPartyA,$E573,CalcKeyA,"&lt;="&amp;Calc!$B570)-SUMIFS(CalcWitB,CalcPartyB,$E573,CalcKeyB,"&lt;="&amp;Calc!$B570)+SUMIFS(CalcDepB,CalcPartyB,$E573,CalcKeyB,"&lt;="&amp;Calc!$B570))</f>
        <v/>
      </c>
      <c r="L573" s="4"/>
    </row>
    <row r="574" spans="1:12" x14ac:dyDescent="0.2">
      <c r="A574" s="3" t="str">
        <f>IF($B574="","",COUNTA($B$9:$B574))</f>
        <v/>
      </c>
      <c r="B574" s="4"/>
      <c r="C574" s="4"/>
      <c r="D574" s="4"/>
      <c r="E574" s="4"/>
      <c r="F574" s="3" t="str">
        <f t="shared" si="17"/>
        <v/>
      </c>
      <c r="G574" s="4"/>
      <c r="H574" s="5"/>
      <c r="I574" s="5"/>
      <c r="J574" s="6" t="str">
        <f t="shared" si="16"/>
        <v/>
      </c>
      <c r="K574" s="6" t="str">
        <f>IF(OR($B574="",$E574="",Calc!$B571=""),"",SUMIFS(CalcAmtA,CalcPartyA,$E574,CalcKeyA,"&lt;="&amp;Calc!$B571)-SUMIFS(CalcWitB,CalcPartyB,$E574,CalcKeyB,"&lt;="&amp;Calc!$B571)+SUMIFS(CalcDepB,CalcPartyB,$E574,CalcKeyB,"&lt;="&amp;Calc!$B571))</f>
        <v/>
      </c>
      <c r="L574" s="4"/>
    </row>
    <row r="575" spans="1:12" x14ac:dyDescent="0.2">
      <c r="A575" s="3" t="str">
        <f>IF($B575="","",COUNTA($B$9:$B575))</f>
        <v/>
      </c>
      <c r="B575" s="4"/>
      <c r="C575" s="4"/>
      <c r="D575" s="4"/>
      <c r="E575" s="4"/>
      <c r="F575" s="3" t="str">
        <f t="shared" si="17"/>
        <v/>
      </c>
      <c r="G575" s="4"/>
      <c r="H575" s="5"/>
      <c r="I575" s="5"/>
      <c r="J575" s="6" t="str">
        <f t="shared" si="16"/>
        <v/>
      </c>
      <c r="K575" s="6" t="str">
        <f>IF(OR($B575="",$E575="",Calc!$B572=""),"",SUMIFS(CalcAmtA,CalcPartyA,$E575,CalcKeyA,"&lt;="&amp;Calc!$B572)-SUMIFS(CalcWitB,CalcPartyB,$E575,CalcKeyB,"&lt;="&amp;Calc!$B572)+SUMIFS(CalcDepB,CalcPartyB,$E575,CalcKeyB,"&lt;="&amp;Calc!$B572))</f>
        <v/>
      </c>
      <c r="L575" s="4"/>
    </row>
    <row r="576" spans="1:12" x14ac:dyDescent="0.2">
      <c r="A576" s="3" t="str">
        <f>IF($B576="","",COUNTA($B$9:$B576))</f>
        <v/>
      </c>
      <c r="B576" s="4"/>
      <c r="C576" s="4"/>
      <c r="D576" s="4"/>
      <c r="E576" s="4"/>
      <c r="F576" s="3" t="str">
        <f t="shared" si="17"/>
        <v/>
      </c>
      <c r="G576" s="4"/>
      <c r="H576" s="5"/>
      <c r="I576" s="5"/>
      <c r="J576" s="6" t="str">
        <f t="shared" si="16"/>
        <v/>
      </c>
      <c r="K576" s="6" t="str">
        <f>IF(OR($B576="",$E576="",Calc!$B573=""),"",SUMIFS(CalcAmtA,CalcPartyA,$E576,CalcKeyA,"&lt;="&amp;Calc!$B573)-SUMIFS(CalcWitB,CalcPartyB,$E576,CalcKeyB,"&lt;="&amp;Calc!$B573)+SUMIFS(CalcDepB,CalcPartyB,$E576,CalcKeyB,"&lt;="&amp;Calc!$B573))</f>
        <v/>
      </c>
      <c r="L576" s="4"/>
    </row>
    <row r="577" spans="1:12" x14ac:dyDescent="0.2">
      <c r="A577" s="3" t="str">
        <f>IF($B577="","",COUNTA($B$9:$B577))</f>
        <v/>
      </c>
      <c r="B577" s="4"/>
      <c r="C577" s="4"/>
      <c r="D577" s="4"/>
      <c r="E577" s="4"/>
      <c r="F577" s="3" t="str">
        <f t="shared" si="17"/>
        <v/>
      </c>
      <c r="G577" s="4"/>
      <c r="H577" s="5"/>
      <c r="I577" s="5"/>
      <c r="J577" s="6" t="str">
        <f t="shared" si="16"/>
        <v/>
      </c>
      <c r="K577" s="6" t="str">
        <f>IF(OR($B577="",$E577="",Calc!$B574=""),"",SUMIFS(CalcAmtA,CalcPartyA,$E577,CalcKeyA,"&lt;="&amp;Calc!$B574)-SUMIFS(CalcWitB,CalcPartyB,$E577,CalcKeyB,"&lt;="&amp;Calc!$B574)+SUMIFS(CalcDepB,CalcPartyB,$E577,CalcKeyB,"&lt;="&amp;Calc!$B574))</f>
        <v/>
      </c>
      <c r="L577" s="4"/>
    </row>
    <row r="578" spans="1:12" x14ac:dyDescent="0.2">
      <c r="A578" s="3" t="str">
        <f>IF($B578="","",COUNTA($B$9:$B578))</f>
        <v/>
      </c>
      <c r="B578" s="4"/>
      <c r="C578" s="4"/>
      <c r="D578" s="4"/>
      <c r="E578" s="4"/>
      <c r="F578" s="3" t="str">
        <f t="shared" si="17"/>
        <v/>
      </c>
      <c r="G578" s="4"/>
      <c r="H578" s="5"/>
      <c r="I578" s="5"/>
      <c r="J578" s="6" t="str">
        <f t="shared" si="16"/>
        <v/>
      </c>
      <c r="K578" s="6" t="str">
        <f>IF(OR($B578="",$E578="",Calc!$B575=""),"",SUMIFS(CalcAmtA,CalcPartyA,$E578,CalcKeyA,"&lt;="&amp;Calc!$B575)-SUMIFS(CalcWitB,CalcPartyB,$E578,CalcKeyB,"&lt;="&amp;Calc!$B575)+SUMIFS(CalcDepB,CalcPartyB,$E578,CalcKeyB,"&lt;="&amp;Calc!$B575))</f>
        <v/>
      </c>
      <c r="L578" s="4"/>
    </row>
    <row r="579" spans="1:12" x14ac:dyDescent="0.2">
      <c r="A579" s="3" t="str">
        <f>IF($B579="","",COUNTA($B$9:$B579))</f>
        <v/>
      </c>
      <c r="B579" s="4"/>
      <c r="C579" s="4"/>
      <c r="D579" s="4"/>
      <c r="E579" s="4"/>
      <c r="F579" s="3" t="str">
        <f t="shared" si="17"/>
        <v/>
      </c>
      <c r="G579" s="4"/>
      <c r="H579" s="5"/>
      <c r="I579" s="5"/>
      <c r="J579" s="6" t="str">
        <f t="shared" si="16"/>
        <v/>
      </c>
      <c r="K579" s="6" t="str">
        <f>IF(OR($B579="",$E579="",Calc!$B576=""),"",SUMIFS(CalcAmtA,CalcPartyA,$E579,CalcKeyA,"&lt;="&amp;Calc!$B576)-SUMIFS(CalcWitB,CalcPartyB,$E579,CalcKeyB,"&lt;="&amp;Calc!$B576)+SUMIFS(CalcDepB,CalcPartyB,$E579,CalcKeyB,"&lt;="&amp;Calc!$B576))</f>
        <v/>
      </c>
      <c r="L579" s="4"/>
    </row>
    <row r="580" spans="1:12" x14ac:dyDescent="0.2">
      <c r="A580" s="3" t="str">
        <f>IF($B580="","",COUNTA($B$9:$B580))</f>
        <v/>
      </c>
      <c r="B580" s="4"/>
      <c r="C580" s="4"/>
      <c r="D580" s="4"/>
      <c r="E580" s="4"/>
      <c r="F580" s="3" t="str">
        <f t="shared" si="17"/>
        <v/>
      </c>
      <c r="G580" s="4"/>
      <c r="H580" s="5"/>
      <c r="I580" s="5"/>
      <c r="J580" s="6" t="str">
        <f t="shared" si="16"/>
        <v/>
      </c>
      <c r="K580" s="6" t="str">
        <f>IF(OR($B580="",$E580="",Calc!$B577=""),"",SUMIFS(CalcAmtA,CalcPartyA,$E580,CalcKeyA,"&lt;="&amp;Calc!$B577)-SUMIFS(CalcWitB,CalcPartyB,$E580,CalcKeyB,"&lt;="&amp;Calc!$B577)+SUMIFS(CalcDepB,CalcPartyB,$E580,CalcKeyB,"&lt;="&amp;Calc!$B577))</f>
        <v/>
      </c>
      <c r="L580" s="4"/>
    </row>
    <row r="581" spans="1:12" x14ac:dyDescent="0.2">
      <c r="A581" s="3" t="str">
        <f>IF($B581="","",COUNTA($B$9:$B581))</f>
        <v/>
      </c>
      <c r="B581" s="4"/>
      <c r="C581" s="4"/>
      <c r="D581" s="4"/>
      <c r="E581" s="4"/>
      <c r="F581" s="3" t="str">
        <f t="shared" si="17"/>
        <v/>
      </c>
      <c r="G581" s="4"/>
      <c r="H581" s="5"/>
      <c r="I581" s="5"/>
      <c r="J581" s="6" t="str">
        <f t="shared" si="16"/>
        <v/>
      </c>
      <c r="K581" s="6" t="str">
        <f>IF(OR($B581="",$E581="",Calc!$B578=""),"",SUMIFS(CalcAmtA,CalcPartyA,$E581,CalcKeyA,"&lt;="&amp;Calc!$B578)-SUMIFS(CalcWitB,CalcPartyB,$E581,CalcKeyB,"&lt;="&amp;Calc!$B578)+SUMIFS(CalcDepB,CalcPartyB,$E581,CalcKeyB,"&lt;="&amp;Calc!$B578))</f>
        <v/>
      </c>
      <c r="L581" s="4"/>
    </row>
    <row r="582" spans="1:12" x14ac:dyDescent="0.2">
      <c r="A582" s="3" t="str">
        <f>IF($B582="","",COUNTA($B$9:$B582))</f>
        <v/>
      </c>
      <c r="B582" s="4"/>
      <c r="C582" s="4"/>
      <c r="D582" s="4"/>
      <c r="E582" s="4"/>
      <c r="F582" s="3" t="str">
        <f t="shared" si="17"/>
        <v/>
      </c>
      <c r="G582" s="4"/>
      <c r="H582" s="5"/>
      <c r="I582" s="5"/>
      <c r="J582" s="6" t="str">
        <f t="shared" ref="J582:J645" si="18">IF(OR($H582="",$I582=""),"",ROUND($H582*$I582,0))</f>
        <v/>
      </c>
      <c r="K582" s="6" t="str">
        <f>IF(OR($B582="",$E582="",Calc!$B579=""),"",SUMIFS(CalcAmtA,CalcPartyA,$E582,CalcKeyA,"&lt;="&amp;Calc!$B579)-SUMIFS(CalcWitB,CalcPartyB,$E582,CalcKeyB,"&lt;="&amp;Calc!$B579)+SUMIFS(CalcDepB,CalcPartyB,$E582,CalcKeyB,"&lt;="&amp;Calc!$B579))</f>
        <v/>
      </c>
      <c r="L582" s="4"/>
    </row>
    <row r="583" spans="1:12" x14ac:dyDescent="0.2">
      <c r="A583" s="3" t="str">
        <f>IF($B583="","",COUNTA($B$9:$B583))</f>
        <v/>
      </c>
      <c r="B583" s="4"/>
      <c r="C583" s="4"/>
      <c r="D583" s="4"/>
      <c r="E583" s="4"/>
      <c r="F583" s="3" t="str">
        <f t="shared" si="17"/>
        <v/>
      </c>
      <c r="G583" s="4"/>
      <c r="H583" s="5"/>
      <c r="I583" s="5"/>
      <c r="J583" s="6" t="str">
        <f t="shared" si="18"/>
        <v/>
      </c>
      <c r="K583" s="6" t="str">
        <f>IF(OR($B583="",$E583="",Calc!$B580=""),"",SUMIFS(CalcAmtA,CalcPartyA,$E583,CalcKeyA,"&lt;="&amp;Calc!$B580)-SUMIFS(CalcWitB,CalcPartyB,$E583,CalcKeyB,"&lt;="&amp;Calc!$B580)+SUMIFS(CalcDepB,CalcPartyB,$E583,CalcKeyB,"&lt;="&amp;Calc!$B580))</f>
        <v/>
      </c>
      <c r="L583" s="4"/>
    </row>
    <row r="584" spans="1:12" x14ac:dyDescent="0.2">
      <c r="A584" s="3" t="str">
        <f>IF($B584="","",COUNTA($B$9:$B584))</f>
        <v/>
      </c>
      <c r="B584" s="4"/>
      <c r="C584" s="4"/>
      <c r="D584" s="4"/>
      <c r="E584" s="4"/>
      <c r="F584" s="3" t="str">
        <f t="shared" si="17"/>
        <v/>
      </c>
      <c r="G584" s="4"/>
      <c r="H584" s="5"/>
      <c r="I584" s="5"/>
      <c r="J584" s="6" t="str">
        <f t="shared" si="18"/>
        <v/>
      </c>
      <c r="K584" s="6" t="str">
        <f>IF(OR($B584="",$E584="",Calc!$B581=""),"",SUMIFS(CalcAmtA,CalcPartyA,$E584,CalcKeyA,"&lt;="&amp;Calc!$B581)-SUMIFS(CalcWitB,CalcPartyB,$E584,CalcKeyB,"&lt;="&amp;Calc!$B581)+SUMIFS(CalcDepB,CalcPartyB,$E584,CalcKeyB,"&lt;="&amp;Calc!$B581))</f>
        <v/>
      </c>
      <c r="L584" s="4"/>
    </row>
    <row r="585" spans="1:12" x14ac:dyDescent="0.2">
      <c r="A585" s="3" t="str">
        <f>IF($B585="","",COUNTA($B$9:$B585))</f>
        <v/>
      </c>
      <c r="B585" s="4"/>
      <c r="C585" s="4"/>
      <c r="D585" s="4"/>
      <c r="E585" s="4"/>
      <c r="F585" s="3" t="str">
        <f t="shared" ref="F585:F648" si="19">IF($E585="","",IFERROR(IF(VLOOKUP($E585,AcctTbl,4,0)="","",VLOOKUP($E585,AcctTbl,4,0)),"—"))</f>
        <v/>
      </c>
      <c r="G585" s="4"/>
      <c r="H585" s="5"/>
      <c r="I585" s="5"/>
      <c r="J585" s="6" t="str">
        <f t="shared" si="18"/>
        <v/>
      </c>
      <c r="K585" s="6" t="str">
        <f>IF(OR($B585="",$E585="",Calc!$B582=""),"",SUMIFS(CalcAmtA,CalcPartyA,$E585,CalcKeyA,"&lt;="&amp;Calc!$B582)-SUMIFS(CalcWitB,CalcPartyB,$E585,CalcKeyB,"&lt;="&amp;Calc!$B582)+SUMIFS(CalcDepB,CalcPartyB,$E585,CalcKeyB,"&lt;="&amp;Calc!$B582))</f>
        <v/>
      </c>
      <c r="L585" s="4"/>
    </row>
    <row r="586" spans="1:12" x14ac:dyDescent="0.2">
      <c r="A586" s="3" t="str">
        <f>IF($B586="","",COUNTA($B$9:$B586))</f>
        <v/>
      </c>
      <c r="B586" s="4"/>
      <c r="C586" s="4"/>
      <c r="D586" s="4"/>
      <c r="E586" s="4"/>
      <c r="F586" s="3" t="str">
        <f t="shared" si="19"/>
        <v/>
      </c>
      <c r="G586" s="4"/>
      <c r="H586" s="5"/>
      <c r="I586" s="5"/>
      <c r="J586" s="6" t="str">
        <f t="shared" si="18"/>
        <v/>
      </c>
      <c r="K586" s="6" t="str">
        <f>IF(OR($B586="",$E586="",Calc!$B583=""),"",SUMIFS(CalcAmtA,CalcPartyA,$E586,CalcKeyA,"&lt;="&amp;Calc!$B583)-SUMIFS(CalcWitB,CalcPartyB,$E586,CalcKeyB,"&lt;="&amp;Calc!$B583)+SUMIFS(CalcDepB,CalcPartyB,$E586,CalcKeyB,"&lt;="&amp;Calc!$B583))</f>
        <v/>
      </c>
      <c r="L586" s="4"/>
    </row>
    <row r="587" spans="1:12" x14ac:dyDescent="0.2">
      <c r="A587" s="3" t="str">
        <f>IF($B587="","",COUNTA($B$9:$B587))</f>
        <v/>
      </c>
      <c r="B587" s="4"/>
      <c r="C587" s="4"/>
      <c r="D587" s="4"/>
      <c r="E587" s="4"/>
      <c r="F587" s="3" t="str">
        <f t="shared" si="19"/>
        <v/>
      </c>
      <c r="G587" s="4"/>
      <c r="H587" s="5"/>
      <c r="I587" s="5"/>
      <c r="J587" s="6" t="str">
        <f t="shared" si="18"/>
        <v/>
      </c>
      <c r="K587" s="6" t="str">
        <f>IF(OR($B587="",$E587="",Calc!$B584=""),"",SUMIFS(CalcAmtA,CalcPartyA,$E587,CalcKeyA,"&lt;="&amp;Calc!$B584)-SUMIFS(CalcWitB,CalcPartyB,$E587,CalcKeyB,"&lt;="&amp;Calc!$B584)+SUMIFS(CalcDepB,CalcPartyB,$E587,CalcKeyB,"&lt;="&amp;Calc!$B584))</f>
        <v/>
      </c>
      <c r="L587" s="4"/>
    </row>
    <row r="588" spans="1:12" x14ac:dyDescent="0.2">
      <c r="A588" s="3" t="str">
        <f>IF($B588="","",COUNTA($B$9:$B588))</f>
        <v/>
      </c>
      <c r="B588" s="4"/>
      <c r="C588" s="4"/>
      <c r="D588" s="4"/>
      <c r="E588" s="4"/>
      <c r="F588" s="3" t="str">
        <f t="shared" si="19"/>
        <v/>
      </c>
      <c r="G588" s="4"/>
      <c r="H588" s="5"/>
      <c r="I588" s="5"/>
      <c r="J588" s="6" t="str">
        <f t="shared" si="18"/>
        <v/>
      </c>
      <c r="K588" s="6" t="str">
        <f>IF(OR($B588="",$E588="",Calc!$B585=""),"",SUMIFS(CalcAmtA,CalcPartyA,$E588,CalcKeyA,"&lt;="&amp;Calc!$B585)-SUMIFS(CalcWitB,CalcPartyB,$E588,CalcKeyB,"&lt;="&amp;Calc!$B585)+SUMIFS(CalcDepB,CalcPartyB,$E588,CalcKeyB,"&lt;="&amp;Calc!$B585))</f>
        <v/>
      </c>
      <c r="L588" s="4"/>
    </row>
    <row r="589" spans="1:12" x14ac:dyDescent="0.2">
      <c r="A589" s="3" t="str">
        <f>IF($B589="","",COUNTA($B$9:$B589))</f>
        <v/>
      </c>
      <c r="B589" s="4"/>
      <c r="C589" s="4"/>
      <c r="D589" s="4"/>
      <c r="E589" s="4"/>
      <c r="F589" s="3" t="str">
        <f t="shared" si="19"/>
        <v/>
      </c>
      <c r="G589" s="4"/>
      <c r="H589" s="5"/>
      <c r="I589" s="5"/>
      <c r="J589" s="6" t="str">
        <f t="shared" si="18"/>
        <v/>
      </c>
      <c r="K589" s="6" t="str">
        <f>IF(OR($B589="",$E589="",Calc!$B586=""),"",SUMIFS(CalcAmtA,CalcPartyA,$E589,CalcKeyA,"&lt;="&amp;Calc!$B586)-SUMIFS(CalcWitB,CalcPartyB,$E589,CalcKeyB,"&lt;="&amp;Calc!$B586)+SUMIFS(CalcDepB,CalcPartyB,$E589,CalcKeyB,"&lt;="&amp;Calc!$B586))</f>
        <v/>
      </c>
      <c r="L589" s="4"/>
    </row>
    <row r="590" spans="1:12" x14ac:dyDescent="0.2">
      <c r="A590" s="3" t="str">
        <f>IF($B590="","",COUNTA($B$9:$B590))</f>
        <v/>
      </c>
      <c r="B590" s="4"/>
      <c r="C590" s="4"/>
      <c r="D590" s="4"/>
      <c r="E590" s="4"/>
      <c r="F590" s="3" t="str">
        <f t="shared" si="19"/>
        <v/>
      </c>
      <c r="G590" s="4"/>
      <c r="H590" s="5"/>
      <c r="I590" s="5"/>
      <c r="J590" s="6" t="str">
        <f t="shared" si="18"/>
        <v/>
      </c>
      <c r="K590" s="6" t="str">
        <f>IF(OR($B590="",$E590="",Calc!$B587=""),"",SUMIFS(CalcAmtA,CalcPartyA,$E590,CalcKeyA,"&lt;="&amp;Calc!$B587)-SUMIFS(CalcWitB,CalcPartyB,$E590,CalcKeyB,"&lt;="&amp;Calc!$B587)+SUMIFS(CalcDepB,CalcPartyB,$E590,CalcKeyB,"&lt;="&amp;Calc!$B587))</f>
        <v/>
      </c>
      <c r="L590" s="4"/>
    </row>
    <row r="591" spans="1:12" x14ac:dyDescent="0.2">
      <c r="A591" s="3" t="str">
        <f>IF($B591="","",COUNTA($B$9:$B591))</f>
        <v/>
      </c>
      <c r="B591" s="4"/>
      <c r="C591" s="4"/>
      <c r="D591" s="4"/>
      <c r="E591" s="4"/>
      <c r="F591" s="3" t="str">
        <f t="shared" si="19"/>
        <v/>
      </c>
      <c r="G591" s="4"/>
      <c r="H591" s="5"/>
      <c r="I591" s="5"/>
      <c r="J591" s="6" t="str">
        <f t="shared" si="18"/>
        <v/>
      </c>
      <c r="K591" s="6" t="str">
        <f>IF(OR($B591="",$E591="",Calc!$B588=""),"",SUMIFS(CalcAmtA,CalcPartyA,$E591,CalcKeyA,"&lt;="&amp;Calc!$B588)-SUMIFS(CalcWitB,CalcPartyB,$E591,CalcKeyB,"&lt;="&amp;Calc!$B588)+SUMIFS(CalcDepB,CalcPartyB,$E591,CalcKeyB,"&lt;="&amp;Calc!$B588))</f>
        <v/>
      </c>
      <c r="L591" s="4"/>
    </row>
    <row r="592" spans="1:12" x14ac:dyDescent="0.2">
      <c r="A592" s="3" t="str">
        <f>IF($B592="","",COUNTA($B$9:$B592))</f>
        <v/>
      </c>
      <c r="B592" s="4"/>
      <c r="C592" s="4"/>
      <c r="D592" s="4"/>
      <c r="E592" s="4"/>
      <c r="F592" s="3" t="str">
        <f t="shared" si="19"/>
        <v/>
      </c>
      <c r="G592" s="4"/>
      <c r="H592" s="5"/>
      <c r="I592" s="5"/>
      <c r="J592" s="6" t="str">
        <f t="shared" si="18"/>
        <v/>
      </c>
      <c r="K592" s="6" t="str">
        <f>IF(OR($B592="",$E592="",Calc!$B589=""),"",SUMIFS(CalcAmtA,CalcPartyA,$E592,CalcKeyA,"&lt;="&amp;Calc!$B589)-SUMIFS(CalcWitB,CalcPartyB,$E592,CalcKeyB,"&lt;="&amp;Calc!$B589)+SUMIFS(CalcDepB,CalcPartyB,$E592,CalcKeyB,"&lt;="&amp;Calc!$B589))</f>
        <v/>
      </c>
      <c r="L592" s="4"/>
    </row>
    <row r="593" spans="1:12" x14ac:dyDescent="0.2">
      <c r="A593" s="3" t="str">
        <f>IF($B593="","",COUNTA($B$9:$B593))</f>
        <v/>
      </c>
      <c r="B593" s="4"/>
      <c r="C593" s="4"/>
      <c r="D593" s="4"/>
      <c r="E593" s="4"/>
      <c r="F593" s="3" t="str">
        <f t="shared" si="19"/>
        <v/>
      </c>
      <c r="G593" s="4"/>
      <c r="H593" s="5"/>
      <c r="I593" s="5"/>
      <c r="J593" s="6" t="str">
        <f t="shared" si="18"/>
        <v/>
      </c>
      <c r="K593" s="6" t="str">
        <f>IF(OR($B593="",$E593="",Calc!$B590=""),"",SUMIFS(CalcAmtA,CalcPartyA,$E593,CalcKeyA,"&lt;="&amp;Calc!$B590)-SUMIFS(CalcWitB,CalcPartyB,$E593,CalcKeyB,"&lt;="&amp;Calc!$B590)+SUMIFS(CalcDepB,CalcPartyB,$E593,CalcKeyB,"&lt;="&amp;Calc!$B590))</f>
        <v/>
      </c>
      <c r="L593" s="4"/>
    </row>
    <row r="594" spans="1:12" x14ac:dyDescent="0.2">
      <c r="A594" s="3" t="str">
        <f>IF($B594="","",COUNTA($B$9:$B594))</f>
        <v/>
      </c>
      <c r="B594" s="4"/>
      <c r="C594" s="4"/>
      <c r="D594" s="4"/>
      <c r="E594" s="4"/>
      <c r="F594" s="3" t="str">
        <f t="shared" si="19"/>
        <v/>
      </c>
      <c r="G594" s="4"/>
      <c r="H594" s="5"/>
      <c r="I594" s="5"/>
      <c r="J594" s="6" t="str">
        <f t="shared" si="18"/>
        <v/>
      </c>
      <c r="K594" s="6" t="str">
        <f>IF(OR($B594="",$E594="",Calc!$B591=""),"",SUMIFS(CalcAmtA,CalcPartyA,$E594,CalcKeyA,"&lt;="&amp;Calc!$B591)-SUMIFS(CalcWitB,CalcPartyB,$E594,CalcKeyB,"&lt;="&amp;Calc!$B591)+SUMIFS(CalcDepB,CalcPartyB,$E594,CalcKeyB,"&lt;="&amp;Calc!$B591))</f>
        <v/>
      </c>
      <c r="L594" s="4"/>
    </row>
    <row r="595" spans="1:12" x14ac:dyDescent="0.2">
      <c r="A595" s="3" t="str">
        <f>IF($B595="","",COUNTA($B$9:$B595))</f>
        <v/>
      </c>
      <c r="B595" s="4"/>
      <c r="C595" s="4"/>
      <c r="D595" s="4"/>
      <c r="E595" s="4"/>
      <c r="F595" s="3" t="str">
        <f t="shared" si="19"/>
        <v/>
      </c>
      <c r="G595" s="4"/>
      <c r="H595" s="5"/>
      <c r="I595" s="5"/>
      <c r="J595" s="6" t="str">
        <f t="shared" si="18"/>
        <v/>
      </c>
      <c r="K595" s="6" t="str">
        <f>IF(OR($B595="",$E595="",Calc!$B592=""),"",SUMIFS(CalcAmtA,CalcPartyA,$E595,CalcKeyA,"&lt;="&amp;Calc!$B592)-SUMIFS(CalcWitB,CalcPartyB,$E595,CalcKeyB,"&lt;="&amp;Calc!$B592)+SUMIFS(CalcDepB,CalcPartyB,$E595,CalcKeyB,"&lt;="&amp;Calc!$B592))</f>
        <v/>
      </c>
      <c r="L595" s="4"/>
    </row>
    <row r="596" spans="1:12" x14ac:dyDescent="0.2">
      <c r="A596" s="3" t="str">
        <f>IF($B596="","",COUNTA($B$9:$B596))</f>
        <v/>
      </c>
      <c r="B596" s="4"/>
      <c r="C596" s="4"/>
      <c r="D596" s="4"/>
      <c r="E596" s="4"/>
      <c r="F596" s="3" t="str">
        <f t="shared" si="19"/>
        <v/>
      </c>
      <c r="G596" s="4"/>
      <c r="H596" s="5"/>
      <c r="I596" s="5"/>
      <c r="J596" s="6" t="str">
        <f t="shared" si="18"/>
        <v/>
      </c>
      <c r="K596" s="6" t="str">
        <f>IF(OR($B596="",$E596="",Calc!$B593=""),"",SUMIFS(CalcAmtA,CalcPartyA,$E596,CalcKeyA,"&lt;="&amp;Calc!$B593)-SUMIFS(CalcWitB,CalcPartyB,$E596,CalcKeyB,"&lt;="&amp;Calc!$B593)+SUMIFS(CalcDepB,CalcPartyB,$E596,CalcKeyB,"&lt;="&amp;Calc!$B593))</f>
        <v/>
      </c>
      <c r="L596" s="4"/>
    </row>
    <row r="597" spans="1:12" x14ac:dyDescent="0.2">
      <c r="A597" s="3" t="str">
        <f>IF($B597="","",COUNTA($B$9:$B597))</f>
        <v/>
      </c>
      <c r="B597" s="4"/>
      <c r="C597" s="4"/>
      <c r="D597" s="4"/>
      <c r="E597" s="4"/>
      <c r="F597" s="3" t="str">
        <f t="shared" si="19"/>
        <v/>
      </c>
      <c r="G597" s="4"/>
      <c r="H597" s="5"/>
      <c r="I597" s="5"/>
      <c r="J597" s="6" t="str">
        <f t="shared" si="18"/>
        <v/>
      </c>
      <c r="K597" s="6" t="str">
        <f>IF(OR($B597="",$E597="",Calc!$B594=""),"",SUMIFS(CalcAmtA,CalcPartyA,$E597,CalcKeyA,"&lt;="&amp;Calc!$B594)-SUMIFS(CalcWitB,CalcPartyB,$E597,CalcKeyB,"&lt;="&amp;Calc!$B594)+SUMIFS(CalcDepB,CalcPartyB,$E597,CalcKeyB,"&lt;="&amp;Calc!$B594))</f>
        <v/>
      </c>
      <c r="L597" s="4"/>
    </row>
    <row r="598" spans="1:12" x14ac:dyDescent="0.2">
      <c r="A598" s="3" t="str">
        <f>IF($B598="","",COUNTA($B$9:$B598))</f>
        <v/>
      </c>
      <c r="B598" s="4"/>
      <c r="C598" s="4"/>
      <c r="D598" s="4"/>
      <c r="E598" s="4"/>
      <c r="F598" s="3" t="str">
        <f t="shared" si="19"/>
        <v/>
      </c>
      <c r="G598" s="4"/>
      <c r="H598" s="5"/>
      <c r="I598" s="5"/>
      <c r="J598" s="6" t="str">
        <f t="shared" si="18"/>
        <v/>
      </c>
      <c r="K598" s="6" t="str">
        <f>IF(OR($B598="",$E598="",Calc!$B595=""),"",SUMIFS(CalcAmtA,CalcPartyA,$E598,CalcKeyA,"&lt;="&amp;Calc!$B595)-SUMIFS(CalcWitB,CalcPartyB,$E598,CalcKeyB,"&lt;="&amp;Calc!$B595)+SUMIFS(CalcDepB,CalcPartyB,$E598,CalcKeyB,"&lt;="&amp;Calc!$B595))</f>
        <v/>
      </c>
      <c r="L598" s="4"/>
    </row>
    <row r="599" spans="1:12" x14ac:dyDescent="0.2">
      <c r="A599" s="3" t="str">
        <f>IF($B599="","",COUNTA($B$9:$B599))</f>
        <v/>
      </c>
      <c r="B599" s="4"/>
      <c r="C599" s="4"/>
      <c r="D599" s="4"/>
      <c r="E599" s="4"/>
      <c r="F599" s="3" t="str">
        <f t="shared" si="19"/>
        <v/>
      </c>
      <c r="G599" s="4"/>
      <c r="H599" s="5"/>
      <c r="I599" s="5"/>
      <c r="J599" s="6" t="str">
        <f t="shared" si="18"/>
        <v/>
      </c>
      <c r="K599" s="6" t="str">
        <f>IF(OR($B599="",$E599="",Calc!$B596=""),"",SUMIFS(CalcAmtA,CalcPartyA,$E599,CalcKeyA,"&lt;="&amp;Calc!$B596)-SUMIFS(CalcWitB,CalcPartyB,$E599,CalcKeyB,"&lt;="&amp;Calc!$B596)+SUMIFS(CalcDepB,CalcPartyB,$E599,CalcKeyB,"&lt;="&amp;Calc!$B596))</f>
        <v/>
      </c>
      <c r="L599" s="4"/>
    </row>
    <row r="600" spans="1:12" x14ac:dyDescent="0.2">
      <c r="A600" s="3" t="str">
        <f>IF($B600="","",COUNTA($B$9:$B600))</f>
        <v/>
      </c>
      <c r="B600" s="4"/>
      <c r="C600" s="4"/>
      <c r="D600" s="4"/>
      <c r="E600" s="4"/>
      <c r="F600" s="3" t="str">
        <f t="shared" si="19"/>
        <v/>
      </c>
      <c r="G600" s="4"/>
      <c r="H600" s="5"/>
      <c r="I600" s="5"/>
      <c r="J600" s="6" t="str">
        <f t="shared" si="18"/>
        <v/>
      </c>
      <c r="K600" s="6" t="str">
        <f>IF(OR($B600="",$E600="",Calc!$B597=""),"",SUMIFS(CalcAmtA,CalcPartyA,$E600,CalcKeyA,"&lt;="&amp;Calc!$B597)-SUMIFS(CalcWitB,CalcPartyB,$E600,CalcKeyB,"&lt;="&amp;Calc!$B597)+SUMIFS(CalcDepB,CalcPartyB,$E600,CalcKeyB,"&lt;="&amp;Calc!$B597))</f>
        <v/>
      </c>
      <c r="L600" s="4"/>
    </row>
    <row r="601" spans="1:12" x14ac:dyDescent="0.2">
      <c r="A601" s="3" t="str">
        <f>IF($B601="","",COUNTA($B$9:$B601))</f>
        <v/>
      </c>
      <c r="B601" s="4"/>
      <c r="C601" s="4"/>
      <c r="D601" s="4"/>
      <c r="E601" s="4"/>
      <c r="F601" s="3" t="str">
        <f t="shared" si="19"/>
        <v/>
      </c>
      <c r="G601" s="4"/>
      <c r="H601" s="5"/>
      <c r="I601" s="5"/>
      <c r="J601" s="6" t="str">
        <f t="shared" si="18"/>
        <v/>
      </c>
      <c r="K601" s="6" t="str">
        <f>IF(OR($B601="",$E601="",Calc!$B598=""),"",SUMIFS(CalcAmtA,CalcPartyA,$E601,CalcKeyA,"&lt;="&amp;Calc!$B598)-SUMIFS(CalcWitB,CalcPartyB,$E601,CalcKeyB,"&lt;="&amp;Calc!$B598)+SUMIFS(CalcDepB,CalcPartyB,$E601,CalcKeyB,"&lt;="&amp;Calc!$B598))</f>
        <v/>
      </c>
      <c r="L601" s="4"/>
    </row>
    <row r="602" spans="1:12" x14ac:dyDescent="0.2">
      <c r="A602" s="3" t="str">
        <f>IF($B602="","",COUNTA($B$9:$B602))</f>
        <v/>
      </c>
      <c r="B602" s="4"/>
      <c r="C602" s="4"/>
      <c r="D602" s="4"/>
      <c r="E602" s="4"/>
      <c r="F602" s="3" t="str">
        <f t="shared" si="19"/>
        <v/>
      </c>
      <c r="G602" s="4"/>
      <c r="H602" s="5"/>
      <c r="I602" s="5"/>
      <c r="J602" s="6" t="str">
        <f t="shared" si="18"/>
        <v/>
      </c>
      <c r="K602" s="6" t="str">
        <f>IF(OR($B602="",$E602="",Calc!$B599=""),"",SUMIFS(CalcAmtA,CalcPartyA,$E602,CalcKeyA,"&lt;="&amp;Calc!$B599)-SUMIFS(CalcWitB,CalcPartyB,$E602,CalcKeyB,"&lt;="&amp;Calc!$B599)+SUMIFS(CalcDepB,CalcPartyB,$E602,CalcKeyB,"&lt;="&amp;Calc!$B599))</f>
        <v/>
      </c>
      <c r="L602" s="4"/>
    </row>
    <row r="603" spans="1:12" x14ac:dyDescent="0.2">
      <c r="A603" s="3" t="str">
        <f>IF($B603="","",COUNTA($B$9:$B603))</f>
        <v/>
      </c>
      <c r="B603" s="4"/>
      <c r="C603" s="4"/>
      <c r="D603" s="4"/>
      <c r="E603" s="4"/>
      <c r="F603" s="3" t="str">
        <f t="shared" si="19"/>
        <v/>
      </c>
      <c r="G603" s="4"/>
      <c r="H603" s="5"/>
      <c r="I603" s="5"/>
      <c r="J603" s="6" t="str">
        <f t="shared" si="18"/>
        <v/>
      </c>
      <c r="K603" s="6" t="str">
        <f>IF(OR($B603="",$E603="",Calc!$B600=""),"",SUMIFS(CalcAmtA,CalcPartyA,$E603,CalcKeyA,"&lt;="&amp;Calc!$B600)-SUMIFS(CalcWitB,CalcPartyB,$E603,CalcKeyB,"&lt;="&amp;Calc!$B600)+SUMIFS(CalcDepB,CalcPartyB,$E603,CalcKeyB,"&lt;="&amp;Calc!$B600))</f>
        <v/>
      </c>
      <c r="L603" s="4"/>
    </row>
    <row r="604" spans="1:12" x14ac:dyDescent="0.2">
      <c r="A604" s="3" t="str">
        <f>IF($B604="","",COUNTA($B$9:$B604))</f>
        <v/>
      </c>
      <c r="B604" s="4"/>
      <c r="C604" s="4"/>
      <c r="D604" s="4"/>
      <c r="E604" s="4"/>
      <c r="F604" s="3" t="str">
        <f t="shared" si="19"/>
        <v/>
      </c>
      <c r="G604" s="4"/>
      <c r="H604" s="5"/>
      <c r="I604" s="5"/>
      <c r="J604" s="6" t="str">
        <f t="shared" si="18"/>
        <v/>
      </c>
      <c r="K604" s="6" t="str">
        <f>IF(OR($B604="",$E604="",Calc!$B601=""),"",SUMIFS(CalcAmtA,CalcPartyA,$E604,CalcKeyA,"&lt;="&amp;Calc!$B601)-SUMIFS(CalcWitB,CalcPartyB,$E604,CalcKeyB,"&lt;="&amp;Calc!$B601)+SUMIFS(CalcDepB,CalcPartyB,$E604,CalcKeyB,"&lt;="&amp;Calc!$B601))</f>
        <v/>
      </c>
      <c r="L604" s="4"/>
    </row>
    <row r="605" spans="1:12" x14ac:dyDescent="0.2">
      <c r="A605" s="3" t="str">
        <f>IF($B605="","",COUNTA($B$9:$B605))</f>
        <v/>
      </c>
      <c r="B605" s="4"/>
      <c r="C605" s="4"/>
      <c r="D605" s="4"/>
      <c r="E605" s="4"/>
      <c r="F605" s="3" t="str">
        <f t="shared" si="19"/>
        <v/>
      </c>
      <c r="G605" s="4"/>
      <c r="H605" s="5"/>
      <c r="I605" s="5"/>
      <c r="J605" s="6" t="str">
        <f t="shared" si="18"/>
        <v/>
      </c>
      <c r="K605" s="6" t="str">
        <f>IF(OR($B605="",$E605="",Calc!$B602=""),"",SUMIFS(CalcAmtA,CalcPartyA,$E605,CalcKeyA,"&lt;="&amp;Calc!$B602)-SUMIFS(CalcWitB,CalcPartyB,$E605,CalcKeyB,"&lt;="&amp;Calc!$B602)+SUMIFS(CalcDepB,CalcPartyB,$E605,CalcKeyB,"&lt;="&amp;Calc!$B602))</f>
        <v/>
      </c>
      <c r="L605" s="4"/>
    </row>
    <row r="606" spans="1:12" x14ac:dyDescent="0.2">
      <c r="A606" s="3" t="str">
        <f>IF($B606="","",COUNTA($B$9:$B606))</f>
        <v/>
      </c>
      <c r="B606" s="4"/>
      <c r="C606" s="4"/>
      <c r="D606" s="4"/>
      <c r="E606" s="4"/>
      <c r="F606" s="3" t="str">
        <f t="shared" si="19"/>
        <v/>
      </c>
      <c r="G606" s="4"/>
      <c r="H606" s="5"/>
      <c r="I606" s="5"/>
      <c r="J606" s="6" t="str">
        <f t="shared" si="18"/>
        <v/>
      </c>
      <c r="K606" s="6" t="str">
        <f>IF(OR($B606="",$E606="",Calc!$B603=""),"",SUMIFS(CalcAmtA,CalcPartyA,$E606,CalcKeyA,"&lt;="&amp;Calc!$B603)-SUMIFS(CalcWitB,CalcPartyB,$E606,CalcKeyB,"&lt;="&amp;Calc!$B603)+SUMIFS(CalcDepB,CalcPartyB,$E606,CalcKeyB,"&lt;="&amp;Calc!$B603))</f>
        <v/>
      </c>
      <c r="L606" s="4"/>
    </row>
    <row r="607" spans="1:12" x14ac:dyDescent="0.2">
      <c r="A607" s="3" t="str">
        <f>IF($B607="","",COUNTA($B$9:$B607))</f>
        <v/>
      </c>
      <c r="B607" s="4"/>
      <c r="C607" s="4"/>
      <c r="D607" s="4"/>
      <c r="E607" s="4"/>
      <c r="F607" s="3" t="str">
        <f t="shared" si="19"/>
        <v/>
      </c>
      <c r="G607" s="4"/>
      <c r="H607" s="5"/>
      <c r="I607" s="5"/>
      <c r="J607" s="6" t="str">
        <f t="shared" si="18"/>
        <v/>
      </c>
      <c r="K607" s="6" t="str">
        <f>IF(OR($B607="",$E607="",Calc!$B604=""),"",SUMIFS(CalcAmtA,CalcPartyA,$E607,CalcKeyA,"&lt;="&amp;Calc!$B604)-SUMIFS(CalcWitB,CalcPartyB,$E607,CalcKeyB,"&lt;="&amp;Calc!$B604)+SUMIFS(CalcDepB,CalcPartyB,$E607,CalcKeyB,"&lt;="&amp;Calc!$B604))</f>
        <v/>
      </c>
      <c r="L607" s="4"/>
    </row>
    <row r="608" spans="1:12" x14ac:dyDescent="0.2">
      <c r="A608" s="3" t="str">
        <f>IF($B608="","",COUNTA($B$9:$B608))</f>
        <v/>
      </c>
      <c r="B608" s="4"/>
      <c r="C608" s="4"/>
      <c r="D608" s="4"/>
      <c r="E608" s="4"/>
      <c r="F608" s="3" t="str">
        <f t="shared" si="19"/>
        <v/>
      </c>
      <c r="G608" s="4"/>
      <c r="H608" s="5"/>
      <c r="I608" s="5"/>
      <c r="J608" s="6" t="str">
        <f t="shared" si="18"/>
        <v/>
      </c>
      <c r="K608" s="6" t="str">
        <f>IF(OR($B608="",$E608="",Calc!$B605=""),"",SUMIFS(CalcAmtA,CalcPartyA,$E608,CalcKeyA,"&lt;="&amp;Calc!$B605)-SUMIFS(CalcWitB,CalcPartyB,$E608,CalcKeyB,"&lt;="&amp;Calc!$B605)+SUMIFS(CalcDepB,CalcPartyB,$E608,CalcKeyB,"&lt;="&amp;Calc!$B605))</f>
        <v/>
      </c>
      <c r="L608" s="4"/>
    </row>
    <row r="609" spans="1:12" x14ac:dyDescent="0.2">
      <c r="A609" s="3" t="str">
        <f>IF($B609="","",COUNTA($B$9:$B609))</f>
        <v/>
      </c>
      <c r="B609" s="4"/>
      <c r="C609" s="4"/>
      <c r="D609" s="4"/>
      <c r="E609" s="4"/>
      <c r="F609" s="3" t="str">
        <f t="shared" si="19"/>
        <v/>
      </c>
      <c r="G609" s="4"/>
      <c r="H609" s="5"/>
      <c r="I609" s="5"/>
      <c r="J609" s="6" t="str">
        <f t="shared" si="18"/>
        <v/>
      </c>
      <c r="K609" s="6" t="str">
        <f>IF(OR($B609="",$E609="",Calc!$B606=""),"",SUMIFS(CalcAmtA,CalcPartyA,$E609,CalcKeyA,"&lt;="&amp;Calc!$B606)-SUMIFS(CalcWitB,CalcPartyB,$E609,CalcKeyB,"&lt;="&amp;Calc!$B606)+SUMIFS(CalcDepB,CalcPartyB,$E609,CalcKeyB,"&lt;="&amp;Calc!$B606))</f>
        <v/>
      </c>
      <c r="L609" s="4"/>
    </row>
    <row r="610" spans="1:12" x14ac:dyDescent="0.2">
      <c r="A610" s="3" t="str">
        <f>IF($B610="","",COUNTA($B$9:$B610))</f>
        <v/>
      </c>
      <c r="B610" s="4"/>
      <c r="C610" s="4"/>
      <c r="D610" s="4"/>
      <c r="E610" s="4"/>
      <c r="F610" s="3" t="str">
        <f t="shared" si="19"/>
        <v/>
      </c>
      <c r="G610" s="4"/>
      <c r="H610" s="5"/>
      <c r="I610" s="5"/>
      <c r="J610" s="6" t="str">
        <f t="shared" si="18"/>
        <v/>
      </c>
      <c r="K610" s="6" t="str">
        <f>IF(OR($B610="",$E610="",Calc!$B607=""),"",SUMIFS(CalcAmtA,CalcPartyA,$E610,CalcKeyA,"&lt;="&amp;Calc!$B607)-SUMIFS(CalcWitB,CalcPartyB,$E610,CalcKeyB,"&lt;="&amp;Calc!$B607)+SUMIFS(CalcDepB,CalcPartyB,$E610,CalcKeyB,"&lt;="&amp;Calc!$B607))</f>
        <v/>
      </c>
      <c r="L610" s="4"/>
    </row>
    <row r="611" spans="1:12" x14ac:dyDescent="0.2">
      <c r="A611" s="3" t="str">
        <f>IF($B611="","",COUNTA($B$9:$B611))</f>
        <v/>
      </c>
      <c r="B611" s="4"/>
      <c r="C611" s="4"/>
      <c r="D611" s="4"/>
      <c r="E611" s="4"/>
      <c r="F611" s="3" t="str">
        <f t="shared" si="19"/>
        <v/>
      </c>
      <c r="G611" s="4"/>
      <c r="H611" s="5"/>
      <c r="I611" s="5"/>
      <c r="J611" s="6" t="str">
        <f t="shared" si="18"/>
        <v/>
      </c>
      <c r="K611" s="6" t="str">
        <f>IF(OR($B611="",$E611="",Calc!$B608=""),"",SUMIFS(CalcAmtA,CalcPartyA,$E611,CalcKeyA,"&lt;="&amp;Calc!$B608)-SUMIFS(CalcWitB,CalcPartyB,$E611,CalcKeyB,"&lt;="&amp;Calc!$B608)+SUMIFS(CalcDepB,CalcPartyB,$E611,CalcKeyB,"&lt;="&amp;Calc!$B608))</f>
        <v/>
      </c>
      <c r="L611" s="4"/>
    </row>
    <row r="612" spans="1:12" x14ac:dyDescent="0.2">
      <c r="A612" s="3" t="str">
        <f>IF($B612="","",COUNTA($B$9:$B612))</f>
        <v/>
      </c>
      <c r="B612" s="4"/>
      <c r="C612" s="4"/>
      <c r="D612" s="4"/>
      <c r="E612" s="4"/>
      <c r="F612" s="3" t="str">
        <f t="shared" si="19"/>
        <v/>
      </c>
      <c r="G612" s="4"/>
      <c r="H612" s="5"/>
      <c r="I612" s="5"/>
      <c r="J612" s="6" t="str">
        <f t="shared" si="18"/>
        <v/>
      </c>
      <c r="K612" s="6" t="str">
        <f>IF(OR($B612="",$E612="",Calc!$B609=""),"",SUMIFS(CalcAmtA,CalcPartyA,$E612,CalcKeyA,"&lt;="&amp;Calc!$B609)-SUMIFS(CalcWitB,CalcPartyB,$E612,CalcKeyB,"&lt;="&amp;Calc!$B609)+SUMIFS(CalcDepB,CalcPartyB,$E612,CalcKeyB,"&lt;="&amp;Calc!$B609))</f>
        <v/>
      </c>
      <c r="L612" s="4"/>
    </row>
    <row r="613" spans="1:12" x14ac:dyDescent="0.2">
      <c r="A613" s="3" t="str">
        <f>IF($B613="","",COUNTA($B$9:$B613))</f>
        <v/>
      </c>
      <c r="B613" s="4"/>
      <c r="C613" s="4"/>
      <c r="D613" s="4"/>
      <c r="E613" s="4"/>
      <c r="F613" s="3" t="str">
        <f t="shared" si="19"/>
        <v/>
      </c>
      <c r="G613" s="4"/>
      <c r="H613" s="5"/>
      <c r="I613" s="5"/>
      <c r="J613" s="6" t="str">
        <f t="shared" si="18"/>
        <v/>
      </c>
      <c r="K613" s="6" t="str">
        <f>IF(OR($B613="",$E613="",Calc!$B610=""),"",SUMIFS(CalcAmtA,CalcPartyA,$E613,CalcKeyA,"&lt;="&amp;Calc!$B610)-SUMIFS(CalcWitB,CalcPartyB,$E613,CalcKeyB,"&lt;="&amp;Calc!$B610)+SUMIFS(CalcDepB,CalcPartyB,$E613,CalcKeyB,"&lt;="&amp;Calc!$B610))</f>
        <v/>
      </c>
      <c r="L613" s="4"/>
    </row>
    <row r="614" spans="1:12" x14ac:dyDescent="0.2">
      <c r="A614" s="3" t="str">
        <f>IF($B614="","",COUNTA($B$9:$B614))</f>
        <v/>
      </c>
      <c r="B614" s="4"/>
      <c r="C614" s="4"/>
      <c r="D614" s="4"/>
      <c r="E614" s="4"/>
      <c r="F614" s="3" t="str">
        <f t="shared" si="19"/>
        <v/>
      </c>
      <c r="G614" s="4"/>
      <c r="H614" s="5"/>
      <c r="I614" s="5"/>
      <c r="J614" s="6" t="str">
        <f t="shared" si="18"/>
        <v/>
      </c>
      <c r="K614" s="6" t="str">
        <f>IF(OR($B614="",$E614="",Calc!$B611=""),"",SUMIFS(CalcAmtA,CalcPartyA,$E614,CalcKeyA,"&lt;="&amp;Calc!$B611)-SUMIFS(CalcWitB,CalcPartyB,$E614,CalcKeyB,"&lt;="&amp;Calc!$B611)+SUMIFS(CalcDepB,CalcPartyB,$E614,CalcKeyB,"&lt;="&amp;Calc!$B611))</f>
        <v/>
      </c>
      <c r="L614" s="4"/>
    </row>
    <row r="615" spans="1:12" x14ac:dyDescent="0.2">
      <c r="A615" s="3" t="str">
        <f>IF($B615="","",COUNTA($B$9:$B615))</f>
        <v/>
      </c>
      <c r="B615" s="4"/>
      <c r="C615" s="4"/>
      <c r="D615" s="4"/>
      <c r="E615" s="4"/>
      <c r="F615" s="3" t="str">
        <f t="shared" si="19"/>
        <v/>
      </c>
      <c r="G615" s="4"/>
      <c r="H615" s="5"/>
      <c r="I615" s="5"/>
      <c r="J615" s="6" t="str">
        <f t="shared" si="18"/>
        <v/>
      </c>
      <c r="K615" s="6" t="str">
        <f>IF(OR($B615="",$E615="",Calc!$B612=""),"",SUMIFS(CalcAmtA,CalcPartyA,$E615,CalcKeyA,"&lt;="&amp;Calc!$B612)-SUMIFS(CalcWitB,CalcPartyB,$E615,CalcKeyB,"&lt;="&amp;Calc!$B612)+SUMIFS(CalcDepB,CalcPartyB,$E615,CalcKeyB,"&lt;="&amp;Calc!$B612))</f>
        <v/>
      </c>
      <c r="L615" s="4"/>
    </row>
    <row r="616" spans="1:12" x14ac:dyDescent="0.2">
      <c r="A616" s="3" t="str">
        <f>IF($B616="","",COUNTA($B$9:$B616))</f>
        <v/>
      </c>
      <c r="B616" s="4"/>
      <c r="C616" s="4"/>
      <c r="D616" s="4"/>
      <c r="E616" s="4"/>
      <c r="F616" s="3" t="str">
        <f t="shared" si="19"/>
        <v/>
      </c>
      <c r="G616" s="4"/>
      <c r="H616" s="5"/>
      <c r="I616" s="5"/>
      <c r="J616" s="6" t="str">
        <f t="shared" si="18"/>
        <v/>
      </c>
      <c r="K616" s="6" t="str">
        <f>IF(OR($B616="",$E616="",Calc!$B613=""),"",SUMIFS(CalcAmtA,CalcPartyA,$E616,CalcKeyA,"&lt;="&amp;Calc!$B613)-SUMIFS(CalcWitB,CalcPartyB,$E616,CalcKeyB,"&lt;="&amp;Calc!$B613)+SUMIFS(CalcDepB,CalcPartyB,$E616,CalcKeyB,"&lt;="&amp;Calc!$B613))</f>
        <v/>
      </c>
      <c r="L616" s="4"/>
    </row>
    <row r="617" spans="1:12" x14ac:dyDescent="0.2">
      <c r="A617" s="3" t="str">
        <f>IF($B617="","",COUNTA($B$9:$B617))</f>
        <v/>
      </c>
      <c r="B617" s="4"/>
      <c r="C617" s="4"/>
      <c r="D617" s="4"/>
      <c r="E617" s="4"/>
      <c r="F617" s="3" t="str">
        <f t="shared" si="19"/>
        <v/>
      </c>
      <c r="G617" s="4"/>
      <c r="H617" s="5"/>
      <c r="I617" s="5"/>
      <c r="J617" s="6" t="str">
        <f t="shared" si="18"/>
        <v/>
      </c>
      <c r="K617" s="6" t="str">
        <f>IF(OR($B617="",$E617="",Calc!$B614=""),"",SUMIFS(CalcAmtA,CalcPartyA,$E617,CalcKeyA,"&lt;="&amp;Calc!$B614)-SUMIFS(CalcWitB,CalcPartyB,$E617,CalcKeyB,"&lt;="&amp;Calc!$B614)+SUMIFS(CalcDepB,CalcPartyB,$E617,CalcKeyB,"&lt;="&amp;Calc!$B614))</f>
        <v/>
      </c>
      <c r="L617" s="4"/>
    </row>
    <row r="618" spans="1:12" x14ac:dyDescent="0.2">
      <c r="A618" s="3" t="str">
        <f>IF($B618="","",COUNTA($B$9:$B618))</f>
        <v/>
      </c>
      <c r="B618" s="4"/>
      <c r="C618" s="4"/>
      <c r="D618" s="4"/>
      <c r="E618" s="4"/>
      <c r="F618" s="3" t="str">
        <f t="shared" si="19"/>
        <v/>
      </c>
      <c r="G618" s="4"/>
      <c r="H618" s="5"/>
      <c r="I618" s="5"/>
      <c r="J618" s="6" t="str">
        <f t="shared" si="18"/>
        <v/>
      </c>
      <c r="K618" s="6" t="str">
        <f>IF(OR($B618="",$E618="",Calc!$B615=""),"",SUMIFS(CalcAmtA,CalcPartyA,$E618,CalcKeyA,"&lt;="&amp;Calc!$B615)-SUMIFS(CalcWitB,CalcPartyB,$E618,CalcKeyB,"&lt;="&amp;Calc!$B615)+SUMIFS(CalcDepB,CalcPartyB,$E618,CalcKeyB,"&lt;="&amp;Calc!$B615))</f>
        <v/>
      </c>
      <c r="L618" s="4"/>
    </row>
    <row r="619" spans="1:12" x14ac:dyDescent="0.2">
      <c r="A619" s="3" t="str">
        <f>IF($B619="","",COUNTA($B$9:$B619))</f>
        <v/>
      </c>
      <c r="B619" s="4"/>
      <c r="C619" s="4"/>
      <c r="D619" s="4"/>
      <c r="E619" s="4"/>
      <c r="F619" s="3" t="str">
        <f t="shared" si="19"/>
        <v/>
      </c>
      <c r="G619" s="4"/>
      <c r="H619" s="5"/>
      <c r="I619" s="5"/>
      <c r="J619" s="6" t="str">
        <f t="shared" si="18"/>
        <v/>
      </c>
      <c r="K619" s="6" t="str">
        <f>IF(OR($B619="",$E619="",Calc!$B616=""),"",SUMIFS(CalcAmtA,CalcPartyA,$E619,CalcKeyA,"&lt;="&amp;Calc!$B616)-SUMIFS(CalcWitB,CalcPartyB,$E619,CalcKeyB,"&lt;="&amp;Calc!$B616)+SUMIFS(CalcDepB,CalcPartyB,$E619,CalcKeyB,"&lt;="&amp;Calc!$B616))</f>
        <v/>
      </c>
      <c r="L619" s="4"/>
    </row>
    <row r="620" spans="1:12" x14ac:dyDescent="0.2">
      <c r="A620" s="3" t="str">
        <f>IF($B620="","",COUNTA($B$9:$B620))</f>
        <v/>
      </c>
      <c r="B620" s="4"/>
      <c r="C620" s="4"/>
      <c r="D620" s="4"/>
      <c r="E620" s="4"/>
      <c r="F620" s="3" t="str">
        <f t="shared" si="19"/>
        <v/>
      </c>
      <c r="G620" s="4"/>
      <c r="H620" s="5"/>
      <c r="I620" s="5"/>
      <c r="J620" s="6" t="str">
        <f t="shared" si="18"/>
        <v/>
      </c>
      <c r="K620" s="6" t="str">
        <f>IF(OR($B620="",$E620="",Calc!$B617=""),"",SUMIFS(CalcAmtA,CalcPartyA,$E620,CalcKeyA,"&lt;="&amp;Calc!$B617)-SUMIFS(CalcWitB,CalcPartyB,$E620,CalcKeyB,"&lt;="&amp;Calc!$B617)+SUMIFS(CalcDepB,CalcPartyB,$E620,CalcKeyB,"&lt;="&amp;Calc!$B617))</f>
        <v/>
      </c>
      <c r="L620" s="4"/>
    </row>
    <row r="621" spans="1:12" x14ac:dyDescent="0.2">
      <c r="A621" s="3" t="str">
        <f>IF($B621="","",COUNTA($B$9:$B621))</f>
        <v/>
      </c>
      <c r="B621" s="4"/>
      <c r="C621" s="4"/>
      <c r="D621" s="4"/>
      <c r="E621" s="4"/>
      <c r="F621" s="3" t="str">
        <f t="shared" si="19"/>
        <v/>
      </c>
      <c r="G621" s="4"/>
      <c r="H621" s="5"/>
      <c r="I621" s="5"/>
      <c r="J621" s="6" t="str">
        <f t="shared" si="18"/>
        <v/>
      </c>
      <c r="K621" s="6" t="str">
        <f>IF(OR($B621="",$E621="",Calc!$B618=""),"",SUMIFS(CalcAmtA,CalcPartyA,$E621,CalcKeyA,"&lt;="&amp;Calc!$B618)-SUMIFS(CalcWitB,CalcPartyB,$E621,CalcKeyB,"&lt;="&amp;Calc!$B618)+SUMIFS(CalcDepB,CalcPartyB,$E621,CalcKeyB,"&lt;="&amp;Calc!$B618))</f>
        <v/>
      </c>
      <c r="L621" s="4"/>
    </row>
    <row r="622" spans="1:12" x14ac:dyDescent="0.2">
      <c r="A622" s="3" t="str">
        <f>IF($B622="","",COUNTA($B$9:$B622))</f>
        <v/>
      </c>
      <c r="B622" s="4"/>
      <c r="C622" s="4"/>
      <c r="D622" s="4"/>
      <c r="E622" s="4"/>
      <c r="F622" s="3" t="str">
        <f t="shared" si="19"/>
        <v/>
      </c>
      <c r="G622" s="4"/>
      <c r="H622" s="5"/>
      <c r="I622" s="5"/>
      <c r="J622" s="6" t="str">
        <f t="shared" si="18"/>
        <v/>
      </c>
      <c r="K622" s="6" t="str">
        <f>IF(OR($B622="",$E622="",Calc!$B619=""),"",SUMIFS(CalcAmtA,CalcPartyA,$E622,CalcKeyA,"&lt;="&amp;Calc!$B619)-SUMIFS(CalcWitB,CalcPartyB,$E622,CalcKeyB,"&lt;="&amp;Calc!$B619)+SUMIFS(CalcDepB,CalcPartyB,$E622,CalcKeyB,"&lt;="&amp;Calc!$B619))</f>
        <v/>
      </c>
      <c r="L622" s="4"/>
    </row>
    <row r="623" spans="1:12" x14ac:dyDescent="0.2">
      <c r="A623" s="3" t="str">
        <f>IF($B623="","",COUNTA($B$9:$B623))</f>
        <v/>
      </c>
      <c r="B623" s="4"/>
      <c r="C623" s="4"/>
      <c r="D623" s="4"/>
      <c r="E623" s="4"/>
      <c r="F623" s="3" t="str">
        <f t="shared" si="19"/>
        <v/>
      </c>
      <c r="G623" s="4"/>
      <c r="H623" s="5"/>
      <c r="I623" s="5"/>
      <c r="J623" s="6" t="str">
        <f t="shared" si="18"/>
        <v/>
      </c>
      <c r="K623" s="6" t="str">
        <f>IF(OR($B623="",$E623="",Calc!$B620=""),"",SUMIFS(CalcAmtA,CalcPartyA,$E623,CalcKeyA,"&lt;="&amp;Calc!$B620)-SUMIFS(CalcWitB,CalcPartyB,$E623,CalcKeyB,"&lt;="&amp;Calc!$B620)+SUMIFS(CalcDepB,CalcPartyB,$E623,CalcKeyB,"&lt;="&amp;Calc!$B620))</f>
        <v/>
      </c>
      <c r="L623" s="4"/>
    </row>
    <row r="624" spans="1:12" x14ac:dyDescent="0.2">
      <c r="A624" s="3" t="str">
        <f>IF($B624="","",COUNTA($B$9:$B624))</f>
        <v/>
      </c>
      <c r="B624" s="4"/>
      <c r="C624" s="4"/>
      <c r="D624" s="4"/>
      <c r="E624" s="4"/>
      <c r="F624" s="3" t="str">
        <f t="shared" si="19"/>
        <v/>
      </c>
      <c r="G624" s="4"/>
      <c r="H624" s="5"/>
      <c r="I624" s="5"/>
      <c r="J624" s="6" t="str">
        <f t="shared" si="18"/>
        <v/>
      </c>
      <c r="K624" s="6" t="str">
        <f>IF(OR($B624="",$E624="",Calc!$B621=""),"",SUMIFS(CalcAmtA,CalcPartyA,$E624,CalcKeyA,"&lt;="&amp;Calc!$B621)-SUMIFS(CalcWitB,CalcPartyB,$E624,CalcKeyB,"&lt;="&amp;Calc!$B621)+SUMIFS(CalcDepB,CalcPartyB,$E624,CalcKeyB,"&lt;="&amp;Calc!$B621))</f>
        <v/>
      </c>
      <c r="L624" s="4"/>
    </row>
    <row r="625" spans="1:12" x14ac:dyDescent="0.2">
      <c r="A625" s="3" t="str">
        <f>IF($B625="","",COUNTA($B$9:$B625))</f>
        <v/>
      </c>
      <c r="B625" s="4"/>
      <c r="C625" s="4"/>
      <c r="D625" s="4"/>
      <c r="E625" s="4"/>
      <c r="F625" s="3" t="str">
        <f t="shared" si="19"/>
        <v/>
      </c>
      <c r="G625" s="4"/>
      <c r="H625" s="5"/>
      <c r="I625" s="5"/>
      <c r="J625" s="6" t="str">
        <f t="shared" si="18"/>
        <v/>
      </c>
      <c r="K625" s="6" t="str">
        <f>IF(OR($B625="",$E625="",Calc!$B622=""),"",SUMIFS(CalcAmtA,CalcPartyA,$E625,CalcKeyA,"&lt;="&amp;Calc!$B622)-SUMIFS(CalcWitB,CalcPartyB,$E625,CalcKeyB,"&lt;="&amp;Calc!$B622)+SUMIFS(CalcDepB,CalcPartyB,$E625,CalcKeyB,"&lt;="&amp;Calc!$B622))</f>
        <v/>
      </c>
      <c r="L625" s="4"/>
    </row>
    <row r="626" spans="1:12" x14ac:dyDescent="0.2">
      <c r="A626" s="3" t="str">
        <f>IF($B626="","",COUNTA($B$9:$B626))</f>
        <v/>
      </c>
      <c r="B626" s="4"/>
      <c r="C626" s="4"/>
      <c r="D626" s="4"/>
      <c r="E626" s="4"/>
      <c r="F626" s="3" t="str">
        <f t="shared" si="19"/>
        <v/>
      </c>
      <c r="G626" s="4"/>
      <c r="H626" s="5"/>
      <c r="I626" s="5"/>
      <c r="J626" s="6" t="str">
        <f t="shared" si="18"/>
        <v/>
      </c>
      <c r="K626" s="6" t="str">
        <f>IF(OR($B626="",$E626="",Calc!$B623=""),"",SUMIFS(CalcAmtA,CalcPartyA,$E626,CalcKeyA,"&lt;="&amp;Calc!$B623)-SUMIFS(CalcWitB,CalcPartyB,$E626,CalcKeyB,"&lt;="&amp;Calc!$B623)+SUMIFS(CalcDepB,CalcPartyB,$E626,CalcKeyB,"&lt;="&amp;Calc!$B623))</f>
        <v/>
      </c>
      <c r="L626" s="4"/>
    </row>
    <row r="627" spans="1:12" x14ac:dyDescent="0.2">
      <c r="A627" s="3" t="str">
        <f>IF($B627="","",COUNTA($B$9:$B627))</f>
        <v/>
      </c>
      <c r="B627" s="4"/>
      <c r="C627" s="4"/>
      <c r="D627" s="4"/>
      <c r="E627" s="4"/>
      <c r="F627" s="3" t="str">
        <f t="shared" si="19"/>
        <v/>
      </c>
      <c r="G627" s="4"/>
      <c r="H627" s="5"/>
      <c r="I627" s="5"/>
      <c r="J627" s="6" t="str">
        <f t="shared" si="18"/>
        <v/>
      </c>
      <c r="K627" s="6" t="str">
        <f>IF(OR($B627="",$E627="",Calc!$B624=""),"",SUMIFS(CalcAmtA,CalcPartyA,$E627,CalcKeyA,"&lt;="&amp;Calc!$B624)-SUMIFS(CalcWitB,CalcPartyB,$E627,CalcKeyB,"&lt;="&amp;Calc!$B624)+SUMIFS(CalcDepB,CalcPartyB,$E627,CalcKeyB,"&lt;="&amp;Calc!$B624))</f>
        <v/>
      </c>
      <c r="L627" s="4"/>
    </row>
    <row r="628" spans="1:12" x14ac:dyDescent="0.2">
      <c r="A628" s="3" t="str">
        <f>IF($B628="","",COUNTA($B$9:$B628))</f>
        <v/>
      </c>
      <c r="B628" s="4"/>
      <c r="C628" s="4"/>
      <c r="D628" s="4"/>
      <c r="E628" s="4"/>
      <c r="F628" s="3" t="str">
        <f t="shared" si="19"/>
        <v/>
      </c>
      <c r="G628" s="4"/>
      <c r="H628" s="5"/>
      <c r="I628" s="5"/>
      <c r="J628" s="6" t="str">
        <f t="shared" si="18"/>
        <v/>
      </c>
      <c r="K628" s="6" t="str">
        <f>IF(OR($B628="",$E628="",Calc!$B625=""),"",SUMIFS(CalcAmtA,CalcPartyA,$E628,CalcKeyA,"&lt;="&amp;Calc!$B625)-SUMIFS(CalcWitB,CalcPartyB,$E628,CalcKeyB,"&lt;="&amp;Calc!$B625)+SUMIFS(CalcDepB,CalcPartyB,$E628,CalcKeyB,"&lt;="&amp;Calc!$B625))</f>
        <v/>
      </c>
      <c r="L628" s="4"/>
    </row>
    <row r="629" spans="1:12" x14ac:dyDescent="0.2">
      <c r="A629" s="3" t="str">
        <f>IF($B629="","",COUNTA($B$9:$B629))</f>
        <v/>
      </c>
      <c r="B629" s="4"/>
      <c r="C629" s="4"/>
      <c r="D629" s="4"/>
      <c r="E629" s="4"/>
      <c r="F629" s="3" t="str">
        <f t="shared" si="19"/>
        <v/>
      </c>
      <c r="G629" s="4"/>
      <c r="H629" s="5"/>
      <c r="I629" s="5"/>
      <c r="J629" s="6" t="str">
        <f t="shared" si="18"/>
        <v/>
      </c>
      <c r="K629" s="6" t="str">
        <f>IF(OR($B629="",$E629="",Calc!$B626=""),"",SUMIFS(CalcAmtA,CalcPartyA,$E629,CalcKeyA,"&lt;="&amp;Calc!$B626)-SUMIFS(CalcWitB,CalcPartyB,$E629,CalcKeyB,"&lt;="&amp;Calc!$B626)+SUMIFS(CalcDepB,CalcPartyB,$E629,CalcKeyB,"&lt;="&amp;Calc!$B626))</f>
        <v/>
      </c>
      <c r="L629" s="4"/>
    </row>
    <row r="630" spans="1:12" x14ac:dyDescent="0.2">
      <c r="A630" s="3" t="str">
        <f>IF($B630="","",COUNTA($B$9:$B630))</f>
        <v/>
      </c>
      <c r="B630" s="4"/>
      <c r="C630" s="4"/>
      <c r="D630" s="4"/>
      <c r="E630" s="4"/>
      <c r="F630" s="3" t="str">
        <f t="shared" si="19"/>
        <v/>
      </c>
      <c r="G630" s="4"/>
      <c r="H630" s="5"/>
      <c r="I630" s="5"/>
      <c r="J630" s="6" t="str">
        <f t="shared" si="18"/>
        <v/>
      </c>
      <c r="K630" s="6" t="str">
        <f>IF(OR($B630="",$E630="",Calc!$B627=""),"",SUMIFS(CalcAmtA,CalcPartyA,$E630,CalcKeyA,"&lt;="&amp;Calc!$B627)-SUMIFS(CalcWitB,CalcPartyB,$E630,CalcKeyB,"&lt;="&amp;Calc!$B627)+SUMIFS(CalcDepB,CalcPartyB,$E630,CalcKeyB,"&lt;="&amp;Calc!$B627))</f>
        <v/>
      </c>
      <c r="L630" s="4"/>
    </row>
    <row r="631" spans="1:12" x14ac:dyDescent="0.2">
      <c r="A631" s="3" t="str">
        <f>IF($B631="","",COUNTA($B$9:$B631))</f>
        <v/>
      </c>
      <c r="B631" s="4"/>
      <c r="C631" s="4"/>
      <c r="D631" s="4"/>
      <c r="E631" s="4"/>
      <c r="F631" s="3" t="str">
        <f t="shared" si="19"/>
        <v/>
      </c>
      <c r="G631" s="4"/>
      <c r="H631" s="5"/>
      <c r="I631" s="5"/>
      <c r="J631" s="6" t="str">
        <f t="shared" si="18"/>
        <v/>
      </c>
      <c r="K631" s="6" t="str">
        <f>IF(OR($B631="",$E631="",Calc!$B628=""),"",SUMIFS(CalcAmtA,CalcPartyA,$E631,CalcKeyA,"&lt;="&amp;Calc!$B628)-SUMIFS(CalcWitB,CalcPartyB,$E631,CalcKeyB,"&lt;="&amp;Calc!$B628)+SUMIFS(CalcDepB,CalcPartyB,$E631,CalcKeyB,"&lt;="&amp;Calc!$B628))</f>
        <v/>
      </c>
      <c r="L631" s="4"/>
    </row>
    <row r="632" spans="1:12" x14ac:dyDescent="0.2">
      <c r="A632" s="3" t="str">
        <f>IF($B632="","",COUNTA($B$9:$B632))</f>
        <v/>
      </c>
      <c r="B632" s="4"/>
      <c r="C632" s="4"/>
      <c r="D632" s="4"/>
      <c r="E632" s="4"/>
      <c r="F632" s="3" t="str">
        <f t="shared" si="19"/>
        <v/>
      </c>
      <c r="G632" s="4"/>
      <c r="H632" s="5"/>
      <c r="I632" s="5"/>
      <c r="J632" s="6" t="str">
        <f t="shared" si="18"/>
        <v/>
      </c>
      <c r="K632" s="6" t="str">
        <f>IF(OR($B632="",$E632="",Calc!$B629=""),"",SUMIFS(CalcAmtA,CalcPartyA,$E632,CalcKeyA,"&lt;="&amp;Calc!$B629)-SUMIFS(CalcWitB,CalcPartyB,$E632,CalcKeyB,"&lt;="&amp;Calc!$B629)+SUMIFS(CalcDepB,CalcPartyB,$E632,CalcKeyB,"&lt;="&amp;Calc!$B629))</f>
        <v/>
      </c>
      <c r="L632" s="4"/>
    </row>
    <row r="633" spans="1:12" x14ac:dyDescent="0.2">
      <c r="A633" s="3" t="str">
        <f>IF($B633="","",COUNTA($B$9:$B633))</f>
        <v/>
      </c>
      <c r="B633" s="4"/>
      <c r="C633" s="4"/>
      <c r="D633" s="4"/>
      <c r="E633" s="4"/>
      <c r="F633" s="3" t="str">
        <f t="shared" si="19"/>
        <v/>
      </c>
      <c r="G633" s="4"/>
      <c r="H633" s="5"/>
      <c r="I633" s="5"/>
      <c r="J633" s="6" t="str">
        <f t="shared" si="18"/>
        <v/>
      </c>
      <c r="K633" s="6" t="str">
        <f>IF(OR($B633="",$E633="",Calc!$B630=""),"",SUMIFS(CalcAmtA,CalcPartyA,$E633,CalcKeyA,"&lt;="&amp;Calc!$B630)-SUMIFS(CalcWitB,CalcPartyB,$E633,CalcKeyB,"&lt;="&amp;Calc!$B630)+SUMIFS(CalcDepB,CalcPartyB,$E633,CalcKeyB,"&lt;="&amp;Calc!$B630))</f>
        <v/>
      </c>
      <c r="L633" s="4"/>
    </row>
    <row r="634" spans="1:12" x14ac:dyDescent="0.2">
      <c r="A634" s="3" t="str">
        <f>IF($B634="","",COUNTA($B$9:$B634))</f>
        <v/>
      </c>
      <c r="B634" s="4"/>
      <c r="C634" s="4"/>
      <c r="D634" s="4"/>
      <c r="E634" s="4"/>
      <c r="F634" s="3" t="str">
        <f t="shared" si="19"/>
        <v/>
      </c>
      <c r="G634" s="4"/>
      <c r="H634" s="5"/>
      <c r="I634" s="5"/>
      <c r="J634" s="6" t="str">
        <f t="shared" si="18"/>
        <v/>
      </c>
      <c r="K634" s="6" t="str">
        <f>IF(OR($B634="",$E634="",Calc!$B631=""),"",SUMIFS(CalcAmtA,CalcPartyA,$E634,CalcKeyA,"&lt;="&amp;Calc!$B631)-SUMIFS(CalcWitB,CalcPartyB,$E634,CalcKeyB,"&lt;="&amp;Calc!$B631)+SUMIFS(CalcDepB,CalcPartyB,$E634,CalcKeyB,"&lt;="&amp;Calc!$B631))</f>
        <v/>
      </c>
      <c r="L634" s="4"/>
    </row>
    <row r="635" spans="1:12" x14ac:dyDescent="0.2">
      <c r="A635" s="3" t="str">
        <f>IF($B635="","",COUNTA($B$9:$B635))</f>
        <v/>
      </c>
      <c r="B635" s="4"/>
      <c r="C635" s="4"/>
      <c r="D635" s="4"/>
      <c r="E635" s="4"/>
      <c r="F635" s="3" t="str">
        <f t="shared" si="19"/>
        <v/>
      </c>
      <c r="G635" s="4"/>
      <c r="H635" s="5"/>
      <c r="I635" s="5"/>
      <c r="J635" s="6" t="str">
        <f t="shared" si="18"/>
        <v/>
      </c>
      <c r="K635" s="6" t="str">
        <f>IF(OR($B635="",$E635="",Calc!$B632=""),"",SUMIFS(CalcAmtA,CalcPartyA,$E635,CalcKeyA,"&lt;="&amp;Calc!$B632)-SUMIFS(CalcWitB,CalcPartyB,$E635,CalcKeyB,"&lt;="&amp;Calc!$B632)+SUMIFS(CalcDepB,CalcPartyB,$E635,CalcKeyB,"&lt;="&amp;Calc!$B632))</f>
        <v/>
      </c>
      <c r="L635" s="4"/>
    </row>
    <row r="636" spans="1:12" x14ac:dyDescent="0.2">
      <c r="A636" s="3" t="str">
        <f>IF($B636="","",COUNTA($B$9:$B636))</f>
        <v/>
      </c>
      <c r="B636" s="4"/>
      <c r="C636" s="4"/>
      <c r="D636" s="4"/>
      <c r="E636" s="4"/>
      <c r="F636" s="3" t="str">
        <f t="shared" si="19"/>
        <v/>
      </c>
      <c r="G636" s="4"/>
      <c r="H636" s="5"/>
      <c r="I636" s="5"/>
      <c r="J636" s="6" t="str">
        <f t="shared" si="18"/>
        <v/>
      </c>
      <c r="K636" s="6" t="str">
        <f>IF(OR($B636="",$E636="",Calc!$B633=""),"",SUMIFS(CalcAmtA,CalcPartyA,$E636,CalcKeyA,"&lt;="&amp;Calc!$B633)-SUMIFS(CalcWitB,CalcPartyB,$E636,CalcKeyB,"&lt;="&amp;Calc!$B633)+SUMIFS(CalcDepB,CalcPartyB,$E636,CalcKeyB,"&lt;="&amp;Calc!$B633))</f>
        <v/>
      </c>
      <c r="L636" s="4"/>
    </row>
    <row r="637" spans="1:12" x14ac:dyDescent="0.2">
      <c r="A637" s="3" t="str">
        <f>IF($B637="","",COUNTA($B$9:$B637))</f>
        <v/>
      </c>
      <c r="B637" s="4"/>
      <c r="C637" s="4"/>
      <c r="D637" s="4"/>
      <c r="E637" s="4"/>
      <c r="F637" s="3" t="str">
        <f t="shared" si="19"/>
        <v/>
      </c>
      <c r="G637" s="4"/>
      <c r="H637" s="5"/>
      <c r="I637" s="5"/>
      <c r="J637" s="6" t="str">
        <f t="shared" si="18"/>
        <v/>
      </c>
      <c r="K637" s="6" t="str">
        <f>IF(OR($B637="",$E637="",Calc!$B634=""),"",SUMIFS(CalcAmtA,CalcPartyA,$E637,CalcKeyA,"&lt;="&amp;Calc!$B634)-SUMIFS(CalcWitB,CalcPartyB,$E637,CalcKeyB,"&lt;="&amp;Calc!$B634)+SUMIFS(CalcDepB,CalcPartyB,$E637,CalcKeyB,"&lt;="&amp;Calc!$B634))</f>
        <v/>
      </c>
      <c r="L637" s="4"/>
    </row>
    <row r="638" spans="1:12" x14ac:dyDescent="0.2">
      <c r="A638" s="3" t="str">
        <f>IF($B638="","",COUNTA($B$9:$B638))</f>
        <v/>
      </c>
      <c r="B638" s="4"/>
      <c r="C638" s="4"/>
      <c r="D638" s="4"/>
      <c r="E638" s="4"/>
      <c r="F638" s="3" t="str">
        <f t="shared" si="19"/>
        <v/>
      </c>
      <c r="G638" s="4"/>
      <c r="H638" s="5"/>
      <c r="I638" s="5"/>
      <c r="J638" s="6" t="str">
        <f t="shared" si="18"/>
        <v/>
      </c>
      <c r="K638" s="6" t="str">
        <f>IF(OR($B638="",$E638="",Calc!$B635=""),"",SUMIFS(CalcAmtA,CalcPartyA,$E638,CalcKeyA,"&lt;="&amp;Calc!$B635)-SUMIFS(CalcWitB,CalcPartyB,$E638,CalcKeyB,"&lt;="&amp;Calc!$B635)+SUMIFS(CalcDepB,CalcPartyB,$E638,CalcKeyB,"&lt;="&amp;Calc!$B635))</f>
        <v/>
      </c>
      <c r="L638" s="4"/>
    </row>
    <row r="639" spans="1:12" x14ac:dyDescent="0.2">
      <c r="A639" s="3" t="str">
        <f>IF($B639="","",COUNTA($B$9:$B639))</f>
        <v/>
      </c>
      <c r="B639" s="4"/>
      <c r="C639" s="4"/>
      <c r="D639" s="4"/>
      <c r="E639" s="4"/>
      <c r="F639" s="3" t="str">
        <f t="shared" si="19"/>
        <v/>
      </c>
      <c r="G639" s="4"/>
      <c r="H639" s="5"/>
      <c r="I639" s="5"/>
      <c r="J639" s="6" t="str">
        <f t="shared" si="18"/>
        <v/>
      </c>
      <c r="K639" s="6" t="str">
        <f>IF(OR($B639="",$E639="",Calc!$B636=""),"",SUMIFS(CalcAmtA,CalcPartyA,$E639,CalcKeyA,"&lt;="&amp;Calc!$B636)-SUMIFS(CalcWitB,CalcPartyB,$E639,CalcKeyB,"&lt;="&amp;Calc!$B636)+SUMIFS(CalcDepB,CalcPartyB,$E639,CalcKeyB,"&lt;="&amp;Calc!$B636))</f>
        <v/>
      </c>
      <c r="L639" s="4"/>
    </row>
    <row r="640" spans="1:12" x14ac:dyDescent="0.2">
      <c r="A640" s="3" t="str">
        <f>IF($B640="","",COUNTA($B$9:$B640))</f>
        <v/>
      </c>
      <c r="B640" s="4"/>
      <c r="C640" s="4"/>
      <c r="D640" s="4"/>
      <c r="E640" s="4"/>
      <c r="F640" s="3" t="str">
        <f t="shared" si="19"/>
        <v/>
      </c>
      <c r="G640" s="4"/>
      <c r="H640" s="5"/>
      <c r="I640" s="5"/>
      <c r="J640" s="6" t="str">
        <f t="shared" si="18"/>
        <v/>
      </c>
      <c r="K640" s="6" t="str">
        <f>IF(OR($B640="",$E640="",Calc!$B637=""),"",SUMIFS(CalcAmtA,CalcPartyA,$E640,CalcKeyA,"&lt;="&amp;Calc!$B637)-SUMIFS(CalcWitB,CalcPartyB,$E640,CalcKeyB,"&lt;="&amp;Calc!$B637)+SUMIFS(CalcDepB,CalcPartyB,$E640,CalcKeyB,"&lt;="&amp;Calc!$B637))</f>
        <v/>
      </c>
      <c r="L640" s="4"/>
    </row>
    <row r="641" spans="1:12" x14ac:dyDescent="0.2">
      <c r="A641" s="3" t="str">
        <f>IF($B641="","",COUNTA($B$9:$B641))</f>
        <v/>
      </c>
      <c r="B641" s="4"/>
      <c r="C641" s="4"/>
      <c r="D641" s="4"/>
      <c r="E641" s="4"/>
      <c r="F641" s="3" t="str">
        <f t="shared" si="19"/>
        <v/>
      </c>
      <c r="G641" s="4"/>
      <c r="H641" s="5"/>
      <c r="I641" s="5"/>
      <c r="J641" s="6" t="str">
        <f t="shared" si="18"/>
        <v/>
      </c>
      <c r="K641" s="6" t="str">
        <f>IF(OR($B641="",$E641="",Calc!$B638=""),"",SUMIFS(CalcAmtA,CalcPartyA,$E641,CalcKeyA,"&lt;="&amp;Calc!$B638)-SUMIFS(CalcWitB,CalcPartyB,$E641,CalcKeyB,"&lt;="&amp;Calc!$B638)+SUMIFS(CalcDepB,CalcPartyB,$E641,CalcKeyB,"&lt;="&amp;Calc!$B638))</f>
        <v/>
      </c>
      <c r="L641" s="4"/>
    </row>
    <row r="642" spans="1:12" x14ac:dyDescent="0.2">
      <c r="A642" s="3" t="str">
        <f>IF($B642="","",COUNTA($B$9:$B642))</f>
        <v/>
      </c>
      <c r="B642" s="4"/>
      <c r="C642" s="4"/>
      <c r="D642" s="4"/>
      <c r="E642" s="4"/>
      <c r="F642" s="3" t="str">
        <f t="shared" si="19"/>
        <v/>
      </c>
      <c r="G642" s="4"/>
      <c r="H642" s="5"/>
      <c r="I642" s="5"/>
      <c r="J642" s="6" t="str">
        <f t="shared" si="18"/>
        <v/>
      </c>
      <c r="K642" s="6" t="str">
        <f>IF(OR($B642="",$E642="",Calc!$B639=""),"",SUMIFS(CalcAmtA,CalcPartyA,$E642,CalcKeyA,"&lt;="&amp;Calc!$B639)-SUMIFS(CalcWitB,CalcPartyB,$E642,CalcKeyB,"&lt;="&amp;Calc!$B639)+SUMIFS(CalcDepB,CalcPartyB,$E642,CalcKeyB,"&lt;="&amp;Calc!$B639))</f>
        <v/>
      </c>
      <c r="L642" s="4"/>
    </row>
    <row r="643" spans="1:12" x14ac:dyDescent="0.2">
      <c r="A643" s="3" t="str">
        <f>IF($B643="","",COUNTA($B$9:$B643))</f>
        <v/>
      </c>
      <c r="B643" s="4"/>
      <c r="C643" s="4"/>
      <c r="D643" s="4"/>
      <c r="E643" s="4"/>
      <c r="F643" s="3" t="str">
        <f t="shared" si="19"/>
        <v/>
      </c>
      <c r="G643" s="4"/>
      <c r="H643" s="5"/>
      <c r="I643" s="5"/>
      <c r="J643" s="6" t="str">
        <f t="shared" si="18"/>
        <v/>
      </c>
      <c r="K643" s="6" t="str">
        <f>IF(OR($B643="",$E643="",Calc!$B640=""),"",SUMIFS(CalcAmtA,CalcPartyA,$E643,CalcKeyA,"&lt;="&amp;Calc!$B640)-SUMIFS(CalcWitB,CalcPartyB,$E643,CalcKeyB,"&lt;="&amp;Calc!$B640)+SUMIFS(CalcDepB,CalcPartyB,$E643,CalcKeyB,"&lt;="&amp;Calc!$B640))</f>
        <v/>
      </c>
      <c r="L643" s="4"/>
    </row>
    <row r="644" spans="1:12" x14ac:dyDescent="0.2">
      <c r="A644" s="3" t="str">
        <f>IF($B644="","",COUNTA($B$9:$B644))</f>
        <v/>
      </c>
      <c r="B644" s="4"/>
      <c r="C644" s="4"/>
      <c r="D644" s="4"/>
      <c r="E644" s="4"/>
      <c r="F644" s="3" t="str">
        <f t="shared" si="19"/>
        <v/>
      </c>
      <c r="G644" s="4"/>
      <c r="H644" s="5"/>
      <c r="I644" s="5"/>
      <c r="J644" s="6" t="str">
        <f t="shared" si="18"/>
        <v/>
      </c>
      <c r="K644" s="6" t="str">
        <f>IF(OR($B644="",$E644="",Calc!$B641=""),"",SUMIFS(CalcAmtA,CalcPartyA,$E644,CalcKeyA,"&lt;="&amp;Calc!$B641)-SUMIFS(CalcWitB,CalcPartyB,$E644,CalcKeyB,"&lt;="&amp;Calc!$B641)+SUMIFS(CalcDepB,CalcPartyB,$E644,CalcKeyB,"&lt;="&amp;Calc!$B641))</f>
        <v/>
      </c>
      <c r="L644" s="4"/>
    </row>
    <row r="645" spans="1:12" x14ac:dyDescent="0.2">
      <c r="A645" s="3" t="str">
        <f>IF($B645="","",COUNTA($B$9:$B645))</f>
        <v/>
      </c>
      <c r="B645" s="4"/>
      <c r="C645" s="4"/>
      <c r="D645" s="4"/>
      <c r="E645" s="4"/>
      <c r="F645" s="3" t="str">
        <f t="shared" si="19"/>
        <v/>
      </c>
      <c r="G645" s="4"/>
      <c r="H645" s="5"/>
      <c r="I645" s="5"/>
      <c r="J645" s="6" t="str">
        <f t="shared" si="18"/>
        <v/>
      </c>
      <c r="K645" s="6" t="str">
        <f>IF(OR($B645="",$E645="",Calc!$B642=""),"",SUMIFS(CalcAmtA,CalcPartyA,$E645,CalcKeyA,"&lt;="&amp;Calc!$B642)-SUMIFS(CalcWitB,CalcPartyB,$E645,CalcKeyB,"&lt;="&amp;Calc!$B642)+SUMIFS(CalcDepB,CalcPartyB,$E645,CalcKeyB,"&lt;="&amp;Calc!$B642))</f>
        <v/>
      </c>
      <c r="L645" s="4"/>
    </row>
    <row r="646" spans="1:12" x14ac:dyDescent="0.2">
      <c r="A646" s="3" t="str">
        <f>IF($B646="","",COUNTA($B$9:$B646))</f>
        <v/>
      </c>
      <c r="B646" s="4"/>
      <c r="C646" s="4"/>
      <c r="D646" s="4"/>
      <c r="E646" s="4"/>
      <c r="F646" s="3" t="str">
        <f t="shared" si="19"/>
        <v/>
      </c>
      <c r="G646" s="4"/>
      <c r="H646" s="5"/>
      <c r="I646" s="5"/>
      <c r="J646" s="6" t="str">
        <f t="shared" ref="J646:J709" si="20">IF(OR($H646="",$I646=""),"",ROUND($H646*$I646,0))</f>
        <v/>
      </c>
      <c r="K646" s="6" t="str">
        <f>IF(OR($B646="",$E646="",Calc!$B643=""),"",SUMIFS(CalcAmtA,CalcPartyA,$E646,CalcKeyA,"&lt;="&amp;Calc!$B643)-SUMIFS(CalcWitB,CalcPartyB,$E646,CalcKeyB,"&lt;="&amp;Calc!$B643)+SUMIFS(CalcDepB,CalcPartyB,$E646,CalcKeyB,"&lt;="&amp;Calc!$B643))</f>
        <v/>
      </c>
      <c r="L646" s="4"/>
    </row>
    <row r="647" spans="1:12" x14ac:dyDescent="0.2">
      <c r="A647" s="3" t="str">
        <f>IF($B647="","",COUNTA($B$9:$B647))</f>
        <v/>
      </c>
      <c r="B647" s="4"/>
      <c r="C647" s="4"/>
      <c r="D647" s="4"/>
      <c r="E647" s="4"/>
      <c r="F647" s="3" t="str">
        <f t="shared" si="19"/>
        <v/>
      </c>
      <c r="G647" s="4"/>
      <c r="H647" s="5"/>
      <c r="I647" s="5"/>
      <c r="J647" s="6" t="str">
        <f t="shared" si="20"/>
        <v/>
      </c>
      <c r="K647" s="6" t="str">
        <f>IF(OR($B647="",$E647="",Calc!$B644=""),"",SUMIFS(CalcAmtA,CalcPartyA,$E647,CalcKeyA,"&lt;="&amp;Calc!$B644)-SUMIFS(CalcWitB,CalcPartyB,$E647,CalcKeyB,"&lt;="&amp;Calc!$B644)+SUMIFS(CalcDepB,CalcPartyB,$E647,CalcKeyB,"&lt;="&amp;Calc!$B644))</f>
        <v/>
      </c>
      <c r="L647" s="4"/>
    </row>
    <row r="648" spans="1:12" x14ac:dyDescent="0.2">
      <c r="A648" s="3" t="str">
        <f>IF($B648="","",COUNTA($B$9:$B648))</f>
        <v/>
      </c>
      <c r="B648" s="4"/>
      <c r="C648" s="4"/>
      <c r="D648" s="4"/>
      <c r="E648" s="4"/>
      <c r="F648" s="3" t="str">
        <f t="shared" si="19"/>
        <v/>
      </c>
      <c r="G648" s="4"/>
      <c r="H648" s="5"/>
      <c r="I648" s="5"/>
      <c r="J648" s="6" t="str">
        <f t="shared" si="20"/>
        <v/>
      </c>
      <c r="K648" s="6" t="str">
        <f>IF(OR($B648="",$E648="",Calc!$B645=""),"",SUMIFS(CalcAmtA,CalcPartyA,$E648,CalcKeyA,"&lt;="&amp;Calc!$B645)-SUMIFS(CalcWitB,CalcPartyB,$E648,CalcKeyB,"&lt;="&amp;Calc!$B645)+SUMIFS(CalcDepB,CalcPartyB,$E648,CalcKeyB,"&lt;="&amp;Calc!$B645))</f>
        <v/>
      </c>
      <c r="L648" s="4"/>
    </row>
    <row r="649" spans="1:12" x14ac:dyDescent="0.2">
      <c r="A649" s="3" t="str">
        <f>IF($B649="","",COUNTA($B$9:$B649))</f>
        <v/>
      </c>
      <c r="B649" s="4"/>
      <c r="C649" s="4"/>
      <c r="D649" s="4"/>
      <c r="E649" s="4"/>
      <c r="F649" s="3" t="str">
        <f t="shared" ref="F649:F712" si="21">IF($E649="","",IFERROR(IF(VLOOKUP($E649,AcctTbl,4,0)="","",VLOOKUP($E649,AcctTbl,4,0)),"—"))</f>
        <v/>
      </c>
      <c r="G649" s="4"/>
      <c r="H649" s="5"/>
      <c r="I649" s="5"/>
      <c r="J649" s="6" t="str">
        <f t="shared" si="20"/>
        <v/>
      </c>
      <c r="K649" s="6" t="str">
        <f>IF(OR($B649="",$E649="",Calc!$B646=""),"",SUMIFS(CalcAmtA,CalcPartyA,$E649,CalcKeyA,"&lt;="&amp;Calc!$B646)-SUMIFS(CalcWitB,CalcPartyB,$E649,CalcKeyB,"&lt;="&amp;Calc!$B646)+SUMIFS(CalcDepB,CalcPartyB,$E649,CalcKeyB,"&lt;="&amp;Calc!$B646))</f>
        <v/>
      </c>
      <c r="L649" s="4"/>
    </row>
    <row r="650" spans="1:12" x14ac:dyDescent="0.2">
      <c r="A650" s="3" t="str">
        <f>IF($B650="","",COUNTA($B$9:$B650))</f>
        <v/>
      </c>
      <c r="B650" s="4"/>
      <c r="C650" s="4"/>
      <c r="D650" s="4"/>
      <c r="E650" s="4"/>
      <c r="F650" s="3" t="str">
        <f t="shared" si="21"/>
        <v/>
      </c>
      <c r="G650" s="4"/>
      <c r="H650" s="5"/>
      <c r="I650" s="5"/>
      <c r="J650" s="6" t="str">
        <f t="shared" si="20"/>
        <v/>
      </c>
      <c r="K650" s="6" t="str">
        <f>IF(OR($B650="",$E650="",Calc!$B647=""),"",SUMIFS(CalcAmtA,CalcPartyA,$E650,CalcKeyA,"&lt;="&amp;Calc!$B647)-SUMIFS(CalcWitB,CalcPartyB,$E650,CalcKeyB,"&lt;="&amp;Calc!$B647)+SUMIFS(CalcDepB,CalcPartyB,$E650,CalcKeyB,"&lt;="&amp;Calc!$B647))</f>
        <v/>
      </c>
      <c r="L650" s="4"/>
    </row>
    <row r="651" spans="1:12" x14ac:dyDescent="0.2">
      <c r="A651" s="3" t="str">
        <f>IF($B651="","",COUNTA($B$9:$B651))</f>
        <v/>
      </c>
      <c r="B651" s="4"/>
      <c r="C651" s="4"/>
      <c r="D651" s="4"/>
      <c r="E651" s="4"/>
      <c r="F651" s="3" t="str">
        <f t="shared" si="21"/>
        <v/>
      </c>
      <c r="G651" s="4"/>
      <c r="H651" s="5"/>
      <c r="I651" s="5"/>
      <c r="J651" s="6" t="str">
        <f t="shared" si="20"/>
        <v/>
      </c>
      <c r="K651" s="6" t="str">
        <f>IF(OR($B651="",$E651="",Calc!$B648=""),"",SUMIFS(CalcAmtA,CalcPartyA,$E651,CalcKeyA,"&lt;="&amp;Calc!$B648)-SUMIFS(CalcWitB,CalcPartyB,$E651,CalcKeyB,"&lt;="&amp;Calc!$B648)+SUMIFS(CalcDepB,CalcPartyB,$E651,CalcKeyB,"&lt;="&amp;Calc!$B648))</f>
        <v/>
      </c>
      <c r="L651" s="4"/>
    </row>
    <row r="652" spans="1:12" x14ac:dyDescent="0.2">
      <c r="A652" s="3" t="str">
        <f>IF($B652="","",COUNTA($B$9:$B652))</f>
        <v/>
      </c>
      <c r="B652" s="4"/>
      <c r="C652" s="4"/>
      <c r="D652" s="4"/>
      <c r="E652" s="4"/>
      <c r="F652" s="3" t="str">
        <f t="shared" si="21"/>
        <v/>
      </c>
      <c r="G652" s="4"/>
      <c r="H652" s="5"/>
      <c r="I652" s="5"/>
      <c r="J652" s="6" t="str">
        <f t="shared" si="20"/>
        <v/>
      </c>
      <c r="K652" s="6" t="str">
        <f>IF(OR($B652="",$E652="",Calc!$B649=""),"",SUMIFS(CalcAmtA,CalcPartyA,$E652,CalcKeyA,"&lt;="&amp;Calc!$B649)-SUMIFS(CalcWitB,CalcPartyB,$E652,CalcKeyB,"&lt;="&amp;Calc!$B649)+SUMIFS(CalcDepB,CalcPartyB,$E652,CalcKeyB,"&lt;="&amp;Calc!$B649))</f>
        <v/>
      </c>
      <c r="L652" s="4"/>
    </row>
    <row r="653" spans="1:12" x14ac:dyDescent="0.2">
      <c r="A653" s="3" t="str">
        <f>IF($B653="","",COUNTA($B$9:$B653))</f>
        <v/>
      </c>
      <c r="B653" s="4"/>
      <c r="C653" s="4"/>
      <c r="D653" s="4"/>
      <c r="E653" s="4"/>
      <c r="F653" s="3" t="str">
        <f t="shared" si="21"/>
        <v/>
      </c>
      <c r="G653" s="4"/>
      <c r="H653" s="5"/>
      <c r="I653" s="5"/>
      <c r="J653" s="6" t="str">
        <f t="shared" si="20"/>
        <v/>
      </c>
      <c r="K653" s="6" t="str">
        <f>IF(OR($B653="",$E653="",Calc!$B650=""),"",SUMIFS(CalcAmtA,CalcPartyA,$E653,CalcKeyA,"&lt;="&amp;Calc!$B650)-SUMIFS(CalcWitB,CalcPartyB,$E653,CalcKeyB,"&lt;="&amp;Calc!$B650)+SUMIFS(CalcDepB,CalcPartyB,$E653,CalcKeyB,"&lt;="&amp;Calc!$B650))</f>
        <v/>
      </c>
      <c r="L653" s="4"/>
    </row>
    <row r="654" spans="1:12" x14ac:dyDescent="0.2">
      <c r="A654" s="3" t="str">
        <f>IF($B654="","",COUNTA($B$9:$B654))</f>
        <v/>
      </c>
      <c r="B654" s="4"/>
      <c r="C654" s="4"/>
      <c r="D654" s="4"/>
      <c r="E654" s="4"/>
      <c r="F654" s="3" t="str">
        <f t="shared" si="21"/>
        <v/>
      </c>
      <c r="G654" s="4"/>
      <c r="H654" s="5"/>
      <c r="I654" s="5"/>
      <c r="J654" s="6" t="str">
        <f t="shared" si="20"/>
        <v/>
      </c>
      <c r="K654" s="6" t="str">
        <f>IF(OR($B654="",$E654="",Calc!$B651=""),"",SUMIFS(CalcAmtA,CalcPartyA,$E654,CalcKeyA,"&lt;="&amp;Calc!$B651)-SUMIFS(CalcWitB,CalcPartyB,$E654,CalcKeyB,"&lt;="&amp;Calc!$B651)+SUMIFS(CalcDepB,CalcPartyB,$E654,CalcKeyB,"&lt;="&amp;Calc!$B651))</f>
        <v/>
      </c>
      <c r="L654" s="4"/>
    </row>
    <row r="655" spans="1:12" x14ac:dyDescent="0.2">
      <c r="A655" s="3" t="str">
        <f>IF($B655="","",COUNTA($B$9:$B655))</f>
        <v/>
      </c>
      <c r="B655" s="4"/>
      <c r="C655" s="4"/>
      <c r="D655" s="4"/>
      <c r="E655" s="4"/>
      <c r="F655" s="3" t="str">
        <f t="shared" si="21"/>
        <v/>
      </c>
      <c r="G655" s="4"/>
      <c r="H655" s="5"/>
      <c r="I655" s="5"/>
      <c r="J655" s="6" t="str">
        <f t="shared" si="20"/>
        <v/>
      </c>
      <c r="K655" s="6" t="str">
        <f>IF(OR($B655="",$E655="",Calc!$B652=""),"",SUMIFS(CalcAmtA,CalcPartyA,$E655,CalcKeyA,"&lt;="&amp;Calc!$B652)-SUMIFS(CalcWitB,CalcPartyB,$E655,CalcKeyB,"&lt;="&amp;Calc!$B652)+SUMIFS(CalcDepB,CalcPartyB,$E655,CalcKeyB,"&lt;="&amp;Calc!$B652))</f>
        <v/>
      </c>
      <c r="L655" s="4"/>
    </row>
    <row r="656" spans="1:12" x14ac:dyDescent="0.2">
      <c r="A656" s="3" t="str">
        <f>IF($B656="","",COUNTA($B$9:$B656))</f>
        <v/>
      </c>
      <c r="B656" s="4"/>
      <c r="C656" s="4"/>
      <c r="D656" s="4"/>
      <c r="E656" s="4"/>
      <c r="F656" s="3" t="str">
        <f t="shared" si="21"/>
        <v/>
      </c>
      <c r="G656" s="4"/>
      <c r="H656" s="5"/>
      <c r="I656" s="5"/>
      <c r="J656" s="6" t="str">
        <f t="shared" si="20"/>
        <v/>
      </c>
      <c r="K656" s="6" t="str">
        <f>IF(OR($B656="",$E656="",Calc!$B653=""),"",SUMIFS(CalcAmtA,CalcPartyA,$E656,CalcKeyA,"&lt;="&amp;Calc!$B653)-SUMIFS(CalcWitB,CalcPartyB,$E656,CalcKeyB,"&lt;="&amp;Calc!$B653)+SUMIFS(CalcDepB,CalcPartyB,$E656,CalcKeyB,"&lt;="&amp;Calc!$B653))</f>
        <v/>
      </c>
      <c r="L656" s="4"/>
    </row>
    <row r="657" spans="1:12" x14ac:dyDescent="0.2">
      <c r="A657" s="3" t="str">
        <f>IF($B657="","",COUNTA($B$9:$B657))</f>
        <v/>
      </c>
      <c r="B657" s="4"/>
      <c r="C657" s="4"/>
      <c r="D657" s="4"/>
      <c r="E657" s="4"/>
      <c r="F657" s="3" t="str">
        <f t="shared" si="21"/>
        <v/>
      </c>
      <c r="G657" s="4"/>
      <c r="H657" s="5"/>
      <c r="I657" s="5"/>
      <c r="J657" s="6" t="str">
        <f t="shared" si="20"/>
        <v/>
      </c>
      <c r="K657" s="6" t="str">
        <f>IF(OR($B657="",$E657="",Calc!$B654=""),"",SUMIFS(CalcAmtA,CalcPartyA,$E657,CalcKeyA,"&lt;="&amp;Calc!$B654)-SUMIFS(CalcWitB,CalcPartyB,$E657,CalcKeyB,"&lt;="&amp;Calc!$B654)+SUMIFS(CalcDepB,CalcPartyB,$E657,CalcKeyB,"&lt;="&amp;Calc!$B654))</f>
        <v/>
      </c>
      <c r="L657" s="4"/>
    </row>
    <row r="658" spans="1:12" x14ac:dyDescent="0.2">
      <c r="A658" s="3" t="str">
        <f>IF($B658="","",COUNTA($B$9:$B658))</f>
        <v/>
      </c>
      <c r="B658" s="4"/>
      <c r="C658" s="4"/>
      <c r="D658" s="4"/>
      <c r="E658" s="4"/>
      <c r="F658" s="3" t="str">
        <f t="shared" si="21"/>
        <v/>
      </c>
      <c r="G658" s="4"/>
      <c r="H658" s="5"/>
      <c r="I658" s="5"/>
      <c r="J658" s="6" t="str">
        <f t="shared" si="20"/>
        <v/>
      </c>
      <c r="K658" s="6" t="str">
        <f>IF(OR($B658="",$E658="",Calc!$B655=""),"",SUMIFS(CalcAmtA,CalcPartyA,$E658,CalcKeyA,"&lt;="&amp;Calc!$B655)-SUMIFS(CalcWitB,CalcPartyB,$E658,CalcKeyB,"&lt;="&amp;Calc!$B655)+SUMIFS(CalcDepB,CalcPartyB,$E658,CalcKeyB,"&lt;="&amp;Calc!$B655))</f>
        <v/>
      </c>
      <c r="L658" s="4"/>
    </row>
    <row r="659" spans="1:12" x14ac:dyDescent="0.2">
      <c r="A659" s="3" t="str">
        <f>IF($B659="","",COUNTA($B$9:$B659))</f>
        <v/>
      </c>
      <c r="B659" s="4"/>
      <c r="C659" s="4"/>
      <c r="D659" s="4"/>
      <c r="E659" s="4"/>
      <c r="F659" s="3" t="str">
        <f t="shared" si="21"/>
        <v/>
      </c>
      <c r="G659" s="4"/>
      <c r="H659" s="5"/>
      <c r="I659" s="5"/>
      <c r="J659" s="6" t="str">
        <f t="shared" si="20"/>
        <v/>
      </c>
      <c r="K659" s="6" t="str">
        <f>IF(OR($B659="",$E659="",Calc!$B656=""),"",SUMIFS(CalcAmtA,CalcPartyA,$E659,CalcKeyA,"&lt;="&amp;Calc!$B656)-SUMIFS(CalcWitB,CalcPartyB,$E659,CalcKeyB,"&lt;="&amp;Calc!$B656)+SUMIFS(CalcDepB,CalcPartyB,$E659,CalcKeyB,"&lt;="&amp;Calc!$B656))</f>
        <v/>
      </c>
      <c r="L659" s="4"/>
    </row>
    <row r="660" spans="1:12" x14ac:dyDescent="0.2">
      <c r="A660" s="3" t="str">
        <f>IF($B660="","",COUNTA($B$9:$B660))</f>
        <v/>
      </c>
      <c r="B660" s="4"/>
      <c r="C660" s="4"/>
      <c r="D660" s="4"/>
      <c r="E660" s="4"/>
      <c r="F660" s="3" t="str">
        <f t="shared" si="21"/>
        <v/>
      </c>
      <c r="G660" s="4"/>
      <c r="H660" s="5"/>
      <c r="I660" s="5"/>
      <c r="J660" s="6" t="str">
        <f t="shared" si="20"/>
        <v/>
      </c>
      <c r="K660" s="6" t="str">
        <f>IF(OR($B660="",$E660="",Calc!$B657=""),"",SUMIFS(CalcAmtA,CalcPartyA,$E660,CalcKeyA,"&lt;="&amp;Calc!$B657)-SUMIFS(CalcWitB,CalcPartyB,$E660,CalcKeyB,"&lt;="&amp;Calc!$B657)+SUMIFS(CalcDepB,CalcPartyB,$E660,CalcKeyB,"&lt;="&amp;Calc!$B657))</f>
        <v/>
      </c>
      <c r="L660" s="4"/>
    </row>
    <row r="661" spans="1:12" x14ac:dyDescent="0.2">
      <c r="A661" s="3" t="str">
        <f>IF($B661="","",COUNTA($B$9:$B661))</f>
        <v/>
      </c>
      <c r="B661" s="4"/>
      <c r="C661" s="4"/>
      <c r="D661" s="4"/>
      <c r="E661" s="4"/>
      <c r="F661" s="3" t="str">
        <f t="shared" si="21"/>
        <v/>
      </c>
      <c r="G661" s="4"/>
      <c r="H661" s="5"/>
      <c r="I661" s="5"/>
      <c r="J661" s="6" t="str">
        <f t="shared" si="20"/>
        <v/>
      </c>
      <c r="K661" s="6" t="str">
        <f>IF(OR($B661="",$E661="",Calc!$B658=""),"",SUMIFS(CalcAmtA,CalcPartyA,$E661,CalcKeyA,"&lt;="&amp;Calc!$B658)-SUMIFS(CalcWitB,CalcPartyB,$E661,CalcKeyB,"&lt;="&amp;Calc!$B658)+SUMIFS(CalcDepB,CalcPartyB,$E661,CalcKeyB,"&lt;="&amp;Calc!$B658))</f>
        <v/>
      </c>
      <c r="L661" s="4"/>
    </row>
    <row r="662" spans="1:12" x14ac:dyDescent="0.2">
      <c r="A662" s="3" t="str">
        <f>IF($B662="","",COUNTA($B$9:$B662))</f>
        <v/>
      </c>
      <c r="B662" s="4"/>
      <c r="C662" s="4"/>
      <c r="D662" s="4"/>
      <c r="E662" s="4"/>
      <c r="F662" s="3" t="str">
        <f t="shared" si="21"/>
        <v/>
      </c>
      <c r="G662" s="4"/>
      <c r="H662" s="5"/>
      <c r="I662" s="5"/>
      <c r="J662" s="6" t="str">
        <f t="shared" si="20"/>
        <v/>
      </c>
      <c r="K662" s="6" t="str">
        <f>IF(OR($B662="",$E662="",Calc!$B659=""),"",SUMIFS(CalcAmtA,CalcPartyA,$E662,CalcKeyA,"&lt;="&amp;Calc!$B659)-SUMIFS(CalcWitB,CalcPartyB,$E662,CalcKeyB,"&lt;="&amp;Calc!$B659)+SUMIFS(CalcDepB,CalcPartyB,$E662,CalcKeyB,"&lt;="&amp;Calc!$B659))</f>
        <v/>
      </c>
      <c r="L662" s="4"/>
    </row>
    <row r="663" spans="1:12" x14ac:dyDescent="0.2">
      <c r="A663" s="3" t="str">
        <f>IF($B663="","",COUNTA($B$9:$B663))</f>
        <v/>
      </c>
      <c r="B663" s="4"/>
      <c r="C663" s="4"/>
      <c r="D663" s="4"/>
      <c r="E663" s="4"/>
      <c r="F663" s="3" t="str">
        <f t="shared" si="21"/>
        <v/>
      </c>
      <c r="G663" s="4"/>
      <c r="H663" s="5"/>
      <c r="I663" s="5"/>
      <c r="J663" s="6" t="str">
        <f t="shared" si="20"/>
        <v/>
      </c>
      <c r="K663" s="6" t="str">
        <f>IF(OR($B663="",$E663="",Calc!$B660=""),"",SUMIFS(CalcAmtA,CalcPartyA,$E663,CalcKeyA,"&lt;="&amp;Calc!$B660)-SUMIFS(CalcWitB,CalcPartyB,$E663,CalcKeyB,"&lt;="&amp;Calc!$B660)+SUMIFS(CalcDepB,CalcPartyB,$E663,CalcKeyB,"&lt;="&amp;Calc!$B660))</f>
        <v/>
      </c>
      <c r="L663" s="4"/>
    </row>
    <row r="664" spans="1:12" x14ac:dyDescent="0.2">
      <c r="A664" s="3" t="str">
        <f>IF($B664="","",COUNTA($B$9:$B664))</f>
        <v/>
      </c>
      <c r="B664" s="4"/>
      <c r="C664" s="4"/>
      <c r="D664" s="4"/>
      <c r="E664" s="4"/>
      <c r="F664" s="3" t="str">
        <f t="shared" si="21"/>
        <v/>
      </c>
      <c r="G664" s="4"/>
      <c r="H664" s="5"/>
      <c r="I664" s="5"/>
      <c r="J664" s="6" t="str">
        <f t="shared" si="20"/>
        <v/>
      </c>
      <c r="K664" s="6" t="str">
        <f>IF(OR($B664="",$E664="",Calc!$B661=""),"",SUMIFS(CalcAmtA,CalcPartyA,$E664,CalcKeyA,"&lt;="&amp;Calc!$B661)-SUMIFS(CalcWitB,CalcPartyB,$E664,CalcKeyB,"&lt;="&amp;Calc!$B661)+SUMIFS(CalcDepB,CalcPartyB,$E664,CalcKeyB,"&lt;="&amp;Calc!$B661))</f>
        <v/>
      </c>
      <c r="L664" s="4"/>
    </row>
    <row r="665" spans="1:12" x14ac:dyDescent="0.2">
      <c r="A665" s="3" t="str">
        <f>IF($B665="","",COUNTA($B$9:$B665))</f>
        <v/>
      </c>
      <c r="B665" s="4"/>
      <c r="C665" s="4"/>
      <c r="D665" s="4"/>
      <c r="E665" s="4"/>
      <c r="F665" s="3" t="str">
        <f t="shared" si="21"/>
        <v/>
      </c>
      <c r="G665" s="4"/>
      <c r="H665" s="5"/>
      <c r="I665" s="5"/>
      <c r="J665" s="6" t="str">
        <f t="shared" si="20"/>
        <v/>
      </c>
      <c r="K665" s="6" t="str">
        <f>IF(OR($B665="",$E665="",Calc!$B662=""),"",SUMIFS(CalcAmtA,CalcPartyA,$E665,CalcKeyA,"&lt;="&amp;Calc!$B662)-SUMIFS(CalcWitB,CalcPartyB,$E665,CalcKeyB,"&lt;="&amp;Calc!$B662)+SUMIFS(CalcDepB,CalcPartyB,$E665,CalcKeyB,"&lt;="&amp;Calc!$B662))</f>
        <v/>
      </c>
      <c r="L665" s="4"/>
    </row>
    <row r="666" spans="1:12" x14ac:dyDescent="0.2">
      <c r="A666" s="3" t="str">
        <f>IF($B666="","",COUNTA($B$9:$B666))</f>
        <v/>
      </c>
      <c r="B666" s="4"/>
      <c r="C666" s="4"/>
      <c r="D666" s="4"/>
      <c r="E666" s="4"/>
      <c r="F666" s="3" t="str">
        <f t="shared" si="21"/>
        <v/>
      </c>
      <c r="G666" s="4"/>
      <c r="H666" s="5"/>
      <c r="I666" s="5"/>
      <c r="J666" s="6" t="str">
        <f t="shared" si="20"/>
        <v/>
      </c>
      <c r="K666" s="6" t="str">
        <f>IF(OR($B666="",$E666="",Calc!$B663=""),"",SUMIFS(CalcAmtA,CalcPartyA,$E666,CalcKeyA,"&lt;="&amp;Calc!$B663)-SUMIFS(CalcWitB,CalcPartyB,$E666,CalcKeyB,"&lt;="&amp;Calc!$B663)+SUMIFS(CalcDepB,CalcPartyB,$E666,CalcKeyB,"&lt;="&amp;Calc!$B663))</f>
        <v/>
      </c>
      <c r="L666" s="4"/>
    </row>
    <row r="667" spans="1:12" x14ac:dyDescent="0.2">
      <c r="A667" s="3" t="str">
        <f>IF($B667="","",COUNTA($B$9:$B667))</f>
        <v/>
      </c>
      <c r="B667" s="4"/>
      <c r="C667" s="4"/>
      <c r="D667" s="4"/>
      <c r="E667" s="4"/>
      <c r="F667" s="3" t="str">
        <f t="shared" si="21"/>
        <v/>
      </c>
      <c r="G667" s="4"/>
      <c r="H667" s="5"/>
      <c r="I667" s="5"/>
      <c r="J667" s="6" t="str">
        <f t="shared" si="20"/>
        <v/>
      </c>
      <c r="K667" s="6" t="str">
        <f>IF(OR($B667="",$E667="",Calc!$B664=""),"",SUMIFS(CalcAmtA,CalcPartyA,$E667,CalcKeyA,"&lt;="&amp;Calc!$B664)-SUMIFS(CalcWitB,CalcPartyB,$E667,CalcKeyB,"&lt;="&amp;Calc!$B664)+SUMIFS(CalcDepB,CalcPartyB,$E667,CalcKeyB,"&lt;="&amp;Calc!$B664))</f>
        <v/>
      </c>
      <c r="L667" s="4"/>
    </row>
    <row r="668" spans="1:12" x14ac:dyDescent="0.2">
      <c r="A668" s="3" t="str">
        <f>IF($B668="","",COUNTA($B$9:$B668))</f>
        <v/>
      </c>
      <c r="B668" s="4"/>
      <c r="C668" s="4"/>
      <c r="D668" s="4"/>
      <c r="E668" s="4"/>
      <c r="F668" s="3" t="str">
        <f t="shared" si="21"/>
        <v/>
      </c>
      <c r="G668" s="4"/>
      <c r="H668" s="5"/>
      <c r="I668" s="5"/>
      <c r="J668" s="6" t="str">
        <f t="shared" si="20"/>
        <v/>
      </c>
      <c r="K668" s="6" t="str">
        <f>IF(OR($B668="",$E668="",Calc!$B665=""),"",SUMIFS(CalcAmtA,CalcPartyA,$E668,CalcKeyA,"&lt;="&amp;Calc!$B665)-SUMIFS(CalcWitB,CalcPartyB,$E668,CalcKeyB,"&lt;="&amp;Calc!$B665)+SUMIFS(CalcDepB,CalcPartyB,$E668,CalcKeyB,"&lt;="&amp;Calc!$B665))</f>
        <v/>
      </c>
      <c r="L668" s="4"/>
    </row>
    <row r="669" spans="1:12" x14ac:dyDescent="0.2">
      <c r="A669" s="3" t="str">
        <f>IF($B669="","",COUNTA($B$9:$B669))</f>
        <v/>
      </c>
      <c r="B669" s="4"/>
      <c r="C669" s="4"/>
      <c r="D669" s="4"/>
      <c r="E669" s="4"/>
      <c r="F669" s="3" t="str">
        <f t="shared" si="21"/>
        <v/>
      </c>
      <c r="G669" s="4"/>
      <c r="H669" s="5"/>
      <c r="I669" s="5"/>
      <c r="J669" s="6" t="str">
        <f t="shared" si="20"/>
        <v/>
      </c>
      <c r="K669" s="6" t="str">
        <f>IF(OR($B669="",$E669="",Calc!$B666=""),"",SUMIFS(CalcAmtA,CalcPartyA,$E669,CalcKeyA,"&lt;="&amp;Calc!$B666)-SUMIFS(CalcWitB,CalcPartyB,$E669,CalcKeyB,"&lt;="&amp;Calc!$B666)+SUMIFS(CalcDepB,CalcPartyB,$E669,CalcKeyB,"&lt;="&amp;Calc!$B666))</f>
        <v/>
      </c>
      <c r="L669" s="4"/>
    </row>
    <row r="670" spans="1:12" x14ac:dyDescent="0.2">
      <c r="A670" s="3" t="str">
        <f>IF($B670="","",COUNTA($B$9:$B670))</f>
        <v/>
      </c>
      <c r="B670" s="4"/>
      <c r="C670" s="4"/>
      <c r="D670" s="4"/>
      <c r="E670" s="4"/>
      <c r="F670" s="3" t="str">
        <f t="shared" si="21"/>
        <v/>
      </c>
      <c r="G670" s="4"/>
      <c r="H670" s="5"/>
      <c r="I670" s="5"/>
      <c r="J670" s="6" t="str">
        <f t="shared" si="20"/>
        <v/>
      </c>
      <c r="K670" s="6" t="str">
        <f>IF(OR($B670="",$E670="",Calc!$B667=""),"",SUMIFS(CalcAmtA,CalcPartyA,$E670,CalcKeyA,"&lt;="&amp;Calc!$B667)-SUMIFS(CalcWitB,CalcPartyB,$E670,CalcKeyB,"&lt;="&amp;Calc!$B667)+SUMIFS(CalcDepB,CalcPartyB,$E670,CalcKeyB,"&lt;="&amp;Calc!$B667))</f>
        <v/>
      </c>
      <c r="L670" s="4"/>
    </row>
    <row r="671" spans="1:12" x14ac:dyDescent="0.2">
      <c r="A671" s="3" t="str">
        <f>IF($B671="","",COUNTA($B$9:$B671))</f>
        <v/>
      </c>
      <c r="B671" s="4"/>
      <c r="C671" s="4"/>
      <c r="D671" s="4"/>
      <c r="E671" s="4"/>
      <c r="F671" s="3" t="str">
        <f t="shared" si="21"/>
        <v/>
      </c>
      <c r="G671" s="4"/>
      <c r="H671" s="5"/>
      <c r="I671" s="5"/>
      <c r="J671" s="6" t="str">
        <f t="shared" si="20"/>
        <v/>
      </c>
      <c r="K671" s="6" t="str">
        <f>IF(OR($B671="",$E671="",Calc!$B668=""),"",SUMIFS(CalcAmtA,CalcPartyA,$E671,CalcKeyA,"&lt;="&amp;Calc!$B668)-SUMIFS(CalcWitB,CalcPartyB,$E671,CalcKeyB,"&lt;="&amp;Calc!$B668)+SUMIFS(CalcDepB,CalcPartyB,$E671,CalcKeyB,"&lt;="&amp;Calc!$B668))</f>
        <v/>
      </c>
      <c r="L671" s="4"/>
    </row>
    <row r="672" spans="1:12" x14ac:dyDescent="0.2">
      <c r="A672" s="3" t="str">
        <f>IF($B672="","",COUNTA($B$9:$B672))</f>
        <v/>
      </c>
      <c r="B672" s="4"/>
      <c r="C672" s="4"/>
      <c r="D672" s="4"/>
      <c r="E672" s="4"/>
      <c r="F672" s="3" t="str">
        <f t="shared" si="21"/>
        <v/>
      </c>
      <c r="G672" s="4"/>
      <c r="H672" s="5"/>
      <c r="I672" s="5"/>
      <c r="J672" s="6" t="str">
        <f t="shared" si="20"/>
        <v/>
      </c>
      <c r="K672" s="6" t="str">
        <f>IF(OR($B672="",$E672="",Calc!$B669=""),"",SUMIFS(CalcAmtA,CalcPartyA,$E672,CalcKeyA,"&lt;="&amp;Calc!$B669)-SUMIFS(CalcWitB,CalcPartyB,$E672,CalcKeyB,"&lt;="&amp;Calc!$B669)+SUMIFS(CalcDepB,CalcPartyB,$E672,CalcKeyB,"&lt;="&amp;Calc!$B669))</f>
        <v/>
      </c>
      <c r="L672" s="4"/>
    </row>
    <row r="673" spans="1:12" x14ac:dyDescent="0.2">
      <c r="A673" s="3" t="str">
        <f>IF($B673="","",COUNTA($B$9:$B673))</f>
        <v/>
      </c>
      <c r="B673" s="4"/>
      <c r="C673" s="4"/>
      <c r="D673" s="4"/>
      <c r="E673" s="4"/>
      <c r="F673" s="3" t="str">
        <f t="shared" si="21"/>
        <v/>
      </c>
      <c r="G673" s="4"/>
      <c r="H673" s="5"/>
      <c r="I673" s="5"/>
      <c r="J673" s="6" t="str">
        <f t="shared" si="20"/>
        <v/>
      </c>
      <c r="K673" s="6" t="str">
        <f>IF(OR($B673="",$E673="",Calc!$B670=""),"",SUMIFS(CalcAmtA,CalcPartyA,$E673,CalcKeyA,"&lt;="&amp;Calc!$B670)-SUMIFS(CalcWitB,CalcPartyB,$E673,CalcKeyB,"&lt;="&amp;Calc!$B670)+SUMIFS(CalcDepB,CalcPartyB,$E673,CalcKeyB,"&lt;="&amp;Calc!$B670))</f>
        <v/>
      </c>
      <c r="L673" s="4"/>
    </row>
    <row r="674" spans="1:12" x14ac:dyDescent="0.2">
      <c r="A674" s="3" t="str">
        <f>IF($B674="","",COUNTA($B$9:$B674))</f>
        <v/>
      </c>
      <c r="B674" s="4"/>
      <c r="C674" s="4"/>
      <c r="D674" s="4"/>
      <c r="E674" s="4"/>
      <c r="F674" s="3" t="str">
        <f t="shared" si="21"/>
        <v/>
      </c>
      <c r="G674" s="4"/>
      <c r="H674" s="5"/>
      <c r="I674" s="5"/>
      <c r="J674" s="6" t="str">
        <f t="shared" si="20"/>
        <v/>
      </c>
      <c r="K674" s="6" t="str">
        <f>IF(OR($B674="",$E674="",Calc!$B671=""),"",SUMIFS(CalcAmtA,CalcPartyA,$E674,CalcKeyA,"&lt;="&amp;Calc!$B671)-SUMIFS(CalcWitB,CalcPartyB,$E674,CalcKeyB,"&lt;="&amp;Calc!$B671)+SUMIFS(CalcDepB,CalcPartyB,$E674,CalcKeyB,"&lt;="&amp;Calc!$B671))</f>
        <v/>
      </c>
      <c r="L674" s="4"/>
    </row>
    <row r="675" spans="1:12" x14ac:dyDescent="0.2">
      <c r="A675" s="3" t="str">
        <f>IF($B675="","",COUNTA($B$9:$B675))</f>
        <v/>
      </c>
      <c r="B675" s="4"/>
      <c r="C675" s="4"/>
      <c r="D675" s="4"/>
      <c r="E675" s="4"/>
      <c r="F675" s="3" t="str">
        <f t="shared" si="21"/>
        <v/>
      </c>
      <c r="G675" s="4"/>
      <c r="H675" s="5"/>
      <c r="I675" s="5"/>
      <c r="J675" s="6" t="str">
        <f t="shared" si="20"/>
        <v/>
      </c>
      <c r="K675" s="6" t="str">
        <f>IF(OR($B675="",$E675="",Calc!$B672=""),"",SUMIFS(CalcAmtA,CalcPartyA,$E675,CalcKeyA,"&lt;="&amp;Calc!$B672)-SUMIFS(CalcWitB,CalcPartyB,$E675,CalcKeyB,"&lt;="&amp;Calc!$B672)+SUMIFS(CalcDepB,CalcPartyB,$E675,CalcKeyB,"&lt;="&amp;Calc!$B672))</f>
        <v/>
      </c>
      <c r="L675" s="4"/>
    </row>
    <row r="676" spans="1:12" x14ac:dyDescent="0.2">
      <c r="A676" s="3" t="str">
        <f>IF($B676="","",COUNTA($B$9:$B676))</f>
        <v/>
      </c>
      <c r="B676" s="4"/>
      <c r="C676" s="4"/>
      <c r="D676" s="4"/>
      <c r="E676" s="4"/>
      <c r="F676" s="3" t="str">
        <f t="shared" si="21"/>
        <v/>
      </c>
      <c r="G676" s="4"/>
      <c r="H676" s="5"/>
      <c r="I676" s="5"/>
      <c r="J676" s="6" t="str">
        <f t="shared" si="20"/>
        <v/>
      </c>
      <c r="K676" s="6" t="str">
        <f>IF(OR($B676="",$E676="",Calc!$B673=""),"",SUMIFS(CalcAmtA,CalcPartyA,$E676,CalcKeyA,"&lt;="&amp;Calc!$B673)-SUMIFS(CalcWitB,CalcPartyB,$E676,CalcKeyB,"&lt;="&amp;Calc!$B673)+SUMIFS(CalcDepB,CalcPartyB,$E676,CalcKeyB,"&lt;="&amp;Calc!$B673))</f>
        <v/>
      </c>
      <c r="L676" s="4"/>
    </row>
    <row r="677" spans="1:12" x14ac:dyDescent="0.2">
      <c r="A677" s="3" t="str">
        <f>IF($B677="","",COUNTA($B$9:$B677))</f>
        <v/>
      </c>
      <c r="B677" s="4"/>
      <c r="C677" s="4"/>
      <c r="D677" s="4"/>
      <c r="E677" s="4"/>
      <c r="F677" s="3" t="str">
        <f t="shared" si="21"/>
        <v/>
      </c>
      <c r="G677" s="4"/>
      <c r="H677" s="5"/>
      <c r="I677" s="5"/>
      <c r="J677" s="6" t="str">
        <f t="shared" si="20"/>
        <v/>
      </c>
      <c r="K677" s="6" t="str">
        <f>IF(OR($B677="",$E677="",Calc!$B674=""),"",SUMIFS(CalcAmtA,CalcPartyA,$E677,CalcKeyA,"&lt;="&amp;Calc!$B674)-SUMIFS(CalcWitB,CalcPartyB,$E677,CalcKeyB,"&lt;="&amp;Calc!$B674)+SUMIFS(CalcDepB,CalcPartyB,$E677,CalcKeyB,"&lt;="&amp;Calc!$B674))</f>
        <v/>
      </c>
      <c r="L677" s="4"/>
    </row>
    <row r="678" spans="1:12" x14ac:dyDescent="0.2">
      <c r="A678" s="3" t="str">
        <f>IF($B678="","",COUNTA($B$9:$B678))</f>
        <v/>
      </c>
      <c r="B678" s="4"/>
      <c r="C678" s="4"/>
      <c r="D678" s="4"/>
      <c r="E678" s="4"/>
      <c r="F678" s="3" t="str">
        <f t="shared" si="21"/>
        <v/>
      </c>
      <c r="G678" s="4"/>
      <c r="H678" s="5"/>
      <c r="I678" s="5"/>
      <c r="J678" s="6" t="str">
        <f t="shared" si="20"/>
        <v/>
      </c>
      <c r="K678" s="6" t="str">
        <f>IF(OR($B678="",$E678="",Calc!$B675=""),"",SUMIFS(CalcAmtA,CalcPartyA,$E678,CalcKeyA,"&lt;="&amp;Calc!$B675)-SUMIFS(CalcWitB,CalcPartyB,$E678,CalcKeyB,"&lt;="&amp;Calc!$B675)+SUMIFS(CalcDepB,CalcPartyB,$E678,CalcKeyB,"&lt;="&amp;Calc!$B675))</f>
        <v/>
      </c>
      <c r="L678" s="4"/>
    </row>
    <row r="679" spans="1:12" x14ac:dyDescent="0.2">
      <c r="A679" s="3" t="str">
        <f>IF($B679="","",COUNTA($B$9:$B679))</f>
        <v/>
      </c>
      <c r="B679" s="4"/>
      <c r="C679" s="4"/>
      <c r="D679" s="4"/>
      <c r="E679" s="4"/>
      <c r="F679" s="3" t="str">
        <f t="shared" si="21"/>
        <v/>
      </c>
      <c r="G679" s="4"/>
      <c r="H679" s="5"/>
      <c r="I679" s="5"/>
      <c r="J679" s="6" t="str">
        <f t="shared" si="20"/>
        <v/>
      </c>
      <c r="K679" s="6" t="str">
        <f>IF(OR($B679="",$E679="",Calc!$B676=""),"",SUMIFS(CalcAmtA,CalcPartyA,$E679,CalcKeyA,"&lt;="&amp;Calc!$B676)-SUMIFS(CalcWitB,CalcPartyB,$E679,CalcKeyB,"&lt;="&amp;Calc!$B676)+SUMIFS(CalcDepB,CalcPartyB,$E679,CalcKeyB,"&lt;="&amp;Calc!$B676))</f>
        <v/>
      </c>
      <c r="L679" s="4"/>
    </row>
    <row r="680" spans="1:12" x14ac:dyDescent="0.2">
      <c r="A680" s="3" t="str">
        <f>IF($B680="","",COUNTA($B$9:$B680))</f>
        <v/>
      </c>
      <c r="B680" s="4"/>
      <c r="C680" s="4"/>
      <c r="D680" s="4"/>
      <c r="E680" s="4"/>
      <c r="F680" s="3" t="str">
        <f t="shared" si="21"/>
        <v/>
      </c>
      <c r="G680" s="4"/>
      <c r="H680" s="5"/>
      <c r="I680" s="5"/>
      <c r="J680" s="6" t="str">
        <f t="shared" si="20"/>
        <v/>
      </c>
      <c r="K680" s="6" t="str">
        <f>IF(OR($B680="",$E680="",Calc!$B677=""),"",SUMIFS(CalcAmtA,CalcPartyA,$E680,CalcKeyA,"&lt;="&amp;Calc!$B677)-SUMIFS(CalcWitB,CalcPartyB,$E680,CalcKeyB,"&lt;="&amp;Calc!$B677)+SUMIFS(CalcDepB,CalcPartyB,$E680,CalcKeyB,"&lt;="&amp;Calc!$B677))</f>
        <v/>
      </c>
      <c r="L680" s="4"/>
    </row>
    <row r="681" spans="1:12" x14ac:dyDescent="0.2">
      <c r="A681" s="3" t="str">
        <f>IF($B681="","",COUNTA($B$9:$B681))</f>
        <v/>
      </c>
      <c r="B681" s="4"/>
      <c r="C681" s="4"/>
      <c r="D681" s="4"/>
      <c r="E681" s="4"/>
      <c r="F681" s="3" t="str">
        <f t="shared" si="21"/>
        <v/>
      </c>
      <c r="G681" s="4"/>
      <c r="H681" s="5"/>
      <c r="I681" s="5"/>
      <c r="J681" s="6" t="str">
        <f t="shared" si="20"/>
        <v/>
      </c>
      <c r="K681" s="6" t="str">
        <f>IF(OR($B681="",$E681="",Calc!$B678=""),"",SUMIFS(CalcAmtA,CalcPartyA,$E681,CalcKeyA,"&lt;="&amp;Calc!$B678)-SUMIFS(CalcWitB,CalcPartyB,$E681,CalcKeyB,"&lt;="&amp;Calc!$B678)+SUMIFS(CalcDepB,CalcPartyB,$E681,CalcKeyB,"&lt;="&amp;Calc!$B678))</f>
        <v/>
      </c>
      <c r="L681" s="4"/>
    </row>
    <row r="682" spans="1:12" x14ac:dyDescent="0.2">
      <c r="A682" s="3" t="str">
        <f>IF($B682="","",COUNTA($B$9:$B682))</f>
        <v/>
      </c>
      <c r="B682" s="4"/>
      <c r="C682" s="4"/>
      <c r="D682" s="4"/>
      <c r="E682" s="4"/>
      <c r="F682" s="3" t="str">
        <f t="shared" si="21"/>
        <v/>
      </c>
      <c r="G682" s="4"/>
      <c r="H682" s="5"/>
      <c r="I682" s="5"/>
      <c r="J682" s="6" t="str">
        <f t="shared" si="20"/>
        <v/>
      </c>
      <c r="K682" s="6" t="str">
        <f>IF(OR($B682="",$E682="",Calc!$B679=""),"",SUMIFS(CalcAmtA,CalcPartyA,$E682,CalcKeyA,"&lt;="&amp;Calc!$B679)-SUMIFS(CalcWitB,CalcPartyB,$E682,CalcKeyB,"&lt;="&amp;Calc!$B679)+SUMIFS(CalcDepB,CalcPartyB,$E682,CalcKeyB,"&lt;="&amp;Calc!$B679))</f>
        <v/>
      </c>
      <c r="L682" s="4"/>
    </row>
    <row r="683" spans="1:12" x14ac:dyDescent="0.2">
      <c r="A683" s="3" t="str">
        <f>IF($B683="","",COUNTA($B$9:$B683))</f>
        <v/>
      </c>
      <c r="B683" s="4"/>
      <c r="C683" s="4"/>
      <c r="D683" s="4"/>
      <c r="E683" s="4"/>
      <c r="F683" s="3" t="str">
        <f t="shared" si="21"/>
        <v/>
      </c>
      <c r="G683" s="4"/>
      <c r="H683" s="5"/>
      <c r="I683" s="5"/>
      <c r="J683" s="6" t="str">
        <f t="shared" si="20"/>
        <v/>
      </c>
      <c r="K683" s="6" t="str">
        <f>IF(OR($B683="",$E683="",Calc!$B680=""),"",SUMIFS(CalcAmtA,CalcPartyA,$E683,CalcKeyA,"&lt;="&amp;Calc!$B680)-SUMIFS(CalcWitB,CalcPartyB,$E683,CalcKeyB,"&lt;="&amp;Calc!$B680)+SUMIFS(CalcDepB,CalcPartyB,$E683,CalcKeyB,"&lt;="&amp;Calc!$B680))</f>
        <v/>
      </c>
      <c r="L683" s="4"/>
    </row>
    <row r="684" spans="1:12" x14ac:dyDescent="0.2">
      <c r="A684" s="3" t="str">
        <f>IF($B684="","",COUNTA($B$9:$B684))</f>
        <v/>
      </c>
      <c r="B684" s="4"/>
      <c r="C684" s="4"/>
      <c r="D684" s="4"/>
      <c r="E684" s="4"/>
      <c r="F684" s="3" t="str">
        <f t="shared" si="21"/>
        <v/>
      </c>
      <c r="G684" s="4"/>
      <c r="H684" s="5"/>
      <c r="I684" s="5"/>
      <c r="J684" s="6" t="str">
        <f t="shared" si="20"/>
        <v/>
      </c>
      <c r="K684" s="6" t="str">
        <f>IF(OR($B684="",$E684="",Calc!$B681=""),"",SUMIFS(CalcAmtA,CalcPartyA,$E684,CalcKeyA,"&lt;="&amp;Calc!$B681)-SUMIFS(CalcWitB,CalcPartyB,$E684,CalcKeyB,"&lt;="&amp;Calc!$B681)+SUMIFS(CalcDepB,CalcPartyB,$E684,CalcKeyB,"&lt;="&amp;Calc!$B681))</f>
        <v/>
      </c>
      <c r="L684" s="4"/>
    </row>
    <row r="685" spans="1:12" x14ac:dyDescent="0.2">
      <c r="A685" s="3" t="str">
        <f>IF($B685="","",COUNTA($B$9:$B685))</f>
        <v/>
      </c>
      <c r="B685" s="4"/>
      <c r="C685" s="4"/>
      <c r="D685" s="4"/>
      <c r="E685" s="4"/>
      <c r="F685" s="3" t="str">
        <f t="shared" si="21"/>
        <v/>
      </c>
      <c r="G685" s="4"/>
      <c r="H685" s="5"/>
      <c r="I685" s="5"/>
      <c r="J685" s="6" t="str">
        <f t="shared" si="20"/>
        <v/>
      </c>
      <c r="K685" s="6" t="str">
        <f>IF(OR($B685="",$E685="",Calc!$B682=""),"",SUMIFS(CalcAmtA,CalcPartyA,$E685,CalcKeyA,"&lt;="&amp;Calc!$B682)-SUMIFS(CalcWitB,CalcPartyB,$E685,CalcKeyB,"&lt;="&amp;Calc!$B682)+SUMIFS(CalcDepB,CalcPartyB,$E685,CalcKeyB,"&lt;="&amp;Calc!$B682))</f>
        <v/>
      </c>
      <c r="L685" s="4"/>
    </row>
    <row r="686" spans="1:12" x14ac:dyDescent="0.2">
      <c r="A686" s="3" t="str">
        <f>IF($B686="","",COUNTA($B$9:$B686))</f>
        <v/>
      </c>
      <c r="B686" s="4"/>
      <c r="C686" s="4"/>
      <c r="D686" s="4"/>
      <c r="E686" s="4"/>
      <c r="F686" s="3" t="str">
        <f t="shared" si="21"/>
        <v/>
      </c>
      <c r="G686" s="4"/>
      <c r="H686" s="5"/>
      <c r="I686" s="5"/>
      <c r="J686" s="6" t="str">
        <f t="shared" si="20"/>
        <v/>
      </c>
      <c r="K686" s="6" t="str">
        <f>IF(OR($B686="",$E686="",Calc!$B683=""),"",SUMIFS(CalcAmtA,CalcPartyA,$E686,CalcKeyA,"&lt;="&amp;Calc!$B683)-SUMIFS(CalcWitB,CalcPartyB,$E686,CalcKeyB,"&lt;="&amp;Calc!$B683)+SUMIFS(CalcDepB,CalcPartyB,$E686,CalcKeyB,"&lt;="&amp;Calc!$B683))</f>
        <v/>
      </c>
      <c r="L686" s="4"/>
    </row>
    <row r="687" spans="1:12" x14ac:dyDescent="0.2">
      <c r="A687" s="3" t="str">
        <f>IF($B687="","",COUNTA($B$9:$B687))</f>
        <v/>
      </c>
      <c r="B687" s="4"/>
      <c r="C687" s="4"/>
      <c r="D687" s="4"/>
      <c r="E687" s="4"/>
      <c r="F687" s="3" t="str">
        <f t="shared" si="21"/>
        <v/>
      </c>
      <c r="G687" s="4"/>
      <c r="H687" s="5"/>
      <c r="I687" s="5"/>
      <c r="J687" s="6" t="str">
        <f t="shared" si="20"/>
        <v/>
      </c>
      <c r="K687" s="6" t="str">
        <f>IF(OR($B687="",$E687="",Calc!$B684=""),"",SUMIFS(CalcAmtA,CalcPartyA,$E687,CalcKeyA,"&lt;="&amp;Calc!$B684)-SUMIFS(CalcWitB,CalcPartyB,$E687,CalcKeyB,"&lt;="&amp;Calc!$B684)+SUMIFS(CalcDepB,CalcPartyB,$E687,CalcKeyB,"&lt;="&amp;Calc!$B684))</f>
        <v/>
      </c>
      <c r="L687" s="4"/>
    </row>
    <row r="688" spans="1:12" x14ac:dyDescent="0.2">
      <c r="A688" s="3" t="str">
        <f>IF($B688="","",COUNTA($B$9:$B688))</f>
        <v/>
      </c>
      <c r="B688" s="4"/>
      <c r="C688" s="4"/>
      <c r="D688" s="4"/>
      <c r="E688" s="4"/>
      <c r="F688" s="3" t="str">
        <f t="shared" si="21"/>
        <v/>
      </c>
      <c r="G688" s="4"/>
      <c r="H688" s="5"/>
      <c r="I688" s="5"/>
      <c r="J688" s="6" t="str">
        <f t="shared" si="20"/>
        <v/>
      </c>
      <c r="K688" s="6" t="str">
        <f>IF(OR($B688="",$E688="",Calc!$B685=""),"",SUMIFS(CalcAmtA,CalcPartyA,$E688,CalcKeyA,"&lt;="&amp;Calc!$B685)-SUMIFS(CalcWitB,CalcPartyB,$E688,CalcKeyB,"&lt;="&amp;Calc!$B685)+SUMIFS(CalcDepB,CalcPartyB,$E688,CalcKeyB,"&lt;="&amp;Calc!$B685))</f>
        <v/>
      </c>
      <c r="L688" s="4"/>
    </row>
    <row r="689" spans="1:12" x14ac:dyDescent="0.2">
      <c r="A689" s="3" t="str">
        <f>IF($B689="","",COUNTA($B$9:$B689))</f>
        <v/>
      </c>
      <c r="B689" s="4"/>
      <c r="C689" s="4"/>
      <c r="D689" s="4"/>
      <c r="E689" s="4"/>
      <c r="F689" s="3" t="str">
        <f t="shared" si="21"/>
        <v/>
      </c>
      <c r="G689" s="4"/>
      <c r="H689" s="5"/>
      <c r="I689" s="5"/>
      <c r="J689" s="6" t="str">
        <f t="shared" si="20"/>
        <v/>
      </c>
      <c r="K689" s="6" t="str">
        <f>IF(OR($B689="",$E689="",Calc!$B686=""),"",SUMIFS(CalcAmtA,CalcPartyA,$E689,CalcKeyA,"&lt;="&amp;Calc!$B686)-SUMIFS(CalcWitB,CalcPartyB,$E689,CalcKeyB,"&lt;="&amp;Calc!$B686)+SUMIFS(CalcDepB,CalcPartyB,$E689,CalcKeyB,"&lt;="&amp;Calc!$B686))</f>
        <v/>
      </c>
      <c r="L689" s="4"/>
    </row>
    <row r="690" spans="1:12" x14ac:dyDescent="0.2">
      <c r="A690" s="3" t="str">
        <f>IF($B690="","",COUNTA($B$9:$B690))</f>
        <v/>
      </c>
      <c r="B690" s="4"/>
      <c r="C690" s="4"/>
      <c r="D690" s="4"/>
      <c r="E690" s="4"/>
      <c r="F690" s="3" t="str">
        <f t="shared" si="21"/>
        <v/>
      </c>
      <c r="G690" s="4"/>
      <c r="H690" s="5"/>
      <c r="I690" s="5"/>
      <c r="J690" s="6" t="str">
        <f t="shared" si="20"/>
        <v/>
      </c>
      <c r="K690" s="6" t="str">
        <f>IF(OR($B690="",$E690="",Calc!$B687=""),"",SUMIFS(CalcAmtA,CalcPartyA,$E690,CalcKeyA,"&lt;="&amp;Calc!$B687)-SUMIFS(CalcWitB,CalcPartyB,$E690,CalcKeyB,"&lt;="&amp;Calc!$B687)+SUMIFS(CalcDepB,CalcPartyB,$E690,CalcKeyB,"&lt;="&amp;Calc!$B687))</f>
        <v/>
      </c>
      <c r="L690" s="4"/>
    </row>
    <row r="691" spans="1:12" x14ac:dyDescent="0.2">
      <c r="A691" s="3" t="str">
        <f>IF($B691="","",COUNTA($B$9:$B691))</f>
        <v/>
      </c>
      <c r="B691" s="4"/>
      <c r="C691" s="4"/>
      <c r="D691" s="4"/>
      <c r="E691" s="4"/>
      <c r="F691" s="3" t="str">
        <f t="shared" si="21"/>
        <v/>
      </c>
      <c r="G691" s="4"/>
      <c r="H691" s="5"/>
      <c r="I691" s="5"/>
      <c r="J691" s="6" t="str">
        <f t="shared" si="20"/>
        <v/>
      </c>
      <c r="K691" s="6" t="str">
        <f>IF(OR($B691="",$E691="",Calc!$B688=""),"",SUMIFS(CalcAmtA,CalcPartyA,$E691,CalcKeyA,"&lt;="&amp;Calc!$B688)-SUMIFS(CalcWitB,CalcPartyB,$E691,CalcKeyB,"&lt;="&amp;Calc!$B688)+SUMIFS(CalcDepB,CalcPartyB,$E691,CalcKeyB,"&lt;="&amp;Calc!$B688))</f>
        <v/>
      </c>
      <c r="L691" s="4"/>
    </row>
    <row r="692" spans="1:12" x14ac:dyDescent="0.2">
      <c r="A692" s="3" t="str">
        <f>IF($B692="","",COUNTA($B$9:$B692))</f>
        <v/>
      </c>
      <c r="B692" s="4"/>
      <c r="C692" s="4"/>
      <c r="D692" s="4"/>
      <c r="E692" s="4"/>
      <c r="F692" s="3" t="str">
        <f t="shared" si="21"/>
        <v/>
      </c>
      <c r="G692" s="4"/>
      <c r="H692" s="5"/>
      <c r="I692" s="5"/>
      <c r="J692" s="6" t="str">
        <f t="shared" si="20"/>
        <v/>
      </c>
      <c r="K692" s="6" t="str">
        <f>IF(OR($B692="",$E692="",Calc!$B689=""),"",SUMIFS(CalcAmtA,CalcPartyA,$E692,CalcKeyA,"&lt;="&amp;Calc!$B689)-SUMIFS(CalcWitB,CalcPartyB,$E692,CalcKeyB,"&lt;="&amp;Calc!$B689)+SUMIFS(CalcDepB,CalcPartyB,$E692,CalcKeyB,"&lt;="&amp;Calc!$B689))</f>
        <v/>
      </c>
      <c r="L692" s="4"/>
    </row>
    <row r="693" spans="1:12" x14ac:dyDescent="0.2">
      <c r="A693" s="3" t="str">
        <f>IF($B693="","",COUNTA($B$9:$B693))</f>
        <v/>
      </c>
      <c r="B693" s="4"/>
      <c r="C693" s="4"/>
      <c r="D693" s="4"/>
      <c r="E693" s="4"/>
      <c r="F693" s="3" t="str">
        <f t="shared" si="21"/>
        <v/>
      </c>
      <c r="G693" s="4"/>
      <c r="H693" s="5"/>
      <c r="I693" s="5"/>
      <c r="J693" s="6" t="str">
        <f t="shared" si="20"/>
        <v/>
      </c>
      <c r="K693" s="6" t="str">
        <f>IF(OR($B693="",$E693="",Calc!$B690=""),"",SUMIFS(CalcAmtA,CalcPartyA,$E693,CalcKeyA,"&lt;="&amp;Calc!$B690)-SUMIFS(CalcWitB,CalcPartyB,$E693,CalcKeyB,"&lt;="&amp;Calc!$B690)+SUMIFS(CalcDepB,CalcPartyB,$E693,CalcKeyB,"&lt;="&amp;Calc!$B690))</f>
        <v/>
      </c>
      <c r="L693" s="4"/>
    </row>
    <row r="694" spans="1:12" x14ac:dyDescent="0.2">
      <c r="A694" s="3" t="str">
        <f>IF($B694="","",COUNTA($B$9:$B694))</f>
        <v/>
      </c>
      <c r="B694" s="4"/>
      <c r="C694" s="4"/>
      <c r="D694" s="4"/>
      <c r="E694" s="4"/>
      <c r="F694" s="3" t="str">
        <f t="shared" si="21"/>
        <v/>
      </c>
      <c r="G694" s="4"/>
      <c r="H694" s="5"/>
      <c r="I694" s="5"/>
      <c r="J694" s="6" t="str">
        <f t="shared" si="20"/>
        <v/>
      </c>
      <c r="K694" s="6" t="str">
        <f>IF(OR($B694="",$E694="",Calc!$B691=""),"",SUMIFS(CalcAmtA,CalcPartyA,$E694,CalcKeyA,"&lt;="&amp;Calc!$B691)-SUMIFS(CalcWitB,CalcPartyB,$E694,CalcKeyB,"&lt;="&amp;Calc!$B691)+SUMIFS(CalcDepB,CalcPartyB,$E694,CalcKeyB,"&lt;="&amp;Calc!$B691))</f>
        <v/>
      </c>
      <c r="L694" s="4"/>
    </row>
    <row r="695" spans="1:12" x14ac:dyDescent="0.2">
      <c r="A695" s="3" t="str">
        <f>IF($B695="","",COUNTA($B$9:$B695))</f>
        <v/>
      </c>
      <c r="B695" s="4"/>
      <c r="C695" s="4"/>
      <c r="D695" s="4"/>
      <c r="E695" s="4"/>
      <c r="F695" s="3" t="str">
        <f t="shared" si="21"/>
        <v/>
      </c>
      <c r="G695" s="4"/>
      <c r="H695" s="5"/>
      <c r="I695" s="5"/>
      <c r="J695" s="6" t="str">
        <f t="shared" si="20"/>
        <v/>
      </c>
      <c r="K695" s="6" t="str">
        <f>IF(OR($B695="",$E695="",Calc!$B692=""),"",SUMIFS(CalcAmtA,CalcPartyA,$E695,CalcKeyA,"&lt;="&amp;Calc!$B692)-SUMIFS(CalcWitB,CalcPartyB,$E695,CalcKeyB,"&lt;="&amp;Calc!$B692)+SUMIFS(CalcDepB,CalcPartyB,$E695,CalcKeyB,"&lt;="&amp;Calc!$B692))</f>
        <v/>
      </c>
      <c r="L695" s="4"/>
    </row>
    <row r="696" spans="1:12" x14ac:dyDescent="0.2">
      <c r="A696" s="3" t="str">
        <f>IF($B696="","",COUNTA($B$9:$B696))</f>
        <v/>
      </c>
      <c r="B696" s="4"/>
      <c r="C696" s="4"/>
      <c r="D696" s="4"/>
      <c r="E696" s="4"/>
      <c r="F696" s="3" t="str">
        <f t="shared" si="21"/>
        <v/>
      </c>
      <c r="G696" s="4"/>
      <c r="H696" s="5"/>
      <c r="I696" s="5"/>
      <c r="J696" s="6" t="str">
        <f t="shared" si="20"/>
        <v/>
      </c>
      <c r="K696" s="6" t="str">
        <f>IF(OR($B696="",$E696="",Calc!$B693=""),"",SUMIFS(CalcAmtA,CalcPartyA,$E696,CalcKeyA,"&lt;="&amp;Calc!$B693)-SUMIFS(CalcWitB,CalcPartyB,$E696,CalcKeyB,"&lt;="&amp;Calc!$B693)+SUMIFS(CalcDepB,CalcPartyB,$E696,CalcKeyB,"&lt;="&amp;Calc!$B693))</f>
        <v/>
      </c>
      <c r="L696" s="4"/>
    </row>
    <row r="697" spans="1:12" x14ac:dyDescent="0.2">
      <c r="A697" s="3" t="str">
        <f>IF($B697="","",COUNTA($B$9:$B697))</f>
        <v/>
      </c>
      <c r="B697" s="4"/>
      <c r="C697" s="4"/>
      <c r="D697" s="4"/>
      <c r="E697" s="4"/>
      <c r="F697" s="3" t="str">
        <f t="shared" si="21"/>
        <v/>
      </c>
      <c r="G697" s="4"/>
      <c r="H697" s="5"/>
      <c r="I697" s="5"/>
      <c r="J697" s="6" t="str">
        <f t="shared" si="20"/>
        <v/>
      </c>
      <c r="K697" s="6" t="str">
        <f>IF(OR($B697="",$E697="",Calc!$B694=""),"",SUMIFS(CalcAmtA,CalcPartyA,$E697,CalcKeyA,"&lt;="&amp;Calc!$B694)-SUMIFS(CalcWitB,CalcPartyB,$E697,CalcKeyB,"&lt;="&amp;Calc!$B694)+SUMIFS(CalcDepB,CalcPartyB,$E697,CalcKeyB,"&lt;="&amp;Calc!$B694))</f>
        <v/>
      </c>
      <c r="L697" s="4"/>
    </row>
    <row r="698" spans="1:12" x14ac:dyDescent="0.2">
      <c r="A698" s="3" t="str">
        <f>IF($B698="","",COUNTA($B$9:$B698))</f>
        <v/>
      </c>
      <c r="B698" s="4"/>
      <c r="C698" s="4"/>
      <c r="D698" s="4"/>
      <c r="E698" s="4"/>
      <c r="F698" s="3" t="str">
        <f t="shared" si="21"/>
        <v/>
      </c>
      <c r="G698" s="4"/>
      <c r="H698" s="5"/>
      <c r="I698" s="5"/>
      <c r="J698" s="6" t="str">
        <f t="shared" si="20"/>
        <v/>
      </c>
      <c r="K698" s="6" t="str">
        <f>IF(OR($B698="",$E698="",Calc!$B695=""),"",SUMIFS(CalcAmtA,CalcPartyA,$E698,CalcKeyA,"&lt;="&amp;Calc!$B695)-SUMIFS(CalcWitB,CalcPartyB,$E698,CalcKeyB,"&lt;="&amp;Calc!$B695)+SUMIFS(CalcDepB,CalcPartyB,$E698,CalcKeyB,"&lt;="&amp;Calc!$B695))</f>
        <v/>
      </c>
      <c r="L698" s="4"/>
    </row>
    <row r="699" spans="1:12" x14ac:dyDescent="0.2">
      <c r="A699" s="3" t="str">
        <f>IF($B699="","",COUNTA($B$9:$B699))</f>
        <v/>
      </c>
      <c r="B699" s="4"/>
      <c r="C699" s="4"/>
      <c r="D699" s="4"/>
      <c r="E699" s="4"/>
      <c r="F699" s="3" t="str">
        <f t="shared" si="21"/>
        <v/>
      </c>
      <c r="G699" s="4"/>
      <c r="H699" s="5"/>
      <c r="I699" s="5"/>
      <c r="J699" s="6" t="str">
        <f t="shared" si="20"/>
        <v/>
      </c>
      <c r="K699" s="6" t="str">
        <f>IF(OR($B699="",$E699="",Calc!$B696=""),"",SUMIFS(CalcAmtA,CalcPartyA,$E699,CalcKeyA,"&lt;="&amp;Calc!$B696)-SUMIFS(CalcWitB,CalcPartyB,$E699,CalcKeyB,"&lt;="&amp;Calc!$B696)+SUMIFS(CalcDepB,CalcPartyB,$E699,CalcKeyB,"&lt;="&amp;Calc!$B696))</f>
        <v/>
      </c>
      <c r="L699" s="4"/>
    </row>
    <row r="700" spans="1:12" x14ac:dyDescent="0.2">
      <c r="A700" s="3" t="str">
        <f>IF($B700="","",COUNTA($B$9:$B700))</f>
        <v/>
      </c>
      <c r="B700" s="4"/>
      <c r="C700" s="4"/>
      <c r="D700" s="4"/>
      <c r="E700" s="4"/>
      <c r="F700" s="3" t="str">
        <f t="shared" si="21"/>
        <v/>
      </c>
      <c r="G700" s="4"/>
      <c r="H700" s="5"/>
      <c r="I700" s="5"/>
      <c r="J700" s="6" t="str">
        <f t="shared" si="20"/>
        <v/>
      </c>
      <c r="K700" s="6" t="str">
        <f>IF(OR($B700="",$E700="",Calc!$B697=""),"",SUMIFS(CalcAmtA,CalcPartyA,$E700,CalcKeyA,"&lt;="&amp;Calc!$B697)-SUMIFS(CalcWitB,CalcPartyB,$E700,CalcKeyB,"&lt;="&amp;Calc!$B697)+SUMIFS(CalcDepB,CalcPartyB,$E700,CalcKeyB,"&lt;="&amp;Calc!$B697))</f>
        <v/>
      </c>
      <c r="L700" s="4"/>
    </row>
    <row r="701" spans="1:12" x14ac:dyDescent="0.2">
      <c r="A701" s="3" t="str">
        <f>IF($B701="","",COUNTA($B$9:$B701))</f>
        <v/>
      </c>
      <c r="B701" s="4"/>
      <c r="C701" s="4"/>
      <c r="D701" s="4"/>
      <c r="E701" s="4"/>
      <c r="F701" s="3" t="str">
        <f t="shared" si="21"/>
        <v/>
      </c>
      <c r="G701" s="4"/>
      <c r="H701" s="5"/>
      <c r="I701" s="5"/>
      <c r="J701" s="6" t="str">
        <f t="shared" si="20"/>
        <v/>
      </c>
      <c r="K701" s="6" t="str">
        <f>IF(OR($B701="",$E701="",Calc!$B698=""),"",SUMIFS(CalcAmtA,CalcPartyA,$E701,CalcKeyA,"&lt;="&amp;Calc!$B698)-SUMIFS(CalcWitB,CalcPartyB,$E701,CalcKeyB,"&lt;="&amp;Calc!$B698)+SUMIFS(CalcDepB,CalcPartyB,$E701,CalcKeyB,"&lt;="&amp;Calc!$B698))</f>
        <v/>
      </c>
      <c r="L701" s="4"/>
    </row>
    <row r="702" spans="1:12" x14ac:dyDescent="0.2">
      <c r="A702" s="3" t="str">
        <f>IF($B702="","",COUNTA($B$9:$B702))</f>
        <v/>
      </c>
      <c r="B702" s="4"/>
      <c r="C702" s="4"/>
      <c r="D702" s="4"/>
      <c r="E702" s="4"/>
      <c r="F702" s="3" t="str">
        <f t="shared" si="21"/>
        <v/>
      </c>
      <c r="G702" s="4"/>
      <c r="H702" s="5"/>
      <c r="I702" s="5"/>
      <c r="J702" s="6" t="str">
        <f t="shared" si="20"/>
        <v/>
      </c>
      <c r="K702" s="6" t="str">
        <f>IF(OR($B702="",$E702="",Calc!$B699=""),"",SUMIFS(CalcAmtA,CalcPartyA,$E702,CalcKeyA,"&lt;="&amp;Calc!$B699)-SUMIFS(CalcWitB,CalcPartyB,$E702,CalcKeyB,"&lt;="&amp;Calc!$B699)+SUMIFS(CalcDepB,CalcPartyB,$E702,CalcKeyB,"&lt;="&amp;Calc!$B699))</f>
        <v/>
      </c>
      <c r="L702" s="4"/>
    </row>
    <row r="703" spans="1:12" x14ac:dyDescent="0.2">
      <c r="A703" s="3" t="str">
        <f>IF($B703="","",COUNTA($B$9:$B703))</f>
        <v/>
      </c>
      <c r="B703" s="4"/>
      <c r="C703" s="4"/>
      <c r="D703" s="4"/>
      <c r="E703" s="4"/>
      <c r="F703" s="3" t="str">
        <f t="shared" si="21"/>
        <v/>
      </c>
      <c r="G703" s="4"/>
      <c r="H703" s="5"/>
      <c r="I703" s="5"/>
      <c r="J703" s="6" t="str">
        <f t="shared" si="20"/>
        <v/>
      </c>
      <c r="K703" s="6" t="str">
        <f>IF(OR($B703="",$E703="",Calc!$B700=""),"",SUMIFS(CalcAmtA,CalcPartyA,$E703,CalcKeyA,"&lt;="&amp;Calc!$B700)-SUMIFS(CalcWitB,CalcPartyB,$E703,CalcKeyB,"&lt;="&amp;Calc!$B700)+SUMIFS(CalcDepB,CalcPartyB,$E703,CalcKeyB,"&lt;="&amp;Calc!$B700))</f>
        <v/>
      </c>
      <c r="L703" s="4"/>
    </row>
    <row r="704" spans="1:12" x14ac:dyDescent="0.2">
      <c r="A704" s="3" t="str">
        <f>IF($B704="","",COUNTA($B$9:$B704))</f>
        <v/>
      </c>
      <c r="B704" s="4"/>
      <c r="C704" s="4"/>
      <c r="D704" s="4"/>
      <c r="E704" s="4"/>
      <c r="F704" s="3" t="str">
        <f t="shared" si="21"/>
        <v/>
      </c>
      <c r="G704" s="4"/>
      <c r="H704" s="5"/>
      <c r="I704" s="5"/>
      <c r="J704" s="6" t="str">
        <f t="shared" si="20"/>
        <v/>
      </c>
      <c r="K704" s="6" t="str">
        <f>IF(OR($B704="",$E704="",Calc!$B701=""),"",SUMIFS(CalcAmtA,CalcPartyA,$E704,CalcKeyA,"&lt;="&amp;Calc!$B701)-SUMIFS(CalcWitB,CalcPartyB,$E704,CalcKeyB,"&lt;="&amp;Calc!$B701)+SUMIFS(CalcDepB,CalcPartyB,$E704,CalcKeyB,"&lt;="&amp;Calc!$B701))</f>
        <v/>
      </c>
      <c r="L704" s="4"/>
    </row>
    <row r="705" spans="1:12" x14ac:dyDescent="0.2">
      <c r="A705" s="3" t="str">
        <f>IF($B705="","",COUNTA($B$9:$B705))</f>
        <v/>
      </c>
      <c r="B705" s="4"/>
      <c r="C705" s="4"/>
      <c r="D705" s="4"/>
      <c r="E705" s="4"/>
      <c r="F705" s="3" t="str">
        <f t="shared" si="21"/>
        <v/>
      </c>
      <c r="G705" s="4"/>
      <c r="H705" s="5"/>
      <c r="I705" s="5"/>
      <c r="J705" s="6" t="str">
        <f t="shared" si="20"/>
        <v/>
      </c>
      <c r="K705" s="6" t="str">
        <f>IF(OR($B705="",$E705="",Calc!$B702=""),"",SUMIFS(CalcAmtA,CalcPartyA,$E705,CalcKeyA,"&lt;="&amp;Calc!$B702)-SUMIFS(CalcWitB,CalcPartyB,$E705,CalcKeyB,"&lt;="&amp;Calc!$B702)+SUMIFS(CalcDepB,CalcPartyB,$E705,CalcKeyB,"&lt;="&amp;Calc!$B702))</f>
        <v/>
      </c>
      <c r="L705" s="4"/>
    </row>
    <row r="706" spans="1:12" x14ac:dyDescent="0.2">
      <c r="A706" s="3" t="str">
        <f>IF($B706="","",COUNTA($B$9:$B706))</f>
        <v/>
      </c>
      <c r="B706" s="4"/>
      <c r="C706" s="4"/>
      <c r="D706" s="4"/>
      <c r="E706" s="4"/>
      <c r="F706" s="3" t="str">
        <f t="shared" si="21"/>
        <v/>
      </c>
      <c r="G706" s="4"/>
      <c r="H706" s="5"/>
      <c r="I706" s="5"/>
      <c r="J706" s="6" t="str">
        <f t="shared" si="20"/>
        <v/>
      </c>
      <c r="K706" s="6" t="str">
        <f>IF(OR($B706="",$E706="",Calc!$B703=""),"",SUMIFS(CalcAmtA,CalcPartyA,$E706,CalcKeyA,"&lt;="&amp;Calc!$B703)-SUMIFS(CalcWitB,CalcPartyB,$E706,CalcKeyB,"&lt;="&amp;Calc!$B703)+SUMIFS(CalcDepB,CalcPartyB,$E706,CalcKeyB,"&lt;="&amp;Calc!$B703))</f>
        <v/>
      </c>
      <c r="L706" s="4"/>
    </row>
    <row r="707" spans="1:12" x14ac:dyDescent="0.2">
      <c r="A707" s="3" t="str">
        <f>IF($B707="","",COUNTA($B$9:$B707))</f>
        <v/>
      </c>
      <c r="B707" s="4"/>
      <c r="C707" s="4"/>
      <c r="D707" s="4"/>
      <c r="E707" s="4"/>
      <c r="F707" s="3" t="str">
        <f t="shared" si="21"/>
        <v/>
      </c>
      <c r="G707" s="4"/>
      <c r="H707" s="5"/>
      <c r="I707" s="5"/>
      <c r="J707" s="6" t="str">
        <f t="shared" si="20"/>
        <v/>
      </c>
      <c r="K707" s="6" t="str">
        <f>IF(OR($B707="",$E707="",Calc!$B704=""),"",SUMIFS(CalcAmtA,CalcPartyA,$E707,CalcKeyA,"&lt;="&amp;Calc!$B704)-SUMIFS(CalcWitB,CalcPartyB,$E707,CalcKeyB,"&lt;="&amp;Calc!$B704)+SUMIFS(CalcDepB,CalcPartyB,$E707,CalcKeyB,"&lt;="&amp;Calc!$B704))</f>
        <v/>
      </c>
      <c r="L707" s="4"/>
    </row>
    <row r="708" spans="1:12" x14ac:dyDescent="0.2">
      <c r="A708" s="3" t="str">
        <f>IF($B708="","",COUNTA($B$9:$B708))</f>
        <v/>
      </c>
      <c r="B708" s="4"/>
      <c r="C708" s="4"/>
      <c r="D708" s="4"/>
      <c r="E708" s="4"/>
      <c r="F708" s="3" t="str">
        <f t="shared" si="21"/>
        <v/>
      </c>
      <c r="G708" s="4"/>
      <c r="H708" s="5"/>
      <c r="I708" s="5"/>
      <c r="J708" s="6" t="str">
        <f t="shared" si="20"/>
        <v/>
      </c>
      <c r="K708" s="6" t="str">
        <f>IF(OR($B708="",$E708="",Calc!$B705=""),"",SUMIFS(CalcAmtA,CalcPartyA,$E708,CalcKeyA,"&lt;="&amp;Calc!$B705)-SUMIFS(CalcWitB,CalcPartyB,$E708,CalcKeyB,"&lt;="&amp;Calc!$B705)+SUMIFS(CalcDepB,CalcPartyB,$E708,CalcKeyB,"&lt;="&amp;Calc!$B705))</f>
        <v/>
      </c>
      <c r="L708" s="4"/>
    </row>
    <row r="709" spans="1:12" x14ac:dyDescent="0.2">
      <c r="A709" s="3" t="str">
        <f>IF($B709="","",COUNTA($B$9:$B709))</f>
        <v/>
      </c>
      <c r="B709" s="4"/>
      <c r="C709" s="4"/>
      <c r="D709" s="4"/>
      <c r="E709" s="4"/>
      <c r="F709" s="3" t="str">
        <f t="shared" si="21"/>
        <v/>
      </c>
      <c r="G709" s="4"/>
      <c r="H709" s="5"/>
      <c r="I709" s="5"/>
      <c r="J709" s="6" t="str">
        <f t="shared" si="20"/>
        <v/>
      </c>
      <c r="K709" s="6" t="str">
        <f>IF(OR($B709="",$E709="",Calc!$B706=""),"",SUMIFS(CalcAmtA,CalcPartyA,$E709,CalcKeyA,"&lt;="&amp;Calc!$B706)-SUMIFS(CalcWitB,CalcPartyB,$E709,CalcKeyB,"&lt;="&amp;Calc!$B706)+SUMIFS(CalcDepB,CalcPartyB,$E709,CalcKeyB,"&lt;="&amp;Calc!$B706))</f>
        <v/>
      </c>
      <c r="L709" s="4"/>
    </row>
    <row r="710" spans="1:12" x14ac:dyDescent="0.2">
      <c r="A710" s="3" t="str">
        <f>IF($B710="","",COUNTA($B$9:$B710))</f>
        <v/>
      </c>
      <c r="B710" s="4"/>
      <c r="C710" s="4"/>
      <c r="D710" s="4"/>
      <c r="E710" s="4"/>
      <c r="F710" s="3" t="str">
        <f t="shared" si="21"/>
        <v/>
      </c>
      <c r="G710" s="4"/>
      <c r="H710" s="5"/>
      <c r="I710" s="5"/>
      <c r="J710" s="6" t="str">
        <f t="shared" ref="J710:J773" si="22">IF(OR($H710="",$I710=""),"",ROUND($H710*$I710,0))</f>
        <v/>
      </c>
      <c r="K710" s="6" t="str">
        <f>IF(OR($B710="",$E710="",Calc!$B707=""),"",SUMIFS(CalcAmtA,CalcPartyA,$E710,CalcKeyA,"&lt;="&amp;Calc!$B707)-SUMIFS(CalcWitB,CalcPartyB,$E710,CalcKeyB,"&lt;="&amp;Calc!$B707)+SUMIFS(CalcDepB,CalcPartyB,$E710,CalcKeyB,"&lt;="&amp;Calc!$B707))</f>
        <v/>
      </c>
      <c r="L710" s="4"/>
    </row>
    <row r="711" spans="1:12" x14ac:dyDescent="0.2">
      <c r="A711" s="3" t="str">
        <f>IF($B711="","",COUNTA($B$9:$B711))</f>
        <v/>
      </c>
      <c r="B711" s="4"/>
      <c r="C711" s="4"/>
      <c r="D711" s="4"/>
      <c r="E711" s="4"/>
      <c r="F711" s="3" t="str">
        <f t="shared" si="21"/>
        <v/>
      </c>
      <c r="G711" s="4"/>
      <c r="H711" s="5"/>
      <c r="I711" s="5"/>
      <c r="J711" s="6" t="str">
        <f t="shared" si="22"/>
        <v/>
      </c>
      <c r="K711" s="6" t="str">
        <f>IF(OR($B711="",$E711="",Calc!$B708=""),"",SUMIFS(CalcAmtA,CalcPartyA,$E711,CalcKeyA,"&lt;="&amp;Calc!$B708)-SUMIFS(CalcWitB,CalcPartyB,$E711,CalcKeyB,"&lt;="&amp;Calc!$B708)+SUMIFS(CalcDepB,CalcPartyB,$E711,CalcKeyB,"&lt;="&amp;Calc!$B708))</f>
        <v/>
      </c>
      <c r="L711" s="4"/>
    </row>
    <row r="712" spans="1:12" x14ac:dyDescent="0.2">
      <c r="A712" s="3" t="str">
        <f>IF($B712="","",COUNTA($B$9:$B712))</f>
        <v/>
      </c>
      <c r="B712" s="4"/>
      <c r="C712" s="4"/>
      <c r="D712" s="4"/>
      <c r="E712" s="4"/>
      <c r="F712" s="3" t="str">
        <f t="shared" si="21"/>
        <v/>
      </c>
      <c r="G712" s="4"/>
      <c r="H712" s="5"/>
      <c r="I712" s="5"/>
      <c r="J712" s="6" t="str">
        <f t="shared" si="22"/>
        <v/>
      </c>
      <c r="K712" s="6" t="str">
        <f>IF(OR($B712="",$E712="",Calc!$B709=""),"",SUMIFS(CalcAmtA,CalcPartyA,$E712,CalcKeyA,"&lt;="&amp;Calc!$B709)-SUMIFS(CalcWitB,CalcPartyB,$E712,CalcKeyB,"&lt;="&amp;Calc!$B709)+SUMIFS(CalcDepB,CalcPartyB,$E712,CalcKeyB,"&lt;="&amp;Calc!$B709))</f>
        <v/>
      </c>
      <c r="L712" s="4"/>
    </row>
    <row r="713" spans="1:12" x14ac:dyDescent="0.2">
      <c r="A713" s="3" t="str">
        <f>IF($B713="","",COUNTA($B$9:$B713))</f>
        <v/>
      </c>
      <c r="B713" s="4"/>
      <c r="C713" s="4"/>
      <c r="D713" s="4"/>
      <c r="E713" s="4"/>
      <c r="F713" s="3" t="str">
        <f t="shared" ref="F713:F776" si="23">IF($E713="","",IFERROR(IF(VLOOKUP($E713,AcctTbl,4,0)="","",VLOOKUP($E713,AcctTbl,4,0)),"—"))</f>
        <v/>
      </c>
      <c r="G713" s="4"/>
      <c r="H713" s="5"/>
      <c r="I713" s="5"/>
      <c r="J713" s="6" t="str">
        <f t="shared" si="22"/>
        <v/>
      </c>
      <c r="K713" s="6" t="str">
        <f>IF(OR($B713="",$E713="",Calc!$B710=""),"",SUMIFS(CalcAmtA,CalcPartyA,$E713,CalcKeyA,"&lt;="&amp;Calc!$B710)-SUMIFS(CalcWitB,CalcPartyB,$E713,CalcKeyB,"&lt;="&amp;Calc!$B710)+SUMIFS(CalcDepB,CalcPartyB,$E713,CalcKeyB,"&lt;="&amp;Calc!$B710))</f>
        <v/>
      </c>
      <c r="L713" s="4"/>
    </row>
    <row r="714" spans="1:12" x14ac:dyDescent="0.2">
      <c r="A714" s="3" t="str">
        <f>IF($B714="","",COUNTA($B$9:$B714))</f>
        <v/>
      </c>
      <c r="B714" s="4"/>
      <c r="C714" s="4"/>
      <c r="D714" s="4"/>
      <c r="E714" s="4"/>
      <c r="F714" s="3" t="str">
        <f t="shared" si="23"/>
        <v/>
      </c>
      <c r="G714" s="4"/>
      <c r="H714" s="5"/>
      <c r="I714" s="5"/>
      <c r="J714" s="6" t="str">
        <f t="shared" si="22"/>
        <v/>
      </c>
      <c r="K714" s="6" t="str">
        <f>IF(OR($B714="",$E714="",Calc!$B711=""),"",SUMIFS(CalcAmtA,CalcPartyA,$E714,CalcKeyA,"&lt;="&amp;Calc!$B711)-SUMIFS(CalcWitB,CalcPartyB,$E714,CalcKeyB,"&lt;="&amp;Calc!$B711)+SUMIFS(CalcDepB,CalcPartyB,$E714,CalcKeyB,"&lt;="&amp;Calc!$B711))</f>
        <v/>
      </c>
      <c r="L714" s="4"/>
    </row>
    <row r="715" spans="1:12" x14ac:dyDescent="0.2">
      <c r="A715" s="3" t="str">
        <f>IF($B715="","",COUNTA($B$9:$B715))</f>
        <v/>
      </c>
      <c r="B715" s="4"/>
      <c r="C715" s="4"/>
      <c r="D715" s="4"/>
      <c r="E715" s="4"/>
      <c r="F715" s="3" t="str">
        <f t="shared" si="23"/>
        <v/>
      </c>
      <c r="G715" s="4"/>
      <c r="H715" s="5"/>
      <c r="I715" s="5"/>
      <c r="J715" s="6" t="str">
        <f t="shared" si="22"/>
        <v/>
      </c>
      <c r="K715" s="6" t="str">
        <f>IF(OR($B715="",$E715="",Calc!$B712=""),"",SUMIFS(CalcAmtA,CalcPartyA,$E715,CalcKeyA,"&lt;="&amp;Calc!$B712)-SUMIFS(CalcWitB,CalcPartyB,$E715,CalcKeyB,"&lt;="&amp;Calc!$B712)+SUMIFS(CalcDepB,CalcPartyB,$E715,CalcKeyB,"&lt;="&amp;Calc!$B712))</f>
        <v/>
      </c>
      <c r="L715" s="4"/>
    </row>
    <row r="716" spans="1:12" x14ac:dyDescent="0.2">
      <c r="A716" s="3" t="str">
        <f>IF($B716="","",COUNTA($B$9:$B716))</f>
        <v/>
      </c>
      <c r="B716" s="4"/>
      <c r="C716" s="4"/>
      <c r="D716" s="4"/>
      <c r="E716" s="4"/>
      <c r="F716" s="3" t="str">
        <f t="shared" si="23"/>
        <v/>
      </c>
      <c r="G716" s="4"/>
      <c r="H716" s="5"/>
      <c r="I716" s="5"/>
      <c r="J716" s="6" t="str">
        <f t="shared" si="22"/>
        <v/>
      </c>
      <c r="K716" s="6" t="str">
        <f>IF(OR($B716="",$E716="",Calc!$B713=""),"",SUMIFS(CalcAmtA,CalcPartyA,$E716,CalcKeyA,"&lt;="&amp;Calc!$B713)-SUMIFS(CalcWitB,CalcPartyB,$E716,CalcKeyB,"&lt;="&amp;Calc!$B713)+SUMIFS(CalcDepB,CalcPartyB,$E716,CalcKeyB,"&lt;="&amp;Calc!$B713))</f>
        <v/>
      </c>
      <c r="L716" s="4"/>
    </row>
    <row r="717" spans="1:12" x14ac:dyDescent="0.2">
      <c r="A717" s="3" t="str">
        <f>IF($B717="","",COUNTA($B$9:$B717))</f>
        <v/>
      </c>
      <c r="B717" s="4"/>
      <c r="C717" s="4"/>
      <c r="D717" s="4"/>
      <c r="E717" s="4"/>
      <c r="F717" s="3" t="str">
        <f t="shared" si="23"/>
        <v/>
      </c>
      <c r="G717" s="4"/>
      <c r="H717" s="5"/>
      <c r="I717" s="5"/>
      <c r="J717" s="6" t="str">
        <f t="shared" si="22"/>
        <v/>
      </c>
      <c r="K717" s="6" t="str">
        <f>IF(OR($B717="",$E717="",Calc!$B714=""),"",SUMIFS(CalcAmtA,CalcPartyA,$E717,CalcKeyA,"&lt;="&amp;Calc!$B714)-SUMIFS(CalcWitB,CalcPartyB,$E717,CalcKeyB,"&lt;="&amp;Calc!$B714)+SUMIFS(CalcDepB,CalcPartyB,$E717,CalcKeyB,"&lt;="&amp;Calc!$B714))</f>
        <v/>
      </c>
      <c r="L717" s="4"/>
    </row>
    <row r="718" spans="1:12" x14ac:dyDescent="0.2">
      <c r="A718" s="3" t="str">
        <f>IF($B718="","",COUNTA($B$9:$B718))</f>
        <v/>
      </c>
      <c r="B718" s="4"/>
      <c r="C718" s="4"/>
      <c r="D718" s="4"/>
      <c r="E718" s="4"/>
      <c r="F718" s="3" t="str">
        <f t="shared" si="23"/>
        <v/>
      </c>
      <c r="G718" s="4"/>
      <c r="H718" s="5"/>
      <c r="I718" s="5"/>
      <c r="J718" s="6" t="str">
        <f t="shared" si="22"/>
        <v/>
      </c>
      <c r="K718" s="6" t="str">
        <f>IF(OR($B718="",$E718="",Calc!$B715=""),"",SUMIFS(CalcAmtA,CalcPartyA,$E718,CalcKeyA,"&lt;="&amp;Calc!$B715)-SUMIFS(CalcWitB,CalcPartyB,$E718,CalcKeyB,"&lt;="&amp;Calc!$B715)+SUMIFS(CalcDepB,CalcPartyB,$E718,CalcKeyB,"&lt;="&amp;Calc!$B715))</f>
        <v/>
      </c>
      <c r="L718" s="4"/>
    </row>
    <row r="719" spans="1:12" x14ac:dyDescent="0.2">
      <c r="A719" s="3" t="str">
        <f>IF($B719="","",COUNTA($B$9:$B719))</f>
        <v/>
      </c>
      <c r="B719" s="4"/>
      <c r="C719" s="4"/>
      <c r="D719" s="4"/>
      <c r="E719" s="4"/>
      <c r="F719" s="3" t="str">
        <f t="shared" si="23"/>
        <v/>
      </c>
      <c r="G719" s="4"/>
      <c r="H719" s="5"/>
      <c r="I719" s="5"/>
      <c r="J719" s="6" t="str">
        <f t="shared" si="22"/>
        <v/>
      </c>
      <c r="K719" s="6" t="str">
        <f>IF(OR($B719="",$E719="",Calc!$B716=""),"",SUMIFS(CalcAmtA,CalcPartyA,$E719,CalcKeyA,"&lt;="&amp;Calc!$B716)-SUMIFS(CalcWitB,CalcPartyB,$E719,CalcKeyB,"&lt;="&amp;Calc!$B716)+SUMIFS(CalcDepB,CalcPartyB,$E719,CalcKeyB,"&lt;="&amp;Calc!$B716))</f>
        <v/>
      </c>
      <c r="L719" s="4"/>
    </row>
    <row r="720" spans="1:12" x14ac:dyDescent="0.2">
      <c r="A720" s="3" t="str">
        <f>IF($B720="","",COUNTA($B$9:$B720))</f>
        <v/>
      </c>
      <c r="B720" s="4"/>
      <c r="C720" s="4"/>
      <c r="D720" s="4"/>
      <c r="E720" s="4"/>
      <c r="F720" s="3" t="str">
        <f t="shared" si="23"/>
        <v/>
      </c>
      <c r="G720" s="4"/>
      <c r="H720" s="5"/>
      <c r="I720" s="5"/>
      <c r="J720" s="6" t="str">
        <f t="shared" si="22"/>
        <v/>
      </c>
      <c r="K720" s="6" t="str">
        <f>IF(OR($B720="",$E720="",Calc!$B717=""),"",SUMIFS(CalcAmtA,CalcPartyA,$E720,CalcKeyA,"&lt;="&amp;Calc!$B717)-SUMIFS(CalcWitB,CalcPartyB,$E720,CalcKeyB,"&lt;="&amp;Calc!$B717)+SUMIFS(CalcDepB,CalcPartyB,$E720,CalcKeyB,"&lt;="&amp;Calc!$B717))</f>
        <v/>
      </c>
      <c r="L720" s="4"/>
    </row>
    <row r="721" spans="1:12" x14ac:dyDescent="0.2">
      <c r="A721" s="3" t="str">
        <f>IF($B721="","",COUNTA($B$9:$B721))</f>
        <v/>
      </c>
      <c r="B721" s="4"/>
      <c r="C721" s="4"/>
      <c r="D721" s="4"/>
      <c r="E721" s="4"/>
      <c r="F721" s="3" t="str">
        <f t="shared" si="23"/>
        <v/>
      </c>
      <c r="G721" s="4"/>
      <c r="H721" s="5"/>
      <c r="I721" s="5"/>
      <c r="J721" s="6" t="str">
        <f t="shared" si="22"/>
        <v/>
      </c>
      <c r="K721" s="6" t="str">
        <f>IF(OR($B721="",$E721="",Calc!$B718=""),"",SUMIFS(CalcAmtA,CalcPartyA,$E721,CalcKeyA,"&lt;="&amp;Calc!$B718)-SUMIFS(CalcWitB,CalcPartyB,$E721,CalcKeyB,"&lt;="&amp;Calc!$B718)+SUMIFS(CalcDepB,CalcPartyB,$E721,CalcKeyB,"&lt;="&amp;Calc!$B718))</f>
        <v/>
      </c>
      <c r="L721" s="4"/>
    </row>
    <row r="722" spans="1:12" x14ac:dyDescent="0.2">
      <c r="A722" s="3" t="str">
        <f>IF($B722="","",COUNTA($B$9:$B722))</f>
        <v/>
      </c>
      <c r="B722" s="4"/>
      <c r="C722" s="4"/>
      <c r="D722" s="4"/>
      <c r="E722" s="4"/>
      <c r="F722" s="3" t="str">
        <f t="shared" si="23"/>
        <v/>
      </c>
      <c r="G722" s="4"/>
      <c r="H722" s="5"/>
      <c r="I722" s="5"/>
      <c r="J722" s="6" t="str">
        <f t="shared" si="22"/>
        <v/>
      </c>
      <c r="K722" s="6" t="str">
        <f>IF(OR($B722="",$E722="",Calc!$B719=""),"",SUMIFS(CalcAmtA,CalcPartyA,$E722,CalcKeyA,"&lt;="&amp;Calc!$B719)-SUMIFS(CalcWitB,CalcPartyB,$E722,CalcKeyB,"&lt;="&amp;Calc!$B719)+SUMIFS(CalcDepB,CalcPartyB,$E722,CalcKeyB,"&lt;="&amp;Calc!$B719))</f>
        <v/>
      </c>
      <c r="L722" s="4"/>
    </row>
    <row r="723" spans="1:12" x14ac:dyDescent="0.2">
      <c r="A723" s="3" t="str">
        <f>IF($B723="","",COUNTA($B$9:$B723))</f>
        <v/>
      </c>
      <c r="B723" s="4"/>
      <c r="C723" s="4"/>
      <c r="D723" s="4"/>
      <c r="E723" s="4"/>
      <c r="F723" s="3" t="str">
        <f t="shared" si="23"/>
        <v/>
      </c>
      <c r="G723" s="4"/>
      <c r="H723" s="5"/>
      <c r="I723" s="5"/>
      <c r="J723" s="6" t="str">
        <f t="shared" si="22"/>
        <v/>
      </c>
      <c r="K723" s="6" t="str">
        <f>IF(OR($B723="",$E723="",Calc!$B720=""),"",SUMIFS(CalcAmtA,CalcPartyA,$E723,CalcKeyA,"&lt;="&amp;Calc!$B720)-SUMIFS(CalcWitB,CalcPartyB,$E723,CalcKeyB,"&lt;="&amp;Calc!$B720)+SUMIFS(CalcDepB,CalcPartyB,$E723,CalcKeyB,"&lt;="&amp;Calc!$B720))</f>
        <v/>
      </c>
      <c r="L723" s="4"/>
    </row>
    <row r="724" spans="1:12" x14ac:dyDescent="0.2">
      <c r="A724" s="3" t="str">
        <f>IF($B724="","",COUNTA($B$9:$B724))</f>
        <v/>
      </c>
      <c r="B724" s="4"/>
      <c r="C724" s="4"/>
      <c r="D724" s="4"/>
      <c r="E724" s="4"/>
      <c r="F724" s="3" t="str">
        <f t="shared" si="23"/>
        <v/>
      </c>
      <c r="G724" s="4"/>
      <c r="H724" s="5"/>
      <c r="I724" s="5"/>
      <c r="J724" s="6" t="str">
        <f t="shared" si="22"/>
        <v/>
      </c>
      <c r="K724" s="6" t="str">
        <f>IF(OR($B724="",$E724="",Calc!$B721=""),"",SUMIFS(CalcAmtA,CalcPartyA,$E724,CalcKeyA,"&lt;="&amp;Calc!$B721)-SUMIFS(CalcWitB,CalcPartyB,$E724,CalcKeyB,"&lt;="&amp;Calc!$B721)+SUMIFS(CalcDepB,CalcPartyB,$E724,CalcKeyB,"&lt;="&amp;Calc!$B721))</f>
        <v/>
      </c>
      <c r="L724" s="4"/>
    </row>
    <row r="725" spans="1:12" x14ac:dyDescent="0.2">
      <c r="A725" s="3" t="str">
        <f>IF($B725="","",COUNTA($B$9:$B725))</f>
        <v/>
      </c>
      <c r="B725" s="4"/>
      <c r="C725" s="4"/>
      <c r="D725" s="4"/>
      <c r="E725" s="4"/>
      <c r="F725" s="3" t="str">
        <f t="shared" si="23"/>
        <v/>
      </c>
      <c r="G725" s="4"/>
      <c r="H725" s="5"/>
      <c r="I725" s="5"/>
      <c r="J725" s="6" t="str">
        <f t="shared" si="22"/>
        <v/>
      </c>
      <c r="K725" s="6" t="str">
        <f>IF(OR($B725="",$E725="",Calc!$B722=""),"",SUMIFS(CalcAmtA,CalcPartyA,$E725,CalcKeyA,"&lt;="&amp;Calc!$B722)-SUMIFS(CalcWitB,CalcPartyB,$E725,CalcKeyB,"&lt;="&amp;Calc!$B722)+SUMIFS(CalcDepB,CalcPartyB,$E725,CalcKeyB,"&lt;="&amp;Calc!$B722))</f>
        <v/>
      </c>
      <c r="L725" s="4"/>
    </row>
    <row r="726" spans="1:12" x14ac:dyDescent="0.2">
      <c r="A726" s="3" t="str">
        <f>IF($B726="","",COUNTA($B$9:$B726))</f>
        <v/>
      </c>
      <c r="B726" s="4"/>
      <c r="C726" s="4"/>
      <c r="D726" s="4"/>
      <c r="E726" s="4"/>
      <c r="F726" s="3" t="str">
        <f t="shared" si="23"/>
        <v/>
      </c>
      <c r="G726" s="4"/>
      <c r="H726" s="5"/>
      <c r="I726" s="5"/>
      <c r="J726" s="6" t="str">
        <f t="shared" si="22"/>
        <v/>
      </c>
      <c r="K726" s="6" t="str">
        <f>IF(OR($B726="",$E726="",Calc!$B723=""),"",SUMIFS(CalcAmtA,CalcPartyA,$E726,CalcKeyA,"&lt;="&amp;Calc!$B723)-SUMIFS(CalcWitB,CalcPartyB,$E726,CalcKeyB,"&lt;="&amp;Calc!$B723)+SUMIFS(CalcDepB,CalcPartyB,$E726,CalcKeyB,"&lt;="&amp;Calc!$B723))</f>
        <v/>
      </c>
      <c r="L726" s="4"/>
    </row>
    <row r="727" spans="1:12" x14ac:dyDescent="0.2">
      <c r="A727" s="3" t="str">
        <f>IF($B727="","",COUNTA($B$9:$B727))</f>
        <v/>
      </c>
      <c r="B727" s="4"/>
      <c r="C727" s="4"/>
      <c r="D727" s="4"/>
      <c r="E727" s="4"/>
      <c r="F727" s="3" t="str">
        <f t="shared" si="23"/>
        <v/>
      </c>
      <c r="G727" s="4"/>
      <c r="H727" s="5"/>
      <c r="I727" s="5"/>
      <c r="J727" s="6" t="str">
        <f t="shared" si="22"/>
        <v/>
      </c>
      <c r="K727" s="6" t="str">
        <f>IF(OR($B727="",$E727="",Calc!$B724=""),"",SUMIFS(CalcAmtA,CalcPartyA,$E727,CalcKeyA,"&lt;="&amp;Calc!$B724)-SUMIFS(CalcWitB,CalcPartyB,$E727,CalcKeyB,"&lt;="&amp;Calc!$B724)+SUMIFS(CalcDepB,CalcPartyB,$E727,CalcKeyB,"&lt;="&amp;Calc!$B724))</f>
        <v/>
      </c>
      <c r="L727" s="4"/>
    </row>
    <row r="728" spans="1:12" x14ac:dyDescent="0.2">
      <c r="A728" s="3" t="str">
        <f>IF($B728="","",COUNTA($B$9:$B728))</f>
        <v/>
      </c>
      <c r="B728" s="4"/>
      <c r="C728" s="4"/>
      <c r="D728" s="4"/>
      <c r="E728" s="4"/>
      <c r="F728" s="3" t="str">
        <f t="shared" si="23"/>
        <v/>
      </c>
      <c r="G728" s="4"/>
      <c r="H728" s="5"/>
      <c r="I728" s="5"/>
      <c r="J728" s="6" t="str">
        <f t="shared" si="22"/>
        <v/>
      </c>
      <c r="K728" s="6" t="str">
        <f>IF(OR($B728="",$E728="",Calc!$B725=""),"",SUMIFS(CalcAmtA,CalcPartyA,$E728,CalcKeyA,"&lt;="&amp;Calc!$B725)-SUMIFS(CalcWitB,CalcPartyB,$E728,CalcKeyB,"&lt;="&amp;Calc!$B725)+SUMIFS(CalcDepB,CalcPartyB,$E728,CalcKeyB,"&lt;="&amp;Calc!$B725))</f>
        <v/>
      </c>
      <c r="L728" s="4"/>
    </row>
    <row r="729" spans="1:12" x14ac:dyDescent="0.2">
      <c r="A729" s="3" t="str">
        <f>IF($B729="","",COUNTA($B$9:$B729))</f>
        <v/>
      </c>
      <c r="B729" s="4"/>
      <c r="C729" s="4"/>
      <c r="D729" s="4"/>
      <c r="E729" s="4"/>
      <c r="F729" s="3" t="str">
        <f t="shared" si="23"/>
        <v/>
      </c>
      <c r="G729" s="4"/>
      <c r="H729" s="5"/>
      <c r="I729" s="5"/>
      <c r="J729" s="6" t="str">
        <f t="shared" si="22"/>
        <v/>
      </c>
      <c r="K729" s="6" t="str">
        <f>IF(OR($B729="",$E729="",Calc!$B726=""),"",SUMIFS(CalcAmtA,CalcPartyA,$E729,CalcKeyA,"&lt;="&amp;Calc!$B726)-SUMIFS(CalcWitB,CalcPartyB,$E729,CalcKeyB,"&lt;="&amp;Calc!$B726)+SUMIFS(CalcDepB,CalcPartyB,$E729,CalcKeyB,"&lt;="&amp;Calc!$B726))</f>
        <v/>
      </c>
      <c r="L729" s="4"/>
    </row>
    <row r="730" spans="1:12" x14ac:dyDescent="0.2">
      <c r="A730" s="3" t="str">
        <f>IF($B730="","",COUNTA($B$9:$B730))</f>
        <v/>
      </c>
      <c r="B730" s="4"/>
      <c r="C730" s="4"/>
      <c r="D730" s="4"/>
      <c r="E730" s="4"/>
      <c r="F730" s="3" t="str">
        <f t="shared" si="23"/>
        <v/>
      </c>
      <c r="G730" s="4"/>
      <c r="H730" s="5"/>
      <c r="I730" s="5"/>
      <c r="J730" s="6" t="str">
        <f t="shared" si="22"/>
        <v/>
      </c>
      <c r="K730" s="6" t="str">
        <f>IF(OR($B730="",$E730="",Calc!$B727=""),"",SUMIFS(CalcAmtA,CalcPartyA,$E730,CalcKeyA,"&lt;="&amp;Calc!$B727)-SUMIFS(CalcWitB,CalcPartyB,$E730,CalcKeyB,"&lt;="&amp;Calc!$B727)+SUMIFS(CalcDepB,CalcPartyB,$E730,CalcKeyB,"&lt;="&amp;Calc!$B727))</f>
        <v/>
      </c>
      <c r="L730" s="4"/>
    </row>
    <row r="731" spans="1:12" x14ac:dyDescent="0.2">
      <c r="A731" s="3" t="str">
        <f>IF($B731="","",COUNTA($B$9:$B731))</f>
        <v/>
      </c>
      <c r="B731" s="4"/>
      <c r="C731" s="4"/>
      <c r="D731" s="4"/>
      <c r="E731" s="4"/>
      <c r="F731" s="3" t="str">
        <f t="shared" si="23"/>
        <v/>
      </c>
      <c r="G731" s="4"/>
      <c r="H731" s="5"/>
      <c r="I731" s="5"/>
      <c r="J731" s="6" t="str">
        <f t="shared" si="22"/>
        <v/>
      </c>
      <c r="K731" s="6" t="str">
        <f>IF(OR($B731="",$E731="",Calc!$B728=""),"",SUMIFS(CalcAmtA,CalcPartyA,$E731,CalcKeyA,"&lt;="&amp;Calc!$B728)-SUMIFS(CalcWitB,CalcPartyB,$E731,CalcKeyB,"&lt;="&amp;Calc!$B728)+SUMIFS(CalcDepB,CalcPartyB,$E731,CalcKeyB,"&lt;="&amp;Calc!$B728))</f>
        <v/>
      </c>
      <c r="L731" s="4"/>
    </row>
    <row r="732" spans="1:12" x14ac:dyDescent="0.2">
      <c r="A732" s="3" t="str">
        <f>IF($B732="","",COUNTA($B$9:$B732))</f>
        <v/>
      </c>
      <c r="B732" s="4"/>
      <c r="C732" s="4"/>
      <c r="D732" s="4"/>
      <c r="E732" s="4"/>
      <c r="F732" s="3" t="str">
        <f t="shared" si="23"/>
        <v/>
      </c>
      <c r="G732" s="4"/>
      <c r="H732" s="5"/>
      <c r="I732" s="5"/>
      <c r="J732" s="6" t="str">
        <f t="shared" si="22"/>
        <v/>
      </c>
      <c r="K732" s="6" t="str">
        <f>IF(OR($B732="",$E732="",Calc!$B729=""),"",SUMIFS(CalcAmtA,CalcPartyA,$E732,CalcKeyA,"&lt;="&amp;Calc!$B729)-SUMIFS(CalcWitB,CalcPartyB,$E732,CalcKeyB,"&lt;="&amp;Calc!$B729)+SUMIFS(CalcDepB,CalcPartyB,$E732,CalcKeyB,"&lt;="&amp;Calc!$B729))</f>
        <v/>
      </c>
      <c r="L732" s="4"/>
    </row>
    <row r="733" spans="1:12" x14ac:dyDescent="0.2">
      <c r="A733" s="3" t="str">
        <f>IF($B733="","",COUNTA($B$9:$B733))</f>
        <v/>
      </c>
      <c r="B733" s="4"/>
      <c r="C733" s="4"/>
      <c r="D733" s="4"/>
      <c r="E733" s="4"/>
      <c r="F733" s="3" t="str">
        <f t="shared" si="23"/>
        <v/>
      </c>
      <c r="G733" s="4"/>
      <c r="H733" s="5"/>
      <c r="I733" s="5"/>
      <c r="J733" s="6" t="str">
        <f t="shared" si="22"/>
        <v/>
      </c>
      <c r="K733" s="6" t="str">
        <f>IF(OR($B733="",$E733="",Calc!$B730=""),"",SUMIFS(CalcAmtA,CalcPartyA,$E733,CalcKeyA,"&lt;="&amp;Calc!$B730)-SUMIFS(CalcWitB,CalcPartyB,$E733,CalcKeyB,"&lt;="&amp;Calc!$B730)+SUMIFS(CalcDepB,CalcPartyB,$E733,CalcKeyB,"&lt;="&amp;Calc!$B730))</f>
        <v/>
      </c>
      <c r="L733" s="4"/>
    </row>
    <row r="734" spans="1:12" x14ac:dyDescent="0.2">
      <c r="A734" s="3" t="str">
        <f>IF($B734="","",COUNTA($B$9:$B734))</f>
        <v/>
      </c>
      <c r="B734" s="4"/>
      <c r="C734" s="4"/>
      <c r="D734" s="4"/>
      <c r="E734" s="4"/>
      <c r="F734" s="3" t="str">
        <f t="shared" si="23"/>
        <v/>
      </c>
      <c r="G734" s="4"/>
      <c r="H734" s="5"/>
      <c r="I734" s="5"/>
      <c r="J734" s="6" t="str">
        <f t="shared" si="22"/>
        <v/>
      </c>
      <c r="K734" s="6" t="str">
        <f>IF(OR($B734="",$E734="",Calc!$B731=""),"",SUMIFS(CalcAmtA,CalcPartyA,$E734,CalcKeyA,"&lt;="&amp;Calc!$B731)-SUMIFS(CalcWitB,CalcPartyB,$E734,CalcKeyB,"&lt;="&amp;Calc!$B731)+SUMIFS(CalcDepB,CalcPartyB,$E734,CalcKeyB,"&lt;="&amp;Calc!$B731))</f>
        <v/>
      </c>
      <c r="L734" s="4"/>
    </row>
    <row r="735" spans="1:12" x14ac:dyDescent="0.2">
      <c r="A735" s="3" t="str">
        <f>IF($B735="","",COUNTA($B$9:$B735))</f>
        <v/>
      </c>
      <c r="B735" s="4"/>
      <c r="C735" s="4"/>
      <c r="D735" s="4"/>
      <c r="E735" s="4"/>
      <c r="F735" s="3" t="str">
        <f t="shared" si="23"/>
        <v/>
      </c>
      <c r="G735" s="4"/>
      <c r="H735" s="5"/>
      <c r="I735" s="5"/>
      <c r="J735" s="6" t="str">
        <f t="shared" si="22"/>
        <v/>
      </c>
      <c r="K735" s="6" t="str">
        <f>IF(OR($B735="",$E735="",Calc!$B732=""),"",SUMIFS(CalcAmtA,CalcPartyA,$E735,CalcKeyA,"&lt;="&amp;Calc!$B732)-SUMIFS(CalcWitB,CalcPartyB,$E735,CalcKeyB,"&lt;="&amp;Calc!$B732)+SUMIFS(CalcDepB,CalcPartyB,$E735,CalcKeyB,"&lt;="&amp;Calc!$B732))</f>
        <v/>
      </c>
      <c r="L735" s="4"/>
    </row>
    <row r="736" spans="1:12" x14ac:dyDescent="0.2">
      <c r="A736" s="3" t="str">
        <f>IF($B736="","",COUNTA($B$9:$B736))</f>
        <v/>
      </c>
      <c r="B736" s="4"/>
      <c r="C736" s="4"/>
      <c r="D736" s="4"/>
      <c r="E736" s="4"/>
      <c r="F736" s="3" t="str">
        <f t="shared" si="23"/>
        <v/>
      </c>
      <c r="G736" s="4"/>
      <c r="H736" s="5"/>
      <c r="I736" s="5"/>
      <c r="J736" s="6" t="str">
        <f t="shared" si="22"/>
        <v/>
      </c>
      <c r="K736" s="6" t="str">
        <f>IF(OR($B736="",$E736="",Calc!$B733=""),"",SUMIFS(CalcAmtA,CalcPartyA,$E736,CalcKeyA,"&lt;="&amp;Calc!$B733)-SUMIFS(CalcWitB,CalcPartyB,$E736,CalcKeyB,"&lt;="&amp;Calc!$B733)+SUMIFS(CalcDepB,CalcPartyB,$E736,CalcKeyB,"&lt;="&amp;Calc!$B733))</f>
        <v/>
      </c>
      <c r="L736" s="4"/>
    </row>
    <row r="737" spans="1:12" x14ac:dyDescent="0.2">
      <c r="A737" s="3" t="str">
        <f>IF($B737="","",COUNTA($B$9:$B737))</f>
        <v/>
      </c>
      <c r="B737" s="4"/>
      <c r="C737" s="4"/>
      <c r="D737" s="4"/>
      <c r="E737" s="4"/>
      <c r="F737" s="3" t="str">
        <f t="shared" si="23"/>
        <v/>
      </c>
      <c r="G737" s="4"/>
      <c r="H737" s="5"/>
      <c r="I737" s="5"/>
      <c r="J737" s="6" t="str">
        <f t="shared" si="22"/>
        <v/>
      </c>
      <c r="K737" s="6" t="str">
        <f>IF(OR($B737="",$E737="",Calc!$B734=""),"",SUMIFS(CalcAmtA,CalcPartyA,$E737,CalcKeyA,"&lt;="&amp;Calc!$B734)-SUMIFS(CalcWitB,CalcPartyB,$E737,CalcKeyB,"&lt;="&amp;Calc!$B734)+SUMIFS(CalcDepB,CalcPartyB,$E737,CalcKeyB,"&lt;="&amp;Calc!$B734))</f>
        <v/>
      </c>
      <c r="L737" s="4"/>
    </row>
    <row r="738" spans="1:12" x14ac:dyDescent="0.2">
      <c r="A738" s="3" t="str">
        <f>IF($B738="","",COUNTA($B$9:$B738))</f>
        <v/>
      </c>
      <c r="B738" s="4"/>
      <c r="C738" s="4"/>
      <c r="D738" s="4"/>
      <c r="E738" s="4"/>
      <c r="F738" s="3" t="str">
        <f t="shared" si="23"/>
        <v/>
      </c>
      <c r="G738" s="4"/>
      <c r="H738" s="5"/>
      <c r="I738" s="5"/>
      <c r="J738" s="6" t="str">
        <f t="shared" si="22"/>
        <v/>
      </c>
      <c r="K738" s="6" t="str">
        <f>IF(OR($B738="",$E738="",Calc!$B735=""),"",SUMIFS(CalcAmtA,CalcPartyA,$E738,CalcKeyA,"&lt;="&amp;Calc!$B735)-SUMIFS(CalcWitB,CalcPartyB,$E738,CalcKeyB,"&lt;="&amp;Calc!$B735)+SUMIFS(CalcDepB,CalcPartyB,$E738,CalcKeyB,"&lt;="&amp;Calc!$B735))</f>
        <v/>
      </c>
      <c r="L738" s="4"/>
    </row>
    <row r="739" spans="1:12" x14ac:dyDescent="0.2">
      <c r="A739" s="3" t="str">
        <f>IF($B739="","",COUNTA($B$9:$B739))</f>
        <v/>
      </c>
      <c r="B739" s="4"/>
      <c r="C739" s="4"/>
      <c r="D739" s="4"/>
      <c r="E739" s="4"/>
      <c r="F739" s="3" t="str">
        <f t="shared" si="23"/>
        <v/>
      </c>
      <c r="G739" s="4"/>
      <c r="H739" s="5"/>
      <c r="I739" s="5"/>
      <c r="J739" s="6" t="str">
        <f t="shared" si="22"/>
        <v/>
      </c>
      <c r="K739" s="6" t="str">
        <f>IF(OR($B739="",$E739="",Calc!$B736=""),"",SUMIFS(CalcAmtA,CalcPartyA,$E739,CalcKeyA,"&lt;="&amp;Calc!$B736)-SUMIFS(CalcWitB,CalcPartyB,$E739,CalcKeyB,"&lt;="&amp;Calc!$B736)+SUMIFS(CalcDepB,CalcPartyB,$E739,CalcKeyB,"&lt;="&amp;Calc!$B736))</f>
        <v/>
      </c>
      <c r="L739" s="4"/>
    </row>
    <row r="740" spans="1:12" x14ac:dyDescent="0.2">
      <c r="A740" s="3" t="str">
        <f>IF($B740="","",COUNTA($B$9:$B740))</f>
        <v/>
      </c>
      <c r="B740" s="4"/>
      <c r="C740" s="4"/>
      <c r="D740" s="4"/>
      <c r="E740" s="4"/>
      <c r="F740" s="3" t="str">
        <f t="shared" si="23"/>
        <v/>
      </c>
      <c r="G740" s="4"/>
      <c r="H740" s="5"/>
      <c r="I740" s="5"/>
      <c r="J740" s="6" t="str">
        <f t="shared" si="22"/>
        <v/>
      </c>
      <c r="K740" s="6" t="str">
        <f>IF(OR($B740="",$E740="",Calc!$B737=""),"",SUMIFS(CalcAmtA,CalcPartyA,$E740,CalcKeyA,"&lt;="&amp;Calc!$B737)-SUMIFS(CalcWitB,CalcPartyB,$E740,CalcKeyB,"&lt;="&amp;Calc!$B737)+SUMIFS(CalcDepB,CalcPartyB,$E740,CalcKeyB,"&lt;="&amp;Calc!$B737))</f>
        <v/>
      </c>
      <c r="L740" s="4"/>
    </row>
    <row r="741" spans="1:12" x14ac:dyDescent="0.2">
      <c r="A741" s="3" t="str">
        <f>IF($B741="","",COUNTA($B$9:$B741))</f>
        <v/>
      </c>
      <c r="B741" s="4"/>
      <c r="C741" s="4"/>
      <c r="D741" s="4"/>
      <c r="E741" s="4"/>
      <c r="F741" s="3" t="str">
        <f t="shared" si="23"/>
        <v/>
      </c>
      <c r="G741" s="4"/>
      <c r="H741" s="5"/>
      <c r="I741" s="5"/>
      <c r="J741" s="6" t="str">
        <f t="shared" si="22"/>
        <v/>
      </c>
      <c r="K741" s="6" t="str">
        <f>IF(OR($B741="",$E741="",Calc!$B738=""),"",SUMIFS(CalcAmtA,CalcPartyA,$E741,CalcKeyA,"&lt;="&amp;Calc!$B738)-SUMIFS(CalcWitB,CalcPartyB,$E741,CalcKeyB,"&lt;="&amp;Calc!$B738)+SUMIFS(CalcDepB,CalcPartyB,$E741,CalcKeyB,"&lt;="&amp;Calc!$B738))</f>
        <v/>
      </c>
      <c r="L741" s="4"/>
    </row>
    <row r="742" spans="1:12" x14ac:dyDescent="0.2">
      <c r="A742" s="3" t="str">
        <f>IF($B742="","",COUNTA($B$9:$B742))</f>
        <v/>
      </c>
      <c r="B742" s="4"/>
      <c r="C742" s="4"/>
      <c r="D742" s="4"/>
      <c r="E742" s="4"/>
      <c r="F742" s="3" t="str">
        <f t="shared" si="23"/>
        <v/>
      </c>
      <c r="G742" s="4"/>
      <c r="H742" s="5"/>
      <c r="I742" s="5"/>
      <c r="J742" s="6" t="str">
        <f t="shared" si="22"/>
        <v/>
      </c>
      <c r="K742" s="6" t="str">
        <f>IF(OR($B742="",$E742="",Calc!$B739=""),"",SUMIFS(CalcAmtA,CalcPartyA,$E742,CalcKeyA,"&lt;="&amp;Calc!$B739)-SUMIFS(CalcWitB,CalcPartyB,$E742,CalcKeyB,"&lt;="&amp;Calc!$B739)+SUMIFS(CalcDepB,CalcPartyB,$E742,CalcKeyB,"&lt;="&amp;Calc!$B739))</f>
        <v/>
      </c>
      <c r="L742" s="4"/>
    </row>
    <row r="743" spans="1:12" x14ac:dyDescent="0.2">
      <c r="A743" s="3" t="str">
        <f>IF($B743="","",COUNTA($B$9:$B743))</f>
        <v/>
      </c>
      <c r="B743" s="4"/>
      <c r="C743" s="4"/>
      <c r="D743" s="4"/>
      <c r="E743" s="4"/>
      <c r="F743" s="3" t="str">
        <f t="shared" si="23"/>
        <v/>
      </c>
      <c r="G743" s="4"/>
      <c r="H743" s="5"/>
      <c r="I743" s="5"/>
      <c r="J743" s="6" t="str">
        <f t="shared" si="22"/>
        <v/>
      </c>
      <c r="K743" s="6" t="str">
        <f>IF(OR($B743="",$E743="",Calc!$B740=""),"",SUMIFS(CalcAmtA,CalcPartyA,$E743,CalcKeyA,"&lt;="&amp;Calc!$B740)-SUMIFS(CalcWitB,CalcPartyB,$E743,CalcKeyB,"&lt;="&amp;Calc!$B740)+SUMIFS(CalcDepB,CalcPartyB,$E743,CalcKeyB,"&lt;="&amp;Calc!$B740))</f>
        <v/>
      </c>
      <c r="L743" s="4"/>
    </row>
    <row r="744" spans="1:12" x14ac:dyDescent="0.2">
      <c r="A744" s="3" t="str">
        <f>IF($B744="","",COUNTA($B$9:$B744))</f>
        <v/>
      </c>
      <c r="B744" s="4"/>
      <c r="C744" s="4"/>
      <c r="D744" s="4"/>
      <c r="E744" s="4"/>
      <c r="F744" s="3" t="str">
        <f t="shared" si="23"/>
        <v/>
      </c>
      <c r="G744" s="4"/>
      <c r="H744" s="5"/>
      <c r="I744" s="5"/>
      <c r="J744" s="6" t="str">
        <f t="shared" si="22"/>
        <v/>
      </c>
      <c r="K744" s="6" t="str">
        <f>IF(OR($B744="",$E744="",Calc!$B741=""),"",SUMIFS(CalcAmtA,CalcPartyA,$E744,CalcKeyA,"&lt;="&amp;Calc!$B741)-SUMIFS(CalcWitB,CalcPartyB,$E744,CalcKeyB,"&lt;="&amp;Calc!$B741)+SUMIFS(CalcDepB,CalcPartyB,$E744,CalcKeyB,"&lt;="&amp;Calc!$B741))</f>
        <v/>
      </c>
      <c r="L744" s="4"/>
    </row>
    <row r="745" spans="1:12" x14ac:dyDescent="0.2">
      <c r="A745" s="3" t="str">
        <f>IF($B745="","",COUNTA($B$9:$B745))</f>
        <v/>
      </c>
      <c r="B745" s="4"/>
      <c r="C745" s="4"/>
      <c r="D745" s="4"/>
      <c r="E745" s="4"/>
      <c r="F745" s="3" t="str">
        <f t="shared" si="23"/>
        <v/>
      </c>
      <c r="G745" s="4"/>
      <c r="H745" s="5"/>
      <c r="I745" s="5"/>
      <c r="J745" s="6" t="str">
        <f t="shared" si="22"/>
        <v/>
      </c>
      <c r="K745" s="6" t="str">
        <f>IF(OR($B745="",$E745="",Calc!$B742=""),"",SUMIFS(CalcAmtA,CalcPartyA,$E745,CalcKeyA,"&lt;="&amp;Calc!$B742)-SUMIFS(CalcWitB,CalcPartyB,$E745,CalcKeyB,"&lt;="&amp;Calc!$B742)+SUMIFS(CalcDepB,CalcPartyB,$E745,CalcKeyB,"&lt;="&amp;Calc!$B742))</f>
        <v/>
      </c>
      <c r="L745" s="4"/>
    </row>
    <row r="746" spans="1:12" x14ac:dyDescent="0.2">
      <c r="A746" s="3" t="str">
        <f>IF($B746="","",COUNTA($B$9:$B746))</f>
        <v/>
      </c>
      <c r="B746" s="4"/>
      <c r="C746" s="4"/>
      <c r="D746" s="4"/>
      <c r="E746" s="4"/>
      <c r="F746" s="3" t="str">
        <f t="shared" si="23"/>
        <v/>
      </c>
      <c r="G746" s="4"/>
      <c r="H746" s="5"/>
      <c r="I746" s="5"/>
      <c r="J746" s="6" t="str">
        <f t="shared" si="22"/>
        <v/>
      </c>
      <c r="K746" s="6" t="str">
        <f>IF(OR($B746="",$E746="",Calc!$B743=""),"",SUMIFS(CalcAmtA,CalcPartyA,$E746,CalcKeyA,"&lt;="&amp;Calc!$B743)-SUMIFS(CalcWitB,CalcPartyB,$E746,CalcKeyB,"&lt;="&amp;Calc!$B743)+SUMIFS(CalcDepB,CalcPartyB,$E746,CalcKeyB,"&lt;="&amp;Calc!$B743))</f>
        <v/>
      </c>
      <c r="L746" s="4"/>
    </row>
    <row r="747" spans="1:12" x14ac:dyDescent="0.2">
      <c r="A747" s="3" t="str">
        <f>IF($B747="","",COUNTA($B$9:$B747))</f>
        <v/>
      </c>
      <c r="B747" s="4"/>
      <c r="C747" s="4"/>
      <c r="D747" s="4"/>
      <c r="E747" s="4"/>
      <c r="F747" s="3" t="str">
        <f t="shared" si="23"/>
        <v/>
      </c>
      <c r="G747" s="4"/>
      <c r="H747" s="5"/>
      <c r="I747" s="5"/>
      <c r="J747" s="6" t="str">
        <f t="shared" si="22"/>
        <v/>
      </c>
      <c r="K747" s="6" t="str">
        <f>IF(OR($B747="",$E747="",Calc!$B744=""),"",SUMIFS(CalcAmtA,CalcPartyA,$E747,CalcKeyA,"&lt;="&amp;Calc!$B744)-SUMIFS(CalcWitB,CalcPartyB,$E747,CalcKeyB,"&lt;="&amp;Calc!$B744)+SUMIFS(CalcDepB,CalcPartyB,$E747,CalcKeyB,"&lt;="&amp;Calc!$B744))</f>
        <v/>
      </c>
      <c r="L747" s="4"/>
    </row>
    <row r="748" spans="1:12" x14ac:dyDescent="0.2">
      <c r="A748" s="3" t="str">
        <f>IF($B748="","",COUNTA($B$9:$B748))</f>
        <v/>
      </c>
      <c r="B748" s="4"/>
      <c r="C748" s="4"/>
      <c r="D748" s="4"/>
      <c r="E748" s="4"/>
      <c r="F748" s="3" t="str">
        <f t="shared" si="23"/>
        <v/>
      </c>
      <c r="G748" s="4"/>
      <c r="H748" s="5"/>
      <c r="I748" s="5"/>
      <c r="J748" s="6" t="str">
        <f t="shared" si="22"/>
        <v/>
      </c>
      <c r="K748" s="6" t="str">
        <f>IF(OR($B748="",$E748="",Calc!$B745=""),"",SUMIFS(CalcAmtA,CalcPartyA,$E748,CalcKeyA,"&lt;="&amp;Calc!$B745)-SUMIFS(CalcWitB,CalcPartyB,$E748,CalcKeyB,"&lt;="&amp;Calc!$B745)+SUMIFS(CalcDepB,CalcPartyB,$E748,CalcKeyB,"&lt;="&amp;Calc!$B745))</f>
        <v/>
      </c>
      <c r="L748" s="4"/>
    </row>
    <row r="749" spans="1:12" x14ac:dyDescent="0.2">
      <c r="A749" s="3" t="str">
        <f>IF($B749="","",COUNTA($B$9:$B749))</f>
        <v/>
      </c>
      <c r="B749" s="4"/>
      <c r="C749" s="4"/>
      <c r="D749" s="4"/>
      <c r="E749" s="4"/>
      <c r="F749" s="3" t="str">
        <f t="shared" si="23"/>
        <v/>
      </c>
      <c r="G749" s="4"/>
      <c r="H749" s="5"/>
      <c r="I749" s="5"/>
      <c r="J749" s="6" t="str">
        <f t="shared" si="22"/>
        <v/>
      </c>
      <c r="K749" s="6" t="str">
        <f>IF(OR($B749="",$E749="",Calc!$B746=""),"",SUMIFS(CalcAmtA,CalcPartyA,$E749,CalcKeyA,"&lt;="&amp;Calc!$B746)-SUMIFS(CalcWitB,CalcPartyB,$E749,CalcKeyB,"&lt;="&amp;Calc!$B746)+SUMIFS(CalcDepB,CalcPartyB,$E749,CalcKeyB,"&lt;="&amp;Calc!$B746))</f>
        <v/>
      </c>
      <c r="L749" s="4"/>
    </row>
    <row r="750" spans="1:12" x14ac:dyDescent="0.2">
      <c r="A750" s="3" t="str">
        <f>IF($B750="","",COUNTA($B$9:$B750))</f>
        <v/>
      </c>
      <c r="B750" s="4"/>
      <c r="C750" s="4"/>
      <c r="D750" s="4"/>
      <c r="E750" s="4"/>
      <c r="F750" s="3" t="str">
        <f t="shared" si="23"/>
        <v/>
      </c>
      <c r="G750" s="4"/>
      <c r="H750" s="5"/>
      <c r="I750" s="5"/>
      <c r="J750" s="6" t="str">
        <f t="shared" si="22"/>
        <v/>
      </c>
      <c r="K750" s="6" t="str">
        <f>IF(OR($B750="",$E750="",Calc!$B747=""),"",SUMIFS(CalcAmtA,CalcPartyA,$E750,CalcKeyA,"&lt;="&amp;Calc!$B747)-SUMIFS(CalcWitB,CalcPartyB,$E750,CalcKeyB,"&lt;="&amp;Calc!$B747)+SUMIFS(CalcDepB,CalcPartyB,$E750,CalcKeyB,"&lt;="&amp;Calc!$B747))</f>
        <v/>
      </c>
      <c r="L750" s="4"/>
    </row>
    <row r="751" spans="1:12" x14ac:dyDescent="0.2">
      <c r="A751" s="3" t="str">
        <f>IF($B751="","",COUNTA($B$9:$B751))</f>
        <v/>
      </c>
      <c r="B751" s="4"/>
      <c r="C751" s="4"/>
      <c r="D751" s="4"/>
      <c r="E751" s="4"/>
      <c r="F751" s="3" t="str">
        <f t="shared" si="23"/>
        <v/>
      </c>
      <c r="G751" s="4"/>
      <c r="H751" s="5"/>
      <c r="I751" s="5"/>
      <c r="J751" s="6" t="str">
        <f t="shared" si="22"/>
        <v/>
      </c>
      <c r="K751" s="6" t="str">
        <f>IF(OR($B751="",$E751="",Calc!$B748=""),"",SUMIFS(CalcAmtA,CalcPartyA,$E751,CalcKeyA,"&lt;="&amp;Calc!$B748)-SUMIFS(CalcWitB,CalcPartyB,$E751,CalcKeyB,"&lt;="&amp;Calc!$B748)+SUMIFS(CalcDepB,CalcPartyB,$E751,CalcKeyB,"&lt;="&amp;Calc!$B748))</f>
        <v/>
      </c>
      <c r="L751" s="4"/>
    </row>
    <row r="752" spans="1:12" x14ac:dyDescent="0.2">
      <c r="A752" s="3" t="str">
        <f>IF($B752="","",COUNTA($B$9:$B752))</f>
        <v/>
      </c>
      <c r="B752" s="4"/>
      <c r="C752" s="4"/>
      <c r="D752" s="4"/>
      <c r="E752" s="4"/>
      <c r="F752" s="3" t="str">
        <f t="shared" si="23"/>
        <v/>
      </c>
      <c r="G752" s="4"/>
      <c r="H752" s="5"/>
      <c r="I752" s="5"/>
      <c r="J752" s="6" t="str">
        <f t="shared" si="22"/>
        <v/>
      </c>
      <c r="K752" s="6" t="str">
        <f>IF(OR($B752="",$E752="",Calc!$B749=""),"",SUMIFS(CalcAmtA,CalcPartyA,$E752,CalcKeyA,"&lt;="&amp;Calc!$B749)-SUMIFS(CalcWitB,CalcPartyB,$E752,CalcKeyB,"&lt;="&amp;Calc!$B749)+SUMIFS(CalcDepB,CalcPartyB,$E752,CalcKeyB,"&lt;="&amp;Calc!$B749))</f>
        <v/>
      </c>
      <c r="L752" s="4"/>
    </row>
    <row r="753" spans="1:12" x14ac:dyDescent="0.2">
      <c r="A753" s="3" t="str">
        <f>IF($B753="","",COUNTA($B$9:$B753))</f>
        <v/>
      </c>
      <c r="B753" s="4"/>
      <c r="C753" s="4"/>
      <c r="D753" s="4"/>
      <c r="E753" s="4"/>
      <c r="F753" s="3" t="str">
        <f t="shared" si="23"/>
        <v/>
      </c>
      <c r="G753" s="4"/>
      <c r="H753" s="5"/>
      <c r="I753" s="5"/>
      <c r="J753" s="6" t="str">
        <f t="shared" si="22"/>
        <v/>
      </c>
      <c r="K753" s="6" t="str">
        <f>IF(OR($B753="",$E753="",Calc!$B750=""),"",SUMIFS(CalcAmtA,CalcPartyA,$E753,CalcKeyA,"&lt;="&amp;Calc!$B750)-SUMIFS(CalcWitB,CalcPartyB,$E753,CalcKeyB,"&lt;="&amp;Calc!$B750)+SUMIFS(CalcDepB,CalcPartyB,$E753,CalcKeyB,"&lt;="&amp;Calc!$B750))</f>
        <v/>
      </c>
      <c r="L753" s="4"/>
    </row>
    <row r="754" spans="1:12" x14ac:dyDescent="0.2">
      <c r="A754" s="3" t="str">
        <f>IF($B754="","",COUNTA($B$9:$B754))</f>
        <v/>
      </c>
      <c r="B754" s="4"/>
      <c r="C754" s="4"/>
      <c r="D754" s="4"/>
      <c r="E754" s="4"/>
      <c r="F754" s="3" t="str">
        <f t="shared" si="23"/>
        <v/>
      </c>
      <c r="G754" s="4"/>
      <c r="H754" s="5"/>
      <c r="I754" s="5"/>
      <c r="J754" s="6" t="str">
        <f t="shared" si="22"/>
        <v/>
      </c>
      <c r="K754" s="6" t="str">
        <f>IF(OR($B754="",$E754="",Calc!$B751=""),"",SUMIFS(CalcAmtA,CalcPartyA,$E754,CalcKeyA,"&lt;="&amp;Calc!$B751)-SUMIFS(CalcWitB,CalcPartyB,$E754,CalcKeyB,"&lt;="&amp;Calc!$B751)+SUMIFS(CalcDepB,CalcPartyB,$E754,CalcKeyB,"&lt;="&amp;Calc!$B751))</f>
        <v/>
      </c>
      <c r="L754" s="4"/>
    </row>
    <row r="755" spans="1:12" x14ac:dyDescent="0.2">
      <c r="A755" s="3" t="str">
        <f>IF($B755="","",COUNTA($B$9:$B755))</f>
        <v/>
      </c>
      <c r="B755" s="4"/>
      <c r="C755" s="4"/>
      <c r="D755" s="4"/>
      <c r="E755" s="4"/>
      <c r="F755" s="3" t="str">
        <f t="shared" si="23"/>
        <v/>
      </c>
      <c r="G755" s="4"/>
      <c r="H755" s="5"/>
      <c r="I755" s="5"/>
      <c r="J755" s="6" t="str">
        <f t="shared" si="22"/>
        <v/>
      </c>
      <c r="K755" s="6" t="str">
        <f>IF(OR($B755="",$E755="",Calc!$B752=""),"",SUMIFS(CalcAmtA,CalcPartyA,$E755,CalcKeyA,"&lt;="&amp;Calc!$B752)-SUMIFS(CalcWitB,CalcPartyB,$E755,CalcKeyB,"&lt;="&amp;Calc!$B752)+SUMIFS(CalcDepB,CalcPartyB,$E755,CalcKeyB,"&lt;="&amp;Calc!$B752))</f>
        <v/>
      </c>
      <c r="L755" s="4"/>
    </row>
    <row r="756" spans="1:12" x14ac:dyDescent="0.2">
      <c r="A756" s="3" t="str">
        <f>IF($B756="","",COUNTA($B$9:$B756))</f>
        <v/>
      </c>
      <c r="B756" s="4"/>
      <c r="C756" s="4"/>
      <c r="D756" s="4"/>
      <c r="E756" s="4"/>
      <c r="F756" s="3" t="str">
        <f t="shared" si="23"/>
        <v/>
      </c>
      <c r="G756" s="4"/>
      <c r="H756" s="5"/>
      <c r="I756" s="5"/>
      <c r="J756" s="6" t="str">
        <f t="shared" si="22"/>
        <v/>
      </c>
      <c r="K756" s="6" t="str">
        <f>IF(OR($B756="",$E756="",Calc!$B753=""),"",SUMIFS(CalcAmtA,CalcPartyA,$E756,CalcKeyA,"&lt;="&amp;Calc!$B753)-SUMIFS(CalcWitB,CalcPartyB,$E756,CalcKeyB,"&lt;="&amp;Calc!$B753)+SUMIFS(CalcDepB,CalcPartyB,$E756,CalcKeyB,"&lt;="&amp;Calc!$B753))</f>
        <v/>
      </c>
      <c r="L756" s="4"/>
    </row>
    <row r="757" spans="1:12" x14ac:dyDescent="0.2">
      <c r="A757" s="3" t="str">
        <f>IF($B757="","",COUNTA($B$9:$B757))</f>
        <v/>
      </c>
      <c r="B757" s="4"/>
      <c r="C757" s="4"/>
      <c r="D757" s="4"/>
      <c r="E757" s="4"/>
      <c r="F757" s="3" t="str">
        <f t="shared" si="23"/>
        <v/>
      </c>
      <c r="G757" s="4"/>
      <c r="H757" s="5"/>
      <c r="I757" s="5"/>
      <c r="J757" s="6" t="str">
        <f t="shared" si="22"/>
        <v/>
      </c>
      <c r="K757" s="6" t="str">
        <f>IF(OR($B757="",$E757="",Calc!$B754=""),"",SUMIFS(CalcAmtA,CalcPartyA,$E757,CalcKeyA,"&lt;="&amp;Calc!$B754)-SUMIFS(CalcWitB,CalcPartyB,$E757,CalcKeyB,"&lt;="&amp;Calc!$B754)+SUMIFS(CalcDepB,CalcPartyB,$E757,CalcKeyB,"&lt;="&amp;Calc!$B754))</f>
        <v/>
      </c>
      <c r="L757" s="4"/>
    </row>
    <row r="758" spans="1:12" x14ac:dyDescent="0.2">
      <c r="A758" s="3" t="str">
        <f>IF($B758="","",COUNTA($B$9:$B758))</f>
        <v/>
      </c>
      <c r="B758" s="4"/>
      <c r="C758" s="4"/>
      <c r="D758" s="4"/>
      <c r="E758" s="4"/>
      <c r="F758" s="3" t="str">
        <f t="shared" si="23"/>
        <v/>
      </c>
      <c r="G758" s="4"/>
      <c r="H758" s="5"/>
      <c r="I758" s="5"/>
      <c r="J758" s="6" t="str">
        <f t="shared" si="22"/>
        <v/>
      </c>
      <c r="K758" s="6" t="str">
        <f>IF(OR($B758="",$E758="",Calc!$B755=""),"",SUMIFS(CalcAmtA,CalcPartyA,$E758,CalcKeyA,"&lt;="&amp;Calc!$B755)-SUMIFS(CalcWitB,CalcPartyB,$E758,CalcKeyB,"&lt;="&amp;Calc!$B755)+SUMIFS(CalcDepB,CalcPartyB,$E758,CalcKeyB,"&lt;="&amp;Calc!$B755))</f>
        <v/>
      </c>
      <c r="L758" s="4"/>
    </row>
    <row r="759" spans="1:12" x14ac:dyDescent="0.2">
      <c r="A759" s="3" t="str">
        <f>IF($B759="","",COUNTA($B$9:$B759))</f>
        <v/>
      </c>
      <c r="B759" s="4"/>
      <c r="C759" s="4"/>
      <c r="D759" s="4"/>
      <c r="E759" s="4"/>
      <c r="F759" s="3" t="str">
        <f t="shared" si="23"/>
        <v/>
      </c>
      <c r="G759" s="4"/>
      <c r="H759" s="5"/>
      <c r="I759" s="5"/>
      <c r="J759" s="6" t="str">
        <f t="shared" si="22"/>
        <v/>
      </c>
      <c r="K759" s="6" t="str">
        <f>IF(OR($B759="",$E759="",Calc!$B756=""),"",SUMIFS(CalcAmtA,CalcPartyA,$E759,CalcKeyA,"&lt;="&amp;Calc!$B756)-SUMIFS(CalcWitB,CalcPartyB,$E759,CalcKeyB,"&lt;="&amp;Calc!$B756)+SUMIFS(CalcDepB,CalcPartyB,$E759,CalcKeyB,"&lt;="&amp;Calc!$B756))</f>
        <v/>
      </c>
      <c r="L759" s="4"/>
    </row>
    <row r="760" spans="1:12" x14ac:dyDescent="0.2">
      <c r="A760" s="3" t="str">
        <f>IF($B760="","",COUNTA($B$9:$B760))</f>
        <v/>
      </c>
      <c r="B760" s="4"/>
      <c r="C760" s="4"/>
      <c r="D760" s="4"/>
      <c r="E760" s="4"/>
      <c r="F760" s="3" t="str">
        <f t="shared" si="23"/>
        <v/>
      </c>
      <c r="G760" s="4"/>
      <c r="H760" s="5"/>
      <c r="I760" s="5"/>
      <c r="J760" s="6" t="str">
        <f t="shared" si="22"/>
        <v/>
      </c>
      <c r="K760" s="6" t="str">
        <f>IF(OR($B760="",$E760="",Calc!$B757=""),"",SUMIFS(CalcAmtA,CalcPartyA,$E760,CalcKeyA,"&lt;="&amp;Calc!$B757)-SUMIFS(CalcWitB,CalcPartyB,$E760,CalcKeyB,"&lt;="&amp;Calc!$B757)+SUMIFS(CalcDepB,CalcPartyB,$E760,CalcKeyB,"&lt;="&amp;Calc!$B757))</f>
        <v/>
      </c>
      <c r="L760" s="4"/>
    </row>
    <row r="761" spans="1:12" x14ac:dyDescent="0.2">
      <c r="A761" s="3" t="str">
        <f>IF($B761="","",COUNTA($B$9:$B761))</f>
        <v/>
      </c>
      <c r="B761" s="4"/>
      <c r="C761" s="4"/>
      <c r="D761" s="4"/>
      <c r="E761" s="4"/>
      <c r="F761" s="3" t="str">
        <f t="shared" si="23"/>
        <v/>
      </c>
      <c r="G761" s="4"/>
      <c r="H761" s="5"/>
      <c r="I761" s="5"/>
      <c r="J761" s="6" t="str">
        <f t="shared" si="22"/>
        <v/>
      </c>
      <c r="K761" s="6" t="str">
        <f>IF(OR($B761="",$E761="",Calc!$B758=""),"",SUMIFS(CalcAmtA,CalcPartyA,$E761,CalcKeyA,"&lt;="&amp;Calc!$B758)-SUMIFS(CalcWitB,CalcPartyB,$E761,CalcKeyB,"&lt;="&amp;Calc!$B758)+SUMIFS(CalcDepB,CalcPartyB,$E761,CalcKeyB,"&lt;="&amp;Calc!$B758))</f>
        <v/>
      </c>
      <c r="L761" s="4"/>
    </row>
    <row r="762" spans="1:12" x14ac:dyDescent="0.2">
      <c r="A762" s="3" t="str">
        <f>IF($B762="","",COUNTA($B$9:$B762))</f>
        <v/>
      </c>
      <c r="B762" s="4"/>
      <c r="C762" s="4"/>
      <c r="D762" s="4"/>
      <c r="E762" s="4"/>
      <c r="F762" s="3" t="str">
        <f t="shared" si="23"/>
        <v/>
      </c>
      <c r="G762" s="4"/>
      <c r="H762" s="5"/>
      <c r="I762" s="5"/>
      <c r="J762" s="6" t="str">
        <f t="shared" si="22"/>
        <v/>
      </c>
      <c r="K762" s="6" t="str">
        <f>IF(OR($B762="",$E762="",Calc!$B759=""),"",SUMIFS(CalcAmtA,CalcPartyA,$E762,CalcKeyA,"&lt;="&amp;Calc!$B759)-SUMIFS(CalcWitB,CalcPartyB,$E762,CalcKeyB,"&lt;="&amp;Calc!$B759)+SUMIFS(CalcDepB,CalcPartyB,$E762,CalcKeyB,"&lt;="&amp;Calc!$B759))</f>
        <v/>
      </c>
      <c r="L762" s="4"/>
    </row>
    <row r="763" spans="1:12" x14ac:dyDescent="0.2">
      <c r="A763" s="3" t="str">
        <f>IF($B763="","",COUNTA($B$9:$B763))</f>
        <v/>
      </c>
      <c r="B763" s="4"/>
      <c r="C763" s="4"/>
      <c r="D763" s="4"/>
      <c r="E763" s="4"/>
      <c r="F763" s="3" t="str">
        <f t="shared" si="23"/>
        <v/>
      </c>
      <c r="G763" s="4"/>
      <c r="H763" s="5"/>
      <c r="I763" s="5"/>
      <c r="J763" s="6" t="str">
        <f t="shared" si="22"/>
        <v/>
      </c>
      <c r="K763" s="6" t="str">
        <f>IF(OR($B763="",$E763="",Calc!$B760=""),"",SUMIFS(CalcAmtA,CalcPartyA,$E763,CalcKeyA,"&lt;="&amp;Calc!$B760)-SUMIFS(CalcWitB,CalcPartyB,$E763,CalcKeyB,"&lt;="&amp;Calc!$B760)+SUMIFS(CalcDepB,CalcPartyB,$E763,CalcKeyB,"&lt;="&amp;Calc!$B760))</f>
        <v/>
      </c>
      <c r="L763" s="4"/>
    </row>
    <row r="764" spans="1:12" x14ac:dyDescent="0.2">
      <c r="A764" s="3" t="str">
        <f>IF($B764="","",COUNTA($B$9:$B764))</f>
        <v/>
      </c>
      <c r="B764" s="4"/>
      <c r="C764" s="4"/>
      <c r="D764" s="4"/>
      <c r="E764" s="4"/>
      <c r="F764" s="3" t="str">
        <f t="shared" si="23"/>
        <v/>
      </c>
      <c r="G764" s="4"/>
      <c r="H764" s="5"/>
      <c r="I764" s="5"/>
      <c r="J764" s="6" t="str">
        <f t="shared" si="22"/>
        <v/>
      </c>
      <c r="K764" s="6" t="str">
        <f>IF(OR($B764="",$E764="",Calc!$B761=""),"",SUMIFS(CalcAmtA,CalcPartyA,$E764,CalcKeyA,"&lt;="&amp;Calc!$B761)-SUMIFS(CalcWitB,CalcPartyB,$E764,CalcKeyB,"&lt;="&amp;Calc!$B761)+SUMIFS(CalcDepB,CalcPartyB,$E764,CalcKeyB,"&lt;="&amp;Calc!$B761))</f>
        <v/>
      </c>
      <c r="L764" s="4"/>
    </row>
    <row r="765" spans="1:12" x14ac:dyDescent="0.2">
      <c r="A765" s="3" t="str">
        <f>IF($B765="","",COUNTA($B$9:$B765))</f>
        <v/>
      </c>
      <c r="B765" s="4"/>
      <c r="C765" s="4"/>
      <c r="D765" s="4"/>
      <c r="E765" s="4"/>
      <c r="F765" s="3" t="str">
        <f t="shared" si="23"/>
        <v/>
      </c>
      <c r="G765" s="4"/>
      <c r="H765" s="5"/>
      <c r="I765" s="5"/>
      <c r="J765" s="6" t="str">
        <f t="shared" si="22"/>
        <v/>
      </c>
      <c r="K765" s="6" t="str">
        <f>IF(OR($B765="",$E765="",Calc!$B762=""),"",SUMIFS(CalcAmtA,CalcPartyA,$E765,CalcKeyA,"&lt;="&amp;Calc!$B762)-SUMIFS(CalcWitB,CalcPartyB,$E765,CalcKeyB,"&lt;="&amp;Calc!$B762)+SUMIFS(CalcDepB,CalcPartyB,$E765,CalcKeyB,"&lt;="&amp;Calc!$B762))</f>
        <v/>
      </c>
      <c r="L765" s="4"/>
    </row>
    <row r="766" spans="1:12" x14ac:dyDescent="0.2">
      <c r="A766" s="3" t="str">
        <f>IF($B766="","",COUNTA($B$9:$B766))</f>
        <v/>
      </c>
      <c r="B766" s="4"/>
      <c r="C766" s="4"/>
      <c r="D766" s="4"/>
      <c r="E766" s="4"/>
      <c r="F766" s="3" t="str">
        <f t="shared" si="23"/>
        <v/>
      </c>
      <c r="G766" s="4"/>
      <c r="H766" s="5"/>
      <c r="I766" s="5"/>
      <c r="J766" s="6" t="str">
        <f t="shared" si="22"/>
        <v/>
      </c>
      <c r="K766" s="6" t="str">
        <f>IF(OR($B766="",$E766="",Calc!$B763=""),"",SUMIFS(CalcAmtA,CalcPartyA,$E766,CalcKeyA,"&lt;="&amp;Calc!$B763)-SUMIFS(CalcWitB,CalcPartyB,$E766,CalcKeyB,"&lt;="&amp;Calc!$B763)+SUMIFS(CalcDepB,CalcPartyB,$E766,CalcKeyB,"&lt;="&amp;Calc!$B763))</f>
        <v/>
      </c>
      <c r="L766" s="4"/>
    </row>
    <row r="767" spans="1:12" x14ac:dyDescent="0.2">
      <c r="A767" s="3" t="str">
        <f>IF($B767="","",COUNTA($B$9:$B767))</f>
        <v/>
      </c>
      <c r="B767" s="4"/>
      <c r="C767" s="4"/>
      <c r="D767" s="4"/>
      <c r="E767" s="4"/>
      <c r="F767" s="3" t="str">
        <f t="shared" si="23"/>
        <v/>
      </c>
      <c r="G767" s="4"/>
      <c r="H767" s="5"/>
      <c r="I767" s="5"/>
      <c r="J767" s="6" t="str">
        <f t="shared" si="22"/>
        <v/>
      </c>
      <c r="K767" s="6" t="str">
        <f>IF(OR($B767="",$E767="",Calc!$B764=""),"",SUMIFS(CalcAmtA,CalcPartyA,$E767,CalcKeyA,"&lt;="&amp;Calc!$B764)-SUMIFS(CalcWitB,CalcPartyB,$E767,CalcKeyB,"&lt;="&amp;Calc!$B764)+SUMIFS(CalcDepB,CalcPartyB,$E767,CalcKeyB,"&lt;="&amp;Calc!$B764))</f>
        <v/>
      </c>
      <c r="L767" s="4"/>
    </row>
    <row r="768" spans="1:12" x14ac:dyDescent="0.2">
      <c r="A768" s="3" t="str">
        <f>IF($B768="","",COUNTA($B$9:$B768))</f>
        <v/>
      </c>
      <c r="B768" s="4"/>
      <c r="C768" s="4"/>
      <c r="D768" s="4"/>
      <c r="E768" s="4"/>
      <c r="F768" s="3" t="str">
        <f t="shared" si="23"/>
        <v/>
      </c>
      <c r="G768" s="4"/>
      <c r="H768" s="5"/>
      <c r="I768" s="5"/>
      <c r="J768" s="6" t="str">
        <f t="shared" si="22"/>
        <v/>
      </c>
      <c r="K768" s="6" t="str">
        <f>IF(OR($B768="",$E768="",Calc!$B765=""),"",SUMIFS(CalcAmtA,CalcPartyA,$E768,CalcKeyA,"&lt;="&amp;Calc!$B765)-SUMIFS(CalcWitB,CalcPartyB,$E768,CalcKeyB,"&lt;="&amp;Calc!$B765)+SUMIFS(CalcDepB,CalcPartyB,$E768,CalcKeyB,"&lt;="&amp;Calc!$B765))</f>
        <v/>
      </c>
      <c r="L768" s="4"/>
    </row>
    <row r="769" spans="1:12" x14ac:dyDescent="0.2">
      <c r="A769" s="3" t="str">
        <f>IF($B769="","",COUNTA($B$9:$B769))</f>
        <v/>
      </c>
      <c r="B769" s="4"/>
      <c r="C769" s="4"/>
      <c r="D769" s="4"/>
      <c r="E769" s="4"/>
      <c r="F769" s="3" t="str">
        <f t="shared" si="23"/>
        <v/>
      </c>
      <c r="G769" s="4"/>
      <c r="H769" s="5"/>
      <c r="I769" s="5"/>
      <c r="J769" s="6" t="str">
        <f t="shared" si="22"/>
        <v/>
      </c>
      <c r="K769" s="6" t="str">
        <f>IF(OR($B769="",$E769="",Calc!$B766=""),"",SUMIFS(CalcAmtA,CalcPartyA,$E769,CalcKeyA,"&lt;="&amp;Calc!$B766)-SUMIFS(CalcWitB,CalcPartyB,$E769,CalcKeyB,"&lt;="&amp;Calc!$B766)+SUMIFS(CalcDepB,CalcPartyB,$E769,CalcKeyB,"&lt;="&amp;Calc!$B766))</f>
        <v/>
      </c>
      <c r="L769" s="4"/>
    </row>
    <row r="770" spans="1:12" x14ac:dyDescent="0.2">
      <c r="A770" s="3" t="str">
        <f>IF($B770="","",COUNTA($B$9:$B770))</f>
        <v/>
      </c>
      <c r="B770" s="4"/>
      <c r="C770" s="4"/>
      <c r="D770" s="4"/>
      <c r="E770" s="4"/>
      <c r="F770" s="3" t="str">
        <f t="shared" si="23"/>
        <v/>
      </c>
      <c r="G770" s="4"/>
      <c r="H770" s="5"/>
      <c r="I770" s="5"/>
      <c r="J770" s="6" t="str">
        <f t="shared" si="22"/>
        <v/>
      </c>
      <c r="K770" s="6" t="str">
        <f>IF(OR($B770="",$E770="",Calc!$B767=""),"",SUMIFS(CalcAmtA,CalcPartyA,$E770,CalcKeyA,"&lt;="&amp;Calc!$B767)-SUMIFS(CalcWitB,CalcPartyB,$E770,CalcKeyB,"&lt;="&amp;Calc!$B767)+SUMIFS(CalcDepB,CalcPartyB,$E770,CalcKeyB,"&lt;="&amp;Calc!$B767))</f>
        <v/>
      </c>
      <c r="L770" s="4"/>
    </row>
    <row r="771" spans="1:12" x14ac:dyDescent="0.2">
      <c r="A771" s="3" t="str">
        <f>IF($B771="","",COUNTA($B$9:$B771))</f>
        <v/>
      </c>
      <c r="B771" s="4"/>
      <c r="C771" s="4"/>
      <c r="D771" s="4"/>
      <c r="E771" s="4"/>
      <c r="F771" s="3" t="str">
        <f t="shared" si="23"/>
        <v/>
      </c>
      <c r="G771" s="4"/>
      <c r="H771" s="5"/>
      <c r="I771" s="5"/>
      <c r="J771" s="6" t="str">
        <f t="shared" si="22"/>
        <v/>
      </c>
      <c r="K771" s="6" t="str">
        <f>IF(OR($B771="",$E771="",Calc!$B768=""),"",SUMIFS(CalcAmtA,CalcPartyA,$E771,CalcKeyA,"&lt;="&amp;Calc!$B768)-SUMIFS(CalcWitB,CalcPartyB,$E771,CalcKeyB,"&lt;="&amp;Calc!$B768)+SUMIFS(CalcDepB,CalcPartyB,$E771,CalcKeyB,"&lt;="&amp;Calc!$B768))</f>
        <v/>
      </c>
      <c r="L771" s="4"/>
    </row>
    <row r="772" spans="1:12" x14ac:dyDescent="0.2">
      <c r="A772" s="3" t="str">
        <f>IF($B772="","",COUNTA($B$9:$B772))</f>
        <v/>
      </c>
      <c r="B772" s="4"/>
      <c r="C772" s="4"/>
      <c r="D772" s="4"/>
      <c r="E772" s="4"/>
      <c r="F772" s="3" t="str">
        <f t="shared" si="23"/>
        <v/>
      </c>
      <c r="G772" s="4"/>
      <c r="H772" s="5"/>
      <c r="I772" s="5"/>
      <c r="J772" s="6" t="str">
        <f t="shared" si="22"/>
        <v/>
      </c>
      <c r="K772" s="6" t="str">
        <f>IF(OR($B772="",$E772="",Calc!$B769=""),"",SUMIFS(CalcAmtA,CalcPartyA,$E772,CalcKeyA,"&lt;="&amp;Calc!$B769)-SUMIFS(CalcWitB,CalcPartyB,$E772,CalcKeyB,"&lt;="&amp;Calc!$B769)+SUMIFS(CalcDepB,CalcPartyB,$E772,CalcKeyB,"&lt;="&amp;Calc!$B769))</f>
        <v/>
      </c>
      <c r="L772" s="4"/>
    </row>
    <row r="773" spans="1:12" x14ac:dyDescent="0.2">
      <c r="A773" s="3" t="str">
        <f>IF($B773="","",COUNTA($B$9:$B773))</f>
        <v/>
      </c>
      <c r="B773" s="4"/>
      <c r="C773" s="4"/>
      <c r="D773" s="4"/>
      <c r="E773" s="4"/>
      <c r="F773" s="3" t="str">
        <f t="shared" si="23"/>
        <v/>
      </c>
      <c r="G773" s="4"/>
      <c r="H773" s="5"/>
      <c r="I773" s="5"/>
      <c r="J773" s="6" t="str">
        <f t="shared" si="22"/>
        <v/>
      </c>
      <c r="K773" s="6" t="str">
        <f>IF(OR($B773="",$E773="",Calc!$B770=""),"",SUMIFS(CalcAmtA,CalcPartyA,$E773,CalcKeyA,"&lt;="&amp;Calc!$B770)-SUMIFS(CalcWitB,CalcPartyB,$E773,CalcKeyB,"&lt;="&amp;Calc!$B770)+SUMIFS(CalcDepB,CalcPartyB,$E773,CalcKeyB,"&lt;="&amp;Calc!$B770))</f>
        <v/>
      </c>
      <c r="L773" s="4"/>
    </row>
    <row r="774" spans="1:12" x14ac:dyDescent="0.2">
      <c r="A774" s="3" t="str">
        <f>IF($B774="","",COUNTA($B$9:$B774))</f>
        <v/>
      </c>
      <c r="B774" s="4"/>
      <c r="C774" s="4"/>
      <c r="D774" s="4"/>
      <c r="E774" s="4"/>
      <c r="F774" s="3" t="str">
        <f t="shared" si="23"/>
        <v/>
      </c>
      <c r="G774" s="4"/>
      <c r="H774" s="5"/>
      <c r="I774" s="5"/>
      <c r="J774" s="6" t="str">
        <f t="shared" ref="J774:J837" si="24">IF(OR($H774="",$I774=""),"",ROUND($H774*$I774,0))</f>
        <v/>
      </c>
      <c r="K774" s="6" t="str">
        <f>IF(OR($B774="",$E774="",Calc!$B771=""),"",SUMIFS(CalcAmtA,CalcPartyA,$E774,CalcKeyA,"&lt;="&amp;Calc!$B771)-SUMIFS(CalcWitB,CalcPartyB,$E774,CalcKeyB,"&lt;="&amp;Calc!$B771)+SUMIFS(CalcDepB,CalcPartyB,$E774,CalcKeyB,"&lt;="&amp;Calc!$B771))</f>
        <v/>
      </c>
      <c r="L774" s="4"/>
    </row>
    <row r="775" spans="1:12" x14ac:dyDescent="0.2">
      <c r="A775" s="3" t="str">
        <f>IF($B775="","",COUNTA($B$9:$B775))</f>
        <v/>
      </c>
      <c r="B775" s="4"/>
      <c r="C775" s="4"/>
      <c r="D775" s="4"/>
      <c r="E775" s="4"/>
      <c r="F775" s="3" t="str">
        <f t="shared" si="23"/>
        <v/>
      </c>
      <c r="G775" s="4"/>
      <c r="H775" s="5"/>
      <c r="I775" s="5"/>
      <c r="J775" s="6" t="str">
        <f t="shared" si="24"/>
        <v/>
      </c>
      <c r="K775" s="6" t="str">
        <f>IF(OR($B775="",$E775="",Calc!$B772=""),"",SUMIFS(CalcAmtA,CalcPartyA,$E775,CalcKeyA,"&lt;="&amp;Calc!$B772)-SUMIFS(CalcWitB,CalcPartyB,$E775,CalcKeyB,"&lt;="&amp;Calc!$B772)+SUMIFS(CalcDepB,CalcPartyB,$E775,CalcKeyB,"&lt;="&amp;Calc!$B772))</f>
        <v/>
      </c>
      <c r="L775" s="4"/>
    </row>
    <row r="776" spans="1:12" x14ac:dyDescent="0.2">
      <c r="A776" s="3" t="str">
        <f>IF($B776="","",COUNTA($B$9:$B776))</f>
        <v/>
      </c>
      <c r="B776" s="4"/>
      <c r="C776" s="4"/>
      <c r="D776" s="4"/>
      <c r="E776" s="4"/>
      <c r="F776" s="3" t="str">
        <f t="shared" si="23"/>
        <v/>
      </c>
      <c r="G776" s="4"/>
      <c r="H776" s="5"/>
      <c r="I776" s="5"/>
      <c r="J776" s="6" t="str">
        <f t="shared" si="24"/>
        <v/>
      </c>
      <c r="K776" s="6" t="str">
        <f>IF(OR($B776="",$E776="",Calc!$B773=""),"",SUMIFS(CalcAmtA,CalcPartyA,$E776,CalcKeyA,"&lt;="&amp;Calc!$B773)-SUMIFS(CalcWitB,CalcPartyB,$E776,CalcKeyB,"&lt;="&amp;Calc!$B773)+SUMIFS(CalcDepB,CalcPartyB,$E776,CalcKeyB,"&lt;="&amp;Calc!$B773))</f>
        <v/>
      </c>
      <c r="L776" s="4"/>
    </row>
    <row r="777" spans="1:12" x14ac:dyDescent="0.2">
      <c r="A777" s="3" t="str">
        <f>IF($B777="","",COUNTA($B$9:$B777))</f>
        <v/>
      </c>
      <c r="B777" s="4"/>
      <c r="C777" s="4"/>
      <c r="D777" s="4"/>
      <c r="E777" s="4"/>
      <c r="F777" s="3" t="str">
        <f t="shared" ref="F777:F840" si="25">IF($E777="","",IFERROR(IF(VLOOKUP($E777,AcctTbl,4,0)="","",VLOOKUP($E777,AcctTbl,4,0)),"—"))</f>
        <v/>
      </c>
      <c r="G777" s="4"/>
      <c r="H777" s="5"/>
      <c r="I777" s="5"/>
      <c r="J777" s="6" t="str">
        <f t="shared" si="24"/>
        <v/>
      </c>
      <c r="K777" s="6" t="str">
        <f>IF(OR($B777="",$E777="",Calc!$B774=""),"",SUMIFS(CalcAmtA,CalcPartyA,$E777,CalcKeyA,"&lt;="&amp;Calc!$B774)-SUMIFS(CalcWitB,CalcPartyB,$E777,CalcKeyB,"&lt;="&amp;Calc!$B774)+SUMIFS(CalcDepB,CalcPartyB,$E777,CalcKeyB,"&lt;="&amp;Calc!$B774))</f>
        <v/>
      </c>
      <c r="L777" s="4"/>
    </row>
    <row r="778" spans="1:12" x14ac:dyDescent="0.2">
      <c r="A778" s="3" t="str">
        <f>IF($B778="","",COUNTA($B$9:$B778))</f>
        <v/>
      </c>
      <c r="B778" s="4"/>
      <c r="C778" s="4"/>
      <c r="D778" s="4"/>
      <c r="E778" s="4"/>
      <c r="F778" s="3" t="str">
        <f t="shared" si="25"/>
        <v/>
      </c>
      <c r="G778" s="4"/>
      <c r="H778" s="5"/>
      <c r="I778" s="5"/>
      <c r="J778" s="6" t="str">
        <f t="shared" si="24"/>
        <v/>
      </c>
      <c r="K778" s="6" t="str">
        <f>IF(OR($B778="",$E778="",Calc!$B775=""),"",SUMIFS(CalcAmtA,CalcPartyA,$E778,CalcKeyA,"&lt;="&amp;Calc!$B775)-SUMIFS(CalcWitB,CalcPartyB,$E778,CalcKeyB,"&lt;="&amp;Calc!$B775)+SUMIFS(CalcDepB,CalcPartyB,$E778,CalcKeyB,"&lt;="&amp;Calc!$B775))</f>
        <v/>
      </c>
      <c r="L778" s="4"/>
    </row>
    <row r="779" spans="1:12" x14ac:dyDescent="0.2">
      <c r="A779" s="3" t="str">
        <f>IF($B779="","",COUNTA($B$9:$B779))</f>
        <v/>
      </c>
      <c r="B779" s="4"/>
      <c r="C779" s="4"/>
      <c r="D779" s="4"/>
      <c r="E779" s="4"/>
      <c r="F779" s="3" t="str">
        <f t="shared" si="25"/>
        <v/>
      </c>
      <c r="G779" s="4"/>
      <c r="H779" s="5"/>
      <c r="I779" s="5"/>
      <c r="J779" s="6" t="str">
        <f t="shared" si="24"/>
        <v/>
      </c>
      <c r="K779" s="6" t="str">
        <f>IF(OR($B779="",$E779="",Calc!$B776=""),"",SUMIFS(CalcAmtA,CalcPartyA,$E779,CalcKeyA,"&lt;="&amp;Calc!$B776)-SUMIFS(CalcWitB,CalcPartyB,$E779,CalcKeyB,"&lt;="&amp;Calc!$B776)+SUMIFS(CalcDepB,CalcPartyB,$E779,CalcKeyB,"&lt;="&amp;Calc!$B776))</f>
        <v/>
      </c>
      <c r="L779" s="4"/>
    </row>
    <row r="780" spans="1:12" x14ac:dyDescent="0.2">
      <c r="A780" s="3" t="str">
        <f>IF($B780="","",COUNTA($B$9:$B780))</f>
        <v/>
      </c>
      <c r="B780" s="4"/>
      <c r="C780" s="4"/>
      <c r="D780" s="4"/>
      <c r="E780" s="4"/>
      <c r="F780" s="3" t="str">
        <f t="shared" si="25"/>
        <v/>
      </c>
      <c r="G780" s="4"/>
      <c r="H780" s="5"/>
      <c r="I780" s="5"/>
      <c r="J780" s="6" t="str">
        <f t="shared" si="24"/>
        <v/>
      </c>
      <c r="K780" s="6" t="str">
        <f>IF(OR($B780="",$E780="",Calc!$B777=""),"",SUMIFS(CalcAmtA,CalcPartyA,$E780,CalcKeyA,"&lt;="&amp;Calc!$B777)-SUMIFS(CalcWitB,CalcPartyB,$E780,CalcKeyB,"&lt;="&amp;Calc!$B777)+SUMIFS(CalcDepB,CalcPartyB,$E780,CalcKeyB,"&lt;="&amp;Calc!$B777))</f>
        <v/>
      </c>
      <c r="L780" s="4"/>
    </row>
    <row r="781" spans="1:12" x14ac:dyDescent="0.2">
      <c r="A781" s="3" t="str">
        <f>IF($B781="","",COUNTA($B$9:$B781))</f>
        <v/>
      </c>
      <c r="B781" s="4"/>
      <c r="C781" s="4"/>
      <c r="D781" s="4"/>
      <c r="E781" s="4"/>
      <c r="F781" s="3" t="str">
        <f t="shared" si="25"/>
        <v/>
      </c>
      <c r="G781" s="4"/>
      <c r="H781" s="5"/>
      <c r="I781" s="5"/>
      <c r="J781" s="6" t="str">
        <f t="shared" si="24"/>
        <v/>
      </c>
      <c r="K781" s="6" t="str">
        <f>IF(OR($B781="",$E781="",Calc!$B778=""),"",SUMIFS(CalcAmtA,CalcPartyA,$E781,CalcKeyA,"&lt;="&amp;Calc!$B778)-SUMIFS(CalcWitB,CalcPartyB,$E781,CalcKeyB,"&lt;="&amp;Calc!$B778)+SUMIFS(CalcDepB,CalcPartyB,$E781,CalcKeyB,"&lt;="&amp;Calc!$B778))</f>
        <v/>
      </c>
      <c r="L781" s="4"/>
    </row>
    <row r="782" spans="1:12" x14ac:dyDescent="0.2">
      <c r="A782" s="3" t="str">
        <f>IF($B782="","",COUNTA($B$9:$B782))</f>
        <v/>
      </c>
      <c r="B782" s="4"/>
      <c r="C782" s="4"/>
      <c r="D782" s="4"/>
      <c r="E782" s="4"/>
      <c r="F782" s="3" t="str">
        <f t="shared" si="25"/>
        <v/>
      </c>
      <c r="G782" s="4"/>
      <c r="H782" s="5"/>
      <c r="I782" s="5"/>
      <c r="J782" s="6" t="str">
        <f t="shared" si="24"/>
        <v/>
      </c>
      <c r="K782" s="6" t="str">
        <f>IF(OR($B782="",$E782="",Calc!$B779=""),"",SUMIFS(CalcAmtA,CalcPartyA,$E782,CalcKeyA,"&lt;="&amp;Calc!$B779)-SUMIFS(CalcWitB,CalcPartyB,$E782,CalcKeyB,"&lt;="&amp;Calc!$B779)+SUMIFS(CalcDepB,CalcPartyB,$E782,CalcKeyB,"&lt;="&amp;Calc!$B779))</f>
        <v/>
      </c>
      <c r="L782" s="4"/>
    </row>
    <row r="783" spans="1:12" x14ac:dyDescent="0.2">
      <c r="A783" s="3" t="str">
        <f>IF($B783="","",COUNTA($B$9:$B783))</f>
        <v/>
      </c>
      <c r="B783" s="4"/>
      <c r="C783" s="4"/>
      <c r="D783" s="4"/>
      <c r="E783" s="4"/>
      <c r="F783" s="3" t="str">
        <f t="shared" si="25"/>
        <v/>
      </c>
      <c r="G783" s="4"/>
      <c r="H783" s="5"/>
      <c r="I783" s="5"/>
      <c r="J783" s="6" t="str">
        <f t="shared" si="24"/>
        <v/>
      </c>
      <c r="K783" s="6" t="str">
        <f>IF(OR($B783="",$E783="",Calc!$B780=""),"",SUMIFS(CalcAmtA,CalcPartyA,$E783,CalcKeyA,"&lt;="&amp;Calc!$B780)-SUMIFS(CalcWitB,CalcPartyB,$E783,CalcKeyB,"&lt;="&amp;Calc!$B780)+SUMIFS(CalcDepB,CalcPartyB,$E783,CalcKeyB,"&lt;="&amp;Calc!$B780))</f>
        <v/>
      </c>
      <c r="L783" s="4"/>
    </row>
    <row r="784" spans="1:12" x14ac:dyDescent="0.2">
      <c r="A784" s="3" t="str">
        <f>IF($B784="","",COUNTA($B$9:$B784))</f>
        <v/>
      </c>
      <c r="B784" s="4"/>
      <c r="C784" s="4"/>
      <c r="D784" s="4"/>
      <c r="E784" s="4"/>
      <c r="F784" s="3" t="str">
        <f t="shared" si="25"/>
        <v/>
      </c>
      <c r="G784" s="4"/>
      <c r="H784" s="5"/>
      <c r="I784" s="5"/>
      <c r="J784" s="6" t="str">
        <f t="shared" si="24"/>
        <v/>
      </c>
      <c r="K784" s="6" t="str">
        <f>IF(OR($B784="",$E784="",Calc!$B781=""),"",SUMIFS(CalcAmtA,CalcPartyA,$E784,CalcKeyA,"&lt;="&amp;Calc!$B781)-SUMIFS(CalcWitB,CalcPartyB,$E784,CalcKeyB,"&lt;="&amp;Calc!$B781)+SUMIFS(CalcDepB,CalcPartyB,$E784,CalcKeyB,"&lt;="&amp;Calc!$B781))</f>
        <v/>
      </c>
      <c r="L784" s="4"/>
    </row>
    <row r="785" spans="1:12" x14ac:dyDescent="0.2">
      <c r="A785" s="3" t="str">
        <f>IF($B785="","",COUNTA($B$9:$B785))</f>
        <v/>
      </c>
      <c r="B785" s="4"/>
      <c r="C785" s="4"/>
      <c r="D785" s="4"/>
      <c r="E785" s="4"/>
      <c r="F785" s="3" t="str">
        <f t="shared" si="25"/>
        <v/>
      </c>
      <c r="G785" s="4"/>
      <c r="H785" s="5"/>
      <c r="I785" s="5"/>
      <c r="J785" s="6" t="str">
        <f t="shared" si="24"/>
        <v/>
      </c>
      <c r="K785" s="6" t="str">
        <f>IF(OR($B785="",$E785="",Calc!$B782=""),"",SUMIFS(CalcAmtA,CalcPartyA,$E785,CalcKeyA,"&lt;="&amp;Calc!$B782)-SUMIFS(CalcWitB,CalcPartyB,$E785,CalcKeyB,"&lt;="&amp;Calc!$B782)+SUMIFS(CalcDepB,CalcPartyB,$E785,CalcKeyB,"&lt;="&amp;Calc!$B782))</f>
        <v/>
      </c>
      <c r="L785" s="4"/>
    </row>
    <row r="786" spans="1:12" x14ac:dyDescent="0.2">
      <c r="A786" s="3" t="str">
        <f>IF($B786="","",COUNTA($B$9:$B786))</f>
        <v/>
      </c>
      <c r="B786" s="4"/>
      <c r="C786" s="4"/>
      <c r="D786" s="4"/>
      <c r="E786" s="4"/>
      <c r="F786" s="3" t="str">
        <f t="shared" si="25"/>
        <v/>
      </c>
      <c r="G786" s="4"/>
      <c r="H786" s="5"/>
      <c r="I786" s="5"/>
      <c r="J786" s="6" t="str">
        <f t="shared" si="24"/>
        <v/>
      </c>
      <c r="K786" s="6" t="str">
        <f>IF(OR($B786="",$E786="",Calc!$B783=""),"",SUMIFS(CalcAmtA,CalcPartyA,$E786,CalcKeyA,"&lt;="&amp;Calc!$B783)-SUMIFS(CalcWitB,CalcPartyB,$E786,CalcKeyB,"&lt;="&amp;Calc!$B783)+SUMIFS(CalcDepB,CalcPartyB,$E786,CalcKeyB,"&lt;="&amp;Calc!$B783))</f>
        <v/>
      </c>
      <c r="L786" s="4"/>
    </row>
    <row r="787" spans="1:12" x14ac:dyDescent="0.2">
      <c r="A787" s="3" t="str">
        <f>IF($B787="","",COUNTA($B$9:$B787))</f>
        <v/>
      </c>
      <c r="B787" s="4"/>
      <c r="C787" s="4"/>
      <c r="D787" s="4"/>
      <c r="E787" s="4"/>
      <c r="F787" s="3" t="str">
        <f t="shared" si="25"/>
        <v/>
      </c>
      <c r="G787" s="4"/>
      <c r="H787" s="5"/>
      <c r="I787" s="5"/>
      <c r="J787" s="6" t="str">
        <f t="shared" si="24"/>
        <v/>
      </c>
      <c r="K787" s="6" t="str">
        <f>IF(OR($B787="",$E787="",Calc!$B784=""),"",SUMIFS(CalcAmtA,CalcPartyA,$E787,CalcKeyA,"&lt;="&amp;Calc!$B784)-SUMIFS(CalcWitB,CalcPartyB,$E787,CalcKeyB,"&lt;="&amp;Calc!$B784)+SUMIFS(CalcDepB,CalcPartyB,$E787,CalcKeyB,"&lt;="&amp;Calc!$B784))</f>
        <v/>
      </c>
      <c r="L787" s="4"/>
    </row>
    <row r="788" spans="1:12" x14ac:dyDescent="0.2">
      <c r="A788" s="3" t="str">
        <f>IF($B788="","",COUNTA($B$9:$B788))</f>
        <v/>
      </c>
      <c r="B788" s="4"/>
      <c r="C788" s="4"/>
      <c r="D788" s="4"/>
      <c r="E788" s="4"/>
      <c r="F788" s="3" t="str">
        <f t="shared" si="25"/>
        <v/>
      </c>
      <c r="G788" s="4"/>
      <c r="H788" s="5"/>
      <c r="I788" s="5"/>
      <c r="J788" s="6" t="str">
        <f t="shared" si="24"/>
        <v/>
      </c>
      <c r="K788" s="6" t="str">
        <f>IF(OR($B788="",$E788="",Calc!$B785=""),"",SUMIFS(CalcAmtA,CalcPartyA,$E788,CalcKeyA,"&lt;="&amp;Calc!$B785)-SUMIFS(CalcWitB,CalcPartyB,$E788,CalcKeyB,"&lt;="&amp;Calc!$B785)+SUMIFS(CalcDepB,CalcPartyB,$E788,CalcKeyB,"&lt;="&amp;Calc!$B785))</f>
        <v/>
      </c>
      <c r="L788" s="4"/>
    </row>
    <row r="789" spans="1:12" x14ac:dyDescent="0.2">
      <c r="A789" s="3" t="str">
        <f>IF($B789="","",COUNTA($B$9:$B789))</f>
        <v/>
      </c>
      <c r="B789" s="4"/>
      <c r="C789" s="4"/>
      <c r="D789" s="4"/>
      <c r="E789" s="4"/>
      <c r="F789" s="3" t="str">
        <f t="shared" si="25"/>
        <v/>
      </c>
      <c r="G789" s="4"/>
      <c r="H789" s="5"/>
      <c r="I789" s="5"/>
      <c r="J789" s="6" t="str">
        <f t="shared" si="24"/>
        <v/>
      </c>
      <c r="K789" s="6" t="str">
        <f>IF(OR($B789="",$E789="",Calc!$B786=""),"",SUMIFS(CalcAmtA,CalcPartyA,$E789,CalcKeyA,"&lt;="&amp;Calc!$B786)-SUMIFS(CalcWitB,CalcPartyB,$E789,CalcKeyB,"&lt;="&amp;Calc!$B786)+SUMIFS(CalcDepB,CalcPartyB,$E789,CalcKeyB,"&lt;="&amp;Calc!$B786))</f>
        <v/>
      </c>
      <c r="L789" s="4"/>
    </row>
    <row r="790" spans="1:12" x14ac:dyDescent="0.2">
      <c r="A790" s="3" t="str">
        <f>IF($B790="","",COUNTA($B$9:$B790))</f>
        <v/>
      </c>
      <c r="B790" s="4"/>
      <c r="C790" s="4"/>
      <c r="D790" s="4"/>
      <c r="E790" s="4"/>
      <c r="F790" s="3" t="str">
        <f t="shared" si="25"/>
        <v/>
      </c>
      <c r="G790" s="4"/>
      <c r="H790" s="5"/>
      <c r="I790" s="5"/>
      <c r="J790" s="6" t="str">
        <f t="shared" si="24"/>
        <v/>
      </c>
      <c r="K790" s="6" t="str">
        <f>IF(OR($B790="",$E790="",Calc!$B787=""),"",SUMIFS(CalcAmtA,CalcPartyA,$E790,CalcKeyA,"&lt;="&amp;Calc!$B787)-SUMIFS(CalcWitB,CalcPartyB,$E790,CalcKeyB,"&lt;="&amp;Calc!$B787)+SUMIFS(CalcDepB,CalcPartyB,$E790,CalcKeyB,"&lt;="&amp;Calc!$B787))</f>
        <v/>
      </c>
      <c r="L790" s="4"/>
    </row>
    <row r="791" spans="1:12" x14ac:dyDescent="0.2">
      <c r="A791" s="3" t="str">
        <f>IF($B791="","",COUNTA($B$9:$B791))</f>
        <v/>
      </c>
      <c r="B791" s="4"/>
      <c r="C791" s="4"/>
      <c r="D791" s="4"/>
      <c r="E791" s="4"/>
      <c r="F791" s="3" t="str">
        <f t="shared" si="25"/>
        <v/>
      </c>
      <c r="G791" s="4"/>
      <c r="H791" s="5"/>
      <c r="I791" s="5"/>
      <c r="J791" s="6" t="str">
        <f t="shared" si="24"/>
        <v/>
      </c>
      <c r="K791" s="6" t="str">
        <f>IF(OR($B791="",$E791="",Calc!$B788=""),"",SUMIFS(CalcAmtA,CalcPartyA,$E791,CalcKeyA,"&lt;="&amp;Calc!$B788)-SUMIFS(CalcWitB,CalcPartyB,$E791,CalcKeyB,"&lt;="&amp;Calc!$B788)+SUMIFS(CalcDepB,CalcPartyB,$E791,CalcKeyB,"&lt;="&amp;Calc!$B788))</f>
        <v/>
      </c>
      <c r="L791" s="4"/>
    </row>
    <row r="792" spans="1:12" x14ac:dyDescent="0.2">
      <c r="A792" s="3" t="str">
        <f>IF($B792="","",COUNTA($B$9:$B792))</f>
        <v/>
      </c>
      <c r="B792" s="4"/>
      <c r="C792" s="4"/>
      <c r="D792" s="4"/>
      <c r="E792" s="4"/>
      <c r="F792" s="3" t="str">
        <f t="shared" si="25"/>
        <v/>
      </c>
      <c r="G792" s="4"/>
      <c r="H792" s="5"/>
      <c r="I792" s="5"/>
      <c r="J792" s="6" t="str">
        <f t="shared" si="24"/>
        <v/>
      </c>
      <c r="K792" s="6" t="str">
        <f>IF(OR($B792="",$E792="",Calc!$B789=""),"",SUMIFS(CalcAmtA,CalcPartyA,$E792,CalcKeyA,"&lt;="&amp;Calc!$B789)-SUMIFS(CalcWitB,CalcPartyB,$E792,CalcKeyB,"&lt;="&amp;Calc!$B789)+SUMIFS(CalcDepB,CalcPartyB,$E792,CalcKeyB,"&lt;="&amp;Calc!$B789))</f>
        <v/>
      </c>
      <c r="L792" s="4"/>
    </row>
    <row r="793" spans="1:12" x14ac:dyDescent="0.2">
      <c r="A793" s="3" t="str">
        <f>IF($B793="","",COUNTA($B$9:$B793))</f>
        <v/>
      </c>
      <c r="B793" s="4"/>
      <c r="C793" s="4"/>
      <c r="D793" s="4"/>
      <c r="E793" s="4"/>
      <c r="F793" s="3" t="str">
        <f t="shared" si="25"/>
        <v/>
      </c>
      <c r="G793" s="4"/>
      <c r="H793" s="5"/>
      <c r="I793" s="5"/>
      <c r="J793" s="6" t="str">
        <f t="shared" si="24"/>
        <v/>
      </c>
      <c r="K793" s="6" t="str">
        <f>IF(OR($B793="",$E793="",Calc!$B790=""),"",SUMIFS(CalcAmtA,CalcPartyA,$E793,CalcKeyA,"&lt;="&amp;Calc!$B790)-SUMIFS(CalcWitB,CalcPartyB,$E793,CalcKeyB,"&lt;="&amp;Calc!$B790)+SUMIFS(CalcDepB,CalcPartyB,$E793,CalcKeyB,"&lt;="&amp;Calc!$B790))</f>
        <v/>
      </c>
      <c r="L793" s="4"/>
    </row>
    <row r="794" spans="1:12" x14ac:dyDescent="0.2">
      <c r="A794" s="3" t="str">
        <f>IF($B794="","",COUNTA($B$9:$B794))</f>
        <v/>
      </c>
      <c r="B794" s="4"/>
      <c r="C794" s="4"/>
      <c r="D794" s="4"/>
      <c r="E794" s="4"/>
      <c r="F794" s="3" t="str">
        <f t="shared" si="25"/>
        <v/>
      </c>
      <c r="G794" s="4"/>
      <c r="H794" s="5"/>
      <c r="I794" s="5"/>
      <c r="J794" s="6" t="str">
        <f t="shared" si="24"/>
        <v/>
      </c>
      <c r="K794" s="6" t="str">
        <f>IF(OR($B794="",$E794="",Calc!$B791=""),"",SUMIFS(CalcAmtA,CalcPartyA,$E794,CalcKeyA,"&lt;="&amp;Calc!$B791)-SUMIFS(CalcWitB,CalcPartyB,$E794,CalcKeyB,"&lt;="&amp;Calc!$B791)+SUMIFS(CalcDepB,CalcPartyB,$E794,CalcKeyB,"&lt;="&amp;Calc!$B791))</f>
        <v/>
      </c>
      <c r="L794" s="4"/>
    </row>
    <row r="795" spans="1:12" x14ac:dyDescent="0.2">
      <c r="A795" s="3" t="str">
        <f>IF($B795="","",COUNTA($B$9:$B795))</f>
        <v/>
      </c>
      <c r="B795" s="4"/>
      <c r="C795" s="4"/>
      <c r="D795" s="4"/>
      <c r="E795" s="4"/>
      <c r="F795" s="3" t="str">
        <f t="shared" si="25"/>
        <v/>
      </c>
      <c r="G795" s="4"/>
      <c r="H795" s="5"/>
      <c r="I795" s="5"/>
      <c r="J795" s="6" t="str">
        <f t="shared" si="24"/>
        <v/>
      </c>
      <c r="K795" s="6" t="str">
        <f>IF(OR($B795="",$E795="",Calc!$B792=""),"",SUMIFS(CalcAmtA,CalcPartyA,$E795,CalcKeyA,"&lt;="&amp;Calc!$B792)-SUMIFS(CalcWitB,CalcPartyB,$E795,CalcKeyB,"&lt;="&amp;Calc!$B792)+SUMIFS(CalcDepB,CalcPartyB,$E795,CalcKeyB,"&lt;="&amp;Calc!$B792))</f>
        <v/>
      </c>
      <c r="L795" s="4"/>
    </row>
    <row r="796" spans="1:12" x14ac:dyDescent="0.2">
      <c r="A796" s="3" t="str">
        <f>IF($B796="","",COUNTA($B$9:$B796))</f>
        <v/>
      </c>
      <c r="B796" s="4"/>
      <c r="C796" s="4"/>
      <c r="D796" s="4"/>
      <c r="E796" s="4"/>
      <c r="F796" s="3" t="str">
        <f t="shared" si="25"/>
        <v/>
      </c>
      <c r="G796" s="4"/>
      <c r="H796" s="5"/>
      <c r="I796" s="5"/>
      <c r="J796" s="6" t="str">
        <f t="shared" si="24"/>
        <v/>
      </c>
      <c r="K796" s="6" t="str">
        <f>IF(OR($B796="",$E796="",Calc!$B793=""),"",SUMIFS(CalcAmtA,CalcPartyA,$E796,CalcKeyA,"&lt;="&amp;Calc!$B793)-SUMIFS(CalcWitB,CalcPartyB,$E796,CalcKeyB,"&lt;="&amp;Calc!$B793)+SUMIFS(CalcDepB,CalcPartyB,$E796,CalcKeyB,"&lt;="&amp;Calc!$B793))</f>
        <v/>
      </c>
      <c r="L796" s="4"/>
    </row>
    <row r="797" spans="1:12" x14ac:dyDescent="0.2">
      <c r="A797" s="3" t="str">
        <f>IF($B797="","",COUNTA($B$9:$B797))</f>
        <v/>
      </c>
      <c r="B797" s="4"/>
      <c r="C797" s="4"/>
      <c r="D797" s="4"/>
      <c r="E797" s="4"/>
      <c r="F797" s="3" t="str">
        <f t="shared" si="25"/>
        <v/>
      </c>
      <c r="G797" s="4"/>
      <c r="H797" s="5"/>
      <c r="I797" s="5"/>
      <c r="J797" s="6" t="str">
        <f t="shared" si="24"/>
        <v/>
      </c>
      <c r="K797" s="6" t="str">
        <f>IF(OR($B797="",$E797="",Calc!$B794=""),"",SUMIFS(CalcAmtA,CalcPartyA,$E797,CalcKeyA,"&lt;="&amp;Calc!$B794)-SUMIFS(CalcWitB,CalcPartyB,$E797,CalcKeyB,"&lt;="&amp;Calc!$B794)+SUMIFS(CalcDepB,CalcPartyB,$E797,CalcKeyB,"&lt;="&amp;Calc!$B794))</f>
        <v/>
      </c>
      <c r="L797" s="4"/>
    </row>
    <row r="798" spans="1:12" x14ac:dyDescent="0.2">
      <c r="A798" s="3" t="str">
        <f>IF($B798="","",COUNTA($B$9:$B798))</f>
        <v/>
      </c>
      <c r="B798" s="4"/>
      <c r="C798" s="4"/>
      <c r="D798" s="4"/>
      <c r="E798" s="4"/>
      <c r="F798" s="3" t="str">
        <f t="shared" si="25"/>
        <v/>
      </c>
      <c r="G798" s="4"/>
      <c r="H798" s="5"/>
      <c r="I798" s="5"/>
      <c r="J798" s="6" t="str">
        <f t="shared" si="24"/>
        <v/>
      </c>
      <c r="K798" s="6" t="str">
        <f>IF(OR($B798="",$E798="",Calc!$B795=""),"",SUMIFS(CalcAmtA,CalcPartyA,$E798,CalcKeyA,"&lt;="&amp;Calc!$B795)-SUMIFS(CalcWitB,CalcPartyB,$E798,CalcKeyB,"&lt;="&amp;Calc!$B795)+SUMIFS(CalcDepB,CalcPartyB,$E798,CalcKeyB,"&lt;="&amp;Calc!$B795))</f>
        <v/>
      </c>
      <c r="L798" s="4"/>
    </row>
    <row r="799" spans="1:12" x14ac:dyDescent="0.2">
      <c r="A799" s="3" t="str">
        <f>IF($B799="","",COUNTA($B$9:$B799))</f>
        <v/>
      </c>
      <c r="B799" s="4"/>
      <c r="C799" s="4"/>
      <c r="D799" s="4"/>
      <c r="E799" s="4"/>
      <c r="F799" s="3" t="str">
        <f t="shared" si="25"/>
        <v/>
      </c>
      <c r="G799" s="4"/>
      <c r="H799" s="5"/>
      <c r="I799" s="5"/>
      <c r="J799" s="6" t="str">
        <f t="shared" si="24"/>
        <v/>
      </c>
      <c r="K799" s="6" t="str">
        <f>IF(OR($B799="",$E799="",Calc!$B796=""),"",SUMIFS(CalcAmtA,CalcPartyA,$E799,CalcKeyA,"&lt;="&amp;Calc!$B796)-SUMIFS(CalcWitB,CalcPartyB,$E799,CalcKeyB,"&lt;="&amp;Calc!$B796)+SUMIFS(CalcDepB,CalcPartyB,$E799,CalcKeyB,"&lt;="&amp;Calc!$B796))</f>
        <v/>
      </c>
      <c r="L799" s="4"/>
    </row>
    <row r="800" spans="1:12" x14ac:dyDescent="0.2">
      <c r="A800" s="3" t="str">
        <f>IF($B800="","",COUNTA($B$9:$B800))</f>
        <v/>
      </c>
      <c r="B800" s="4"/>
      <c r="C800" s="4"/>
      <c r="D800" s="4"/>
      <c r="E800" s="4"/>
      <c r="F800" s="3" t="str">
        <f t="shared" si="25"/>
        <v/>
      </c>
      <c r="G800" s="4"/>
      <c r="H800" s="5"/>
      <c r="I800" s="5"/>
      <c r="J800" s="6" t="str">
        <f t="shared" si="24"/>
        <v/>
      </c>
      <c r="K800" s="6" t="str">
        <f>IF(OR($B800="",$E800="",Calc!$B797=""),"",SUMIFS(CalcAmtA,CalcPartyA,$E800,CalcKeyA,"&lt;="&amp;Calc!$B797)-SUMIFS(CalcWitB,CalcPartyB,$E800,CalcKeyB,"&lt;="&amp;Calc!$B797)+SUMIFS(CalcDepB,CalcPartyB,$E800,CalcKeyB,"&lt;="&amp;Calc!$B797))</f>
        <v/>
      </c>
      <c r="L800" s="4"/>
    </row>
    <row r="801" spans="1:12" x14ac:dyDescent="0.2">
      <c r="A801" s="3" t="str">
        <f>IF($B801="","",COUNTA($B$9:$B801))</f>
        <v/>
      </c>
      <c r="B801" s="4"/>
      <c r="C801" s="4"/>
      <c r="D801" s="4"/>
      <c r="E801" s="4"/>
      <c r="F801" s="3" t="str">
        <f t="shared" si="25"/>
        <v/>
      </c>
      <c r="G801" s="4"/>
      <c r="H801" s="5"/>
      <c r="I801" s="5"/>
      <c r="J801" s="6" t="str">
        <f t="shared" si="24"/>
        <v/>
      </c>
      <c r="K801" s="6" t="str">
        <f>IF(OR($B801="",$E801="",Calc!$B798=""),"",SUMIFS(CalcAmtA,CalcPartyA,$E801,CalcKeyA,"&lt;="&amp;Calc!$B798)-SUMIFS(CalcWitB,CalcPartyB,$E801,CalcKeyB,"&lt;="&amp;Calc!$B798)+SUMIFS(CalcDepB,CalcPartyB,$E801,CalcKeyB,"&lt;="&amp;Calc!$B798))</f>
        <v/>
      </c>
      <c r="L801" s="4"/>
    </row>
    <row r="802" spans="1:12" x14ac:dyDescent="0.2">
      <c r="A802" s="3" t="str">
        <f>IF($B802="","",COUNTA($B$9:$B802))</f>
        <v/>
      </c>
      <c r="B802" s="4"/>
      <c r="C802" s="4"/>
      <c r="D802" s="4"/>
      <c r="E802" s="4"/>
      <c r="F802" s="3" t="str">
        <f t="shared" si="25"/>
        <v/>
      </c>
      <c r="G802" s="4"/>
      <c r="H802" s="5"/>
      <c r="I802" s="5"/>
      <c r="J802" s="6" t="str">
        <f t="shared" si="24"/>
        <v/>
      </c>
      <c r="K802" s="6" t="str">
        <f>IF(OR($B802="",$E802="",Calc!$B799=""),"",SUMIFS(CalcAmtA,CalcPartyA,$E802,CalcKeyA,"&lt;="&amp;Calc!$B799)-SUMIFS(CalcWitB,CalcPartyB,$E802,CalcKeyB,"&lt;="&amp;Calc!$B799)+SUMIFS(CalcDepB,CalcPartyB,$E802,CalcKeyB,"&lt;="&amp;Calc!$B799))</f>
        <v/>
      </c>
      <c r="L802" s="4"/>
    </row>
    <row r="803" spans="1:12" x14ac:dyDescent="0.2">
      <c r="A803" s="3" t="str">
        <f>IF($B803="","",COUNTA($B$9:$B803))</f>
        <v/>
      </c>
      <c r="B803" s="4"/>
      <c r="C803" s="4"/>
      <c r="D803" s="4"/>
      <c r="E803" s="4"/>
      <c r="F803" s="3" t="str">
        <f t="shared" si="25"/>
        <v/>
      </c>
      <c r="G803" s="4"/>
      <c r="H803" s="5"/>
      <c r="I803" s="5"/>
      <c r="J803" s="6" t="str">
        <f t="shared" si="24"/>
        <v/>
      </c>
      <c r="K803" s="6" t="str">
        <f>IF(OR($B803="",$E803="",Calc!$B800=""),"",SUMIFS(CalcAmtA,CalcPartyA,$E803,CalcKeyA,"&lt;="&amp;Calc!$B800)-SUMIFS(CalcWitB,CalcPartyB,$E803,CalcKeyB,"&lt;="&amp;Calc!$B800)+SUMIFS(CalcDepB,CalcPartyB,$E803,CalcKeyB,"&lt;="&amp;Calc!$B800))</f>
        <v/>
      </c>
      <c r="L803" s="4"/>
    </row>
    <row r="804" spans="1:12" x14ac:dyDescent="0.2">
      <c r="A804" s="3" t="str">
        <f>IF($B804="","",COUNTA($B$9:$B804))</f>
        <v/>
      </c>
      <c r="B804" s="4"/>
      <c r="C804" s="4"/>
      <c r="D804" s="4"/>
      <c r="E804" s="4"/>
      <c r="F804" s="3" t="str">
        <f t="shared" si="25"/>
        <v/>
      </c>
      <c r="G804" s="4"/>
      <c r="H804" s="5"/>
      <c r="I804" s="5"/>
      <c r="J804" s="6" t="str">
        <f t="shared" si="24"/>
        <v/>
      </c>
      <c r="K804" s="6" t="str">
        <f>IF(OR($B804="",$E804="",Calc!$B801=""),"",SUMIFS(CalcAmtA,CalcPartyA,$E804,CalcKeyA,"&lt;="&amp;Calc!$B801)-SUMIFS(CalcWitB,CalcPartyB,$E804,CalcKeyB,"&lt;="&amp;Calc!$B801)+SUMIFS(CalcDepB,CalcPartyB,$E804,CalcKeyB,"&lt;="&amp;Calc!$B801))</f>
        <v/>
      </c>
      <c r="L804" s="4"/>
    </row>
    <row r="805" spans="1:12" x14ac:dyDescent="0.2">
      <c r="A805" s="3" t="str">
        <f>IF($B805="","",COUNTA($B$9:$B805))</f>
        <v/>
      </c>
      <c r="B805" s="4"/>
      <c r="C805" s="4"/>
      <c r="D805" s="4"/>
      <c r="E805" s="4"/>
      <c r="F805" s="3" t="str">
        <f t="shared" si="25"/>
        <v/>
      </c>
      <c r="G805" s="4"/>
      <c r="H805" s="5"/>
      <c r="I805" s="5"/>
      <c r="J805" s="6" t="str">
        <f t="shared" si="24"/>
        <v/>
      </c>
      <c r="K805" s="6" t="str">
        <f>IF(OR($B805="",$E805="",Calc!$B802=""),"",SUMIFS(CalcAmtA,CalcPartyA,$E805,CalcKeyA,"&lt;="&amp;Calc!$B802)-SUMIFS(CalcWitB,CalcPartyB,$E805,CalcKeyB,"&lt;="&amp;Calc!$B802)+SUMIFS(CalcDepB,CalcPartyB,$E805,CalcKeyB,"&lt;="&amp;Calc!$B802))</f>
        <v/>
      </c>
      <c r="L805" s="4"/>
    </row>
    <row r="806" spans="1:12" x14ac:dyDescent="0.2">
      <c r="A806" s="3" t="str">
        <f>IF($B806="","",COUNTA($B$9:$B806))</f>
        <v/>
      </c>
      <c r="B806" s="4"/>
      <c r="C806" s="4"/>
      <c r="D806" s="4"/>
      <c r="E806" s="4"/>
      <c r="F806" s="3" t="str">
        <f t="shared" si="25"/>
        <v/>
      </c>
      <c r="G806" s="4"/>
      <c r="H806" s="5"/>
      <c r="I806" s="5"/>
      <c r="J806" s="6" t="str">
        <f t="shared" si="24"/>
        <v/>
      </c>
      <c r="K806" s="6" t="str">
        <f>IF(OR($B806="",$E806="",Calc!$B803=""),"",SUMIFS(CalcAmtA,CalcPartyA,$E806,CalcKeyA,"&lt;="&amp;Calc!$B803)-SUMIFS(CalcWitB,CalcPartyB,$E806,CalcKeyB,"&lt;="&amp;Calc!$B803)+SUMIFS(CalcDepB,CalcPartyB,$E806,CalcKeyB,"&lt;="&amp;Calc!$B803))</f>
        <v/>
      </c>
      <c r="L806" s="4"/>
    </row>
    <row r="807" spans="1:12" x14ac:dyDescent="0.2">
      <c r="A807" s="3" t="str">
        <f>IF($B807="","",COUNTA($B$9:$B807))</f>
        <v/>
      </c>
      <c r="B807" s="4"/>
      <c r="C807" s="4"/>
      <c r="D807" s="4"/>
      <c r="E807" s="4"/>
      <c r="F807" s="3" t="str">
        <f t="shared" si="25"/>
        <v/>
      </c>
      <c r="G807" s="4"/>
      <c r="H807" s="5"/>
      <c r="I807" s="5"/>
      <c r="J807" s="6" t="str">
        <f t="shared" si="24"/>
        <v/>
      </c>
      <c r="K807" s="6" t="str">
        <f>IF(OR($B807="",$E807="",Calc!$B804=""),"",SUMIFS(CalcAmtA,CalcPartyA,$E807,CalcKeyA,"&lt;="&amp;Calc!$B804)-SUMIFS(CalcWitB,CalcPartyB,$E807,CalcKeyB,"&lt;="&amp;Calc!$B804)+SUMIFS(CalcDepB,CalcPartyB,$E807,CalcKeyB,"&lt;="&amp;Calc!$B804))</f>
        <v/>
      </c>
      <c r="L807" s="4"/>
    </row>
    <row r="808" spans="1:12" x14ac:dyDescent="0.2">
      <c r="A808" s="3" t="str">
        <f>IF($B808="","",COUNTA($B$9:$B808))</f>
        <v/>
      </c>
      <c r="B808" s="4"/>
      <c r="C808" s="4"/>
      <c r="D808" s="4"/>
      <c r="E808" s="4"/>
      <c r="F808" s="3" t="str">
        <f t="shared" si="25"/>
        <v/>
      </c>
      <c r="G808" s="4"/>
      <c r="H808" s="5"/>
      <c r="I808" s="5"/>
      <c r="J808" s="6" t="str">
        <f t="shared" si="24"/>
        <v/>
      </c>
      <c r="K808" s="6" t="str">
        <f>IF(OR($B808="",$E808="",Calc!$B805=""),"",SUMIFS(CalcAmtA,CalcPartyA,$E808,CalcKeyA,"&lt;="&amp;Calc!$B805)-SUMIFS(CalcWitB,CalcPartyB,$E808,CalcKeyB,"&lt;="&amp;Calc!$B805)+SUMIFS(CalcDepB,CalcPartyB,$E808,CalcKeyB,"&lt;="&amp;Calc!$B805))</f>
        <v/>
      </c>
      <c r="L808" s="4"/>
    </row>
    <row r="809" spans="1:12" x14ac:dyDescent="0.2">
      <c r="A809" s="3" t="str">
        <f>IF($B809="","",COUNTA($B$9:$B809))</f>
        <v/>
      </c>
      <c r="B809" s="4"/>
      <c r="C809" s="4"/>
      <c r="D809" s="4"/>
      <c r="E809" s="4"/>
      <c r="F809" s="3" t="str">
        <f t="shared" si="25"/>
        <v/>
      </c>
      <c r="G809" s="4"/>
      <c r="H809" s="5"/>
      <c r="I809" s="5"/>
      <c r="J809" s="6" t="str">
        <f t="shared" si="24"/>
        <v/>
      </c>
      <c r="K809" s="6" t="str">
        <f>IF(OR($B809="",$E809="",Calc!$B806=""),"",SUMIFS(CalcAmtA,CalcPartyA,$E809,CalcKeyA,"&lt;="&amp;Calc!$B806)-SUMIFS(CalcWitB,CalcPartyB,$E809,CalcKeyB,"&lt;="&amp;Calc!$B806)+SUMIFS(CalcDepB,CalcPartyB,$E809,CalcKeyB,"&lt;="&amp;Calc!$B806))</f>
        <v/>
      </c>
      <c r="L809" s="4"/>
    </row>
    <row r="810" spans="1:12" x14ac:dyDescent="0.2">
      <c r="A810" s="3" t="str">
        <f>IF($B810="","",COUNTA($B$9:$B810))</f>
        <v/>
      </c>
      <c r="B810" s="4"/>
      <c r="C810" s="4"/>
      <c r="D810" s="4"/>
      <c r="E810" s="4"/>
      <c r="F810" s="3" t="str">
        <f t="shared" si="25"/>
        <v/>
      </c>
      <c r="G810" s="4"/>
      <c r="H810" s="5"/>
      <c r="I810" s="5"/>
      <c r="J810" s="6" t="str">
        <f t="shared" si="24"/>
        <v/>
      </c>
      <c r="K810" s="6" t="str">
        <f>IF(OR($B810="",$E810="",Calc!$B807=""),"",SUMIFS(CalcAmtA,CalcPartyA,$E810,CalcKeyA,"&lt;="&amp;Calc!$B807)-SUMIFS(CalcWitB,CalcPartyB,$E810,CalcKeyB,"&lt;="&amp;Calc!$B807)+SUMIFS(CalcDepB,CalcPartyB,$E810,CalcKeyB,"&lt;="&amp;Calc!$B807))</f>
        <v/>
      </c>
      <c r="L810" s="4"/>
    </row>
    <row r="811" spans="1:12" x14ac:dyDescent="0.2">
      <c r="A811" s="3" t="str">
        <f>IF($B811="","",COUNTA($B$9:$B811))</f>
        <v/>
      </c>
      <c r="B811" s="4"/>
      <c r="C811" s="4"/>
      <c r="D811" s="4"/>
      <c r="E811" s="4"/>
      <c r="F811" s="3" t="str">
        <f t="shared" si="25"/>
        <v/>
      </c>
      <c r="G811" s="4"/>
      <c r="H811" s="5"/>
      <c r="I811" s="5"/>
      <c r="J811" s="6" t="str">
        <f t="shared" si="24"/>
        <v/>
      </c>
      <c r="K811" s="6" t="str">
        <f>IF(OR($B811="",$E811="",Calc!$B808=""),"",SUMIFS(CalcAmtA,CalcPartyA,$E811,CalcKeyA,"&lt;="&amp;Calc!$B808)-SUMIFS(CalcWitB,CalcPartyB,$E811,CalcKeyB,"&lt;="&amp;Calc!$B808)+SUMIFS(CalcDepB,CalcPartyB,$E811,CalcKeyB,"&lt;="&amp;Calc!$B808))</f>
        <v/>
      </c>
      <c r="L811" s="4"/>
    </row>
    <row r="812" spans="1:12" x14ac:dyDescent="0.2">
      <c r="A812" s="3" t="str">
        <f>IF($B812="","",COUNTA($B$9:$B812))</f>
        <v/>
      </c>
      <c r="B812" s="4"/>
      <c r="C812" s="4"/>
      <c r="D812" s="4"/>
      <c r="E812" s="4"/>
      <c r="F812" s="3" t="str">
        <f t="shared" si="25"/>
        <v/>
      </c>
      <c r="G812" s="4"/>
      <c r="H812" s="5"/>
      <c r="I812" s="5"/>
      <c r="J812" s="6" t="str">
        <f t="shared" si="24"/>
        <v/>
      </c>
      <c r="K812" s="6" t="str">
        <f>IF(OR($B812="",$E812="",Calc!$B809=""),"",SUMIFS(CalcAmtA,CalcPartyA,$E812,CalcKeyA,"&lt;="&amp;Calc!$B809)-SUMIFS(CalcWitB,CalcPartyB,$E812,CalcKeyB,"&lt;="&amp;Calc!$B809)+SUMIFS(CalcDepB,CalcPartyB,$E812,CalcKeyB,"&lt;="&amp;Calc!$B809))</f>
        <v/>
      </c>
      <c r="L812" s="4"/>
    </row>
    <row r="813" spans="1:12" x14ac:dyDescent="0.2">
      <c r="A813" s="3" t="str">
        <f>IF($B813="","",COUNTA($B$9:$B813))</f>
        <v/>
      </c>
      <c r="B813" s="4"/>
      <c r="C813" s="4"/>
      <c r="D813" s="4"/>
      <c r="E813" s="4"/>
      <c r="F813" s="3" t="str">
        <f t="shared" si="25"/>
        <v/>
      </c>
      <c r="G813" s="4"/>
      <c r="H813" s="5"/>
      <c r="I813" s="5"/>
      <c r="J813" s="6" t="str">
        <f t="shared" si="24"/>
        <v/>
      </c>
      <c r="K813" s="6" t="str">
        <f>IF(OR($B813="",$E813="",Calc!$B810=""),"",SUMIFS(CalcAmtA,CalcPartyA,$E813,CalcKeyA,"&lt;="&amp;Calc!$B810)-SUMIFS(CalcWitB,CalcPartyB,$E813,CalcKeyB,"&lt;="&amp;Calc!$B810)+SUMIFS(CalcDepB,CalcPartyB,$E813,CalcKeyB,"&lt;="&amp;Calc!$B810))</f>
        <v/>
      </c>
      <c r="L813" s="4"/>
    </row>
    <row r="814" spans="1:12" x14ac:dyDescent="0.2">
      <c r="A814" s="3" t="str">
        <f>IF($B814="","",COUNTA($B$9:$B814))</f>
        <v/>
      </c>
      <c r="B814" s="4"/>
      <c r="C814" s="4"/>
      <c r="D814" s="4"/>
      <c r="E814" s="4"/>
      <c r="F814" s="3" t="str">
        <f t="shared" si="25"/>
        <v/>
      </c>
      <c r="G814" s="4"/>
      <c r="H814" s="5"/>
      <c r="I814" s="5"/>
      <c r="J814" s="6" t="str">
        <f t="shared" si="24"/>
        <v/>
      </c>
      <c r="K814" s="6" t="str">
        <f>IF(OR($B814="",$E814="",Calc!$B811=""),"",SUMIFS(CalcAmtA,CalcPartyA,$E814,CalcKeyA,"&lt;="&amp;Calc!$B811)-SUMIFS(CalcWitB,CalcPartyB,$E814,CalcKeyB,"&lt;="&amp;Calc!$B811)+SUMIFS(CalcDepB,CalcPartyB,$E814,CalcKeyB,"&lt;="&amp;Calc!$B811))</f>
        <v/>
      </c>
      <c r="L814" s="4"/>
    </row>
    <row r="815" spans="1:12" x14ac:dyDescent="0.2">
      <c r="A815" s="3" t="str">
        <f>IF($B815="","",COUNTA($B$9:$B815))</f>
        <v/>
      </c>
      <c r="B815" s="4"/>
      <c r="C815" s="4"/>
      <c r="D815" s="4"/>
      <c r="E815" s="4"/>
      <c r="F815" s="3" t="str">
        <f t="shared" si="25"/>
        <v/>
      </c>
      <c r="G815" s="4"/>
      <c r="H815" s="5"/>
      <c r="I815" s="5"/>
      <c r="J815" s="6" t="str">
        <f t="shared" si="24"/>
        <v/>
      </c>
      <c r="K815" s="6" t="str">
        <f>IF(OR($B815="",$E815="",Calc!$B812=""),"",SUMIFS(CalcAmtA,CalcPartyA,$E815,CalcKeyA,"&lt;="&amp;Calc!$B812)-SUMIFS(CalcWitB,CalcPartyB,$E815,CalcKeyB,"&lt;="&amp;Calc!$B812)+SUMIFS(CalcDepB,CalcPartyB,$E815,CalcKeyB,"&lt;="&amp;Calc!$B812))</f>
        <v/>
      </c>
      <c r="L815" s="4"/>
    </row>
    <row r="816" spans="1:12" x14ac:dyDescent="0.2">
      <c r="A816" s="3" t="str">
        <f>IF($B816="","",COUNTA($B$9:$B816))</f>
        <v/>
      </c>
      <c r="B816" s="4"/>
      <c r="C816" s="4"/>
      <c r="D816" s="4"/>
      <c r="E816" s="4"/>
      <c r="F816" s="3" t="str">
        <f t="shared" si="25"/>
        <v/>
      </c>
      <c r="G816" s="4"/>
      <c r="H816" s="5"/>
      <c r="I816" s="5"/>
      <c r="J816" s="6" t="str">
        <f t="shared" si="24"/>
        <v/>
      </c>
      <c r="K816" s="6" t="str">
        <f>IF(OR($B816="",$E816="",Calc!$B813=""),"",SUMIFS(CalcAmtA,CalcPartyA,$E816,CalcKeyA,"&lt;="&amp;Calc!$B813)-SUMIFS(CalcWitB,CalcPartyB,$E816,CalcKeyB,"&lt;="&amp;Calc!$B813)+SUMIFS(CalcDepB,CalcPartyB,$E816,CalcKeyB,"&lt;="&amp;Calc!$B813))</f>
        <v/>
      </c>
      <c r="L816" s="4"/>
    </row>
    <row r="817" spans="1:12" x14ac:dyDescent="0.2">
      <c r="A817" s="3" t="str">
        <f>IF($B817="","",COUNTA($B$9:$B817))</f>
        <v/>
      </c>
      <c r="B817" s="4"/>
      <c r="C817" s="4"/>
      <c r="D817" s="4"/>
      <c r="E817" s="4"/>
      <c r="F817" s="3" t="str">
        <f t="shared" si="25"/>
        <v/>
      </c>
      <c r="G817" s="4"/>
      <c r="H817" s="5"/>
      <c r="I817" s="5"/>
      <c r="J817" s="6" t="str">
        <f t="shared" si="24"/>
        <v/>
      </c>
      <c r="K817" s="6" t="str">
        <f>IF(OR($B817="",$E817="",Calc!$B814=""),"",SUMIFS(CalcAmtA,CalcPartyA,$E817,CalcKeyA,"&lt;="&amp;Calc!$B814)-SUMIFS(CalcWitB,CalcPartyB,$E817,CalcKeyB,"&lt;="&amp;Calc!$B814)+SUMIFS(CalcDepB,CalcPartyB,$E817,CalcKeyB,"&lt;="&amp;Calc!$B814))</f>
        <v/>
      </c>
      <c r="L817" s="4"/>
    </row>
    <row r="818" spans="1:12" x14ac:dyDescent="0.2">
      <c r="A818" s="3" t="str">
        <f>IF($B818="","",COUNTA($B$9:$B818))</f>
        <v/>
      </c>
      <c r="B818" s="4"/>
      <c r="C818" s="4"/>
      <c r="D818" s="4"/>
      <c r="E818" s="4"/>
      <c r="F818" s="3" t="str">
        <f t="shared" si="25"/>
        <v/>
      </c>
      <c r="G818" s="4"/>
      <c r="H818" s="5"/>
      <c r="I818" s="5"/>
      <c r="J818" s="6" t="str">
        <f t="shared" si="24"/>
        <v/>
      </c>
      <c r="K818" s="6" t="str">
        <f>IF(OR($B818="",$E818="",Calc!$B815=""),"",SUMIFS(CalcAmtA,CalcPartyA,$E818,CalcKeyA,"&lt;="&amp;Calc!$B815)-SUMIFS(CalcWitB,CalcPartyB,$E818,CalcKeyB,"&lt;="&amp;Calc!$B815)+SUMIFS(CalcDepB,CalcPartyB,$E818,CalcKeyB,"&lt;="&amp;Calc!$B815))</f>
        <v/>
      </c>
      <c r="L818" s="4"/>
    </row>
    <row r="819" spans="1:12" x14ac:dyDescent="0.2">
      <c r="A819" s="3" t="str">
        <f>IF($B819="","",COUNTA($B$9:$B819))</f>
        <v/>
      </c>
      <c r="B819" s="4"/>
      <c r="C819" s="4"/>
      <c r="D819" s="4"/>
      <c r="E819" s="4"/>
      <c r="F819" s="3" t="str">
        <f t="shared" si="25"/>
        <v/>
      </c>
      <c r="G819" s="4"/>
      <c r="H819" s="5"/>
      <c r="I819" s="5"/>
      <c r="J819" s="6" t="str">
        <f t="shared" si="24"/>
        <v/>
      </c>
      <c r="K819" s="6" t="str">
        <f>IF(OR($B819="",$E819="",Calc!$B816=""),"",SUMIFS(CalcAmtA,CalcPartyA,$E819,CalcKeyA,"&lt;="&amp;Calc!$B816)-SUMIFS(CalcWitB,CalcPartyB,$E819,CalcKeyB,"&lt;="&amp;Calc!$B816)+SUMIFS(CalcDepB,CalcPartyB,$E819,CalcKeyB,"&lt;="&amp;Calc!$B816))</f>
        <v/>
      </c>
      <c r="L819" s="4"/>
    </row>
    <row r="820" spans="1:12" x14ac:dyDescent="0.2">
      <c r="A820" s="3" t="str">
        <f>IF($B820="","",COUNTA($B$9:$B820))</f>
        <v/>
      </c>
      <c r="B820" s="4"/>
      <c r="C820" s="4"/>
      <c r="D820" s="4"/>
      <c r="E820" s="4"/>
      <c r="F820" s="3" t="str">
        <f t="shared" si="25"/>
        <v/>
      </c>
      <c r="G820" s="4"/>
      <c r="H820" s="5"/>
      <c r="I820" s="5"/>
      <c r="J820" s="6" t="str">
        <f t="shared" si="24"/>
        <v/>
      </c>
      <c r="K820" s="6" t="str">
        <f>IF(OR($B820="",$E820="",Calc!$B817=""),"",SUMIFS(CalcAmtA,CalcPartyA,$E820,CalcKeyA,"&lt;="&amp;Calc!$B817)-SUMIFS(CalcWitB,CalcPartyB,$E820,CalcKeyB,"&lt;="&amp;Calc!$B817)+SUMIFS(CalcDepB,CalcPartyB,$E820,CalcKeyB,"&lt;="&amp;Calc!$B817))</f>
        <v/>
      </c>
      <c r="L820" s="4"/>
    </row>
    <row r="821" spans="1:12" x14ac:dyDescent="0.2">
      <c r="A821" s="3" t="str">
        <f>IF($B821="","",COUNTA($B$9:$B821))</f>
        <v/>
      </c>
      <c r="B821" s="4"/>
      <c r="C821" s="4"/>
      <c r="D821" s="4"/>
      <c r="E821" s="4"/>
      <c r="F821" s="3" t="str">
        <f t="shared" si="25"/>
        <v/>
      </c>
      <c r="G821" s="4"/>
      <c r="H821" s="5"/>
      <c r="I821" s="5"/>
      <c r="J821" s="6" t="str">
        <f t="shared" si="24"/>
        <v/>
      </c>
      <c r="K821" s="6" t="str">
        <f>IF(OR($B821="",$E821="",Calc!$B818=""),"",SUMIFS(CalcAmtA,CalcPartyA,$E821,CalcKeyA,"&lt;="&amp;Calc!$B818)-SUMIFS(CalcWitB,CalcPartyB,$E821,CalcKeyB,"&lt;="&amp;Calc!$B818)+SUMIFS(CalcDepB,CalcPartyB,$E821,CalcKeyB,"&lt;="&amp;Calc!$B818))</f>
        <v/>
      </c>
      <c r="L821" s="4"/>
    </row>
    <row r="822" spans="1:12" x14ac:dyDescent="0.2">
      <c r="A822" s="3" t="str">
        <f>IF($B822="","",COUNTA($B$9:$B822))</f>
        <v/>
      </c>
      <c r="B822" s="4"/>
      <c r="C822" s="4"/>
      <c r="D822" s="4"/>
      <c r="E822" s="4"/>
      <c r="F822" s="3" t="str">
        <f t="shared" si="25"/>
        <v/>
      </c>
      <c r="G822" s="4"/>
      <c r="H822" s="5"/>
      <c r="I822" s="5"/>
      <c r="J822" s="6" t="str">
        <f t="shared" si="24"/>
        <v/>
      </c>
      <c r="K822" s="6" t="str">
        <f>IF(OR($B822="",$E822="",Calc!$B819=""),"",SUMIFS(CalcAmtA,CalcPartyA,$E822,CalcKeyA,"&lt;="&amp;Calc!$B819)-SUMIFS(CalcWitB,CalcPartyB,$E822,CalcKeyB,"&lt;="&amp;Calc!$B819)+SUMIFS(CalcDepB,CalcPartyB,$E822,CalcKeyB,"&lt;="&amp;Calc!$B819))</f>
        <v/>
      </c>
      <c r="L822" s="4"/>
    </row>
    <row r="823" spans="1:12" x14ac:dyDescent="0.2">
      <c r="A823" s="3" t="str">
        <f>IF($B823="","",COUNTA($B$9:$B823))</f>
        <v/>
      </c>
      <c r="B823" s="4"/>
      <c r="C823" s="4"/>
      <c r="D823" s="4"/>
      <c r="E823" s="4"/>
      <c r="F823" s="3" t="str">
        <f t="shared" si="25"/>
        <v/>
      </c>
      <c r="G823" s="4"/>
      <c r="H823" s="5"/>
      <c r="I823" s="5"/>
      <c r="J823" s="6" t="str">
        <f t="shared" si="24"/>
        <v/>
      </c>
      <c r="K823" s="6" t="str">
        <f>IF(OR($B823="",$E823="",Calc!$B820=""),"",SUMIFS(CalcAmtA,CalcPartyA,$E823,CalcKeyA,"&lt;="&amp;Calc!$B820)-SUMIFS(CalcWitB,CalcPartyB,$E823,CalcKeyB,"&lt;="&amp;Calc!$B820)+SUMIFS(CalcDepB,CalcPartyB,$E823,CalcKeyB,"&lt;="&amp;Calc!$B820))</f>
        <v/>
      </c>
      <c r="L823" s="4"/>
    </row>
    <row r="824" spans="1:12" x14ac:dyDescent="0.2">
      <c r="A824" s="3" t="str">
        <f>IF($B824="","",COUNTA($B$9:$B824))</f>
        <v/>
      </c>
      <c r="B824" s="4"/>
      <c r="C824" s="4"/>
      <c r="D824" s="4"/>
      <c r="E824" s="4"/>
      <c r="F824" s="3" t="str">
        <f t="shared" si="25"/>
        <v/>
      </c>
      <c r="G824" s="4"/>
      <c r="H824" s="5"/>
      <c r="I824" s="5"/>
      <c r="J824" s="6" t="str">
        <f t="shared" si="24"/>
        <v/>
      </c>
      <c r="K824" s="6" t="str">
        <f>IF(OR($B824="",$E824="",Calc!$B821=""),"",SUMIFS(CalcAmtA,CalcPartyA,$E824,CalcKeyA,"&lt;="&amp;Calc!$B821)-SUMIFS(CalcWitB,CalcPartyB,$E824,CalcKeyB,"&lt;="&amp;Calc!$B821)+SUMIFS(CalcDepB,CalcPartyB,$E824,CalcKeyB,"&lt;="&amp;Calc!$B821))</f>
        <v/>
      </c>
      <c r="L824" s="4"/>
    </row>
    <row r="825" spans="1:12" x14ac:dyDescent="0.2">
      <c r="A825" s="3" t="str">
        <f>IF($B825="","",COUNTA($B$9:$B825))</f>
        <v/>
      </c>
      <c r="B825" s="4"/>
      <c r="C825" s="4"/>
      <c r="D825" s="4"/>
      <c r="E825" s="4"/>
      <c r="F825" s="3" t="str">
        <f t="shared" si="25"/>
        <v/>
      </c>
      <c r="G825" s="4"/>
      <c r="H825" s="5"/>
      <c r="I825" s="5"/>
      <c r="J825" s="6" t="str">
        <f t="shared" si="24"/>
        <v/>
      </c>
      <c r="K825" s="6" t="str">
        <f>IF(OR($B825="",$E825="",Calc!$B822=""),"",SUMIFS(CalcAmtA,CalcPartyA,$E825,CalcKeyA,"&lt;="&amp;Calc!$B822)-SUMIFS(CalcWitB,CalcPartyB,$E825,CalcKeyB,"&lt;="&amp;Calc!$B822)+SUMIFS(CalcDepB,CalcPartyB,$E825,CalcKeyB,"&lt;="&amp;Calc!$B822))</f>
        <v/>
      </c>
      <c r="L825" s="4"/>
    </row>
    <row r="826" spans="1:12" x14ac:dyDescent="0.2">
      <c r="A826" s="3" t="str">
        <f>IF($B826="","",COUNTA($B$9:$B826))</f>
        <v/>
      </c>
      <c r="B826" s="4"/>
      <c r="C826" s="4"/>
      <c r="D826" s="4"/>
      <c r="E826" s="4"/>
      <c r="F826" s="3" t="str">
        <f t="shared" si="25"/>
        <v/>
      </c>
      <c r="G826" s="4"/>
      <c r="H826" s="5"/>
      <c r="I826" s="5"/>
      <c r="J826" s="6" t="str">
        <f t="shared" si="24"/>
        <v/>
      </c>
      <c r="K826" s="6" t="str">
        <f>IF(OR($B826="",$E826="",Calc!$B823=""),"",SUMIFS(CalcAmtA,CalcPartyA,$E826,CalcKeyA,"&lt;="&amp;Calc!$B823)-SUMIFS(CalcWitB,CalcPartyB,$E826,CalcKeyB,"&lt;="&amp;Calc!$B823)+SUMIFS(CalcDepB,CalcPartyB,$E826,CalcKeyB,"&lt;="&amp;Calc!$B823))</f>
        <v/>
      </c>
      <c r="L826" s="4"/>
    </row>
    <row r="827" spans="1:12" x14ac:dyDescent="0.2">
      <c r="A827" s="3" t="str">
        <f>IF($B827="","",COUNTA($B$9:$B827))</f>
        <v/>
      </c>
      <c r="B827" s="4"/>
      <c r="C827" s="4"/>
      <c r="D827" s="4"/>
      <c r="E827" s="4"/>
      <c r="F827" s="3" t="str">
        <f t="shared" si="25"/>
        <v/>
      </c>
      <c r="G827" s="4"/>
      <c r="H827" s="5"/>
      <c r="I827" s="5"/>
      <c r="J827" s="6" t="str">
        <f t="shared" si="24"/>
        <v/>
      </c>
      <c r="K827" s="6" t="str">
        <f>IF(OR($B827="",$E827="",Calc!$B824=""),"",SUMIFS(CalcAmtA,CalcPartyA,$E827,CalcKeyA,"&lt;="&amp;Calc!$B824)-SUMIFS(CalcWitB,CalcPartyB,$E827,CalcKeyB,"&lt;="&amp;Calc!$B824)+SUMIFS(CalcDepB,CalcPartyB,$E827,CalcKeyB,"&lt;="&amp;Calc!$B824))</f>
        <v/>
      </c>
      <c r="L827" s="4"/>
    </row>
    <row r="828" spans="1:12" x14ac:dyDescent="0.2">
      <c r="A828" s="3" t="str">
        <f>IF($B828="","",COUNTA($B$9:$B828))</f>
        <v/>
      </c>
      <c r="B828" s="4"/>
      <c r="C828" s="4"/>
      <c r="D828" s="4"/>
      <c r="E828" s="4"/>
      <c r="F828" s="3" t="str">
        <f t="shared" si="25"/>
        <v/>
      </c>
      <c r="G828" s="4"/>
      <c r="H828" s="5"/>
      <c r="I828" s="5"/>
      <c r="J828" s="6" t="str">
        <f t="shared" si="24"/>
        <v/>
      </c>
      <c r="K828" s="6" t="str">
        <f>IF(OR($B828="",$E828="",Calc!$B825=""),"",SUMIFS(CalcAmtA,CalcPartyA,$E828,CalcKeyA,"&lt;="&amp;Calc!$B825)-SUMIFS(CalcWitB,CalcPartyB,$E828,CalcKeyB,"&lt;="&amp;Calc!$B825)+SUMIFS(CalcDepB,CalcPartyB,$E828,CalcKeyB,"&lt;="&amp;Calc!$B825))</f>
        <v/>
      </c>
      <c r="L828" s="4"/>
    </row>
    <row r="829" spans="1:12" x14ac:dyDescent="0.2">
      <c r="A829" s="3" t="str">
        <f>IF($B829="","",COUNTA($B$9:$B829))</f>
        <v/>
      </c>
      <c r="B829" s="4"/>
      <c r="C829" s="4"/>
      <c r="D829" s="4"/>
      <c r="E829" s="4"/>
      <c r="F829" s="3" t="str">
        <f t="shared" si="25"/>
        <v/>
      </c>
      <c r="G829" s="4"/>
      <c r="H829" s="5"/>
      <c r="I829" s="5"/>
      <c r="J829" s="6" t="str">
        <f t="shared" si="24"/>
        <v/>
      </c>
      <c r="K829" s="6" t="str">
        <f>IF(OR($B829="",$E829="",Calc!$B826=""),"",SUMIFS(CalcAmtA,CalcPartyA,$E829,CalcKeyA,"&lt;="&amp;Calc!$B826)-SUMIFS(CalcWitB,CalcPartyB,$E829,CalcKeyB,"&lt;="&amp;Calc!$B826)+SUMIFS(CalcDepB,CalcPartyB,$E829,CalcKeyB,"&lt;="&amp;Calc!$B826))</f>
        <v/>
      </c>
      <c r="L829" s="4"/>
    </row>
    <row r="830" spans="1:12" x14ac:dyDescent="0.2">
      <c r="A830" s="3" t="str">
        <f>IF($B830="","",COUNTA($B$9:$B830))</f>
        <v/>
      </c>
      <c r="B830" s="4"/>
      <c r="C830" s="4"/>
      <c r="D830" s="4"/>
      <c r="E830" s="4"/>
      <c r="F830" s="3" t="str">
        <f t="shared" si="25"/>
        <v/>
      </c>
      <c r="G830" s="4"/>
      <c r="H830" s="5"/>
      <c r="I830" s="5"/>
      <c r="J830" s="6" t="str">
        <f t="shared" si="24"/>
        <v/>
      </c>
      <c r="K830" s="6" t="str">
        <f>IF(OR($B830="",$E830="",Calc!$B827=""),"",SUMIFS(CalcAmtA,CalcPartyA,$E830,CalcKeyA,"&lt;="&amp;Calc!$B827)-SUMIFS(CalcWitB,CalcPartyB,$E830,CalcKeyB,"&lt;="&amp;Calc!$B827)+SUMIFS(CalcDepB,CalcPartyB,$E830,CalcKeyB,"&lt;="&amp;Calc!$B827))</f>
        <v/>
      </c>
      <c r="L830" s="4"/>
    </row>
    <row r="831" spans="1:12" x14ac:dyDescent="0.2">
      <c r="A831" s="3" t="str">
        <f>IF($B831="","",COUNTA($B$9:$B831))</f>
        <v/>
      </c>
      <c r="B831" s="4"/>
      <c r="C831" s="4"/>
      <c r="D831" s="4"/>
      <c r="E831" s="4"/>
      <c r="F831" s="3" t="str">
        <f t="shared" si="25"/>
        <v/>
      </c>
      <c r="G831" s="4"/>
      <c r="H831" s="5"/>
      <c r="I831" s="5"/>
      <c r="J831" s="6" t="str">
        <f t="shared" si="24"/>
        <v/>
      </c>
      <c r="K831" s="6" t="str">
        <f>IF(OR($B831="",$E831="",Calc!$B828=""),"",SUMIFS(CalcAmtA,CalcPartyA,$E831,CalcKeyA,"&lt;="&amp;Calc!$B828)-SUMIFS(CalcWitB,CalcPartyB,$E831,CalcKeyB,"&lt;="&amp;Calc!$B828)+SUMIFS(CalcDepB,CalcPartyB,$E831,CalcKeyB,"&lt;="&amp;Calc!$B828))</f>
        <v/>
      </c>
      <c r="L831" s="4"/>
    </row>
    <row r="832" spans="1:12" x14ac:dyDescent="0.2">
      <c r="A832" s="3" t="str">
        <f>IF($B832="","",COUNTA($B$9:$B832))</f>
        <v/>
      </c>
      <c r="B832" s="4"/>
      <c r="C832" s="4"/>
      <c r="D832" s="4"/>
      <c r="E832" s="4"/>
      <c r="F832" s="3" t="str">
        <f t="shared" si="25"/>
        <v/>
      </c>
      <c r="G832" s="4"/>
      <c r="H832" s="5"/>
      <c r="I832" s="5"/>
      <c r="J832" s="6" t="str">
        <f t="shared" si="24"/>
        <v/>
      </c>
      <c r="K832" s="6" t="str">
        <f>IF(OR($B832="",$E832="",Calc!$B829=""),"",SUMIFS(CalcAmtA,CalcPartyA,$E832,CalcKeyA,"&lt;="&amp;Calc!$B829)-SUMIFS(CalcWitB,CalcPartyB,$E832,CalcKeyB,"&lt;="&amp;Calc!$B829)+SUMIFS(CalcDepB,CalcPartyB,$E832,CalcKeyB,"&lt;="&amp;Calc!$B829))</f>
        <v/>
      </c>
      <c r="L832" s="4"/>
    </row>
    <row r="833" spans="1:12" x14ac:dyDescent="0.2">
      <c r="A833" s="3" t="str">
        <f>IF($B833="","",COUNTA($B$9:$B833))</f>
        <v/>
      </c>
      <c r="B833" s="4"/>
      <c r="C833" s="4"/>
      <c r="D833" s="4"/>
      <c r="E833" s="4"/>
      <c r="F833" s="3" t="str">
        <f t="shared" si="25"/>
        <v/>
      </c>
      <c r="G833" s="4"/>
      <c r="H833" s="5"/>
      <c r="I833" s="5"/>
      <c r="J833" s="6" t="str">
        <f t="shared" si="24"/>
        <v/>
      </c>
      <c r="K833" s="6" t="str">
        <f>IF(OR($B833="",$E833="",Calc!$B830=""),"",SUMIFS(CalcAmtA,CalcPartyA,$E833,CalcKeyA,"&lt;="&amp;Calc!$B830)-SUMIFS(CalcWitB,CalcPartyB,$E833,CalcKeyB,"&lt;="&amp;Calc!$B830)+SUMIFS(CalcDepB,CalcPartyB,$E833,CalcKeyB,"&lt;="&amp;Calc!$B830))</f>
        <v/>
      </c>
      <c r="L833" s="4"/>
    </row>
    <row r="834" spans="1:12" x14ac:dyDescent="0.2">
      <c r="A834" s="3" t="str">
        <f>IF($B834="","",COUNTA($B$9:$B834))</f>
        <v/>
      </c>
      <c r="B834" s="4"/>
      <c r="C834" s="4"/>
      <c r="D834" s="4"/>
      <c r="E834" s="4"/>
      <c r="F834" s="3" t="str">
        <f t="shared" si="25"/>
        <v/>
      </c>
      <c r="G834" s="4"/>
      <c r="H834" s="5"/>
      <c r="I834" s="5"/>
      <c r="J834" s="6" t="str">
        <f t="shared" si="24"/>
        <v/>
      </c>
      <c r="K834" s="6" t="str">
        <f>IF(OR($B834="",$E834="",Calc!$B831=""),"",SUMIFS(CalcAmtA,CalcPartyA,$E834,CalcKeyA,"&lt;="&amp;Calc!$B831)-SUMIFS(CalcWitB,CalcPartyB,$E834,CalcKeyB,"&lt;="&amp;Calc!$B831)+SUMIFS(CalcDepB,CalcPartyB,$E834,CalcKeyB,"&lt;="&amp;Calc!$B831))</f>
        <v/>
      </c>
      <c r="L834" s="4"/>
    </row>
    <row r="835" spans="1:12" x14ac:dyDescent="0.2">
      <c r="A835" s="3" t="str">
        <f>IF($B835="","",COUNTA($B$9:$B835))</f>
        <v/>
      </c>
      <c r="B835" s="4"/>
      <c r="C835" s="4"/>
      <c r="D835" s="4"/>
      <c r="E835" s="4"/>
      <c r="F835" s="3" t="str">
        <f t="shared" si="25"/>
        <v/>
      </c>
      <c r="G835" s="4"/>
      <c r="H835" s="5"/>
      <c r="I835" s="5"/>
      <c r="J835" s="6" t="str">
        <f t="shared" si="24"/>
        <v/>
      </c>
      <c r="K835" s="6" t="str">
        <f>IF(OR($B835="",$E835="",Calc!$B832=""),"",SUMIFS(CalcAmtA,CalcPartyA,$E835,CalcKeyA,"&lt;="&amp;Calc!$B832)-SUMIFS(CalcWitB,CalcPartyB,$E835,CalcKeyB,"&lt;="&amp;Calc!$B832)+SUMIFS(CalcDepB,CalcPartyB,$E835,CalcKeyB,"&lt;="&amp;Calc!$B832))</f>
        <v/>
      </c>
      <c r="L835" s="4"/>
    </row>
    <row r="836" spans="1:12" x14ac:dyDescent="0.2">
      <c r="A836" s="3" t="str">
        <f>IF($B836="","",COUNTA($B$9:$B836))</f>
        <v/>
      </c>
      <c r="B836" s="4"/>
      <c r="C836" s="4"/>
      <c r="D836" s="4"/>
      <c r="E836" s="4"/>
      <c r="F836" s="3" t="str">
        <f t="shared" si="25"/>
        <v/>
      </c>
      <c r="G836" s="4"/>
      <c r="H836" s="5"/>
      <c r="I836" s="5"/>
      <c r="J836" s="6" t="str">
        <f t="shared" si="24"/>
        <v/>
      </c>
      <c r="K836" s="6" t="str">
        <f>IF(OR($B836="",$E836="",Calc!$B833=""),"",SUMIFS(CalcAmtA,CalcPartyA,$E836,CalcKeyA,"&lt;="&amp;Calc!$B833)-SUMIFS(CalcWitB,CalcPartyB,$E836,CalcKeyB,"&lt;="&amp;Calc!$B833)+SUMIFS(CalcDepB,CalcPartyB,$E836,CalcKeyB,"&lt;="&amp;Calc!$B833))</f>
        <v/>
      </c>
      <c r="L836" s="4"/>
    </row>
    <row r="837" spans="1:12" x14ac:dyDescent="0.2">
      <c r="A837" s="3" t="str">
        <f>IF($B837="","",COUNTA($B$9:$B837))</f>
        <v/>
      </c>
      <c r="B837" s="4"/>
      <c r="C837" s="4"/>
      <c r="D837" s="4"/>
      <c r="E837" s="4"/>
      <c r="F837" s="3" t="str">
        <f t="shared" si="25"/>
        <v/>
      </c>
      <c r="G837" s="4"/>
      <c r="H837" s="5"/>
      <c r="I837" s="5"/>
      <c r="J837" s="6" t="str">
        <f t="shared" si="24"/>
        <v/>
      </c>
      <c r="K837" s="6" t="str">
        <f>IF(OR($B837="",$E837="",Calc!$B834=""),"",SUMIFS(CalcAmtA,CalcPartyA,$E837,CalcKeyA,"&lt;="&amp;Calc!$B834)-SUMIFS(CalcWitB,CalcPartyB,$E837,CalcKeyB,"&lt;="&amp;Calc!$B834)+SUMIFS(CalcDepB,CalcPartyB,$E837,CalcKeyB,"&lt;="&amp;Calc!$B834))</f>
        <v/>
      </c>
      <c r="L837" s="4"/>
    </row>
    <row r="838" spans="1:12" x14ac:dyDescent="0.2">
      <c r="A838" s="3" t="str">
        <f>IF($B838="","",COUNTA($B$9:$B838))</f>
        <v/>
      </c>
      <c r="B838" s="4"/>
      <c r="C838" s="4"/>
      <c r="D838" s="4"/>
      <c r="E838" s="4"/>
      <c r="F838" s="3" t="str">
        <f t="shared" si="25"/>
        <v/>
      </c>
      <c r="G838" s="4"/>
      <c r="H838" s="5"/>
      <c r="I838" s="5"/>
      <c r="J838" s="6" t="str">
        <f t="shared" ref="J838:J901" si="26">IF(OR($H838="",$I838=""),"",ROUND($H838*$I838,0))</f>
        <v/>
      </c>
      <c r="K838" s="6" t="str">
        <f>IF(OR($B838="",$E838="",Calc!$B835=""),"",SUMIFS(CalcAmtA,CalcPartyA,$E838,CalcKeyA,"&lt;="&amp;Calc!$B835)-SUMIFS(CalcWitB,CalcPartyB,$E838,CalcKeyB,"&lt;="&amp;Calc!$B835)+SUMIFS(CalcDepB,CalcPartyB,$E838,CalcKeyB,"&lt;="&amp;Calc!$B835))</f>
        <v/>
      </c>
      <c r="L838" s="4"/>
    </row>
    <row r="839" spans="1:12" x14ac:dyDescent="0.2">
      <c r="A839" s="3" t="str">
        <f>IF($B839="","",COUNTA($B$9:$B839))</f>
        <v/>
      </c>
      <c r="B839" s="4"/>
      <c r="C839" s="4"/>
      <c r="D839" s="4"/>
      <c r="E839" s="4"/>
      <c r="F839" s="3" t="str">
        <f t="shared" si="25"/>
        <v/>
      </c>
      <c r="G839" s="4"/>
      <c r="H839" s="5"/>
      <c r="I839" s="5"/>
      <c r="J839" s="6" t="str">
        <f t="shared" si="26"/>
        <v/>
      </c>
      <c r="K839" s="6" t="str">
        <f>IF(OR($B839="",$E839="",Calc!$B836=""),"",SUMIFS(CalcAmtA,CalcPartyA,$E839,CalcKeyA,"&lt;="&amp;Calc!$B836)-SUMIFS(CalcWitB,CalcPartyB,$E839,CalcKeyB,"&lt;="&amp;Calc!$B836)+SUMIFS(CalcDepB,CalcPartyB,$E839,CalcKeyB,"&lt;="&amp;Calc!$B836))</f>
        <v/>
      </c>
      <c r="L839" s="4"/>
    </row>
    <row r="840" spans="1:12" x14ac:dyDescent="0.2">
      <c r="A840" s="3" t="str">
        <f>IF($B840="","",COUNTA($B$9:$B840))</f>
        <v/>
      </c>
      <c r="B840" s="4"/>
      <c r="C840" s="4"/>
      <c r="D840" s="4"/>
      <c r="E840" s="4"/>
      <c r="F840" s="3" t="str">
        <f t="shared" si="25"/>
        <v/>
      </c>
      <c r="G840" s="4"/>
      <c r="H840" s="5"/>
      <c r="I840" s="5"/>
      <c r="J840" s="6" t="str">
        <f t="shared" si="26"/>
        <v/>
      </c>
      <c r="K840" s="6" t="str">
        <f>IF(OR($B840="",$E840="",Calc!$B837=""),"",SUMIFS(CalcAmtA,CalcPartyA,$E840,CalcKeyA,"&lt;="&amp;Calc!$B837)-SUMIFS(CalcWitB,CalcPartyB,$E840,CalcKeyB,"&lt;="&amp;Calc!$B837)+SUMIFS(CalcDepB,CalcPartyB,$E840,CalcKeyB,"&lt;="&amp;Calc!$B837))</f>
        <v/>
      </c>
      <c r="L840" s="4"/>
    </row>
    <row r="841" spans="1:12" x14ac:dyDescent="0.2">
      <c r="A841" s="3" t="str">
        <f>IF($B841="","",COUNTA($B$9:$B841))</f>
        <v/>
      </c>
      <c r="B841" s="4"/>
      <c r="C841" s="4"/>
      <c r="D841" s="4"/>
      <c r="E841" s="4"/>
      <c r="F841" s="3" t="str">
        <f t="shared" ref="F841:F904" si="27">IF($E841="","",IFERROR(IF(VLOOKUP($E841,AcctTbl,4,0)="","",VLOOKUP($E841,AcctTbl,4,0)),"—"))</f>
        <v/>
      </c>
      <c r="G841" s="4"/>
      <c r="H841" s="5"/>
      <c r="I841" s="5"/>
      <c r="J841" s="6" t="str">
        <f t="shared" si="26"/>
        <v/>
      </c>
      <c r="K841" s="6" t="str">
        <f>IF(OR($B841="",$E841="",Calc!$B838=""),"",SUMIFS(CalcAmtA,CalcPartyA,$E841,CalcKeyA,"&lt;="&amp;Calc!$B838)-SUMIFS(CalcWitB,CalcPartyB,$E841,CalcKeyB,"&lt;="&amp;Calc!$B838)+SUMIFS(CalcDepB,CalcPartyB,$E841,CalcKeyB,"&lt;="&amp;Calc!$B838))</f>
        <v/>
      </c>
      <c r="L841" s="4"/>
    </row>
    <row r="842" spans="1:12" x14ac:dyDescent="0.2">
      <c r="A842" s="3" t="str">
        <f>IF($B842="","",COUNTA($B$9:$B842))</f>
        <v/>
      </c>
      <c r="B842" s="4"/>
      <c r="C842" s="4"/>
      <c r="D842" s="4"/>
      <c r="E842" s="4"/>
      <c r="F842" s="3" t="str">
        <f t="shared" si="27"/>
        <v/>
      </c>
      <c r="G842" s="4"/>
      <c r="H842" s="5"/>
      <c r="I842" s="5"/>
      <c r="J842" s="6" t="str">
        <f t="shared" si="26"/>
        <v/>
      </c>
      <c r="K842" s="6" t="str">
        <f>IF(OR($B842="",$E842="",Calc!$B839=""),"",SUMIFS(CalcAmtA,CalcPartyA,$E842,CalcKeyA,"&lt;="&amp;Calc!$B839)-SUMIFS(CalcWitB,CalcPartyB,$E842,CalcKeyB,"&lt;="&amp;Calc!$B839)+SUMIFS(CalcDepB,CalcPartyB,$E842,CalcKeyB,"&lt;="&amp;Calc!$B839))</f>
        <v/>
      </c>
      <c r="L842" s="4"/>
    </row>
    <row r="843" spans="1:12" x14ac:dyDescent="0.2">
      <c r="A843" s="3" t="str">
        <f>IF($B843="","",COUNTA($B$9:$B843))</f>
        <v/>
      </c>
      <c r="B843" s="4"/>
      <c r="C843" s="4"/>
      <c r="D843" s="4"/>
      <c r="E843" s="4"/>
      <c r="F843" s="3" t="str">
        <f t="shared" si="27"/>
        <v/>
      </c>
      <c r="G843" s="4"/>
      <c r="H843" s="5"/>
      <c r="I843" s="5"/>
      <c r="J843" s="6" t="str">
        <f t="shared" si="26"/>
        <v/>
      </c>
      <c r="K843" s="6" t="str">
        <f>IF(OR($B843="",$E843="",Calc!$B840=""),"",SUMIFS(CalcAmtA,CalcPartyA,$E843,CalcKeyA,"&lt;="&amp;Calc!$B840)-SUMIFS(CalcWitB,CalcPartyB,$E843,CalcKeyB,"&lt;="&amp;Calc!$B840)+SUMIFS(CalcDepB,CalcPartyB,$E843,CalcKeyB,"&lt;="&amp;Calc!$B840))</f>
        <v/>
      </c>
      <c r="L843" s="4"/>
    </row>
    <row r="844" spans="1:12" x14ac:dyDescent="0.2">
      <c r="A844" s="3" t="str">
        <f>IF($B844="","",COUNTA($B$9:$B844))</f>
        <v/>
      </c>
      <c r="B844" s="4"/>
      <c r="C844" s="4"/>
      <c r="D844" s="4"/>
      <c r="E844" s="4"/>
      <c r="F844" s="3" t="str">
        <f t="shared" si="27"/>
        <v/>
      </c>
      <c r="G844" s="4"/>
      <c r="H844" s="5"/>
      <c r="I844" s="5"/>
      <c r="J844" s="6" t="str">
        <f t="shared" si="26"/>
        <v/>
      </c>
      <c r="K844" s="6" t="str">
        <f>IF(OR($B844="",$E844="",Calc!$B841=""),"",SUMIFS(CalcAmtA,CalcPartyA,$E844,CalcKeyA,"&lt;="&amp;Calc!$B841)-SUMIFS(CalcWitB,CalcPartyB,$E844,CalcKeyB,"&lt;="&amp;Calc!$B841)+SUMIFS(CalcDepB,CalcPartyB,$E844,CalcKeyB,"&lt;="&amp;Calc!$B841))</f>
        <v/>
      </c>
      <c r="L844" s="4"/>
    </row>
    <row r="845" spans="1:12" x14ac:dyDescent="0.2">
      <c r="A845" s="3" t="str">
        <f>IF($B845="","",COUNTA($B$9:$B845))</f>
        <v/>
      </c>
      <c r="B845" s="4"/>
      <c r="C845" s="4"/>
      <c r="D845" s="4"/>
      <c r="E845" s="4"/>
      <c r="F845" s="3" t="str">
        <f t="shared" si="27"/>
        <v/>
      </c>
      <c r="G845" s="4"/>
      <c r="H845" s="5"/>
      <c r="I845" s="5"/>
      <c r="J845" s="6" t="str">
        <f t="shared" si="26"/>
        <v/>
      </c>
      <c r="K845" s="6" t="str">
        <f>IF(OR($B845="",$E845="",Calc!$B842=""),"",SUMIFS(CalcAmtA,CalcPartyA,$E845,CalcKeyA,"&lt;="&amp;Calc!$B842)-SUMIFS(CalcWitB,CalcPartyB,$E845,CalcKeyB,"&lt;="&amp;Calc!$B842)+SUMIFS(CalcDepB,CalcPartyB,$E845,CalcKeyB,"&lt;="&amp;Calc!$B842))</f>
        <v/>
      </c>
      <c r="L845" s="4"/>
    </row>
    <row r="846" spans="1:12" x14ac:dyDescent="0.2">
      <c r="A846" s="3" t="str">
        <f>IF($B846="","",COUNTA($B$9:$B846))</f>
        <v/>
      </c>
      <c r="B846" s="4"/>
      <c r="C846" s="4"/>
      <c r="D846" s="4"/>
      <c r="E846" s="4"/>
      <c r="F846" s="3" t="str">
        <f t="shared" si="27"/>
        <v/>
      </c>
      <c r="G846" s="4"/>
      <c r="H846" s="5"/>
      <c r="I846" s="5"/>
      <c r="J846" s="6" t="str">
        <f t="shared" si="26"/>
        <v/>
      </c>
      <c r="K846" s="6" t="str">
        <f>IF(OR($B846="",$E846="",Calc!$B843=""),"",SUMIFS(CalcAmtA,CalcPartyA,$E846,CalcKeyA,"&lt;="&amp;Calc!$B843)-SUMIFS(CalcWitB,CalcPartyB,$E846,CalcKeyB,"&lt;="&amp;Calc!$B843)+SUMIFS(CalcDepB,CalcPartyB,$E846,CalcKeyB,"&lt;="&amp;Calc!$B843))</f>
        <v/>
      </c>
      <c r="L846" s="4"/>
    </row>
    <row r="847" spans="1:12" x14ac:dyDescent="0.2">
      <c r="A847" s="3" t="str">
        <f>IF($B847="","",COUNTA($B$9:$B847))</f>
        <v/>
      </c>
      <c r="B847" s="4"/>
      <c r="C847" s="4"/>
      <c r="D847" s="4"/>
      <c r="E847" s="4"/>
      <c r="F847" s="3" t="str">
        <f t="shared" si="27"/>
        <v/>
      </c>
      <c r="G847" s="4"/>
      <c r="H847" s="5"/>
      <c r="I847" s="5"/>
      <c r="J847" s="6" t="str">
        <f t="shared" si="26"/>
        <v/>
      </c>
      <c r="K847" s="6" t="str">
        <f>IF(OR($B847="",$E847="",Calc!$B844=""),"",SUMIFS(CalcAmtA,CalcPartyA,$E847,CalcKeyA,"&lt;="&amp;Calc!$B844)-SUMIFS(CalcWitB,CalcPartyB,$E847,CalcKeyB,"&lt;="&amp;Calc!$B844)+SUMIFS(CalcDepB,CalcPartyB,$E847,CalcKeyB,"&lt;="&amp;Calc!$B844))</f>
        <v/>
      </c>
      <c r="L847" s="4"/>
    </row>
    <row r="848" spans="1:12" x14ac:dyDescent="0.2">
      <c r="A848" s="3" t="str">
        <f>IF($B848="","",COUNTA($B$9:$B848))</f>
        <v/>
      </c>
      <c r="B848" s="4"/>
      <c r="C848" s="4"/>
      <c r="D848" s="4"/>
      <c r="E848" s="4"/>
      <c r="F848" s="3" t="str">
        <f t="shared" si="27"/>
        <v/>
      </c>
      <c r="G848" s="4"/>
      <c r="H848" s="5"/>
      <c r="I848" s="5"/>
      <c r="J848" s="6" t="str">
        <f t="shared" si="26"/>
        <v/>
      </c>
      <c r="K848" s="6" t="str">
        <f>IF(OR($B848="",$E848="",Calc!$B845=""),"",SUMIFS(CalcAmtA,CalcPartyA,$E848,CalcKeyA,"&lt;="&amp;Calc!$B845)-SUMIFS(CalcWitB,CalcPartyB,$E848,CalcKeyB,"&lt;="&amp;Calc!$B845)+SUMIFS(CalcDepB,CalcPartyB,$E848,CalcKeyB,"&lt;="&amp;Calc!$B845))</f>
        <v/>
      </c>
      <c r="L848" s="4"/>
    </row>
    <row r="849" spans="1:12" x14ac:dyDescent="0.2">
      <c r="A849" s="3" t="str">
        <f>IF($B849="","",COUNTA($B$9:$B849))</f>
        <v/>
      </c>
      <c r="B849" s="4"/>
      <c r="C849" s="4"/>
      <c r="D849" s="4"/>
      <c r="E849" s="4"/>
      <c r="F849" s="3" t="str">
        <f t="shared" si="27"/>
        <v/>
      </c>
      <c r="G849" s="4"/>
      <c r="H849" s="5"/>
      <c r="I849" s="5"/>
      <c r="J849" s="6" t="str">
        <f t="shared" si="26"/>
        <v/>
      </c>
      <c r="K849" s="6" t="str">
        <f>IF(OR($B849="",$E849="",Calc!$B846=""),"",SUMIFS(CalcAmtA,CalcPartyA,$E849,CalcKeyA,"&lt;="&amp;Calc!$B846)-SUMIFS(CalcWitB,CalcPartyB,$E849,CalcKeyB,"&lt;="&amp;Calc!$B846)+SUMIFS(CalcDepB,CalcPartyB,$E849,CalcKeyB,"&lt;="&amp;Calc!$B846))</f>
        <v/>
      </c>
      <c r="L849" s="4"/>
    </row>
    <row r="850" spans="1:12" x14ac:dyDescent="0.2">
      <c r="A850" s="3" t="str">
        <f>IF($B850="","",COUNTA($B$9:$B850))</f>
        <v/>
      </c>
      <c r="B850" s="4"/>
      <c r="C850" s="4"/>
      <c r="D850" s="4"/>
      <c r="E850" s="4"/>
      <c r="F850" s="3" t="str">
        <f t="shared" si="27"/>
        <v/>
      </c>
      <c r="G850" s="4"/>
      <c r="H850" s="5"/>
      <c r="I850" s="5"/>
      <c r="J850" s="6" t="str">
        <f t="shared" si="26"/>
        <v/>
      </c>
      <c r="K850" s="6" t="str">
        <f>IF(OR($B850="",$E850="",Calc!$B847=""),"",SUMIFS(CalcAmtA,CalcPartyA,$E850,CalcKeyA,"&lt;="&amp;Calc!$B847)-SUMIFS(CalcWitB,CalcPartyB,$E850,CalcKeyB,"&lt;="&amp;Calc!$B847)+SUMIFS(CalcDepB,CalcPartyB,$E850,CalcKeyB,"&lt;="&amp;Calc!$B847))</f>
        <v/>
      </c>
      <c r="L850" s="4"/>
    </row>
    <row r="851" spans="1:12" x14ac:dyDescent="0.2">
      <c r="A851" s="3" t="str">
        <f>IF($B851="","",COUNTA($B$9:$B851))</f>
        <v/>
      </c>
      <c r="B851" s="4"/>
      <c r="C851" s="4"/>
      <c r="D851" s="4"/>
      <c r="E851" s="4"/>
      <c r="F851" s="3" t="str">
        <f t="shared" si="27"/>
        <v/>
      </c>
      <c r="G851" s="4"/>
      <c r="H851" s="5"/>
      <c r="I851" s="5"/>
      <c r="J851" s="6" t="str">
        <f t="shared" si="26"/>
        <v/>
      </c>
      <c r="K851" s="6" t="str">
        <f>IF(OR($B851="",$E851="",Calc!$B848=""),"",SUMIFS(CalcAmtA,CalcPartyA,$E851,CalcKeyA,"&lt;="&amp;Calc!$B848)-SUMIFS(CalcWitB,CalcPartyB,$E851,CalcKeyB,"&lt;="&amp;Calc!$B848)+SUMIFS(CalcDepB,CalcPartyB,$E851,CalcKeyB,"&lt;="&amp;Calc!$B848))</f>
        <v/>
      </c>
      <c r="L851" s="4"/>
    </row>
    <row r="852" spans="1:12" x14ac:dyDescent="0.2">
      <c r="A852" s="3" t="str">
        <f>IF($B852="","",COUNTA($B$9:$B852))</f>
        <v/>
      </c>
      <c r="B852" s="4"/>
      <c r="C852" s="4"/>
      <c r="D852" s="4"/>
      <c r="E852" s="4"/>
      <c r="F852" s="3" t="str">
        <f t="shared" si="27"/>
        <v/>
      </c>
      <c r="G852" s="4"/>
      <c r="H852" s="5"/>
      <c r="I852" s="5"/>
      <c r="J852" s="6" t="str">
        <f t="shared" si="26"/>
        <v/>
      </c>
      <c r="K852" s="6" t="str">
        <f>IF(OR($B852="",$E852="",Calc!$B849=""),"",SUMIFS(CalcAmtA,CalcPartyA,$E852,CalcKeyA,"&lt;="&amp;Calc!$B849)-SUMIFS(CalcWitB,CalcPartyB,$E852,CalcKeyB,"&lt;="&amp;Calc!$B849)+SUMIFS(CalcDepB,CalcPartyB,$E852,CalcKeyB,"&lt;="&amp;Calc!$B849))</f>
        <v/>
      </c>
      <c r="L852" s="4"/>
    </row>
    <row r="853" spans="1:12" x14ac:dyDescent="0.2">
      <c r="A853" s="3" t="str">
        <f>IF($B853="","",COUNTA($B$9:$B853))</f>
        <v/>
      </c>
      <c r="B853" s="4"/>
      <c r="C853" s="4"/>
      <c r="D853" s="4"/>
      <c r="E853" s="4"/>
      <c r="F853" s="3" t="str">
        <f t="shared" si="27"/>
        <v/>
      </c>
      <c r="G853" s="4"/>
      <c r="H853" s="5"/>
      <c r="I853" s="5"/>
      <c r="J853" s="6" t="str">
        <f t="shared" si="26"/>
        <v/>
      </c>
      <c r="K853" s="6" t="str">
        <f>IF(OR($B853="",$E853="",Calc!$B850=""),"",SUMIFS(CalcAmtA,CalcPartyA,$E853,CalcKeyA,"&lt;="&amp;Calc!$B850)-SUMIFS(CalcWitB,CalcPartyB,$E853,CalcKeyB,"&lt;="&amp;Calc!$B850)+SUMIFS(CalcDepB,CalcPartyB,$E853,CalcKeyB,"&lt;="&amp;Calc!$B850))</f>
        <v/>
      </c>
      <c r="L853" s="4"/>
    </row>
    <row r="854" spans="1:12" x14ac:dyDescent="0.2">
      <c r="A854" s="3" t="str">
        <f>IF($B854="","",COUNTA($B$9:$B854))</f>
        <v/>
      </c>
      <c r="B854" s="4"/>
      <c r="C854" s="4"/>
      <c r="D854" s="4"/>
      <c r="E854" s="4"/>
      <c r="F854" s="3" t="str">
        <f t="shared" si="27"/>
        <v/>
      </c>
      <c r="G854" s="4"/>
      <c r="H854" s="5"/>
      <c r="I854" s="5"/>
      <c r="J854" s="6" t="str">
        <f t="shared" si="26"/>
        <v/>
      </c>
      <c r="K854" s="6" t="str">
        <f>IF(OR($B854="",$E854="",Calc!$B851=""),"",SUMIFS(CalcAmtA,CalcPartyA,$E854,CalcKeyA,"&lt;="&amp;Calc!$B851)-SUMIFS(CalcWitB,CalcPartyB,$E854,CalcKeyB,"&lt;="&amp;Calc!$B851)+SUMIFS(CalcDepB,CalcPartyB,$E854,CalcKeyB,"&lt;="&amp;Calc!$B851))</f>
        <v/>
      </c>
      <c r="L854" s="4"/>
    </row>
    <row r="855" spans="1:12" x14ac:dyDescent="0.2">
      <c r="A855" s="3" t="str">
        <f>IF($B855="","",COUNTA($B$9:$B855))</f>
        <v/>
      </c>
      <c r="B855" s="4"/>
      <c r="C855" s="4"/>
      <c r="D855" s="4"/>
      <c r="E855" s="4"/>
      <c r="F855" s="3" t="str">
        <f t="shared" si="27"/>
        <v/>
      </c>
      <c r="G855" s="4"/>
      <c r="H855" s="5"/>
      <c r="I855" s="5"/>
      <c r="J855" s="6" t="str">
        <f t="shared" si="26"/>
        <v/>
      </c>
      <c r="K855" s="6" t="str">
        <f>IF(OR($B855="",$E855="",Calc!$B852=""),"",SUMIFS(CalcAmtA,CalcPartyA,$E855,CalcKeyA,"&lt;="&amp;Calc!$B852)-SUMIFS(CalcWitB,CalcPartyB,$E855,CalcKeyB,"&lt;="&amp;Calc!$B852)+SUMIFS(CalcDepB,CalcPartyB,$E855,CalcKeyB,"&lt;="&amp;Calc!$B852))</f>
        <v/>
      </c>
      <c r="L855" s="4"/>
    </row>
    <row r="856" spans="1:12" x14ac:dyDescent="0.2">
      <c r="A856" s="3" t="str">
        <f>IF($B856="","",COUNTA($B$9:$B856))</f>
        <v/>
      </c>
      <c r="B856" s="4"/>
      <c r="C856" s="4"/>
      <c r="D856" s="4"/>
      <c r="E856" s="4"/>
      <c r="F856" s="3" t="str">
        <f t="shared" si="27"/>
        <v/>
      </c>
      <c r="G856" s="4"/>
      <c r="H856" s="5"/>
      <c r="I856" s="5"/>
      <c r="J856" s="6" t="str">
        <f t="shared" si="26"/>
        <v/>
      </c>
      <c r="K856" s="6" t="str">
        <f>IF(OR($B856="",$E856="",Calc!$B853=""),"",SUMIFS(CalcAmtA,CalcPartyA,$E856,CalcKeyA,"&lt;="&amp;Calc!$B853)-SUMIFS(CalcWitB,CalcPartyB,$E856,CalcKeyB,"&lt;="&amp;Calc!$B853)+SUMIFS(CalcDepB,CalcPartyB,$E856,CalcKeyB,"&lt;="&amp;Calc!$B853))</f>
        <v/>
      </c>
      <c r="L856" s="4"/>
    </row>
    <row r="857" spans="1:12" x14ac:dyDescent="0.2">
      <c r="A857" s="3" t="str">
        <f>IF($B857="","",COUNTA($B$9:$B857))</f>
        <v/>
      </c>
      <c r="B857" s="4"/>
      <c r="C857" s="4"/>
      <c r="D857" s="4"/>
      <c r="E857" s="4"/>
      <c r="F857" s="3" t="str">
        <f t="shared" si="27"/>
        <v/>
      </c>
      <c r="G857" s="4"/>
      <c r="H857" s="5"/>
      <c r="I857" s="5"/>
      <c r="J857" s="6" t="str">
        <f t="shared" si="26"/>
        <v/>
      </c>
      <c r="K857" s="6" t="str">
        <f>IF(OR($B857="",$E857="",Calc!$B854=""),"",SUMIFS(CalcAmtA,CalcPartyA,$E857,CalcKeyA,"&lt;="&amp;Calc!$B854)-SUMIFS(CalcWitB,CalcPartyB,$E857,CalcKeyB,"&lt;="&amp;Calc!$B854)+SUMIFS(CalcDepB,CalcPartyB,$E857,CalcKeyB,"&lt;="&amp;Calc!$B854))</f>
        <v/>
      </c>
      <c r="L857" s="4"/>
    </row>
    <row r="858" spans="1:12" x14ac:dyDescent="0.2">
      <c r="A858" s="3" t="str">
        <f>IF($B858="","",COUNTA($B$9:$B858))</f>
        <v/>
      </c>
      <c r="B858" s="4"/>
      <c r="C858" s="4"/>
      <c r="D858" s="4"/>
      <c r="E858" s="4"/>
      <c r="F858" s="3" t="str">
        <f t="shared" si="27"/>
        <v/>
      </c>
      <c r="G858" s="4"/>
      <c r="H858" s="5"/>
      <c r="I858" s="5"/>
      <c r="J858" s="6" t="str">
        <f t="shared" si="26"/>
        <v/>
      </c>
      <c r="K858" s="6" t="str">
        <f>IF(OR($B858="",$E858="",Calc!$B855=""),"",SUMIFS(CalcAmtA,CalcPartyA,$E858,CalcKeyA,"&lt;="&amp;Calc!$B855)-SUMIFS(CalcWitB,CalcPartyB,$E858,CalcKeyB,"&lt;="&amp;Calc!$B855)+SUMIFS(CalcDepB,CalcPartyB,$E858,CalcKeyB,"&lt;="&amp;Calc!$B855))</f>
        <v/>
      </c>
      <c r="L858" s="4"/>
    </row>
    <row r="859" spans="1:12" x14ac:dyDescent="0.2">
      <c r="A859" s="3" t="str">
        <f>IF($B859="","",COUNTA($B$9:$B859))</f>
        <v/>
      </c>
      <c r="B859" s="4"/>
      <c r="C859" s="4"/>
      <c r="D859" s="4"/>
      <c r="E859" s="4"/>
      <c r="F859" s="3" t="str">
        <f t="shared" si="27"/>
        <v/>
      </c>
      <c r="G859" s="4"/>
      <c r="H859" s="5"/>
      <c r="I859" s="5"/>
      <c r="J859" s="6" t="str">
        <f t="shared" si="26"/>
        <v/>
      </c>
      <c r="K859" s="6" t="str">
        <f>IF(OR($B859="",$E859="",Calc!$B856=""),"",SUMIFS(CalcAmtA,CalcPartyA,$E859,CalcKeyA,"&lt;="&amp;Calc!$B856)-SUMIFS(CalcWitB,CalcPartyB,$E859,CalcKeyB,"&lt;="&amp;Calc!$B856)+SUMIFS(CalcDepB,CalcPartyB,$E859,CalcKeyB,"&lt;="&amp;Calc!$B856))</f>
        <v/>
      </c>
      <c r="L859" s="4"/>
    </row>
    <row r="860" spans="1:12" x14ac:dyDescent="0.2">
      <c r="A860" s="3" t="str">
        <f>IF($B860="","",COUNTA($B$9:$B860))</f>
        <v/>
      </c>
      <c r="B860" s="4"/>
      <c r="C860" s="4"/>
      <c r="D860" s="4"/>
      <c r="E860" s="4"/>
      <c r="F860" s="3" t="str">
        <f t="shared" si="27"/>
        <v/>
      </c>
      <c r="G860" s="4"/>
      <c r="H860" s="5"/>
      <c r="I860" s="5"/>
      <c r="J860" s="6" t="str">
        <f t="shared" si="26"/>
        <v/>
      </c>
      <c r="K860" s="6" t="str">
        <f>IF(OR($B860="",$E860="",Calc!$B857=""),"",SUMIFS(CalcAmtA,CalcPartyA,$E860,CalcKeyA,"&lt;="&amp;Calc!$B857)-SUMIFS(CalcWitB,CalcPartyB,$E860,CalcKeyB,"&lt;="&amp;Calc!$B857)+SUMIFS(CalcDepB,CalcPartyB,$E860,CalcKeyB,"&lt;="&amp;Calc!$B857))</f>
        <v/>
      </c>
      <c r="L860" s="4"/>
    </row>
    <row r="861" spans="1:12" x14ac:dyDescent="0.2">
      <c r="A861" s="3" t="str">
        <f>IF($B861="","",COUNTA($B$9:$B861))</f>
        <v/>
      </c>
      <c r="B861" s="4"/>
      <c r="C861" s="4"/>
      <c r="D861" s="4"/>
      <c r="E861" s="4"/>
      <c r="F861" s="3" t="str">
        <f t="shared" si="27"/>
        <v/>
      </c>
      <c r="G861" s="4"/>
      <c r="H861" s="5"/>
      <c r="I861" s="5"/>
      <c r="J861" s="6" t="str">
        <f t="shared" si="26"/>
        <v/>
      </c>
      <c r="K861" s="6" t="str">
        <f>IF(OR($B861="",$E861="",Calc!$B858=""),"",SUMIFS(CalcAmtA,CalcPartyA,$E861,CalcKeyA,"&lt;="&amp;Calc!$B858)-SUMIFS(CalcWitB,CalcPartyB,$E861,CalcKeyB,"&lt;="&amp;Calc!$B858)+SUMIFS(CalcDepB,CalcPartyB,$E861,CalcKeyB,"&lt;="&amp;Calc!$B858))</f>
        <v/>
      </c>
      <c r="L861" s="4"/>
    </row>
    <row r="862" spans="1:12" x14ac:dyDescent="0.2">
      <c r="A862" s="3" t="str">
        <f>IF($B862="","",COUNTA($B$9:$B862))</f>
        <v/>
      </c>
      <c r="B862" s="4"/>
      <c r="C862" s="4"/>
      <c r="D862" s="4"/>
      <c r="E862" s="4"/>
      <c r="F862" s="3" t="str">
        <f t="shared" si="27"/>
        <v/>
      </c>
      <c r="G862" s="4"/>
      <c r="H862" s="5"/>
      <c r="I862" s="5"/>
      <c r="J862" s="6" t="str">
        <f t="shared" si="26"/>
        <v/>
      </c>
      <c r="K862" s="6" t="str">
        <f>IF(OR($B862="",$E862="",Calc!$B859=""),"",SUMIFS(CalcAmtA,CalcPartyA,$E862,CalcKeyA,"&lt;="&amp;Calc!$B859)-SUMIFS(CalcWitB,CalcPartyB,$E862,CalcKeyB,"&lt;="&amp;Calc!$B859)+SUMIFS(CalcDepB,CalcPartyB,$E862,CalcKeyB,"&lt;="&amp;Calc!$B859))</f>
        <v/>
      </c>
      <c r="L862" s="4"/>
    </row>
    <row r="863" spans="1:12" x14ac:dyDescent="0.2">
      <c r="A863" s="3" t="str">
        <f>IF($B863="","",COUNTA($B$9:$B863))</f>
        <v/>
      </c>
      <c r="B863" s="4"/>
      <c r="C863" s="4"/>
      <c r="D863" s="4"/>
      <c r="E863" s="4"/>
      <c r="F863" s="3" t="str">
        <f t="shared" si="27"/>
        <v/>
      </c>
      <c r="G863" s="4"/>
      <c r="H863" s="5"/>
      <c r="I863" s="5"/>
      <c r="J863" s="6" t="str">
        <f t="shared" si="26"/>
        <v/>
      </c>
      <c r="K863" s="6" t="str">
        <f>IF(OR($B863="",$E863="",Calc!$B860=""),"",SUMIFS(CalcAmtA,CalcPartyA,$E863,CalcKeyA,"&lt;="&amp;Calc!$B860)-SUMIFS(CalcWitB,CalcPartyB,$E863,CalcKeyB,"&lt;="&amp;Calc!$B860)+SUMIFS(CalcDepB,CalcPartyB,$E863,CalcKeyB,"&lt;="&amp;Calc!$B860))</f>
        <v/>
      </c>
      <c r="L863" s="4"/>
    </row>
    <row r="864" spans="1:12" x14ac:dyDescent="0.2">
      <c r="A864" s="3" t="str">
        <f>IF($B864="","",COUNTA($B$9:$B864))</f>
        <v/>
      </c>
      <c r="B864" s="4"/>
      <c r="C864" s="4"/>
      <c r="D864" s="4"/>
      <c r="E864" s="4"/>
      <c r="F864" s="3" t="str">
        <f t="shared" si="27"/>
        <v/>
      </c>
      <c r="G864" s="4"/>
      <c r="H864" s="5"/>
      <c r="I864" s="5"/>
      <c r="J864" s="6" t="str">
        <f t="shared" si="26"/>
        <v/>
      </c>
      <c r="K864" s="6" t="str">
        <f>IF(OR($B864="",$E864="",Calc!$B861=""),"",SUMIFS(CalcAmtA,CalcPartyA,$E864,CalcKeyA,"&lt;="&amp;Calc!$B861)-SUMIFS(CalcWitB,CalcPartyB,$E864,CalcKeyB,"&lt;="&amp;Calc!$B861)+SUMIFS(CalcDepB,CalcPartyB,$E864,CalcKeyB,"&lt;="&amp;Calc!$B861))</f>
        <v/>
      </c>
      <c r="L864" s="4"/>
    </row>
    <row r="865" spans="1:12" x14ac:dyDescent="0.2">
      <c r="A865" s="3" t="str">
        <f>IF($B865="","",COUNTA($B$9:$B865))</f>
        <v/>
      </c>
      <c r="B865" s="4"/>
      <c r="C865" s="4"/>
      <c r="D865" s="4"/>
      <c r="E865" s="4"/>
      <c r="F865" s="3" t="str">
        <f t="shared" si="27"/>
        <v/>
      </c>
      <c r="G865" s="4"/>
      <c r="H865" s="5"/>
      <c r="I865" s="5"/>
      <c r="J865" s="6" t="str">
        <f t="shared" si="26"/>
        <v/>
      </c>
      <c r="K865" s="6" t="str">
        <f>IF(OR($B865="",$E865="",Calc!$B862=""),"",SUMIFS(CalcAmtA,CalcPartyA,$E865,CalcKeyA,"&lt;="&amp;Calc!$B862)-SUMIFS(CalcWitB,CalcPartyB,$E865,CalcKeyB,"&lt;="&amp;Calc!$B862)+SUMIFS(CalcDepB,CalcPartyB,$E865,CalcKeyB,"&lt;="&amp;Calc!$B862))</f>
        <v/>
      </c>
      <c r="L865" s="4"/>
    </row>
    <row r="866" spans="1:12" x14ac:dyDescent="0.2">
      <c r="A866" s="3" t="str">
        <f>IF($B866="","",COUNTA($B$9:$B866))</f>
        <v/>
      </c>
      <c r="B866" s="4"/>
      <c r="C866" s="4"/>
      <c r="D866" s="4"/>
      <c r="E866" s="4"/>
      <c r="F866" s="3" t="str">
        <f t="shared" si="27"/>
        <v/>
      </c>
      <c r="G866" s="4"/>
      <c r="H866" s="5"/>
      <c r="I866" s="5"/>
      <c r="J866" s="6" t="str">
        <f t="shared" si="26"/>
        <v/>
      </c>
      <c r="K866" s="6" t="str">
        <f>IF(OR($B866="",$E866="",Calc!$B863=""),"",SUMIFS(CalcAmtA,CalcPartyA,$E866,CalcKeyA,"&lt;="&amp;Calc!$B863)-SUMIFS(CalcWitB,CalcPartyB,$E866,CalcKeyB,"&lt;="&amp;Calc!$B863)+SUMIFS(CalcDepB,CalcPartyB,$E866,CalcKeyB,"&lt;="&amp;Calc!$B863))</f>
        <v/>
      </c>
      <c r="L866" s="4"/>
    </row>
    <row r="867" spans="1:12" x14ac:dyDescent="0.2">
      <c r="A867" s="3" t="str">
        <f>IF($B867="","",COUNTA($B$9:$B867))</f>
        <v/>
      </c>
      <c r="B867" s="4"/>
      <c r="C867" s="4"/>
      <c r="D867" s="4"/>
      <c r="E867" s="4"/>
      <c r="F867" s="3" t="str">
        <f t="shared" si="27"/>
        <v/>
      </c>
      <c r="G867" s="4"/>
      <c r="H867" s="5"/>
      <c r="I867" s="5"/>
      <c r="J867" s="6" t="str">
        <f t="shared" si="26"/>
        <v/>
      </c>
      <c r="K867" s="6" t="str">
        <f>IF(OR($B867="",$E867="",Calc!$B864=""),"",SUMIFS(CalcAmtA,CalcPartyA,$E867,CalcKeyA,"&lt;="&amp;Calc!$B864)-SUMIFS(CalcWitB,CalcPartyB,$E867,CalcKeyB,"&lt;="&amp;Calc!$B864)+SUMIFS(CalcDepB,CalcPartyB,$E867,CalcKeyB,"&lt;="&amp;Calc!$B864))</f>
        <v/>
      </c>
      <c r="L867" s="4"/>
    </row>
    <row r="868" spans="1:12" x14ac:dyDescent="0.2">
      <c r="A868" s="3" t="str">
        <f>IF($B868="","",COUNTA($B$9:$B868))</f>
        <v/>
      </c>
      <c r="B868" s="4"/>
      <c r="C868" s="4"/>
      <c r="D868" s="4"/>
      <c r="E868" s="4"/>
      <c r="F868" s="3" t="str">
        <f t="shared" si="27"/>
        <v/>
      </c>
      <c r="G868" s="4"/>
      <c r="H868" s="5"/>
      <c r="I868" s="5"/>
      <c r="J868" s="6" t="str">
        <f t="shared" si="26"/>
        <v/>
      </c>
      <c r="K868" s="6" t="str">
        <f>IF(OR($B868="",$E868="",Calc!$B865=""),"",SUMIFS(CalcAmtA,CalcPartyA,$E868,CalcKeyA,"&lt;="&amp;Calc!$B865)-SUMIFS(CalcWitB,CalcPartyB,$E868,CalcKeyB,"&lt;="&amp;Calc!$B865)+SUMIFS(CalcDepB,CalcPartyB,$E868,CalcKeyB,"&lt;="&amp;Calc!$B865))</f>
        <v/>
      </c>
      <c r="L868" s="4"/>
    </row>
    <row r="869" spans="1:12" x14ac:dyDescent="0.2">
      <c r="A869" s="3" t="str">
        <f>IF($B869="","",COUNTA($B$9:$B869))</f>
        <v/>
      </c>
      <c r="B869" s="4"/>
      <c r="C869" s="4"/>
      <c r="D869" s="4"/>
      <c r="E869" s="4"/>
      <c r="F869" s="3" t="str">
        <f t="shared" si="27"/>
        <v/>
      </c>
      <c r="G869" s="4"/>
      <c r="H869" s="5"/>
      <c r="I869" s="5"/>
      <c r="J869" s="6" t="str">
        <f t="shared" si="26"/>
        <v/>
      </c>
      <c r="K869" s="6" t="str">
        <f>IF(OR($B869="",$E869="",Calc!$B866=""),"",SUMIFS(CalcAmtA,CalcPartyA,$E869,CalcKeyA,"&lt;="&amp;Calc!$B866)-SUMIFS(CalcWitB,CalcPartyB,$E869,CalcKeyB,"&lt;="&amp;Calc!$B866)+SUMIFS(CalcDepB,CalcPartyB,$E869,CalcKeyB,"&lt;="&amp;Calc!$B866))</f>
        <v/>
      </c>
      <c r="L869" s="4"/>
    </row>
    <row r="870" spans="1:12" x14ac:dyDescent="0.2">
      <c r="A870" s="3" t="str">
        <f>IF($B870="","",COUNTA($B$9:$B870))</f>
        <v/>
      </c>
      <c r="B870" s="4"/>
      <c r="C870" s="4"/>
      <c r="D870" s="4"/>
      <c r="E870" s="4"/>
      <c r="F870" s="3" t="str">
        <f t="shared" si="27"/>
        <v/>
      </c>
      <c r="G870" s="4"/>
      <c r="H870" s="5"/>
      <c r="I870" s="5"/>
      <c r="J870" s="6" t="str">
        <f t="shared" si="26"/>
        <v/>
      </c>
      <c r="K870" s="6" t="str">
        <f>IF(OR($B870="",$E870="",Calc!$B867=""),"",SUMIFS(CalcAmtA,CalcPartyA,$E870,CalcKeyA,"&lt;="&amp;Calc!$B867)-SUMIFS(CalcWitB,CalcPartyB,$E870,CalcKeyB,"&lt;="&amp;Calc!$B867)+SUMIFS(CalcDepB,CalcPartyB,$E870,CalcKeyB,"&lt;="&amp;Calc!$B867))</f>
        <v/>
      </c>
      <c r="L870" s="4"/>
    </row>
    <row r="871" spans="1:12" x14ac:dyDescent="0.2">
      <c r="A871" s="3" t="str">
        <f>IF($B871="","",COUNTA($B$9:$B871))</f>
        <v/>
      </c>
      <c r="B871" s="4"/>
      <c r="C871" s="4"/>
      <c r="D871" s="4"/>
      <c r="E871" s="4"/>
      <c r="F871" s="3" t="str">
        <f t="shared" si="27"/>
        <v/>
      </c>
      <c r="G871" s="4"/>
      <c r="H871" s="5"/>
      <c r="I871" s="5"/>
      <c r="J871" s="6" t="str">
        <f t="shared" si="26"/>
        <v/>
      </c>
      <c r="K871" s="6" t="str">
        <f>IF(OR($B871="",$E871="",Calc!$B868=""),"",SUMIFS(CalcAmtA,CalcPartyA,$E871,CalcKeyA,"&lt;="&amp;Calc!$B868)-SUMIFS(CalcWitB,CalcPartyB,$E871,CalcKeyB,"&lt;="&amp;Calc!$B868)+SUMIFS(CalcDepB,CalcPartyB,$E871,CalcKeyB,"&lt;="&amp;Calc!$B868))</f>
        <v/>
      </c>
      <c r="L871" s="4"/>
    </row>
    <row r="872" spans="1:12" x14ac:dyDescent="0.2">
      <c r="A872" s="3" t="str">
        <f>IF($B872="","",COUNTA($B$9:$B872))</f>
        <v/>
      </c>
      <c r="B872" s="4"/>
      <c r="C872" s="4"/>
      <c r="D872" s="4"/>
      <c r="E872" s="4"/>
      <c r="F872" s="3" t="str">
        <f t="shared" si="27"/>
        <v/>
      </c>
      <c r="G872" s="4"/>
      <c r="H872" s="5"/>
      <c r="I872" s="5"/>
      <c r="J872" s="6" t="str">
        <f t="shared" si="26"/>
        <v/>
      </c>
      <c r="K872" s="6" t="str">
        <f>IF(OR($B872="",$E872="",Calc!$B869=""),"",SUMIFS(CalcAmtA,CalcPartyA,$E872,CalcKeyA,"&lt;="&amp;Calc!$B869)-SUMIFS(CalcWitB,CalcPartyB,$E872,CalcKeyB,"&lt;="&amp;Calc!$B869)+SUMIFS(CalcDepB,CalcPartyB,$E872,CalcKeyB,"&lt;="&amp;Calc!$B869))</f>
        <v/>
      </c>
      <c r="L872" s="4"/>
    </row>
    <row r="873" spans="1:12" x14ac:dyDescent="0.2">
      <c r="A873" s="3" t="str">
        <f>IF($B873="","",COUNTA($B$9:$B873))</f>
        <v/>
      </c>
      <c r="B873" s="4"/>
      <c r="C873" s="4"/>
      <c r="D873" s="4"/>
      <c r="E873" s="4"/>
      <c r="F873" s="3" t="str">
        <f t="shared" si="27"/>
        <v/>
      </c>
      <c r="G873" s="4"/>
      <c r="H873" s="5"/>
      <c r="I873" s="5"/>
      <c r="J873" s="6" t="str">
        <f t="shared" si="26"/>
        <v/>
      </c>
      <c r="K873" s="6" t="str">
        <f>IF(OR($B873="",$E873="",Calc!$B870=""),"",SUMIFS(CalcAmtA,CalcPartyA,$E873,CalcKeyA,"&lt;="&amp;Calc!$B870)-SUMIFS(CalcWitB,CalcPartyB,$E873,CalcKeyB,"&lt;="&amp;Calc!$B870)+SUMIFS(CalcDepB,CalcPartyB,$E873,CalcKeyB,"&lt;="&amp;Calc!$B870))</f>
        <v/>
      </c>
      <c r="L873" s="4"/>
    </row>
    <row r="874" spans="1:12" x14ac:dyDescent="0.2">
      <c r="A874" s="3" t="str">
        <f>IF($B874="","",COUNTA($B$9:$B874))</f>
        <v/>
      </c>
      <c r="B874" s="4"/>
      <c r="C874" s="4"/>
      <c r="D874" s="4"/>
      <c r="E874" s="4"/>
      <c r="F874" s="3" t="str">
        <f t="shared" si="27"/>
        <v/>
      </c>
      <c r="G874" s="4"/>
      <c r="H874" s="5"/>
      <c r="I874" s="5"/>
      <c r="J874" s="6" t="str">
        <f t="shared" si="26"/>
        <v/>
      </c>
      <c r="K874" s="6" t="str">
        <f>IF(OR($B874="",$E874="",Calc!$B871=""),"",SUMIFS(CalcAmtA,CalcPartyA,$E874,CalcKeyA,"&lt;="&amp;Calc!$B871)-SUMIFS(CalcWitB,CalcPartyB,$E874,CalcKeyB,"&lt;="&amp;Calc!$B871)+SUMIFS(CalcDepB,CalcPartyB,$E874,CalcKeyB,"&lt;="&amp;Calc!$B871))</f>
        <v/>
      </c>
      <c r="L874" s="4"/>
    </row>
    <row r="875" spans="1:12" x14ac:dyDescent="0.2">
      <c r="A875" s="3" t="str">
        <f>IF($B875="","",COUNTA($B$9:$B875))</f>
        <v/>
      </c>
      <c r="B875" s="4"/>
      <c r="C875" s="4"/>
      <c r="D875" s="4"/>
      <c r="E875" s="4"/>
      <c r="F875" s="3" t="str">
        <f t="shared" si="27"/>
        <v/>
      </c>
      <c r="G875" s="4"/>
      <c r="H875" s="5"/>
      <c r="I875" s="5"/>
      <c r="J875" s="6" t="str">
        <f t="shared" si="26"/>
        <v/>
      </c>
      <c r="K875" s="6" t="str">
        <f>IF(OR($B875="",$E875="",Calc!$B872=""),"",SUMIFS(CalcAmtA,CalcPartyA,$E875,CalcKeyA,"&lt;="&amp;Calc!$B872)-SUMIFS(CalcWitB,CalcPartyB,$E875,CalcKeyB,"&lt;="&amp;Calc!$B872)+SUMIFS(CalcDepB,CalcPartyB,$E875,CalcKeyB,"&lt;="&amp;Calc!$B872))</f>
        <v/>
      </c>
      <c r="L875" s="4"/>
    </row>
    <row r="876" spans="1:12" x14ac:dyDescent="0.2">
      <c r="A876" s="3" t="str">
        <f>IF($B876="","",COUNTA($B$9:$B876))</f>
        <v/>
      </c>
      <c r="B876" s="4"/>
      <c r="C876" s="4"/>
      <c r="D876" s="4"/>
      <c r="E876" s="4"/>
      <c r="F876" s="3" t="str">
        <f t="shared" si="27"/>
        <v/>
      </c>
      <c r="G876" s="4"/>
      <c r="H876" s="5"/>
      <c r="I876" s="5"/>
      <c r="J876" s="6" t="str">
        <f t="shared" si="26"/>
        <v/>
      </c>
      <c r="K876" s="6" t="str">
        <f>IF(OR($B876="",$E876="",Calc!$B873=""),"",SUMIFS(CalcAmtA,CalcPartyA,$E876,CalcKeyA,"&lt;="&amp;Calc!$B873)-SUMIFS(CalcWitB,CalcPartyB,$E876,CalcKeyB,"&lt;="&amp;Calc!$B873)+SUMIFS(CalcDepB,CalcPartyB,$E876,CalcKeyB,"&lt;="&amp;Calc!$B873))</f>
        <v/>
      </c>
      <c r="L876" s="4"/>
    </row>
    <row r="877" spans="1:12" x14ac:dyDescent="0.2">
      <c r="A877" s="3" t="str">
        <f>IF($B877="","",COUNTA($B$9:$B877))</f>
        <v/>
      </c>
      <c r="B877" s="4"/>
      <c r="C877" s="4"/>
      <c r="D877" s="4"/>
      <c r="E877" s="4"/>
      <c r="F877" s="3" t="str">
        <f t="shared" si="27"/>
        <v/>
      </c>
      <c r="G877" s="4"/>
      <c r="H877" s="5"/>
      <c r="I877" s="5"/>
      <c r="J877" s="6" t="str">
        <f t="shared" si="26"/>
        <v/>
      </c>
      <c r="K877" s="6" t="str">
        <f>IF(OR($B877="",$E877="",Calc!$B874=""),"",SUMIFS(CalcAmtA,CalcPartyA,$E877,CalcKeyA,"&lt;="&amp;Calc!$B874)-SUMIFS(CalcWitB,CalcPartyB,$E877,CalcKeyB,"&lt;="&amp;Calc!$B874)+SUMIFS(CalcDepB,CalcPartyB,$E877,CalcKeyB,"&lt;="&amp;Calc!$B874))</f>
        <v/>
      </c>
      <c r="L877" s="4"/>
    </row>
    <row r="878" spans="1:12" x14ac:dyDescent="0.2">
      <c r="A878" s="3" t="str">
        <f>IF($B878="","",COUNTA($B$9:$B878))</f>
        <v/>
      </c>
      <c r="B878" s="4"/>
      <c r="C878" s="4"/>
      <c r="D878" s="4"/>
      <c r="E878" s="4"/>
      <c r="F878" s="3" t="str">
        <f t="shared" si="27"/>
        <v/>
      </c>
      <c r="G878" s="4"/>
      <c r="H878" s="5"/>
      <c r="I878" s="5"/>
      <c r="J878" s="6" t="str">
        <f t="shared" si="26"/>
        <v/>
      </c>
      <c r="K878" s="6" t="str">
        <f>IF(OR($B878="",$E878="",Calc!$B875=""),"",SUMIFS(CalcAmtA,CalcPartyA,$E878,CalcKeyA,"&lt;="&amp;Calc!$B875)-SUMIFS(CalcWitB,CalcPartyB,$E878,CalcKeyB,"&lt;="&amp;Calc!$B875)+SUMIFS(CalcDepB,CalcPartyB,$E878,CalcKeyB,"&lt;="&amp;Calc!$B875))</f>
        <v/>
      </c>
      <c r="L878" s="4"/>
    </row>
    <row r="879" spans="1:12" x14ac:dyDescent="0.2">
      <c r="A879" s="3" t="str">
        <f>IF($B879="","",COUNTA($B$9:$B879))</f>
        <v/>
      </c>
      <c r="B879" s="4"/>
      <c r="C879" s="4"/>
      <c r="D879" s="4"/>
      <c r="E879" s="4"/>
      <c r="F879" s="3" t="str">
        <f t="shared" si="27"/>
        <v/>
      </c>
      <c r="G879" s="4"/>
      <c r="H879" s="5"/>
      <c r="I879" s="5"/>
      <c r="J879" s="6" t="str">
        <f t="shared" si="26"/>
        <v/>
      </c>
      <c r="K879" s="6" t="str">
        <f>IF(OR($B879="",$E879="",Calc!$B876=""),"",SUMIFS(CalcAmtA,CalcPartyA,$E879,CalcKeyA,"&lt;="&amp;Calc!$B876)-SUMIFS(CalcWitB,CalcPartyB,$E879,CalcKeyB,"&lt;="&amp;Calc!$B876)+SUMIFS(CalcDepB,CalcPartyB,$E879,CalcKeyB,"&lt;="&amp;Calc!$B876))</f>
        <v/>
      </c>
      <c r="L879" s="4"/>
    </row>
    <row r="880" spans="1:12" x14ac:dyDescent="0.2">
      <c r="A880" s="3" t="str">
        <f>IF($B880="","",COUNTA($B$9:$B880))</f>
        <v/>
      </c>
      <c r="B880" s="4"/>
      <c r="C880" s="4"/>
      <c r="D880" s="4"/>
      <c r="E880" s="4"/>
      <c r="F880" s="3" t="str">
        <f t="shared" si="27"/>
        <v/>
      </c>
      <c r="G880" s="4"/>
      <c r="H880" s="5"/>
      <c r="I880" s="5"/>
      <c r="J880" s="6" t="str">
        <f t="shared" si="26"/>
        <v/>
      </c>
      <c r="K880" s="6" t="str">
        <f>IF(OR($B880="",$E880="",Calc!$B877=""),"",SUMIFS(CalcAmtA,CalcPartyA,$E880,CalcKeyA,"&lt;="&amp;Calc!$B877)-SUMIFS(CalcWitB,CalcPartyB,$E880,CalcKeyB,"&lt;="&amp;Calc!$B877)+SUMIFS(CalcDepB,CalcPartyB,$E880,CalcKeyB,"&lt;="&amp;Calc!$B877))</f>
        <v/>
      </c>
      <c r="L880" s="4"/>
    </row>
    <row r="881" spans="1:12" x14ac:dyDescent="0.2">
      <c r="A881" s="3" t="str">
        <f>IF($B881="","",COUNTA($B$9:$B881))</f>
        <v/>
      </c>
      <c r="B881" s="4"/>
      <c r="C881" s="4"/>
      <c r="D881" s="4"/>
      <c r="E881" s="4"/>
      <c r="F881" s="3" t="str">
        <f t="shared" si="27"/>
        <v/>
      </c>
      <c r="G881" s="4"/>
      <c r="H881" s="5"/>
      <c r="I881" s="5"/>
      <c r="J881" s="6" t="str">
        <f t="shared" si="26"/>
        <v/>
      </c>
      <c r="K881" s="6" t="str">
        <f>IF(OR($B881="",$E881="",Calc!$B878=""),"",SUMIFS(CalcAmtA,CalcPartyA,$E881,CalcKeyA,"&lt;="&amp;Calc!$B878)-SUMIFS(CalcWitB,CalcPartyB,$E881,CalcKeyB,"&lt;="&amp;Calc!$B878)+SUMIFS(CalcDepB,CalcPartyB,$E881,CalcKeyB,"&lt;="&amp;Calc!$B878))</f>
        <v/>
      </c>
      <c r="L881" s="4"/>
    </row>
    <row r="882" spans="1:12" x14ac:dyDescent="0.2">
      <c r="A882" s="3" t="str">
        <f>IF($B882="","",COUNTA($B$9:$B882))</f>
        <v/>
      </c>
      <c r="B882" s="4"/>
      <c r="C882" s="4"/>
      <c r="D882" s="4"/>
      <c r="E882" s="4"/>
      <c r="F882" s="3" t="str">
        <f t="shared" si="27"/>
        <v/>
      </c>
      <c r="G882" s="4"/>
      <c r="H882" s="5"/>
      <c r="I882" s="5"/>
      <c r="J882" s="6" t="str">
        <f t="shared" si="26"/>
        <v/>
      </c>
      <c r="K882" s="6" t="str">
        <f>IF(OR($B882="",$E882="",Calc!$B879=""),"",SUMIFS(CalcAmtA,CalcPartyA,$E882,CalcKeyA,"&lt;="&amp;Calc!$B879)-SUMIFS(CalcWitB,CalcPartyB,$E882,CalcKeyB,"&lt;="&amp;Calc!$B879)+SUMIFS(CalcDepB,CalcPartyB,$E882,CalcKeyB,"&lt;="&amp;Calc!$B879))</f>
        <v/>
      </c>
      <c r="L882" s="4"/>
    </row>
    <row r="883" spans="1:12" x14ac:dyDescent="0.2">
      <c r="A883" s="3" t="str">
        <f>IF($B883="","",COUNTA($B$9:$B883))</f>
        <v/>
      </c>
      <c r="B883" s="4"/>
      <c r="C883" s="4"/>
      <c r="D883" s="4"/>
      <c r="E883" s="4"/>
      <c r="F883" s="3" t="str">
        <f t="shared" si="27"/>
        <v/>
      </c>
      <c r="G883" s="4"/>
      <c r="H883" s="5"/>
      <c r="I883" s="5"/>
      <c r="J883" s="6" t="str">
        <f t="shared" si="26"/>
        <v/>
      </c>
      <c r="K883" s="6" t="str">
        <f>IF(OR($B883="",$E883="",Calc!$B880=""),"",SUMIFS(CalcAmtA,CalcPartyA,$E883,CalcKeyA,"&lt;="&amp;Calc!$B880)-SUMIFS(CalcWitB,CalcPartyB,$E883,CalcKeyB,"&lt;="&amp;Calc!$B880)+SUMIFS(CalcDepB,CalcPartyB,$E883,CalcKeyB,"&lt;="&amp;Calc!$B880))</f>
        <v/>
      </c>
      <c r="L883" s="4"/>
    </row>
    <row r="884" spans="1:12" x14ac:dyDescent="0.2">
      <c r="A884" s="3" t="str">
        <f>IF($B884="","",COUNTA($B$9:$B884))</f>
        <v/>
      </c>
      <c r="B884" s="4"/>
      <c r="C884" s="4"/>
      <c r="D884" s="4"/>
      <c r="E884" s="4"/>
      <c r="F884" s="3" t="str">
        <f t="shared" si="27"/>
        <v/>
      </c>
      <c r="G884" s="4"/>
      <c r="H884" s="5"/>
      <c r="I884" s="5"/>
      <c r="J884" s="6" t="str">
        <f t="shared" si="26"/>
        <v/>
      </c>
      <c r="K884" s="6" t="str">
        <f>IF(OR($B884="",$E884="",Calc!$B881=""),"",SUMIFS(CalcAmtA,CalcPartyA,$E884,CalcKeyA,"&lt;="&amp;Calc!$B881)-SUMIFS(CalcWitB,CalcPartyB,$E884,CalcKeyB,"&lt;="&amp;Calc!$B881)+SUMIFS(CalcDepB,CalcPartyB,$E884,CalcKeyB,"&lt;="&amp;Calc!$B881))</f>
        <v/>
      </c>
      <c r="L884" s="4"/>
    </row>
    <row r="885" spans="1:12" x14ac:dyDescent="0.2">
      <c r="A885" s="3" t="str">
        <f>IF($B885="","",COUNTA($B$9:$B885))</f>
        <v/>
      </c>
      <c r="B885" s="4"/>
      <c r="C885" s="4"/>
      <c r="D885" s="4"/>
      <c r="E885" s="4"/>
      <c r="F885" s="3" t="str">
        <f t="shared" si="27"/>
        <v/>
      </c>
      <c r="G885" s="4"/>
      <c r="H885" s="5"/>
      <c r="I885" s="5"/>
      <c r="J885" s="6" t="str">
        <f t="shared" si="26"/>
        <v/>
      </c>
      <c r="K885" s="6" t="str">
        <f>IF(OR($B885="",$E885="",Calc!$B882=""),"",SUMIFS(CalcAmtA,CalcPartyA,$E885,CalcKeyA,"&lt;="&amp;Calc!$B882)-SUMIFS(CalcWitB,CalcPartyB,$E885,CalcKeyB,"&lt;="&amp;Calc!$B882)+SUMIFS(CalcDepB,CalcPartyB,$E885,CalcKeyB,"&lt;="&amp;Calc!$B882))</f>
        <v/>
      </c>
      <c r="L885" s="4"/>
    </row>
    <row r="886" spans="1:12" x14ac:dyDescent="0.2">
      <c r="A886" s="3" t="str">
        <f>IF($B886="","",COUNTA($B$9:$B886))</f>
        <v/>
      </c>
      <c r="B886" s="4"/>
      <c r="C886" s="4"/>
      <c r="D886" s="4"/>
      <c r="E886" s="4"/>
      <c r="F886" s="3" t="str">
        <f t="shared" si="27"/>
        <v/>
      </c>
      <c r="G886" s="4"/>
      <c r="H886" s="5"/>
      <c r="I886" s="5"/>
      <c r="J886" s="6" t="str">
        <f t="shared" si="26"/>
        <v/>
      </c>
      <c r="K886" s="6" t="str">
        <f>IF(OR($B886="",$E886="",Calc!$B883=""),"",SUMIFS(CalcAmtA,CalcPartyA,$E886,CalcKeyA,"&lt;="&amp;Calc!$B883)-SUMIFS(CalcWitB,CalcPartyB,$E886,CalcKeyB,"&lt;="&amp;Calc!$B883)+SUMIFS(CalcDepB,CalcPartyB,$E886,CalcKeyB,"&lt;="&amp;Calc!$B883))</f>
        <v/>
      </c>
      <c r="L886" s="4"/>
    </row>
    <row r="887" spans="1:12" x14ac:dyDescent="0.2">
      <c r="A887" s="3" t="str">
        <f>IF($B887="","",COUNTA($B$9:$B887))</f>
        <v/>
      </c>
      <c r="B887" s="4"/>
      <c r="C887" s="4"/>
      <c r="D887" s="4"/>
      <c r="E887" s="4"/>
      <c r="F887" s="3" t="str">
        <f t="shared" si="27"/>
        <v/>
      </c>
      <c r="G887" s="4"/>
      <c r="H887" s="5"/>
      <c r="I887" s="5"/>
      <c r="J887" s="6" t="str">
        <f t="shared" si="26"/>
        <v/>
      </c>
      <c r="K887" s="6" t="str">
        <f>IF(OR($B887="",$E887="",Calc!$B884=""),"",SUMIFS(CalcAmtA,CalcPartyA,$E887,CalcKeyA,"&lt;="&amp;Calc!$B884)-SUMIFS(CalcWitB,CalcPartyB,$E887,CalcKeyB,"&lt;="&amp;Calc!$B884)+SUMIFS(CalcDepB,CalcPartyB,$E887,CalcKeyB,"&lt;="&amp;Calc!$B884))</f>
        <v/>
      </c>
      <c r="L887" s="4"/>
    </row>
    <row r="888" spans="1:12" x14ac:dyDescent="0.2">
      <c r="A888" s="3" t="str">
        <f>IF($B888="","",COUNTA($B$9:$B888))</f>
        <v/>
      </c>
      <c r="B888" s="4"/>
      <c r="C888" s="4"/>
      <c r="D888" s="4"/>
      <c r="E888" s="4"/>
      <c r="F888" s="3" t="str">
        <f t="shared" si="27"/>
        <v/>
      </c>
      <c r="G888" s="4"/>
      <c r="H888" s="5"/>
      <c r="I888" s="5"/>
      <c r="J888" s="6" t="str">
        <f t="shared" si="26"/>
        <v/>
      </c>
      <c r="K888" s="6" t="str">
        <f>IF(OR($B888="",$E888="",Calc!$B885=""),"",SUMIFS(CalcAmtA,CalcPartyA,$E888,CalcKeyA,"&lt;="&amp;Calc!$B885)-SUMIFS(CalcWitB,CalcPartyB,$E888,CalcKeyB,"&lt;="&amp;Calc!$B885)+SUMIFS(CalcDepB,CalcPartyB,$E888,CalcKeyB,"&lt;="&amp;Calc!$B885))</f>
        <v/>
      </c>
      <c r="L888" s="4"/>
    </row>
    <row r="889" spans="1:12" x14ac:dyDescent="0.2">
      <c r="A889" s="3" t="str">
        <f>IF($B889="","",COUNTA($B$9:$B889))</f>
        <v/>
      </c>
      <c r="B889" s="4"/>
      <c r="C889" s="4"/>
      <c r="D889" s="4"/>
      <c r="E889" s="4"/>
      <c r="F889" s="3" t="str">
        <f t="shared" si="27"/>
        <v/>
      </c>
      <c r="G889" s="4"/>
      <c r="H889" s="5"/>
      <c r="I889" s="5"/>
      <c r="J889" s="6" t="str">
        <f t="shared" si="26"/>
        <v/>
      </c>
      <c r="K889" s="6" t="str">
        <f>IF(OR($B889="",$E889="",Calc!$B886=""),"",SUMIFS(CalcAmtA,CalcPartyA,$E889,CalcKeyA,"&lt;="&amp;Calc!$B886)-SUMIFS(CalcWitB,CalcPartyB,$E889,CalcKeyB,"&lt;="&amp;Calc!$B886)+SUMIFS(CalcDepB,CalcPartyB,$E889,CalcKeyB,"&lt;="&amp;Calc!$B886))</f>
        <v/>
      </c>
      <c r="L889" s="4"/>
    </row>
    <row r="890" spans="1:12" x14ac:dyDescent="0.2">
      <c r="A890" s="3" t="str">
        <f>IF($B890="","",COUNTA($B$9:$B890))</f>
        <v/>
      </c>
      <c r="B890" s="4"/>
      <c r="C890" s="4"/>
      <c r="D890" s="4"/>
      <c r="E890" s="4"/>
      <c r="F890" s="3" t="str">
        <f t="shared" si="27"/>
        <v/>
      </c>
      <c r="G890" s="4"/>
      <c r="H890" s="5"/>
      <c r="I890" s="5"/>
      <c r="J890" s="6" t="str">
        <f t="shared" si="26"/>
        <v/>
      </c>
      <c r="K890" s="6" t="str">
        <f>IF(OR($B890="",$E890="",Calc!$B887=""),"",SUMIFS(CalcAmtA,CalcPartyA,$E890,CalcKeyA,"&lt;="&amp;Calc!$B887)-SUMIFS(CalcWitB,CalcPartyB,$E890,CalcKeyB,"&lt;="&amp;Calc!$B887)+SUMIFS(CalcDepB,CalcPartyB,$E890,CalcKeyB,"&lt;="&amp;Calc!$B887))</f>
        <v/>
      </c>
      <c r="L890" s="4"/>
    </row>
    <row r="891" spans="1:12" x14ac:dyDescent="0.2">
      <c r="A891" s="3" t="str">
        <f>IF($B891="","",COUNTA($B$9:$B891))</f>
        <v/>
      </c>
      <c r="B891" s="4"/>
      <c r="C891" s="4"/>
      <c r="D891" s="4"/>
      <c r="E891" s="4"/>
      <c r="F891" s="3" t="str">
        <f t="shared" si="27"/>
        <v/>
      </c>
      <c r="G891" s="4"/>
      <c r="H891" s="5"/>
      <c r="I891" s="5"/>
      <c r="J891" s="6" t="str">
        <f t="shared" si="26"/>
        <v/>
      </c>
      <c r="K891" s="6" t="str">
        <f>IF(OR($B891="",$E891="",Calc!$B888=""),"",SUMIFS(CalcAmtA,CalcPartyA,$E891,CalcKeyA,"&lt;="&amp;Calc!$B888)-SUMIFS(CalcWitB,CalcPartyB,$E891,CalcKeyB,"&lt;="&amp;Calc!$B888)+SUMIFS(CalcDepB,CalcPartyB,$E891,CalcKeyB,"&lt;="&amp;Calc!$B888))</f>
        <v/>
      </c>
      <c r="L891" s="4"/>
    </row>
    <row r="892" spans="1:12" x14ac:dyDescent="0.2">
      <c r="A892" s="3" t="str">
        <f>IF($B892="","",COUNTA($B$9:$B892))</f>
        <v/>
      </c>
      <c r="B892" s="4"/>
      <c r="C892" s="4"/>
      <c r="D892" s="4"/>
      <c r="E892" s="4"/>
      <c r="F892" s="3" t="str">
        <f t="shared" si="27"/>
        <v/>
      </c>
      <c r="G892" s="4"/>
      <c r="H892" s="5"/>
      <c r="I892" s="5"/>
      <c r="J892" s="6" t="str">
        <f t="shared" si="26"/>
        <v/>
      </c>
      <c r="K892" s="6" t="str">
        <f>IF(OR($B892="",$E892="",Calc!$B889=""),"",SUMIFS(CalcAmtA,CalcPartyA,$E892,CalcKeyA,"&lt;="&amp;Calc!$B889)-SUMIFS(CalcWitB,CalcPartyB,$E892,CalcKeyB,"&lt;="&amp;Calc!$B889)+SUMIFS(CalcDepB,CalcPartyB,$E892,CalcKeyB,"&lt;="&amp;Calc!$B889))</f>
        <v/>
      </c>
      <c r="L892" s="4"/>
    </row>
    <row r="893" spans="1:12" x14ac:dyDescent="0.2">
      <c r="A893" s="3" t="str">
        <f>IF($B893="","",COUNTA($B$9:$B893))</f>
        <v/>
      </c>
      <c r="B893" s="4"/>
      <c r="C893" s="4"/>
      <c r="D893" s="4"/>
      <c r="E893" s="4"/>
      <c r="F893" s="3" t="str">
        <f t="shared" si="27"/>
        <v/>
      </c>
      <c r="G893" s="4"/>
      <c r="H893" s="5"/>
      <c r="I893" s="5"/>
      <c r="J893" s="6" t="str">
        <f t="shared" si="26"/>
        <v/>
      </c>
      <c r="K893" s="6" t="str">
        <f>IF(OR($B893="",$E893="",Calc!$B890=""),"",SUMIFS(CalcAmtA,CalcPartyA,$E893,CalcKeyA,"&lt;="&amp;Calc!$B890)-SUMIFS(CalcWitB,CalcPartyB,$E893,CalcKeyB,"&lt;="&amp;Calc!$B890)+SUMIFS(CalcDepB,CalcPartyB,$E893,CalcKeyB,"&lt;="&amp;Calc!$B890))</f>
        <v/>
      </c>
      <c r="L893" s="4"/>
    </row>
    <row r="894" spans="1:12" x14ac:dyDescent="0.2">
      <c r="A894" s="3" t="str">
        <f>IF($B894="","",COUNTA($B$9:$B894))</f>
        <v/>
      </c>
      <c r="B894" s="4"/>
      <c r="C894" s="4"/>
      <c r="D894" s="4"/>
      <c r="E894" s="4"/>
      <c r="F894" s="3" t="str">
        <f t="shared" si="27"/>
        <v/>
      </c>
      <c r="G894" s="4"/>
      <c r="H894" s="5"/>
      <c r="I894" s="5"/>
      <c r="J894" s="6" t="str">
        <f t="shared" si="26"/>
        <v/>
      </c>
      <c r="K894" s="6" t="str">
        <f>IF(OR($B894="",$E894="",Calc!$B891=""),"",SUMIFS(CalcAmtA,CalcPartyA,$E894,CalcKeyA,"&lt;="&amp;Calc!$B891)-SUMIFS(CalcWitB,CalcPartyB,$E894,CalcKeyB,"&lt;="&amp;Calc!$B891)+SUMIFS(CalcDepB,CalcPartyB,$E894,CalcKeyB,"&lt;="&amp;Calc!$B891))</f>
        <v/>
      </c>
      <c r="L894" s="4"/>
    </row>
    <row r="895" spans="1:12" x14ac:dyDescent="0.2">
      <c r="A895" s="3" t="str">
        <f>IF($B895="","",COUNTA($B$9:$B895))</f>
        <v/>
      </c>
      <c r="B895" s="4"/>
      <c r="C895" s="4"/>
      <c r="D895" s="4"/>
      <c r="E895" s="4"/>
      <c r="F895" s="3" t="str">
        <f t="shared" si="27"/>
        <v/>
      </c>
      <c r="G895" s="4"/>
      <c r="H895" s="5"/>
      <c r="I895" s="5"/>
      <c r="J895" s="6" t="str">
        <f t="shared" si="26"/>
        <v/>
      </c>
      <c r="K895" s="6" t="str">
        <f>IF(OR($B895="",$E895="",Calc!$B892=""),"",SUMIFS(CalcAmtA,CalcPartyA,$E895,CalcKeyA,"&lt;="&amp;Calc!$B892)-SUMIFS(CalcWitB,CalcPartyB,$E895,CalcKeyB,"&lt;="&amp;Calc!$B892)+SUMIFS(CalcDepB,CalcPartyB,$E895,CalcKeyB,"&lt;="&amp;Calc!$B892))</f>
        <v/>
      </c>
      <c r="L895" s="4"/>
    </row>
    <row r="896" spans="1:12" x14ac:dyDescent="0.2">
      <c r="A896" s="3" t="str">
        <f>IF($B896="","",COUNTA($B$9:$B896))</f>
        <v/>
      </c>
      <c r="B896" s="4"/>
      <c r="C896" s="4"/>
      <c r="D896" s="4"/>
      <c r="E896" s="4"/>
      <c r="F896" s="3" t="str">
        <f t="shared" si="27"/>
        <v/>
      </c>
      <c r="G896" s="4"/>
      <c r="H896" s="5"/>
      <c r="I896" s="5"/>
      <c r="J896" s="6" t="str">
        <f t="shared" si="26"/>
        <v/>
      </c>
      <c r="K896" s="6" t="str">
        <f>IF(OR($B896="",$E896="",Calc!$B893=""),"",SUMIFS(CalcAmtA,CalcPartyA,$E896,CalcKeyA,"&lt;="&amp;Calc!$B893)-SUMIFS(CalcWitB,CalcPartyB,$E896,CalcKeyB,"&lt;="&amp;Calc!$B893)+SUMIFS(CalcDepB,CalcPartyB,$E896,CalcKeyB,"&lt;="&amp;Calc!$B893))</f>
        <v/>
      </c>
      <c r="L896" s="4"/>
    </row>
    <row r="897" spans="1:12" x14ac:dyDescent="0.2">
      <c r="A897" s="3" t="str">
        <f>IF($B897="","",COUNTA($B$9:$B897))</f>
        <v/>
      </c>
      <c r="B897" s="4"/>
      <c r="C897" s="4"/>
      <c r="D897" s="4"/>
      <c r="E897" s="4"/>
      <c r="F897" s="3" t="str">
        <f t="shared" si="27"/>
        <v/>
      </c>
      <c r="G897" s="4"/>
      <c r="H897" s="5"/>
      <c r="I897" s="5"/>
      <c r="J897" s="6" t="str">
        <f t="shared" si="26"/>
        <v/>
      </c>
      <c r="K897" s="6" t="str">
        <f>IF(OR($B897="",$E897="",Calc!$B894=""),"",SUMIFS(CalcAmtA,CalcPartyA,$E897,CalcKeyA,"&lt;="&amp;Calc!$B894)-SUMIFS(CalcWitB,CalcPartyB,$E897,CalcKeyB,"&lt;="&amp;Calc!$B894)+SUMIFS(CalcDepB,CalcPartyB,$E897,CalcKeyB,"&lt;="&amp;Calc!$B894))</f>
        <v/>
      </c>
      <c r="L897" s="4"/>
    </row>
    <row r="898" spans="1:12" x14ac:dyDescent="0.2">
      <c r="A898" s="3" t="str">
        <f>IF($B898="","",COUNTA($B$9:$B898))</f>
        <v/>
      </c>
      <c r="B898" s="4"/>
      <c r="C898" s="4"/>
      <c r="D898" s="4"/>
      <c r="E898" s="4"/>
      <c r="F898" s="3" t="str">
        <f t="shared" si="27"/>
        <v/>
      </c>
      <c r="G898" s="4"/>
      <c r="H898" s="5"/>
      <c r="I898" s="5"/>
      <c r="J898" s="6" t="str">
        <f t="shared" si="26"/>
        <v/>
      </c>
      <c r="K898" s="6" t="str">
        <f>IF(OR($B898="",$E898="",Calc!$B895=""),"",SUMIFS(CalcAmtA,CalcPartyA,$E898,CalcKeyA,"&lt;="&amp;Calc!$B895)-SUMIFS(CalcWitB,CalcPartyB,$E898,CalcKeyB,"&lt;="&amp;Calc!$B895)+SUMIFS(CalcDepB,CalcPartyB,$E898,CalcKeyB,"&lt;="&amp;Calc!$B895))</f>
        <v/>
      </c>
      <c r="L898" s="4"/>
    </row>
    <row r="899" spans="1:12" x14ac:dyDescent="0.2">
      <c r="A899" s="3" t="str">
        <f>IF($B899="","",COUNTA($B$9:$B899))</f>
        <v/>
      </c>
      <c r="B899" s="4"/>
      <c r="C899" s="4"/>
      <c r="D899" s="4"/>
      <c r="E899" s="4"/>
      <c r="F899" s="3" t="str">
        <f t="shared" si="27"/>
        <v/>
      </c>
      <c r="G899" s="4"/>
      <c r="H899" s="5"/>
      <c r="I899" s="5"/>
      <c r="J899" s="6" t="str">
        <f t="shared" si="26"/>
        <v/>
      </c>
      <c r="K899" s="6" t="str">
        <f>IF(OR($B899="",$E899="",Calc!$B896=""),"",SUMIFS(CalcAmtA,CalcPartyA,$E899,CalcKeyA,"&lt;="&amp;Calc!$B896)-SUMIFS(CalcWitB,CalcPartyB,$E899,CalcKeyB,"&lt;="&amp;Calc!$B896)+SUMIFS(CalcDepB,CalcPartyB,$E899,CalcKeyB,"&lt;="&amp;Calc!$B896))</f>
        <v/>
      </c>
      <c r="L899" s="4"/>
    </row>
    <row r="900" spans="1:12" x14ac:dyDescent="0.2">
      <c r="A900" s="3" t="str">
        <f>IF($B900="","",COUNTA($B$9:$B900))</f>
        <v/>
      </c>
      <c r="B900" s="4"/>
      <c r="C900" s="4"/>
      <c r="D900" s="4"/>
      <c r="E900" s="4"/>
      <c r="F900" s="3" t="str">
        <f t="shared" si="27"/>
        <v/>
      </c>
      <c r="G900" s="4"/>
      <c r="H900" s="5"/>
      <c r="I900" s="5"/>
      <c r="J900" s="6" t="str">
        <f t="shared" si="26"/>
        <v/>
      </c>
      <c r="K900" s="6" t="str">
        <f>IF(OR($B900="",$E900="",Calc!$B897=""),"",SUMIFS(CalcAmtA,CalcPartyA,$E900,CalcKeyA,"&lt;="&amp;Calc!$B897)-SUMIFS(CalcWitB,CalcPartyB,$E900,CalcKeyB,"&lt;="&amp;Calc!$B897)+SUMIFS(CalcDepB,CalcPartyB,$E900,CalcKeyB,"&lt;="&amp;Calc!$B897))</f>
        <v/>
      </c>
      <c r="L900" s="4"/>
    </row>
    <row r="901" spans="1:12" x14ac:dyDescent="0.2">
      <c r="A901" s="3" t="str">
        <f>IF($B901="","",COUNTA($B$9:$B901))</f>
        <v/>
      </c>
      <c r="B901" s="4"/>
      <c r="C901" s="4"/>
      <c r="D901" s="4"/>
      <c r="E901" s="4"/>
      <c r="F901" s="3" t="str">
        <f t="shared" si="27"/>
        <v/>
      </c>
      <c r="G901" s="4"/>
      <c r="H901" s="5"/>
      <c r="I901" s="5"/>
      <c r="J901" s="6" t="str">
        <f t="shared" si="26"/>
        <v/>
      </c>
      <c r="K901" s="6" t="str">
        <f>IF(OR($B901="",$E901="",Calc!$B898=""),"",SUMIFS(CalcAmtA,CalcPartyA,$E901,CalcKeyA,"&lt;="&amp;Calc!$B898)-SUMIFS(CalcWitB,CalcPartyB,$E901,CalcKeyB,"&lt;="&amp;Calc!$B898)+SUMIFS(CalcDepB,CalcPartyB,$E901,CalcKeyB,"&lt;="&amp;Calc!$B898))</f>
        <v/>
      </c>
      <c r="L901" s="4"/>
    </row>
    <row r="902" spans="1:12" x14ac:dyDescent="0.2">
      <c r="A902" s="3" t="str">
        <f>IF($B902="","",COUNTA($B$9:$B902))</f>
        <v/>
      </c>
      <c r="B902" s="4"/>
      <c r="C902" s="4"/>
      <c r="D902" s="4"/>
      <c r="E902" s="4"/>
      <c r="F902" s="3" t="str">
        <f t="shared" si="27"/>
        <v/>
      </c>
      <c r="G902" s="4"/>
      <c r="H902" s="5"/>
      <c r="I902" s="5"/>
      <c r="J902" s="6" t="str">
        <f t="shared" ref="J902:J965" si="28">IF(OR($H902="",$I902=""),"",ROUND($H902*$I902,0))</f>
        <v/>
      </c>
      <c r="K902" s="6" t="str">
        <f>IF(OR($B902="",$E902="",Calc!$B899=""),"",SUMIFS(CalcAmtA,CalcPartyA,$E902,CalcKeyA,"&lt;="&amp;Calc!$B899)-SUMIFS(CalcWitB,CalcPartyB,$E902,CalcKeyB,"&lt;="&amp;Calc!$B899)+SUMIFS(CalcDepB,CalcPartyB,$E902,CalcKeyB,"&lt;="&amp;Calc!$B899))</f>
        <v/>
      </c>
      <c r="L902" s="4"/>
    </row>
    <row r="903" spans="1:12" x14ac:dyDescent="0.2">
      <c r="A903" s="3" t="str">
        <f>IF($B903="","",COUNTA($B$9:$B903))</f>
        <v/>
      </c>
      <c r="B903" s="4"/>
      <c r="C903" s="4"/>
      <c r="D903" s="4"/>
      <c r="E903" s="4"/>
      <c r="F903" s="3" t="str">
        <f t="shared" si="27"/>
        <v/>
      </c>
      <c r="G903" s="4"/>
      <c r="H903" s="5"/>
      <c r="I903" s="5"/>
      <c r="J903" s="6" t="str">
        <f t="shared" si="28"/>
        <v/>
      </c>
      <c r="K903" s="6" t="str">
        <f>IF(OR($B903="",$E903="",Calc!$B900=""),"",SUMIFS(CalcAmtA,CalcPartyA,$E903,CalcKeyA,"&lt;="&amp;Calc!$B900)-SUMIFS(CalcWitB,CalcPartyB,$E903,CalcKeyB,"&lt;="&amp;Calc!$B900)+SUMIFS(CalcDepB,CalcPartyB,$E903,CalcKeyB,"&lt;="&amp;Calc!$B900))</f>
        <v/>
      </c>
      <c r="L903" s="4"/>
    </row>
    <row r="904" spans="1:12" x14ac:dyDescent="0.2">
      <c r="A904" s="3" t="str">
        <f>IF($B904="","",COUNTA($B$9:$B904))</f>
        <v/>
      </c>
      <c r="B904" s="4"/>
      <c r="C904" s="4"/>
      <c r="D904" s="4"/>
      <c r="E904" s="4"/>
      <c r="F904" s="3" t="str">
        <f t="shared" si="27"/>
        <v/>
      </c>
      <c r="G904" s="4"/>
      <c r="H904" s="5"/>
      <c r="I904" s="5"/>
      <c r="J904" s="6" t="str">
        <f t="shared" si="28"/>
        <v/>
      </c>
      <c r="K904" s="6" t="str">
        <f>IF(OR($B904="",$E904="",Calc!$B901=""),"",SUMIFS(CalcAmtA,CalcPartyA,$E904,CalcKeyA,"&lt;="&amp;Calc!$B901)-SUMIFS(CalcWitB,CalcPartyB,$E904,CalcKeyB,"&lt;="&amp;Calc!$B901)+SUMIFS(CalcDepB,CalcPartyB,$E904,CalcKeyB,"&lt;="&amp;Calc!$B901))</f>
        <v/>
      </c>
      <c r="L904" s="4"/>
    </row>
    <row r="905" spans="1:12" x14ac:dyDescent="0.2">
      <c r="A905" s="3" t="str">
        <f>IF($B905="","",COUNTA($B$9:$B905))</f>
        <v/>
      </c>
      <c r="B905" s="4"/>
      <c r="C905" s="4"/>
      <c r="D905" s="4"/>
      <c r="E905" s="4"/>
      <c r="F905" s="3" t="str">
        <f t="shared" ref="F905:F968" si="29">IF($E905="","",IFERROR(IF(VLOOKUP($E905,AcctTbl,4,0)="","",VLOOKUP($E905,AcctTbl,4,0)),"—"))</f>
        <v/>
      </c>
      <c r="G905" s="4"/>
      <c r="H905" s="5"/>
      <c r="I905" s="5"/>
      <c r="J905" s="6" t="str">
        <f t="shared" si="28"/>
        <v/>
      </c>
      <c r="K905" s="6" t="str">
        <f>IF(OR($B905="",$E905="",Calc!$B902=""),"",SUMIFS(CalcAmtA,CalcPartyA,$E905,CalcKeyA,"&lt;="&amp;Calc!$B902)-SUMIFS(CalcWitB,CalcPartyB,$E905,CalcKeyB,"&lt;="&amp;Calc!$B902)+SUMIFS(CalcDepB,CalcPartyB,$E905,CalcKeyB,"&lt;="&amp;Calc!$B902))</f>
        <v/>
      </c>
      <c r="L905" s="4"/>
    </row>
    <row r="906" spans="1:12" x14ac:dyDescent="0.2">
      <c r="A906" s="3" t="str">
        <f>IF($B906="","",COUNTA($B$9:$B906))</f>
        <v/>
      </c>
      <c r="B906" s="4"/>
      <c r="C906" s="4"/>
      <c r="D906" s="4"/>
      <c r="E906" s="4"/>
      <c r="F906" s="3" t="str">
        <f t="shared" si="29"/>
        <v/>
      </c>
      <c r="G906" s="4"/>
      <c r="H906" s="5"/>
      <c r="I906" s="5"/>
      <c r="J906" s="6" t="str">
        <f t="shared" si="28"/>
        <v/>
      </c>
      <c r="K906" s="6" t="str">
        <f>IF(OR($B906="",$E906="",Calc!$B903=""),"",SUMIFS(CalcAmtA,CalcPartyA,$E906,CalcKeyA,"&lt;="&amp;Calc!$B903)-SUMIFS(CalcWitB,CalcPartyB,$E906,CalcKeyB,"&lt;="&amp;Calc!$B903)+SUMIFS(CalcDepB,CalcPartyB,$E906,CalcKeyB,"&lt;="&amp;Calc!$B903))</f>
        <v/>
      </c>
      <c r="L906" s="4"/>
    </row>
    <row r="907" spans="1:12" x14ac:dyDescent="0.2">
      <c r="A907" s="3" t="str">
        <f>IF($B907="","",COUNTA($B$9:$B907))</f>
        <v/>
      </c>
      <c r="B907" s="4"/>
      <c r="C907" s="4"/>
      <c r="D907" s="4"/>
      <c r="E907" s="4"/>
      <c r="F907" s="3" t="str">
        <f t="shared" si="29"/>
        <v/>
      </c>
      <c r="G907" s="4"/>
      <c r="H907" s="5"/>
      <c r="I907" s="5"/>
      <c r="J907" s="6" t="str">
        <f t="shared" si="28"/>
        <v/>
      </c>
      <c r="K907" s="6" t="str">
        <f>IF(OR($B907="",$E907="",Calc!$B904=""),"",SUMIFS(CalcAmtA,CalcPartyA,$E907,CalcKeyA,"&lt;="&amp;Calc!$B904)-SUMIFS(CalcWitB,CalcPartyB,$E907,CalcKeyB,"&lt;="&amp;Calc!$B904)+SUMIFS(CalcDepB,CalcPartyB,$E907,CalcKeyB,"&lt;="&amp;Calc!$B904))</f>
        <v/>
      </c>
      <c r="L907" s="4"/>
    </row>
    <row r="908" spans="1:12" x14ac:dyDescent="0.2">
      <c r="A908" s="3" t="str">
        <f>IF($B908="","",COUNTA($B$9:$B908))</f>
        <v/>
      </c>
      <c r="B908" s="4"/>
      <c r="C908" s="4"/>
      <c r="D908" s="4"/>
      <c r="E908" s="4"/>
      <c r="F908" s="3" t="str">
        <f t="shared" si="29"/>
        <v/>
      </c>
      <c r="G908" s="4"/>
      <c r="H908" s="5"/>
      <c r="I908" s="5"/>
      <c r="J908" s="6" t="str">
        <f t="shared" si="28"/>
        <v/>
      </c>
      <c r="K908" s="6" t="str">
        <f>IF(OR($B908="",$E908="",Calc!$B905=""),"",SUMIFS(CalcAmtA,CalcPartyA,$E908,CalcKeyA,"&lt;="&amp;Calc!$B905)-SUMIFS(CalcWitB,CalcPartyB,$E908,CalcKeyB,"&lt;="&amp;Calc!$B905)+SUMIFS(CalcDepB,CalcPartyB,$E908,CalcKeyB,"&lt;="&amp;Calc!$B905))</f>
        <v/>
      </c>
      <c r="L908" s="4"/>
    </row>
    <row r="909" spans="1:12" x14ac:dyDescent="0.2">
      <c r="A909" s="3" t="str">
        <f>IF($B909="","",COUNTA($B$9:$B909))</f>
        <v/>
      </c>
      <c r="B909" s="4"/>
      <c r="C909" s="4"/>
      <c r="D909" s="4"/>
      <c r="E909" s="4"/>
      <c r="F909" s="3" t="str">
        <f t="shared" si="29"/>
        <v/>
      </c>
      <c r="G909" s="4"/>
      <c r="H909" s="5"/>
      <c r="I909" s="5"/>
      <c r="J909" s="6" t="str">
        <f t="shared" si="28"/>
        <v/>
      </c>
      <c r="K909" s="6" t="str">
        <f>IF(OR($B909="",$E909="",Calc!$B906=""),"",SUMIFS(CalcAmtA,CalcPartyA,$E909,CalcKeyA,"&lt;="&amp;Calc!$B906)-SUMIFS(CalcWitB,CalcPartyB,$E909,CalcKeyB,"&lt;="&amp;Calc!$B906)+SUMIFS(CalcDepB,CalcPartyB,$E909,CalcKeyB,"&lt;="&amp;Calc!$B906))</f>
        <v/>
      </c>
      <c r="L909" s="4"/>
    </row>
    <row r="910" spans="1:12" x14ac:dyDescent="0.2">
      <c r="A910" s="3" t="str">
        <f>IF($B910="","",COUNTA($B$9:$B910))</f>
        <v/>
      </c>
      <c r="B910" s="4"/>
      <c r="C910" s="4"/>
      <c r="D910" s="4"/>
      <c r="E910" s="4"/>
      <c r="F910" s="3" t="str">
        <f t="shared" si="29"/>
        <v/>
      </c>
      <c r="G910" s="4"/>
      <c r="H910" s="5"/>
      <c r="I910" s="5"/>
      <c r="J910" s="6" t="str">
        <f t="shared" si="28"/>
        <v/>
      </c>
      <c r="K910" s="6" t="str">
        <f>IF(OR($B910="",$E910="",Calc!$B907=""),"",SUMIFS(CalcAmtA,CalcPartyA,$E910,CalcKeyA,"&lt;="&amp;Calc!$B907)-SUMIFS(CalcWitB,CalcPartyB,$E910,CalcKeyB,"&lt;="&amp;Calc!$B907)+SUMIFS(CalcDepB,CalcPartyB,$E910,CalcKeyB,"&lt;="&amp;Calc!$B907))</f>
        <v/>
      </c>
      <c r="L910" s="4"/>
    </row>
    <row r="911" spans="1:12" x14ac:dyDescent="0.2">
      <c r="A911" s="3" t="str">
        <f>IF($B911="","",COUNTA($B$9:$B911))</f>
        <v/>
      </c>
      <c r="B911" s="4"/>
      <c r="C911" s="4"/>
      <c r="D911" s="4"/>
      <c r="E911" s="4"/>
      <c r="F911" s="3" t="str">
        <f t="shared" si="29"/>
        <v/>
      </c>
      <c r="G911" s="4"/>
      <c r="H911" s="5"/>
      <c r="I911" s="5"/>
      <c r="J911" s="6" t="str">
        <f t="shared" si="28"/>
        <v/>
      </c>
      <c r="K911" s="6" t="str">
        <f>IF(OR($B911="",$E911="",Calc!$B908=""),"",SUMIFS(CalcAmtA,CalcPartyA,$E911,CalcKeyA,"&lt;="&amp;Calc!$B908)-SUMIFS(CalcWitB,CalcPartyB,$E911,CalcKeyB,"&lt;="&amp;Calc!$B908)+SUMIFS(CalcDepB,CalcPartyB,$E911,CalcKeyB,"&lt;="&amp;Calc!$B908))</f>
        <v/>
      </c>
      <c r="L911" s="4"/>
    </row>
    <row r="912" spans="1:12" x14ac:dyDescent="0.2">
      <c r="A912" s="3" t="str">
        <f>IF($B912="","",COUNTA($B$9:$B912))</f>
        <v/>
      </c>
      <c r="B912" s="4"/>
      <c r="C912" s="4"/>
      <c r="D912" s="4"/>
      <c r="E912" s="4"/>
      <c r="F912" s="3" t="str">
        <f t="shared" si="29"/>
        <v/>
      </c>
      <c r="G912" s="4"/>
      <c r="H912" s="5"/>
      <c r="I912" s="5"/>
      <c r="J912" s="6" t="str">
        <f t="shared" si="28"/>
        <v/>
      </c>
      <c r="K912" s="6" t="str">
        <f>IF(OR($B912="",$E912="",Calc!$B909=""),"",SUMIFS(CalcAmtA,CalcPartyA,$E912,CalcKeyA,"&lt;="&amp;Calc!$B909)-SUMIFS(CalcWitB,CalcPartyB,$E912,CalcKeyB,"&lt;="&amp;Calc!$B909)+SUMIFS(CalcDepB,CalcPartyB,$E912,CalcKeyB,"&lt;="&amp;Calc!$B909))</f>
        <v/>
      </c>
      <c r="L912" s="4"/>
    </row>
    <row r="913" spans="1:12" x14ac:dyDescent="0.2">
      <c r="A913" s="3" t="str">
        <f>IF($B913="","",COUNTA($B$9:$B913))</f>
        <v/>
      </c>
      <c r="B913" s="4"/>
      <c r="C913" s="4"/>
      <c r="D913" s="4"/>
      <c r="E913" s="4"/>
      <c r="F913" s="3" t="str">
        <f t="shared" si="29"/>
        <v/>
      </c>
      <c r="G913" s="4"/>
      <c r="H913" s="5"/>
      <c r="I913" s="5"/>
      <c r="J913" s="6" t="str">
        <f t="shared" si="28"/>
        <v/>
      </c>
      <c r="K913" s="6" t="str">
        <f>IF(OR($B913="",$E913="",Calc!$B910=""),"",SUMIFS(CalcAmtA,CalcPartyA,$E913,CalcKeyA,"&lt;="&amp;Calc!$B910)-SUMIFS(CalcWitB,CalcPartyB,$E913,CalcKeyB,"&lt;="&amp;Calc!$B910)+SUMIFS(CalcDepB,CalcPartyB,$E913,CalcKeyB,"&lt;="&amp;Calc!$B910))</f>
        <v/>
      </c>
      <c r="L913" s="4"/>
    </row>
    <row r="914" spans="1:12" x14ac:dyDescent="0.2">
      <c r="A914" s="3" t="str">
        <f>IF($B914="","",COUNTA($B$9:$B914))</f>
        <v/>
      </c>
      <c r="B914" s="4"/>
      <c r="C914" s="4"/>
      <c r="D914" s="4"/>
      <c r="E914" s="4"/>
      <c r="F914" s="3" t="str">
        <f t="shared" si="29"/>
        <v/>
      </c>
      <c r="G914" s="4"/>
      <c r="H914" s="5"/>
      <c r="I914" s="5"/>
      <c r="J914" s="6" t="str">
        <f t="shared" si="28"/>
        <v/>
      </c>
      <c r="K914" s="6" t="str">
        <f>IF(OR($B914="",$E914="",Calc!$B911=""),"",SUMIFS(CalcAmtA,CalcPartyA,$E914,CalcKeyA,"&lt;="&amp;Calc!$B911)-SUMIFS(CalcWitB,CalcPartyB,$E914,CalcKeyB,"&lt;="&amp;Calc!$B911)+SUMIFS(CalcDepB,CalcPartyB,$E914,CalcKeyB,"&lt;="&amp;Calc!$B911))</f>
        <v/>
      </c>
      <c r="L914" s="4"/>
    </row>
    <row r="915" spans="1:12" x14ac:dyDescent="0.2">
      <c r="A915" s="3" t="str">
        <f>IF($B915="","",COUNTA($B$9:$B915))</f>
        <v/>
      </c>
      <c r="B915" s="4"/>
      <c r="C915" s="4"/>
      <c r="D915" s="4"/>
      <c r="E915" s="4"/>
      <c r="F915" s="3" t="str">
        <f t="shared" si="29"/>
        <v/>
      </c>
      <c r="G915" s="4"/>
      <c r="H915" s="5"/>
      <c r="I915" s="5"/>
      <c r="J915" s="6" t="str">
        <f t="shared" si="28"/>
        <v/>
      </c>
      <c r="K915" s="6" t="str">
        <f>IF(OR($B915="",$E915="",Calc!$B912=""),"",SUMIFS(CalcAmtA,CalcPartyA,$E915,CalcKeyA,"&lt;="&amp;Calc!$B912)-SUMIFS(CalcWitB,CalcPartyB,$E915,CalcKeyB,"&lt;="&amp;Calc!$B912)+SUMIFS(CalcDepB,CalcPartyB,$E915,CalcKeyB,"&lt;="&amp;Calc!$B912))</f>
        <v/>
      </c>
      <c r="L915" s="4"/>
    </row>
    <row r="916" spans="1:12" x14ac:dyDescent="0.2">
      <c r="A916" s="3" t="str">
        <f>IF($B916="","",COUNTA($B$9:$B916))</f>
        <v/>
      </c>
      <c r="B916" s="4"/>
      <c r="C916" s="4"/>
      <c r="D916" s="4"/>
      <c r="E916" s="4"/>
      <c r="F916" s="3" t="str">
        <f t="shared" si="29"/>
        <v/>
      </c>
      <c r="G916" s="4"/>
      <c r="H916" s="5"/>
      <c r="I916" s="5"/>
      <c r="J916" s="6" t="str">
        <f t="shared" si="28"/>
        <v/>
      </c>
      <c r="K916" s="6" t="str">
        <f>IF(OR($B916="",$E916="",Calc!$B913=""),"",SUMIFS(CalcAmtA,CalcPartyA,$E916,CalcKeyA,"&lt;="&amp;Calc!$B913)-SUMIFS(CalcWitB,CalcPartyB,$E916,CalcKeyB,"&lt;="&amp;Calc!$B913)+SUMIFS(CalcDepB,CalcPartyB,$E916,CalcKeyB,"&lt;="&amp;Calc!$B913))</f>
        <v/>
      </c>
      <c r="L916" s="4"/>
    </row>
    <row r="917" spans="1:12" x14ac:dyDescent="0.2">
      <c r="A917" s="3" t="str">
        <f>IF($B917="","",COUNTA($B$9:$B917))</f>
        <v/>
      </c>
      <c r="B917" s="4"/>
      <c r="C917" s="4"/>
      <c r="D917" s="4"/>
      <c r="E917" s="4"/>
      <c r="F917" s="3" t="str">
        <f t="shared" si="29"/>
        <v/>
      </c>
      <c r="G917" s="4"/>
      <c r="H917" s="5"/>
      <c r="I917" s="5"/>
      <c r="J917" s="6" t="str">
        <f t="shared" si="28"/>
        <v/>
      </c>
      <c r="K917" s="6" t="str">
        <f>IF(OR($B917="",$E917="",Calc!$B914=""),"",SUMIFS(CalcAmtA,CalcPartyA,$E917,CalcKeyA,"&lt;="&amp;Calc!$B914)-SUMIFS(CalcWitB,CalcPartyB,$E917,CalcKeyB,"&lt;="&amp;Calc!$B914)+SUMIFS(CalcDepB,CalcPartyB,$E917,CalcKeyB,"&lt;="&amp;Calc!$B914))</f>
        <v/>
      </c>
      <c r="L917" s="4"/>
    </row>
    <row r="918" spans="1:12" x14ac:dyDescent="0.2">
      <c r="A918" s="3" t="str">
        <f>IF($B918="","",COUNTA($B$9:$B918))</f>
        <v/>
      </c>
      <c r="B918" s="4"/>
      <c r="C918" s="4"/>
      <c r="D918" s="4"/>
      <c r="E918" s="4"/>
      <c r="F918" s="3" t="str">
        <f t="shared" si="29"/>
        <v/>
      </c>
      <c r="G918" s="4"/>
      <c r="H918" s="5"/>
      <c r="I918" s="5"/>
      <c r="J918" s="6" t="str">
        <f t="shared" si="28"/>
        <v/>
      </c>
      <c r="K918" s="6" t="str">
        <f>IF(OR($B918="",$E918="",Calc!$B915=""),"",SUMIFS(CalcAmtA,CalcPartyA,$E918,CalcKeyA,"&lt;="&amp;Calc!$B915)-SUMIFS(CalcWitB,CalcPartyB,$E918,CalcKeyB,"&lt;="&amp;Calc!$B915)+SUMIFS(CalcDepB,CalcPartyB,$E918,CalcKeyB,"&lt;="&amp;Calc!$B915))</f>
        <v/>
      </c>
      <c r="L918" s="4"/>
    </row>
    <row r="919" spans="1:12" x14ac:dyDescent="0.2">
      <c r="A919" s="3" t="str">
        <f>IF($B919="","",COUNTA($B$9:$B919))</f>
        <v/>
      </c>
      <c r="B919" s="4"/>
      <c r="C919" s="4"/>
      <c r="D919" s="4"/>
      <c r="E919" s="4"/>
      <c r="F919" s="3" t="str">
        <f t="shared" si="29"/>
        <v/>
      </c>
      <c r="G919" s="4"/>
      <c r="H919" s="5"/>
      <c r="I919" s="5"/>
      <c r="J919" s="6" t="str">
        <f t="shared" si="28"/>
        <v/>
      </c>
      <c r="K919" s="6" t="str">
        <f>IF(OR($B919="",$E919="",Calc!$B916=""),"",SUMIFS(CalcAmtA,CalcPartyA,$E919,CalcKeyA,"&lt;="&amp;Calc!$B916)-SUMIFS(CalcWitB,CalcPartyB,$E919,CalcKeyB,"&lt;="&amp;Calc!$B916)+SUMIFS(CalcDepB,CalcPartyB,$E919,CalcKeyB,"&lt;="&amp;Calc!$B916))</f>
        <v/>
      </c>
      <c r="L919" s="4"/>
    </row>
    <row r="920" spans="1:12" x14ac:dyDescent="0.2">
      <c r="A920" s="3" t="str">
        <f>IF($B920="","",COUNTA($B$9:$B920))</f>
        <v/>
      </c>
      <c r="B920" s="4"/>
      <c r="C920" s="4"/>
      <c r="D920" s="4"/>
      <c r="E920" s="4"/>
      <c r="F920" s="3" t="str">
        <f t="shared" si="29"/>
        <v/>
      </c>
      <c r="G920" s="4"/>
      <c r="H920" s="5"/>
      <c r="I920" s="5"/>
      <c r="J920" s="6" t="str">
        <f t="shared" si="28"/>
        <v/>
      </c>
      <c r="K920" s="6" t="str">
        <f>IF(OR($B920="",$E920="",Calc!$B917=""),"",SUMIFS(CalcAmtA,CalcPartyA,$E920,CalcKeyA,"&lt;="&amp;Calc!$B917)-SUMIFS(CalcWitB,CalcPartyB,$E920,CalcKeyB,"&lt;="&amp;Calc!$B917)+SUMIFS(CalcDepB,CalcPartyB,$E920,CalcKeyB,"&lt;="&amp;Calc!$B917))</f>
        <v/>
      </c>
      <c r="L920" s="4"/>
    </row>
    <row r="921" spans="1:12" x14ac:dyDescent="0.2">
      <c r="A921" s="3" t="str">
        <f>IF($B921="","",COUNTA($B$9:$B921))</f>
        <v/>
      </c>
      <c r="B921" s="4"/>
      <c r="C921" s="4"/>
      <c r="D921" s="4"/>
      <c r="E921" s="4"/>
      <c r="F921" s="3" t="str">
        <f t="shared" si="29"/>
        <v/>
      </c>
      <c r="G921" s="4"/>
      <c r="H921" s="5"/>
      <c r="I921" s="5"/>
      <c r="J921" s="6" t="str">
        <f t="shared" si="28"/>
        <v/>
      </c>
      <c r="K921" s="6" t="str">
        <f>IF(OR($B921="",$E921="",Calc!$B918=""),"",SUMIFS(CalcAmtA,CalcPartyA,$E921,CalcKeyA,"&lt;="&amp;Calc!$B918)-SUMIFS(CalcWitB,CalcPartyB,$E921,CalcKeyB,"&lt;="&amp;Calc!$B918)+SUMIFS(CalcDepB,CalcPartyB,$E921,CalcKeyB,"&lt;="&amp;Calc!$B918))</f>
        <v/>
      </c>
      <c r="L921" s="4"/>
    </row>
    <row r="922" spans="1:12" x14ac:dyDescent="0.2">
      <c r="A922" s="3" t="str">
        <f>IF($B922="","",COUNTA($B$9:$B922))</f>
        <v/>
      </c>
      <c r="B922" s="4"/>
      <c r="C922" s="4"/>
      <c r="D922" s="4"/>
      <c r="E922" s="4"/>
      <c r="F922" s="3" t="str">
        <f t="shared" si="29"/>
        <v/>
      </c>
      <c r="G922" s="4"/>
      <c r="H922" s="5"/>
      <c r="I922" s="5"/>
      <c r="J922" s="6" t="str">
        <f t="shared" si="28"/>
        <v/>
      </c>
      <c r="K922" s="6" t="str">
        <f>IF(OR($B922="",$E922="",Calc!$B919=""),"",SUMIFS(CalcAmtA,CalcPartyA,$E922,CalcKeyA,"&lt;="&amp;Calc!$B919)-SUMIFS(CalcWitB,CalcPartyB,$E922,CalcKeyB,"&lt;="&amp;Calc!$B919)+SUMIFS(CalcDepB,CalcPartyB,$E922,CalcKeyB,"&lt;="&amp;Calc!$B919))</f>
        <v/>
      </c>
      <c r="L922" s="4"/>
    </row>
    <row r="923" spans="1:12" x14ac:dyDescent="0.2">
      <c r="A923" s="3" t="str">
        <f>IF($B923="","",COUNTA($B$9:$B923))</f>
        <v/>
      </c>
      <c r="B923" s="4"/>
      <c r="C923" s="4"/>
      <c r="D923" s="4"/>
      <c r="E923" s="4"/>
      <c r="F923" s="3" t="str">
        <f t="shared" si="29"/>
        <v/>
      </c>
      <c r="G923" s="4"/>
      <c r="H923" s="5"/>
      <c r="I923" s="5"/>
      <c r="J923" s="6" t="str">
        <f t="shared" si="28"/>
        <v/>
      </c>
      <c r="K923" s="6" t="str">
        <f>IF(OR($B923="",$E923="",Calc!$B920=""),"",SUMIFS(CalcAmtA,CalcPartyA,$E923,CalcKeyA,"&lt;="&amp;Calc!$B920)-SUMIFS(CalcWitB,CalcPartyB,$E923,CalcKeyB,"&lt;="&amp;Calc!$B920)+SUMIFS(CalcDepB,CalcPartyB,$E923,CalcKeyB,"&lt;="&amp;Calc!$B920))</f>
        <v/>
      </c>
      <c r="L923" s="4"/>
    </row>
    <row r="924" spans="1:12" x14ac:dyDescent="0.2">
      <c r="A924" s="3" t="str">
        <f>IF($B924="","",COUNTA($B$9:$B924))</f>
        <v/>
      </c>
      <c r="B924" s="4"/>
      <c r="C924" s="4"/>
      <c r="D924" s="4"/>
      <c r="E924" s="4"/>
      <c r="F924" s="3" t="str">
        <f t="shared" si="29"/>
        <v/>
      </c>
      <c r="G924" s="4"/>
      <c r="H924" s="5"/>
      <c r="I924" s="5"/>
      <c r="J924" s="6" t="str">
        <f t="shared" si="28"/>
        <v/>
      </c>
      <c r="K924" s="6" t="str">
        <f>IF(OR($B924="",$E924="",Calc!$B921=""),"",SUMIFS(CalcAmtA,CalcPartyA,$E924,CalcKeyA,"&lt;="&amp;Calc!$B921)-SUMIFS(CalcWitB,CalcPartyB,$E924,CalcKeyB,"&lt;="&amp;Calc!$B921)+SUMIFS(CalcDepB,CalcPartyB,$E924,CalcKeyB,"&lt;="&amp;Calc!$B921))</f>
        <v/>
      </c>
      <c r="L924" s="4"/>
    </row>
    <row r="925" spans="1:12" x14ac:dyDescent="0.2">
      <c r="A925" s="3" t="str">
        <f>IF($B925="","",COUNTA($B$9:$B925))</f>
        <v/>
      </c>
      <c r="B925" s="4"/>
      <c r="C925" s="4"/>
      <c r="D925" s="4"/>
      <c r="E925" s="4"/>
      <c r="F925" s="3" t="str">
        <f t="shared" si="29"/>
        <v/>
      </c>
      <c r="G925" s="4"/>
      <c r="H925" s="5"/>
      <c r="I925" s="5"/>
      <c r="J925" s="6" t="str">
        <f t="shared" si="28"/>
        <v/>
      </c>
      <c r="K925" s="6" t="str">
        <f>IF(OR($B925="",$E925="",Calc!$B922=""),"",SUMIFS(CalcAmtA,CalcPartyA,$E925,CalcKeyA,"&lt;="&amp;Calc!$B922)-SUMIFS(CalcWitB,CalcPartyB,$E925,CalcKeyB,"&lt;="&amp;Calc!$B922)+SUMIFS(CalcDepB,CalcPartyB,$E925,CalcKeyB,"&lt;="&amp;Calc!$B922))</f>
        <v/>
      </c>
      <c r="L925" s="4"/>
    </row>
    <row r="926" spans="1:12" x14ac:dyDescent="0.2">
      <c r="A926" s="3" t="str">
        <f>IF($B926="","",COUNTA($B$9:$B926))</f>
        <v/>
      </c>
      <c r="B926" s="4"/>
      <c r="C926" s="4"/>
      <c r="D926" s="4"/>
      <c r="E926" s="4"/>
      <c r="F926" s="3" t="str">
        <f t="shared" si="29"/>
        <v/>
      </c>
      <c r="G926" s="4"/>
      <c r="H926" s="5"/>
      <c r="I926" s="5"/>
      <c r="J926" s="6" t="str">
        <f t="shared" si="28"/>
        <v/>
      </c>
      <c r="K926" s="6" t="str">
        <f>IF(OR($B926="",$E926="",Calc!$B923=""),"",SUMIFS(CalcAmtA,CalcPartyA,$E926,CalcKeyA,"&lt;="&amp;Calc!$B923)-SUMIFS(CalcWitB,CalcPartyB,$E926,CalcKeyB,"&lt;="&amp;Calc!$B923)+SUMIFS(CalcDepB,CalcPartyB,$E926,CalcKeyB,"&lt;="&amp;Calc!$B923))</f>
        <v/>
      </c>
      <c r="L926" s="4"/>
    </row>
    <row r="927" spans="1:12" x14ac:dyDescent="0.2">
      <c r="A927" s="3" t="str">
        <f>IF($B927="","",COUNTA($B$9:$B927))</f>
        <v/>
      </c>
      <c r="B927" s="4"/>
      <c r="C927" s="4"/>
      <c r="D927" s="4"/>
      <c r="E927" s="4"/>
      <c r="F927" s="3" t="str">
        <f t="shared" si="29"/>
        <v/>
      </c>
      <c r="G927" s="4"/>
      <c r="H927" s="5"/>
      <c r="I927" s="5"/>
      <c r="J927" s="6" t="str">
        <f t="shared" si="28"/>
        <v/>
      </c>
      <c r="K927" s="6" t="str">
        <f>IF(OR($B927="",$E927="",Calc!$B924=""),"",SUMIFS(CalcAmtA,CalcPartyA,$E927,CalcKeyA,"&lt;="&amp;Calc!$B924)-SUMIFS(CalcWitB,CalcPartyB,$E927,CalcKeyB,"&lt;="&amp;Calc!$B924)+SUMIFS(CalcDepB,CalcPartyB,$E927,CalcKeyB,"&lt;="&amp;Calc!$B924))</f>
        <v/>
      </c>
      <c r="L927" s="4"/>
    </row>
    <row r="928" spans="1:12" x14ac:dyDescent="0.2">
      <c r="A928" s="3" t="str">
        <f>IF($B928="","",COUNTA($B$9:$B928))</f>
        <v/>
      </c>
      <c r="B928" s="4"/>
      <c r="C928" s="4"/>
      <c r="D928" s="4"/>
      <c r="E928" s="4"/>
      <c r="F928" s="3" t="str">
        <f t="shared" si="29"/>
        <v/>
      </c>
      <c r="G928" s="4"/>
      <c r="H928" s="5"/>
      <c r="I928" s="5"/>
      <c r="J928" s="6" t="str">
        <f t="shared" si="28"/>
        <v/>
      </c>
      <c r="K928" s="6" t="str">
        <f>IF(OR($B928="",$E928="",Calc!$B925=""),"",SUMIFS(CalcAmtA,CalcPartyA,$E928,CalcKeyA,"&lt;="&amp;Calc!$B925)-SUMIFS(CalcWitB,CalcPartyB,$E928,CalcKeyB,"&lt;="&amp;Calc!$B925)+SUMIFS(CalcDepB,CalcPartyB,$E928,CalcKeyB,"&lt;="&amp;Calc!$B925))</f>
        <v/>
      </c>
      <c r="L928" s="4"/>
    </row>
    <row r="929" spans="1:12" x14ac:dyDescent="0.2">
      <c r="A929" s="3" t="str">
        <f>IF($B929="","",COUNTA($B$9:$B929))</f>
        <v/>
      </c>
      <c r="B929" s="4"/>
      <c r="C929" s="4"/>
      <c r="D929" s="4"/>
      <c r="E929" s="4"/>
      <c r="F929" s="3" t="str">
        <f t="shared" si="29"/>
        <v/>
      </c>
      <c r="G929" s="4"/>
      <c r="H929" s="5"/>
      <c r="I929" s="5"/>
      <c r="J929" s="6" t="str">
        <f t="shared" si="28"/>
        <v/>
      </c>
      <c r="K929" s="6" t="str">
        <f>IF(OR($B929="",$E929="",Calc!$B926=""),"",SUMIFS(CalcAmtA,CalcPartyA,$E929,CalcKeyA,"&lt;="&amp;Calc!$B926)-SUMIFS(CalcWitB,CalcPartyB,$E929,CalcKeyB,"&lt;="&amp;Calc!$B926)+SUMIFS(CalcDepB,CalcPartyB,$E929,CalcKeyB,"&lt;="&amp;Calc!$B926))</f>
        <v/>
      </c>
      <c r="L929" s="4"/>
    </row>
    <row r="930" spans="1:12" x14ac:dyDescent="0.2">
      <c r="A930" s="3" t="str">
        <f>IF($B930="","",COUNTA($B$9:$B930))</f>
        <v/>
      </c>
      <c r="B930" s="4"/>
      <c r="C930" s="4"/>
      <c r="D930" s="4"/>
      <c r="E930" s="4"/>
      <c r="F930" s="3" t="str">
        <f t="shared" si="29"/>
        <v/>
      </c>
      <c r="G930" s="4"/>
      <c r="H930" s="5"/>
      <c r="I930" s="5"/>
      <c r="J930" s="6" t="str">
        <f t="shared" si="28"/>
        <v/>
      </c>
      <c r="K930" s="6" t="str">
        <f>IF(OR($B930="",$E930="",Calc!$B927=""),"",SUMIFS(CalcAmtA,CalcPartyA,$E930,CalcKeyA,"&lt;="&amp;Calc!$B927)-SUMIFS(CalcWitB,CalcPartyB,$E930,CalcKeyB,"&lt;="&amp;Calc!$B927)+SUMIFS(CalcDepB,CalcPartyB,$E930,CalcKeyB,"&lt;="&amp;Calc!$B927))</f>
        <v/>
      </c>
      <c r="L930" s="4"/>
    </row>
    <row r="931" spans="1:12" x14ac:dyDescent="0.2">
      <c r="A931" s="3" t="str">
        <f>IF($B931="","",COUNTA($B$9:$B931))</f>
        <v/>
      </c>
      <c r="B931" s="4"/>
      <c r="C931" s="4"/>
      <c r="D931" s="4"/>
      <c r="E931" s="4"/>
      <c r="F931" s="3" t="str">
        <f t="shared" si="29"/>
        <v/>
      </c>
      <c r="G931" s="4"/>
      <c r="H931" s="5"/>
      <c r="I931" s="5"/>
      <c r="J931" s="6" t="str">
        <f t="shared" si="28"/>
        <v/>
      </c>
      <c r="K931" s="6" t="str">
        <f>IF(OR($B931="",$E931="",Calc!$B928=""),"",SUMIFS(CalcAmtA,CalcPartyA,$E931,CalcKeyA,"&lt;="&amp;Calc!$B928)-SUMIFS(CalcWitB,CalcPartyB,$E931,CalcKeyB,"&lt;="&amp;Calc!$B928)+SUMIFS(CalcDepB,CalcPartyB,$E931,CalcKeyB,"&lt;="&amp;Calc!$B928))</f>
        <v/>
      </c>
      <c r="L931" s="4"/>
    </row>
    <row r="932" spans="1:12" x14ac:dyDescent="0.2">
      <c r="A932" s="3" t="str">
        <f>IF($B932="","",COUNTA($B$9:$B932))</f>
        <v/>
      </c>
      <c r="B932" s="4"/>
      <c r="C932" s="4"/>
      <c r="D932" s="4"/>
      <c r="E932" s="4"/>
      <c r="F932" s="3" t="str">
        <f t="shared" si="29"/>
        <v/>
      </c>
      <c r="G932" s="4"/>
      <c r="H932" s="5"/>
      <c r="I932" s="5"/>
      <c r="J932" s="6" t="str">
        <f t="shared" si="28"/>
        <v/>
      </c>
      <c r="K932" s="6" t="str">
        <f>IF(OR($B932="",$E932="",Calc!$B929=""),"",SUMIFS(CalcAmtA,CalcPartyA,$E932,CalcKeyA,"&lt;="&amp;Calc!$B929)-SUMIFS(CalcWitB,CalcPartyB,$E932,CalcKeyB,"&lt;="&amp;Calc!$B929)+SUMIFS(CalcDepB,CalcPartyB,$E932,CalcKeyB,"&lt;="&amp;Calc!$B929))</f>
        <v/>
      </c>
      <c r="L932" s="4"/>
    </row>
    <row r="933" spans="1:12" x14ac:dyDescent="0.2">
      <c r="A933" s="3" t="str">
        <f>IF($B933="","",COUNTA($B$9:$B933))</f>
        <v/>
      </c>
      <c r="B933" s="4"/>
      <c r="C933" s="4"/>
      <c r="D933" s="4"/>
      <c r="E933" s="4"/>
      <c r="F933" s="3" t="str">
        <f t="shared" si="29"/>
        <v/>
      </c>
      <c r="G933" s="4"/>
      <c r="H933" s="5"/>
      <c r="I933" s="5"/>
      <c r="J933" s="6" t="str">
        <f t="shared" si="28"/>
        <v/>
      </c>
      <c r="K933" s="6" t="str">
        <f>IF(OR($B933="",$E933="",Calc!$B930=""),"",SUMIFS(CalcAmtA,CalcPartyA,$E933,CalcKeyA,"&lt;="&amp;Calc!$B930)-SUMIFS(CalcWitB,CalcPartyB,$E933,CalcKeyB,"&lt;="&amp;Calc!$B930)+SUMIFS(CalcDepB,CalcPartyB,$E933,CalcKeyB,"&lt;="&amp;Calc!$B930))</f>
        <v/>
      </c>
      <c r="L933" s="4"/>
    </row>
    <row r="934" spans="1:12" x14ac:dyDescent="0.2">
      <c r="A934" s="3" t="str">
        <f>IF($B934="","",COUNTA($B$9:$B934))</f>
        <v/>
      </c>
      <c r="B934" s="4"/>
      <c r="C934" s="4"/>
      <c r="D934" s="4"/>
      <c r="E934" s="4"/>
      <c r="F934" s="3" t="str">
        <f t="shared" si="29"/>
        <v/>
      </c>
      <c r="G934" s="4"/>
      <c r="H934" s="5"/>
      <c r="I934" s="5"/>
      <c r="J934" s="6" t="str">
        <f t="shared" si="28"/>
        <v/>
      </c>
      <c r="K934" s="6" t="str">
        <f>IF(OR($B934="",$E934="",Calc!$B931=""),"",SUMIFS(CalcAmtA,CalcPartyA,$E934,CalcKeyA,"&lt;="&amp;Calc!$B931)-SUMIFS(CalcWitB,CalcPartyB,$E934,CalcKeyB,"&lt;="&amp;Calc!$B931)+SUMIFS(CalcDepB,CalcPartyB,$E934,CalcKeyB,"&lt;="&amp;Calc!$B931))</f>
        <v/>
      </c>
      <c r="L934" s="4"/>
    </row>
    <row r="935" spans="1:12" x14ac:dyDescent="0.2">
      <c r="A935" s="3" t="str">
        <f>IF($B935="","",COUNTA($B$9:$B935))</f>
        <v/>
      </c>
      <c r="B935" s="4"/>
      <c r="C935" s="4"/>
      <c r="D935" s="4"/>
      <c r="E935" s="4"/>
      <c r="F935" s="3" t="str">
        <f t="shared" si="29"/>
        <v/>
      </c>
      <c r="G935" s="4"/>
      <c r="H935" s="5"/>
      <c r="I935" s="5"/>
      <c r="J935" s="6" t="str">
        <f t="shared" si="28"/>
        <v/>
      </c>
      <c r="K935" s="6" t="str">
        <f>IF(OR($B935="",$E935="",Calc!$B932=""),"",SUMIFS(CalcAmtA,CalcPartyA,$E935,CalcKeyA,"&lt;="&amp;Calc!$B932)-SUMIFS(CalcWitB,CalcPartyB,$E935,CalcKeyB,"&lt;="&amp;Calc!$B932)+SUMIFS(CalcDepB,CalcPartyB,$E935,CalcKeyB,"&lt;="&amp;Calc!$B932))</f>
        <v/>
      </c>
      <c r="L935" s="4"/>
    </row>
    <row r="936" spans="1:12" x14ac:dyDescent="0.2">
      <c r="A936" s="3" t="str">
        <f>IF($B936="","",COUNTA($B$9:$B936))</f>
        <v/>
      </c>
      <c r="B936" s="4"/>
      <c r="C936" s="4"/>
      <c r="D936" s="4"/>
      <c r="E936" s="4"/>
      <c r="F936" s="3" t="str">
        <f t="shared" si="29"/>
        <v/>
      </c>
      <c r="G936" s="4"/>
      <c r="H936" s="5"/>
      <c r="I936" s="5"/>
      <c r="J936" s="6" t="str">
        <f t="shared" si="28"/>
        <v/>
      </c>
      <c r="K936" s="6" t="str">
        <f>IF(OR($B936="",$E936="",Calc!$B933=""),"",SUMIFS(CalcAmtA,CalcPartyA,$E936,CalcKeyA,"&lt;="&amp;Calc!$B933)-SUMIFS(CalcWitB,CalcPartyB,$E936,CalcKeyB,"&lt;="&amp;Calc!$B933)+SUMIFS(CalcDepB,CalcPartyB,$E936,CalcKeyB,"&lt;="&amp;Calc!$B933))</f>
        <v/>
      </c>
      <c r="L936" s="4"/>
    </row>
    <row r="937" spans="1:12" x14ac:dyDescent="0.2">
      <c r="A937" s="3" t="str">
        <f>IF($B937="","",COUNTA($B$9:$B937))</f>
        <v/>
      </c>
      <c r="B937" s="4"/>
      <c r="C937" s="4"/>
      <c r="D937" s="4"/>
      <c r="E937" s="4"/>
      <c r="F937" s="3" t="str">
        <f t="shared" si="29"/>
        <v/>
      </c>
      <c r="G937" s="4"/>
      <c r="H937" s="5"/>
      <c r="I937" s="5"/>
      <c r="J937" s="6" t="str">
        <f t="shared" si="28"/>
        <v/>
      </c>
      <c r="K937" s="6" t="str">
        <f>IF(OR($B937="",$E937="",Calc!$B934=""),"",SUMIFS(CalcAmtA,CalcPartyA,$E937,CalcKeyA,"&lt;="&amp;Calc!$B934)-SUMIFS(CalcWitB,CalcPartyB,$E937,CalcKeyB,"&lt;="&amp;Calc!$B934)+SUMIFS(CalcDepB,CalcPartyB,$E937,CalcKeyB,"&lt;="&amp;Calc!$B934))</f>
        <v/>
      </c>
      <c r="L937" s="4"/>
    </row>
    <row r="938" spans="1:12" x14ac:dyDescent="0.2">
      <c r="A938" s="3" t="str">
        <f>IF($B938="","",COUNTA($B$9:$B938))</f>
        <v/>
      </c>
      <c r="B938" s="4"/>
      <c r="C938" s="4"/>
      <c r="D938" s="4"/>
      <c r="E938" s="4"/>
      <c r="F938" s="3" t="str">
        <f t="shared" si="29"/>
        <v/>
      </c>
      <c r="G938" s="4"/>
      <c r="H938" s="5"/>
      <c r="I938" s="5"/>
      <c r="J938" s="6" t="str">
        <f t="shared" si="28"/>
        <v/>
      </c>
      <c r="K938" s="6" t="str">
        <f>IF(OR($B938="",$E938="",Calc!$B935=""),"",SUMIFS(CalcAmtA,CalcPartyA,$E938,CalcKeyA,"&lt;="&amp;Calc!$B935)-SUMIFS(CalcWitB,CalcPartyB,$E938,CalcKeyB,"&lt;="&amp;Calc!$B935)+SUMIFS(CalcDepB,CalcPartyB,$E938,CalcKeyB,"&lt;="&amp;Calc!$B935))</f>
        <v/>
      </c>
      <c r="L938" s="4"/>
    </row>
    <row r="939" spans="1:12" x14ac:dyDescent="0.2">
      <c r="A939" s="3" t="str">
        <f>IF($B939="","",COUNTA($B$9:$B939))</f>
        <v/>
      </c>
      <c r="B939" s="4"/>
      <c r="C939" s="4"/>
      <c r="D939" s="4"/>
      <c r="E939" s="4"/>
      <c r="F939" s="3" t="str">
        <f t="shared" si="29"/>
        <v/>
      </c>
      <c r="G939" s="4"/>
      <c r="H939" s="5"/>
      <c r="I939" s="5"/>
      <c r="J939" s="6" t="str">
        <f t="shared" si="28"/>
        <v/>
      </c>
      <c r="K939" s="6" t="str">
        <f>IF(OR($B939="",$E939="",Calc!$B936=""),"",SUMIFS(CalcAmtA,CalcPartyA,$E939,CalcKeyA,"&lt;="&amp;Calc!$B936)-SUMIFS(CalcWitB,CalcPartyB,$E939,CalcKeyB,"&lt;="&amp;Calc!$B936)+SUMIFS(CalcDepB,CalcPartyB,$E939,CalcKeyB,"&lt;="&amp;Calc!$B936))</f>
        <v/>
      </c>
      <c r="L939" s="4"/>
    </row>
    <row r="940" spans="1:12" x14ac:dyDescent="0.2">
      <c r="A940" s="3" t="str">
        <f>IF($B940="","",COUNTA($B$9:$B940))</f>
        <v/>
      </c>
      <c r="B940" s="4"/>
      <c r="C940" s="4"/>
      <c r="D940" s="4"/>
      <c r="E940" s="4"/>
      <c r="F940" s="3" t="str">
        <f t="shared" si="29"/>
        <v/>
      </c>
      <c r="G940" s="4"/>
      <c r="H940" s="5"/>
      <c r="I940" s="5"/>
      <c r="J940" s="6" t="str">
        <f t="shared" si="28"/>
        <v/>
      </c>
      <c r="K940" s="6" t="str">
        <f>IF(OR($B940="",$E940="",Calc!$B937=""),"",SUMIFS(CalcAmtA,CalcPartyA,$E940,CalcKeyA,"&lt;="&amp;Calc!$B937)-SUMIFS(CalcWitB,CalcPartyB,$E940,CalcKeyB,"&lt;="&amp;Calc!$B937)+SUMIFS(CalcDepB,CalcPartyB,$E940,CalcKeyB,"&lt;="&amp;Calc!$B937))</f>
        <v/>
      </c>
      <c r="L940" s="4"/>
    </row>
    <row r="941" spans="1:12" x14ac:dyDescent="0.2">
      <c r="A941" s="3" t="str">
        <f>IF($B941="","",COUNTA($B$9:$B941))</f>
        <v/>
      </c>
      <c r="B941" s="4"/>
      <c r="C941" s="4"/>
      <c r="D941" s="4"/>
      <c r="E941" s="4"/>
      <c r="F941" s="3" t="str">
        <f t="shared" si="29"/>
        <v/>
      </c>
      <c r="G941" s="4"/>
      <c r="H941" s="5"/>
      <c r="I941" s="5"/>
      <c r="J941" s="6" t="str">
        <f t="shared" si="28"/>
        <v/>
      </c>
      <c r="K941" s="6" t="str">
        <f>IF(OR($B941="",$E941="",Calc!$B938=""),"",SUMIFS(CalcAmtA,CalcPartyA,$E941,CalcKeyA,"&lt;="&amp;Calc!$B938)-SUMIFS(CalcWitB,CalcPartyB,$E941,CalcKeyB,"&lt;="&amp;Calc!$B938)+SUMIFS(CalcDepB,CalcPartyB,$E941,CalcKeyB,"&lt;="&amp;Calc!$B938))</f>
        <v/>
      </c>
      <c r="L941" s="4"/>
    </row>
    <row r="942" spans="1:12" x14ac:dyDescent="0.2">
      <c r="A942" s="3" t="str">
        <f>IF($B942="","",COUNTA($B$9:$B942))</f>
        <v/>
      </c>
      <c r="B942" s="4"/>
      <c r="C942" s="4"/>
      <c r="D942" s="4"/>
      <c r="E942" s="4"/>
      <c r="F942" s="3" t="str">
        <f t="shared" si="29"/>
        <v/>
      </c>
      <c r="G942" s="4"/>
      <c r="H942" s="5"/>
      <c r="I942" s="5"/>
      <c r="J942" s="6" t="str">
        <f t="shared" si="28"/>
        <v/>
      </c>
      <c r="K942" s="6" t="str">
        <f>IF(OR($B942="",$E942="",Calc!$B939=""),"",SUMIFS(CalcAmtA,CalcPartyA,$E942,CalcKeyA,"&lt;="&amp;Calc!$B939)-SUMIFS(CalcWitB,CalcPartyB,$E942,CalcKeyB,"&lt;="&amp;Calc!$B939)+SUMIFS(CalcDepB,CalcPartyB,$E942,CalcKeyB,"&lt;="&amp;Calc!$B939))</f>
        <v/>
      </c>
      <c r="L942" s="4"/>
    </row>
    <row r="943" spans="1:12" x14ac:dyDescent="0.2">
      <c r="A943" s="3" t="str">
        <f>IF($B943="","",COUNTA($B$9:$B943))</f>
        <v/>
      </c>
      <c r="B943" s="4"/>
      <c r="C943" s="4"/>
      <c r="D943" s="4"/>
      <c r="E943" s="4"/>
      <c r="F943" s="3" t="str">
        <f t="shared" si="29"/>
        <v/>
      </c>
      <c r="G943" s="4"/>
      <c r="H943" s="5"/>
      <c r="I943" s="5"/>
      <c r="J943" s="6" t="str">
        <f t="shared" si="28"/>
        <v/>
      </c>
      <c r="K943" s="6" t="str">
        <f>IF(OR($B943="",$E943="",Calc!$B940=""),"",SUMIFS(CalcAmtA,CalcPartyA,$E943,CalcKeyA,"&lt;="&amp;Calc!$B940)-SUMIFS(CalcWitB,CalcPartyB,$E943,CalcKeyB,"&lt;="&amp;Calc!$B940)+SUMIFS(CalcDepB,CalcPartyB,$E943,CalcKeyB,"&lt;="&amp;Calc!$B940))</f>
        <v/>
      </c>
      <c r="L943" s="4"/>
    </row>
    <row r="944" spans="1:12" x14ac:dyDescent="0.2">
      <c r="A944" s="3" t="str">
        <f>IF($B944="","",COUNTA($B$9:$B944))</f>
        <v/>
      </c>
      <c r="B944" s="4"/>
      <c r="C944" s="4"/>
      <c r="D944" s="4"/>
      <c r="E944" s="4"/>
      <c r="F944" s="3" t="str">
        <f t="shared" si="29"/>
        <v/>
      </c>
      <c r="G944" s="4"/>
      <c r="H944" s="5"/>
      <c r="I944" s="5"/>
      <c r="J944" s="6" t="str">
        <f t="shared" si="28"/>
        <v/>
      </c>
      <c r="K944" s="6" t="str">
        <f>IF(OR($B944="",$E944="",Calc!$B941=""),"",SUMIFS(CalcAmtA,CalcPartyA,$E944,CalcKeyA,"&lt;="&amp;Calc!$B941)-SUMIFS(CalcWitB,CalcPartyB,$E944,CalcKeyB,"&lt;="&amp;Calc!$B941)+SUMIFS(CalcDepB,CalcPartyB,$E944,CalcKeyB,"&lt;="&amp;Calc!$B941))</f>
        <v/>
      </c>
      <c r="L944" s="4"/>
    </row>
    <row r="945" spans="1:12" x14ac:dyDescent="0.2">
      <c r="A945" s="3" t="str">
        <f>IF($B945="","",COUNTA($B$9:$B945))</f>
        <v/>
      </c>
      <c r="B945" s="4"/>
      <c r="C945" s="4"/>
      <c r="D945" s="4"/>
      <c r="E945" s="4"/>
      <c r="F945" s="3" t="str">
        <f t="shared" si="29"/>
        <v/>
      </c>
      <c r="G945" s="4"/>
      <c r="H945" s="5"/>
      <c r="I945" s="5"/>
      <c r="J945" s="6" t="str">
        <f t="shared" si="28"/>
        <v/>
      </c>
      <c r="K945" s="6" t="str">
        <f>IF(OR($B945="",$E945="",Calc!$B942=""),"",SUMIFS(CalcAmtA,CalcPartyA,$E945,CalcKeyA,"&lt;="&amp;Calc!$B942)-SUMIFS(CalcWitB,CalcPartyB,$E945,CalcKeyB,"&lt;="&amp;Calc!$B942)+SUMIFS(CalcDepB,CalcPartyB,$E945,CalcKeyB,"&lt;="&amp;Calc!$B942))</f>
        <v/>
      </c>
      <c r="L945" s="4"/>
    </row>
    <row r="946" spans="1:12" x14ac:dyDescent="0.2">
      <c r="A946" s="3" t="str">
        <f>IF($B946="","",COUNTA($B$9:$B946))</f>
        <v/>
      </c>
      <c r="B946" s="4"/>
      <c r="C946" s="4"/>
      <c r="D946" s="4"/>
      <c r="E946" s="4"/>
      <c r="F946" s="3" t="str">
        <f t="shared" si="29"/>
        <v/>
      </c>
      <c r="G946" s="4"/>
      <c r="H946" s="5"/>
      <c r="I946" s="5"/>
      <c r="J946" s="6" t="str">
        <f t="shared" si="28"/>
        <v/>
      </c>
      <c r="K946" s="6" t="str">
        <f>IF(OR($B946="",$E946="",Calc!$B943=""),"",SUMIFS(CalcAmtA,CalcPartyA,$E946,CalcKeyA,"&lt;="&amp;Calc!$B943)-SUMIFS(CalcWitB,CalcPartyB,$E946,CalcKeyB,"&lt;="&amp;Calc!$B943)+SUMIFS(CalcDepB,CalcPartyB,$E946,CalcKeyB,"&lt;="&amp;Calc!$B943))</f>
        <v/>
      </c>
      <c r="L946" s="4"/>
    </row>
    <row r="947" spans="1:12" x14ac:dyDescent="0.2">
      <c r="A947" s="3" t="str">
        <f>IF($B947="","",COUNTA($B$9:$B947))</f>
        <v/>
      </c>
      <c r="B947" s="4"/>
      <c r="C947" s="4"/>
      <c r="D947" s="4"/>
      <c r="E947" s="4"/>
      <c r="F947" s="3" t="str">
        <f t="shared" si="29"/>
        <v/>
      </c>
      <c r="G947" s="4"/>
      <c r="H947" s="5"/>
      <c r="I947" s="5"/>
      <c r="J947" s="6" t="str">
        <f t="shared" si="28"/>
        <v/>
      </c>
      <c r="K947" s="6" t="str">
        <f>IF(OR($B947="",$E947="",Calc!$B944=""),"",SUMIFS(CalcAmtA,CalcPartyA,$E947,CalcKeyA,"&lt;="&amp;Calc!$B944)-SUMIFS(CalcWitB,CalcPartyB,$E947,CalcKeyB,"&lt;="&amp;Calc!$B944)+SUMIFS(CalcDepB,CalcPartyB,$E947,CalcKeyB,"&lt;="&amp;Calc!$B944))</f>
        <v/>
      </c>
      <c r="L947" s="4"/>
    </row>
    <row r="948" spans="1:12" x14ac:dyDescent="0.2">
      <c r="A948" s="3" t="str">
        <f>IF($B948="","",COUNTA($B$9:$B948))</f>
        <v/>
      </c>
      <c r="B948" s="4"/>
      <c r="C948" s="4"/>
      <c r="D948" s="4"/>
      <c r="E948" s="4"/>
      <c r="F948" s="3" t="str">
        <f t="shared" si="29"/>
        <v/>
      </c>
      <c r="G948" s="4"/>
      <c r="H948" s="5"/>
      <c r="I948" s="5"/>
      <c r="J948" s="6" t="str">
        <f t="shared" si="28"/>
        <v/>
      </c>
      <c r="K948" s="6" t="str">
        <f>IF(OR($B948="",$E948="",Calc!$B945=""),"",SUMIFS(CalcAmtA,CalcPartyA,$E948,CalcKeyA,"&lt;="&amp;Calc!$B945)-SUMIFS(CalcWitB,CalcPartyB,$E948,CalcKeyB,"&lt;="&amp;Calc!$B945)+SUMIFS(CalcDepB,CalcPartyB,$E948,CalcKeyB,"&lt;="&amp;Calc!$B945))</f>
        <v/>
      </c>
      <c r="L948" s="4"/>
    </row>
    <row r="949" spans="1:12" x14ac:dyDescent="0.2">
      <c r="A949" s="3" t="str">
        <f>IF($B949="","",COUNTA($B$9:$B949))</f>
        <v/>
      </c>
      <c r="B949" s="4"/>
      <c r="C949" s="4"/>
      <c r="D949" s="4"/>
      <c r="E949" s="4"/>
      <c r="F949" s="3" t="str">
        <f t="shared" si="29"/>
        <v/>
      </c>
      <c r="G949" s="4"/>
      <c r="H949" s="5"/>
      <c r="I949" s="5"/>
      <c r="J949" s="6" t="str">
        <f t="shared" si="28"/>
        <v/>
      </c>
      <c r="K949" s="6" t="str">
        <f>IF(OR($B949="",$E949="",Calc!$B946=""),"",SUMIFS(CalcAmtA,CalcPartyA,$E949,CalcKeyA,"&lt;="&amp;Calc!$B946)-SUMIFS(CalcWitB,CalcPartyB,$E949,CalcKeyB,"&lt;="&amp;Calc!$B946)+SUMIFS(CalcDepB,CalcPartyB,$E949,CalcKeyB,"&lt;="&amp;Calc!$B946))</f>
        <v/>
      </c>
      <c r="L949" s="4"/>
    </row>
    <row r="950" spans="1:12" x14ac:dyDescent="0.2">
      <c r="A950" s="3" t="str">
        <f>IF($B950="","",COUNTA($B$9:$B950))</f>
        <v/>
      </c>
      <c r="B950" s="4"/>
      <c r="C950" s="4"/>
      <c r="D950" s="4"/>
      <c r="E950" s="4"/>
      <c r="F950" s="3" t="str">
        <f t="shared" si="29"/>
        <v/>
      </c>
      <c r="G950" s="4"/>
      <c r="H950" s="5"/>
      <c r="I950" s="5"/>
      <c r="J950" s="6" t="str">
        <f t="shared" si="28"/>
        <v/>
      </c>
      <c r="K950" s="6" t="str">
        <f>IF(OR($B950="",$E950="",Calc!$B947=""),"",SUMIFS(CalcAmtA,CalcPartyA,$E950,CalcKeyA,"&lt;="&amp;Calc!$B947)-SUMIFS(CalcWitB,CalcPartyB,$E950,CalcKeyB,"&lt;="&amp;Calc!$B947)+SUMIFS(CalcDepB,CalcPartyB,$E950,CalcKeyB,"&lt;="&amp;Calc!$B947))</f>
        <v/>
      </c>
      <c r="L950" s="4"/>
    </row>
    <row r="951" spans="1:12" x14ac:dyDescent="0.2">
      <c r="A951" s="3" t="str">
        <f>IF($B951="","",COUNTA($B$9:$B951))</f>
        <v/>
      </c>
      <c r="B951" s="4"/>
      <c r="C951" s="4"/>
      <c r="D951" s="4"/>
      <c r="E951" s="4"/>
      <c r="F951" s="3" t="str">
        <f t="shared" si="29"/>
        <v/>
      </c>
      <c r="G951" s="4"/>
      <c r="H951" s="5"/>
      <c r="I951" s="5"/>
      <c r="J951" s="6" t="str">
        <f t="shared" si="28"/>
        <v/>
      </c>
      <c r="K951" s="6" t="str">
        <f>IF(OR($B951="",$E951="",Calc!$B948=""),"",SUMIFS(CalcAmtA,CalcPartyA,$E951,CalcKeyA,"&lt;="&amp;Calc!$B948)-SUMIFS(CalcWitB,CalcPartyB,$E951,CalcKeyB,"&lt;="&amp;Calc!$B948)+SUMIFS(CalcDepB,CalcPartyB,$E951,CalcKeyB,"&lt;="&amp;Calc!$B948))</f>
        <v/>
      </c>
      <c r="L951" s="4"/>
    </row>
    <row r="952" spans="1:12" x14ac:dyDescent="0.2">
      <c r="A952" s="3" t="str">
        <f>IF($B952="","",COUNTA($B$9:$B952))</f>
        <v/>
      </c>
      <c r="B952" s="4"/>
      <c r="C952" s="4"/>
      <c r="D952" s="4"/>
      <c r="E952" s="4"/>
      <c r="F952" s="3" t="str">
        <f t="shared" si="29"/>
        <v/>
      </c>
      <c r="G952" s="4"/>
      <c r="H952" s="5"/>
      <c r="I952" s="5"/>
      <c r="J952" s="6" t="str">
        <f t="shared" si="28"/>
        <v/>
      </c>
      <c r="K952" s="6" t="str">
        <f>IF(OR($B952="",$E952="",Calc!$B949=""),"",SUMIFS(CalcAmtA,CalcPartyA,$E952,CalcKeyA,"&lt;="&amp;Calc!$B949)-SUMIFS(CalcWitB,CalcPartyB,$E952,CalcKeyB,"&lt;="&amp;Calc!$B949)+SUMIFS(CalcDepB,CalcPartyB,$E952,CalcKeyB,"&lt;="&amp;Calc!$B949))</f>
        <v/>
      </c>
      <c r="L952" s="4"/>
    </row>
    <row r="953" spans="1:12" x14ac:dyDescent="0.2">
      <c r="A953" s="3" t="str">
        <f>IF($B953="","",COUNTA($B$9:$B953))</f>
        <v/>
      </c>
      <c r="B953" s="4"/>
      <c r="C953" s="4"/>
      <c r="D953" s="4"/>
      <c r="E953" s="4"/>
      <c r="F953" s="3" t="str">
        <f t="shared" si="29"/>
        <v/>
      </c>
      <c r="G953" s="4"/>
      <c r="H953" s="5"/>
      <c r="I953" s="5"/>
      <c r="J953" s="6" t="str">
        <f t="shared" si="28"/>
        <v/>
      </c>
      <c r="K953" s="6" t="str">
        <f>IF(OR($B953="",$E953="",Calc!$B950=""),"",SUMIFS(CalcAmtA,CalcPartyA,$E953,CalcKeyA,"&lt;="&amp;Calc!$B950)-SUMIFS(CalcWitB,CalcPartyB,$E953,CalcKeyB,"&lt;="&amp;Calc!$B950)+SUMIFS(CalcDepB,CalcPartyB,$E953,CalcKeyB,"&lt;="&amp;Calc!$B950))</f>
        <v/>
      </c>
      <c r="L953" s="4"/>
    </row>
    <row r="954" spans="1:12" x14ac:dyDescent="0.2">
      <c r="A954" s="3" t="str">
        <f>IF($B954="","",COUNTA($B$9:$B954))</f>
        <v/>
      </c>
      <c r="B954" s="4"/>
      <c r="C954" s="4"/>
      <c r="D954" s="4"/>
      <c r="E954" s="4"/>
      <c r="F954" s="3" t="str">
        <f t="shared" si="29"/>
        <v/>
      </c>
      <c r="G954" s="4"/>
      <c r="H954" s="5"/>
      <c r="I954" s="5"/>
      <c r="J954" s="6" t="str">
        <f t="shared" si="28"/>
        <v/>
      </c>
      <c r="K954" s="6" t="str">
        <f>IF(OR($B954="",$E954="",Calc!$B951=""),"",SUMIFS(CalcAmtA,CalcPartyA,$E954,CalcKeyA,"&lt;="&amp;Calc!$B951)-SUMIFS(CalcWitB,CalcPartyB,$E954,CalcKeyB,"&lt;="&amp;Calc!$B951)+SUMIFS(CalcDepB,CalcPartyB,$E954,CalcKeyB,"&lt;="&amp;Calc!$B951))</f>
        <v/>
      </c>
      <c r="L954" s="4"/>
    </row>
    <row r="955" spans="1:12" x14ac:dyDescent="0.2">
      <c r="A955" s="3" t="str">
        <f>IF($B955="","",COUNTA($B$9:$B955))</f>
        <v/>
      </c>
      <c r="B955" s="4"/>
      <c r="C955" s="4"/>
      <c r="D955" s="4"/>
      <c r="E955" s="4"/>
      <c r="F955" s="3" t="str">
        <f t="shared" si="29"/>
        <v/>
      </c>
      <c r="G955" s="4"/>
      <c r="H955" s="5"/>
      <c r="I955" s="5"/>
      <c r="J955" s="6" t="str">
        <f t="shared" si="28"/>
        <v/>
      </c>
      <c r="K955" s="6" t="str">
        <f>IF(OR($B955="",$E955="",Calc!$B952=""),"",SUMIFS(CalcAmtA,CalcPartyA,$E955,CalcKeyA,"&lt;="&amp;Calc!$B952)-SUMIFS(CalcWitB,CalcPartyB,$E955,CalcKeyB,"&lt;="&amp;Calc!$B952)+SUMIFS(CalcDepB,CalcPartyB,$E955,CalcKeyB,"&lt;="&amp;Calc!$B952))</f>
        <v/>
      </c>
      <c r="L955" s="4"/>
    </row>
    <row r="956" spans="1:12" x14ac:dyDescent="0.2">
      <c r="A956" s="3" t="str">
        <f>IF($B956="","",COUNTA($B$9:$B956))</f>
        <v/>
      </c>
      <c r="B956" s="4"/>
      <c r="C956" s="4"/>
      <c r="D956" s="4"/>
      <c r="E956" s="4"/>
      <c r="F956" s="3" t="str">
        <f t="shared" si="29"/>
        <v/>
      </c>
      <c r="G956" s="4"/>
      <c r="H956" s="5"/>
      <c r="I956" s="5"/>
      <c r="J956" s="6" t="str">
        <f t="shared" si="28"/>
        <v/>
      </c>
      <c r="K956" s="6" t="str">
        <f>IF(OR($B956="",$E956="",Calc!$B953=""),"",SUMIFS(CalcAmtA,CalcPartyA,$E956,CalcKeyA,"&lt;="&amp;Calc!$B953)-SUMIFS(CalcWitB,CalcPartyB,$E956,CalcKeyB,"&lt;="&amp;Calc!$B953)+SUMIFS(CalcDepB,CalcPartyB,$E956,CalcKeyB,"&lt;="&amp;Calc!$B953))</f>
        <v/>
      </c>
      <c r="L956" s="4"/>
    </row>
    <row r="957" spans="1:12" x14ac:dyDescent="0.2">
      <c r="A957" s="3" t="str">
        <f>IF($B957="","",COUNTA($B$9:$B957))</f>
        <v/>
      </c>
      <c r="B957" s="4"/>
      <c r="C957" s="4"/>
      <c r="D957" s="4"/>
      <c r="E957" s="4"/>
      <c r="F957" s="3" t="str">
        <f t="shared" si="29"/>
        <v/>
      </c>
      <c r="G957" s="4"/>
      <c r="H957" s="5"/>
      <c r="I957" s="5"/>
      <c r="J957" s="6" t="str">
        <f t="shared" si="28"/>
        <v/>
      </c>
      <c r="K957" s="6" t="str">
        <f>IF(OR($B957="",$E957="",Calc!$B954=""),"",SUMIFS(CalcAmtA,CalcPartyA,$E957,CalcKeyA,"&lt;="&amp;Calc!$B954)-SUMIFS(CalcWitB,CalcPartyB,$E957,CalcKeyB,"&lt;="&amp;Calc!$B954)+SUMIFS(CalcDepB,CalcPartyB,$E957,CalcKeyB,"&lt;="&amp;Calc!$B954))</f>
        <v/>
      </c>
      <c r="L957" s="4"/>
    </row>
    <row r="958" spans="1:12" x14ac:dyDescent="0.2">
      <c r="A958" s="3" t="str">
        <f>IF($B958="","",COUNTA($B$9:$B958))</f>
        <v/>
      </c>
      <c r="B958" s="4"/>
      <c r="C958" s="4"/>
      <c r="D958" s="4"/>
      <c r="E958" s="4"/>
      <c r="F958" s="3" t="str">
        <f t="shared" si="29"/>
        <v/>
      </c>
      <c r="G958" s="4"/>
      <c r="H958" s="5"/>
      <c r="I958" s="5"/>
      <c r="J958" s="6" t="str">
        <f t="shared" si="28"/>
        <v/>
      </c>
      <c r="K958" s="6" t="str">
        <f>IF(OR($B958="",$E958="",Calc!$B955=""),"",SUMIFS(CalcAmtA,CalcPartyA,$E958,CalcKeyA,"&lt;="&amp;Calc!$B955)-SUMIFS(CalcWitB,CalcPartyB,$E958,CalcKeyB,"&lt;="&amp;Calc!$B955)+SUMIFS(CalcDepB,CalcPartyB,$E958,CalcKeyB,"&lt;="&amp;Calc!$B955))</f>
        <v/>
      </c>
      <c r="L958" s="4"/>
    </row>
    <row r="959" spans="1:12" x14ac:dyDescent="0.2">
      <c r="A959" s="3" t="str">
        <f>IF($B959="","",COUNTA($B$9:$B959))</f>
        <v/>
      </c>
      <c r="B959" s="4"/>
      <c r="C959" s="4"/>
      <c r="D959" s="4"/>
      <c r="E959" s="4"/>
      <c r="F959" s="3" t="str">
        <f t="shared" si="29"/>
        <v/>
      </c>
      <c r="G959" s="4"/>
      <c r="H959" s="5"/>
      <c r="I959" s="5"/>
      <c r="J959" s="6" t="str">
        <f t="shared" si="28"/>
        <v/>
      </c>
      <c r="K959" s="6" t="str">
        <f>IF(OR($B959="",$E959="",Calc!$B956=""),"",SUMIFS(CalcAmtA,CalcPartyA,$E959,CalcKeyA,"&lt;="&amp;Calc!$B956)-SUMIFS(CalcWitB,CalcPartyB,$E959,CalcKeyB,"&lt;="&amp;Calc!$B956)+SUMIFS(CalcDepB,CalcPartyB,$E959,CalcKeyB,"&lt;="&amp;Calc!$B956))</f>
        <v/>
      </c>
      <c r="L959" s="4"/>
    </row>
    <row r="960" spans="1:12" x14ac:dyDescent="0.2">
      <c r="A960" s="3" t="str">
        <f>IF($B960="","",COUNTA($B$9:$B960))</f>
        <v/>
      </c>
      <c r="B960" s="4"/>
      <c r="C960" s="4"/>
      <c r="D960" s="4"/>
      <c r="E960" s="4"/>
      <c r="F960" s="3" t="str">
        <f t="shared" si="29"/>
        <v/>
      </c>
      <c r="G960" s="4"/>
      <c r="H960" s="5"/>
      <c r="I960" s="5"/>
      <c r="J960" s="6" t="str">
        <f t="shared" si="28"/>
        <v/>
      </c>
      <c r="K960" s="6" t="str">
        <f>IF(OR($B960="",$E960="",Calc!$B957=""),"",SUMIFS(CalcAmtA,CalcPartyA,$E960,CalcKeyA,"&lt;="&amp;Calc!$B957)-SUMIFS(CalcWitB,CalcPartyB,$E960,CalcKeyB,"&lt;="&amp;Calc!$B957)+SUMIFS(CalcDepB,CalcPartyB,$E960,CalcKeyB,"&lt;="&amp;Calc!$B957))</f>
        <v/>
      </c>
      <c r="L960" s="4"/>
    </row>
    <row r="961" spans="1:12" x14ac:dyDescent="0.2">
      <c r="A961" s="3" t="str">
        <f>IF($B961="","",COUNTA($B$9:$B961))</f>
        <v/>
      </c>
      <c r="B961" s="4"/>
      <c r="C961" s="4"/>
      <c r="D961" s="4"/>
      <c r="E961" s="4"/>
      <c r="F961" s="3" t="str">
        <f t="shared" si="29"/>
        <v/>
      </c>
      <c r="G961" s="4"/>
      <c r="H961" s="5"/>
      <c r="I961" s="5"/>
      <c r="J961" s="6" t="str">
        <f t="shared" si="28"/>
        <v/>
      </c>
      <c r="K961" s="6" t="str">
        <f>IF(OR($B961="",$E961="",Calc!$B958=""),"",SUMIFS(CalcAmtA,CalcPartyA,$E961,CalcKeyA,"&lt;="&amp;Calc!$B958)-SUMIFS(CalcWitB,CalcPartyB,$E961,CalcKeyB,"&lt;="&amp;Calc!$B958)+SUMIFS(CalcDepB,CalcPartyB,$E961,CalcKeyB,"&lt;="&amp;Calc!$B958))</f>
        <v/>
      </c>
      <c r="L961" s="4"/>
    </row>
    <row r="962" spans="1:12" x14ac:dyDescent="0.2">
      <c r="A962" s="3" t="str">
        <f>IF($B962="","",COUNTA($B$9:$B962))</f>
        <v/>
      </c>
      <c r="B962" s="4"/>
      <c r="C962" s="4"/>
      <c r="D962" s="4"/>
      <c r="E962" s="4"/>
      <c r="F962" s="3" t="str">
        <f t="shared" si="29"/>
        <v/>
      </c>
      <c r="G962" s="4"/>
      <c r="H962" s="5"/>
      <c r="I962" s="5"/>
      <c r="J962" s="6" t="str">
        <f t="shared" si="28"/>
        <v/>
      </c>
      <c r="K962" s="6" t="str">
        <f>IF(OR($B962="",$E962="",Calc!$B959=""),"",SUMIFS(CalcAmtA,CalcPartyA,$E962,CalcKeyA,"&lt;="&amp;Calc!$B959)-SUMIFS(CalcWitB,CalcPartyB,$E962,CalcKeyB,"&lt;="&amp;Calc!$B959)+SUMIFS(CalcDepB,CalcPartyB,$E962,CalcKeyB,"&lt;="&amp;Calc!$B959))</f>
        <v/>
      </c>
      <c r="L962" s="4"/>
    </row>
    <row r="963" spans="1:12" x14ac:dyDescent="0.2">
      <c r="A963" s="3" t="str">
        <f>IF($B963="","",COUNTA($B$9:$B963))</f>
        <v/>
      </c>
      <c r="B963" s="4"/>
      <c r="C963" s="4"/>
      <c r="D963" s="4"/>
      <c r="E963" s="4"/>
      <c r="F963" s="3" t="str">
        <f t="shared" si="29"/>
        <v/>
      </c>
      <c r="G963" s="4"/>
      <c r="H963" s="5"/>
      <c r="I963" s="5"/>
      <c r="J963" s="6" t="str">
        <f t="shared" si="28"/>
        <v/>
      </c>
      <c r="K963" s="6" t="str">
        <f>IF(OR($B963="",$E963="",Calc!$B960=""),"",SUMIFS(CalcAmtA,CalcPartyA,$E963,CalcKeyA,"&lt;="&amp;Calc!$B960)-SUMIFS(CalcWitB,CalcPartyB,$E963,CalcKeyB,"&lt;="&amp;Calc!$B960)+SUMIFS(CalcDepB,CalcPartyB,$E963,CalcKeyB,"&lt;="&amp;Calc!$B960))</f>
        <v/>
      </c>
      <c r="L963" s="4"/>
    </row>
    <row r="964" spans="1:12" x14ac:dyDescent="0.2">
      <c r="A964" s="3" t="str">
        <f>IF($B964="","",COUNTA($B$9:$B964))</f>
        <v/>
      </c>
      <c r="B964" s="4"/>
      <c r="C964" s="4"/>
      <c r="D964" s="4"/>
      <c r="E964" s="4"/>
      <c r="F964" s="3" t="str">
        <f t="shared" si="29"/>
        <v/>
      </c>
      <c r="G964" s="4"/>
      <c r="H964" s="5"/>
      <c r="I964" s="5"/>
      <c r="J964" s="6" t="str">
        <f t="shared" si="28"/>
        <v/>
      </c>
      <c r="K964" s="6" t="str">
        <f>IF(OR($B964="",$E964="",Calc!$B961=""),"",SUMIFS(CalcAmtA,CalcPartyA,$E964,CalcKeyA,"&lt;="&amp;Calc!$B961)-SUMIFS(CalcWitB,CalcPartyB,$E964,CalcKeyB,"&lt;="&amp;Calc!$B961)+SUMIFS(CalcDepB,CalcPartyB,$E964,CalcKeyB,"&lt;="&amp;Calc!$B961))</f>
        <v/>
      </c>
      <c r="L964" s="4"/>
    </row>
    <row r="965" spans="1:12" x14ac:dyDescent="0.2">
      <c r="A965" s="3" t="str">
        <f>IF($B965="","",COUNTA($B$9:$B965))</f>
        <v/>
      </c>
      <c r="B965" s="4"/>
      <c r="C965" s="4"/>
      <c r="D965" s="4"/>
      <c r="E965" s="4"/>
      <c r="F965" s="3" t="str">
        <f t="shared" si="29"/>
        <v/>
      </c>
      <c r="G965" s="4"/>
      <c r="H965" s="5"/>
      <c r="I965" s="5"/>
      <c r="J965" s="6" t="str">
        <f t="shared" si="28"/>
        <v/>
      </c>
      <c r="K965" s="6" t="str">
        <f>IF(OR($B965="",$E965="",Calc!$B962=""),"",SUMIFS(CalcAmtA,CalcPartyA,$E965,CalcKeyA,"&lt;="&amp;Calc!$B962)-SUMIFS(CalcWitB,CalcPartyB,$E965,CalcKeyB,"&lt;="&amp;Calc!$B962)+SUMIFS(CalcDepB,CalcPartyB,$E965,CalcKeyB,"&lt;="&amp;Calc!$B962))</f>
        <v/>
      </c>
      <c r="L965" s="4"/>
    </row>
    <row r="966" spans="1:12" x14ac:dyDescent="0.2">
      <c r="A966" s="3" t="str">
        <f>IF($B966="","",COUNTA($B$9:$B966))</f>
        <v/>
      </c>
      <c r="B966" s="4"/>
      <c r="C966" s="4"/>
      <c r="D966" s="4"/>
      <c r="E966" s="4"/>
      <c r="F966" s="3" t="str">
        <f t="shared" si="29"/>
        <v/>
      </c>
      <c r="G966" s="4"/>
      <c r="H966" s="5"/>
      <c r="I966" s="5"/>
      <c r="J966" s="6" t="str">
        <f t="shared" ref="J966:J1005" si="30">IF(OR($H966="",$I966=""),"",ROUND($H966*$I966,0))</f>
        <v/>
      </c>
      <c r="K966" s="6" t="str">
        <f>IF(OR($B966="",$E966="",Calc!$B963=""),"",SUMIFS(CalcAmtA,CalcPartyA,$E966,CalcKeyA,"&lt;="&amp;Calc!$B963)-SUMIFS(CalcWitB,CalcPartyB,$E966,CalcKeyB,"&lt;="&amp;Calc!$B963)+SUMIFS(CalcDepB,CalcPartyB,$E966,CalcKeyB,"&lt;="&amp;Calc!$B963))</f>
        <v/>
      </c>
      <c r="L966" s="4"/>
    </row>
    <row r="967" spans="1:12" x14ac:dyDescent="0.2">
      <c r="A967" s="3" t="str">
        <f>IF($B967="","",COUNTA($B$9:$B967))</f>
        <v/>
      </c>
      <c r="B967" s="4"/>
      <c r="C967" s="4"/>
      <c r="D967" s="4"/>
      <c r="E967" s="4"/>
      <c r="F967" s="3" t="str">
        <f t="shared" si="29"/>
        <v/>
      </c>
      <c r="G967" s="4"/>
      <c r="H967" s="5"/>
      <c r="I967" s="5"/>
      <c r="J967" s="6" t="str">
        <f t="shared" si="30"/>
        <v/>
      </c>
      <c r="K967" s="6" t="str">
        <f>IF(OR($B967="",$E967="",Calc!$B964=""),"",SUMIFS(CalcAmtA,CalcPartyA,$E967,CalcKeyA,"&lt;="&amp;Calc!$B964)-SUMIFS(CalcWitB,CalcPartyB,$E967,CalcKeyB,"&lt;="&amp;Calc!$B964)+SUMIFS(CalcDepB,CalcPartyB,$E967,CalcKeyB,"&lt;="&amp;Calc!$B964))</f>
        <v/>
      </c>
      <c r="L967" s="4"/>
    </row>
    <row r="968" spans="1:12" x14ac:dyDescent="0.2">
      <c r="A968" s="3" t="str">
        <f>IF($B968="","",COUNTA($B$9:$B968))</f>
        <v/>
      </c>
      <c r="B968" s="4"/>
      <c r="C968" s="4"/>
      <c r="D968" s="4"/>
      <c r="E968" s="4"/>
      <c r="F968" s="3" t="str">
        <f t="shared" si="29"/>
        <v/>
      </c>
      <c r="G968" s="4"/>
      <c r="H968" s="5"/>
      <c r="I968" s="5"/>
      <c r="J968" s="6" t="str">
        <f t="shared" si="30"/>
        <v/>
      </c>
      <c r="K968" s="6" t="str">
        <f>IF(OR($B968="",$E968="",Calc!$B965=""),"",SUMIFS(CalcAmtA,CalcPartyA,$E968,CalcKeyA,"&lt;="&amp;Calc!$B965)-SUMIFS(CalcWitB,CalcPartyB,$E968,CalcKeyB,"&lt;="&amp;Calc!$B965)+SUMIFS(CalcDepB,CalcPartyB,$E968,CalcKeyB,"&lt;="&amp;Calc!$B965))</f>
        <v/>
      </c>
      <c r="L968" s="4"/>
    </row>
    <row r="969" spans="1:12" x14ac:dyDescent="0.2">
      <c r="A969" s="3" t="str">
        <f>IF($B969="","",COUNTA($B$9:$B969))</f>
        <v/>
      </c>
      <c r="B969" s="4"/>
      <c r="C969" s="4"/>
      <c r="D969" s="4"/>
      <c r="E969" s="4"/>
      <c r="F969" s="3" t="str">
        <f t="shared" ref="F969:F1008" si="31">IF($E969="","",IFERROR(IF(VLOOKUP($E969,AcctTbl,4,0)="","",VLOOKUP($E969,AcctTbl,4,0)),"—"))</f>
        <v/>
      </c>
      <c r="G969" s="4"/>
      <c r="H969" s="5"/>
      <c r="I969" s="5"/>
      <c r="J969" s="6" t="str">
        <f t="shared" si="30"/>
        <v/>
      </c>
      <c r="K969" s="6" t="str">
        <f>IF(OR($B969="",$E969="",Calc!$B966=""),"",SUMIFS(CalcAmtA,CalcPartyA,$E969,CalcKeyA,"&lt;="&amp;Calc!$B966)-SUMIFS(CalcWitB,CalcPartyB,$E969,CalcKeyB,"&lt;="&amp;Calc!$B966)+SUMIFS(CalcDepB,CalcPartyB,$E969,CalcKeyB,"&lt;="&amp;Calc!$B966))</f>
        <v/>
      </c>
      <c r="L969" s="4"/>
    </row>
    <row r="970" spans="1:12" x14ac:dyDescent="0.2">
      <c r="A970" s="3" t="str">
        <f>IF($B970="","",COUNTA($B$9:$B970))</f>
        <v/>
      </c>
      <c r="B970" s="4"/>
      <c r="C970" s="4"/>
      <c r="D970" s="4"/>
      <c r="E970" s="4"/>
      <c r="F970" s="3" t="str">
        <f t="shared" si="31"/>
        <v/>
      </c>
      <c r="G970" s="4"/>
      <c r="H970" s="5"/>
      <c r="I970" s="5"/>
      <c r="J970" s="6" t="str">
        <f t="shared" si="30"/>
        <v/>
      </c>
      <c r="K970" s="6" t="str">
        <f>IF(OR($B970="",$E970="",Calc!$B967=""),"",SUMIFS(CalcAmtA,CalcPartyA,$E970,CalcKeyA,"&lt;="&amp;Calc!$B967)-SUMIFS(CalcWitB,CalcPartyB,$E970,CalcKeyB,"&lt;="&amp;Calc!$B967)+SUMIFS(CalcDepB,CalcPartyB,$E970,CalcKeyB,"&lt;="&amp;Calc!$B967))</f>
        <v/>
      </c>
      <c r="L970" s="4"/>
    </row>
    <row r="971" spans="1:12" x14ac:dyDescent="0.2">
      <c r="A971" s="3" t="str">
        <f>IF($B971="","",COUNTA($B$9:$B971))</f>
        <v/>
      </c>
      <c r="B971" s="4"/>
      <c r="C971" s="4"/>
      <c r="D971" s="4"/>
      <c r="E971" s="4"/>
      <c r="F971" s="3" t="str">
        <f t="shared" si="31"/>
        <v/>
      </c>
      <c r="G971" s="4"/>
      <c r="H971" s="5"/>
      <c r="I971" s="5"/>
      <c r="J971" s="6" t="str">
        <f t="shared" si="30"/>
        <v/>
      </c>
      <c r="K971" s="6" t="str">
        <f>IF(OR($B971="",$E971="",Calc!$B968=""),"",SUMIFS(CalcAmtA,CalcPartyA,$E971,CalcKeyA,"&lt;="&amp;Calc!$B968)-SUMIFS(CalcWitB,CalcPartyB,$E971,CalcKeyB,"&lt;="&amp;Calc!$B968)+SUMIFS(CalcDepB,CalcPartyB,$E971,CalcKeyB,"&lt;="&amp;Calc!$B968))</f>
        <v/>
      </c>
      <c r="L971" s="4"/>
    </row>
    <row r="972" spans="1:12" x14ac:dyDescent="0.2">
      <c r="A972" s="3" t="str">
        <f>IF($B972="","",COUNTA($B$9:$B972))</f>
        <v/>
      </c>
      <c r="B972" s="4"/>
      <c r="C972" s="4"/>
      <c r="D972" s="4"/>
      <c r="E972" s="4"/>
      <c r="F972" s="3" t="str">
        <f t="shared" si="31"/>
        <v/>
      </c>
      <c r="G972" s="4"/>
      <c r="H972" s="5"/>
      <c r="I972" s="5"/>
      <c r="J972" s="6" t="str">
        <f t="shared" si="30"/>
        <v/>
      </c>
      <c r="K972" s="6" t="str">
        <f>IF(OR($B972="",$E972="",Calc!$B969=""),"",SUMIFS(CalcAmtA,CalcPartyA,$E972,CalcKeyA,"&lt;="&amp;Calc!$B969)-SUMIFS(CalcWitB,CalcPartyB,$E972,CalcKeyB,"&lt;="&amp;Calc!$B969)+SUMIFS(CalcDepB,CalcPartyB,$E972,CalcKeyB,"&lt;="&amp;Calc!$B969))</f>
        <v/>
      </c>
      <c r="L972" s="4"/>
    </row>
    <row r="973" spans="1:12" x14ac:dyDescent="0.2">
      <c r="A973" s="3" t="str">
        <f>IF($B973="","",COUNTA($B$9:$B973))</f>
        <v/>
      </c>
      <c r="B973" s="4"/>
      <c r="C973" s="4"/>
      <c r="D973" s="4"/>
      <c r="E973" s="4"/>
      <c r="F973" s="3" t="str">
        <f t="shared" si="31"/>
        <v/>
      </c>
      <c r="G973" s="4"/>
      <c r="H973" s="5"/>
      <c r="I973" s="5"/>
      <c r="J973" s="6" t="str">
        <f t="shared" si="30"/>
        <v/>
      </c>
      <c r="K973" s="6" t="str">
        <f>IF(OR($B973="",$E973="",Calc!$B970=""),"",SUMIFS(CalcAmtA,CalcPartyA,$E973,CalcKeyA,"&lt;="&amp;Calc!$B970)-SUMIFS(CalcWitB,CalcPartyB,$E973,CalcKeyB,"&lt;="&amp;Calc!$B970)+SUMIFS(CalcDepB,CalcPartyB,$E973,CalcKeyB,"&lt;="&amp;Calc!$B970))</f>
        <v/>
      </c>
      <c r="L973" s="4"/>
    </row>
    <row r="974" spans="1:12" x14ac:dyDescent="0.2">
      <c r="A974" s="3" t="str">
        <f>IF($B974="","",COUNTA($B$9:$B974))</f>
        <v/>
      </c>
      <c r="B974" s="4"/>
      <c r="C974" s="4"/>
      <c r="D974" s="4"/>
      <c r="E974" s="4"/>
      <c r="F974" s="3" t="str">
        <f t="shared" si="31"/>
        <v/>
      </c>
      <c r="G974" s="4"/>
      <c r="H974" s="5"/>
      <c r="I974" s="5"/>
      <c r="J974" s="6" t="str">
        <f t="shared" si="30"/>
        <v/>
      </c>
      <c r="K974" s="6" t="str">
        <f>IF(OR($B974="",$E974="",Calc!$B971=""),"",SUMIFS(CalcAmtA,CalcPartyA,$E974,CalcKeyA,"&lt;="&amp;Calc!$B971)-SUMIFS(CalcWitB,CalcPartyB,$E974,CalcKeyB,"&lt;="&amp;Calc!$B971)+SUMIFS(CalcDepB,CalcPartyB,$E974,CalcKeyB,"&lt;="&amp;Calc!$B971))</f>
        <v/>
      </c>
      <c r="L974" s="4"/>
    </row>
    <row r="975" spans="1:12" x14ac:dyDescent="0.2">
      <c r="A975" s="3" t="str">
        <f>IF($B975="","",COUNTA($B$9:$B975))</f>
        <v/>
      </c>
      <c r="B975" s="4"/>
      <c r="C975" s="4"/>
      <c r="D975" s="4"/>
      <c r="E975" s="4"/>
      <c r="F975" s="3" t="str">
        <f t="shared" si="31"/>
        <v/>
      </c>
      <c r="G975" s="4"/>
      <c r="H975" s="5"/>
      <c r="I975" s="5"/>
      <c r="J975" s="6" t="str">
        <f t="shared" si="30"/>
        <v/>
      </c>
      <c r="K975" s="6" t="str">
        <f>IF(OR($B975="",$E975="",Calc!$B972=""),"",SUMIFS(CalcAmtA,CalcPartyA,$E975,CalcKeyA,"&lt;="&amp;Calc!$B972)-SUMIFS(CalcWitB,CalcPartyB,$E975,CalcKeyB,"&lt;="&amp;Calc!$B972)+SUMIFS(CalcDepB,CalcPartyB,$E975,CalcKeyB,"&lt;="&amp;Calc!$B972))</f>
        <v/>
      </c>
      <c r="L975" s="4"/>
    </row>
    <row r="976" spans="1:12" x14ac:dyDescent="0.2">
      <c r="A976" s="3" t="str">
        <f>IF($B976="","",COUNTA($B$9:$B976))</f>
        <v/>
      </c>
      <c r="B976" s="4"/>
      <c r="C976" s="4"/>
      <c r="D976" s="4"/>
      <c r="E976" s="4"/>
      <c r="F976" s="3" t="str">
        <f t="shared" si="31"/>
        <v/>
      </c>
      <c r="G976" s="4"/>
      <c r="H976" s="5"/>
      <c r="I976" s="5"/>
      <c r="J976" s="6" t="str">
        <f t="shared" si="30"/>
        <v/>
      </c>
      <c r="K976" s="6" t="str">
        <f>IF(OR($B976="",$E976="",Calc!$B973=""),"",SUMIFS(CalcAmtA,CalcPartyA,$E976,CalcKeyA,"&lt;="&amp;Calc!$B973)-SUMIFS(CalcWitB,CalcPartyB,$E976,CalcKeyB,"&lt;="&amp;Calc!$B973)+SUMIFS(CalcDepB,CalcPartyB,$E976,CalcKeyB,"&lt;="&amp;Calc!$B973))</f>
        <v/>
      </c>
      <c r="L976" s="4"/>
    </row>
    <row r="977" spans="1:12" x14ac:dyDescent="0.2">
      <c r="A977" s="3" t="str">
        <f>IF($B977="","",COUNTA($B$9:$B977))</f>
        <v/>
      </c>
      <c r="B977" s="4"/>
      <c r="C977" s="4"/>
      <c r="D977" s="4"/>
      <c r="E977" s="4"/>
      <c r="F977" s="3" t="str">
        <f t="shared" si="31"/>
        <v/>
      </c>
      <c r="G977" s="4"/>
      <c r="H977" s="5"/>
      <c r="I977" s="5"/>
      <c r="J977" s="6" t="str">
        <f t="shared" si="30"/>
        <v/>
      </c>
      <c r="K977" s="6" t="str">
        <f>IF(OR($B977="",$E977="",Calc!$B974=""),"",SUMIFS(CalcAmtA,CalcPartyA,$E977,CalcKeyA,"&lt;="&amp;Calc!$B974)-SUMIFS(CalcWitB,CalcPartyB,$E977,CalcKeyB,"&lt;="&amp;Calc!$B974)+SUMIFS(CalcDepB,CalcPartyB,$E977,CalcKeyB,"&lt;="&amp;Calc!$B974))</f>
        <v/>
      </c>
      <c r="L977" s="4"/>
    </row>
    <row r="978" spans="1:12" x14ac:dyDescent="0.2">
      <c r="A978" s="3" t="str">
        <f>IF($B978="","",COUNTA($B$9:$B978))</f>
        <v/>
      </c>
      <c r="B978" s="4"/>
      <c r="C978" s="4"/>
      <c r="D978" s="4"/>
      <c r="E978" s="4"/>
      <c r="F978" s="3" t="str">
        <f t="shared" si="31"/>
        <v/>
      </c>
      <c r="G978" s="4"/>
      <c r="H978" s="5"/>
      <c r="I978" s="5"/>
      <c r="J978" s="6" t="str">
        <f t="shared" si="30"/>
        <v/>
      </c>
      <c r="K978" s="6" t="str">
        <f>IF(OR($B978="",$E978="",Calc!$B975=""),"",SUMIFS(CalcAmtA,CalcPartyA,$E978,CalcKeyA,"&lt;="&amp;Calc!$B975)-SUMIFS(CalcWitB,CalcPartyB,$E978,CalcKeyB,"&lt;="&amp;Calc!$B975)+SUMIFS(CalcDepB,CalcPartyB,$E978,CalcKeyB,"&lt;="&amp;Calc!$B975))</f>
        <v/>
      </c>
      <c r="L978" s="4"/>
    </row>
    <row r="979" spans="1:12" x14ac:dyDescent="0.2">
      <c r="A979" s="3" t="str">
        <f>IF($B979="","",COUNTA($B$9:$B979))</f>
        <v/>
      </c>
      <c r="B979" s="4"/>
      <c r="C979" s="4"/>
      <c r="D979" s="4"/>
      <c r="E979" s="4"/>
      <c r="F979" s="3" t="str">
        <f t="shared" si="31"/>
        <v/>
      </c>
      <c r="G979" s="4"/>
      <c r="H979" s="5"/>
      <c r="I979" s="5"/>
      <c r="J979" s="6" t="str">
        <f t="shared" si="30"/>
        <v/>
      </c>
      <c r="K979" s="6" t="str">
        <f>IF(OR($B979="",$E979="",Calc!$B976=""),"",SUMIFS(CalcAmtA,CalcPartyA,$E979,CalcKeyA,"&lt;="&amp;Calc!$B976)-SUMIFS(CalcWitB,CalcPartyB,$E979,CalcKeyB,"&lt;="&amp;Calc!$B976)+SUMIFS(CalcDepB,CalcPartyB,$E979,CalcKeyB,"&lt;="&amp;Calc!$B976))</f>
        <v/>
      </c>
      <c r="L979" s="4"/>
    </row>
    <row r="980" spans="1:12" x14ac:dyDescent="0.2">
      <c r="A980" s="3" t="str">
        <f>IF($B980="","",COUNTA($B$9:$B980))</f>
        <v/>
      </c>
      <c r="B980" s="4"/>
      <c r="C980" s="4"/>
      <c r="D980" s="4"/>
      <c r="E980" s="4"/>
      <c r="F980" s="3" t="str">
        <f t="shared" si="31"/>
        <v/>
      </c>
      <c r="G980" s="4"/>
      <c r="H980" s="5"/>
      <c r="I980" s="5"/>
      <c r="J980" s="6" t="str">
        <f t="shared" si="30"/>
        <v/>
      </c>
      <c r="K980" s="6" t="str">
        <f>IF(OR($B980="",$E980="",Calc!$B977=""),"",SUMIFS(CalcAmtA,CalcPartyA,$E980,CalcKeyA,"&lt;="&amp;Calc!$B977)-SUMIFS(CalcWitB,CalcPartyB,$E980,CalcKeyB,"&lt;="&amp;Calc!$B977)+SUMIFS(CalcDepB,CalcPartyB,$E980,CalcKeyB,"&lt;="&amp;Calc!$B977))</f>
        <v/>
      </c>
      <c r="L980" s="4"/>
    </row>
    <row r="981" spans="1:12" x14ac:dyDescent="0.2">
      <c r="A981" s="3" t="str">
        <f>IF($B981="","",COUNTA($B$9:$B981))</f>
        <v/>
      </c>
      <c r="B981" s="4"/>
      <c r="C981" s="4"/>
      <c r="D981" s="4"/>
      <c r="E981" s="4"/>
      <c r="F981" s="3" t="str">
        <f t="shared" si="31"/>
        <v/>
      </c>
      <c r="G981" s="4"/>
      <c r="H981" s="5"/>
      <c r="I981" s="5"/>
      <c r="J981" s="6" t="str">
        <f t="shared" si="30"/>
        <v/>
      </c>
      <c r="K981" s="6" t="str">
        <f>IF(OR($B981="",$E981="",Calc!$B978=""),"",SUMIFS(CalcAmtA,CalcPartyA,$E981,CalcKeyA,"&lt;="&amp;Calc!$B978)-SUMIFS(CalcWitB,CalcPartyB,$E981,CalcKeyB,"&lt;="&amp;Calc!$B978)+SUMIFS(CalcDepB,CalcPartyB,$E981,CalcKeyB,"&lt;="&amp;Calc!$B978))</f>
        <v/>
      </c>
      <c r="L981" s="4"/>
    </row>
    <row r="982" spans="1:12" x14ac:dyDescent="0.2">
      <c r="A982" s="3" t="str">
        <f>IF($B982="","",COUNTA($B$9:$B982))</f>
        <v/>
      </c>
      <c r="B982" s="4"/>
      <c r="C982" s="4"/>
      <c r="D982" s="4"/>
      <c r="E982" s="4"/>
      <c r="F982" s="3" t="str">
        <f t="shared" si="31"/>
        <v/>
      </c>
      <c r="G982" s="4"/>
      <c r="H982" s="5"/>
      <c r="I982" s="5"/>
      <c r="J982" s="6" t="str">
        <f t="shared" si="30"/>
        <v/>
      </c>
      <c r="K982" s="6" t="str">
        <f>IF(OR($B982="",$E982="",Calc!$B979=""),"",SUMIFS(CalcAmtA,CalcPartyA,$E982,CalcKeyA,"&lt;="&amp;Calc!$B979)-SUMIFS(CalcWitB,CalcPartyB,$E982,CalcKeyB,"&lt;="&amp;Calc!$B979)+SUMIFS(CalcDepB,CalcPartyB,$E982,CalcKeyB,"&lt;="&amp;Calc!$B979))</f>
        <v/>
      </c>
      <c r="L982" s="4"/>
    </row>
    <row r="983" spans="1:12" x14ac:dyDescent="0.2">
      <c r="A983" s="3" t="str">
        <f>IF($B983="","",COUNTA($B$9:$B983))</f>
        <v/>
      </c>
      <c r="B983" s="4"/>
      <c r="C983" s="4"/>
      <c r="D983" s="4"/>
      <c r="E983" s="4"/>
      <c r="F983" s="3" t="str">
        <f t="shared" si="31"/>
        <v/>
      </c>
      <c r="G983" s="4"/>
      <c r="H983" s="5"/>
      <c r="I983" s="5"/>
      <c r="J983" s="6" t="str">
        <f t="shared" si="30"/>
        <v/>
      </c>
      <c r="K983" s="6" t="str">
        <f>IF(OR($B983="",$E983="",Calc!$B980=""),"",SUMIFS(CalcAmtA,CalcPartyA,$E983,CalcKeyA,"&lt;="&amp;Calc!$B980)-SUMIFS(CalcWitB,CalcPartyB,$E983,CalcKeyB,"&lt;="&amp;Calc!$B980)+SUMIFS(CalcDepB,CalcPartyB,$E983,CalcKeyB,"&lt;="&amp;Calc!$B980))</f>
        <v/>
      </c>
      <c r="L983" s="4"/>
    </row>
    <row r="984" spans="1:12" x14ac:dyDescent="0.2">
      <c r="A984" s="3" t="str">
        <f>IF($B984="","",COUNTA($B$9:$B984))</f>
        <v/>
      </c>
      <c r="B984" s="4"/>
      <c r="C984" s="4"/>
      <c r="D984" s="4"/>
      <c r="E984" s="4"/>
      <c r="F984" s="3" t="str">
        <f t="shared" si="31"/>
        <v/>
      </c>
      <c r="G984" s="4"/>
      <c r="H984" s="5"/>
      <c r="I984" s="5"/>
      <c r="J984" s="6" t="str">
        <f t="shared" si="30"/>
        <v/>
      </c>
      <c r="K984" s="6" t="str">
        <f>IF(OR($B984="",$E984="",Calc!$B981=""),"",SUMIFS(CalcAmtA,CalcPartyA,$E984,CalcKeyA,"&lt;="&amp;Calc!$B981)-SUMIFS(CalcWitB,CalcPartyB,$E984,CalcKeyB,"&lt;="&amp;Calc!$B981)+SUMIFS(CalcDepB,CalcPartyB,$E984,CalcKeyB,"&lt;="&amp;Calc!$B981))</f>
        <v/>
      </c>
      <c r="L984" s="4"/>
    </row>
    <row r="985" spans="1:12" x14ac:dyDescent="0.2">
      <c r="A985" s="3" t="str">
        <f>IF($B985="","",COUNTA($B$9:$B985))</f>
        <v/>
      </c>
      <c r="B985" s="4"/>
      <c r="C985" s="4"/>
      <c r="D985" s="4"/>
      <c r="E985" s="4"/>
      <c r="F985" s="3" t="str">
        <f t="shared" si="31"/>
        <v/>
      </c>
      <c r="G985" s="4"/>
      <c r="H985" s="5"/>
      <c r="I985" s="5"/>
      <c r="J985" s="6" t="str">
        <f t="shared" si="30"/>
        <v/>
      </c>
      <c r="K985" s="6" t="str">
        <f>IF(OR($B985="",$E985="",Calc!$B982=""),"",SUMIFS(CalcAmtA,CalcPartyA,$E985,CalcKeyA,"&lt;="&amp;Calc!$B982)-SUMIFS(CalcWitB,CalcPartyB,$E985,CalcKeyB,"&lt;="&amp;Calc!$B982)+SUMIFS(CalcDepB,CalcPartyB,$E985,CalcKeyB,"&lt;="&amp;Calc!$B982))</f>
        <v/>
      </c>
      <c r="L985" s="4"/>
    </row>
    <row r="986" spans="1:12" x14ac:dyDescent="0.2">
      <c r="A986" s="3" t="str">
        <f>IF($B986="","",COUNTA($B$9:$B986))</f>
        <v/>
      </c>
      <c r="B986" s="4"/>
      <c r="C986" s="4"/>
      <c r="D986" s="4"/>
      <c r="E986" s="4"/>
      <c r="F986" s="3" t="str">
        <f t="shared" si="31"/>
        <v/>
      </c>
      <c r="G986" s="4"/>
      <c r="H986" s="5"/>
      <c r="I986" s="5"/>
      <c r="J986" s="6" t="str">
        <f t="shared" si="30"/>
        <v/>
      </c>
      <c r="K986" s="6" t="str">
        <f>IF(OR($B986="",$E986="",Calc!$B983=""),"",SUMIFS(CalcAmtA,CalcPartyA,$E986,CalcKeyA,"&lt;="&amp;Calc!$B983)-SUMIFS(CalcWitB,CalcPartyB,$E986,CalcKeyB,"&lt;="&amp;Calc!$B983)+SUMIFS(CalcDepB,CalcPartyB,$E986,CalcKeyB,"&lt;="&amp;Calc!$B983))</f>
        <v/>
      </c>
      <c r="L986" s="4"/>
    </row>
    <row r="987" spans="1:12" x14ac:dyDescent="0.2">
      <c r="A987" s="3" t="str">
        <f>IF($B987="","",COUNTA($B$9:$B987))</f>
        <v/>
      </c>
      <c r="B987" s="4"/>
      <c r="C987" s="4"/>
      <c r="D987" s="4"/>
      <c r="E987" s="4"/>
      <c r="F987" s="3" t="str">
        <f t="shared" si="31"/>
        <v/>
      </c>
      <c r="G987" s="4"/>
      <c r="H987" s="5"/>
      <c r="I987" s="5"/>
      <c r="J987" s="6" t="str">
        <f t="shared" si="30"/>
        <v/>
      </c>
      <c r="K987" s="6" t="str">
        <f>IF(OR($B987="",$E987="",Calc!$B984=""),"",SUMIFS(CalcAmtA,CalcPartyA,$E987,CalcKeyA,"&lt;="&amp;Calc!$B984)-SUMIFS(CalcWitB,CalcPartyB,$E987,CalcKeyB,"&lt;="&amp;Calc!$B984)+SUMIFS(CalcDepB,CalcPartyB,$E987,CalcKeyB,"&lt;="&amp;Calc!$B984))</f>
        <v/>
      </c>
      <c r="L987" s="4"/>
    </row>
    <row r="988" spans="1:12" x14ac:dyDescent="0.2">
      <c r="A988" s="3" t="str">
        <f>IF($B988="","",COUNTA($B$9:$B988))</f>
        <v/>
      </c>
      <c r="B988" s="4"/>
      <c r="C988" s="4"/>
      <c r="D988" s="4"/>
      <c r="E988" s="4"/>
      <c r="F988" s="3" t="str">
        <f t="shared" si="31"/>
        <v/>
      </c>
      <c r="G988" s="4"/>
      <c r="H988" s="5"/>
      <c r="I988" s="5"/>
      <c r="J988" s="6" t="str">
        <f t="shared" si="30"/>
        <v/>
      </c>
      <c r="K988" s="6" t="str">
        <f>IF(OR($B988="",$E988="",Calc!$B985=""),"",SUMIFS(CalcAmtA,CalcPartyA,$E988,CalcKeyA,"&lt;="&amp;Calc!$B985)-SUMIFS(CalcWitB,CalcPartyB,$E988,CalcKeyB,"&lt;="&amp;Calc!$B985)+SUMIFS(CalcDepB,CalcPartyB,$E988,CalcKeyB,"&lt;="&amp;Calc!$B985))</f>
        <v/>
      </c>
      <c r="L988" s="4"/>
    </row>
    <row r="989" spans="1:12" x14ac:dyDescent="0.2">
      <c r="A989" s="3" t="str">
        <f>IF($B989="","",COUNTA($B$9:$B989))</f>
        <v/>
      </c>
      <c r="B989" s="4"/>
      <c r="C989" s="4"/>
      <c r="D989" s="4"/>
      <c r="E989" s="4"/>
      <c r="F989" s="3" t="str">
        <f t="shared" si="31"/>
        <v/>
      </c>
      <c r="G989" s="4"/>
      <c r="H989" s="5"/>
      <c r="I989" s="5"/>
      <c r="J989" s="6" t="str">
        <f t="shared" si="30"/>
        <v/>
      </c>
      <c r="K989" s="6" t="str">
        <f>IF(OR($B989="",$E989="",Calc!$B986=""),"",SUMIFS(CalcAmtA,CalcPartyA,$E989,CalcKeyA,"&lt;="&amp;Calc!$B986)-SUMIFS(CalcWitB,CalcPartyB,$E989,CalcKeyB,"&lt;="&amp;Calc!$B986)+SUMIFS(CalcDepB,CalcPartyB,$E989,CalcKeyB,"&lt;="&amp;Calc!$B986))</f>
        <v/>
      </c>
      <c r="L989" s="4"/>
    </row>
    <row r="990" spans="1:12" x14ac:dyDescent="0.2">
      <c r="A990" s="3" t="str">
        <f>IF($B990="","",COUNTA($B$9:$B990))</f>
        <v/>
      </c>
      <c r="B990" s="4"/>
      <c r="C990" s="4"/>
      <c r="D990" s="4"/>
      <c r="E990" s="4"/>
      <c r="F990" s="3" t="str">
        <f t="shared" si="31"/>
        <v/>
      </c>
      <c r="G990" s="4"/>
      <c r="H990" s="5"/>
      <c r="I990" s="5"/>
      <c r="J990" s="6" t="str">
        <f t="shared" si="30"/>
        <v/>
      </c>
      <c r="K990" s="6" t="str">
        <f>IF(OR($B990="",$E990="",Calc!$B987=""),"",SUMIFS(CalcAmtA,CalcPartyA,$E990,CalcKeyA,"&lt;="&amp;Calc!$B987)-SUMIFS(CalcWitB,CalcPartyB,$E990,CalcKeyB,"&lt;="&amp;Calc!$B987)+SUMIFS(CalcDepB,CalcPartyB,$E990,CalcKeyB,"&lt;="&amp;Calc!$B987))</f>
        <v/>
      </c>
      <c r="L990" s="4"/>
    </row>
    <row r="991" spans="1:12" x14ac:dyDescent="0.2">
      <c r="A991" s="3" t="str">
        <f>IF($B991="","",COUNTA($B$9:$B991))</f>
        <v/>
      </c>
      <c r="B991" s="4"/>
      <c r="C991" s="4"/>
      <c r="D991" s="4"/>
      <c r="E991" s="4"/>
      <c r="F991" s="3" t="str">
        <f t="shared" si="31"/>
        <v/>
      </c>
      <c r="G991" s="4"/>
      <c r="H991" s="5"/>
      <c r="I991" s="5"/>
      <c r="J991" s="6" t="str">
        <f t="shared" si="30"/>
        <v/>
      </c>
      <c r="K991" s="6" t="str">
        <f>IF(OR($B991="",$E991="",Calc!$B988=""),"",SUMIFS(CalcAmtA,CalcPartyA,$E991,CalcKeyA,"&lt;="&amp;Calc!$B988)-SUMIFS(CalcWitB,CalcPartyB,$E991,CalcKeyB,"&lt;="&amp;Calc!$B988)+SUMIFS(CalcDepB,CalcPartyB,$E991,CalcKeyB,"&lt;="&amp;Calc!$B988))</f>
        <v/>
      </c>
      <c r="L991" s="4"/>
    </row>
    <row r="992" spans="1:12" x14ac:dyDescent="0.2">
      <c r="A992" s="3" t="str">
        <f>IF($B992="","",COUNTA($B$9:$B992))</f>
        <v/>
      </c>
      <c r="B992" s="4"/>
      <c r="C992" s="4"/>
      <c r="D992" s="4"/>
      <c r="E992" s="4"/>
      <c r="F992" s="3" t="str">
        <f t="shared" si="31"/>
        <v/>
      </c>
      <c r="G992" s="4"/>
      <c r="H992" s="5"/>
      <c r="I992" s="5"/>
      <c r="J992" s="6" t="str">
        <f t="shared" si="30"/>
        <v/>
      </c>
      <c r="K992" s="6" t="str">
        <f>IF(OR($B992="",$E992="",Calc!$B989=""),"",SUMIFS(CalcAmtA,CalcPartyA,$E992,CalcKeyA,"&lt;="&amp;Calc!$B989)-SUMIFS(CalcWitB,CalcPartyB,$E992,CalcKeyB,"&lt;="&amp;Calc!$B989)+SUMIFS(CalcDepB,CalcPartyB,$E992,CalcKeyB,"&lt;="&amp;Calc!$B989))</f>
        <v/>
      </c>
      <c r="L992" s="4"/>
    </row>
    <row r="993" spans="1:12" x14ac:dyDescent="0.2">
      <c r="A993" s="3" t="str">
        <f>IF($B993="","",COUNTA($B$9:$B993))</f>
        <v/>
      </c>
      <c r="B993" s="4"/>
      <c r="C993" s="4"/>
      <c r="D993" s="4"/>
      <c r="E993" s="4"/>
      <c r="F993" s="3" t="str">
        <f t="shared" si="31"/>
        <v/>
      </c>
      <c r="G993" s="4"/>
      <c r="H993" s="5"/>
      <c r="I993" s="5"/>
      <c r="J993" s="6" t="str">
        <f t="shared" si="30"/>
        <v/>
      </c>
      <c r="K993" s="6" t="str">
        <f>IF(OR($B993="",$E993="",Calc!$B990=""),"",SUMIFS(CalcAmtA,CalcPartyA,$E993,CalcKeyA,"&lt;="&amp;Calc!$B990)-SUMIFS(CalcWitB,CalcPartyB,$E993,CalcKeyB,"&lt;="&amp;Calc!$B990)+SUMIFS(CalcDepB,CalcPartyB,$E993,CalcKeyB,"&lt;="&amp;Calc!$B990))</f>
        <v/>
      </c>
      <c r="L993" s="4"/>
    </row>
    <row r="994" spans="1:12" x14ac:dyDescent="0.2">
      <c r="A994" s="3" t="str">
        <f>IF($B994="","",COUNTA($B$9:$B994))</f>
        <v/>
      </c>
      <c r="B994" s="4"/>
      <c r="C994" s="4"/>
      <c r="D994" s="4"/>
      <c r="E994" s="4"/>
      <c r="F994" s="3" t="str">
        <f t="shared" si="31"/>
        <v/>
      </c>
      <c r="G994" s="4"/>
      <c r="H994" s="5"/>
      <c r="I994" s="5"/>
      <c r="J994" s="6" t="str">
        <f t="shared" si="30"/>
        <v/>
      </c>
      <c r="K994" s="6" t="str">
        <f>IF(OR($B994="",$E994="",Calc!$B991=""),"",SUMIFS(CalcAmtA,CalcPartyA,$E994,CalcKeyA,"&lt;="&amp;Calc!$B991)-SUMIFS(CalcWitB,CalcPartyB,$E994,CalcKeyB,"&lt;="&amp;Calc!$B991)+SUMIFS(CalcDepB,CalcPartyB,$E994,CalcKeyB,"&lt;="&amp;Calc!$B991))</f>
        <v/>
      </c>
      <c r="L994" s="4"/>
    </row>
    <row r="995" spans="1:12" x14ac:dyDescent="0.2">
      <c r="A995" s="3" t="str">
        <f>IF($B995="","",COUNTA($B$9:$B995))</f>
        <v/>
      </c>
      <c r="B995" s="4"/>
      <c r="C995" s="4"/>
      <c r="D995" s="4"/>
      <c r="E995" s="4"/>
      <c r="F995" s="3" t="str">
        <f t="shared" si="31"/>
        <v/>
      </c>
      <c r="G995" s="4"/>
      <c r="H995" s="5"/>
      <c r="I995" s="5"/>
      <c r="J995" s="6" t="str">
        <f t="shared" si="30"/>
        <v/>
      </c>
      <c r="K995" s="6" t="str">
        <f>IF(OR($B995="",$E995="",Calc!$B992=""),"",SUMIFS(CalcAmtA,CalcPartyA,$E995,CalcKeyA,"&lt;="&amp;Calc!$B992)-SUMIFS(CalcWitB,CalcPartyB,$E995,CalcKeyB,"&lt;="&amp;Calc!$B992)+SUMIFS(CalcDepB,CalcPartyB,$E995,CalcKeyB,"&lt;="&amp;Calc!$B992))</f>
        <v/>
      </c>
      <c r="L995" s="4"/>
    </row>
    <row r="996" spans="1:12" x14ac:dyDescent="0.2">
      <c r="A996" s="3" t="str">
        <f>IF($B996="","",COUNTA($B$9:$B996))</f>
        <v/>
      </c>
      <c r="B996" s="4"/>
      <c r="C996" s="4"/>
      <c r="D996" s="4"/>
      <c r="E996" s="4"/>
      <c r="F996" s="3" t="str">
        <f t="shared" si="31"/>
        <v/>
      </c>
      <c r="G996" s="4"/>
      <c r="H996" s="5"/>
      <c r="I996" s="5"/>
      <c r="J996" s="6" t="str">
        <f t="shared" si="30"/>
        <v/>
      </c>
      <c r="K996" s="6" t="str">
        <f>IF(OR($B996="",$E996="",Calc!$B993=""),"",SUMIFS(CalcAmtA,CalcPartyA,$E996,CalcKeyA,"&lt;="&amp;Calc!$B993)-SUMIFS(CalcWitB,CalcPartyB,$E996,CalcKeyB,"&lt;="&amp;Calc!$B993)+SUMIFS(CalcDepB,CalcPartyB,$E996,CalcKeyB,"&lt;="&amp;Calc!$B993))</f>
        <v/>
      </c>
      <c r="L996" s="4"/>
    </row>
    <row r="997" spans="1:12" x14ac:dyDescent="0.2">
      <c r="A997" s="3" t="str">
        <f>IF($B997="","",COUNTA($B$9:$B997))</f>
        <v/>
      </c>
      <c r="B997" s="4"/>
      <c r="C997" s="4"/>
      <c r="D997" s="4"/>
      <c r="E997" s="4"/>
      <c r="F997" s="3" t="str">
        <f t="shared" si="31"/>
        <v/>
      </c>
      <c r="G997" s="4"/>
      <c r="H997" s="5"/>
      <c r="I997" s="5"/>
      <c r="J997" s="6" t="str">
        <f t="shared" si="30"/>
        <v/>
      </c>
      <c r="K997" s="6" t="str">
        <f>IF(OR($B997="",$E997="",Calc!$B994=""),"",SUMIFS(CalcAmtA,CalcPartyA,$E997,CalcKeyA,"&lt;="&amp;Calc!$B994)-SUMIFS(CalcWitB,CalcPartyB,$E997,CalcKeyB,"&lt;="&amp;Calc!$B994)+SUMIFS(CalcDepB,CalcPartyB,$E997,CalcKeyB,"&lt;="&amp;Calc!$B994))</f>
        <v/>
      </c>
      <c r="L997" s="4"/>
    </row>
    <row r="998" spans="1:12" x14ac:dyDescent="0.2">
      <c r="A998" s="3" t="str">
        <f>IF($B998="","",COUNTA($B$9:$B998))</f>
        <v/>
      </c>
      <c r="B998" s="4"/>
      <c r="C998" s="4"/>
      <c r="D998" s="4"/>
      <c r="E998" s="4"/>
      <c r="F998" s="3" t="str">
        <f t="shared" si="31"/>
        <v/>
      </c>
      <c r="G998" s="4"/>
      <c r="H998" s="5"/>
      <c r="I998" s="5"/>
      <c r="J998" s="6" t="str">
        <f t="shared" si="30"/>
        <v/>
      </c>
      <c r="K998" s="6" t="str">
        <f>IF(OR($B998="",$E998="",Calc!$B995=""),"",SUMIFS(CalcAmtA,CalcPartyA,$E998,CalcKeyA,"&lt;="&amp;Calc!$B995)-SUMIFS(CalcWitB,CalcPartyB,$E998,CalcKeyB,"&lt;="&amp;Calc!$B995)+SUMIFS(CalcDepB,CalcPartyB,$E998,CalcKeyB,"&lt;="&amp;Calc!$B995))</f>
        <v/>
      </c>
      <c r="L998" s="4"/>
    </row>
    <row r="999" spans="1:12" x14ac:dyDescent="0.2">
      <c r="A999" s="3" t="str">
        <f>IF($B999="","",COUNTA($B$9:$B999))</f>
        <v/>
      </c>
      <c r="B999" s="4"/>
      <c r="C999" s="4"/>
      <c r="D999" s="4"/>
      <c r="E999" s="4"/>
      <c r="F999" s="3" t="str">
        <f t="shared" si="31"/>
        <v/>
      </c>
      <c r="G999" s="4"/>
      <c r="H999" s="5"/>
      <c r="I999" s="5"/>
      <c r="J999" s="6" t="str">
        <f t="shared" si="30"/>
        <v/>
      </c>
      <c r="K999" s="6" t="str">
        <f>IF(OR($B999="",$E999="",Calc!$B996=""),"",SUMIFS(CalcAmtA,CalcPartyA,$E999,CalcKeyA,"&lt;="&amp;Calc!$B996)-SUMIFS(CalcWitB,CalcPartyB,$E999,CalcKeyB,"&lt;="&amp;Calc!$B996)+SUMIFS(CalcDepB,CalcPartyB,$E999,CalcKeyB,"&lt;="&amp;Calc!$B996))</f>
        <v/>
      </c>
      <c r="L999" s="4"/>
    </row>
    <row r="1000" spans="1:12" x14ac:dyDescent="0.2">
      <c r="A1000" s="3" t="str">
        <f>IF($B1000="","",COUNTA($B$9:$B1000))</f>
        <v/>
      </c>
      <c r="B1000" s="4"/>
      <c r="C1000" s="4"/>
      <c r="D1000" s="4"/>
      <c r="E1000" s="4"/>
      <c r="F1000" s="3" t="str">
        <f t="shared" si="31"/>
        <v/>
      </c>
      <c r="G1000" s="4"/>
      <c r="H1000" s="5"/>
      <c r="I1000" s="5"/>
      <c r="J1000" s="6" t="str">
        <f t="shared" si="30"/>
        <v/>
      </c>
      <c r="K1000" s="6" t="str">
        <f>IF(OR($B1000="",$E1000="",Calc!$B997=""),"",SUMIFS(CalcAmtA,CalcPartyA,$E1000,CalcKeyA,"&lt;="&amp;Calc!$B997)-SUMIFS(CalcWitB,CalcPartyB,$E1000,CalcKeyB,"&lt;="&amp;Calc!$B997)+SUMIFS(CalcDepB,CalcPartyB,$E1000,CalcKeyB,"&lt;="&amp;Calc!$B997))</f>
        <v/>
      </c>
      <c r="L1000" s="4"/>
    </row>
    <row r="1001" spans="1:12" x14ac:dyDescent="0.2">
      <c r="A1001" s="3" t="str">
        <f>IF($B1001="","",COUNTA($B$9:$B1001))</f>
        <v/>
      </c>
      <c r="B1001" s="4"/>
      <c r="C1001" s="4"/>
      <c r="D1001" s="4"/>
      <c r="E1001" s="4"/>
      <c r="F1001" s="3" t="str">
        <f t="shared" si="31"/>
        <v/>
      </c>
      <c r="G1001" s="4"/>
      <c r="H1001" s="5"/>
      <c r="I1001" s="5"/>
      <c r="J1001" s="6" t="str">
        <f t="shared" si="30"/>
        <v/>
      </c>
      <c r="K1001" s="6" t="str">
        <f>IF(OR($B1001="",$E1001="",Calc!$B998=""),"",SUMIFS(CalcAmtA,CalcPartyA,$E1001,CalcKeyA,"&lt;="&amp;Calc!$B998)-SUMIFS(CalcWitB,CalcPartyB,$E1001,CalcKeyB,"&lt;="&amp;Calc!$B998)+SUMIFS(CalcDepB,CalcPartyB,$E1001,CalcKeyB,"&lt;="&amp;Calc!$B998))</f>
        <v/>
      </c>
      <c r="L1001" s="4"/>
    </row>
    <row r="1002" spans="1:12" x14ac:dyDescent="0.2">
      <c r="A1002" s="3" t="str">
        <f>IF($B1002="","",COUNTA($B$9:$B1002))</f>
        <v/>
      </c>
      <c r="B1002" s="4"/>
      <c r="C1002" s="4"/>
      <c r="D1002" s="4"/>
      <c r="E1002" s="4"/>
      <c r="F1002" s="3" t="str">
        <f t="shared" si="31"/>
        <v/>
      </c>
      <c r="G1002" s="4"/>
      <c r="H1002" s="5"/>
      <c r="I1002" s="5"/>
      <c r="J1002" s="6" t="str">
        <f t="shared" si="30"/>
        <v/>
      </c>
      <c r="K1002" s="6" t="str">
        <f>IF(OR($B1002="",$E1002="",Calc!$B999=""),"",SUMIFS(CalcAmtA,CalcPartyA,$E1002,CalcKeyA,"&lt;="&amp;Calc!$B999)-SUMIFS(CalcWitB,CalcPartyB,$E1002,CalcKeyB,"&lt;="&amp;Calc!$B999)+SUMIFS(CalcDepB,CalcPartyB,$E1002,CalcKeyB,"&lt;="&amp;Calc!$B999))</f>
        <v/>
      </c>
      <c r="L1002" s="4"/>
    </row>
    <row r="1003" spans="1:12" x14ac:dyDescent="0.2">
      <c r="A1003" s="3" t="str">
        <f>IF($B1003="","",COUNTA($B$9:$B1003))</f>
        <v/>
      </c>
      <c r="B1003" s="4"/>
      <c r="C1003" s="4"/>
      <c r="D1003" s="4"/>
      <c r="E1003" s="4"/>
      <c r="F1003" s="3" t="str">
        <f t="shared" si="31"/>
        <v/>
      </c>
      <c r="G1003" s="4"/>
      <c r="H1003" s="5"/>
      <c r="I1003" s="5"/>
      <c r="J1003" s="6" t="str">
        <f t="shared" si="30"/>
        <v/>
      </c>
      <c r="K1003" s="6" t="str">
        <f>IF(OR($B1003="",$E1003="",Calc!$B1000=""),"",SUMIFS(CalcAmtA,CalcPartyA,$E1003,CalcKeyA,"&lt;="&amp;Calc!$B1000)-SUMIFS(CalcWitB,CalcPartyB,$E1003,CalcKeyB,"&lt;="&amp;Calc!$B1000)+SUMIFS(CalcDepB,CalcPartyB,$E1003,CalcKeyB,"&lt;="&amp;Calc!$B1000))</f>
        <v/>
      </c>
      <c r="L1003" s="4"/>
    </row>
    <row r="1004" spans="1:12" x14ac:dyDescent="0.2">
      <c r="A1004" s="3" t="str">
        <f>IF($B1004="","",COUNTA($B$9:$B1004))</f>
        <v/>
      </c>
      <c r="B1004" s="4"/>
      <c r="C1004" s="4"/>
      <c r="D1004" s="4"/>
      <c r="E1004" s="4"/>
      <c r="F1004" s="3" t="str">
        <f t="shared" si="31"/>
        <v/>
      </c>
      <c r="G1004" s="4"/>
      <c r="H1004" s="5"/>
      <c r="I1004" s="5"/>
      <c r="J1004" s="6" t="str">
        <f t="shared" si="30"/>
        <v/>
      </c>
      <c r="K1004" s="6" t="str">
        <f>IF(OR($B1004="",$E1004="",Calc!$B1001=""),"",SUMIFS(CalcAmtA,CalcPartyA,$E1004,CalcKeyA,"&lt;="&amp;Calc!$B1001)-SUMIFS(CalcWitB,CalcPartyB,$E1004,CalcKeyB,"&lt;="&amp;Calc!$B1001)+SUMIFS(CalcDepB,CalcPartyB,$E1004,CalcKeyB,"&lt;="&amp;Calc!$B1001))</f>
        <v/>
      </c>
      <c r="L1004" s="4"/>
    </row>
    <row r="1005" spans="1:12" x14ac:dyDescent="0.2">
      <c r="A1005" s="3" t="str">
        <f>IF($B1005="","",COUNTA($B$9:$B1005))</f>
        <v/>
      </c>
      <c r="B1005" s="4"/>
      <c r="C1005" s="4"/>
      <c r="D1005" s="4"/>
      <c r="E1005" s="4"/>
      <c r="F1005" s="3" t="str">
        <f t="shared" si="31"/>
        <v/>
      </c>
      <c r="G1005" s="4"/>
      <c r="H1005" s="5"/>
      <c r="I1005" s="5"/>
      <c r="J1005" s="6" t="str">
        <f t="shared" si="30"/>
        <v/>
      </c>
      <c r="K1005" s="6" t="str">
        <f>IF(OR($B1005="",$E1005="",Calc!$B1002=""),"",SUMIFS(CalcAmtA,CalcPartyA,$E1005,CalcKeyA,"&lt;="&amp;Calc!$B1002)-SUMIFS(CalcWitB,CalcPartyB,$E1005,CalcKeyB,"&lt;="&amp;Calc!$B1002)+SUMIFS(CalcDepB,CalcPartyB,$E1005,CalcKeyB,"&lt;="&amp;Calc!$B1002))</f>
        <v/>
      </c>
      <c r="L1005" s="4"/>
    </row>
    <row r="1006" spans="1:12" x14ac:dyDescent="0.2">
      <c r="A1006" s="3" t="str">
        <f>IF($B1006="","",COUNTA($B$9:$B1006))</f>
        <v/>
      </c>
      <c r="B1006" s="4"/>
      <c r="C1006" s="4"/>
      <c r="D1006" s="4"/>
      <c r="E1006" s="4"/>
      <c r="F1006" s="3" t="str">
        <f t="shared" si="31"/>
        <v/>
      </c>
      <c r="K1006" s="6" t="str">
        <f>IF(OR($B1006="",$E1006="",Calc!$B1003=""),"",SUMIFS(CalcAmtA,CalcPartyA,$E1006,CalcKeyA,"&lt;="&amp;Calc!$B1003)-SUMIFS(CalcWitB,CalcPartyB,$E1006,CalcKeyB,"&lt;="&amp;Calc!$B1003)+SUMIFS(CalcDepB,CalcPartyB,$E1006,CalcKeyB,"&lt;="&amp;Calc!$B1003))</f>
        <v/>
      </c>
      <c r="L1006" s="4"/>
    </row>
    <row r="1007" spans="1:12" x14ac:dyDescent="0.2">
      <c r="A1007" s="3" t="str">
        <f>IF($B1007="","",COUNTA($B$9:$B1007))</f>
        <v/>
      </c>
      <c r="B1007" s="4"/>
      <c r="C1007" s="4"/>
      <c r="D1007" s="4"/>
      <c r="E1007" s="4"/>
      <c r="F1007" s="3" t="str">
        <f t="shared" si="31"/>
        <v/>
      </c>
      <c r="K1007" s="6" t="str">
        <f>IF(OR($B1007="",$E1007="",Calc!$B1004=""),"",SUMIFS(CalcAmtA,CalcPartyA,$E1007,CalcKeyA,"&lt;="&amp;Calc!$B1004)-SUMIFS(CalcWitB,CalcPartyB,$E1007,CalcKeyB,"&lt;="&amp;Calc!$B1004)+SUMIFS(CalcDepB,CalcPartyB,$E1007,CalcKeyB,"&lt;="&amp;Calc!$B1004))</f>
        <v/>
      </c>
      <c r="L1007" s="4"/>
    </row>
    <row r="1008" spans="1:12" x14ac:dyDescent="0.2">
      <c r="A1008" s="3" t="str">
        <f>IF($B1008="","",COUNTA($B$9:$B1008))</f>
        <v/>
      </c>
      <c r="B1008" s="4"/>
      <c r="C1008" s="4"/>
      <c r="D1008" s="4"/>
      <c r="E1008" s="4"/>
      <c r="F1008" s="3" t="str">
        <f t="shared" si="31"/>
        <v/>
      </c>
      <c r="K1008" s="6" t="str">
        <f>IF(OR($B1008="",$E1008="",Calc!$B1005=""),"",SUMIFS(CalcAmtA,CalcPartyA,$E1008,CalcKeyA,"&lt;="&amp;Calc!$B1005)-SUMIFS(CalcWitB,CalcPartyB,$E1008,CalcKeyB,"&lt;="&amp;Calc!$B1005)+SUMIFS(CalcDepB,CalcPartyB,$E1008,CalcKeyB,"&lt;="&amp;Calc!$B1005))</f>
        <v/>
      </c>
      <c r="L1008" s="4"/>
    </row>
  </sheetData>
  <mergeCells count="4">
    <mergeCell ref="A3:L3"/>
    <mergeCell ref="A2:L2"/>
    <mergeCell ref="A1:L1"/>
    <mergeCell ref="A4:L4"/>
  </mergeCells>
  <conditionalFormatting sqref="K9:K1008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E9:E1008">
    <cfRule type="expression" dxfId="3" priority="3">
      <formula>AND($E9&lt;&gt;"",COUNTIF(AcctCodes,$E9)=0)</formula>
    </cfRule>
  </conditionalFormatting>
  <dataValidations xWindow="243" yWindow="240" count="1">
    <dataValidation type="custom" errorStyle="warning" allowBlank="1" showInputMessage="1" showErrorMessage="1" errorTitle="کد فروشنده نامعتبر" error="کد از فایل INFO (شیت Accounts) — مثل S004. برای تعریف فروشنده جدید، در INFO ردیف خالی بعدی را پر کنید." promptTitle="کد فروشنده سبد" prompt="کد حساب فروشنده سبد (مثل S004) — نام و مانده خودکار می‌آید." sqref="E9:E1008">
      <formula1>OR($E9="",COUNTIF(AcctCodes,$E9)&gt;0)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دفتر سبد — خرید سبد و ظروف&amp;R&amp;"Tahoma"&amp;8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ignoredErrors>
    <ignoredError sqref="K10:K12 K14:K15" evalError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xWindow="243" yWindow="240" count="1">
        <x14:dataValidation type="list" allowBlank="1" showInputMessage="1" promptTitle="نوع سبد" prompt="از INFO ← شیت Baskets (BK…) — انواع جدید را آنجا تعریف کنید.">
          <x14:formula1>
            <xm:f>OFFSET(Sync!$H$6,0,0,COUNTA(Sync!$H$6:$H$35),1)</xm:f>
          </x14:formula1>
          <xm:sqref>G9:G1005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D32"/>
    <pageSetUpPr fitToPage="1"/>
  </sheetPr>
  <dimension ref="A1:N2016"/>
  <sheetViews>
    <sheetView showGridLines="0" rightToLeft="1" zoomScale="95" workbookViewId="0">
      <pane ySplit="16" topLeftCell="A17" activePane="bottomLeft" state="frozen"/>
      <selection pane="bottomLeft" activeCell="C6" sqref="C6:K6"/>
    </sheetView>
  </sheetViews>
  <sheetFormatPr defaultRowHeight="14.25" x14ac:dyDescent="0.2"/>
  <cols>
    <col min="1" max="1" width="5.5" customWidth="1"/>
    <col min="2" max="2" width="11" customWidth="1"/>
    <col min="3" max="3" width="13" customWidth="1"/>
    <col min="4" max="4" width="22" customWidth="1"/>
    <col min="5" max="5" width="14" customWidth="1"/>
    <col min="6" max="6" width="9" customWidth="1"/>
    <col min="7" max="7" width="11" customWidth="1"/>
    <col min="8" max="8" width="14" customWidth="1"/>
    <col min="9" max="9" width="15" customWidth="1"/>
    <col min="10" max="10" width="16" customWidth="1"/>
    <col min="11" max="11" width="26" customWidth="1"/>
    <col min="13" max="14" width="6" customWidth="1"/>
  </cols>
  <sheetData>
    <row r="1" spans="1:11" ht="26.1" customHeight="1" x14ac:dyDescent="0.2">
      <c r="A1" s="28" t="str">
        <f>IF(Sync!$N$6="","مازندشت",Sync!$N$6)&amp;" — "&amp;IF(Sync!$N$9="","سورتینگ و بسته‌بندی مرکبات",Sync!$N$9)</f>
        <v>250000000 — 90000000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4" customHeight="1" x14ac:dyDescent="0.2">
      <c r="A3" s="26" t="str">
        <f>"کارتکس فروشنده سبد — "&amp;IFERROR(IF(VLOOKUP($C$5,AcctTbl,4,0)="","(بدون عنوان)",VLOOKUP($C$5,AcctTbl,4,0)),"کد را وارد کنید")</f>
        <v>کارتکس فروشنده سبد — حسن کوچکزاده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1" ht="15" x14ac:dyDescent="0.2">
      <c r="A5" s="39" t="s">
        <v>27</v>
      </c>
      <c r="B5" s="39"/>
      <c r="C5" s="37" t="s">
        <v>134</v>
      </c>
      <c r="D5" s="37"/>
      <c r="E5" s="38" t="s">
        <v>28</v>
      </c>
      <c r="F5" s="38"/>
      <c r="G5" s="38"/>
      <c r="H5" s="38"/>
      <c r="I5" s="38"/>
      <c r="J5" s="38"/>
      <c r="K5" s="38"/>
    </row>
    <row r="6" spans="1:11" ht="17.100000000000001" customHeight="1" x14ac:dyDescent="0.2">
      <c r="A6" s="34" t="s">
        <v>29</v>
      </c>
      <c r="B6" s="34"/>
      <c r="C6" s="36" t="str">
        <f>IFERROR(IF(VLOOKUP($C$5,AcctTbl,4,0)="","(بدون عنوان)",VLOOKUP($C$5,AcctTbl,4,0)),"—")</f>
        <v>حسن کوچکزاده</v>
      </c>
      <c r="D6" s="36"/>
      <c r="E6" s="36"/>
      <c r="F6" s="36"/>
      <c r="G6" s="36"/>
      <c r="H6" s="36"/>
      <c r="I6" s="36"/>
      <c r="J6" s="36"/>
      <c r="K6" s="36"/>
    </row>
    <row r="7" spans="1:11" ht="17.100000000000001" customHeight="1" x14ac:dyDescent="0.2">
      <c r="A7" s="34" t="s">
        <v>30</v>
      </c>
      <c r="B7" s="34"/>
      <c r="C7" s="36" t="str">
        <f>IFERROR(IF(VLOOKUP($C$5,AcctTbl,3,0)="",VLOOKUP($C$5,AcctTbl,2,0),VLOOKUP($C$5,AcctTbl,2,0)&amp;" — "&amp;VLOOKUP($C$5,AcctTbl,3,0)),"—")</f>
        <v>تأمین‌کننده — فروشنده سبد</v>
      </c>
      <c r="D7" s="36"/>
      <c r="E7" s="36"/>
      <c r="F7" s="36"/>
      <c r="G7" s="36"/>
      <c r="H7" s="36"/>
      <c r="I7" s="36"/>
      <c r="J7" s="36"/>
      <c r="K7" s="36"/>
    </row>
    <row r="8" spans="1:11" x14ac:dyDescent="0.2">
      <c r="A8" s="34" t="s">
        <v>31</v>
      </c>
      <c r="B8" s="34"/>
      <c r="C8" s="35">
        <v>0</v>
      </c>
      <c r="D8" s="35"/>
      <c r="E8" s="38" t="s">
        <v>32</v>
      </c>
      <c r="F8" s="38"/>
      <c r="G8" s="38"/>
      <c r="H8" s="38"/>
      <c r="I8" s="38"/>
      <c r="J8" s="38"/>
      <c r="K8" s="38"/>
    </row>
    <row r="10" spans="1:11" ht="12.95" customHeight="1" x14ac:dyDescent="0.2">
      <c r="A10" s="33" t="s">
        <v>33</v>
      </c>
      <c r="B10" s="33"/>
      <c r="C10" s="33" t="s">
        <v>34</v>
      </c>
      <c r="D10" s="33"/>
      <c r="E10" s="33" t="s">
        <v>35</v>
      </c>
      <c r="F10" s="33"/>
      <c r="G10" s="33" t="s">
        <v>36</v>
      </c>
      <c r="H10" s="33"/>
      <c r="I10" s="33" t="s">
        <v>37</v>
      </c>
      <c r="J10" s="33"/>
      <c r="K10" s="33"/>
    </row>
    <row r="11" spans="1:11" ht="21.95" customHeight="1" x14ac:dyDescent="0.2">
      <c r="A11" s="30" t="e">
        <f>SUM($I$17:$I$2016)</f>
        <v>#REF!</v>
      </c>
      <c r="B11" s="30"/>
      <c r="C11" s="30">
        <f>SUM($H$17:$H$2016)</f>
        <v>95000000</v>
      </c>
      <c r="D11" s="30"/>
      <c r="E11" s="30">
        <f>SUM($E$17:$E$2016)</f>
        <v>0</v>
      </c>
      <c r="F11" s="30"/>
      <c r="G11" s="30">
        <f>IFERROR(LOOKUP(9.99E+307,$J$17:$J$2016),$C$8)</f>
        <v>-15000000</v>
      </c>
      <c r="H11" s="30"/>
      <c r="I11" s="31" t="str">
        <f>IF($G$11&gt;0,"● بستانکار — به او بدهکاریم",IF($G$11&lt;0,"● بدهکار — به ما بدهکار است","= تسویه شده"))</f>
        <v>● بدهکار — به ما بدهکار است</v>
      </c>
      <c r="J11" s="31"/>
      <c r="K11" s="31"/>
    </row>
    <row r="13" spans="1:11" ht="12.95" customHeight="1" x14ac:dyDescent="0.2">
      <c r="A13" s="33" t="s">
        <v>38</v>
      </c>
      <c r="B13" s="33"/>
      <c r="C13" s="33" t="s">
        <v>39</v>
      </c>
      <c r="D13" s="33"/>
      <c r="E13" s="33" t="s">
        <v>40</v>
      </c>
      <c r="F13" s="33"/>
      <c r="G13" s="33" t="s">
        <v>41</v>
      </c>
      <c r="H13" s="33"/>
    </row>
    <row r="14" spans="1:11" ht="21.95" customHeight="1" x14ac:dyDescent="0.2">
      <c r="A14" s="30" t="e">
        <f>SUM($F$17:$F$2016)</f>
        <v>#REF!</v>
      </c>
      <c r="B14" s="30"/>
      <c r="C14" s="32">
        <f>COUNTIF($C$17:$C$2016,"خرید سبد")</f>
        <v>30</v>
      </c>
      <c r="D14" s="32"/>
      <c r="E14" s="32">
        <f>COUNTIF($C$17:$C$2016,"پرداخت بانکی")+COUNTIF($C$17:$C$2016,"دریافت بانکی")</f>
        <v>2</v>
      </c>
      <c r="F14" s="32"/>
      <c r="G14" s="31" t="str">
        <f>IF(COUNT($J$17:$J$2016)=0,"—",INDEX($B$17:$B$2016,COUNT($J$17:$J$2016)))</f>
        <v>1405/07/07</v>
      </c>
      <c r="H14" s="31"/>
    </row>
    <row r="15" spans="1:11" ht="30" customHeight="1" x14ac:dyDescent="0.2">
      <c r="A15" s="1" t="s">
        <v>2</v>
      </c>
      <c r="B15" s="1" t="s">
        <v>3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10</v>
      </c>
      <c r="H15" s="1" t="s">
        <v>46</v>
      </c>
      <c r="I15" s="1" t="s">
        <v>47</v>
      </c>
      <c r="J15" s="1" t="s">
        <v>48</v>
      </c>
      <c r="K15" s="1" t="s">
        <v>13</v>
      </c>
    </row>
    <row r="16" spans="1:11" ht="12.95" customHeight="1" x14ac:dyDescent="0.2">
      <c r="A16" s="2" t="s">
        <v>14</v>
      </c>
      <c r="B16" s="2" t="s">
        <v>15</v>
      </c>
      <c r="C16" s="2" t="s">
        <v>49</v>
      </c>
      <c r="D16" s="2" t="s">
        <v>50</v>
      </c>
      <c r="E16" s="2" t="s">
        <v>51</v>
      </c>
      <c r="F16" s="2" t="s">
        <v>21</v>
      </c>
      <c r="G16" s="2" t="s">
        <v>22</v>
      </c>
      <c r="H16" s="2" t="s">
        <v>52</v>
      </c>
      <c r="I16" s="2" t="s">
        <v>53</v>
      </c>
      <c r="J16" s="2" t="s">
        <v>54</v>
      </c>
      <c r="K16" s="2" t="s">
        <v>25</v>
      </c>
    </row>
    <row r="17" spans="1:14" x14ac:dyDescent="0.2">
      <c r="A17" s="7">
        <v>1</v>
      </c>
      <c r="B17" s="8" t="str">
        <f t="shared" ref="B17:B80" si="0">IF(AND($M17="",$N17=""),"",IF($M17&lt;&gt;"",INDEX(CalcDateA,$M17),INDEX(CalcDateB,$N17)))</f>
        <v>1405/07/07</v>
      </c>
      <c r="C17" s="8" t="str">
        <f t="shared" ref="C17:C80" si="1">IF($M17&lt;&gt;"","خرید سبد",IF($N17&lt;&gt;"",IF(N(INDEX(CalcDepB,$N17))&gt;0,"دریافت بانکی","پرداخت بانکی"),""))</f>
        <v>پرداخت بانکی</v>
      </c>
      <c r="D17" s="8" t="str">
        <f t="shared" ref="D17:D80" si="2">IF($M17&lt;&gt;"",IF(INDEX(CalcDocA,$M17)="","—",INDEX(CalcDocA,$M17)),IF($N17&lt;&gt;"",INDEX(CalcBankB,$N17),""))</f>
        <v>BANK01 – ملت — جاری شرکت</v>
      </c>
      <c r="E17" s="9" t="str">
        <f t="shared" ref="E17:E80" si="3">IF($N17&lt;&gt;"",IF(INDEX(CalcDepB,$N17)=0,"",INDEX(CalcDepB,$N17)),"")</f>
        <v/>
      </c>
      <c r="F17" s="9" t="str">
        <f t="shared" ref="F17:F80" si="4">IF($M17&lt;&gt;"",IF(INDEX(CalcQtyA,$M17)=0,"",INDEX(CalcQtyA,$M17)),"")</f>
        <v/>
      </c>
      <c r="G17" s="9" t="str">
        <f t="shared" ref="G17:G80" si="5">IF($M17&lt;&gt;"",IF(INDEX(CalcPriceA,$M17)=0,"",INDEX(CalcPriceA,$M17)),"")</f>
        <v/>
      </c>
      <c r="H17" s="9">
        <f t="shared" ref="H17:H80" si="6">IF($N17&lt;&gt;"",IF(INDEX(CalcWitB,$N17)=0,"",INDEX(CalcWitB,$N17)),"")</f>
        <v>15000000</v>
      </c>
      <c r="I17" s="10" t="str">
        <f t="shared" ref="I17:I80" si="7">IF($M17&lt;&gt;"",INDEX(CalcAmtA,$M17),"")</f>
        <v/>
      </c>
      <c r="J17" s="10">
        <f>IF($B17="","",$C$8+IF($I17="",0,$I17)+IF($E17="",0,$E17)-IF($H17="",0,$H17))</f>
        <v>-15000000</v>
      </c>
      <c r="K17" s="11" t="str">
        <f t="shared" ref="K17:K80" si="8">IF($M17&lt;&gt;"",IF(INDEX(CalcNoteA,$M17)="","—",INDEX(CalcNoteA,$M17)),IF($N17&lt;&gt;"",IF(INDEX(CalcNoteB,$N17)="","—",INDEX(CalcNoteB,$N17)),""))</f>
        <v>پیش‌پرداخت باغ آقای رستمی (نمونه)</v>
      </c>
      <c r="M17" t="str">
        <f>IFERROR(MATCH($C$5&amp;"|"&amp;RIGHT("000000"&amp;1,6),CalcRankKeyA,0),"")</f>
        <v/>
      </c>
      <c r="N17">
        <f>IFERROR(MATCH($C$5&amp;"|"&amp;RIGHT("000000"&amp;1,6),CalcRankKeyB,0),"")</f>
        <v>13</v>
      </c>
    </row>
    <row r="18" spans="1:14" x14ac:dyDescent="0.2">
      <c r="A18" s="12">
        <v>2</v>
      </c>
      <c r="B18" s="13" t="str">
        <f t="shared" si="0"/>
        <v>1405/07/13</v>
      </c>
      <c r="C18" s="13" t="str">
        <f t="shared" si="1"/>
        <v>خرید سبد</v>
      </c>
      <c r="D18" s="13">
        <f t="shared" si="2"/>
        <v>0</v>
      </c>
      <c r="E18" s="14" t="str">
        <f t="shared" si="3"/>
        <v/>
      </c>
      <c r="F18" s="14" t="e">
        <f t="shared" si="4"/>
        <v>#REF!</v>
      </c>
      <c r="G18" s="14" t="e">
        <f t="shared" si="5"/>
        <v>#REF!</v>
      </c>
      <c r="H18" s="14" t="str">
        <f t="shared" si="6"/>
        <v/>
      </c>
      <c r="I18" s="15" t="e">
        <f t="shared" si="7"/>
        <v>#REF!</v>
      </c>
      <c r="J18" s="15" t="e">
        <f t="shared" ref="J18:J81" si="9">IF($B18="","",IF($J17="",$C$8,$J17)+IF($I18="",0,$I18)+IF($E18="",0,$E18)-IF($H18="",0,$H18))</f>
        <v>#REF!</v>
      </c>
      <c r="K18" s="16">
        <f t="shared" si="8"/>
        <v>0</v>
      </c>
      <c r="M18">
        <f>IFERROR(MATCH($C$5&amp;"|"&amp;RIGHT("000000"&amp;2,6),CalcRankKeyA,0),"")</f>
        <v>1</v>
      </c>
      <c r="N18" t="str">
        <f>IFERROR(MATCH($C$5&amp;"|"&amp;RIGHT("000000"&amp;2,6),CalcRankKeyB,0),"")</f>
        <v/>
      </c>
    </row>
    <row r="19" spans="1:14" x14ac:dyDescent="0.2">
      <c r="A19" s="7">
        <v>3</v>
      </c>
      <c r="B19" s="8" t="str">
        <f t="shared" si="0"/>
        <v>1405/07/13</v>
      </c>
      <c r="C19" s="8" t="str">
        <f t="shared" si="1"/>
        <v>خرید سبد</v>
      </c>
      <c r="D19" s="8">
        <f t="shared" si="2"/>
        <v>0</v>
      </c>
      <c r="E19" s="9" t="str">
        <f t="shared" si="3"/>
        <v/>
      </c>
      <c r="F19" s="9" t="e">
        <f t="shared" si="4"/>
        <v>#REF!</v>
      </c>
      <c r="G19" s="9" t="e">
        <f t="shared" si="5"/>
        <v>#REF!</v>
      </c>
      <c r="H19" s="9" t="str">
        <f t="shared" si="6"/>
        <v/>
      </c>
      <c r="I19" s="10" t="e">
        <f t="shared" si="7"/>
        <v>#REF!</v>
      </c>
      <c r="J19" s="10" t="e">
        <f t="shared" si="9"/>
        <v>#REF!</v>
      </c>
      <c r="K19" s="11">
        <f t="shared" si="8"/>
        <v>0</v>
      </c>
      <c r="M19">
        <f>IFERROR(MATCH($C$5&amp;"|"&amp;RIGHT("000000"&amp;3,6),CalcRankKeyA,0),"")</f>
        <v>2</v>
      </c>
      <c r="N19" t="str">
        <f>IFERROR(MATCH($C$5&amp;"|"&amp;RIGHT("000000"&amp;3,6),CalcRankKeyB,0),"")</f>
        <v/>
      </c>
    </row>
    <row r="20" spans="1:14" x14ac:dyDescent="0.2">
      <c r="A20" s="12">
        <v>4</v>
      </c>
      <c r="B20" s="13" t="str">
        <f t="shared" si="0"/>
        <v>1405/07/13</v>
      </c>
      <c r="C20" s="13" t="str">
        <f t="shared" si="1"/>
        <v>خرید سبد</v>
      </c>
      <c r="D20" s="13">
        <f t="shared" si="2"/>
        <v>0</v>
      </c>
      <c r="E20" s="14" t="str">
        <f t="shared" si="3"/>
        <v/>
      </c>
      <c r="F20" s="14" t="e">
        <f t="shared" si="4"/>
        <v>#REF!</v>
      </c>
      <c r="G20" s="14" t="e">
        <f t="shared" si="5"/>
        <v>#REF!</v>
      </c>
      <c r="H20" s="14" t="str">
        <f t="shared" si="6"/>
        <v/>
      </c>
      <c r="I20" s="15" t="e">
        <f t="shared" si="7"/>
        <v>#REF!</v>
      </c>
      <c r="J20" s="15" t="e">
        <f t="shared" si="9"/>
        <v>#REF!</v>
      </c>
      <c r="K20" s="16">
        <f t="shared" si="8"/>
        <v>0</v>
      </c>
      <c r="M20">
        <f>IFERROR(MATCH($C$5&amp;"|"&amp;RIGHT("000000"&amp;4,6),CalcRankKeyA,0),"")</f>
        <v>3</v>
      </c>
      <c r="N20" t="str">
        <f>IFERROR(MATCH($C$5&amp;"|"&amp;RIGHT("000000"&amp;4,6),CalcRankKeyB,0),"")</f>
        <v/>
      </c>
    </row>
    <row r="21" spans="1:14" x14ac:dyDescent="0.2">
      <c r="A21" s="7">
        <v>5</v>
      </c>
      <c r="B21" s="8" t="str">
        <f t="shared" si="0"/>
        <v>1405/07/13</v>
      </c>
      <c r="C21" s="8" t="str">
        <f t="shared" si="1"/>
        <v>خرید سبد</v>
      </c>
      <c r="D21" s="8">
        <f t="shared" si="2"/>
        <v>0</v>
      </c>
      <c r="E21" s="9" t="str">
        <f t="shared" si="3"/>
        <v/>
      </c>
      <c r="F21" s="9">
        <f t="shared" si="4"/>
        <v>637</v>
      </c>
      <c r="G21" s="9">
        <f t="shared" si="5"/>
        <v>25000</v>
      </c>
      <c r="H21" s="9" t="str">
        <f t="shared" si="6"/>
        <v/>
      </c>
      <c r="I21" s="10">
        <f t="shared" si="7"/>
        <v>15925000</v>
      </c>
      <c r="J21" s="10" t="e">
        <f t="shared" si="9"/>
        <v>#REF!</v>
      </c>
      <c r="K21" s="11">
        <f t="shared" si="8"/>
        <v>0</v>
      </c>
      <c r="M21">
        <f>IFERROR(MATCH($C$5&amp;"|"&amp;RIGHT("000000"&amp;5,6),CalcRankKeyA,0),"")</f>
        <v>4</v>
      </c>
      <c r="N21" t="str">
        <f>IFERROR(MATCH($C$5&amp;"|"&amp;RIGHT("000000"&amp;5,6),CalcRankKeyB,0),"")</f>
        <v/>
      </c>
    </row>
    <row r="22" spans="1:14" x14ac:dyDescent="0.2">
      <c r="A22" s="12">
        <v>6</v>
      </c>
      <c r="B22" s="13" t="str">
        <f t="shared" si="0"/>
        <v>1405/07/15</v>
      </c>
      <c r="C22" s="13" t="str">
        <f t="shared" si="1"/>
        <v>پرداخت بانکی</v>
      </c>
      <c r="D22" s="13" t="str">
        <f t="shared" si="2"/>
        <v>BANK01 – ملت — جاری شرکت</v>
      </c>
      <c r="E22" s="14" t="str">
        <f t="shared" si="3"/>
        <v/>
      </c>
      <c r="F22" s="14" t="str">
        <f t="shared" si="4"/>
        <v/>
      </c>
      <c r="G22" s="14" t="str">
        <f t="shared" si="5"/>
        <v/>
      </c>
      <c r="H22" s="14">
        <f t="shared" si="6"/>
        <v>80000000</v>
      </c>
      <c r="I22" s="15" t="str">
        <f t="shared" si="7"/>
        <v/>
      </c>
      <c r="J22" s="15" t="e">
        <f t="shared" si="9"/>
        <v>#REF!</v>
      </c>
      <c r="K22" s="16" t="str">
        <f t="shared" si="8"/>
        <v>پاس شدن چک ۲۴۰۱۲۳۴۵ — تسویه خرید باغ (نمونه)</v>
      </c>
      <c r="M22" t="str">
        <f>IFERROR(MATCH($C$5&amp;"|"&amp;RIGHT("000000"&amp;6,6),CalcRankKeyA,0),"")</f>
        <v/>
      </c>
      <c r="N22">
        <f>IFERROR(MATCH($C$5&amp;"|"&amp;RIGHT("000000"&amp;6,6),CalcRankKeyB,0),"")</f>
        <v>14</v>
      </c>
    </row>
    <row r="23" spans="1:14" x14ac:dyDescent="0.2">
      <c r="A23" s="7">
        <v>7</v>
      </c>
      <c r="B23" s="8" t="str">
        <f t="shared" si="0"/>
        <v>1405/07/16</v>
      </c>
      <c r="C23" s="8" t="str">
        <f t="shared" si="1"/>
        <v>خرید سبد</v>
      </c>
      <c r="D23" s="8">
        <f t="shared" si="2"/>
        <v>0</v>
      </c>
      <c r="E23" s="9" t="str">
        <f t="shared" si="3"/>
        <v/>
      </c>
      <c r="F23" s="9">
        <f t="shared" si="4"/>
        <v>650</v>
      </c>
      <c r="G23" s="9">
        <f t="shared" si="5"/>
        <v>5000</v>
      </c>
      <c r="H23" s="9" t="str">
        <f t="shared" si="6"/>
        <v/>
      </c>
      <c r="I23" s="10">
        <f t="shared" si="7"/>
        <v>3250000</v>
      </c>
      <c r="J23" s="10" t="e">
        <f t="shared" si="9"/>
        <v>#REF!</v>
      </c>
      <c r="K23" s="11">
        <f t="shared" si="8"/>
        <v>0</v>
      </c>
      <c r="M23">
        <f>IFERROR(MATCH($C$5&amp;"|"&amp;RIGHT("000000"&amp;7,6),CalcRankKeyA,0),"")</f>
        <v>5</v>
      </c>
      <c r="N23" t="str">
        <f>IFERROR(MATCH($C$5&amp;"|"&amp;RIGHT("000000"&amp;7,6),CalcRankKeyB,0),"")</f>
        <v/>
      </c>
    </row>
    <row r="24" spans="1:14" x14ac:dyDescent="0.2">
      <c r="A24" s="12">
        <v>8</v>
      </c>
      <c r="B24" s="13" t="str">
        <f t="shared" si="0"/>
        <v>1405/07/16</v>
      </c>
      <c r="C24" s="13" t="str">
        <f t="shared" si="1"/>
        <v>خرید سبد</v>
      </c>
      <c r="D24" s="13">
        <f t="shared" si="2"/>
        <v>0</v>
      </c>
      <c r="E24" s="14" t="str">
        <f t="shared" si="3"/>
        <v/>
      </c>
      <c r="F24" s="14">
        <f t="shared" si="4"/>
        <v>637</v>
      </c>
      <c r="G24" s="14">
        <f t="shared" si="5"/>
        <v>25000</v>
      </c>
      <c r="H24" s="14" t="str">
        <f t="shared" si="6"/>
        <v/>
      </c>
      <c r="I24" s="15">
        <f t="shared" si="7"/>
        <v>15925000</v>
      </c>
      <c r="J24" s="15" t="e">
        <f t="shared" si="9"/>
        <v>#REF!</v>
      </c>
      <c r="K24" s="16">
        <f t="shared" si="8"/>
        <v>0</v>
      </c>
      <c r="M24">
        <f>IFERROR(MATCH($C$5&amp;"|"&amp;RIGHT("000000"&amp;8,6),CalcRankKeyA,0),"")</f>
        <v>6</v>
      </c>
      <c r="N24" t="str">
        <f>IFERROR(MATCH($C$5&amp;"|"&amp;RIGHT("000000"&amp;8,6),CalcRankKeyB,0),"")</f>
        <v/>
      </c>
    </row>
    <row r="25" spans="1:14" x14ac:dyDescent="0.2">
      <c r="A25" s="7">
        <v>9</v>
      </c>
      <c r="B25" s="8" t="str">
        <f t="shared" si="0"/>
        <v>1405/07/17</v>
      </c>
      <c r="C25" s="8" t="str">
        <f t="shared" si="1"/>
        <v>خرید سبد</v>
      </c>
      <c r="D25" s="8">
        <f t="shared" si="2"/>
        <v>0</v>
      </c>
      <c r="E25" s="9" t="str">
        <f t="shared" si="3"/>
        <v/>
      </c>
      <c r="F25" s="9">
        <f t="shared" si="4"/>
        <v>650</v>
      </c>
      <c r="G25" s="9">
        <f t="shared" si="5"/>
        <v>5000</v>
      </c>
      <c r="H25" s="9" t="str">
        <f t="shared" si="6"/>
        <v/>
      </c>
      <c r="I25" s="10">
        <f t="shared" si="7"/>
        <v>3250000</v>
      </c>
      <c r="J25" s="10" t="e">
        <f t="shared" si="9"/>
        <v>#REF!</v>
      </c>
      <c r="K25" s="11">
        <f t="shared" si="8"/>
        <v>0</v>
      </c>
      <c r="M25">
        <f>IFERROR(MATCH($C$5&amp;"|"&amp;RIGHT("000000"&amp;9,6),CalcRankKeyA,0),"")</f>
        <v>7</v>
      </c>
      <c r="N25" t="str">
        <f>IFERROR(MATCH($C$5&amp;"|"&amp;RIGHT("000000"&amp;9,6),CalcRankKeyB,0),"")</f>
        <v/>
      </c>
    </row>
    <row r="26" spans="1:14" x14ac:dyDescent="0.2">
      <c r="A26" s="12">
        <v>10</v>
      </c>
      <c r="B26" s="13" t="str">
        <f t="shared" si="0"/>
        <v>1405/07/17</v>
      </c>
      <c r="C26" s="13" t="str">
        <f t="shared" si="1"/>
        <v>خرید سبد</v>
      </c>
      <c r="D26" s="13">
        <f t="shared" si="2"/>
        <v>0</v>
      </c>
      <c r="E26" s="14" t="str">
        <f t="shared" si="3"/>
        <v/>
      </c>
      <c r="F26" s="14">
        <f t="shared" si="4"/>
        <v>749</v>
      </c>
      <c r="G26" s="14">
        <f t="shared" si="5"/>
        <v>25000</v>
      </c>
      <c r="H26" s="14" t="str">
        <f t="shared" si="6"/>
        <v/>
      </c>
      <c r="I26" s="15">
        <f t="shared" si="7"/>
        <v>18725000</v>
      </c>
      <c r="J26" s="15" t="e">
        <f t="shared" si="9"/>
        <v>#REF!</v>
      </c>
      <c r="K26" s="16">
        <f t="shared" si="8"/>
        <v>0</v>
      </c>
      <c r="M26">
        <f>IFERROR(MATCH($C$5&amp;"|"&amp;RIGHT("000000"&amp;10,6),CalcRankKeyA,0),"")</f>
        <v>8</v>
      </c>
      <c r="N26" t="str">
        <f>IFERROR(MATCH($C$5&amp;"|"&amp;RIGHT("000000"&amp;10,6),CalcRankKeyB,0),"")</f>
        <v/>
      </c>
    </row>
    <row r="27" spans="1:14" x14ac:dyDescent="0.2">
      <c r="A27" s="7">
        <v>11</v>
      </c>
      <c r="B27" s="8" t="str">
        <f t="shared" si="0"/>
        <v>1405/07/17</v>
      </c>
      <c r="C27" s="8" t="str">
        <f t="shared" si="1"/>
        <v>خرید سبد</v>
      </c>
      <c r="D27" s="8">
        <f t="shared" si="2"/>
        <v>0</v>
      </c>
      <c r="E27" s="9" t="str">
        <f t="shared" si="3"/>
        <v/>
      </c>
      <c r="F27" s="9">
        <f t="shared" si="4"/>
        <v>800</v>
      </c>
      <c r="G27" s="9">
        <f t="shared" si="5"/>
        <v>5000</v>
      </c>
      <c r="H27" s="9" t="str">
        <f t="shared" si="6"/>
        <v/>
      </c>
      <c r="I27" s="10">
        <f t="shared" si="7"/>
        <v>4000000</v>
      </c>
      <c r="J27" s="10" t="e">
        <f t="shared" si="9"/>
        <v>#REF!</v>
      </c>
      <c r="K27" s="11">
        <f t="shared" si="8"/>
        <v>0</v>
      </c>
      <c r="M27">
        <f>IFERROR(MATCH($C$5&amp;"|"&amp;RIGHT("000000"&amp;11,6),CalcRankKeyA,0),"")</f>
        <v>9</v>
      </c>
      <c r="N27" t="str">
        <f>IFERROR(MATCH($C$5&amp;"|"&amp;RIGHT("000000"&amp;11,6),CalcRankKeyB,0),"")</f>
        <v/>
      </c>
    </row>
    <row r="28" spans="1:14" x14ac:dyDescent="0.2">
      <c r="A28" s="12">
        <v>12</v>
      </c>
      <c r="B28" s="13" t="str">
        <f t="shared" si="0"/>
        <v>1405/07/17</v>
      </c>
      <c r="C28" s="13" t="str">
        <f t="shared" si="1"/>
        <v>خرید سبد</v>
      </c>
      <c r="D28" s="13">
        <f t="shared" si="2"/>
        <v>0</v>
      </c>
      <c r="E28" s="14" t="str">
        <f t="shared" si="3"/>
        <v/>
      </c>
      <c r="F28" s="14">
        <f t="shared" si="4"/>
        <v>749</v>
      </c>
      <c r="G28" s="14">
        <f t="shared" si="5"/>
        <v>25000</v>
      </c>
      <c r="H28" s="14" t="str">
        <f t="shared" si="6"/>
        <v/>
      </c>
      <c r="I28" s="15">
        <f t="shared" si="7"/>
        <v>18725000</v>
      </c>
      <c r="J28" s="15" t="e">
        <f t="shared" si="9"/>
        <v>#REF!</v>
      </c>
      <c r="K28" s="16">
        <f t="shared" si="8"/>
        <v>0</v>
      </c>
      <c r="M28">
        <f>IFERROR(MATCH($C$5&amp;"|"&amp;RIGHT("000000"&amp;12,6),CalcRankKeyA,0),"")</f>
        <v>10</v>
      </c>
      <c r="N28" t="str">
        <f>IFERROR(MATCH($C$5&amp;"|"&amp;RIGHT("000000"&amp;12,6),CalcRankKeyB,0),"")</f>
        <v/>
      </c>
    </row>
    <row r="29" spans="1:14" x14ac:dyDescent="0.2">
      <c r="A29" s="7">
        <v>13</v>
      </c>
      <c r="B29" s="8" t="str">
        <f t="shared" si="0"/>
        <v>1405/07/17</v>
      </c>
      <c r="C29" s="8" t="str">
        <f t="shared" si="1"/>
        <v>خرید سبد</v>
      </c>
      <c r="D29" s="8">
        <f t="shared" si="2"/>
        <v>0</v>
      </c>
      <c r="E29" s="9" t="str">
        <f t="shared" si="3"/>
        <v/>
      </c>
      <c r="F29" s="9">
        <f t="shared" si="4"/>
        <v>800</v>
      </c>
      <c r="G29" s="9">
        <f t="shared" si="5"/>
        <v>5000</v>
      </c>
      <c r="H29" s="9" t="str">
        <f t="shared" si="6"/>
        <v/>
      </c>
      <c r="I29" s="10">
        <f t="shared" si="7"/>
        <v>4000000</v>
      </c>
      <c r="J29" s="10" t="e">
        <f t="shared" si="9"/>
        <v>#REF!</v>
      </c>
      <c r="K29" s="11">
        <f t="shared" si="8"/>
        <v>0</v>
      </c>
      <c r="M29">
        <f>IFERROR(MATCH($C$5&amp;"|"&amp;RIGHT("000000"&amp;13,6),CalcRankKeyA,0),"")</f>
        <v>11</v>
      </c>
      <c r="N29" t="str">
        <f>IFERROR(MATCH($C$5&amp;"|"&amp;RIGHT("000000"&amp;13,6),CalcRankKeyB,0),"")</f>
        <v/>
      </c>
    </row>
    <row r="30" spans="1:14" x14ac:dyDescent="0.2">
      <c r="A30" s="12">
        <v>14</v>
      </c>
      <c r="B30" s="13" t="str">
        <f t="shared" si="0"/>
        <v>1405/07/17</v>
      </c>
      <c r="C30" s="13" t="str">
        <f t="shared" si="1"/>
        <v>خرید سبد</v>
      </c>
      <c r="D30" s="13">
        <f t="shared" si="2"/>
        <v>0</v>
      </c>
      <c r="E30" s="14" t="str">
        <f t="shared" si="3"/>
        <v/>
      </c>
      <c r="F30" s="14">
        <f t="shared" si="4"/>
        <v>749</v>
      </c>
      <c r="G30" s="14">
        <f t="shared" si="5"/>
        <v>25000</v>
      </c>
      <c r="H30" s="14" t="str">
        <f t="shared" si="6"/>
        <v/>
      </c>
      <c r="I30" s="15">
        <f t="shared" si="7"/>
        <v>18725000</v>
      </c>
      <c r="J30" s="15" t="e">
        <f t="shared" si="9"/>
        <v>#REF!</v>
      </c>
      <c r="K30" s="16">
        <f t="shared" si="8"/>
        <v>0</v>
      </c>
      <c r="M30">
        <f>IFERROR(MATCH($C$5&amp;"|"&amp;RIGHT("000000"&amp;14,6),CalcRankKeyA,0),"")</f>
        <v>12</v>
      </c>
      <c r="N30" t="str">
        <f>IFERROR(MATCH($C$5&amp;"|"&amp;RIGHT("000000"&amp;14,6),CalcRankKeyB,0),"")</f>
        <v/>
      </c>
    </row>
    <row r="31" spans="1:14" x14ac:dyDescent="0.2">
      <c r="A31" s="7">
        <v>15</v>
      </c>
      <c r="B31" s="8" t="str">
        <f t="shared" si="0"/>
        <v>1405/07/19</v>
      </c>
      <c r="C31" s="8" t="str">
        <f t="shared" si="1"/>
        <v>خرید سبد</v>
      </c>
      <c r="D31" s="8">
        <f t="shared" si="2"/>
        <v>0</v>
      </c>
      <c r="E31" s="9" t="str">
        <f t="shared" si="3"/>
        <v/>
      </c>
      <c r="F31" s="9">
        <f t="shared" si="4"/>
        <v>960</v>
      </c>
      <c r="G31" s="9">
        <f t="shared" si="5"/>
        <v>17500</v>
      </c>
      <c r="H31" s="9" t="str">
        <f t="shared" si="6"/>
        <v/>
      </c>
      <c r="I31" s="10">
        <f t="shared" si="7"/>
        <v>16800000</v>
      </c>
      <c r="J31" s="10" t="e">
        <f t="shared" si="9"/>
        <v>#REF!</v>
      </c>
      <c r="K31" s="11">
        <f t="shared" si="8"/>
        <v>0</v>
      </c>
      <c r="M31">
        <f>IFERROR(MATCH($C$5&amp;"|"&amp;RIGHT("000000"&amp;15,6),CalcRankKeyA,0),"")</f>
        <v>19</v>
      </c>
      <c r="N31" t="str">
        <f>IFERROR(MATCH($C$5&amp;"|"&amp;RIGHT("000000"&amp;15,6),CalcRankKeyB,0),"")</f>
        <v/>
      </c>
    </row>
    <row r="32" spans="1:14" x14ac:dyDescent="0.2">
      <c r="A32" s="12">
        <v>16</v>
      </c>
      <c r="B32" s="13" t="str">
        <f t="shared" si="0"/>
        <v>1405/07/20</v>
      </c>
      <c r="C32" s="13" t="str">
        <f t="shared" si="1"/>
        <v>خرید سبد</v>
      </c>
      <c r="D32" s="13">
        <f t="shared" si="2"/>
        <v>0</v>
      </c>
      <c r="E32" s="14" t="str">
        <f t="shared" si="3"/>
        <v/>
      </c>
      <c r="F32" s="14">
        <f t="shared" si="4"/>
        <v>3840</v>
      </c>
      <c r="G32" s="14">
        <f t="shared" si="5"/>
        <v>15000</v>
      </c>
      <c r="H32" s="14" t="str">
        <f t="shared" si="6"/>
        <v/>
      </c>
      <c r="I32" s="15">
        <f t="shared" si="7"/>
        <v>57600000</v>
      </c>
      <c r="J32" s="15" t="e">
        <f t="shared" si="9"/>
        <v>#REF!</v>
      </c>
      <c r="K32" s="16">
        <f t="shared" si="8"/>
        <v>0</v>
      </c>
      <c r="M32">
        <f>IFERROR(MATCH($C$5&amp;"|"&amp;RIGHT("000000"&amp;16,6),CalcRankKeyA,0),"")</f>
        <v>20</v>
      </c>
      <c r="N32" t="str">
        <f>IFERROR(MATCH($C$5&amp;"|"&amp;RIGHT("000000"&amp;16,6),CalcRankKeyB,0),"")</f>
        <v/>
      </c>
    </row>
    <row r="33" spans="1:14" x14ac:dyDescent="0.2">
      <c r="A33" s="7">
        <v>17</v>
      </c>
      <c r="B33" s="8" t="str">
        <f t="shared" si="0"/>
        <v>1405/07/20</v>
      </c>
      <c r="C33" s="8" t="str">
        <f t="shared" si="1"/>
        <v>خرید سبد</v>
      </c>
      <c r="D33" s="8">
        <f t="shared" si="2"/>
        <v>0</v>
      </c>
      <c r="E33" s="9" t="str">
        <f t="shared" si="3"/>
        <v/>
      </c>
      <c r="F33" s="9">
        <f t="shared" si="4"/>
        <v>1000</v>
      </c>
      <c r="G33" s="9">
        <f t="shared" si="5"/>
        <v>16000</v>
      </c>
      <c r="H33" s="9" t="str">
        <f t="shared" si="6"/>
        <v/>
      </c>
      <c r="I33" s="10">
        <f t="shared" si="7"/>
        <v>16000000</v>
      </c>
      <c r="J33" s="10" t="e">
        <f t="shared" si="9"/>
        <v>#REF!</v>
      </c>
      <c r="K33" s="11">
        <f t="shared" si="8"/>
        <v>0</v>
      </c>
      <c r="M33">
        <f>IFERROR(MATCH($C$5&amp;"|"&amp;RIGHT("000000"&amp;17,6),CalcRankKeyA,0),"")</f>
        <v>21</v>
      </c>
      <c r="N33" t="str">
        <f>IFERROR(MATCH($C$5&amp;"|"&amp;RIGHT("000000"&amp;17,6),CalcRankKeyB,0),"")</f>
        <v/>
      </c>
    </row>
    <row r="34" spans="1:14" x14ac:dyDescent="0.2">
      <c r="A34" s="12">
        <v>18</v>
      </c>
      <c r="B34" s="13" t="str">
        <f t="shared" si="0"/>
        <v>1405/07/23</v>
      </c>
      <c r="C34" s="13" t="str">
        <f t="shared" si="1"/>
        <v>خرید سبد</v>
      </c>
      <c r="D34" s="13">
        <f t="shared" si="2"/>
        <v>0</v>
      </c>
      <c r="E34" s="14" t="str">
        <f t="shared" si="3"/>
        <v/>
      </c>
      <c r="F34" s="14">
        <f t="shared" si="4"/>
        <v>565</v>
      </c>
      <c r="G34" s="14">
        <f t="shared" si="5"/>
        <v>45000</v>
      </c>
      <c r="H34" s="14" t="str">
        <f t="shared" si="6"/>
        <v/>
      </c>
      <c r="I34" s="15">
        <f t="shared" si="7"/>
        <v>25425000</v>
      </c>
      <c r="J34" s="15" t="e">
        <f t="shared" si="9"/>
        <v>#REF!</v>
      </c>
      <c r="K34" s="16">
        <f t="shared" si="8"/>
        <v>0</v>
      </c>
      <c r="M34">
        <f>IFERROR(MATCH($C$5&amp;"|"&amp;RIGHT("000000"&amp;18,6),CalcRankKeyA,0),"")</f>
        <v>22</v>
      </c>
      <c r="N34" t="str">
        <f>IFERROR(MATCH($C$5&amp;"|"&amp;RIGHT("000000"&amp;18,6),CalcRankKeyB,0),"")</f>
        <v/>
      </c>
    </row>
    <row r="35" spans="1:14" x14ac:dyDescent="0.2">
      <c r="A35" s="7">
        <v>19</v>
      </c>
      <c r="B35" s="8" t="str">
        <f t="shared" si="0"/>
        <v>1405/07/24</v>
      </c>
      <c r="C35" s="8" t="str">
        <f t="shared" si="1"/>
        <v>خرید سبد</v>
      </c>
      <c r="D35" s="8">
        <f t="shared" si="2"/>
        <v>0</v>
      </c>
      <c r="E35" s="9" t="str">
        <f t="shared" si="3"/>
        <v/>
      </c>
      <c r="F35" s="9">
        <f t="shared" si="4"/>
        <v>805</v>
      </c>
      <c r="G35" s="9">
        <f t="shared" si="5"/>
        <v>45000</v>
      </c>
      <c r="H35" s="9" t="str">
        <f t="shared" si="6"/>
        <v/>
      </c>
      <c r="I35" s="10">
        <f t="shared" si="7"/>
        <v>36225000</v>
      </c>
      <c r="J35" s="10" t="e">
        <f t="shared" si="9"/>
        <v>#REF!</v>
      </c>
      <c r="K35" s="11">
        <f t="shared" si="8"/>
        <v>0</v>
      </c>
      <c r="M35">
        <f>IFERROR(MATCH($C$5&amp;"|"&amp;RIGHT("000000"&amp;19,6),CalcRankKeyA,0),"")</f>
        <v>23</v>
      </c>
      <c r="N35" t="str">
        <f>IFERROR(MATCH($C$5&amp;"|"&amp;RIGHT("000000"&amp;19,6),CalcRankKeyB,0),"")</f>
        <v/>
      </c>
    </row>
    <row r="36" spans="1:14" x14ac:dyDescent="0.2">
      <c r="A36" s="12">
        <v>20</v>
      </c>
      <c r="B36" s="13" t="str">
        <f t="shared" si="0"/>
        <v>1405/07/25</v>
      </c>
      <c r="C36" s="13" t="str">
        <f t="shared" si="1"/>
        <v>خرید سبد</v>
      </c>
      <c r="D36" s="13">
        <f t="shared" si="2"/>
        <v>0</v>
      </c>
      <c r="E36" s="14" t="str">
        <f t="shared" si="3"/>
        <v/>
      </c>
      <c r="F36" s="14">
        <f t="shared" si="4"/>
        <v>1420</v>
      </c>
      <c r="G36" s="14">
        <f t="shared" si="5"/>
        <v>16000</v>
      </c>
      <c r="H36" s="14" t="str">
        <f t="shared" si="6"/>
        <v/>
      </c>
      <c r="I36" s="15">
        <f t="shared" si="7"/>
        <v>22720000</v>
      </c>
      <c r="J36" s="15" t="e">
        <f t="shared" si="9"/>
        <v>#REF!</v>
      </c>
      <c r="K36" s="16">
        <f t="shared" si="8"/>
        <v>0</v>
      </c>
      <c r="M36">
        <f>IFERROR(MATCH($C$5&amp;"|"&amp;RIGHT("000000"&amp;20,6),CalcRankKeyA,0),"")</f>
        <v>30</v>
      </c>
      <c r="N36" t="str">
        <f>IFERROR(MATCH($C$5&amp;"|"&amp;RIGHT("000000"&amp;20,6),CalcRankKeyB,0),"")</f>
        <v/>
      </c>
    </row>
    <row r="37" spans="1:14" x14ac:dyDescent="0.2">
      <c r="A37" s="7">
        <v>21</v>
      </c>
      <c r="B37" s="8" t="str">
        <f t="shared" si="0"/>
        <v>1405/07/25</v>
      </c>
      <c r="C37" s="8" t="str">
        <f t="shared" si="1"/>
        <v>خرید سبد</v>
      </c>
      <c r="D37" s="8">
        <f t="shared" si="2"/>
        <v>0</v>
      </c>
      <c r="E37" s="9" t="str">
        <f t="shared" si="3"/>
        <v/>
      </c>
      <c r="F37" s="9">
        <f t="shared" si="4"/>
        <v>704</v>
      </c>
      <c r="G37" s="9">
        <f t="shared" si="5"/>
        <v>15000</v>
      </c>
      <c r="H37" s="9" t="str">
        <f t="shared" si="6"/>
        <v/>
      </c>
      <c r="I37" s="10">
        <f t="shared" si="7"/>
        <v>10560000</v>
      </c>
      <c r="J37" s="10" t="e">
        <f t="shared" si="9"/>
        <v>#REF!</v>
      </c>
      <c r="K37" s="11">
        <f t="shared" si="8"/>
        <v>0</v>
      </c>
      <c r="M37">
        <f>IFERROR(MATCH($C$5&amp;"|"&amp;RIGHT("000000"&amp;21,6),CalcRankKeyA,0),"")</f>
        <v>31</v>
      </c>
      <c r="N37" t="str">
        <f>IFERROR(MATCH($C$5&amp;"|"&amp;RIGHT("000000"&amp;21,6),CalcRankKeyB,0),"")</f>
        <v/>
      </c>
    </row>
    <row r="38" spans="1:14" x14ac:dyDescent="0.2">
      <c r="A38" s="12">
        <v>22</v>
      </c>
      <c r="B38" s="13" t="str">
        <f t="shared" si="0"/>
        <v>1405/07/26</v>
      </c>
      <c r="C38" s="13" t="str">
        <f t="shared" si="1"/>
        <v>خرید سبد</v>
      </c>
      <c r="D38" s="13">
        <f t="shared" si="2"/>
        <v>0</v>
      </c>
      <c r="E38" s="14" t="str">
        <f t="shared" si="3"/>
        <v/>
      </c>
      <c r="F38" s="14">
        <f t="shared" si="4"/>
        <v>2300</v>
      </c>
      <c r="G38" s="14">
        <f t="shared" si="5"/>
        <v>16000</v>
      </c>
      <c r="H38" s="14" t="str">
        <f t="shared" si="6"/>
        <v/>
      </c>
      <c r="I38" s="15">
        <f t="shared" si="7"/>
        <v>36800000</v>
      </c>
      <c r="J38" s="15" t="e">
        <f t="shared" si="9"/>
        <v>#REF!</v>
      </c>
      <c r="K38" s="16">
        <f t="shared" si="8"/>
        <v>0</v>
      </c>
      <c r="M38">
        <f>IFERROR(MATCH($C$5&amp;"|"&amp;RIGHT("000000"&amp;22,6),CalcRankKeyA,0),"")</f>
        <v>32</v>
      </c>
      <c r="N38" t="str">
        <f>IFERROR(MATCH($C$5&amp;"|"&amp;RIGHT("000000"&amp;22,6),CalcRankKeyB,0),"")</f>
        <v/>
      </c>
    </row>
    <row r="39" spans="1:14" x14ac:dyDescent="0.2">
      <c r="A39" s="7">
        <v>23</v>
      </c>
      <c r="B39" s="8" t="str">
        <f t="shared" si="0"/>
        <v>1405/07/26</v>
      </c>
      <c r="C39" s="8" t="str">
        <f t="shared" si="1"/>
        <v>خرید سبد</v>
      </c>
      <c r="D39" s="8">
        <f t="shared" si="2"/>
        <v>0</v>
      </c>
      <c r="E39" s="9" t="str">
        <f t="shared" si="3"/>
        <v/>
      </c>
      <c r="F39" s="9">
        <f t="shared" si="4"/>
        <v>420</v>
      </c>
      <c r="G39" s="9">
        <f t="shared" si="5"/>
        <v>25000</v>
      </c>
      <c r="H39" s="9" t="str">
        <f t="shared" si="6"/>
        <v/>
      </c>
      <c r="I39" s="10">
        <f t="shared" si="7"/>
        <v>10500000</v>
      </c>
      <c r="J39" s="10" t="e">
        <f t="shared" si="9"/>
        <v>#REF!</v>
      </c>
      <c r="K39" s="11">
        <f t="shared" si="8"/>
        <v>0</v>
      </c>
      <c r="M39">
        <f>IFERROR(MATCH($C$5&amp;"|"&amp;RIGHT("000000"&amp;23,6),CalcRankKeyA,0),"")</f>
        <v>33</v>
      </c>
      <c r="N39" t="str">
        <f>IFERROR(MATCH($C$5&amp;"|"&amp;RIGHT("000000"&amp;23,6),CalcRankKeyB,0),"")</f>
        <v/>
      </c>
    </row>
    <row r="40" spans="1:14" x14ac:dyDescent="0.2">
      <c r="A40" s="12">
        <v>24</v>
      </c>
      <c r="B40" s="13" t="str">
        <f t="shared" si="0"/>
        <v>1405/07/28</v>
      </c>
      <c r="C40" s="13" t="str">
        <f t="shared" si="1"/>
        <v>خرید سبد</v>
      </c>
      <c r="D40" s="13">
        <f t="shared" si="2"/>
        <v>0</v>
      </c>
      <c r="E40" s="14" t="str">
        <f t="shared" si="3"/>
        <v/>
      </c>
      <c r="F40" s="14">
        <f t="shared" si="4"/>
        <v>400</v>
      </c>
      <c r="G40" s="14">
        <f t="shared" si="5"/>
        <v>5000</v>
      </c>
      <c r="H40" s="14" t="str">
        <f t="shared" si="6"/>
        <v/>
      </c>
      <c r="I40" s="15">
        <f t="shared" si="7"/>
        <v>2000000</v>
      </c>
      <c r="J40" s="15" t="e">
        <f t="shared" si="9"/>
        <v>#REF!</v>
      </c>
      <c r="K40" s="16">
        <f t="shared" si="8"/>
        <v>0</v>
      </c>
      <c r="M40">
        <f>IFERROR(MATCH($C$5&amp;"|"&amp;RIGHT("000000"&amp;24,6),CalcRankKeyA,0),"")</f>
        <v>34</v>
      </c>
      <c r="N40" t="str">
        <f>IFERROR(MATCH($C$5&amp;"|"&amp;RIGHT("000000"&amp;24,6),CalcRankKeyB,0),"")</f>
        <v/>
      </c>
    </row>
    <row r="41" spans="1:14" x14ac:dyDescent="0.2">
      <c r="A41" s="7">
        <v>25</v>
      </c>
      <c r="B41" s="8" t="str">
        <f t="shared" si="0"/>
        <v>1405/07/28</v>
      </c>
      <c r="C41" s="8" t="str">
        <f t="shared" si="1"/>
        <v>خرید سبد</v>
      </c>
      <c r="D41" s="8">
        <f t="shared" si="2"/>
        <v>0</v>
      </c>
      <c r="E41" s="9" t="str">
        <f t="shared" si="3"/>
        <v/>
      </c>
      <c r="F41" s="9">
        <f t="shared" si="4"/>
        <v>1200</v>
      </c>
      <c r="G41" s="9">
        <f t="shared" si="5"/>
        <v>5000</v>
      </c>
      <c r="H41" s="9" t="str">
        <f t="shared" si="6"/>
        <v/>
      </c>
      <c r="I41" s="10">
        <f t="shared" si="7"/>
        <v>6000000</v>
      </c>
      <c r="J41" s="10" t="e">
        <f t="shared" si="9"/>
        <v>#REF!</v>
      </c>
      <c r="K41" s="11">
        <f t="shared" si="8"/>
        <v>0</v>
      </c>
      <c r="M41">
        <f>IFERROR(MATCH($C$5&amp;"|"&amp;RIGHT("000000"&amp;25,6),CalcRankKeyA,0),"")</f>
        <v>36</v>
      </c>
      <c r="N41" t="str">
        <f>IFERROR(MATCH($C$5&amp;"|"&amp;RIGHT("000000"&amp;25,6),CalcRankKeyB,0),"")</f>
        <v/>
      </c>
    </row>
    <row r="42" spans="1:14" x14ac:dyDescent="0.2">
      <c r="A42" s="12">
        <v>26</v>
      </c>
      <c r="B42" s="13" t="str">
        <f t="shared" si="0"/>
        <v>1405/07/28</v>
      </c>
      <c r="C42" s="13" t="str">
        <f t="shared" si="1"/>
        <v>خرید سبد</v>
      </c>
      <c r="D42" s="13">
        <f t="shared" si="2"/>
        <v>0</v>
      </c>
      <c r="E42" s="14" t="str">
        <f t="shared" si="3"/>
        <v/>
      </c>
      <c r="F42" s="14">
        <f t="shared" si="4"/>
        <v>847</v>
      </c>
      <c r="G42" s="14">
        <f t="shared" si="5"/>
        <v>47000</v>
      </c>
      <c r="H42" s="14" t="str">
        <f t="shared" si="6"/>
        <v/>
      </c>
      <c r="I42" s="15">
        <f t="shared" si="7"/>
        <v>39809000</v>
      </c>
      <c r="J42" s="15" t="e">
        <f t="shared" si="9"/>
        <v>#REF!</v>
      </c>
      <c r="K42" s="16">
        <f t="shared" si="8"/>
        <v>0</v>
      </c>
      <c r="M42">
        <f>IFERROR(MATCH($C$5&amp;"|"&amp;RIGHT("000000"&amp;26,6),CalcRankKeyA,0),"")</f>
        <v>37</v>
      </c>
      <c r="N42" t="str">
        <f>IFERROR(MATCH($C$5&amp;"|"&amp;RIGHT("000000"&amp;26,6),CalcRankKeyB,0),"")</f>
        <v/>
      </c>
    </row>
    <row r="43" spans="1:14" x14ac:dyDescent="0.2">
      <c r="A43" s="7">
        <v>27</v>
      </c>
      <c r="B43" s="8" t="str">
        <f t="shared" si="0"/>
        <v>1405/07/29</v>
      </c>
      <c r="C43" s="8" t="str">
        <f t="shared" si="1"/>
        <v>خرید سبد</v>
      </c>
      <c r="D43" s="8">
        <f t="shared" si="2"/>
        <v>0</v>
      </c>
      <c r="E43" s="9" t="str">
        <f t="shared" si="3"/>
        <v/>
      </c>
      <c r="F43" s="9">
        <f t="shared" si="4"/>
        <v>1190</v>
      </c>
      <c r="G43" s="9">
        <f t="shared" si="5"/>
        <v>25000</v>
      </c>
      <c r="H43" s="9" t="str">
        <f t="shared" si="6"/>
        <v/>
      </c>
      <c r="I43" s="10">
        <f t="shared" si="7"/>
        <v>29750000</v>
      </c>
      <c r="J43" s="10" t="e">
        <f t="shared" si="9"/>
        <v>#REF!</v>
      </c>
      <c r="K43" s="11">
        <f t="shared" si="8"/>
        <v>0</v>
      </c>
      <c r="M43">
        <f>IFERROR(MATCH($C$5&amp;"|"&amp;RIGHT("000000"&amp;27,6),CalcRankKeyA,0),"")</f>
        <v>35</v>
      </c>
      <c r="N43" t="str">
        <f>IFERROR(MATCH($C$5&amp;"|"&amp;RIGHT("000000"&amp;27,6),CalcRankKeyB,0),"")</f>
        <v/>
      </c>
    </row>
    <row r="44" spans="1:14" x14ac:dyDescent="0.2">
      <c r="A44" s="12">
        <v>28</v>
      </c>
      <c r="B44" s="13" t="str">
        <f t="shared" si="0"/>
        <v>1405/08/01</v>
      </c>
      <c r="C44" s="13" t="str">
        <f t="shared" si="1"/>
        <v>خرید سبد</v>
      </c>
      <c r="D44" s="13">
        <f t="shared" si="2"/>
        <v>0</v>
      </c>
      <c r="E44" s="14" t="str">
        <f t="shared" si="3"/>
        <v/>
      </c>
      <c r="F44" s="14">
        <f t="shared" si="4"/>
        <v>2051</v>
      </c>
      <c r="G44" s="14">
        <f t="shared" si="5"/>
        <v>47000</v>
      </c>
      <c r="H44" s="14" t="str">
        <f t="shared" si="6"/>
        <v/>
      </c>
      <c r="I44" s="15">
        <f t="shared" si="7"/>
        <v>96397000</v>
      </c>
      <c r="J44" s="15" t="e">
        <f t="shared" si="9"/>
        <v>#REF!</v>
      </c>
      <c r="K44" s="16">
        <f t="shared" si="8"/>
        <v>0</v>
      </c>
      <c r="M44">
        <f>IFERROR(MATCH($C$5&amp;"|"&amp;RIGHT("000000"&amp;28,6),CalcRankKeyA,0),"")</f>
        <v>38</v>
      </c>
      <c r="N44" t="str">
        <f>IFERROR(MATCH($C$5&amp;"|"&amp;RIGHT("000000"&amp;28,6),CalcRankKeyB,0),"")</f>
        <v/>
      </c>
    </row>
    <row r="45" spans="1:14" x14ac:dyDescent="0.2">
      <c r="A45" s="7">
        <v>29</v>
      </c>
      <c r="B45" s="8" t="str">
        <f t="shared" si="0"/>
        <v>1405/08/01</v>
      </c>
      <c r="C45" s="8" t="str">
        <f t="shared" si="1"/>
        <v>خرید سبد</v>
      </c>
      <c r="D45" s="8">
        <f t="shared" si="2"/>
        <v>0</v>
      </c>
      <c r="E45" s="9" t="str">
        <f t="shared" si="3"/>
        <v/>
      </c>
      <c r="F45" s="9">
        <f t="shared" si="4"/>
        <v>1250</v>
      </c>
      <c r="G45" s="9">
        <f t="shared" si="5"/>
        <v>25000</v>
      </c>
      <c r="H45" s="9" t="str">
        <f t="shared" si="6"/>
        <v/>
      </c>
      <c r="I45" s="10">
        <f t="shared" si="7"/>
        <v>31250000</v>
      </c>
      <c r="J45" s="10" t="e">
        <f t="shared" si="9"/>
        <v>#REF!</v>
      </c>
      <c r="K45" s="11">
        <f t="shared" si="8"/>
        <v>0</v>
      </c>
      <c r="M45">
        <f>IFERROR(MATCH($C$5&amp;"|"&amp;RIGHT("000000"&amp;29,6),CalcRankKeyA,0),"")</f>
        <v>39</v>
      </c>
      <c r="N45" t="str">
        <f>IFERROR(MATCH($C$5&amp;"|"&amp;RIGHT("000000"&amp;29,6),CalcRankKeyB,0),"")</f>
        <v/>
      </c>
    </row>
    <row r="46" spans="1:14" x14ac:dyDescent="0.2">
      <c r="A46" s="12">
        <v>30</v>
      </c>
      <c r="B46" s="13" t="str">
        <f t="shared" si="0"/>
        <v>1405/08/03</v>
      </c>
      <c r="C46" s="13" t="str">
        <f t="shared" si="1"/>
        <v>خرید سبد</v>
      </c>
      <c r="D46" s="13">
        <f t="shared" si="2"/>
        <v>0</v>
      </c>
      <c r="E46" s="14" t="str">
        <f t="shared" si="3"/>
        <v/>
      </c>
      <c r="F46" s="14">
        <f t="shared" si="4"/>
        <v>1200</v>
      </c>
      <c r="G46" s="14">
        <f t="shared" si="5"/>
        <v>5000</v>
      </c>
      <c r="H46" s="14" t="str">
        <f t="shared" si="6"/>
        <v/>
      </c>
      <c r="I46" s="15">
        <f t="shared" si="7"/>
        <v>6000000</v>
      </c>
      <c r="J46" s="15" t="e">
        <f t="shared" si="9"/>
        <v>#REF!</v>
      </c>
      <c r="K46" s="16">
        <f t="shared" si="8"/>
        <v>0</v>
      </c>
      <c r="M46">
        <f>IFERROR(MATCH($C$5&amp;"|"&amp;RIGHT("000000"&amp;30,6),CalcRankKeyA,0),"")</f>
        <v>40</v>
      </c>
      <c r="N46" t="str">
        <f>IFERROR(MATCH($C$5&amp;"|"&amp;RIGHT("000000"&amp;30,6),CalcRankKeyB,0),"")</f>
        <v/>
      </c>
    </row>
    <row r="47" spans="1:14" x14ac:dyDescent="0.2">
      <c r="A47" s="7">
        <v>31</v>
      </c>
      <c r="B47" s="8" t="str">
        <f t="shared" si="0"/>
        <v>1405/08/03</v>
      </c>
      <c r="C47" s="8" t="str">
        <f t="shared" si="1"/>
        <v>خرید سبد</v>
      </c>
      <c r="D47" s="8">
        <f t="shared" si="2"/>
        <v>0</v>
      </c>
      <c r="E47" s="9" t="str">
        <f t="shared" si="3"/>
        <v/>
      </c>
      <c r="F47" s="9">
        <f t="shared" si="4"/>
        <v>925</v>
      </c>
      <c r="G47" s="9">
        <f t="shared" si="5"/>
        <v>25000</v>
      </c>
      <c r="H47" s="9" t="str">
        <f t="shared" si="6"/>
        <v/>
      </c>
      <c r="I47" s="10">
        <f t="shared" si="7"/>
        <v>23125000</v>
      </c>
      <c r="J47" s="10" t="e">
        <f t="shared" si="9"/>
        <v>#REF!</v>
      </c>
      <c r="K47" s="11">
        <f t="shared" si="8"/>
        <v>0</v>
      </c>
      <c r="M47">
        <f>IFERROR(MATCH($C$5&amp;"|"&amp;RIGHT("000000"&amp;31,6),CalcRankKeyA,0),"")</f>
        <v>41</v>
      </c>
      <c r="N47" t="str">
        <f>IFERROR(MATCH($C$5&amp;"|"&amp;RIGHT("000000"&amp;31,6),CalcRankKeyB,0),"")</f>
        <v/>
      </c>
    </row>
    <row r="48" spans="1:14" x14ac:dyDescent="0.2">
      <c r="A48" s="12">
        <v>32</v>
      </c>
      <c r="B48" s="13" t="str">
        <f t="shared" si="0"/>
        <v>1405/08/03</v>
      </c>
      <c r="C48" s="13" t="str">
        <f t="shared" si="1"/>
        <v>خرید سبد</v>
      </c>
      <c r="D48" s="13">
        <f t="shared" si="2"/>
        <v>0</v>
      </c>
      <c r="E48" s="14" t="str">
        <f t="shared" si="3"/>
        <v/>
      </c>
      <c r="F48" s="14">
        <f t="shared" si="4"/>
        <v>1000</v>
      </c>
      <c r="G48" s="14">
        <f t="shared" si="5"/>
        <v>5000</v>
      </c>
      <c r="H48" s="14" t="str">
        <f t="shared" si="6"/>
        <v/>
      </c>
      <c r="I48" s="15">
        <f t="shared" si="7"/>
        <v>5000000</v>
      </c>
      <c r="J48" s="15" t="e">
        <f t="shared" si="9"/>
        <v>#REF!</v>
      </c>
      <c r="K48" s="16">
        <f t="shared" si="8"/>
        <v>0</v>
      </c>
      <c r="M48">
        <f>IFERROR(MATCH($C$5&amp;"|"&amp;RIGHT("000000"&amp;32,6),CalcRankKeyA,0),"")</f>
        <v>42</v>
      </c>
      <c r="N48" t="str">
        <f>IFERROR(MATCH($C$5&amp;"|"&amp;RIGHT("000000"&amp;32,6),CalcRankKeyB,0),"")</f>
        <v/>
      </c>
    </row>
    <row r="49" spans="1:14" x14ac:dyDescent="0.2">
      <c r="A49" s="7">
        <v>33</v>
      </c>
      <c r="B49" s="8" t="str">
        <f t="shared" si="0"/>
        <v/>
      </c>
      <c r="C49" s="8" t="str">
        <f t="shared" si="1"/>
        <v/>
      </c>
      <c r="D49" s="8" t="str">
        <f t="shared" si="2"/>
        <v/>
      </c>
      <c r="E49" s="9" t="str">
        <f t="shared" si="3"/>
        <v/>
      </c>
      <c r="F49" s="9" t="str">
        <f t="shared" si="4"/>
        <v/>
      </c>
      <c r="G49" s="9" t="str">
        <f t="shared" si="5"/>
        <v/>
      </c>
      <c r="H49" s="9" t="str">
        <f t="shared" si="6"/>
        <v/>
      </c>
      <c r="I49" s="10" t="str">
        <f t="shared" si="7"/>
        <v/>
      </c>
      <c r="J49" s="10" t="str">
        <f t="shared" si="9"/>
        <v/>
      </c>
      <c r="K49" s="11" t="str">
        <f t="shared" si="8"/>
        <v/>
      </c>
      <c r="M49" t="str">
        <f>IFERROR(MATCH($C$5&amp;"|"&amp;RIGHT("000000"&amp;33,6),CalcRankKeyA,0),"")</f>
        <v/>
      </c>
      <c r="N49" t="str">
        <f>IFERROR(MATCH($C$5&amp;"|"&amp;RIGHT("000000"&amp;33,6),CalcRankKeyB,0),"")</f>
        <v/>
      </c>
    </row>
    <row r="50" spans="1:14" x14ac:dyDescent="0.2">
      <c r="A50" s="12">
        <v>34</v>
      </c>
      <c r="B50" s="13" t="str">
        <f t="shared" si="0"/>
        <v/>
      </c>
      <c r="C50" s="13" t="str">
        <f t="shared" si="1"/>
        <v/>
      </c>
      <c r="D50" s="13" t="str">
        <f t="shared" si="2"/>
        <v/>
      </c>
      <c r="E50" s="14" t="str">
        <f t="shared" si="3"/>
        <v/>
      </c>
      <c r="F50" s="14" t="str">
        <f t="shared" si="4"/>
        <v/>
      </c>
      <c r="G50" s="14" t="str">
        <f t="shared" si="5"/>
        <v/>
      </c>
      <c r="H50" s="14" t="str">
        <f t="shared" si="6"/>
        <v/>
      </c>
      <c r="I50" s="15" t="str">
        <f t="shared" si="7"/>
        <v/>
      </c>
      <c r="J50" s="15" t="str">
        <f t="shared" si="9"/>
        <v/>
      </c>
      <c r="K50" s="16" t="str">
        <f t="shared" si="8"/>
        <v/>
      </c>
      <c r="M50" t="str">
        <f>IFERROR(MATCH($C$5&amp;"|"&amp;RIGHT("000000"&amp;34,6),CalcRankKeyA,0),"")</f>
        <v/>
      </c>
      <c r="N50" t="str">
        <f>IFERROR(MATCH($C$5&amp;"|"&amp;RIGHT("000000"&amp;34,6),CalcRankKeyB,0),"")</f>
        <v/>
      </c>
    </row>
    <row r="51" spans="1:14" x14ac:dyDescent="0.2">
      <c r="A51" s="7">
        <v>35</v>
      </c>
      <c r="B51" s="8" t="str">
        <f t="shared" si="0"/>
        <v/>
      </c>
      <c r="C51" s="8" t="str">
        <f t="shared" si="1"/>
        <v/>
      </c>
      <c r="D51" s="8" t="str">
        <f t="shared" si="2"/>
        <v/>
      </c>
      <c r="E51" s="9" t="str">
        <f t="shared" si="3"/>
        <v/>
      </c>
      <c r="F51" s="9" t="str">
        <f t="shared" si="4"/>
        <v/>
      </c>
      <c r="G51" s="9" t="str">
        <f t="shared" si="5"/>
        <v/>
      </c>
      <c r="H51" s="9" t="str">
        <f t="shared" si="6"/>
        <v/>
      </c>
      <c r="I51" s="10" t="str">
        <f t="shared" si="7"/>
        <v/>
      </c>
      <c r="J51" s="10" t="str">
        <f t="shared" si="9"/>
        <v/>
      </c>
      <c r="K51" s="11" t="str">
        <f t="shared" si="8"/>
        <v/>
      </c>
      <c r="M51" t="str">
        <f>IFERROR(MATCH($C$5&amp;"|"&amp;RIGHT("000000"&amp;35,6),CalcRankKeyA,0),"")</f>
        <v/>
      </c>
      <c r="N51" t="str">
        <f>IFERROR(MATCH($C$5&amp;"|"&amp;RIGHT("000000"&amp;35,6),CalcRankKeyB,0),"")</f>
        <v/>
      </c>
    </row>
    <row r="52" spans="1:14" x14ac:dyDescent="0.2">
      <c r="A52" s="12">
        <v>36</v>
      </c>
      <c r="B52" s="13" t="str">
        <f t="shared" si="0"/>
        <v/>
      </c>
      <c r="C52" s="13" t="str">
        <f t="shared" si="1"/>
        <v/>
      </c>
      <c r="D52" s="13" t="str">
        <f t="shared" si="2"/>
        <v/>
      </c>
      <c r="E52" s="14" t="str">
        <f t="shared" si="3"/>
        <v/>
      </c>
      <c r="F52" s="14" t="str">
        <f t="shared" si="4"/>
        <v/>
      </c>
      <c r="G52" s="14" t="str">
        <f t="shared" si="5"/>
        <v/>
      </c>
      <c r="H52" s="14" t="str">
        <f t="shared" si="6"/>
        <v/>
      </c>
      <c r="I52" s="15" t="str">
        <f t="shared" si="7"/>
        <v/>
      </c>
      <c r="J52" s="15" t="str">
        <f t="shared" si="9"/>
        <v/>
      </c>
      <c r="K52" s="16" t="str">
        <f t="shared" si="8"/>
        <v/>
      </c>
      <c r="M52" t="str">
        <f>IFERROR(MATCH($C$5&amp;"|"&amp;RIGHT("000000"&amp;36,6),CalcRankKeyA,0),"")</f>
        <v/>
      </c>
      <c r="N52" t="str">
        <f>IFERROR(MATCH($C$5&amp;"|"&amp;RIGHT("000000"&amp;36,6),CalcRankKeyB,0),"")</f>
        <v/>
      </c>
    </row>
    <row r="53" spans="1:14" x14ac:dyDescent="0.2">
      <c r="A53" s="7">
        <v>37</v>
      </c>
      <c r="B53" s="8" t="str">
        <f t="shared" si="0"/>
        <v/>
      </c>
      <c r="C53" s="8" t="str">
        <f t="shared" si="1"/>
        <v/>
      </c>
      <c r="D53" s="8" t="str">
        <f t="shared" si="2"/>
        <v/>
      </c>
      <c r="E53" s="9" t="str">
        <f t="shared" si="3"/>
        <v/>
      </c>
      <c r="F53" s="9" t="str">
        <f t="shared" si="4"/>
        <v/>
      </c>
      <c r="G53" s="9" t="str">
        <f t="shared" si="5"/>
        <v/>
      </c>
      <c r="H53" s="9" t="str">
        <f t="shared" si="6"/>
        <v/>
      </c>
      <c r="I53" s="10" t="str">
        <f t="shared" si="7"/>
        <v/>
      </c>
      <c r="J53" s="10" t="str">
        <f t="shared" si="9"/>
        <v/>
      </c>
      <c r="K53" s="11" t="str">
        <f t="shared" si="8"/>
        <v/>
      </c>
      <c r="M53" t="str">
        <f>IFERROR(MATCH($C$5&amp;"|"&amp;RIGHT("000000"&amp;37,6),CalcRankKeyA,0),"")</f>
        <v/>
      </c>
      <c r="N53" t="str">
        <f>IFERROR(MATCH($C$5&amp;"|"&amp;RIGHT("000000"&amp;37,6),CalcRankKeyB,0),"")</f>
        <v/>
      </c>
    </row>
    <row r="54" spans="1:14" x14ac:dyDescent="0.2">
      <c r="A54" s="12">
        <v>38</v>
      </c>
      <c r="B54" s="13" t="str">
        <f t="shared" si="0"/>
        <v/>
      </c>
      <c r="C54" s="13" t="str">
        <f t="shared" si="1"/>
        <v/>
      </c>
      <c r="D54" s="13" t="str">
        <f t="shared" si="2"/>
        <v/>
      </c>
      <c r="E54" s="14" t="str">
        <f t="shared" si="3"/>
        <v/>
      </c>
      <c r="F54" s="14" t="str">
        <f t="shared" si="4"/>
        <v/>
      </c>
      <c r="G54" s="14" t="str">
        <f t="shared" si="5"/>
        <v/>
      </c>
      <c r="H54" s="14" t="str">
        <f t="shared" si="6"/>
        <v/>
      </c>
      <c r="I54" s="15" t="str">
        <f t="shared" si="7"/>
        <v/>
      </c>
      <c r="J54" s="15" t="str">
        <f t="shared" si="9"/>
        <v/>
      </c>
      <c r="K54" s="16" t="str">
        <f t="shared" si="8"/>
        <v/>
      </c>
      <c r="M54" t="str">
        <f>IFERROR(MATCH($C$5&amp;"|"&amp;RIGHT("000000"&amp;38,6),CalcRankKeyA,0),"")</f>
        <v/>
      </c>
      <c r="N54" t="str">
        <f>IFERROR(MATCH($C$5&amp;"|"&amp;RIGHT("000000"&amp;38,6),CalcRankKeyB,0),"")</f>
        <v/>
      </c>
    </row>
    <row r="55" spans="1:14" x14ac:dyDescent="0.2">
      <c r="A55" s="7">
        <v>39</v>
      </c>
      <c r="B55" s="8" t="str">
        <f t="shared" si="0"/>
        <v/>
      </c>
      <c r="C55" s="8" t="str">
        <f t="shared" si="1"/>
        <v/>
      </c>
      <c r="D55" s="8" t="str">
        <f t="shared" si="2"/>
        <v/>
      </c>
      <c r="E55" s="9" t="str">
        <f t="shared" si="3"/>
        <v/>
      </c>
      <c r="F55" s="9" t="str">
        <f t="shared" si="4"/>
        <v/>
      </c>
      <c r="G55" s="9" t="str">
        <f t="shared" si="5"/>
        <v/>
      </c>
      <c r="H55" s="9" t="str">
        <f t="shared" si="6"/>
        <v/>
      </c>
      <c r="I55" s="10" t="str">
        <f t="shared" si="7"/>
        <v/>
      </c>
      <c r="J55" s="10" t="str">
        <f t="shared" si="9"/>
        <v/>
      </c>
      <c r="K55" s="11" t="str">
        <f t="shared" si="8"/>
        <v/>
      </c>
      <c r="M55" t="str">
        <f>IFERROR(MATCH($C$5&amp;"|"&amp;RIGHT("000000"&amp;39,6),CalcRankKeyA,0),"")</f>
        <v/>
      </c>
      <c r="N55" t="str">
        <f>IFERROR(MATCH($C$5&amp;"|"&amp;RIGHT("000000"&amp;39,6),CalcRankKeyB,0),"")</f>
        <v/>
      </c>
    </row>
    <row r="56" spans="1:14" x14ac:dyDescent="0.2">
      <c r="A56" s="12">
        <v>40</v>
      </c>
      <c r="B56" s="13" t="str">
        <f t="shared" si="0"/>
        <v/>
      </c>
      <c r="C56" s="13" t="str">
        <f t="shared" si="1"/>
        <v/>
      </c>
      <c r="D56" s="13" t="str">
        <f t="shared" si="2"/>
        <v/>
      </c>
      <c r="E56" s="14" t="str">
        <f t="shared" si="3"/>
        <v/>
      </c>
      <c r="F56" s="14" t="str">
        <f t="shared" si="4"/>
        <v/>
      </c>
      <c r="G56" s="14" t="str">
        <f t="shared" si="5"/>
        <v/>
      </c>
      <c r="H56" s="14" t="str">
        <f t="shared" si="6"/>
        <v/>
      </c>
      <c r="I56" s="15" t="str">
        <f t="shared" si="7"/>
        <v/>
      </c>
      <c r="J56" s="15" t="str">
        <f t="shared" si="9"/>
        <v/>
      </c>
      <c r="K56" s="16" t="str">
        <f t="shared" si="8"/>
        <v/>
      </c>
      <c r="M56" t="str">
        <f>IFERROR(MATCH($C$5&amp;"|"&amp;RIGHT("000000"&amp;40,6),CalcRankKeyA,0),"")</f>
        <v/>
      </c>
      <c r="N56" t="str">
        <f>IFERROR(MATCH($C$5&amp;"|"&amp;RIGHT("000000"&amp;40,6),CalcRankKeyB,0),"")</f>
        <v/>
      </c>
    </row>
    <row r="57" spans="1:14" x14ac:dyDescent="0.2">
      <c r="A57" s="7">
        <v>41</v>
      </c>
      <c r="B57" s="8" t="str">
        <f t="shared" si="0"/>
        <v/>
      </c>
      <c r="C57" s="8" t="str">
        <f t="shared" si="1"/>
        <v/>
      </c>
      <c r="D57" s="8" t="str">
        <f t="shared" si="2"/>
        <v/>
      </c>
      <c r="E57" s="9" t="str">
        <f t="shared" si="3"/>
        <v/>
      </c>
      <c r="F57" s="9" t="str">
        <f t="shared" si="4"/>
        <v/>
      </c>
      <c r="G57" s="9" t="str">
        <f t="shared" si="5"/>
        <v/>
      </c>
      <c r="H57" s="9" t="str">
        <f t="shared" si="6"/>
        <v/>
      </c>
      <c r="I57" s="10" t="str">
        <f t="shared" si="7"/>
        <v/>
      </c>
      <c r="J57" s="10" t="str">
        <f t="shared" si="9"/>
        <v/>
      </c>
      <c r="K57" s="11" t="str">
        <f t="shared" si="8"/>
        <v/>
      </c>
      <c r="M57" t="str">
        <f>IFERROR(MATCH($C$5&amp;"|"&amp;RIGHT("000000"&amp;41,6),CalcRankKeyA,0),"")</f>
        <v/>
      </c>
      <c r="N57" t="str">
        <f>IFERROR(MATCH($C$5&amp;"|"&amp;RIGHT("000000"&amp;41,6),CalcRankKeyB,0),"")</f>
        <v/>
      </c>
    </row>
    <row r="58" spans="1:14" x14ac:dyDescent="0.2">
      <c r="A58" s="12">
        <v>42</v>
      </c>
      <c r="B58" s="13" t="str">
        <f t="shared" si="0"/>
        <v/>
      </c>
      <c r="C58" s="13" t="str">
        <f t="shared" si="1"/>
        <v/>
      </c>
      <c r="D58" s="13" t="str">
        <f t="shared" si="2"/>
        <v/>
      </c>
      <c r="E58" s="14" t="str">
        <f t="shared" si="3"/>
        <v/>
      </c>
      <c r="F58" s="14" t="str">
        <f t="shared" si="4"/>
        <v/>
      </c>
      <c r="G58" s="14" t="str">
        <f t="shared" si="5"/>
        <v/>
      </c>
      <c r="H58" s="14" t="str">
        <f t="shared" si="6"/>
        <v/>
      </c>
      <c r="I58" s="15" t="str">
        <f t="shared" si="7"/>
        <v/>
      </c>
      <c r="J58" s="15" t="str">
        <f t="shared" si="9"/>
        <v/>
      </c>
      <c r="K58" s="16" t="str">
        <f t="shared" si="8"/>
        <v/>
      </c>
      <c r="M58" t="str">
        <f>IFERROR(MATCH($C$5&amp;"|"&amp;RIGHT("000000"&amp;42,6),CalcRankKeyA,0),"")</f>
        <v/>
      </c>
      <c r="N58" t="str">
        <f>IFERROR(MATCH($C$5&amp;"|"&amp;RIGHT("000000"&amp;42,6),CalcRankKeyB,0),"")</f>
        <v/>
      </c>
    </row>
    <row r="59" spans="1:14" x14ac:dyDescent="0.2">
      <c r="A59" s="7">
        <v>43</v>
      </c>
      <c r="B59" s="8" t="str">
        <f t="shared" si="0"/>
        <v/>
      </c>
      <c r="C59" s="8" t="str">
        <f t="shared" si="1"/>
        <v/>
      </c>
      <c r="D59" s="8" t="str">
        <f t="shared" si="2"/>
        <v/>
      </c>
      <c r="E59" s="9" t="str">
        <f t="shared" si="3"/>
        <v/>
      </c>
      <c r="F59" s="9" t="str">
        <f t="shared" si="4"/>
        <v/>
      </c>
      <c r="G59" s="9" t="str">
        <f t="shared" si="5"/>
        <v/>
      </c>
      <c r="H59" s="9" t="str">
        <f t="shared" si="6"/>
        <v/>
      </c>
      <c r="I59" s="10" t="str">
        <f t="shared" si="7"/>
        <v/>
      </c>
      <c r="J59" s="10" t="str">
        <f t="shared" si="9"/>
        <v/>
      </c>
      <c r="K59" s="11" t="str">
        <f t="shared" si="8"/>
        <v/>
      </c>
      <c r="M59" t="str">
        <f>IFERROR(MATCH($C$5&amp;"|"&amp;RIGHT("000000"&amp;43,6),CalcRankKeyA,0),"")</f>
        <v/>
      </c>
      <c r="N59" t="str">
        <f>IFERROR(MATCH($C$5&amp;"|"&amp;RIGHT("000000"&amp;43,6),CalcRankKeyB,0),"")</f>
        <v/>
      </c>
    </row>
    <row r="60" spans="1:14" x14ac:dyDescent="0.2">
      <c r="A60" s="12">
        <v>44</v>
      </c>
      <c r="B60" s="13" t="str">
        <f t="shared" si="0"/>
        <v/>
      </c>
      <c r="C60" s="13" t="str">
        <f t="shared" si="1"/>
        <v/>
      </c>
      <c r="D60" s="13" t="str">
        <f t="shared" si="2"/>
        <v/>
      </c>
      <c r="E60" s="14" t="str">
        <f t="shared" si="3"/>
        <v/>
      </c>
      <c r="F60" s="14" t="str">
        <f t="shared" si="4"/>
        <v/>
      </c>
      <c r="G60" s="14" t="str">
        <f t="shared" si="5"/>
        <v/>
      </c>
      <c r="H60" s="14" t="str">
        <f t="shared" si="6"/>
        <v/>
      </c>
      <c r="I60" s="15" t="str">
        <f t="shared" si="7"/>
        <v/>
      </c>
      <c r="J60" s="15" t="str">
        <f t="shared" si="9"/>
        <v/>
      </c>
      <c r="K60" s="16" t="str">
        <f t="shared" si="8"/>
        <v/>
      </c>
      <c r="M60" t="str">
        <f>IFERROR(MATCH($C$5&amp;"|"&amp;RIGHT("000000"&amp;44,6),CalcRankKeyA,0),"")</f>
        <v/>
      </c>
      <c r="N60" t="str">
        <f>IFERROR(MATCH($C$5&amp;"|"&amp;RIGHT("000000"&amp;44,6),CalcRankKeyB,0),"")</f>
        <v/>
      </c>
    </row>
    <row r="61" spans="1:14" x14ac:dyDescent="0.2">
      <c r="A61" s="7">
        <v>45</v>
      </c>
      <c r="B61" s="8" t="str">
        <f t="shared" si="0"/>
        <v/>
      </c>
      <c r="C61" s="8" t="str">
        <f t="shared" si="1"/>
        <v/>
      </c>
      <c r="D61" s="8" t="str">
        <f t="shared" si="2"/>
        <v/>
      </c>
      <c r="E61" s="9" t="str">
        <f t="shared" si="3"/>
        <v/>
      </c>
      <c r="F61" s="9" t="str">
        <f t="shared" si="4"/>
        <v/>
      </c>
      <c r="G61" s="9" t="str">
        <f t="shared" si="5"/>
        <v/>
      </c>
      <c r="H61" s="9" t="str">
        <f t="shared" si="6"/>
        <v/>
      </c>
      <c r="I61" s="10" t="str">
        <f t="shared" si="7"/>
        <v/>
      </c>
      <c r="J61" s="10" t="str">
        <f t="shared" si="9"/>
        <v/>
      </c>
      <c r="K61" s="11" t="str">
        <f t="shared" si="8"/>
        <v/>
      </c>
      <c r="M61" t="str">
        <f>IFERROR(MATCH($C$5&amp;"|"&amp;RIGHT("000000"&amp;45,6),CalcRankKeyA,0),"")</f>
        <v/>
      </c>
      <c r="N61" t="str">
        <f>IFERROR(MATCH($C$5&amp;"|"&amp;RIGHT("000000"&amp;45,6),CalcRankKeyB,0),"")</f>
        <v/>
      </c>
    </row>
    <row r="62" spans="1:14" x14ac:dyDescent="0.2">
      <c r="A62" s="12">
        <v>46</v>
      </c>
      <c r="B62" s="13" t="str">
        <f t="shared" si="0"/>
        <v/>
      </c>
      <c r="C62" s="13" t="str">
        <f t="shared" si="1"/>
        <v/>
      </c>
      <c r="D62" s="13" t="str">
        <f t="shared" si="2"/>
        <v/>
      </c>
      <c r="E62" s="14" t="str">
        <f t="shared" si="3"/>
        <v/>
      </c>
      <c r="F62" s="14" t="str">
        <f t="shared" si="4"/>
        <v/>
      </c>
      <c r="G62" s="14" t="str">
        <f t="shared" si="5"/>
        <v/>
      </c>
      <c r="H62" s="14" t="str">
        <f t="shared" si="6"/>
        <v/>
      </c>
      <c r="I62" s="15" t="str">
        <f t="shared" si="7"/>
        <v/>
      </c>
      <c r="J62" s="15" t="str">
        <f t="shared" si="9"/>
        <v/>
      </c>
      <c r="K62" s="16" t="str">
        <f t="shared" si="8"/>
        <v/>
      </c>
      <c r="M62" t="str">
        <f>IFERROR(MATCH($C$5&amp;"|"&amp;RIGHT("000000"&amp;46,6),CalcRankKeyA,0),"")</f>
        <v/>
      </c>
      <c r="N62" t="str">
        <f>IFERROR(MATCH($C$5&amp;"|"&amp;RIGHT("000000"&amp;46,6),CalcRankKeyB,0),"")</f>
        <v/>
      </c>
    </row>
    <row r="63" spans="1:14" x14ac:dyDescent="0.2">
      <c r="A63" s="7">
        <v>47</v>
      </c>
      <c r="B63" s="8" t="str">
        <f t="shared" si="0"/>
        <v/>
      </c>
      <c r="C63" s="8" t="str">
        <f t="shared" si="1"/>
        <v/>
      </c>
      <c r="D63" s="8" t="str">
        <f t="shared" si="2"/>
        <v/>
      </c>
      <c r="E63" s="9" t="str">
        <f t="shared" si="3"/>
        <v/>
      </c>
      <c r="F63" s="9" t="str">
        <f t="shared" si="4"/>
        <v/>
      </c>
      <c r="G63" s="9" t="str">
        <f t="shared" si="5"/>
        <v/>
      </c>
      <c r="H63" s="9" t="str">
        <f t="shared" si="6"/>
        <v/>
      </c>
      <c r="I63" s="10" t="str">
        <f t="shared" si="7"/>
        <v/>
      </c>
      <c r="J63" s="10" t="str">
        <f t="shared" si="9"/>
        <v/>
      </c>
      <c r="K63" s="11" t="str">
        <f t="shared" si="8"/>
        <v/>
      </c>
      <c r="M63" t="str">
        <f>IFERROR(MATCH($C$5&amp;"|"&amp;RIGHT("000000"&amp;47,6),CalcRankKeyA,0),"")</f>
        <v/>
      </c>
      <c r="N63" t="str">
        <f>IFERROR(MATCH($C$5&amp;"|"&amp;RIGHT("000000"&amp;47,6),CalcRankKeyB,0),"")</f>
        <v/>
      </c>
    </row>
    <row r="64" spans="1:14" x14ac:dyDescent="0.2">
      <c r="A64" s="12">
        <v>48</v>
      </c>
      <c r="B64" s="13" t="str">
        <f t="shared" si="0"/>
        <v/>
      </c>
      <c r="C64" s="13" t="str">
        <f t="shared" si="1"/>
        <v/>
      </c>
      <c r="D64" s="13" t="str">
        <f t="shared" si="2"/>
        <v/>
      </c>
      <c r="E64" s="14" t="str">
        <f t="shared" si="3"/>
        <v/>
      </c>
      <c r="F64" s="14" t="str">
        <f t="shared" si="4"/>
        <v/>
      </c>
      <c r="G64" s="14" t="str">
        <f t="shared" si="5"/>
        <v/>
      </c>
      <c r="H64" s="14" t="str">
        <f t="shared" si="6"/>
        <v/>
      </c>
      <c r="I64" s="15" t="str">
        <f t="shared" si="7"/>
        <v/>
      </c>
      <c r="J64" s="15" t="str">
        <f t="shared" si="9"/>
        <v/>
      </c>
      <c r="K64" s="16" t="str">
        <f t="shared" si="8"/>
        <v/>
      </c>
      <c r="M64" t="str">
        <f>IFERROR(MATCH($C$5&amp;"|"&amp;RIGHT("000000"&amp;48,6),CalcRankKeyA,0),"")</f>
        <v/>
      </c>
      <c r="N64" t="str">
        <f>IFERROR(MATCH($C$5&amp;"|"&amp;RIGHT("000000"&amp;48,6),CalcRankKeyB,0),"")</f>
        <v/>
      </c>
    </row>
    <row r="65" spans="1:14" x14ac:dyDescent="0.2">
      <c r="A65" s="7">
        <v>49</v>
      </c>
      <c r="B65" s="8" t="str">
        <f t="shared" si="0"/>
        <v/>
      </c>
      <c r="C65" s="8" t="str">
        <f t="shared" si="1"/>
        <v/>
      </c>
      <c r="D65" s="8" t="str">
        <f t="shared" si="2"/>
        <v/>
      </c>
      <c r="E65" s="9" t="str">
        <f t="shared" si="3"/>
        <v/>
      </c>
      <c r="F65" s="9" t="str">
        <f t="shared" si="4"/>
        <v/>
      </c>
      <c r="G65" s="9" t="str">
        <f t="shared" si="5"/>
        <v/>
      </c>
      <c r="H65" s="9" t="str">
        <f t="shared" si="6"/>
        <v/>
      </c>
      <c r="I65" s="10" t="str">
        <f t="shared" si="7"/>
        <v/>
      </c>
      <c r="J65" s="10" t="str">
        <f t="shared" si="9"/>
        <v/>
      </c>
      <c r="K65" s="11" t="str">
        <f t="shared" si="8"/>
        <v/>
      </c>
      <c r="M65" t="str">
        <f>IFERROR(MATCH($C$5&amp;"|"&amp;RIGHT("000000"&amp;49,6),CalcRankKeyA,0),"")</f>
        <v/>
      </c>
      <c r="N65" t="str">
        <f>IFERROR(MATCH($C$5&amp;"|"&amp;RIGHT("000000"&amp;49,6),CalcRankKeyB,0),"")</f>
        <v/>
      </c>
    </row>
    <row r="66" spans="1:14" x14ac:dyDescent="0.2">
      <c r="A66" s="12">
        <v>50</v>
      </c>
      <c r="B66" s="13" t="str">
        <f t="shared" si="0"/>
        <v/>
      </c>
      <c r="C66" s="13" t="str">
        <f t="shared" si="1"/>
        <v/>
      </c>
      <c r="D66" s="13" t="str">
        <f t="shared" si="2"/>
        <v/>
      </c>
      <c r="E66" s="14" t="str">
        <f t="shared" si="3"/>
        <v/>
      </c>
      <c r="F66" s="14" t="str">
        <f t="shared" si="4"/>
        <v/>
      </c>
      <c r="G66" s="14" t="str">
        <f t="shared" si="5"/>
        <v/>
      </c>
      <c r="H66" s="14" t="str">
        <f t="shared" si="6"/>
        <v/>
      </c>
      <c r="I66" s="15" t="str">
        <f t="shared" si="7"/>
        <v/>
      </c>
      <c r="J66" s="15" t="str">
        <f t="shared" si="9"/>
        <v/>
      </c>
      <c r="K66" s="16" t="str">
        <f t="shared" si="8"/>
        <v/>
      </c>
      <c r="M66" t="str">
        <f>IFERROR(MATCH($C$5&amp;"|"&amp;RIGHT("000000"&amp;50,6),CalcRankKeyA,0),"")</f>
        <v/>
      </c>
      <c r="N66" t="str">
        <f>IFERROR(MATCH($C$5&amp;"|"&amp;RIGHT("000000"&amp;50,6),CalcRankKeyB,0),"")</f>
        <v/>
      </c>
    </row>
    <row r="67" spans="1:14" x14ac:dyDescent="0.2">
      <c r="A67" s="7">
        <v>51</v>
      </c>
      <c r="B67" s="8" t="str">
        <f t="shared" si="0"/>
        <v/>
      </c>
      <c r="C67" s="8" t="str">
        <f t="shared" si="1"/>
        <v/>
      </c>
      <c r="D67" s="8" t="str">
        <f t="shared" si="2"/>
        <v/>
      </c>
      <c r="E67" s="9" t="str">
        <f t="shared" si="3"/>
        <v/>
      </c>
      <c r="F67" s="9" t="str">
        <f t="shared" si="4"/>
        <v/>
      </c>
      <c r="G67" s="9" t="str">
        <f t="shared" si="5"/>
        <v/>
      </c>
      <c r="H67" s="9" t="str">
        <f t="shared" si="6"/>
        <v/>
      </c>
      <c r="I67" s="10" t="str">
        <f t="shared" si="7"/>
        <v/>
      </c>
      <c r="J67" s="10" t="str">
        <f t="shared" si="9"/>
        <v/>
      </c>
      <c r="K67" s="11" t="str">
        <f t="shared" si="8"/>
        <v/>
      </c>
      <c r="M67" t="str">
        <f>IFERROR(MATCH($C$5&amp;"|"&amp;RIGHT("000000"&amp;51,6),CalcRankKeyA,0),"")</f>
        <v/>
      </c>
      <c r="N67" t="str">
        <f>IFERROR(MATCH($C$5&amp;"|"&amp;RIGHT("000000"&amp;51,6),CalcRankKeyB,0),"")</f>
        <v/>
      </c>
    </row>
    <row r="68" spans="1:14" x14ac:dyDescent="0.2">
      <c r="A68" s="12">
        <v>52</v>
      </c>
      <c r="B68" s="13" t="str">
        <f t="shared" si="0"/>
        <v/>
      </c>
      <c r="C68" s="13" t="str">
        <f t="shared" si="1"/>
        <v/>
      </c>
      <c r="D68" s="13" t="str">
        <f t="shared" si="2"/>
        <v/>
      </c>
      <c r="E68" s="14" t="str">
        <f t="shared" si="3"/>
        <v/>
      </c>
      <c r="F68" s="14" t="str">
        <f t="shared" si="4"/>
        <v/>
      </c>
      <c r="G68" s="14" t="str">
        <f t="shared" si="5"/>
        <v/>
      </c>
      <c r="H68" s="14" t="str">
        <f t="shared" si="6"/>
        <v/>
      </c>
      <c r="I68" s="15" t="str">
        <f t="shared" si="7"/>
        <v/>
      </c>
      <c r="J68" s="15" t="str">
        <f t="shared" si="9"/>
        <v/>
      </c>
      <c r="K68" s="16" t="str">
        <f t="shared" si="8"/>
        <v/>
      </c>
      <c r="M68" t="str">
        <f>IFERROR(MATCH($C$5&amp;"|"&amp;RIGHT("000000"&amp;52,6),CalcRankKeyA,0),"")</f>
        <v/>
      </c>
      <c r="N68" t="str">
        <f>IFERROR(MATCH($C$5&amp;"|"&amp;RIGHT("000000"&amp;52,6),CalcRankKeyB,0),"")</f>
        <v/>
      </c>
    </row>
    <row r="69" spans="1:14" x14ac:dyDescent="0.2">
      <c r="A69" s="7">
        <v>53</v>
      </c>
      <c r="B69" s="8" t="str">
        <f t="shared" si="0"/>
        <v/>
      </c>
      <c r="C69" s="8" t="str">
        <f t="shared" si="1"/>
        <v/>
      </c>
      <c r="D69" s="8" t="str">
        <f t="shared" si="2"/>
        <v/>
      </c>
      <c r="E69" s="9" t="str">
        <f t="shared" si="3"/>
        <v/>
      </c>
      <c r="F69" s="9" t="str">
        <f t="shared" si="4"/>
        <v/>
      </c>
      <c r="G69" s="9" t="str">
        <f t="shared" si="5"/>
        <v/>
      </c>
      <c r="H69" s="9" t="str">
        <f t="shared" si="6"/>
        <v/>
      </c>
      <c r="I69" s="10" t="str">
        <f t="shared" si="7"/>
        <v/>
      </c>
      <c r="J69" s="10" t="str">
        <f t="shared" si="9"/>
        <v/>
      </c>
      <c r="K69" s="11" t="str">
        <f t="shared" si="8"/>
        <v/>
      </c>
      <c r="M69" t="str">
        <f>IFERROR(MATCH($C$5&amp;"|"&amp;RIGHT("000000"&amp;53,6),CalcRankKeyA,0),"")</f>
        <v/>
      </c>
      <c r="N69" t="str">
        <f>IFERROR(MATCH($C$5&amp;"|"&amp;RIGHT("000000"&amp;53,6),CalcRankKeyB,0),"")</f>
        <v/>
      </c>
    </row>
    <row r="70" spans="1:14" x14ac:dyDescent="0.2">
      <c r="A70" s="12">
        <v>54</v>
      </c>
      <c r="B70" s="13" t="str">
        <f t="shared" si="0"/>
        <v/>
      </c>
      <c r="C70" s="13" t="str">
        <f t="shared" si="1"/>
        <v/>
      </c>
      <c r="D70" s="13" t="str">
        <f t="shared" si="2"/>
        <v/>
      </c>
      <c r="E70" s="14" t="str">
        <f t="shared" si="3"/>
        <v/>
      </c>
      <c r="F70" s="14" t="str">
        <f t="shared" si="4"/>
        <v/>
      </c>
      <c r="G70" s="14" t="str">
        <f t="shared" si="5"/>
        <v/>
      </c>
      <c r="H70" s="14" t="str">
        <f t="shared" si="6"/>
        <v/>
      </c>
      <c r="I70" s="15" t="str">
        <f t="shared" si="7"/>
        <v/>
      </c>
      <c r="J70" s="15" t="str">
        <f t="shared" si="9"/>
        <v/>
      </c>
      <c r="K70" s="16" t="str">
        <f t="shared" si="8"/>
        <v/>
      </c>
      <c r="M70" t="str">
        <f>IFERROR(MATCH($C$5&amp;"|"&amp;RIGHT("000000"&amp;54,6),CalcRankKeyA,0),"")</f>
        <v/>
      </c>
      <c r="N70" t="str">
        <f>IFERROR(MATCH($C$5&amp;"|"&amp;RIGHT("000000"&amp;54,6),CalcRankKeyB,0),"")</f>
        <v/>
      </c>
    </row>
    <row r="71" spans="1:14" x14ac:dyDescent="0.2">
      <c r="A71" s="7">
        <v>55</v>
      </c>
      <c r="B71" s="8" t="str">
        <f t="shared" si="0"/>
        <v/>
      </c>
      <c r="C71" s="8" t="str">
        <f t="shared" si="1"/>
        <v/>
      </c>
      <c r="D71" s="8" t="str">
        <f t="shared" si="2"/>
        <v/>
      </c>
      <c r="E71" s="9" t="str">
        <f t="shared" si="3"/>
        <v/>
      </c>
      <c r="F71" s="9" t="str">
        <f t="shared" si="4"/>
        <v/>
      </c>
      <c r="G71" s="9" t="str">
        <f t="shared" si="5"/>
        <v/>
      </c>
      <c r="H71" s="9" t="str">
        <f t="shared" si="6"/>
        <v/>
      </c>
      <c r="I71" s="10" t="str">
        <f t="shared" si="7"/>
        <v/>
      </c>
      <c r="J71" s="10" t="str">
        <f t="shared" si="9"/>
        <v/>
      </c>
      <c r="K71" s="11" t="str">
        <f t="shared" si="8"/>
        <v/>
      </c>
      <c r="M71" t="str">
        <f>IFERROR(MATCH($C$5&amp;"|"&amp;RIGHT("000000"&amp;55,6),CalcRankKeyA,0),"")</f>
        <v/>
      </c>
      <c r="N71" t="str">
        <f>IFERROR(MATCH($C$5&amp;"|"&amp;RIGHT("000000"&amp;55,6),CalcRankKeyB,0),"")</f>
        <v/>
      </c>
    </row>
    <row r="72" spans="1:14" x14ac:dyDescent="0.2">
      <c r="A72" s="12">
        <v>56</v>
      </c>
      <c r="B72" s="13" t="str">
        <f t="shared" si="0"/>
        <v/>
      </c>
      <c r="C72" s="13" t="str">
        <f t="shared" si="1"/>
        <v/>
      </c>
      <c r="D72" s="13" t="str">
        <f t="shared" si="2"/>
        <v/>
      </c>
      <c r="E72" s="14" t="str">
        <f t="shared" si="3"/>
        <v/>
      </c>
      <c r="F72" s="14" t="str">
        <f t="shared" si="4"/>
        <v/>
      </c>
      <c r="G72" s="14" t="str">
        <f t="shared" si="5"/>
        <v/>
      </c>
      <c r="H72" s="14" t="str">
        <f t="shared" si="6"/>
        <v/>
      </c>
      <c r="I72" s="15" t="str">
        <f t="shared" si="7"/>
        <v/>
      </c>
      <c r="J72" s="15" t="str">
        <f t="shared" si="9"/>
        <v/>
      </c>
      <c r="K72" s="16" t="str">
        <f t="shared" si="8"/>
        <v/>
      </c>
      <c r="M72" t="str">
        <f>IFERROR(MATCH($C$5&amp;"|"&amp;RIGHT("000000"&amp;56,6),CalcRankKeyA,0),"")</f>
        <v/>
      </c>
      <c r="N72" t="str">
        <f>IFERROR(MATCH($C$5&amp;"|"&amp;RIGHT("000000"&amp;56,6),CalcRankKeyB,0),"")</f>
        <v/>
      </c>
    </row>
    <row r="73" spans="1:14" x14ac:dyDescent="0.2">
      <c r="A73" s="7">
        <v>57</v>
      </c>
      <c r="B73" s="8" t="str">
        <f t="shared" si="0"/>
        <v/>
      </c>
      <c r="C73" s="8" t="str">
        <f t="shared" si="1"/>
        <v/>
      </c>
      <c r="D73" s="8" t="str">
        <f t="shared" si="2"/>
        <v/>
      </c>
      <c r="E73" s="9" t="str">
        <f t="shared" si="3"/>
        <v/>
      </c>
      <c r="F73" s="9" t="str">
        <f t="shared" si="4"/>
        <v/>
      </c>
      <c r="G73" s="9" t="str">
        <f t="shared" si="5"/>
        <v/>
      </c>
      <c r="H73" s="9" t="str">
        <f t="shared" si="6"/>
        <v/>
      </c>
      <c r="I73" s="10" t="str">
        <f t="shared" si="7"/>
        <v/>
      </c>
      <c r="J73" s="10" t="str">
        <f t="shared" si="9"/>
        <v/>
      </c>
      <c r="K73" s="11" t="str">
        <f t="shared" si="8"/>
        <v/>
      </c>
      <c r="M73" t="str">
        <f>IFERROR(MATCH($C$5&amp;"|"&amp;RIGHT("000000"&amp;57,6),CalcRankKeyA,0),"")</f>
        <v/>
      </c>
      <c r="N73" t="str">
        <f>IFERROR(MATCH($C$5&amp;"|"&amp;RIGHT("000000"&amp;57,6),CalcRankKeyB,0),"")</f>
        <v/>
      </c>
    </row>
    <row r="74" spans="1:14" x14ac:dyDescent="0.2">
      <c r="A74" s="12">
        <v>58</v>
      </c>
      <c r="B74" s="13" t="str">
        <f t="shared" si="0"/>
        <v/>
      </c>
      <c r="C74" s="13" t="str">
        <f t="shared" si="1"/>
        <v/>
      </c>
      <c r="D74" s="13" t="str">
        <f t="shared" si="2"/>
        <v/>
      </c>
      <c r="E74" s="14" t="str">
        <f t="shared" si="3"/>
        <v/>
      </c>
      <c r="F74" s="14" t="str">
        <f t="shared" si="4"/>
        <v/>
      </c>
      <c r="G74" s="14" t="str">
        <f t="shared" si="5"/>
        <v/>
      </c>
      <c r="H74" s="14" t="str">
        <f t="shared" si="6"/>
        <v/>
      </c>
      <c r="I74" s="15" t="str">
        <f t="shared" si="7"/>
        <v/>
      </c>
      <c r="J74" s="15" t="str">
        <f t="shared" si="9"/>
        <v/>
      </c>
      <c r="K74" s="16" t="str">
        <f t="shared" si="8"/>
        <v/>
      </c>
      <c r="M74" t="str">
        <f>IFERROR(MATCH($C$5&amp;"|"&amp;RIGHT("000000"&amp;58,6),CalcRankKeyA,0),"")</f>
        <v/>
      </c>
      <c r="N74" t="str">
        <f>IFERROR(MATCH($C$5&amp;"|"&amp;RIGHT("000000"&amp;58,6),CalcRankKeyB,0),"")</f>
        <v/>
      </c>
    </row>
    <row r="75" spans="1:14" x14ac:dyDescent="0.2">
      <c r="A75" s="7">
        <v>59</v>
      </c>
      <c r="B75" s="8" t="str">
        <f t="shared" si="0"/>
        <v/>
      </c>
      <c r="C75" s="8" t="str">
        <f t="shared" si="1"/>
        <v/>
      </c>
      <c r="D75" s="8" t="str">
        <f t="shared" si="2"/>
        <v/>
      </c>
      <c r="E75" s="9" t="str">
        <f t="shared" si="3"/>
        <v/>
      </c>
      <c r="F75" s="9" t="str">
        <f t="shared" si="4"/>
        <v/>
      </c>
      <c r="G75" s="9" t="str">
        <f t="shared" si="5"/>
        <v/>
      </c>
      <c r="H75" s="9" t="str">
        <f t="shared" si="6"/>
        <v/>
      </c>
      <c r="I75" s="10" t="str">
        <f t="shared" si="7"/>
        <v/>
      </c>
      <c r="J75" s="10" t="str">
        <f t="shared" si="9"/>
        <v/>
      </c>
      <c r="K75" s="11" t="str">
        <f t="shared" si="8"/>
        <v/>
      </c>
      <c r="M75" t="str">
        <f>IFERROR(MATCH($C$5&amp;"|"&amp;RIGHT("000000"&amp;59,6),CalcRankKeyA,0),"")</f>
        <v/>
      </c>
      <c r="N75" t="str">
        <f>IFERROR(MATCH($C$5&amp;"|"&amp;RIGHT("000000"&amp;59,6),CalcRankKeyB,0),"")</f>
        <v/>
      </c>
    </row>
    <row r="76" spans="1:14" x14ac:dyDescent="0.2">
      <c r="A76" s="12">
        <v>60</v>
      </c>
      <c r="B76" s="13" t="str">
        <f t="shared" si="0"/>
        <v/>
      </c>
      <c r="C76" s="13" t="str">
        <f t="shared" si="1"/>
        <v/>
      </c>
      <c r="D76" s="13" t="str">
        <f t="shared" si="2"/>
        <v/>
      </c>
      <c r="E76" s="14" t="str">
        <f t="shared" si="3"/>
        <v/>
      </c>
      <c r="F76" s="14" t="str">
        <f t="shared" si="4"/>
        <v/>
      </c>
      <c r="G76" s="14" t="str">
        <f t="shared" si="5"/>
        <v/>
      </c>
      <c r="H76" s="14" t="str">
        <f t="shared" si="6"/>
        <v/>
      </c>
      <c r="I76" s="15" t="str">
        <f t="shared" si="7"/>
        <v/>
      </c>
      <c r="J76" s="15" t="str">
        <f t="shared" si="9"/>
        <v/>
      </c>
      <c r="K76" s="16" t="str">
        <f t="shared" si="8"/>
        <v/>
      </c>
      <c r="M76" t="str">
        <f>IFERROR(MATCH($C$5&amp;"|"&amp;RIGHT("000000"&amp;60,6),CalcRankKeyA,0),"")</f>
        <v/>
      </c>
      <c r="N76" t="str">
        <f>IFERROR(MATCH($C$5&amp;"|"&amp;RIGHT("000000"&amp;60,6),CalcRankKeyB,0),"")</f>
        <v/>
      </c>
    </row>
    <row r="77" spans="1:14" x14ac:dyDescent="0.2">
      <c r="A77" s="7">
        <v>61</v>
      </c>
      <c r="B77" s="8" t="str">
        <f t="shared" si="0"/>
        <v/>
      </c>
      <c r="C77" s="8" t="str">
        <f t="shared" si="1"/>
        <v/>
      </c>
      <c r="D77" s="8" t="str">
        <f t="shared" si="2"/>
        <v/>
      </c>
      <c r="E77" s="9" t="str">
        <f t="shared" si="3"/>
        <v/>
      </c>
      <c r="F77" s="9" t="str">
        <f t="shared" si="4"/>
        <v/>
      </c>
      <c r="G77" s="9" t="str">
        <f t="shared" si="5"/>
        <v/>
      </c>
      <c r="H77" s="9" t="str">
        <f t="shared" si="6"/>
        <v/>
      </c>
      <c r="I77" s="10" t="str">
        <f t="shared" si="7"/>
        <v/>
      </c>
      <c r="J77" s="10" t="str">
        <f t="shared" si="9"/>
        <v/>
      </c>
      <c r="K77" s="11" t="str">
        <f t="shared" si="8"/>
        <v/>
      </c>
      <c r="M77" t="str">
        <f>IFERROR(MATCH($C$5&amp;"|"&amp;RIGHT("000000"&amp;61,6),CalcRankKeyA,0),"")</f>
        <v/>
      </c>
      <c r="N77" t="str">
        <f>IFERROR(MATCH($C$5&amp;"|"&amp;RIGHT("000000"&amp;61,6),CalcRankKeyB,0),"")</f>
        <v/>
      </c>
    </row>
    <row r="78" spans="1:14" x14ac:dyDescent="0.2">
      <c r="A78" s="12">
        <v>62</v>
      </c>
      <c r="B78" s="13" t="str">
        <f t="shared" si="0"/>
        <v/>
      </c>
      <c r="C78" s="13" t="str">
        <f t="shared" si="1"/>
        <v/>
      </c>
      <c r="D78" s="13" t="str">
        <f t="shared" si="2"/>
        <v/>
      </c>
      <c r="E78" s="14" t="str">
        <f t="shared" si="3"/>
        <v/>
      </c>
      <c r="F78" s="14" t="str">
        <f t="shared" si="4"/>
        <v/>
      </c>
      <c r="G78" s="14" t="str">
        <f t="shared" si="5"/>
        <v/>
      </c>
      <c r="H78" s="14" t="str">
        <f t="shared" si="6"/>
        <v/>
      </c>
      <c r="I78" s="15" t="str">
        <f t="shared" si="7"/>
        <v/>
      </c>
      <c r="J78" s="15" t="str">
        <f t="shared" si="9"/>
        <v/>
      </c>
      <c r="K78" s="16" t="str">
        <f t="shared" si="8"/>
        <v/>
      </c>
      <c r="M78" t="str">
        <f>IFERROR(MATCH($C$5&amp;"|"&amp;RIGHT("000000"&amp;62,6),CalcRankKeyA,0),"")</f>
        <v/>
      </c>
      <c r="N78" t="str">
        <f>IFERROR(MATCH($C$5&amp;"|"&amp;RIGHT("000000"&amp;62,6),CalcRankKeyB,0),"")</f>
        <v/>
      </c>
    </row>
    <row r="79" spans="1:14" x14ac:dyDescent="0.2">
      <c r="A79" s="7">
        <v>63</v>
      </c>
      <c r="B79" s="8" t="str">
        <f t="shared" si="0"/>
        <v/>
      </c>
      <c r="C79" s="8" t="str">
        <f t="shared" si="1"/>
        <v/>
      </c>
      <c r="D79" s="8" t="str">
        <f t="shared" si="2"/>
        <v/>
      </c>
      <c r="E79" s="9" t="str">
        <f t="shared" si="3"/>
        <v/>
      </c>
      <c r="F79" s="9" t="str">
        <f t="shared" si="4"/>
        <v/>
      </c>
      <c r="G79" s="9" t="str">
        <f t="shared" si="5"/>
        <v/>
      </c>
      <c r="H79" s="9" t="str">
        <f t="shared" si="6"/>
        <v/>
      </c>
      <c r="I79" s="10" t="str">
        <f t="shared" si="7"/>
        <v/>
      </c>
      <c r="J79" s="10" t="str">
        <f t="shared" si="9"/>
        <v/>
      </c>
      <c r="K79" s="11" t="str">
        <f t="shared" si="8"/>
        <v/>
      </c>
      <c r="M79" t="str">
        <f>IFERROR(MATCH($C$5&amp;"|"&amp;RIGHT("000000"&amp;63,6),CalcRankKeyA,0),"")</f>
        <v/>
      </c>
      <c r="N79" t="str">
        <f>IFERROR(MATCH($C$5&amp;"|"&amp;RIGHT("000000"&amp;63,6),CalcRankKeyB,0),"")</f>
        <v/>
      </c>
    </row>
    <row r="80" spans="1:14" x14ac:dyDescent="0.2">
      <c r="A80" s="12">
        <v>64</v>
      </c>
      <c r="B80" s="13" t="str">
        <f t="shared" si="0"/>
        <v/>
      </c>
      <c r="C80" s="13" t="str">
        <f t="shared" si="1"/>
        <v/>
      </c>
      <c r="D80" s="13" t="str">
        <f t="shared" si="2"/>
        <v/>
      </c>
      <c r="E80" s="14" t="str">
        <f t="shared" si="3"/>
        <v/>
      </c>
      <c r="F80" s="14" t="str">
        <f t="shared" si="4"/>
        <v/>
      </c>
      <c r="G80" s="14" t="str">
        <f t="shared" si="5"/>
        <v/>
      </c>
      <c r="H80" s="14" t="str">
        <f t="shared" si="6"/>
        <v/>
      </c>
      <c r="I80" s="15" t="str">
        <f t="shared" si="7"/>
        <v/>
      </c>
      <c r="J80" s="15" t="str">
        <f t="shared" si="9"/>
        <v/>
      </c>
      <c r="K80" s="16" t="str">
        <f t="shared" si="8"/>
        <v/>
      </c>
      <c r="M80" t="str">
        <f>IFERROR(MATCH($C$5&amp;"|"&amp;RIGHT("000000"&amp;64,6),CalcRankKeyA,0),"")</f>
        <v/>
      </c>
      <c r="N80" t="str">
        <f>IFERROR(MATCH($C$5&amp;"|"&amp;RIGHT("000000"&amp;64,6),CalcRankKeyB,0),"")</f>
        <v/>
      </c>
    </row>
    <row r="81" spans="1:14" x14ac:dyDescent="0.2">
      <c r="A81" s="7">
        <v>65</v>
      </c>
      <c r="B81" s="8" t="str">
        <f t="shared" ref="B81:B144" si="10">IF(AND($M81="",$N81=""),"",IF($M81&lt;&gt;"",INDEX(CalcDateA,$M81),INDEX(CalcDateB,$N81)))</f>
        <v/>
      </c>
      <c r="C81" s="8" t="str">
        <f t="shared" ref="C81:C144" si="11">IF($M81&lt;&gt;"","خرید سبد",IF($N81&lt;&gt;"",IF(N(INDEX(CalcDepB,$N81))&gt;0,"دریافت بانکی","پرداخت بانکی"),""))</f>
        <v/>
      </c>
      <c r="D81" s="8" t="str">
        <f t="shared" ref="D81:D144" si="12">IF($M81&lt;&gt;"",IF(INDEX(CalcDocA,$M81)="","—",INDEX(CalcDocA,$M81)),IF($N81&lt;&gt;"",INDEX(CalcBankB,$N81),""))</f>
        <v/>
      </c>
      <c r="E81" s="9" t="str">
        <f t="shared" ref="E81:E144" si="13">IF($N81&lt;&gt;"",IF(INDEX(CalcDepB,$N81)=0,"",INDEX(CalcDepB,$N81)),"")</f>
        <v/>
      </c>
      <c r="F81" s="9" t="str">
        <f t="shared" ref="F81:F144" si="14">IF($M81&lt;&gt;"",IF(INDEX(CalcQtyA,$M81)=0,"",INDEX(CalcQtyA,$M81)),"")</f>
        <v/>
      </c>
      <c r="G81" s="9" t="str">
        <f t="shared" ref="G81:G144" si="15">IF($M81&lt;&gt;"",IF(INDEX(CalcPriceA,$M81)=0,"",INDEX(CalcPriceA,$M81)),"")</f>
        <v/>
      </c>
      <c r="H81" s="9" t="str">
        <f t="shared" ref="H81:H144" si="16">IF($N81&lt;&gt;"",IF(INDEX(CalcWitB,$N81)=0,"",INDEX(CalcWitB,$N81)),"")</f>
        <v/>
      </c>
      <c r="I81" s="10" t="str">
        <f t="shared" ref="I81:I144" si="17">IF($M81&lt;&gt;"",INDEX(CalcAmtA,$M81),"")</f>
        <v/>
      </c>
      <c r="J81" s="10" t="str">
        <f t="shared" si="9"/>
        <v/>
      </c>
      <c r="K81" s="11" t="str">
        <f t="shared" ref="K81:K144" si="18">IF($M81&lt;&gt;"",IF(INDEX(CalcNoteA,$M81)="","—",INDEX(CalcNoteA,$M81)),IF($N81&lt;&gt;"",IF(INDEX(CalcNoteB,$N81)="","—",INDEX(CalcNoteB,$N81)),""))</f>
        <v/>
      </c>
      <c r="M81" t="str">
        <f>IFERROR(MATCH($C$5&amp;"|"&amp;RIGHT("000000"&amp;65,6),CalcRankKeyA,0),"")</f>
        <v/>
      </c>
      <c r="N81" t="str">
        <f>IFERROR(MATCH($C$5&amp;"|"&amp;RIGHT("000000"&amp;65,6),CalcRankKeyB,0),"")</f>
        <v/>
      </c>
    </row>
    <row r="82" spans="1:14" x14ac:dyDescent="0.2">
      <c r="A82" s="12">
        <v>66</v>
      </c>
      <c r="B82" s="13" t="str">
        <f t="shared" si="10"/>
        <v/>
      </c>
      <c r="C82" s="13" t="str">
        <f t="shared" si="11"/>
        <v/>
      </c>
      <c r="D82" s="13" t="str">
        <f t="shared" si="12"/>
        <v/>
      </c>
      <c r="E82" s="14" t="str">
        <f t="shared" si="13"/>
        <v/>
      </c>
      <c r="F82" s="14" t="str">
        <f t="shared" si="14"/>
        <v/>
      </c>
      <c r="G82" s="14" t="str">
        <f t="shared" si="15"/>
        <v/>
      </c>
      <c r="H82" s="14" t="str">
        <f t="shared" si="16"/>
        <v/>
      </c>
      <c r="I82" s="15" t="str">
        <f t="shared" si="17"/>
        <v/>
      </c>
      <c r="J82" s="15" t="str">
        <f t="shared" ref="J82:J145" si="19">IF($B82="","",IF($J81="",$C$8,$J81)+IF($I82="",0,$I82)+IF($E82="",0,$E82)-IF($H82="",0,$H82))</f>
        <v/>
      </c>
      <c r="K82" s="16" t="str">
        <f t="shared" si="18"/>
        <v/>
      </c>
      <c r="M82" t="str">
        <f>IFERROR(MATCH($C$5&amp;"|"&amp;RIGHT("000000"&amp;66,6),CalcRankKeyA,0),"")</f>
        <v/>
      </c>
      <c r="N82" t="str">
        <f>IFERROR(MATCH($C$5&amp;"|"&amp;RIGHT("000000"&amp;66,6),CalcRankKeyB,0),"")</f>
        <v/>
      </c>
    </row>
    <row r="83" spans="1:14" x14ac:dyDescent="0.2">
      <c r="A83" s="7">
        <v>67</v>
      </c>
      <c r="B83" s="8" t="str">
        <f t="shared" si="10"/>
        <v/>
      </c>
      <c r="C83" s="8" t="str">
        <f t="shared" si="11"/>
        <v/>
      </c>
      <c r="D83" s="8" t="str">
        <f t="shared" si="12"/>
        <v/>
      </c>
      <c r="E83" s="9" t="str">
        <f t="shared" si="13"/>
        <v/>
      </c>
      <c r="F83" s="9" t="str">
        <f t="shared" si="14"/>
        <v/>
      </c>
      <c r="G83" s="9" t="str">
        <f t="shared" si="15"/>
        <v/>
      </c>
      <c r="H83" s="9" t="str">
        <f t="shared" si="16"/>
        <v/>
      </c>
      <c r="I83" s="10" t="str">
        <f t="shared" si="17"/>
        <v/>
      </c>
      <c r="J83" s="10" t="str">
        <f t="shared" si="19"/>
        <v/>
      </c>
      <c r="K83" s="11" t="str">
        <f t="shared" si="18"/>
        <v/>
      </c>
      <c r="M83" t="str">
        <f>IFERROR(MATCH($C$5&amp;"|"&amp;RIGHT("000000"&amp;67,6),CalcRankKeyA,0),"")</f>
        <v/>
      </c>
      <c r="N83" t="str">
        <f>IFERROR(MATCH($C$5&amp;"|"&amp;RIGHT("000000"&amp;67,6),CalcRankKeyB,0),"")</f>
        <v/>
      </c>
    </row>
    <row r="84" spans="1:14" x14ac:dyDescent="0.2">
      <c r="A84" s="12">
        <v>68</v>
      </c>
      <c r="B84" s="13" t="str">
        <f t="shared" si="10"/>
        <v/>
      </c>
      <c r="C84" s="13" t="str">
        <f t="shared" si="11"/>
        <v/>
      </c>
      <c r="D84" s="13" t="str">
        <f t="shared" si="12"/>
        <v/>
      </c>
      <c r="E84" s="14" t="str">
        <f t="shared" si="13"/>
        <v/>
      </c>
      <c r="F84" s="14" t="str">
        <f t="shared" si="14"/>
        <v/>
      </c>
      <c r="G84" s="14" t="str">
        <f t="shared" si="15"/>
        <v/>
      </c>
      <c r="H84" s="14" t="str">
        <f t="shared" si="16"/>
        <v/>
      </c>
      <c r="I84" s="15" t="str">
        <f t="shared" si="17"/>
        <v/>
      </c>
      <c r="J84" s="15" t="str">
        <f t="shared" si="19"/>
        <v/>
      </c>
      <c r="K84" s="16" t="str">
        <f t="shared" si="18"/>
        <v/>
      </c>
      <c r="M84" t="str">
        <f>IFERROR(MATCH($C$5&amp;"|"&amp;RIGHT("000000"&amp;68,6),CalcRankKeyA,0),"")</f>
        <v/>
      </c>
      <c r="N84" t="str">
        <f>IFERROR(MATCH($C$5&amp;"|"&amp;RIGHT("000000"&amp;68,6),CalcRankKeyB,0),"")</f>
        <v/>
      </c>
    </row>
    <row r="85" spans="1:14" x14ac:dyDescent="0.2">
      <c r="A85" s="7">
        <v>69</v>
      </c>
      <c r="B85" s="8" t="str">
        <f t="shared" si="10"/>
        <v/>
      </c>
      <c r="C85" s="8" t="str">
        <f t="shared" si="11"/>
        <v/>
      </c>
      <c r="D85" s="8" t="str">
        <f t="shared" si="12"/>
        <v/>
      </c>
      <c r="E85" s="9" t="str">
        <f t="shared" si="13"/>
        <v/>
      </c>
      <c r="F85" s="9" t="str">
        <f t="shared" si="14"/>
        <v/>
      </c>
      <c r="G85" s="9" t="str">
        <f t="shared" si="15"/>
        <v/>
      </c>
      <c r="H85" s="9" t="str">
        <f t="shared" si="16"/>
        <v/>
      </c>
      <c r="I85" s="10" t="str">
        <f t="shared" si="17"/>
        <v/>
      </c>
      <c r="J85" s="10" t="str">
        <f t="shared" si="19"/>
        <v/>
      </c>
      <c r="K85" s="11" t="str">
        <f t="shared" si="18"/>
        <v/>
      </c>
      <c r="M85" t="str">
        <f>IFERROR(MATCH($C$5&amp;"|"&amp;RIGHT("000000"&amp;69,6),CalcRankKeyA,0),"")</f>
        <v/>
      </c>
      <c r="N85" t="str">
        <f>IFERROR(MATCH($C$5&amp;"|"&amp;RIGHT("000000"&amp;69,6),CalcRankKeyB,0),"")</f>
        <v/>
      </c>
    </row>
    <row r="86" spans="1:14" x14ac:dyDescent="0.2">
      <c r="A86" s="12">
        <v>70</v>
      </c>
      <c r="B86" s="13" t="str">
        <f t="shared" si="10"/>
        <v/>
      </c>
      <c r="C86" s="13" t="str">
        <f t="shared" si="11"/>
        <v/>
      </c>
      <c r="D86" s="13" t="str">
        <f t="shared" si="12"/>
        <v/>
      </c>
      <c r="E86" s="14" t="str">
        <f t="shared" si="13"/>
        <v/>
      </c>
      <c r="F86" s="14" t="str">
        <f t="shared" si="14"/>
        <v/>
      </c>
      <c r="G86" s="14" t="str">
        <f t="shared" si="15"/>
        <v/>
      </c>
      <c r="H86" s="14" t="str">
        <f t="shared" si="16"/>
        <v/>
      </c>
      <c r="I86" s="15" t="str">
        <f t="shared" si="17"/>
        <v/>
      </c>
      <c r="J86" s="15" t="str">
        <f t="shared" si="19"/>
        <v/>
      </c>
      <c r="K86" s="16" t="str">
        <f t="shared" si="18"/>
        <v/>
      </c>
      <c r="M86" t="str">
        <f>IFERROR(MATCH($C$5&amp;"|"&amp;RIGHT("000000"&amp;70,6),CalcRankKeyA,0),"")</f>
        <v/>
      </c>
      <c r="N86" t="str">
        <f>IFERROR(MATCH($C$5&amp;"|"&amp;RIGHT("000000"&amp;70,6),CalcRankKeyB,0),"")</f>
        <v/>
      </c>
    </row>
    <row r="87" spans="1:14" x14ac:dyDescent="0.2">
      <c r="A87" s="7">
        <v>71</v>
      </c>
      <c r="B87" s="8" t="str">
        <f t="shared" si="10"/>
        <v/>
      </c>
      <c r="C87" s="8" t="str">
        <f t="shared" si="11"/>
        <v/>
      </c>
      <c r="D87" s="8" t="str">
        <f t="shared" si="12"/>
        <v/>
      </c>
      <c r="E87" s="9" t="str">
        <f t="shared" si="13"/>
        <v/>
      </c>
      <c r="F87" s="9" t="str">
        <f t="shared" si="14"/>
        <v/>
      </c>
      <c r="G87" s="9" t="str">
        <f t="shared" si="15"/>
        <v/>
      </c>
      <c r="H87" s="9" t="str">
        <f t="shared" si="16"/>
        <v/>
      </c>
      <c r="I87" s="10" t="str">
        <f t="shared" si="17"/>
        <v/>
      </c>
      <c r="J87" s="10" t="str">
        <f t="shared" si="19"/>
        <v/>
      </c>
      <c r="K87" s="11" t="str">
        <f t="shared" si="18"/>
        <v/>
      </c>
      <c r="M87" t="str">
        <f>IFERROR(MATCH($C$5&amp;"|"&amp;RIGHT("000000"&amp;71,6),CalcRankKeyA,0),"")</f>
        <v/>
      </c>
      <c r="N87" t="str">
        <f>IFERROR(MATCH($C$5&amp;"|"&amp;RIGHT("000000"&amp;71,6),CalcRankKeyB,0),"")</f>
        <v/>
      </c>
    </row>
    <row r="88" spans="1:14" x14ac:dyDescent="0.2">
      <c r="A88" s="12">
        <v>72</v>
      </c>
      <c r="B88" s="13" t="str">
        <f t="shared" si="10"/>
        <v/>
      </c>
      <c r="C88" s="13" t="str">
        <f t="shared" si="11"/>
        <v/>
      </c>
      <c r="D88" s="13" t="str">
        <f t="shared" si="12"/>
        <v/>
      </c>
      <c r="E88" s="14" t="str">
        <f t="shared" si="13"/>
        <v/>
      </c>
      <c r="F88" s="14" t="str">
        <f t="shared" si="14"/>
        <v/>
      </c>
      <c r="G88" s="14" t="str">
        <f t="shared" si="15"/>
        <v/>
      </c>
      <c r="H88" s="14" t="str">
        <f t="shared" si="16"/>
        <v/>
      </c>
      <c r="I88" s="15" t="str">
        <f t="shared" si="17"/>
        <v/>
      </c>
      <c r="J88" s="15" t="str">
        <f t="shared" si="19"/>
        <v/>
      </c>
      <c r="K88" s="16" t="str">
        <f t="shared" si="18"/>
        <v/>
      </c>
      <c r="M88" t="str">
        <f>IFERROR(MATCH($C$5&amp;"|"&amp;RIGHT("000000"&amp;72,6),CalcRankKeyA,0),"")</f>
        <v/>
      </c>
      <c r="N88" t="str">
        <f>IFERROR(MATCH($C$5&amp;"|"&amp;RIGHT("000000"&amp;72,6),CalcRankKeyB,0),"")</f>
        <v/>
      </c>
    </row>
    <row r="89" spans="1:14" x14ac:dyDescent="0.2">
      <c r="A89" s="7">
        <v>73</v>
      </c>
      <c r="B89" s="8" t="str">
        <f t="shared" si="10"/>
        <v/>
      </c>
      <c r="C89" s="8" t="str">
        <f t="shared" si="11"/>
        <v/>
      </c>
      <c r="D89" s="8" t="str">
        <f t="shared" si="12"/>
        <v/>
      </c>
      <c r="E89" s="9" t="str">
        <f t="shared" si="13"/>
        <v/>
      </c>
      <c r="F89" s="9" t="str">
        <f t="shared" si="14"/>
        <v/>
      </c>
      <c r="G89" s="9" t="str">
        <f t="shared" si="15"/>
        <v/>
      </c>
      <c r="H89" s="9" t="str">
        <f t="shared" si="16"/>
        <v/>
      </c>
      <c r="I89" s="10" t="str">
        <f t="shared" si="17"/>
        <v/>
      </c>
      <c r="J89" s="10" t="str">
        <f t="shared" si="19"/>
        <v/>
      </c>
      <c r="K89" s="11" t="str">
        <f t="shared" si="18"/>
        <v/>
      </c>
      <c r="M89" t="str">
        <f>IFERROR(MATCH($C$5&amp;"|"&amp;RIGHT("000000"&amp;73,6),CalcRankKeyA,0),"")</f>
        <v/>
      </c>
      <c r="N89" t="str">
        <f>IFERROR(MATCH($C$5&amp;"|"&amp;RIGHT("000000"&amp;73,6),CalcRankKeyB,0),"")</f>
        <v/>
      </c>
    </row>
    <row r="90" spans="1:14" x14ac:dyDescent="0.2">
      <c r="A90" s="12">
        <v>74</v>
      </c>
      <c r="B90" s="13" t="str">
        <f t="shared" si="10"/>
        <v/>
      </c>
      <c r="C90" s="13" t="str">
        <f t="shared" si="11"/>
        <v/>
      </c>
      <c r="D90" s="13" t="str">
        <f t="shared" si="12"/>
        <v/>
      </c>
      <c r="E90" s="14" t="str">
        <f t="shared" si="13"/>
        <v/>
      </c>
      <c r="F90" s="14" t="str">
        <f t="shared" si="14"/>
        <v/>
      </c>
      <c r="G90" s="14" t="str">
        <f t="shared" si="15"/>
        <v/>
      </c>
      <c r="H90" s="14" t="str">
        <f t="shared" si="16"/>
        <v/>
      </c>
      <c r="I90" s="15" t="str">
        <f t="shared" si="17"/>
        <v/>
      </c>
      <c r="J90" s="15" t="str">
        <f t="shared" si="19"/>
        <v/>
      </c>
      <c r="K90" s="16" t="str">
        <f t="shared" si="18"/>
        <v/>
      </c>
      <c r="M90" t="str">
        <f>IFERROR(MATCH($C$5&amp;"|"&amp;RIGHT("000000"&amp;74,6),CalcRankKeyA,0),"")</f>
        <v/>
      </c>
      <c r="N90" t="str">
        <f>IFERROR(MATCH($C$5&amp;"|"&amp;RIGHT("000000"&amp;74,6),CalcRankKeyB,0),"")</f>
        <v/>
      </c>
    </row>
    <row r="91" spans="1:14" x14ac:dyDescent="0.2">
      <c r="A91" s="7">
        <v>75</v>
      </c>
      <c r="B91" s="8" t="str">
        <f t="shared" si="10"/>
        <v/>
      </c>
      <c r="C91" s="8" t="str">
        <f t="shared" si="11"/>
        <v/>
      </c>
      <c r="D91" s="8" t="str">
        <f t="shared" si="12"/>
        <v/>
      </c>
      <c r="E91" s="9" t="str">
        <f t="shared" si="13"/>
        <v/>
      </c>
      <c r="F91" s="9" t="str">
        <f t="shared" si="14"/>
        <v/>
      </c>
      <c r="G91" s="9" t="str">
        <f t="shared" si="15"/>
        <v/>
      </c>
      <c r="H91" s="9" t="str">
        <f t="shared" si="16"/>
        <v/>
      </c>
      <c r="I91" s="10" t="str">
        <f t="shared" si="17"/>
        <v/>
      </c>
      <c r="J91" s="10" t="str">
        <f t="shared" si="19"/>
        <v/>
      </c>
      <c r="K91" s="11" t="str">
        <f t="shared" si="18"/>
        <v/>
      </c>
      <c r="M91" t="str">
        <f>IFERROR(MATCH($C$5&amp;"|"&amp;RIGHT("000000"&amp;75,6),CalcRankKeyA,0),"")</f>
        <v/>
      </c>
      <c r="N91" t="str">
        <f>IFERROR(MATCH($C$5&amp;"|"&amp;RIGHT("000000"&amp;75,6),CalcRankKeyB,0),"")</f>
        <v/>
      </c>
    </row>
    <row r="92" spans="1:14" x14ac:dyDescent="0.2">
      <c r="A92" s="12">
        <v>76</v>
      </c>
      <c r="B92" s="13" t="str">
        <f t="shared" si="10"/>
        <v/>
      </c>
      <c r="C92" s="13" t="str">
        <f t="shared" si="11"/>
        <v/>
      </c>
      <c r="D92" s="13" t="str">
        <f t="shared" si="12"/>
        <v/>
      </c>
      <c r="E92" s="14" t="str">
        <f t="shared" si="13"/>
        <v/>
      </c>
      <c r="F92" s="14" t="str">
        <f t="shared" si="14"/>
        <v/>
      </c>
      <c r="G92" s="14" t="str">
        <f t="shared" si="15"/>
        <v/>
      </c>
      <c r="H92" s="14" t="str">
        <f t="shared" si="16"/>
        <v/>
      </c>
      <c r="I92" s="15" t="str">
        <f t="shared" si="17"/>
        <v/>
      </c>
      <c r="J92" s="15" t="str">
        <f t="shared" si="19"/>
        <v/>
      </c>
      <c r="K92" s="16" t="str">
        <f t="shared" si="18"/>
        <v/>
      </c>
      <c r="M92" t="str">
        <f>IFERROR(MATCH($C$5&amp;"|"&amp;RIGHT("000000"&amp;76,6),CalcRankKeyA,0),"")</f>
        <v/>
      </c>
      <c r="N92" t="str">
        <f>IFERROR(MATCH($C$5&amp;"|"&amp;RIGHT("000000"&amp;76,6),CalcRankKeyB,0),"")</f>
        <v/>
      </c>
    </row>
    <row r="93" spans="1:14" x14ac:dyDescent="0.2">
      <c r="A93" s="7">
        <v>77</v>
      </c>
      <c r="B93" s="8" t="str">
        <f t="shared" si="10"/>
        <v/>
      </c>
      <c r="C93" s="8" t="str">
        <f t="shared" si="11"/>
        <v/>
      </c>
      <c r="D93" s="8" t="str">
        <f t="shared" si="12"/>
        <v/>
      </c>
      <c r="E93" s="9" t="str">
        <f t="shared" si="13"/>
        <v/>
      </c>
      <c r="F93" s="9" t="str">
        <f t="shared" si="14"/>
        <v/>
      </c>
      <c r="G93" s="9" t="str">
        <f t="shared" si="15"/>
        <v/>
      </c>
      <c r="H93" s="9" t="str">
        <f t="shared" si="16"/>
        <v/>
      </c>
      <c r="I93" s="10" t="str">
        <f t="shared" si="17"/>
        <v/>
      </c>
      <c r="J93" s="10" t="str">
        <f t="shared" si="19"/>
        <v/>
      </c>
      <c r="K93" s="11" t="str">
        <f t="shared" si="18"/>
        <v/>
      </c>
      <c r="M93" t="str">
        <f>IFERROR(MATCH($C$5&amp;"|"&amp;RIGHT("000000"&amp;77,6),CalcRankKeyA,0),"")</f>
        <v/>
      </c>
      <c r="N93" t="str">
        <f>IFERROR(MATCH($C$5&amp;"|"&amp;RIGHT("000000"&amp;77,6),CalcRankKeyB,0),"")</f>
        <v/>
      </c>
    </row>
    <row r="94" spans="1:14" x14ac:dyDescent="0.2">
      <c r="A94" s="12">
        <v>78</v>
      </c>
      <c r="B94" s="13" t="str">
        <f t="shared" si="10"/>
        <v/>
      </c>
      <c r="C94" s="13" t="str">
        <f t="shared" si="11"/>
        <v/>
      </c>
      <c r="D94" s="13" t="str">
        <f t="shared" si="12"/>
        <v/>
      </c>
      <c r="E94" s="14" t="str">
        <f t="shared" si="13"/>
        <v/>
      </c>
      <c r="F94" s="14" t="str">
        <f t="shared" si="14"/>
        <v/>
      </c>
      <c r="G94" s="14" t="str">
        <f t="shared" si="15"/>
        <v/>
      </c>
      <c r="H94" s="14" t="str">
        <f t="shared" si="16"/>
        <v/>
      </c>
      <c r="I94" s="15" t="str">
        <f t="shared" si="17"/>
        <v/>
      </c>
      <c r="J94" s="15" t="str">
        <f t="shared" si="19"/>
        <v/>
      </c>
      <c r="K94" s="16" t="str">
        <f t="shared" si="18"/>
        <v/>
      </c>
      <c r="M94" t="str">
        <f>IFERROR(MATCH($C$5&amp;"|"&amp;RIGHT("000000"&amp;78,6),CalcRankKeyA,0),"")</f>
        <v/>
      </c>
      <c r="N94" t="str">
        <f>IFERROR(MATCH($C$5&amp;"|"&amp;RIGHT("000000"&amp;78,6),CalcRankKeyB,0),"")</f>
        <v/>
      </c>
    </row>
    <row r="95" spans="1:14" x14ac:dyDescent="0.2">
      <c r="A95" s="7">
        <v>79</v>
      </c>
      <c r="B95" s="8" t="str">
        <f t="shared" si="10"/>
        <v/>
      </c>
      <c r="C95" s="8" t="str">
        <f t="shared" si="11"/>
        <v/>
      </c>
      <c r="D95" s="8" t="str">
        <f t="shared" si="12"/>
        <v/>
      </c>
      <c r="E95" s="9" t="str">
        <f t="shared" si="13"/>
        <v/>
      </c>
      <c r="F95" s="9" t="str">
        <f t="shared" si="14"/>
        <v/>
      </c>
      <c r="G95" s="9" t="str">
        <f t="shared" si="15"/>
        <v/>
      </c>
      <c r="H95" s="9" t="str">
        <f t="shared" si="16"/>
        <v/>
      </c>
      <c r="I95" s="10" t="str">
        <f t="shared" si="17"/>
        <v/>
      </c>
      <c r="J95" s="10" t="str">
        <f t="shared" si="19"/>
        <v/>
      </c>
      <c r="K95" s="11" t="str">
        <f t="shared" si="18"/>
        <v/>
      </c>
      <c r="M95" t="str">
        <f>IFERROR(MATCH($C$5&amp;"|"&amp;RIGHT("000000"&amp;79,6),CalcRankKeyA,0),"")</f>
        <v/>
      </c>
      <c r="N95" t="str">
        <f>IFERROR(MATCH($C$5&amp;"|"&amp;RIGHT("000000"&amp;79,6),CalcRankKeyB,0),"")</f>
        <v/>
      </c>
    </row>
    <row r="96" spans="1:14" x14ac:dyDescent="0.2">
      <c r="A96" s="12">
        <v>80</v>
      </c>
      <c r="B96" s="13" t="str">
        <f t="shared" si="10"/>
        <v/>
      </c>
      <c r="C96" s="13" t="str">
        <f t="shared" si="11"/>
        <v/>
      </c>
      <c r="D96" s="13" t="str">
        <f t="shared" si="12"/>
        <v/>
      </c>
      <c r="E96" s="14" t="str">
        <f t="shared" si="13"/>
        <v/>
      </c>
      <c r="F96" s="14" t="str">
        <f t="shared" si="14"/>
        <v/>
      </c>
      <c r="G96" s="14" t="str">
        <f t="shared" si="15"/>
        <v/>
      </c>
      <c r="H96" s="14" t="str">
        <f t="shared" si="16"/>
        <v/>
      </c>
      <c r="I96" s="15" t="str">
        <f t="shared" si="17"/>
        <v/>
      </c>
      <c r="J96" s="15" t="str">
        <f t="shared" si="19"/>
        <v/>
      </c>
      <c r="K96" s="16" t="str">
        <f t="shared" si="18"/>
        <v/>
      </c>
      <c r="M96" t="str">
        <f>IFERROR(MATCH($C$5&amp;"|"&amp;RIGHT("000000"&amp;80,6),CalcRankKeyA,0),"")</f>
        <v/>
      </c>
      <c r="N96" t="str">
        <f>IFERROR(MATCH($C$5&amp;"|"&amp;RIGHT("000000"&amp;80,6),CalcRankKeyB,0),"")</f>
        <v/>
      </c>
    </row>
    <row r="97" spans="1:14" x14ac:dyDescent="0.2">
      <c r="A97" s="7">
        <v>81</v>
      </c>
      <c r="B97" s="8" t="str">
        <f t="shared" si="10"/>
        <v/>
      </c>
      <c r="C97" s="8" t="str">
        <f t="shared" si="11"/>
        <v/>
      </c>
      <c r="D97" s="8" t="str">
        <f t="shared" si="12"/>
        <v/>
      </c>
      <c r="E97" s="9" t="str">
        <f t="shared" si="13"/>
        <v/>
      </c>
      <c r="F97" s="9" t="str">
        <f t="shared" si="14"/>
        <v/>
      </c>
      <c r="G97" s="9" t="str">
        <f t="shared" si="15"/>
        <v/>
      </c>
      <c r="H97" s="9" t="str">
        <f t="shared" si="16"/>
        <v/>
      </c>
      <c r="I97" s="10" t="str">
        <f t="shared" si="17"/>
        <v/>
      </c>
      <c r="J97" s="10" t="str">
        <f t="shared" si="19"/>
        <v/>
      </c>
      <c r="K97" s="11" t="str">
        <f t="shared" si="18"/>
        <v/>
      </c>
      <c r="M97" t="str">
        <f>IFERROR(MATCH($C$5&amp;"|"&amp;RIGHT("000000"&amp;81,6),CalcRankKeyA,0),"")</f>
        <v/>
      </c>
      <c r="N97" t="str">
        <f>IFERROR(MATCH($C$5&amp;"|"&amp;RIGHT("000000"&amp;81,6),CalcRankKeyB,0),"")</f>
        <v/>
      </c>
    </row>
    <row r="98" spans="1:14" x14ac:dyDescent="0.2">
      <c r="A98" s="12">
        <v>82</v>
      </c>
      <c r="B98" s="13" t="str">
        <f t="shared" si="10"/>
        <v/>
      </c>
      <c r="C98" s="13" t="str">
        <f t="shared" si="11"/>
        <v/>
      </c>
      <c r="D98" s="13" t="str">
        <f t="shared" si="12"/>
        <v/>
      </c>
      <c r="E98" s="14" t="str">
        <f t="shared" si="13"/>
        <v/>
      </c>
      <c r="F98" s="14" t="str">
        <f t="shared" si="14"/>
        <v/>
      </c>
      <c r="G98" s="14" t="str">
        <f t="shared" si="15"/>
        <v/>
      </c>
      <c r="H98" s="14" t="str">
        <f t="shared" si="16"/>
        <v/>
      </c>
      <c r="I98" s="15" t="str">
        <f t="shared" si="17"/>
        <v/>
      </c>
      <c r="J98" s="15" t="str">
        <f t="shared" si="19"/>
        <v/>
      </c>
      <c r="K98" s="16" t="str">
        <f t="shared" si="18"/>
        <v/>
      </c>
      <c r="M98" t="str">
        <f>IFERROR(MATCH($C$5&amp;"|"&amp;RIGHT("000000"&amp;82,6),CalcRankKeyA,0),"")</f>
        <v/>
      </c>
      <c r="N98" t="str">
        <f>IFERROR(MATCH($C$5&amp;"|"&amp;RIGHT("000000"&amp;82,6),CalcRankKeyB,0),"")</f>
        <v/>
      </c>
    </row>
    <row r="99" spans="1:14" x14ac:dyDescent="0.2">
      <c r="A99" s="7">
        <v>83</v>
      </c>
      <c r="B99" s="8" t="str">
        <f t="shared" si="10"/>
        <v/>
      </c>
      <c r="C99" s="8" t="str">
        <f t="shared" si="11"/>
        <v/>
      </c>
      <c r="D99" s="8" t="str">
        <f t="shared" si="12"/>
        <v/>
      </c>
      <c r="E99" s="9" t="str">
        <f t="shared" si="13"/>
        <v/>
      </c>
      <c r="F99" s="9" t="str">
        <f t="shared" si="14"/>
        <v/>
      </c>
      <c r="G99" s="9" t="str">
        <f t="shared" si="15"/>
        <v/>
      </c>
      <c r="H99" s="9" t="str">
        <f t="shared" si="16"/>
        <v/>
      </c>
      <c r="I99" s="10" t="str">
        <f t="shared" si="17"/>
        <v/>
      </c>
      <c r="J99" s="10" t="str">
        <f t="shared" si="19"/>
        <v/>
      </c>
      <c r="K99" s="11" t="str">
        <f t="shared" si="18"/>
        <v/>
      </c>
      <c r="M99" t="str">
        <f>IFERROR(MATCH($C$5&amp;"|"&amp;RIGHT("000000"&amp;83,6),CalcRankKeyA,0),"")</f>
        <v/>
      </c>
      <c r="N99" t="str">
        <f>IFERROR(MATCH($C$5&amp;"|"&amp;RIGHT("000000"&amp;83,6),CalcRankKeyB,0),"")</f>
        <v/>
      </c>
    </row>
    <row r="100" spans="1:14" x14ac:dyDescent="0.2">
      <c r="A100" s="12">
        <v>84</v>
      </c>
      <c r="B100" s="13" t="str">
        <f t="shared" si="10"/>
        <v/>
      </c>
      <c r="C100" s="13" t="str">
        <f t="shared" si="11"/>
        <v/>
      </c>
      <c r="D100" s="13" t="str">
        <f t="shared" si="12"/>
        <v/>
      </c>
      <c r="E100" s="14" t="str">
        <f t="shared" si="13"/>
        <v/>
      </c>
      <c r="F100" s="14" t="str">
        <f t="shared" si="14"/>
        <v/>
      </c>
      <c r="G100" s="14" t="str">
        <f t="shared" si="15"/>
        <v/>
      </c>
      <c r="H100" s="14" t="str">
        <f t="shared" si="16"/>
        <v/>
      </c>
      <c r="I100" s="15" t="str">
        <f t="shared" si="17"/>
        <v/>
      </c>
      <c r="J100" s="15" t="str">
        <f t="shared" si="19"/>
        <v/>
      </c>
      <c r="K100" s="16" t="str">
        <f t="shared" si="18"/>
        <v/>
      </c>
      <c r="M100" t="str">
        <f>IFERROR(MATCH($C$5&amp;"|"&amp;RIGHT("000000"&amp;84,6),CalcRankKeyA,0),"")</f>
        <v/>
      </c>
      <c r="N100" t="str">
        <f>IFERROR(MATCH($C$5&amp;"|"&amp;RIGHT("000000"&amp;84,6),CalcRankKeyB,0),"")</f>
        <v/>
      </c>
    </row>
    <row r="101" spans="1:14" x14ac:dyDescent="0.2">
      <c r="A101" s="7">
        <v>85</v>
      </c>
      <c r="B101" s="8" t="str">
        <f t="shared" si="10"/>
        <v/>
      </c>
      <c r="C101" s="8" t="str">
        <f t="shared" si="11"/>
        <v/>
      </c>
      <c r="D101" s="8" t="str">
        <f t="shared" si="12"/>
        <v/>
      </c>
      <c r="E101" s="9" t="str">
        <f t="shared" si="13"/>
        <v/>
      </c>
      <c r="F101" s="9" t="str">
        <f t="shared" si="14"/>
        <v/>
      </c>
      <c r="G101" s="9" t="str">
        <f t="shared" si="15"/>
        <v/>
      </c>
      <c r="H101" s="9" t="str">
        <f t="shared" si="16"/>
        <v/>
      </c>
      <c r="I101" s="10" t="str">
        <f t="shared" si="17"/>
        <v/>
      </c>
      <c r="J101" s="10" t="str">
        <f t="shared" si="19"/>
        <v/>
      </c>
      <c r="K101" s="11" t="str">
        <f t="shared" si="18"/>
        <v/>
      </c>
      <c r="M101" t="str">
        <f>IFERROR(MATCH($C$5&amp;"|"&amp;RIGHT("000000"&amp;85,6),CalcRankKeyA,0),"")</f>
        <v/>
      </c>
      <c r="N101" t="str">
        <f>IFERROR(MATCH($C$5&amp;"|"&amp;RIGHT("000000"&amp;85,6),CalcRankKeyB,0),"")</f>
        <v/>
      </c>
    </row>
    <row r="102" spans="1:14" x14ac:dyDescent="0.2">
      <c r="A102" s="12">
        <v>86</v>
      </c>
      <c r="B102" s="13" t="str">
        <f t="shared" si="10"/>
        <v/>
      </c>
      <c r="C102" s="13" t="str">
        <f t="shared" si="11"/>
        <v/>
      </c>
      <c r="D102" s="13" t="str">
        <f t="shared" si="12"/>
        <v/>
      </c>
      <c r="E102" s="14" t="str">
        <f t="shared" si="13"/>
        <v/>
      </c>
      <c r="F102" s="14" t="str">
        <f t="shared" si="14"/>
        <v/>
      </c>
      <c r="G102" s="14" t="str">
        <f t="shared" si="15"/>
        <v/>
      </c>
      <c r="H102" s="14" t="str">
        <f t="shared" si="16"/>
        <v/>
      </c>
      <c r="I102" s="15" t="str">
        <f t="shared" si="17"/>
        <v/>
      </c>
      <c r="J102" s="15" t="str">
        <f t="shared" si="19"/>
        <v/>
      </c>
      <c r="K102" s="16" t="str">
        <f t="shared" si="18"/>
        <v/>
      </c>
      <c r="M102" t="str">
        <f>IFERROR(MATCH($C$5&amp;"|"&amp;RIGHT("000000"&amp;86,6),CalcRankKeyA,0),"")</f>
        <v/>
      </c>
      <c r="N102" t="str">
        <f>IFERROR(MATCH($C$5&amp;"|"&amp;RIGHT("000000"&amp;86,6),CalcRankKeyB,0),"")</f>
        <v/>
      </c>
    </row>
    <row r="103" spans="1:14" x14ac:dyDescent="0.2">
      <c r="A103" s="7">
        <v>87</v>
      </c>
      <c r="B103" s="8" t="str">
        <f t="shared" si="10"/>
        <v/>
      </c>
      <c r="C103" s="8" t="str">
        <f t="shared" si="11"/>
        <v/>
      </c>
      <c r="D103" s="8" t="str">
        <f t="shared" si="12"/>
        <v/>
      </c>
      <c r="E103" s="9" t="str">
        <f t="shared" si="13"/>
        <v/>
      </c>
      <c r="F103" s="9" t="str">
        <f t="shared" si="14"/>
        <v/>
      </c>
      <c r="G103" s="9" t="str">
        <f t="shared" si="15"/>
        <v/>
      </c>
      <c r="H103" s="9" t="str">
        <f t="shared" si="16"/>
        <v/>
      </c>
      <c r="I103" s="10" t="str">
        <f t="shared" si="17"/>
        <v/>
      </c>
      <c r="J103" s="10" t="str">
        <f t="shared" si="19"/>
        <v/>
      </c>
      <c r="K103" s="11" t="str">
        <f t="shared" si="18"/>
        <v/>
      </c>
      <c r="M103" t="str">
        <f>IFERROR(MATCH($C$5&amp;"|"&amp;RIGHT("000000"&amp;87,6),CalcRankKeyA,0),"")</f>
        <v/>
      </c>
      <c r="N103" t="str">
        <f>IFERROR(MATCH($C$5&amp;"|"&amp;RIGHT("000000"&amp;87,6),CalcRankKeyB,0),"")</f>
        <v/>
      </c>
    </row>
    <row r="104" spans="1:14" x14ac:dyDescent="0.2">
      <c r="A104" s="12">
        <v>88</v>
      </c>
      <c r="B104" s="13" t="str">
        <f t="shared" si="10"/>
        <v/>
      </c>
      <c r="C104" s="13" t="str">
        <f t="shared" si="11"/>
        <v/>
      </c>
      <c r="D104" s="13" t="str">
        <f t="shared" si="12"/>
        <v/>
      </c>
      <c r="E104" s="14" t="str">
        <f t="shared" si="13"/>
        <v/>
      </c>
      <c r="F104" s="14" t="str">
        <f t="shared" si="14"/>
        <v/>
      </c>
      <c r="G104" s="14" t="str">
        <f t="shared" si="15"/>
        <v/>
      </c>
      <c r="H104" s="14" t="str">
        <f t="shared" si="16"/>
        <v/>
      </c>
      <c r="I104" s="15" t="str">
        <f t="shared" si="17"/>
        <v/>
      </c>
      <c r="J104" s="15" t="str">
        <f t="shared" si="19"/>
        <v/>
      </c>
      <c r="K104" s="16" t="str">
        <f t="shared" si="18"/>
        <v/>
      </c>
      <c r="M104" t="str">
        <f>IFERROR(MATCH($C$5&amp;"|"&amp;RIGHT("000000"&amp;88,6),CalcRankKeyA,0),"")</f>
        <v/>
      </c>
      <c r="N104" t="str">
        <f>IFERROR(MATCH($C$5&amp;"|"&amp;RIGHT("000000"&amp;88,6),CalcRankKeyB,0),"")</f>
        <v/>
      </c>
    </row>
    <row r="105" spans="1:14" x14ac:dyDescent="0.2">
      <c r="A105" s="7">
        <v>89</v>
      </c>
      <c r="B105" s="8" t="str">
        <f t="shared" si="10"/>
        <v/>
      </c>
      <c r="C105" s="8" t="str">
        <f t="shared" si="11"/>
        <v/>
      </c>
      <c r="D105" s="8" t="str">
        <f t="shared" si="12"/>
        <v/>
      </c>
      <c r="E105" s="9" t="str">
        <f t="shared" si="13"/>
        <v/>
      </c>
      <c r="F105" s="9" t="str">
        <f t="shared" si="14"/>
        <v/>
      </c>
      <c r="G105" s="9" t="str">
        <f t="shared" si="15"/>
        <v/>
      </c>
      <c r="H105" s="9" t="str">
        <f t="shared" si="16"/>
        <v/>
      </c>
      <c r="I105" s="10" t="str">
        <f t="shared" si="17"/>
        <v/>
      </c>
      <c r="J105" s="10" t="str">
        <f t="shared" si="19"/>
        <v/>
      </c>
      <c r="K105" s="11" t="str">
        <f t="shared" si="18"/>
        <v/>
      </c>
      <c r="M105" t="str">
        <f>IFERROR(MATCH($C$5&amp;"|"&amp;RIGHT("000000"&amp;89,6),CalcRankKeyA,0),"")</f>
        <v/>
      </c>
      <c r="N105" t="str">
        <f>IFERROR(MATCH($C$5&amp;"|"&amp;RIGHT("000000"&amp;89,6),CalcRankKeyB,0),"")</f>
        <v/>
      </c>
    </row>
    <row r="106" spans="1:14" x14ac:dyDescent="0.2">
      <c r="A106" s="12">
        <v>90</v>
      </c>
      <c r="B106" s="13" t="str">
        <f t="shared" si="10"/>
        <v/>
      </c>
      <c r="C106" s="13" t="str">
        <f t="shared" si="11"/>
        <v/>
      </c>
      <c r="D106" s="13" t="str">
        <f t="shared" si="12"/>
        <v/>
      </c>
      <c r="E106" s="14" t="str">
        <f t="shared" si="13"/>
        <v/>
      </c>
      <c r="F106" s="14" t="str">
        <f t="shared" si="14"/>
        <v/>
      </c>
      <c r="G106" s="14" t="str">
        <f t="shared" si="15"/>
        <v/>
      </c>
      <c r="H106" s="14" t="str">
        <f t="shared" si="16"/>
        <v/>
      </c>
      <c r="I106" s="15" t="str">
        <f t="shared" si="17"/>
        <v/>
      </c>
      <c r="J106" s="15" t="str">
        <f t="shared" si="19"/>
        <v/>
      </c>
      <c r="K106" s="16" t="str">
        <f t="shared" si="18"/>
        <v/>
      </c>
      <c r="M106" t="str">
        <f>IFERROR(MATCH($C$5&amp;"|"&amp;RIGHT("000000"&amp;90,6),CalcRankKeyA,0),"")</f>
        <v/>
      </c>
      <c r="N106" t="str">
        <f>IFERROR(MATCH($C$5&amp;"|"&amp;RIGHT("000000"&amp;90,6),CalcRankKeyB,0),"")</f>
        <v/>
      </c>
    </row>
    <row r="107" spans="1:14" x14ac:dyDescent="0.2">
      <c r="A107" s="7">
        <v>91</v>
      </c>
      <c r="B107" s="8" t="str">
        <f t="shared" si="10"/>
        <v/>
      </c>
      <c r="C107" s="8" t="str">
        <f t="shared" si="11"/>
        <v/>
      </c>
      <c r="D107" s="8" t="str">
        <f t="shared" si="12"/>
        <v/>
      </c>
      <c r="E107" s="9" t="str">
        <f t="shared" si="13"/>
        <v/>
      </c>
      <c r="F107" s="9" t="str">
        <f t="shared" si="14"/>
        <v/>
      </c>
      <c r="G107" s="9" t="str">
        <f t="shared" si="15"/>
        <v/>
      </c>
      <c r="H107" s="9" t="str">
        <f t="shared" si="16"/>
        <v/>
      </c>
      <c r="I107" s="10" t="str">
        <f t="shared" si="17"/>
        <v/>
      </c>
      <c r="J107" s="10" t="str">
        <f t="shared" si="19"/>
        <v/>
      </c>
      <c r="K107" s="11" t="str">
        <f t="shared" si="18"/>
        <v/>
      </c>
      <c r="M107" t="str">
        <f>IFERROR(MATCH($C$5&amp;"|"&amp;RIGHT("000000"&amp;91,6),CalcRankKeyA,0),"")</f>
        <v/>
      </c>
      <c r="N107" t="str">
        <f>IFERROR(MATCH($C$5&amp;"|"&amp;RIGHT("000000"&amp;91,6),CalcRankKeyB,0),"")</f>
        <v/>
      </c>
    </row>
    <row r="108" spans="1:14" x14ac:dyDescent="0.2">
      <c r="A108" s="12">
        <v>92</v>
      </c>
      <c r="B108" s="13" t="str">
        <f t="shared" si="10"/>
        <v/>
      </c>
      <c r="C108" s="13" t="str">
        <f t="shared" si="11"/>
        <v/>
      </c>
      <c r="D108" s="13" t="str">
        <f t="shared" si="12"/>
        <v/>
      </c>
      <c r="E108" s="14" t="str">
        <f t="shared" si="13"/>
        <v/>
      </c>
      <c r="F108" s="14" t="str">
        <f t="shared" si="14"/>
        <v/>
      </c>
      <c r="G108" s="14" t="str">
        <f t="shared" si="15"/>
        <v/>
      </c>
      <c r="H108" s="14" t="str">
        <f t="shared" si="16"/>
        <v/>
      </c>
      <c r="I108" s="15" t="str">
        <f t="shared" si="17"/>
        <v/>
      </c>
      <c r="J108" s="15" t="str">
        <f t="shared" si="19"/>
        <v/>
      </c>
      <c r="K108" s="16" t="str">
        <f t="shared" si="18"/>
        <v/>
      </c>
      <c r="M108" t="str">
        <f>IFERROR(MATCH($C$5&amp;"|"&amp;RIGHT("000000"&amp;92,6),CalcRankKeyA,0),"")</f>
        <v/>
      </c>
      <c r="N108" t="str">
        <f>IFERROR(MATCH($C$5&amp;"|"&amp;RIGHT("000000"&amp;92,6),CalcRankKeyB,0),"")</f>
        <v/>
      </c>
    </row>
    <row r="109" spans="1:14" x14ac:dyDescent="0.2">
      <c r="A109" s="7">
        <v>93</v>
      </c>
      <c r="B109" s="8" t="str">
        <f t="shared" si="10"/>
        <v/>
      </c>
      <c r="C109" s="8" t="str">
        <f t="shared" si="11"/>
        <v/>
      </c>
      <c r="D109" s="8" t="str">
        <f t="shared" si="12"/>
        <v/>
      </c>
      <c r="E109" s="9" t="str">
        <f t="shared" si="13"/>
        <v/>
      </c>
      <c r="F109" s="9" t="str">
        <f t="shared" si="14"/>
        <v/>
      </c>
      <c r="G109" s="9" t="str">
        <f t="shared" si="15"/>
        <v/>
      </c>
      <c r="H109" s="9" t="str">
        <f t="shared" si="16"/>
        <v/>
      </c>
      <c r="I109" s="10" t="str">
        <f t="shared" si="17"/>
        <v/>
      </c>
      <c r="J109" s="10" t="str">
        <f t="shared" si="19"/>
        <v/>
      </c>
      <c r="K109" s="11" t="str">
        <f t="shared" si="18"/>
        <v/>
      </c>
      <c r="M109" t="str">
        <f>IFERROR(MATCH($C$5&amp;"|"&amp;RIGHT("000000"&amp;93,6),CalcRankKeyA,0),"")</f>
        <v/>
      </c>
      <c r="N109" t="str">
        <f>IFERROR(MATCH($C$5&amp;"|"&amp;RIGHT("000000"&amp;93,6),CalcRankKeyB,0),"")</f>
        <v/>
      </c>
    </row>
    <row r="110" spans="1:14" x14ac:dyDescent="0.2">
      <c r="A110" s="12">
        <v>94</v>
      </c>
      <c r="B110" s="13" t="str">
        <f t="shared" si="10"/>
        <v/>
      </c>
      <c r="C110" s="13" t="str">
        <f t="shared" si="11"/>
        <v/>
      </c>
      <c r="D110" s="13" t="str">
        <f t="shared" si="12"/>
        <v/>
      </c>
      <c r="E110" s="14" t="str">
        <f t="shared" si="13"/>
        <v/>
      </c>
      <c r="F110" s="14" t="str">
        <f t="shared" si="14"/>
        <v/>
      </c>
      <c r="G110" s="14" t="str">
        <f t="shared" si="15"/>
        <v/>
      </c>
      <c r="H110" s="14" t="str">
        <f t="shared" si="16"/>
        <v/>
      </c>
      <c r="I110" s="15" t="str">
        <f t="shared" si="17"/>
        <v/>
      </c>
      <c r="J110" s="15" t="str">
        <f t="shared" si="19"/>
        <v/>
      </c>
      <c r="K110" s="16" t="str">
        <f t="shared" si="18"/>
        <v/>
      </c>
      <c r="M110" t="str">
        <f>IFERROR(MATCH($C$5&amp;"|"&amp;RIGHT("000000"&amp;94,6),CalcRankKeyA,0),"")</f>
        <v/>
      </c>
      <c r="N110" t="str">
        <f>IFERROR(MATCH($C$5&amp;"|"&amp;RIGHT("000000"&amp;94,6),CalcRankKeyB,0),"")</f>
        <v/>
      </c>
    </row>
    <row r="111" spans="1:14" x14ac:dyDescent="0.2">
      <c r="A111" s="7">
        <v>95</v>
      </c>
      <c r="B111" s="8" t="str">
        <f t="shared" si="10"/>
        <v/>
      </c>
      <c r="C111" s="8" t="str">
        <f t="shared" si="11"/>
        <v/>
      </c>
      <c r="D111" s="8" t="str">
        <f t="shared" si="12"/>
        <v/>
      </c>
      <c r="E111" s="9" t="str">
        <f t="shared" si="13"/>
        <v/>
      </c>
      <c r="F111" s="9" t="str">
        <f t="shared" si="14"/>
        <v/>
      </c>
      <c r="G111" s="9" t="str">
        <f t="shared" si="15"/>
        <v/>
      </c>
      <c r="H111" s="9" t="str">
        <f t="shared" si="16"/>
        <v/>
      </c>
      <c r="I111" s="10" t="str">
        <f t="shared" si="17"/>
        <v/>
      </c>
      <c r="J111" s="10" t="str">
        <f t="shared" si="19"/>
        <v/>
      </c>
      <c r="K111" s="11" t="str">
        <f t="shared" si="18"/>
        <v/>
      </c>
      <c r="M111" t="str">
        <f>IFERROR(MATCH($C$5&amp;"|"&amp;RIGHT("000000"&amp;95,6),CalcRankKeyA,0),"")</f>
        <v/>
      </c>
      <c r="N111" t="str">
        <f>IFERROR(MATCH($C$5&amp;"|"&amp;RIGHT("000000"&amp;95,6),CalcRankKeyB,0),"")</f>
        <v/>
      </c>
    </row>
    <row r="112" spans="1:14" x14ac:dyDescent="0.2">
      <c r="A112" s="12">
        <v>96</v>
      </c>
      <c r="B112" s="13" t="str">
        <f t="shared" si="10"/>
        <v/>
      </c>
      <c r="C112" s="13" t="str">
        <f t="shared" si="11"/>
        <v/>
      </c>
      <c r="D112" s="13" t="str">
        <f t="shared" si="12"/>
        <v/>
      </c>
      <c r="E112" s="14" t="str">
        <f t="shared" si="13"/>
        <v/>
      </c>
      <c r="F112" s="14" t="str">
        <f t="shared" si="14"/>
        <v/>
      </c>
      <c r="G112" s="14" t="str">
        <f t="shared" si="15"/>
        <v/>
      </c>
      <c r="H112" s="14" t="str">
        <f t="shared" si="16"/>
        <v/>
      </c>
      <c r="I112" s="15" t="str">
        <f t="shared" si="17"/>
        <v/>
      </c>
      <c r="J112" s="15" t="str">
        <f t="shared" si="19"/>
        <v/>
      </c>
      <c r="K112" s="16" t="str">
        <f t="shared" si="18"/>
        <v/>
      </c>
      <c r="M112" t="str">
        <f>IFERROR(MATCH($C$5&amp;"|"&amp;RIGHT("000000"&amp;96,6),CalcRankKeyA,0),"")</f>
        <v/>
      </c>
      <c r="N112" t="str">
        <f>IFERROR(MATCH($C$5&amp;"|"&amp;RIGHT("000000"&amp;96,6),CalcRankKeyB,0),"")</f>
        <v/>
      </c>
    </row>
    <row r="113" spans="1:14" x14ac:dyDescent="0.2">
      <c r="A113" s="7">
        <v>97</v>
      </c>
      <c r="B113" s="8" t="str">
        <f t="shared" si="10"/>
        <v/>
      </c>
      <c r="C113" s="8" t="str">
        <f t="shared" si="11"/>
        <v/>
      </c>
      <c r="D113" s="8" t="str">
        <f t="shared" si="12"/>
        <v/>
      </c>
      <c r="E113" s="9" t="str">
        <f t="shared" si="13"/>
        <v/>
      </c>
      <c r="F113" s="9" t="str">
        <f t="shared" si="14"/>
        <v/>
      </c>
      <c r="G113" s="9" t="str">
        <f t="shared" si="15"/>
        <v/>
      </c>
      <c r="H113" s="9" t="str">
        <f t="shared" si="16"/>
        <v/>
      </c>
      <c r="I113" s="10" t="str">
        <f t="shared" si="17"/>
        <v/>
      </c>
      <c r="J113" s="10" t="str">
        <f t="shared" si="19"/>
        <v/>
      </c>
      <c r="K113" s="11" t="str">
        <f t="shared" si="18"/>
        <v/>
      </c>
      <c r="M113" t="str">
        <f>IFERROR(MATCH($C$5&amp;"|"&amp;RIGHT("000000"&amp;97,6),CalcRankKeyA,0),"")</f>
        <v/>
      </c>
      <c r="N113" t="str">
        <f>IFERROR(MATCH($C$5&amp;"|"&amp;RIGHT("000000"&amp;97,6),CalcRankKeyB,0),"")</f>
        <v/>
      </c>
    </row>
    <row r="114" spans="1:14" x14ac:dyDescent="0.2">
      <c r="A114" s="12">
        <v>98</v>
      </c>
      <c r="B114" s="13" t="str">
        <f t="shared" si="10"/>
        <v/>
      </c>
      <c r="C114" s="13" t="str">
        <f t="shared" si="11"/>
        <v/>
      </c>
      <c r="D114" s="13" t="str">
        <f t="shared" si="12"/>
        <v/>
      </c>
      <c r="E114" s="14" t="str">
        <f t="shared" si="13"/>
        <v/>
      </c>
      <c r="F114" s="14" t="str">
        <f t="shared" si="14"/>
        <v/>
      </c>
      <c r="G114" s="14" t="str">
        <f t="shared" si="15"/>
        <v/>
      </c>
      <c r="H114" s="14" t="str">
        <f t="shared" si="16"/>
        <v/>
      </c>
      <c r="I114" s="15" t="str">
        <f t="shared" si="17"/>
        <v/>
      </c>
      <c r="J114" s="15" t="str">
        <f t="shared" si="19"/>
        <v/>
      </c>
      <c r="K114" s="16" t="str">
        <f t="shared" si="18"/>
        <v/>
      </c>
      <c r="M114" t="str">
        <f>IFERROR(MATCH($C$5&amp;"|"&amp;RIGHT("000000"&amp;98,6),CalcRankKeyA,0),"")</f>
        <v/>
      </c>
      <c r="N114" t="str">
        <f>IFERROR(MATCH($C$5&amp;"|"&amp;RIGHT("000000"&amp;98,6),CalcRankKeyB,0),"")</f>
        <v/>
      </c>
    </row>
    <row r="115" spans="1:14" x14ac:dyDescent="0.2">
      <c r="A115" s="7">
        <v>99</v>
      </c>
      <c r="B115" s="8" t="str">
        <f t="shared" si="10"/>
        <v/>
      </c>
      <c r="C115" s="8" t="str">
        <f t="shared" si="11"/>
        <v/>
      </c>
      <c r="D115" s="8" t="str">
        <f t="shared" si="12"/>
        <v/>
      </c>
      <c r="E115" s="9" t="str">
        <f t="shared" si="13"/>
        <v/>
      </c>
      <c r="F115" s="9" t="str">
        <f t="shared" si="14"/>
        <v/>
      </c>
      <c r="G115" s="9" t="str">
        <f t="shared" si="15"/>
        <v/>
      </c>
      <c r="H115" s="9" t="str">
        <f t="shared" si="16"/>
        <v/>
      </c>
      <c r="I115" s="10" t="str">
        <f t="shared" si="17"/>
        <v/>
      </c>
      <c r="J115" s="10" t="str">
        <f t="shared" si="19"/>
        <v/>
      </c>
      <c r="K115" s="11" t="str">
        <f t="shared" si="18"/>
        <v/>
      </c>
      <c r="M115" t="str">
        <f>IFERROR(MATCH($C$5&amp;"|"&amp;RIGHT("000000"&amp;99,6),CalcRankKeyA,0),"")</f>
        <v/>
      </c>
      <c r="N115" t="str">
        <f>IFERROR(MATCH($C$5&amp;"|"&amp;RIGHT("000000"&amp;99,6),CalcRankKeyB,0),"")</f>
        <v/>
      </c>
    </row>
    <row r="116" spans="1:14" x14ac:dyDescent="0.2">
      <c r="A116" s="12">
        <v>100</v>
      </c>
      <c r="B116" s="13" t="str">
        <f t="shared" si="10"/>
        <v/>
      </c>
      <c r="C116" s="13" t="str">
        <f t="shared" si="11"/>
        <v/>
      </c>
      <c r="D116" s="13" t="str">
        <f t="shared" si="12"/>
        <v/>
      </c>
      <c r="E116" s="14" t="str">
        <f t="shared" si="13"/>
        <v/>
      </c>
      <c r="F116" s="14" t="str">
        <f t="shared" si="14"/>
        <v/>
      </c>
      <c r="G116" s="14" t="str">
        <f t="shared" si="15"/>
        <v/>
      </c>
      <c r="H116" s="14" t="str">
        <f t="shared" si="16"/>
        <v/>
      </c>
      <c r="I116" s="15" t="str">
        <f t="shared" si="17"/>
        <v/>
      </c>
      <c r="J116" s="15" t="str">
        <f t="shared" si="19"/>
        <v/>
      </c>
      <c r="K116" s="16" t="str">
        <f t="shared" si="18"/>
        <v/>
      </c>
      <c r="M116" t="str">
        <f>IFERROR(MATCH($C$5&amp;"|"&amp;RIGHT("000000"&amp;100,6),CalcRankKeyA,0),"")</f>
        <v/>
      </c>
      <c r="N116" t="str">
        <f>IFERROR(MATCH($C$5&amp;"|"&amp;RIGHT("000000"&amp;100,6),CalcRankKeyB,0),"")</f>
        <v/>
      </c>
    </row>
    <row r="117" spans="1:14" x14ac:dyDescent="0.2">
      <c r="A117" s="7">
        <v>101</v>
      </c>
      <c r="B117" s="8" t="str">
        <f t="shared" si="10"/>
        <v/>
      </c>
      <c r="C117" s="8" t="str">
        <f t="shared" si="11"/>
        <v/>
      </c>
      <c r="D117" s="8" t="str">
        <f t="shared" si="12"/>
        <v/>
      </c>
      <c r="E117" s="9" t="str">
        <f t="shared" si="13"/>
        <v/>
      </c>
      <c r="F117" s="9" t="str">
        <f t="shared" si="14"/>
        <v/>
      </c>
      <c r="G117" s="9" t="str">
        <f t="shared" si="15"/>
        <v/>
      </c>
      <c r="H117" s="9" t="str">
        <f t="shared" si="16"/>
        <v/>
      </c>
      <c r="I117" s="10" t="str">
        <f t="shared" si="17"/>
        <v/>
      </c>
      <c r="J117" s="10" t="str">
        <f t="shared" si="19"/>
        <v/>
      </c>
      <c r="K117" s="11" t="str">
        <f t="shared" si="18"/>
        <v/>
      </c>
      <c r="M117" t="str">
        <f>IFERROR(MATCH($C$5&amp;"|"&amp;RIGHT("000000"&amp;101,6),CalcRankKeyA,0),"")</f>
        <v/>
      </c>
      <c r="N117" t="str">
        <f>IFERROR(MATCH($C$5&amp;"|"&amp;RIGHT("000000"&amp;101,6),CalcRankKeyB,0),"")</f>
        <v/>
      </c>
    </row>
    <row r="118" spans="1:14" x14ac:dyDescent="0.2">
      <c r="A118" s="12">
        <v>102</v>
      </c>
      <c r="B118" s="13" t="str">
        <f t="shared" si="10"/>
        <v/>
      </c>
      <c r="C118" s="13" t="str">
        <f t="shared" si="11"/>
        <v/>
      </c>
      <c r="D118" s="13" t="str">
        <f t="shared" si="12"/>
        <v/>
      </c>
      <c r="E118" s="14" t="str">
        <f t="shared" si="13"/>
        <v/>
      </c>
      <c r="F118" s="14" t="str">
        <f t="shared" si="14"/>
        <v/>
      </c>
      <c r="G118" s="14" t="str">
        <f t="shared" si="15"/>
        <v/>
      </c>
      <c r="H118" s="14" t="str">
        <f t="shared" si="16"/>
        <v/>
      </c>
      <c r="I118" s="15" t="str">
        <f t="shared" si="17"/>
        <v/>
      </c>
      <c r="J118" s="15" t="str">
        <f t="shared" si="19"/>
        <v/>
      </c>
      <c r="K118" s="16" t="str">
        <f t="shared" si="18"/>
        <v/>
      </c>
      <c r="M118" t="str">
        <f>IFERROR(MATCH($C$5&amp;"|"&amp;RIGHT("000000"&amp;102,6),CalcRankKeyA,0),"")</f>
        <v/>
      </c>
      <c r="N118" t="str">
        <f>IFERROR(MATCH($C$5&amp;"|"&amp;RIGHT("000000"&amp;102,6),CalcRankKeyB,0),"")</f>
        <v/>
      </c>
    </row>
    <row r="119" spans="1:14" x14ac:dyDescent="0.2">
      <c r="A119" s="7">
        <v>103</v>
      </c>
      <c r="B119" s="8" t="str">
        <f t="shared" si="10"/>
        <v/>
      </c>
      <c r="C119" s="8" t="str">
        <f t="shared" si="11"/>
        <v/>
      </c>
      <c r="D119" s="8" t="str">
        <f t="shared" si="12"/>
        <v/>
      </c>
      <c r="E119" s="9" t="str">
        <f t="shared" si="13"/>
        <v/>
      </c>
      <c r="F119" s="9" t="str">
        <f t="shared" si="14"/>
        <v/>
      </c>
      <c r="G119" s="9" t="str">
        <f t="shared" si="15"/>
        <v/>
      </c>
      <c r="H119" s="9" t="str">
        <f t="shared" si="16"/>
        <v/>
      </c>
      <c r="I119" s="10" t="str">
        <f t="shared" si="17"/>
        <v/>
      </c>
      <c r="J119" s="10" t="str">
        <f t="shared" si="19"/>
        <v/>
      </c>
      <c r="K119" s="11" t="str">
        <f t="shared" si="18"/>
        <v/>
      </c>
      <c r="M119" t="str">
        <f>IFERROR(MATCH($C$5&amp;"|"&amp;RIGHT("000000"&amp;103,6),CalcRankKeyA,0),"")</f>
        <v/>
      </c>
      <c r="N119" t="str">
        <f>IFERROR(MATCH($C$5&amp;"|"&amp;RIGHT("000000"&amp;103,6),CalcRankKeyB,0),"")</f>
        <v/>
      </c>
    </row>
    <row r="120" spans="1:14" x14ac:dyDescent="0.2">
      <c r="A120" s="12">
        <v>104</v>
      </c>
      <c r="B120" s="13" t="str">
        <f t="shared" si="10"/>
        <v/>
      </c>
      <c r="C120" s="13" t="str">
        <f t="shared" si="11"/>
        <v/>
      </c>
      <c r="D120" s="13" t="str">
        <f t="shared" si="12"/>
        <v/>
      </c>
      <c r="E120" s="14" t="str">
        <f t="shared" si="13"/>
        <v/>
      </c>
      <c r="F120" s="14" t="str">
        <f t="shared" si="14"/>
        <v/>
      </c>
      <c r="G120" s="14" t="str">
        <f t="shared" si="15"/>
        <v/>
      </c>
      <c r="H120" s="14" t="str">
        <f t="shared" si="16"/>
        <v/>
      </c>
      <c r="I120" s="15" t="str">
        <f t="shared" si="17"/>
        <v/>
      </c>
      <c r="J120" s="15" t="str">
        <f t="shared" si="19"/>
        <v/>
      </c>
      <c r="K120" s="16" t="str">
        <f t="shared" si="18"/>
        <v/>
      </c>
      <c r="M120" t="str">
        <f>IFERROR(MATCH($C$5&amp;"|"&amp;RIGHT("000000"&amp;104,6),CalcRankKeyA,0),"")</f>
        <v/>
      </c>
      <c r="N120" t="str">
        <f>IFERROR(MATCH($C$5&amp;"|"&amp;RIGHT("000000"&amp;104,6),CalcRankKeyB,0),"")</f>
        <v/>
      </c>
    </row>
    <row r="121" spans="1:14" x14ac:dyDescent="0.2">
      <c r="A121" s="7">
        <v>105</v>
      </c>
      <c r="B121" s="8" t="str">
        <f t="shared" si="10"/>
        <v/>
      </c>
      <c r="C121" s="8" t="str">
        <f t="shared" si="11"/>
        <v/>
      </c>
      <c r="D121" s="8" t="str">
        <f t="shared" si="12"/>
        <v/>
      </c>
      <c r="E121" s="9" t="str">
        <f t="shared" si="13"/>
        <v/>
      </c>
      <c r="F121" s="9" t="str">
        <f t="shared" si="14"/>
        <v/>
      </c>
      <c r="G121" s="9" t="str">
        <f t="shared" si="15"/>
        <v/>
      </c>
      <c r="H121" s="9" t="str">
        <f t="shared" si="16"/>
        <v/>
      </c>
      <c r="I121" s="10" t="str">
        <f t="shared" si="17"/>
        <v/>
      </c>
      <c r="J121" s="10" t="str">
        <f t="shared" si="19"/>
        <v/>
      </c>
      <c r="K121" s="11" t="str">
        <f t="shared" si="18"/>
        <v/>
      </c>
      <c r="M121" t="str">
        <f>IFERROR(MATCH($C$5&amp;"|"&amp;RIGHT("000000"&amp;105,6),CalcRankKeyA,0),"")</f>
        <v/>
      </c>
      <c r="N121" t="str">
        <f>IFERROR(MATCH($C$5&amp;"|"&amp;RIGHT("000000"&amp;105,6),CalcRankKeyB,0),"")</f>
        <v/>
      </c>
    </row>
    <row r="122" spans="1:14" x14ac:dyDescent="0.2">
      <c r="A122" s="12">
        <v>106</v>
      </c>
      <c r="B122" s="13" t="str">
        <f t="shared" si="10"/>
        <v/>
      </c>
      <c r="C122" s="13" t="str">
        <f t="shared" si="11"/>
        <v/>
      </c>
      <c r="D122" s="13" t="str">
        <f t="shared" si="12"/>
        <v/>
      </c>
      <c r="E122" s="14" t="str">
        <f t="shared" si="13"/>
        <v/>
      </c>
      <c r="F122" s="14" t="str">
        <f t="shared" si="14"/>
        <v/>
      </c>
      <c r="G122" s="14" t="str">
        <f t="shared" si="15"/>
        <v/>
      </c>
      <c r="H122" s="14" t="str">
        <f t="shared" si="16"/>
        <v/>
      </c>
      <c r="I122" s="15" t="str">
        <f t="shared" si="17"/>
        <v/>
      </c>
      <c r="J122" s="15" t="str">
        <f t="shared" si="19"/>
        <v/>
      </c>
      <c r="K122" s="16" t="str">
        <f t="shared" si="18"/>
        <v/>
      </c>
      <c r="M122" t="str">
        <f>IFERROR(MATCH($C$5&amp;"|"&amp;RIGHT("000000"&amp;106,6),CalcRankKeyA,0),"")</f>
        <v/>
      </c>
      <c r="N122" t="str">
        <f>IFERROR(MATCH($C$5&amp;"|"&amp;RIGHT("000000"&amp;106,6),CalcRankKeyB,0),"")</f>
        <v/>
      </c>
    </row>
    <row r="123" spans="1:14" x14ac:dyDescent="0.2">
      <c r="A123" s="7">
        <v>107</v>
      </c>
      <c r="B123" s="8" t="str">
        <f t="shared" si="10"/>
        <v/>
      </c>
      <c r="C123" s="8" t="str">
        <f t="shared" si="11"/>
        <v/>
      </c>
      <c r="D123" s="8" t="str">
        <f t="shared" si="12"/>
        <v/>
      </c>
      <c r="E123" s="9" t="str">
        <f t="shared" si="13"/>
        <v/>
      </c>
      <c r="F123" s="9" t="str">
        <f t="shared" si="14"/>
        <v/>
      </c>
      <c r="G123" s="9" t="str">
        <f t="shared" si="15"/>
        <v/>
      </c>
      <c r="H123" s="9" t="str">
        <f t="shared" si="16"/>
        <v/>
      </c>
      <c r="I123" s="10" t="str">
        <f t="shared" si="17"/>
        <v/>
      </c>
      <c r="J123" s="10" t="str">
        <f t="shared" si="19"/>
        <v/>
      </c>
      <c r="K123" s="11" t="str">
        <f t="shared" si="18"/>
        <v/>
      </c>
      <c r="M123" t="str">
        <f>IFERROR(MATCH($C$5&amp;"|"&amp;RIGHT("000000"&amp;107,6),CalcRankKeyA,0),"")</f>
        <v/>
      </c>
      <c r="N123" t="str">
        <f>IFERROR(MATCH($C$5&amp;"|"&amp;RIGHT("000000"&amp;107,6),CalcRankKeyB,0),"")</f>
        <v/>
      </c>
    </row>
    <row r="124" spans="1:14" x14ac:dyDescent="0.2">
      <c r="A124" s="12">
        <v>108</v>
      </c>
      <c r="B124" s="13" t="str">
        <f t="shared" si="10"/>
        <v/>
      </c>
      <c r="C124" s="13" t="str">
        <f t="shared" si="11"/>
        <v/>
      </c>
      <c r="D124" s="13" t="str">
        <f t="shared" si="12"/>
        <v/>
      </c>
      <c r="E124" s="14" t="str">
        <f t="shared" si="13"/>
        <v/>
      </c>
      <c r="F124" s="14" t="str">
        <f t="shared" si="14"/>
        <v/>
      </c>
      <c r="G124" s="14" t="str">
        <f t="shared" si="15"/>
        <v/>
      </c>
      <c r="H124" s="14" t="str">
        <f t="shared" si="16"/>
        <v/>
      </c>
      <c r="I124" s="15" t="str">
        <f t="shared" si="17"/>
        <v/>
      </c>
      <c r="J124" s="15" t="str">
        <f t="shared" si="19"/>
        <v/>
      </c>
      <c r="K124" s="16" t="str">
        <f t="shared" si="18"/>
        <v/>
      </c>
      <c r="M124" t="str">
        <f>IFERROR(MATCH($C$5&amp;"|"&amp;RIGHT("000000"&amp;108,6),CalcRankKeyA,0),"")</f>
        <v/>
      </c>
      <c r="N124" t="str">
        <f>IFERROR(MATCH($C$5&amp;"|"&amp;RIGHT("000000"&amp;108,6),CalcRankKeyB,0),"")</f>
        <v/>
      </c>
    </row>
    <row r="125" spans="1:14" x14ac:dyDescent="0.2">
      <c r="A125" s="7">
        <v>109</v>
      </c>
      <c r="B125" s="8" t="str">
        <f t="shared" si="10"/>
        <v/>
      </c>
      <c r="C125" s="8" t="str">
        <f t="shared" si="11"/>
        <v/>
      </c>
      <c r="D125" s="8" t="str">
        <f t="shared" si="12"/>
        <v/>
      </c>
      <c r="E125" s="9" t="str">
        <f t="shared" si="13"/>
        <v/>
      </c>
      <c r="F125" s="9" t="str">
        <f t="shared" si="14"/>
        <v/>
      </c>
      <c r="G125" s="9" t="str">
        <f t="shared" si="15"/>
        <v/>
      </c>
      <c r="H125" s="9" t="str">
        <f t="shared" si="16"/>
        <v/>
      </c>
      <c r="I125" s="10" t="str">
        <f t="shared" si="17"/>
        <v/>
      </c>
      <c r="J125" s="10" t="str">
        <f t="shared" si="19"/>
        <v/>
      </c>
      <c r="K125" s="11" t="str">
        <f t="shared" si="18"/>
        <v/>
      </c>
      <c r="M125" t="str">
        <f>IFERROR(MATCH($C$5&amp;"|"&amp;RIGHT("000000"&amp;109,6),CalcRankKeyA,0),"")</f>
        <v/>
      </c>
      <c r="N125" t="str">
        <f>IFERROR(MATCH($C$5&amp;"|"&amp;RIGHT("000000"&amp;109,6),CalcRankKeyB,0),"")</f>
        <v/>
      </c>
    </row>
    <row r="126" spans="1:14" x14ac:dyDescent="0.2">
      <c r="A126" s="12">
        <v>110</v>
      </c>
      <c r="B126" s="13" t="str">
        <f t="shared" si="10"/>
        <v/>
      </c>
      <c r="C126" s="13" t="str">
        <f t="shared" si="11"/>
        <v/>
      </c>
      <c r="D126" s="13" t="str">
        <f t="shared" si="12"/>
        <v/>
      </c>
      <c r="E126" s="14" t="str">
        <f t="shared" si="13"/>
        <v/>
      </c>
      <c r="F126" s="14" t="str">
        <f t="shared" si="14"/>
        <v/>
      </c>
      <c r="G126" s="14" t="str">
        <f t="shared" si="15"/>
        <v/>
      </c>
      <c r="H126" s="14" t="str">
        <f t="shared" si="16"/>
        <v/>
      </c>
      <c r="I126" s="15" t="str">
        <f t="shared" si="17"/>
        <v/>
      </c>
      <c r="J126" s="15" t="str">
        <f t="shared" si="19"/>
        <v/>
      </c>
      <c r="K126" s="16" t="str">
        <f t="shared" si="18"/>
        <v/>
      </c>
      <c r="M126" t="str">
        <f>IFERROR(MATCH($C$5&amp;"|"&amp;RIGHT("000000"&amp;110,6),CalcRankKeyA,0),"")</f>
        <v/>
      </c>
      <c r="N126" t="str">
        <f>IFERROR(MATCH($C$5&amp;"|"&amp;RIGHT("000000"&amp;110,6),CalcRankKeyB,0),"")</f>
        <v/>
      </c>
    </row>
    <row r="127" spans="1:14" x14ac:dyDescent="0.2">
      <c r="A127" s="7">
        <v>111</v>
      </c>
      <c r="B127" s="8" t="str">
        <f t="shared" si="10"/>
        <v/>
      </c>
      <c r="C127" s="8" t="str">
        <f t="shared" si="11"/>
        <v/>
      </c>
      <c r="D127" s="8" t="str">
        <f t="shared" si="12"/>
        <v/>
      </c>
      <c r="E127" s="9" t="str">
        <f t="shared" si="13"/>
        <v/>
      </c>
      <c r="F127" s="9" t="str">
        <f t="shared" si="14"/>
        <v/>
      </c>
      <c r="G127" s="9" t="str">
        <f t="shared" si="15"/>
        <v/>
      </c>
      <c r="H127" s="9" t="str">
        <f t="shared" si="16"/>
        <v/>
      </c>
      <c r="I127" s="10" t="str">
        <f t="shared" si="17"/>
        <v/>
      </c>
      <c r="J127" s="10" t="str">
        <f t="shared" si="19"/>
        <v/>
      </c>
      <c r="K127" s="11" t="str">
        <f t="shared" si="18"/>
        <v/>
      </c>
      <c r="M127" t="str">
        <f>IFERROR(MATCH($C$5&amp;"|"&amp;RIGHT("000000"&amp;111,6),CalcRankKeyA,0),"")</f>
        <v/>
      </c>
      <c r="N127" t="str">
        <f>IFERROR(MATCH($C$5&amp;"|"&amp;RIGHT("000000"&amp;111,6),CalcRankKeyB,0),"")</f>
        <v/>
      </c>
    </row>
    <row r="128" spans="1:14" x14ac:dyDescent="0.2">
      <c r="A128" s="12">
        <v>112</v>
      </c>
      <c r="B128" s="13" t="str">
        <f t="shared" si="10"/>
        <v/>
      </c>
      <c r="C128" s="13" t="str">
        <f t="shared" si="11"/>
        <v/>
      </c>
      <c r="D128" s="13" t="str">
        <f t="shared" si="12"/>
        <v/>
      </c>
      <c r="E128" s="14" t="str">
        <f t="shared" si="13"/>
        <v/>
      </c>
      <c r="F128" s="14" t="str">
        <f t="shared" si="14"/>
        <v/>
      </c>
      <c r="G128" s="14" t="str">
        <f t="shared" si="15"/>
        <v/>
      </c>
      <c r="H128" s="14" t="str">
        <f t="shared" si="16"/>
        <v/>
      </c>
      <c r="I128" s="15" t="str">
        <f t="shared" si="17"/>
        <v/>
      </c>
      <c r="J128" s="15" t="str">
        <f t="shared" si="19"/>
        <v/>
      </c>
      <c r="K128" s="16" t="str">
        <f t="shared" si="18"/>
        <v/>
      </c>
      <c r="M128" t="str">
        <f>IFERROR(MATCH($C$5&amp;"|"&amp;RIGHT("000000"&amp;112,6),CalcRankKeyA,0),"")</f>
        <v/>
      </c>
      <c r="N128" t="str">
        <f>IFERROR(MATCH($C$5&amp;"|"&amp;RIGHT("000000"&amp;112,6),CalcRankKeyB,0),"")</f>
        <v/>
      </c>
    </row>
    <row r="129" spans="1:14" x14ac:dyDescent="0.2">
      <c r="A129" s="7">
        <v>113</v>
      </c>
      <c r="B129" s="8" t="str">
        <f t="shared" si="10"/>
        <v/>
      </c>
      <c r="C129" s="8" t="str">
        <f t="shared" si="11"/>
        <v/>
      </c>
      <c r="D129" s="8" t="str">
        <f t="shared" si="12"/>
        <v/>
      </c>
      <c r="E129" s="9" t="str">
        <f t="shared" si="13"/>
        <v/>
      </c>
      <c r="F129" s="9" t="str">
        <f t="shared" si="14"/>
        <v/>
      </c>
      <c r="G129" s="9" t="str">
        <f t="shared" si="15"/>
        <v/>
      </c>
      <c r="H129" s="9" t="str">
        <f t="shared" si="16"/>
        <v/>
      </c>
      <c r="I129" s="10" t="str">
        <f t="shared" si="17"/>
        <v/>
      </c>
      <c r="J129" s="10" t="str">
        <f t="shared" si="19"/>
        <v/>
      </c>
      <c r="K129" s="11" t="str">
        <f t="shared" si="18"/>
        <v/>
      </c>
      <c r="M129" t="str">
        <f>IFERROR(MATCH($C$5&amp;"|"&amp;RIGHT("000000"&amp;113,6),CalcRankKeyA,0),"")</f>
        <v/>
      </c>
      <c r="N129" t="str">
        <f>IFERROR(MATCH($C$5&amp;"|"&amp;RIGHT("000000"&amp;113,6),CalcRankKeyB,0),"")</f>
        <v/>
      </c>
    </row>
    <row r="130" spans="1:14" x14ac:dyDescent="0.2">
      <c r="A130" s="12">
        <v>114</v>
      </c>
      <c r="B130" s="13" t="str">
        <f t="shared" si="10"/>
        <v/>
      </c>
      <c r="C130" s="13" t="str">
        <f t="shared" si="11"/>
        <v/>
      </c>
      <c r="D130" s="13" t="str">
        <f t="shared" si="12"/>
        <v/>
      </c>
      <c r="E130" s="14" t="str">
        <f t="shared" si="13"/>
        <v/>
      </c>
      <c r="F130" s="14" t="str">
        <f t="shared" si="14"/>
        <v/>
      </c>
      <c r="G130" s="14" t="str">
        <f t="shared" si="15"/>
        <v/>
      </c>
      <c r="H130" s="14" t="str">
        <f t="shared" si="16"/>
        <v/>
      </c>
      <c r="I130" s="15" t="str">
        <f t="shared" si="17"/>
        <v/>
      </c>
      <c r="J130" s="15" t="str">
        <f t="shared" si="19"/>
        <v/>
      </c>
      <c r="K130" s="16" t="str">
        <f t="shared" si="18"/>
        <v/>
      </c>
      <c r="M130" t="str">
        <f>IFERROR(MATCH($C$5&amp;"|"&amp;RIGHT("000000"&amp;114,6),CalcRankKeyA,0),"")</f>
        <v/>
      </c>
      <c r="N130" t="str">
        <f>IFERROR(MATCH($C$5&amp;"|"&amp;RIGHT("000000"&amp;114,6),CalcRankKeyB,0),"")</f>
        <v/>
      </c>
    </row>
    <row r="131" spans="1:14" x14ac:dyDescent="0.2">
      <c r="A131" s="7">
        <v>115</v>
      </c>
      <c r="B131" s="8" t="str">
        <f t="shared" si="10"/>
        <v/>
      </c>
      <c r="C131" s="8" t="str">
        <f t="shared" si="11"/>
        <v/>
      </c>
      <c r="D131" s="8" t="str">
        <f t="shared" si="12"/>
        <v/>
      </c>
      <c r="E131" s="9" t="str">
        <f t="shared" si="13"/>
        <v/>
      </c>
      <c r="F131" s="9" t="str">
        <f t="shared" si="14"/>
        <v/>
      </c>
      <c r="G131" s="9" t="str">
        <f t="shared" si="15"/>
        <v/>
      </c>
      <c r="H131" s="9" t="str">
        <f t="shared" si="16"/>
        <v/>
      </c>
      <c r="I131" s="10" t="str">
        <f t="shared" si="17"/>
        <v/>
      </c>
      <c r="J131" s="10" t="str">
        <f t="shared" si="19"/>
        <v/>
      </c>
      <c r="K131" s="11" t="str">
        <f t="shared" si="18"/>
        <v/>
      </c>
      <c r="M131" t="str">
        <f>IFERROR(MATCH($C$5&amp;"|"&amp;RIGHT("000000"&amp;115,6),CalcRankKeyA,0),"")</f>
        <v/>
      </c>
      <c r="N131" t="str">
        <f>IFERROR(MATCH($C$5&amp;"|"&amp;RIGHT("000000"&amp;115,6),CalcRankKeyB,0),"")</f>
        <v/>
      </c>
    </row>
    <row r="132" spans="1:14" x14ac:dyDescent="0.2">
      <c r="A132" s="12">
        <v>116</v>
      </c>
      <c r="B132" s="13" t="str">
        <f t="shared" si="10"/>
        <v/>
      </c>
      <c r="C132" s="13" t="str">
        <f t="shared" si="11"/>
        <v/>
      </c>
      <c r="D132" s="13" t="str">
        <f t="shared" si="12"/>
        <v/>
      </c>
      <c r="E132" s="14" t="str">
        <f t="shared" si="13"/>
        <v/>
      </c>
      <c r="F132" s="14" t="str">
        <f t="shared" si="14"/>
        <v/>
      </c>
      <c r="G132" s="14" t="str">
        <f t="shared" si="15"/>
        <v/>
      </c>
      <c r="H132" s="14" t="str">
        <f t="shared" si="16"/>
        <v/>
      </c>
      <c r="I132" s="15" t="str">
        <f t="shared" si="17"/>
        <v/>
      </c>
      <c r="J132" s="15" t="str">
        <f t="shared" si="19"/>
        <v/>
      </c>
      <c r="K132" s="16" t="str">
        <f t="shared" si="18"/>
        <v/>
      </c>
      <c r="M132" t="str">
        <f>IFERROR(MATCH($C$5&amp;"|"&amp;RIGHT("000000"&amp;116,6),CalcRankKeyA,0),"")</f>
        <v/>
      </c>
      <c r="N132" t="str">
        <f>IFERROR(MATCH($C$5&amp;"|"&amp;RIGHT("000000"&amp;116,6),CalcRankKeyB,0),"")</f>
        <v/>
      </c>
    </row>
    <row r="133" spans="1:14" x14ac:dyDescent="0.2">
      <c r="A133" s="7">
        <v>117</v>
      </c>
      <c r="B133" s="8" t="str">
        <f t="shared" si="10"/>
        <v/>
      </c>
      <c r="C133" s="8" t="str">
        <f t="shared" si="11"/>
        <v/>
      </c>
      <c r="D133" s="8" t="str">
        <f t="shared" si="12"/>
        <v/>
      </c>
      <c r="E133" s="9" t="str">
        <f t="shared" si="13"/>
        <v/>
      </c>
      <c r="F133" s="9" t="str">
        <f t="shared" si="14"/>
        <v/>
      </c>
      <c r="G133" s="9" t="str">
        <f t="shared" si="15"/>
        <v/>
      </c>
      <c r="H133" s="9" t="str">
        <f t="shared" si="16"/>
        <v/>
      </c>
      <c r="I133" s="10" t="str">
        <f t="shared" si="17"/>
        <v/>
      </c>
      <c r="J133" s="10" t="str">
        <f t="shared" si="19"/>
        <v/>
      </c>
      <c r="K133" s="11" t="str">
        <f t="shared" si="18"/>
        <v/>
      </c>
      <c r="M133" t="str">
        <f>IFERROR(MATCH($C$5&amp;"|"&amp;RIGHT("000000"&amp;117,6),CalcRankKeyA,0),"")</f>
        <v/>
      </c>
      <c r="N133" t="str">
        <f>IFERROR(MATCH($C$5&amp;"|"&amp;RIGHT("000000"&amp;117,6),CalcRankKeyB,0),"")</f>
        <v/>
      </c>
    </row>
    <row r="134" spans="1:14" x14ac:dyDescent="0.2">
      <c r="A134" s="12">
        <v>118</v>
      </c>
      <c r="B134" s="13" t="str">
        <f t="shared" si="10"/>
        <v/>
      </c>
      <c r="C134" s="13" t="str">
        <f t="shared" si="11"/>
        <v/>
      </c>
      <c r="D134" s="13" t="str">
        <f t="shared" si="12"/>
        <v/>
      </c>
      <c r="E134" s="14" t="str">
        <f t="shared" si="13"/>
        <v/>
      </c>
      <c r="F134" s="14" t="str">
        <f t="shared" si="14"/>
        <v/>
      </c>
      <c r="G134" s="14" t="str">
        <f t="shared" si="15"/>
        <v/>
      </c>
      <c r="H134" s="14" t="str">
        <f t="shared" si="16"/>
        <v/>
      </c>
      <c r="I134" s="15" t="str">
        <f t="shared" si="17"/>
        <v/>
      </c>
      <c r="J134" s="15" t="str">
        <f t="shared" si="19"/>
        <v/>
      </c>
      <c r="K134" s="16" t="str">
        <f t="shared" si="18"/>
        <v/>
      </c>
      <c r="M134" t="str">
        <f>IFERROR(MATCH($C$5&amp;"|"&amp;RIGHT("000000"&amp;118,6),CalcRankKeyA,0),"")</f>
        <v/>
      </c>
      <c r="N134" t="str">
        <f>IFERROR(MATCH($C$5&amp;"|"&amp;RIGHT("000000"&amp;118,6),CalcRankKeyB,0),"")</f>
        <v/>
      </c>
    </row>
    <row r="135" spans="1:14" x14ac:dyDescent="0.2">
      <c r="A135" s="7">
        <v>119</v>
      </c>
      <c r="B135" s="8" t="str">
        <f t="shared" si="10"/>
        <v/>
      </c>
      <c r="C135" s="8" t="str">
        <f t="shared" si="11"/>
        <v/>
      </c>
      <c r="D135" s="8" t="str">
        <f t="shared" si="12"/>
        <v/>
      </c>
      <c r="E135" s="9" t="str">
        <f t="shared" si="13"/>
        <v/>
      </c>
      <c r="F135" s="9" t="str">
        <f t="shared" si="14"/>
        <v/>
      </c>
      <c r="G135" s="9" t="str">
        <f t="shared" si="15"/>
        <v/>
      </c>
      <c r="H135" s="9" t="str">
        <f t="shared" si="16"/>
        <v/>
      </c>
      <c r="I135" s="10" t="str">
        <f t="shared" si="17"/>
        <v/>
      </c>
      <c r="J135" s="10" t="str">
        <f t="shared" si="19"/>
        <v/>
      </c>
      <c r="K135" s="11" t="str">
        <f t="shared" si="18"/>
        <v/>
      </c>
      <c r="M135" t="str">
        <f>IFERROR(MATCH($C$5&amp;"|"&amp;RIGHT("000000"&amp;119,6),CalcRankKeyA,0),"")</f>
        <v/>
      </c>
      <c r="N135" t="str">
        <f>IFERROR(MATCH($C$5&amp;"|"&amp;RIGHT("000000"&amp;119,6),CalcRankKeyB,0),"")</f>
        <v/>
      </c>
    </row>
    <row r="136" spans="1:14" x14ac:dyDescent="0.2">
      <c r="A136" s="12">
        <v>120</v>
      </c>
      <c r="B136" s="13" t="str">
        <f t="shared" si="10"/>
        <v/>
      </c>
      <c r="C136" s="13" t="str">
        <f t="shared" si="11"/>
        <v/>
      </c>
      <c r="D136" s="13" t="str">
        <f t="shared" si="12"/>
        <v/>
      </c>
      <c r="E136" s="14" t="str">
        <f t="shared" si="13"/>
        <v/>
      </c>
      <c r="F136" s="14" t="str">
        <f t="shared" si="14"/>
        <v/>
      </c>
      <c r="G136" s="14" t="str">
        <f t="shared" si="15"/>
        <v/>
      </c>
      <c r="H136" s="14" t="str">
        <f t="shared" si="16"/>
        <v/>
      </c>
      <c r="I136" s="15" t="str">
        <f t="shared" si="17"/>
        <v/>
      </c>
      <c r="J136" s="15" t="str">
        <f t="shared" si="19"/>
        <v/>
      </c>
      <c r="K136" s="16" t="str">
        <f t="shared" si="18"/>
        <v/>
      </c>
      <c r="M136" t="str">
        <f>IFERROR(MATCH($C$5&amp;"|"&amp;RIGHT("000000"&amp;120,6),CalcRankKeyA,0),"")</f>
        <v/>
      </c>
      <c r="N136" t="str">
        <f>IFERROR(MATCH($C$5&amp;"|"&amp;RIGHT("000000"&amp;120,6),CalcRankKeyB,0),"")</f>
        <v/>
      </c>
    </row>
    <row r="137" spans="1:14" x14ac:dyDescent="0.2">
      <c r="A137" s="7">
        <v>121</v>
      </c>
      <c r="B137" s="8" t="str">
        <f t="shared" si="10"/>
        <v/>
      </c>
      <c r="C137" s="8" t="str">
        <f t="shared" si="11"/>
        <v/>
      </c>
      <c r="D137" s="8" t="str">
        <f t="shared" si="12"/>
        <v/>
      </c>
      <c r="E137" s="9" t="str">
        <f t="shared" si="13"/>
        <v/>
      </c>
      <c r="F137" s="9" t="str">
        <f t="shared" si="14"/>
        <v/>
      </c>
      <c r="G137" s="9" t="str">
        <f t="shared" si="15"/>
        <v/>
      </c>
      <c r="H137" s="9" t="str">
        <f t="shared" si="16"/>
        <v/>
      </c>
      <c r="I137" s="10" t="str">
        <f t="shared" si="17"/>
        <v/>
      </c>
      <c r="J137" s="10" t="str">
        <f t="shared" si="19"/>
        <v/>
      </c>
      <c r="K137" s="11" t="str">
        <f t="shared" si="18"/>
        <v/>
      </c>
      <c r="M137" t="str">
        <f>IFERROR(MATCH($C$5&amp;"|"&amp;RIGHT("000000"&amp;121,6),CalcRankKeyA,0),"")</f>
        <v/>
      </c>
      <c r="N137" t="str">
        <f>IFERROR(MATCH($C$5&amp;"|"&amp;RIGHT("000000"&amp;121,6),CalcRankKeyB,0),"")</f>
        <v/>
      </c>
    </row>
    <row r="138" spans="1:14" x14ac:dyDescent="0.2">
      <c r="A138" s="12">
        <v>122</v>
      </c>
      <c r="B138" s="13" t="str">
        <f t="shared" si="10"/>
        <v/>
      </c>
      <c r="C138" s="13" t="str">
        <f t="shared" si="11"/>
        <v/>
      </c>
      <c r="D138" s="13" t="str">
        <f t="shared" si="12"/>
        <v/>
      </c>
      <c r="E138" s="14" t="str">
        <f t="shared" si="13"/>
        <v/>
      </c>
      <c r="F138" s="14" t="str">
        <f t="shared" si="14"/>
        <v/>
      </c>
      <c r="G138" s="14" t="str">
        <f t="shared" si="15"/>
        <v/>
      </c>
      <c r="H138" s="14" t="str">
        <f t="shared" si="16"/>
        <v/>
      </c>
      <c r="I138" s="15" t="str">
        <f t="shared" si="17"/>
        <v/>
      </c>
      <c r="J138" s="15" t="str">
        <f t="shared" si="19"/>
        <v/>
      </c>
      <c r="K138" s="16" t="str">
        <f t="shared" si="18"/>
        <v/>
      </c>
      <c r="M138" t="str">
        <f>IFERROR(MATCH($C$5&amp;"|"&amp;RIGHT("000000"&amp;122,6),CalcRankKeyA,0),"")</f>
        <v/>
      </c>
      <c r="N138" t="str">
        <f>IFERROR(MATCH($C$5&amp;"|"&amp;RIGHT("000000"&amp;122,6),CalcRankKeyB,0),"")</f>
        <v/>
      </c>
    </row>
    <row r="139" spans="1:14" x14ac:dyDescent="0.2">
      <c r="A139" s="7">
        <v>123</v>
      </c>
      <c r="B139" s="8" t="str">
        <f t="shared" si="10"/>
        <v/>
      </c>
      <c r="C139" s="8" t="str">
        <f t="shared" si="11"/>
        <v/>
      </c>
      <c r="D139" s="8" t="str">
        <f t="shared" si="12"/>
        <v/>
      </c>
      <c r="E139" s="9" t="str">
        <f t="shared" si="13"/>
        <v/>
      </c>
      <c r="F139" s="9" t="str">
        <f t="shared" si="14"/>
        <v/>
      </c>
      <c r="G139" s="9" t="str">
        <f t="shared" si="15"/>
        <v/>
      </c>
      <c r="H139" s="9" t="str">
        <f t="shared" si="16"/>
        <v/>
      </c>
      <c r="I139" s="10" t="str">
        <f t="shared" si="17"/>
        <v/>
      </c>
      <c r="J139" s="10" t="str">
        <f t="shared" si="19"/>
        <v/>
      </c>
      <c r="K139" s="11" t="str">
        <f t="shared" si="18"/>
        <v/>
      </c>
      <c r="M139" t="str">
        <f>IFERROR(MATCH($C$5&amp;"|"&amp;RIGHT("000000"&amp;123,6),CalcRankKeyA,0),"")</f>
        <v/>
      </c>
      <c r="N139" t="str">
        <f>IFERROR(MATCH($C$5&amp;"|"&amp;RIGHT("000000"&amp;123,6),CalcRankKeyB,0),"")</f>
        <v/>
      </c>
    </row>
    <row r="140" spans="1:14" x14ac:dyDescent="0.2">
      <c r="A140" s="12">
        <v>124</v>
      </c>
      <c r="B140" s="13" t="str">
        <f t="shared" si="10"/>
        <v/>
      </c>
      <c r="C140" s="13" t="str">
        <f t="shared" si="11"/>
        <v/>
      </c>
      <c r="D140" s="13" t="str">
        <f t="shared" si="12"/>
        <v/>
      </c>
      <c r="E140" s="14" t="str">
        <f t="shared" si="13"/>
        <v/>
      </c>
      <c r="F140" s="14" t="str">
        <f t="shared" si="14"/>
        <v/>
      </c>
      <c r="G140" s="14" t="str">
        <f t="shared" si="15"/>
        <v/>
      </c>
      <c r="H140" s="14" t="str">
        <f t="shared" si="16"/>
        <v/>
      </c>
      <c r="I140" s="15" t="str">
        <f t="shared" si="17"/>
        <v/>
      </c>
      <c r="J140" s="15" t="str">
        <f t="shared" si="19"/>
        <v/>
      </c>
      <c r="K140" s="16" t="str">
        <f t="shared" si="18"/>
        <v/>
      </c>
      <c r="M140" t="str">
        <f>IFERROR(MATCH($C$5&amp;"|"&amp;RIGHT("000000"&amp;124,6),CalcRankKeyA,0),"")</f>
        <v/>
      </c>
      <c r="N140" t="str">
        <f>IFERROR(MATCH($C$5&amp;"|"&amp;RIGHT("000000"&amp;124,6),CalcRankKeyB,0),"")</f>
        <v/>
      </c>
    </row>
    <row r="141" spans="1:14" x14ac:dyDescent="0.2">
      <c r="A141" s="7">
        <v>125</v>
      </c>
      <c r="B141" s="8" t="str">
        <f t="shared" si="10"/>
        <v/>
      </c>
      <c r="C141" s="8" t="str">
        <f t="shared" si="11"/>
        <v/>
      </c>
      <c r="D141" s="8" t="str">
        <f t="shared" si="12"/>
        <v/>
      </c>
      <c r="E141" s="9" t="str">
        <f t="shared" si="13"/>
        <v/>
      </c>
      <c r="F141" s="9" t="str">
        <f t="shared" si="14"/>
        <v/>
      </c>
      <c r="G141" s="9" t="str">
        <f t="shared" si="15"/>
        <v/>
      </c>
      <c r="H141" s="9" t="str">
        <f t="shared" si="16"/>
        <v/>
      </c>
      <c r="I141" s="10" t="str">
        <f t="shared" si="17"/>
        <v/>
      </c>
      <c r="J141" s="10" t="str">
        <f t="shared" si="19"/>
        <v/>
      </c>
      <c r="K141" s="11" t="str">
        <f t="shared" si="18"/>
        <v/>
      </c>
      <c r="M141" t="str">
        <f>IFERROR(MATCH($C$5&amp;"|"&amp;RIGHT("000000"&amp;125,6),CalcRankKeyA,0),"")</f>
        <v/>
      </c>
      <c r="N141" t="str">
        <f>IFERROR(MATCH($C$5&amp;"|"&amp;RIGHT("000000"&amp;125,6),CalcRankKeyB,0),"")</f>
        <v/>
      </c>
    </row>
    <row r="142" spans="1:14" x14ac:dyDescent="0.2">
      <c r="A142" s="12">
        <v>126</v>
      </c>
      <c r="B142" s="13" t="str">
        <f t="shared" si="10"/>
        <v/>
      </c>
      <c r="C142" s="13" t="str">
        <f t="shared" si="11"/>
        <v/>
      </c>
      <c r="D142" s="13" t="str">
        <f t="shared" si="12"/>
        <v/>
      </c>
      <c r="E142" s="14" t="str">
        <f t="shared" si="13"/>
        <v/>
      </c>
      <c r="F142" s="14" t="str">
        <f t="shared" si="14"/>
        <v/>
      </c>
      <c r="G142" s="14" t="str">
        <f t="shared" si="15"/>
        <v/>
      </c>
      <c r="H142" s="14" t="str">
        <f t="shared" si="16"/>
        <v/>
      </c>
      <c r="I142" s="15" t="str">
        <f t="shared" si="17"/>
        <v/>
      </c>
      <c r="J142" s="15" t="str">
        <f t="shared" si="19"/>
        <v/>
      </c>
      <c r="K142" s="16" t="str">
        <f t="shared" si="18"/>
        <v/>
      </c>
      <c r="M142" t="str">
        <f>IFERROR(MATCH($C$5&amp;"|"&amp;RIGHT("000000"&amp;126,6),CalcRankKeyA,0),"")</f>
        <v/>
      </c>
      <c r="N142" t="str">
        <f>IFERROR(MATCH($C$5&amp;"|"&amp;RIGHT("000000"&amp;126,6),CalcRankKeyB,0),"")</f>
        <v/>
      </c>
    </row>
    <row r="143" spans="1:14" x14ac:dyDescent="0.2">
      <c r="A143" s="7">
        <v>127</v>
      </c>
      <c r="B143" s="8" t="str">
        <f t="shared" si="10"/>
        <v/>
      </c>
      <c r="C143" s="8" t="str">
        <f t="shared" si="11"/>
        <v/>
      </c>
      <c r="D143" s="8" t="str">
        <f t="shared" si="12"/>
        <v/>
      </c>
      <c r="E143" s="9" t="str">
        <f t="shared" si="13"/>
        <v/>
      </c>
      <c r="F143" s="9" t="str">
        <f t="shared" si="14"/>
        <v/>
      </c>
      <c r="G143" s="9" t="str">
        <f t="shared" si="15"/>
        <v/>
      </c>
      <c r="H143" s="9" t="str">
        <f t="shared" si="16"/>
        <v/>
      </c>
      <c r="I143" s="10" t="str">
        <f t="shared" si="17"/>
        <v/>
      </c>
      <c r="J143" s="10" t="str">
        <f t="shared" si="19"/>
        <v/>
      </c>
      <c r="K143" s="11" t="str">
        <f t="shared" si="18"/>
        <v/>
      </c>
      <c r="M143" t="str">
        <f>IFERROR(MATCH($C$5&amp;"|"&amp;RIGHT("000000"&amp;127,6),CalcRankKeyA,0),"")</f>
        <v/>
      </c>
      <c r="N143" t="str">
        <f>IFERROR(MATCH($C$5&amp;"|"&amp;RIGHT("000000"&amp;127,6),CalcRankKeyB,0),"")</f>
        <v/>
      </c>
    </row>
    <row r="144" spans="1:14" x14ac:dyDescent="0.2">
      <c r="A144" s="12">
        <v>128</v>
      </c>
      <c r="B144" s="13" t="str">
        <f t="shared" si="10"/>
        <v/>
      </c>
      <c r="C144" s="13" t="str">
        <f t="shared" si="11"/>
        <v/>
      </c>
      <c r="D144" s="13" t="str">
        <f t="shared" si="12"/>
        <v/>
      </c>
      <c r="E144" s="14" t="str">
        <f t="shared" si="13"/>
        <v/>
      </c>
      <c r="F144" s="14" t="str">
        <f t="shared" si="14"/>
        <v/>
      </c>
      <c r="G144" s="14" t="str">
        <f t="shared" si="15"/>
        <v/>
      </c>
      <c r="H144" s="14" t="str">
        <f t="shared" si="16"/>
        <v/>
      </c>
      <c r="I144" s="15" t="str">
        <f t="shared" si="17"/>
        <v/>
      </c>
      <c r="J144" s="15" t="str">
        <f t="shared" si="19"/>
        <v/>
      </c>
      <c r="K144" s="16" t="str">
        <f t="shared" si="18"/>
        <v/>
      </c>
      <c r="M144" t="str">
        <f>IFERROR(MATCH($C$5&amp;"|"&amp;RIGHT("000000"&amp;128,6),CalcRankKeyA,0),"")</f>
        <v/>
      </c>
      <c r="N144" t="str">
        <f>IFERROR(MATCH($C$5&amp;"|"&amp;RIGHT("000000"&amp;128,6),CalcRankKeyB,0),"")</f>
        <v/>
      </c>
    </row>
    <row r="145" spans="1:14" x14ac:dyDescent="0.2">
      <c r="A145" s="7">
        <v>129</v>
      </c>
      <c r="B145" s="8" t="str">
        <f t="shared" ref="B145:B208" si="20">IF(AND($M145="",$N145=""),"",IF($M145&lt;&gt;"",INDEX(CalcDateA,$M145),INDEX(CalcDateB,$N145)))</f>
        <v/>
      </c>
      <c r="C145" s="8" t="str">
        <f t="shared" ref="C145:C208" si="21">IF($M145&lt;&gt;"","خرید سبد",IF($N145&lt;&gt;"",IF(N(INDEX(CalcDepB,$N145))&gt;0,"دریافت بانکی","پرداخت بانکی"),""))</f>
        <v/>
      </c>
      <c r="D145" s="8" t="str">
        <f t="shared" ref="D145:D208" si="22">IF($M145&lt;&gt;"",IF(INDEX(CalcDocA,$M145)="","—",INDEX(CalcDocA,$M145)),IF($N145&lt;&gt;"",INDEX(CalcBankB,$N145),""))</f>
        <v/>
      </c>
      <c r="E145" s="9" t="str">
        <f t="shared" ref="E145:E208" si="23">IF($N145&lt;&gt;"",IF(INDEX(CalcDepB,$N145)=0,"",INDEX(CalcDepB,$N145)),"")</f>
        <v/>
      </c>
      <c r="F145" s="9" t="str">
        <f t="shared" ref="F145:F208" si="24">IF($M145&lt;&gt;"",IF(INDEX(CalcQtyA,$M145)=0,"",INDEX(CalcQtyA,$M145)),"")</f>
        <v/>
      </c>
      <c r="G145" s="9" t="str">
        <f t="shared" ref="G145:G208" si="25">IF($M145&lt;&gt;"",IF(INDEX(CalcPriceA,$M145)=0,"",INDEX(CalcPriceA,$M145)),"")</f>
        <v/>
      </c>
      <c r="H145" s="9" t="str">
        <f t="shared" ref="H145:H208" si="26">IF($N145&lt;&gt;"",IF(INDEX(CalcWitB,$N145)=0,"",INDEX(CalcWitB,$N145)),"")</f>
        <v/>
      </c>
      <c r="I145" s="10" t="str">
        <f t="shared" ref="I145:I208" si="27">IF($M145&lt;&gt;"",INDEX(CalcAmtA,$M145),"")</f>
        <v/>
      </c>
      <c r="J145" s="10" t="str">
        <f t="shared" si="19"/>
        <v/>
      </c>
      <c r="K145" s="11" t="str">
        <f t="shared" ref="K145:K208" si="28">IF($M145&lt;&gt;"",IF(INDEX(CalcNoteA,$M145)="","—",INDEX(CalcNoteA,$M145)),IF($N145&lt;&gt;"",IF(INDEX(CalcNoteB,$N145)="","—",INDEX(CalcNoteB,$N145)),""))</f>
        <v/>
      </c>
      <c r="M145" t="str">
        <f>IFERROR(MATCH($C$5&amp;"|"&amp;RIGHT("000000"&amp;129,6),CalcRankKeyA,0),"")</f>
        <v/>
      </c>
      <c r="N145" t="str">
        <f>IFERROR(MATCH($C$5&amp;"|"&amp;RIGHT("000000"&amp;129,6),CalcRankKeyB,0),"")</f>
        <v/>
      </c>
    </row>
    <row r="146" spans="1:14" x14ac:dyDescent="0.2">
      <c r="A146" s="12">
        <v>130</v>
      </c>
      <c r="B146" s="13" t="str">
        <f t="shared" si="20"/>
        <v/>
      </c>
      <c r="C146" s="13" t="str">
        <f t="shared" si="21"/>
        <v/>
      </c>
      <c r="D146" s="13" t="str">
        <f t="shared" si="22"/>
        <v/>
      </c>
      <c r="E146" s="14" t="str">
        <f t="shared" si="23"/>
        <v/>
      </c>
      <c r="F146" s="14" t="str">
        <f t="shared" si="24"/>
        <v/>
      </c>
      <c r="G146" s="14" t="str">
        <f t="shared" si="25"/>
        <v/>
      </c>
      <c r="H146" s="14" t="str">
        <f t="shared" si="26"/>
        <v/>
      </c>
      <c r="I146" s="15" t="str">
        <f t="shared" si="27"/>
        <v/>
      </c>
      <c r="J146" s="15" t="str">
        <f t="shared" ref="J146:J209" si="29">IF($B146="","",IF($J145="",$C$8,$J145)+IF($I146="",0,$I146)+IF($E146="",0,$E146)-IF($H146="",0,$H146))</f>
        <v/>
      </c>
      <c r="K146" s="16" t="str">
        <f t="shared" si="28"/>
        <v/>
      </c>
      <c r="M146" t="str">
        <f>IFERROR(MATCH($C$5&amp;"|"&amp;RIGHT("000000"&amp;130,6),CalcRankKeyA,0),"")</f>
        <v/>
      </c>
      <c r="N146" t="str">
        <f>IFERROR(MATCH($C$5&amp;"|"&amp;RIGHT("000000"&amp;130,6),CalcRankKeyB,0),"")</f>
        <v/>
      </c>
    </row>
    <row r="147" spans="1:14" x14ac:dyDescent="0.2">
      <c r="A147" s="7">
        <v>131</v>
      </c>
      <c r="B147" s="8" t="str">
        <f t="shared" si="20"/>
        <v/>
      </c>
      <c r="C147" s="8" t="str">
        <f t="shared" si="21"/>
        <v/>
      </c>
      <c r="D147" s="8" t="str">
        <f t="shared" si="22"/>
        <v/>
      </c>
      <c r="E147" s="9" t="str">
        <f t="shared" si="23"/>
        <v/>
      </c>
      <c r="F147" s="9" t="str">
        <f t="shared" si="24"/>
        <v/>
      </c>
      <c r="G147" s="9" t="str">
        <f t="shared" si="25"/>
        <v/>
      </c>
      <c r="H147" s="9" t="str">
        <f t="shared" si="26"/>
        <v/>
      </c>
      <c r="I147" s="10" t="str">
        <f t="shared" si="27"/>
        <v/>
      </c>
      <c r="J147" s="10" t="str">
        <f t="shared" si="29"/>
        <v/>
      </c>
      <c r="K147" s="11" t="str">
        <f t="shared" si="28"/>
        <v/>
      </c>
      <c r="M147" t="str">
        <f>IFERROR(MATCH($C$5&amp;"|"&amp;RIGHT("000000"&amp;131,6),CalcRankKeyA,0),"")</f>
        <v/>
      </c>
      <c r="N147" t="str">
        <f>IFERROR(MATCH($C$5&amp;"|"&amp;RIGHT("000000"&amp;131,6),CalcRankKeyB,0),"")</f>
        <v/>
      </c>
    </row>
    <row r="148" spans="1:14" x14ac:dyDescent="0.2">
      <c r="A148" s="12">
        <v>132</v>
      </c>
      <c r="B148" s="13" t="str">
        <f t="shared" si="20"/>
        <v/>
      </c>
      <c r="C148" s="13" t="str">
        <f t="shared" si="21"/>
        <v/>
      </c>
      <c r="D148" s="13" t="str">
        <f t="shared" si="22"/>
        <v/>
      </c>
      <c r="E148" s="14" t="str">
        <f t="shared" si="23"/>
        <v/>
      </c>
      <c r="F148" s="14" t="str">
        <f t="shared" si="24"/>
        <v/>
      </c>
      <c r="G148" s="14" t="str">
        <f t="shared" si="25"/>
        <v/>
      </c>
      <c r="H148" s="14" t="str">
        <f t="shared" si="26"/>
        <v/>
      </c>
      <c r="I148" s="15" t="str">
        <f t="shared" si="27"/>
        <v/>
      </c>
      <c r="J148" s="15" t="str">
        <f t="shared" si="29"/>
        <v/>
      </c>
      <c r="K148" s="16" t="str">
        <f t="shared" si="28"/>
        <v/>
      </c>
      <c r="M148" t="str">
        <f>IFERROR(MATCH($C$5&amp;"|"&amp;RIGHT("000000"&amp;132,6),CalcRankKeyA,0),"")</f>
        <v/>
      </c>
      <c r="N148" t="str">
        <f>IFERROR(MATCH($C$5&amp;"|"&amp;RIGHT("000000"&amp;132,6),CalcRankKeyB,0),"")</f>
        <v/>
      </c>
    </row>
    <row r="149" spans="1:14" x14ac:dyDescent="0.2">
      <c r="A149" s="7">
        <v>133</v>
      </c>
      <c r="B149" s="8" t="str">
        <f t="shared" si="20"/>
        <v/>
      </c>
      <c r="C149" s="8" t="str">
        <f t="shared" si="21"/>
        <v/>
      </c>
      <c r="D149" s="8" t="str">
        <f t="shared" si="22"/>
        <v/>
      </c>
      <c r="E149" s="9" t="str">
        <f t="shared" si="23"/>
        <v/>
      </c>
      <c r="F149" s="9" t="str">
        <f t="shared" si="24"/>
        <v/>
      </c>
      <c r="G149" s="9" t="str">
        <f t="shared" si="25"/>
        <v/>
      </c>
      <c r="H149" s="9" t="str">
        <f t="shared" si="26"/>
        <v/>
      </c>
      <c r="I149" s="10" t="str">
        <f t="shared" si="27"/>
        <v/>
      </c>
      <c r="J149" s="10" t="str">
        <f t="shared" si="29"/>
        <v/>
      </c>
      <c r="K149" s="11" t="str">
        <f t="shared" si="28"/>
        <v/>
      </c>
      <c r="M149" t="str">
        <f>IFERROR(MATCH($C$5&amp;"|"&amp;RIGHT("000000"&amp;133,6),CalcRankKeyA,0),"")</f>
        <v/>
      </c>
      <c r="N149" t="str">
        <f>IFERROR(MATCH($C$5&amp;"|"&amp;RIGHT("000000"&amp;133,6),CalcRankKeyB,0),"")</f>
        <v/>
      </c>
    </row>
    <row r="150" spans="1:14" x14ac:dyDescent="0.2">
      <c r="A150" s="12">
        <v>134</v>
      </c>
      <c r="B150" s="13" t="str">
        <f t="shared" si="20"/>
        <v/>
      </c>
      <c r="C150" s="13" t="str">
        <f t="shared" si="21"/>
        <v/>
      </c>
      <c r="D150" s="13" t="str">
        <f t="shared" si="22"/>
        <v/>
      </c>
      <c r="E150" s="14" t="str">
        <f t="shared" si="23"/>
        <v/>
      </c>
      <c r="F150" s="14" t="str">
        <f t="shared" si="24"/>
        <v/>
      </c>
      <c r="G150" s="14" t="str">
        <f t="shared" si="25"/>
        <v/>
      </c>
      <c r="H150" s="14" t="str">
        <f t="shared" si="26"/>
        <v/>
      </c>
      <c r="I150" s="15" t="str">
        <f t="shared" si="27"/>
        <v/>
      </c>
      <c r="J150" s="15" t="str">
        <f t="shared" si="29"/>
        <v/>
      </c>
      <c r="K150" s="16" t="str">
        <f t="shared" si="28"/>
        <v/>
      </c>
      <c r="M150" t="str">
        <f>IFERROR(MATCH($C$5&amp;"|"&amp;RIGHT("000000"&amp;134,6),CalcRankKeyA,0),"")</f>
        <v/>
      </c>
      <c r="N150" t="str">
        <f>IFERROR(MATCH($C$5&amp;"|"&amp;RIGHT("000000"&amp;134,6),CalcRankKeyB,0),"")</f>
        <v/>
      </c>
    </row>
    <row r="151" spans="1:14" x14ac:dyDescent="0.2">
      <c r="A151" s="7">
        <v>135</v>
      </c>
      <c r="B151" s="8" t="str">
        <f t="shared" si="20"/>
        <v/>
      </c>
      <c r="C151" s="8" t="str">
        <f t="shared" si="21"/>
        <v/>
      </c>
      <c r="D151" s="8" t="str">
        <f t="shared" si="22"/>
        <v/>
      </c>
      <c r="E151" s="9" t="str">
        <f t="shared" si="23"/>
        <v/>
      </c>
      <c r="F151" s="9" t="str">
        <f t="shared" si="24"/>
        <v/>
      </c>
      <c r="G151" s="9" t="str">
        <f t="shared" si="25"/>
        <v/>
      </c>
      <c r="H151" s="9" t="str">
        <f t="shared" si="26"/>
        <v/>
      </c>
      <c r="I151" s="10" t="str">
        <f t="shared" si="27"/>
        <v/>
      </c>
      <c r="J151" s="10" t="str">
        <f t="shared" si="29"/>
        <v/>
      </c>
      <c r="K151" s="11" t="str">
        <f t="shared" si="28"/>
        <v/>
      </c>
      <c r="M151" t="str">
        <f>IFERROR(MATCH($C$5&amp;"|"&amp;RIGHT("000000"&amp;135,6),CalcRankKeyA,0),"")</f>
        <v/>
      </c>
      <c r="N151" t="str">
        <f>IFERROR(MATCH($C$5&amp;"|"&amp;RIGHT("000000"&amp;135,6),CalcRankKeyB,0),"")</f>
        <v/>
      </c>
    </row>
    <row r="152" spans="1:14" x14ac:dyDescent="0.2">
      <c r="A152" s="12">
        <v>136</v>
      </c>
      <c r="B152" s="13" t="str">
        <f t="shared" si="20"/>
        <v/>
      </c>
      <c r="C152" s="13" t="str">
        <f t="shared" si="21"/>
        <v/>
      </c>
      <c r="D152" s="13" t="str">
        <f t="shared" si="22"/>
        <v/>
      </c>
      <c r="E152" s="14" t="str">
        <f t="shared" si="23"/>
        <v/>
      </c>
      <c r="F152" s="14" t="str">
        <f t="shared" si="24"/>
        <v/>
      </c>
      <c r="G152" s="14" t="str">
        <f t="shared" si="25"/>
        <v/>
      </c>
      <c r="H152" s="14" t="str">
        <f t="shared" si="26"/>
        <v/>
      </c>
      <c r="I152" s="15" t="str">
        <f t="shared" si="27"/>
        <v/>
      </c>
      <c r="J152" s="15" t="str">
        <f t="shared" si="29"/>
        <v/>
      </c>
      <c r="K152" s="16" t="str">
        <f t="shared" si="28"/>
        <v/>
      </c>
      <c r="M152" t="str">
        <f>IFERROR(MATCH($C$5&amp;"|"&amp;RIGHT("000000"&amp;136,6),CalcRankKeyA,0),"")</f>
        <v/>
      </c>
      <c r="N152" t="str">
        <f>IFERROR(MATCH($C$5&amp;"|"&amp;RIGHT("000000"&amp;136,6),CalcRankKeyB,0),"")</f>
        <v/>
      </c>
    </row>
    <row r="153" spans="1:14" x14ac:dyDescent="0.2">
      <c r="A153" s="7">
        <v>137</v>
      </c>
      <c r="B153" s="8" t="str">
        <f t="shared" si="20"/>
        <v/>
      </c>
      <c r="C153" s="8" t="str">
        <f t="shared" si="21"/>
        <v/>
      </c>
      <c r="D153" s="8" t="str">
        <f t="shared" si="22"/>
        <v/>
      </c>
      <c r="E153" s="9" t="str">
        <f t="shared" si="23"/>
        <v/>
      </c>
      <c r="F153" s="9" t="str">
        <f t="shared" si="24"/>
        <v/>
      </c>
      <c r="G153" s="9" t="str">
        <f t="shared" si="25"/>
        <v/>
      </c>
      <c r="H153" s="9" t="str">
        <f t="shared" si="26"/>
        <v/>
      </c>
      <c r="I153" s="10" t="str">
        <f t="shared" si="27"/>
        <v/>
      </c>
      <c r="J153" s="10" t="str">
        <f t="shared" si="29"/>
        <v/>
      </c>
      <c r="K153" s="11" t="str">
        <f t="shared" si="28"/>
        <v/>
      </c>
      <c r="M153" t="str">
        <f>IFERROR(MATCH($C$5&amp;"|"&amp;RIGHT("000000"&amp;137,6),CalcRankKeyA,0),"")</f>
        <v/>
      </c>
      <c r="N153" t="str">
        <f>IFERROR(MATCH($C$5&amp;"|"&amp;RIGHT("000000"&amp;137,6),CalcRankKeyB,0),"")</f>
        <v/>
      </c>
    </row>
    <row r="154" spans="1:14" x14ac:dyDescent="0.2">
      <c r="A154" s="12">
        <v>138</v>
      </c>
      <c r="B154" s="13" t="str">
        <f t="shared" si="20"/>
        <v/>
      </c>
      <c r="C154" s="13" t="str">
        <f t="shared" si="21"/>
        <v/>
      </c>
      <c r="D154" s="13" t="str">
        <f t="shared" si="22"/>
        <v/>
      </c>
      <c r="E154" s="14" t="str">
        <f t="shared" si="23"/>
        <v/>
      </c>
      <c r="F154" s="14" t="str">
        <f t="shared" si="24"/>
        <v/>
      </c>
      <c r="G154" s="14" t="str">
        <f t="shared" si="25"/>
        <v/>
      </c>
      <c r="H154" s="14" t="str">
        <f t="shared" si="26"/>
        <v/>
      </c>
      <c r="I154" s="15" t="str">
        <f t="shared" si="27"/>
        <v/>
      </c>
      <c r="J154" s="15" t="str">
        <f t="shared" si="29"/>
        <v/>
      </c>
      <c r="K154" s="16" t="str">
        <f t="shared" si="28"/>
        <v/>
      </c>
      <c r="M154" t="str">
        <f>IFERROR(MATCH($C$5&amp;"|"&amp;RIGHT("000000"&amp;138,6),CalcRankKeyA,0),"")</f>
        <v/>
      </c>
      <c r="N154" t="str">
        <f>IFERROR(MATCH($C$5&amp;"|"&amp;RIGHT("000000"&amp;138,6),CalcRankKeyB,0),"")</f>
        <v/>
      </c>
    </row>
    <row r="155" spans="1:14" x14ac:dyDescent="0.2">
      <c r="A155" s="7">
        <v>139</v>
      </c>
      <c r="B155" s="8" t="str">
        <f t="shared" si="20"/>
        <v/>
      </c>
      <c r="C155" s="8" t="str">
        <f t="shared" si="21"/>
        <v/>
      </c>
      <c r="D155" s="8" t="str">
        <f t="shared" si="22"/>
        <v/>
      </c>
      <c r="E155" s="9" t="str">
        <f t="shared" si="23"/>
        <v/>
      </c>
      <c r="F155" s="9" t="str">
        <f t="shared" si="24"/>
        <v/>
      </c>
      <c r="G155" s="9" t="str">
        <f t="shared" si="25"/>
        <v/>
      </c>
      <c r="H155" s="9" t="str">
        <f t="shared" si="26"/>
        <v/>
      </c>
      <c r="I155" s="10" t="str">
        <f t="shared" si="27"/>
        <v/>
      </c>
      <c r="J155" s="10" t="str">
        <f t="shared" si="29"/>
        <v/>
      </c>
      <c r="K155" s="11" t="str">
        <f t="shared" si="28"/>
        <v/>
      </c>
      <c r="M155" t="str">
        <f>IFERROR(MATCH($C$5&amp;"|"&amp;RIGHT("000000"&amp;139,6),CalcRankKeyA,0),"")</f>
        <v/>
      </c>
      <c r="N155" t="str">
        <f>IFERROR(MATCH($C$5&amp;"|"&amp;RIGHT("000000"&amp;139,6),CalcRankKeyB,0),"")</f>
        <v/>
      </c>
    </row>
    <row r="156" spans="1:14" x14ac:dyDescent="0.2">
      <c r="A156" s="12">
        <v>140</v>
      </c>
      <c r="B156" s="13" t="str">
        <f t="shared" si="20"/>
        <v/>
      </c>
      <c r="C156" s="13" t="str">
        <f t="shared" si="21"/>
        <v/>
      </c>
      <c r="D156" s="13" t="str">
        <f t="shared" si="22"/>
        <v/>
      </c>
      <c r="E156" s="14" t="str">
        <f t="shared" si="23"/>
        <v/>
      </c>
      <c r="F156" s="14" t="str">
        <f t="shared" si="24"/>
        <v/>
      </c>
      <c r="G156" s="14" t="str">
        <f t="shared" si="25"/>
        <v/>
      </c>
      <c r="H156" s="14" t="str">
        <f t="shared" si="26"/>
        <v/>
      </c>
      <c r="I156" s="15" t="str">
        <f t="shared" si="27"/>
        <v/>
      </c>
      <c r="J156" s="15" t="str">
        <f t="shared" si="29"/>
        <v/>
      </c>
      <c r="K156" s="16" t="str">
        <f t="shared" si="28"/>
        <v/>
      </c>
      <c r="M156" t="str">
        <f>IFERROR(MATCH($C$5&amp;"|"&amp;RIGHT("000000"&amp;140,6),CalcRankKeyA,0),"")</f>
        <v/>
      </c>
      <c r="N156" t="str">
        <f>IFERROR(MATCH($C$5&amp;"|"&amp;RIGHT("000000"&amp;140,6),CalcRankKeyB,0),"")</f>
        <v/>
      </c>
    </row>
    <row r="157" spans="1:14" x14ac:dyDescent="0.2">
      <c r="A157" s="7">
        <v>141</v>
      </c>
      <c r="B157" s="8" t="str">
        <f t="shared" si="20"/>
        <v/>
      </c>
      <c r="C157" s="8" t="str">
        <f t="shared" si="21"/>
        <v/>
      </c>
      <c r="D157" s="8" t="str">
        <f t="shared" si="22"/>
        <v/>
      </c>
      <c r="E157" s="9" t="str">
        <f t="shared" si="23"/>
        <v/>
      </c>
      <c r="F157" s="9" t="str">
        <f t="shared" si="24"/>
        <v/>
      </c>
      <c r="G157" s="9" t="str">
        <f t="shared" si="25"/>
        <v/>
      </c>
      <c r="H157" s="9" t="str">
        <f t="shared" si="26"/>
        <v/>
      </c>
      <c r="I157" s="10" t="str">
        <f t="shared" si="27"/>
        <v/>
      </c>
      <c r="J157" s="10" t="str">
        <f t="shared" si="29"/>
        <v/>
      </c>
      <c r="K157" s="11" t="str">
        <f t="shared" si="28"/>
        <v/>
      </c>
      <c r="M157" t="str">
        <f>IFERROR(MATCH($C$5&amp;"|"&amp;RIGHT("000000"&amp;141,6),CalcRankKeyA,0),"")</f>
        <v/>
      </c>
      <c r="N157" t="str">
        <f>IFERROR(MATCH($C$5&amp;"|"&amp;RIGHT("000000"&amp;141,6),CalcRankKeyB,0),"")</f>
        <v/>
      </c>
    </row>
    <row r="158" spans="1:14" x14ac:dyDescent="0.2">
      <c r="A158" s="12">
        <v>142</v>
      </c>
      <c r="B158" s="13" t="str">
        <f t="shared" si="20"/>
        <v/>
      </c>
      <c r="C158" s="13" t="str">
        <f t="shared" si="21"/>
        <v/>
      </c>
      <c r="D158" s="13" t="str">
        <f t="shared" si="22"/>
        <v/>
      </c>
      <c r="E158" s="14" t="str">
        <f t="shared" si="23"/>
        <v/>
      </c>
      <c r="F158" s="14" t="str">
        <f t="shared" si="24"/>
        <v/>
      </c>
      <c r="G158" s="14" t="str">
        <f t="shared" si="25"/>
        <v/>
      </c>
      <c r="H158" s="14" t="str">
        <f t="shared" si="26"/>
        <v/>
      </c>
      <c r="I158" s="15" t="str">
        <f t="shared" si="27"/>
        <v/>
      </c>
      <c r="J158" s="15" t="str">
        <f t="shared" si="29"/>
        <v/>
      </c>
      <c r="K158" s="16" t="str">
        <f t="shared" si="28"/>
        <v/>
      </c>
      <c r="M158" t="str">
        <f>IFERROR(MATCH($C$5&amp;"|"&amp;RIGHT("000000"&amp;142,6),CalcRankKeyA,0),"")</f>
        <v/>
      </c>
      <c r="N158" t="str">
        <f>IFERROR(MATCH($C$5&amp;"|"&amp;RIGHT("000000"&amp;142,6),CalcRankKeyB,0),"")</f>
        <v/>
      </c>
    </row>
    <row r="159" spans="1:14" x14ac:dyDescent="0.2">
      <c r="A159" s="7">
        <v>143</v>
      </c>
      <c r="B159" s="8" t="str">
        <f t="shared" si="20"/>
        <v/>
      </c>
      <c r="C159" s="8" t="str">
        <f t="shared" si="21"/>
        <v/>
      </c>
      <c r="D159" s="8" t="str">
        <f t="shared" si="22"/>
        <v/>
      </c>
      <c r="E159" s="9" t="str">
        <f t="shared" si="23"/>
        <v/>
      </c>
      <c r="F159" s="9" t="str">
        <f t="shared" si="24"/>
        <v/>
      </c>
      <c r="G159" s="9" t="str">
        <f t="shared" si="25"/>
        <v/>
      </c>
      <c r="H159" s="9" t="str">
        <f t="shared" si="26"/>
        <v/>
      </c>
      <c r="I159" s="10" t="str">
        <f t="shared" si="27"/>
        <v/>
      </c>
      <c r="J159" s="10" t="str">
        <f t="shared" si="29"/>
        <v/>
      </c>
      <c r="K159" s="11" t="str">
        <f t="shared" si="28"/>
        <v/>
      </c>
      <c r="M159" t="str">
        <f>IFERROR(MATCH($C$5&amp;"|"&amp;RIGHT("000000"&amp;143,6),CalcRankKeyA,0),"")</f>
        <v/>
      </c>
      <c r="N159" t="str">
        <f>IFERROR(MATCH($C$5&amp;"|"&amp;RIGHT("000000"&amp;143,6),CalcRankKeyB,0),"")</f>
        <v/>
      </c>
    </row>
    <row r="160" spans="1:14" x14ac:dyDescent="0.2">
      <c r="A160" s="12">
        <v>144</v>
      </c>
      <c r="B160" s="13" t="str">
        <f t="shared" si="20"/>
        <v/>
      </c>
      <c r="C160" s="13" t="str">
        <f t="shared" si="21"/>
        <v/>
      </c>
      <c r="D160" s="13" t="str">
        <f t="shared" si="22"/>
        <v/>
      </c>
      <c r="E160" s="14" t="str">
        <f t="shared" si="23"/>
        <v/>
      </c>
      <c r="F160" s="14" t="str">
        <f t="shared" si="24"/>
        <v/>
      </c>
      <c r="G160" s="14" t="str">
        <f t="shared" si="25"/>
        <v/>
      </c>
      <c r="H160" s="14" t="str">
        <f t="shared" si="26"/>
        <v/>
      </c>
      <c r="I160" s="15" t="str">
        <f t="shared" si="27"/>
        <v/>
      </c>
      <c r="J160" s="15" t="str">
        <f t="shared" si="29"/>
        <v/>
      </c>
      <c r="K160" s="16" t="str">
        <f t="shared" si="28"/>
        <v/>
      </c>
      <c r="M160" t="str">
        <f>IFERROR(MATCH($C$5&amp;"|"&amp;RIGHT("000000"&amp;144,6),CalcRankKeyA,0),"")</f>
        <v/>
      </c>
      <c r="N160" t="str">
        <f>IFERROR(MATCH($C$5&amp;"|"&amp;RIGHT("000000"&amp;144,6),CalcRankKeyB,0),"")</f>
        <v/>
      </c>
    </row>
    <row r="161" spans="1:14" x14ac:dyDescent="0.2">
      <c r="A161" s="7">
        <v>145</v>
      </c>
      <c r="B161" s="8" t="str">
        <f t="shared" si="20"/>
        <v/>
      </c>
      <c r="C161" s="8" t="str">
        <f t="shared" si="21"/>
        <v/>
      </c>
      <c r="D161" s="8" t="str">
        <f t="shared" si="22"/>
        <v/>
      </c>
      <c r="E161" s="9" t="str">
        <f t="shared" si="23"/>
        <v/>
      </c>
      <c r="F161" s="9" t="str">
        <f t="shared" si="24"/>
        <v/>
      </c>
      <c r="G161" s="9" t="str">
        <f t="shared" si="25"/>
        <v/>
      </c>
      <c r="H161" s="9" t="str">
        <f t="shared" si="26"/>
        <v/>
      </c>
      <c r="I161" s="10" t="str">
        <f t="shared" si="27"/>
        <v/>
      </c>
      <c r="J161" s="10" t="str">
        <f t="shared" si="29"/>
        <v/>
      </c>
      <c r="K161" s="11" t="str">
        <f t="shared" si="28"/>
        <v/>
      </c>
      <c r="M161" t="str">
        <f>IFERROR(MATCH($C$5&amp;"|"&amp;RIGHT("000000"&amp;145,6),CalcRankKeyA,0),"")</f>
        <v/>
      </c>
      <c r="N161" t="str">
        <f>IFERROR(MATCH($C$5&amp;"|"&amp;RIGHT("000000"&amp;145,6),CalcRankKeyB,0),"")</f>
        <v/>
      </c>
    </row>
    <row r="162" spans="1:14" x14ac:dyDescent="0.2">
      <c r="A162" s="12">
        <v>146</v>
      </c>
      <c r="B162" s="13" t="str">
        <f t="shared" si="20"/>
        <v/>
      </c>
      <c r="C162" s="13" t="str">
        <f t="shared" si="21"/>
        <v/>
      </c>
      <c r="D162" s="13" t="str">
        <f t="shared" si="22"/>
        <v/>
      </c>
      <c r="E162" s="14" t="str">
        <f t="shared" si="23"/>
        <v/>
      </c>
      <c r="F162" s="14" t="str">
        <f t="shared" si="24"/>
        <v/>
      </c>
      <c r="G162" s="14" t="str">
        <f t="shared" si="25"/>
        <v/>
      </c>
      <c r="H162" s="14" t="str">
        <f t="shared" si="26"/>
        <v/>
      </c>
      <c r="I162" s="15" t="str">
        <f t="shared" si="27"/>
        <v/>
      </c>
      <c r="J162" s="15" t="str">
        <f t="shared" si="29"/>
        <v/>
      </c>
      <c r="K162" s="16" t="str">
        <f t="shared" si="28"/>
        <v/>
      </c>
      <c r="M162" t="str">
        <f>IFERROR(MATCH($C$5&amp;"|"&amp;RIGHT("000000"&amp;146,6),CalcRankKeyA,0),"")</f>
        <v/>
      </c>
      <c r="N162" t="str">
        <f>IFERROR(MATCH($C$5&amp;"|"&amp;RIGHT("000000"&amp;146,6),CalcRankKeyB,0),"")</f>
        <v/>
      </c>
    </row>
    <row r="163" spans="1:14" x14ac:dyDescent="0.2">
      <c r="A163" s="7">
        <v>147</v>
      </c>
      <c r="B163" s="8" t="str">
        <f t="shared" si="20"/>
        <v/>
      </c>
      <c r="C163" s="8" t="str">
        <f t="shared" si="21"/>
        <v/>
      </c>
      <c r="D163" s="8" t="str">
        <f t="shared" si="22"/>
        <v/>
      </c>
      <c r="E163" s="9" t="str">
        <f t="shared" si="23"/>
        <v/>
      </c>
      <c r="F163" s="9" t="str">
        <f t="shared" si="24"/>
        <v/>
      </c>
      <c r="G163" s="9" t="str">
        <f t="shared" si="25"/>
        <v/>
      </c>
      <c r="H163" s="9" t="str">
        <f t="shared" si="26"/>
        <v/>
      </c>
      <c r="I163" s="10" t="str">
        <f t="shared" si="27"/>
        <v/>
      </c>
      <c r="J163" s="10" t="str">
        <f t="shared" si="29"/>
        <v/>
      </c>
      <c r="K163" s="11" t="str">
        <f t="shared" si="28"/>
        <v/>
      </c>
      <c r="M163" t="str">
        <f>IFERROR(MATCH($C$5&amp;"|"&amp;RIGHT("000000"&amp;147,6),CalcRankKeyA,0),"")</f>
        <v/>
      </c>
      <c r="N163" t="str">
        <f>IFERROR(MATCH($C$5&amp;"|"&amp;RIGHT("000000"&amp;147,6),CalcRankKeyB,0),"")</f>
        <v/>
      </c>
    </row>
    <row r="164" spans="1:14" x14ac:dyDescent="0.2">
      <c r="A164" s="12">
        <v>148</v>
      </c>
      <c r="B164" s="13" t="str">
        <f t="shared" si="20"/>
        <v/>
      </c>
      <c r="C164" s="13" t="str">
        <f t="shared" si="21"/>
        <v/>
      </c>
      <c r="D164" s="13" t="str">
        <f t="shared" si="22"/>
        <v/>
      </c>
      <c r="E164" s="14" t="str">
        <f t="shared" si="23"/>
        <v/>
      </c>
      <c r="F164" s="14" t="str">
        <f t="shared" si="24"/>
        <v/>
      </c>
      <c r="G164" s="14" t="str">
        <f t="shared" si="25"/>
        <v/>
      </c>
      <c r="H164" s="14" t="str">
        <f t="shared" si="26"/>
        <v/>
      </c>
      <c r="I164" s="15" t="str">
        <f t="shared" si="27"/>
        <v/>
      </c>
      <c r="J164" s="15" t="str">
        <f t="shared" si="29"/>
        <v/>
      </c>
      <c r="K164" s="16" t="str">
        <f t="shared" si="28"/>
        <v/>
      </c>
      <c r="M164" t="str">
        <f>IFERROR(MATCH($C$5&amp;"|"&amp;RIGHT("000000"&amp;148,6),CalcRankKeyA,0),"")</f>
        <v/>
      </c>
      <c r="N164" t="str">
        <f>IFERROR(MATCH($C$5&amp;"|"&amp;RIGHT("000000"&amp;148,6),CalcRankKeyB,0),"")</f>
        <v/>
      </c>
    </row>
    <row r="165" spans="1:14" x14ac:dyDescent="0.2">
      <c r="A165" s="7">
        <v>149</v>
      </c>
      <c r="B165" s="8" t="str">
        <f t="shared" si="20"/>
        <v/>
      </c>
      <c r="C165" s="8" t="str">
        <f t="shared" si="21"/>
        <v/>
      </c>
      <c r="D165" s="8" t="str">
        <f t="shared" si="22"/>
        <v/>
      </c>
      <c r="E165" s="9" t="str">
        <f t="shared" si="23"/>
        <v/>
      </c>
      <c r="F165" s="9" t="str">
        <f t="shared" si="24"/>
        <v/>
      </c>
      <c r="G165" s="9" t="str">
        <f t="shared" si="25"/>
        <v/>
      </c>
      <c r="H165" s="9" t="str">
        <f t="shared" si="26"/>
        <v/>
      </c>
      <c r="I165" s="10" t="str">
        <f t="shared" si="27"/>
        <v/>
      </c>
      <c r="J165" s="10" t="str">
        <f t="shared" si="29"/>
        <v/>
      </c>
      <c r="K165" s="11" t="str">
        <f t="shared" si="28"/>
        <v/>
      </c>
      <c r="M165" t="str">
        <f>IFERROR(MATCH($C$5&amp;"|"&amp;RIGHT("000000"&amp;149,6),CalcRankKeyA,0),"")</f>
        <v/>
      </c>
      <c r="N165" t="str">
        <f>IFERROR(MATCH($C$5&amp;"|"&amp;RIGHT("000000"&amp;149,6),CalcRankKeyB,0),"")</f>
        <v/>
      </c>
    </row>
    <row r="166" spans="1:14" x14ac:dyDescent="0.2">
      <c r="A166" s="12">
        <v>150</v>
      </c>
      <c r="B166" s="13" t="str">
        <f t="shared" si="20"/>
        <v/>
      </c>
      <c r="C166" s="13" t="str">
        <f t="shared" si="21"/>
        <v/>
      </c>
      <c r="D166" s="13" t="str">
        <f t="shared" si="22"/>
        <v/>
      </c>
      <c r="E166" s="14" t="str">
        <f t="shared" si="23"/>
        <v/>
      </c>
      <c r="F166" s="14" t="str">
        <f t="shared" si="24"/>
        <v/>
      </c>
      <c r="G166" s="14" t="str">
        <f t="shared" si="25"/>
        <v/>
      </c>
      <c r="H166" s="14" t="str">
        <f t="shared" si="26"/>
        <v/>
      </c>
      <c r="I166" s="15" t="str">
        <f t="shared" si="27"/>
        <v/>
      </c>
      <c r="J166" s="15" t="str">
        <f t="shared" si="29"/>
        <v/>
      </c>
      <c r="K166" s="16" t="str">
        <f t="shared" si="28"/>
        <v/>
      </c>
      <c r="M166" t="str">
        <f>IFERROR(MATCH($C$5&amp;"|"&amp;RIGHT("000000"&amp;150,6),CalcRankKeyA,0),"")</f>
        <v/>
      </c>
      <c r="N166" t="str">
        <f>IFERROR(MATCH($C$5&amp;"|"&amp;RIGHT("000000"&amp;150,6),CalcRankKeyB,0),"")</f>
        <v/>
      </c>
    </row>
    <row r="167" spans="1:14" x14ac:dyDescent="0.2">
      <c r="A167" s="7">
        <v>151</v>
      </c>
      <c r="B167" s="8" t="str">
        <f t="shared" si="20"/>
        <v/>
      </c>
      <c r="C167" s="8" t="str">
        <f t="shared" si="21"/>
        <v/>
      </c>
      <c r="D167" s="8" t="str">
        <f t="shared" si="22"/>
        <v/>
      </c>
      <c r="E167" s="9" t="str">
        <f t="shared" si="23"/>
        <v/>
      </c>
      <c r="F167" s="9" t="str">
        <f t="shared" si="24"/>
        <v/>
      </c>
      <c r="G167" s="9" t="str">
        <f t="shared" si="25"/>
        <v/>
      </c>
      <c r="H167" s="9" t="str">
        <f t="shared" si="26"/>
        <v/>
      </c>
      <c r="I167" s="10" t="str">
        <f t="shared" si="27"/>
        <v/>
      </c>
      <c r="J167" s="10" t="str">
        <f t="shared" si="29"/>
        <v/>
      </c>
      <c r="K167" s="11" t="str">
        <f t="shared" si="28"/>
        <v/>
      </c>
      <c r="M167" t="str">
        <f>IFERROR(MATCH($C$5&amp;"|"&amp;RIGHT("000000"&amp;151,6),CalcRankKeyA,0),"")</f>
        <v/>
      </c>
      <c r="N167" t="str">
        <f>IFERROR(MATCH($C$5&amp;"|"&amp;RIGHT("000000"&amp;151,6),CalcRankKeyB,0),"")</f>
        <v/>
      </c>
    </row>
    <row r="168" spans="1:14" x14ac:dyDescent="0.2">
      <c r="A168" s="12">
        <v>152</v>
      </c>
      <c r="B168" s="13" t="str">
        <f t="shared" si="20"/>
        <v/>
      </c>
      <c r="C168" s="13" t="str">
        <f t="shared" si="21"/>
        <v/>
      </c>
      <c r="D168" s="13" t="str">
        <f t="shared" si="22"/>
        <v/>
      </c>
      <c r="E168" s="14" t="str">
        <f t="shared" si="23"/>
        <v/>
      </c>
      <c r="F168" s="14" t="str">
        <f t="shared" si="24"/>
        <v/>
      </c>
      <c r="G168" s="14" t="str">
        <f t="shared" si="25"/>
        <v/>
      </c>
      <c r="H168" s="14" t="str">
        <f t="shared" si="26"/>
        <v/>
      </c>
      <c r="I168" s="15" t="str">
        <f t="shared" si="27"/>
        <v/>
      </c>
      <c r="J168" s="15" t="str">
        <f t="shared" si="29"/>
        <v/>
      </c>
      <c r="K168" s="16" t="str">
        <f t="shared" si="28"/>
        <v/>
      </c>
      <c r="M168" t="str">
        <f>IFERROR(MATCH($C$5&amp;"|"&amp;RIGHT("000000"&amp;152,6),CalcRankKeyA,0),"")</f>
        <v/>
      </c>
      <c r="N168" t="str">
        <f>IFERROR(MATCH($C$5&amp;"|"&amp;RIGHT("000000"&amp;152,6),CalcRankKeyB,0),"")</f>
        <v/>
      </c>
    </row>
    <row r="169" spans="1:14" x14ac:dyDescent="0.2">
      <c r="A169" s="7">
        <v>153</v>
      </c>
      <c r="B169" s="8" t="str">
        <f t="shared" si="20"/>
        <v/>
      </c>
      <c r="C169" s="8" t="str">
        <f t="shared" si="21"/>
        <v/>
      </c>
      <c r="D169" s="8" t="str">
        <f t="shared" si="22"/>
        <v/>
      </c>
      <c r="E169" s="9" t="str">
        <f t="shared" si="23"/>
        <v/>
      </c>
      <c r="F169" s="9" t="str">
        <f t="shared" si="24"/>
        <v/>
      </c>
      <c r="G169" s="9" t="str">
        <f t="shared" si="25"/>
        <v/>
      </c>
      <c r="H169" s="9" t="str">
        <f t="shared" si="26"/>
        <v/>
      </c>
      <c r="I169" s="10" t="str">
        <f t="shared" si="27"/>
        <v/>
      </c>
      <c r="J169" s="10" t="str">
        <f t="shared" si="29"/>
        <v/>
      </c>
      <c r="K169" s="11" t="str">
        <f t="shared" si="28"/>
        <v/>
      </c>
      <c r="M169" t="str">
        <f>IFERROR(MATCH($C$5&amp;"|"&amp;RIGHT("000000"&amp;153,6),CalcRankKeyA,0),"")</f>
        <v/>
      </c>
      <c r="N169" t="str">
        <f>IFERROR(MATCH($C$5&amp;"|"&amp;RIGHT("000000"&amp;153,6),CalcRankKeyB,0),"")</f>
        <v/>
      </c>
    </row>
    <row r="170" spans="1:14" x14ac:dyDescent="0.2">
      <c r="A170" s="12">
        <v>154</v>
      </c>
      <c r="B170" s="13" t="str">
        <f t="shared" si="20"/>
        <v/>
      </c>
      <c r="C170" s="13" t="str">
        <f t="shared" si="21"/>
        <v/>
      </c>
      <c r="D170" s="13" t="str">
        <f t="shared" si="22"/>
        <v/>
      </c>
      <c r="E170" s="14" t="str">
        <f t="shared" si="23"/>
        <v/>
      </c>
      <c r="F170" s="14" t="str">
        <f t="shared" si="24"/>
        <v/>
      </c>
      <c r="G170" s="14" t="str">
        <f t="shared" si="25"/>
        <v/>
      </c>
      <c r="H170" s="14" t="str">
        <f t="shared" si="26"/>
        <v/>
      </c>
      <c r="I170" s="15" t="str">
        <f t="shared" si="27"/>
        <v/>
      </c>
      <c r="J170" s="15" t="str">
        <f t="shared" si="29"/>
        <v/>
      </c>
      <c r="K170" s="16" t="str">
        <f t="shared" si="28"/>
        <v/>
      </c>
      <c r="M170" t="str">
        <f>IFERROR(MATCH($C$5&amp;"|"&amp;RIGHT("000000"&amp;154,6),CalcRankKeyA,0),"")</f>
        <v/>
      </c>
      <c r="N170" t="str">
        <f>IFERROR(MATCH($C$5&amp;"|"&amp;RIGHT("000000"&amp;154,6),CalcRankKeyB,0),"")</f>
        <v/>
      </c>
    </row>
    <row r="171" spans="1:14" x14ac:dyDescent="0.2">
      <c r="A171" s="7">
        <v>155</v>
      </c>
      <c r="B171" s="8" t="str">
        <f t="shared" si="20"/>
        <v/>
      </c>
      <c r="C171" s="8" t="str">
        <f t="shared" si="21"/>
        <v/>
      </c>
      <c r="D171" s="8" t="str">
        <f t="shared" si="22"/>
        <v/>
      </c>
      <c r="E171" s="9" t="str">
        <f t="shared" si="23"/>
        <v/>
      </c>
      <c r="F171" s="9" t="str">
        <f t="shared" si="24"/>
        <v/>
      </c>
      <c r="G171" s="9" t="str">
        <f t="shared" si="25"/>
        <v/>
      </c>
      <c r="H171" s="9" t="str">
        <f t="shared" si="26"/>
        <v/>
      </c>
      <c r="I171" s="10" t="str">
        <f t="shared" si="27"/>
        <v/>
      </c>
      <c r="J171" s="10" t="str">
        <f t="shared" si="29"/>
        <v/>
      </c>
      <c r="K171" s="11" t="str">
        <f t="shared" si="28"/>
        <v/>
      </c>
      <c r="M171" t="str">
        <f>IFERROR(MATCH($C$5&amp;"|"&amp;RIGHT("000000"&amp;155,6),CalcRankKeyA,0),"")</f>
        <v/>
      </c>
      <c r="N171" t="str">
        <f>IFERROR(MATCH($C$5&amp;"|"&amp;RIGHT("000000"&amp;155,6),CalcRankKeyB,0),"")</f>
        <v/>
      </c>
    </row>
    <row r="172" spans="1:14" x14ac:dyDescent="0.2">
      <c r="A172" s="12">
        <v>156</v>
      </c>
      <c r="B172" s="13" t="str">
        <f t="shared" si="20"/>
        <v/>
      </c>
      <c r="C172" s="13" t="str">
        <f t="shared" si="21"/>
        <v/>
      </c>
      <c r="D172" s="13" t="str">
        <f t="shared" si="22"/>
        <v/>
      </c>
      <c r="E172" s="14" t="str">
        <f t="shared" si="23"/>
        <v/>
      </c>
      <c r="F172" s="14" t="str">
        <f t="shared" si="24"/>
        <v/>
      </c>
      <c r="G172" s="14" t="str">
        <f t="shared" si="25"/>
        <v/>
      </c>
      <c r="H172" s="14" t="str">
        <f t="shared" si="26"/>
        <v/>
      </c>
      <c r="I172" s="15" t="str">
        <f t="shared" si="27"/>
        <v/>
      </c>
      <c r="J172" s="15" t="str">
        <f t="shared" si="29"/>
        <v/>
      </c>
      <c r="K172" s="16" t="str">
        <f t="shared" si="28"/>
        <v/>
      </c>
      <c r="M172" t="str">
        <f>IFERROR(MATCH($C$5&amp;"|"&amp;RIGHT("000000"&amp;156,6),CalcRankKeyA,0),"")</f>
        <v/>
      </c>
      <c r="N172" t="str">
        <f>IFERROR(MATCH($C$5&amp;"|"&amp;RIGHT("000000"&amp;156,6),CalcRankKeyB,0),"")</f>
        <v/>
      </c>
    </row>
    <row r="173" spans="1:14" x14ac:dyDescent="0.2">
      <c r="A173" s="7">
        <v>157</v>
      </c>
      <c r="B173" s="8" t="str">
        <f t="shared" si="20"/>
        <v/>
      </c>
      <c r="C173" s="8" t="str">
        <f t="shared" si="21"/>
        <v/>
      </c>
      <c r="D173" s="8" t="str">
        <f t="shared" si="22"/>
        <v/>
      </c>
      <c r="E173" s="9" t="str">
        <f t="shared" si="23"/>
        <v/>
      </c>
      <c r="F173" s="9" t="str">
        <f t="shared" si="24"/>
        <v/>
      </c>
      <c r="G173" s="9" t="str">
        <f t="shared" si="25"/>
        <v/>
      </c>
      <c r="H173" s="9" t="str">
        <f t="shared" si="26"/>
        <v/>
      </c>
      <c r="I173" s="10" t="str">
        <f t="shared" si="27"/>
        <v/>
      </c>
      <c r="J173" s="10" t="str">
        <f t="shared" si="29"/>
        <v/>
      </c>
      <c r="K173" s="11" t="str">
        <f t="shared" si="28"/>
        <v/>
      </c>
      <c r="M173" t="str">
        <f>IFERROR(MATCH($C$5&amp;"|"&amp;RIGHT("000000"&amp;157,6),CalcRankKeyA,0),"")</f>
        <v/>
      </c>
      <c r="N173" t="str">
        <f>IFERROR(MATCH($C$5&amp;"|"&amp;RIGHT("000000"&amp;157,6),CalcRankKeyB,0),"")</f>
        <v/>
      </c>
    </row>
    <row r="174" spans="1:14" x14ac:dyDescent="0.2">
      <c r="A174" s="12">
        <v>158</v>
      </c>
      <c r="B174" s="13" t="str">
        <f t="shared" si="20"/>
        <v/>
      </c>
      <c r="C174" s="13" t="str">
        <f t="shared" si="21"/>
        <v/>
      </c>
      <c r="D174" s="13" t="str">
        <f t="shared" si="22"/>
        <v/>
      </c>
      <c r="E174" s="14" t="str">
        <f t="shared" si="23"/>
        <v/>
      </c>
      <c r="F174" s="14" t="str">
        <f t="shared" si="24"/>
        <v/>
      </c>
      <c r="G174" s="14" t="str">
        <f t="shared" si="25"/>
        <v/>
      </c>
      <c r="H174" s="14" t="str">
        <f t="shared" si="26"/>
        <v/>
      </c>
      <c r="I174" s="15" t="str">
        <f t="shared" si="27"/>
        <v/>
      </c>
      <c r="J174" s="15" t="str">
        <f t="shared" si="29"/>
        <v/>
      </c>
      <c r="K174" s="16" t="str">
        <f t="shared" si="28"/>
        <v/>
      </c>
      <c r="M174" t="str">
        <f>IFERROR(MATCH($C$5&amp;"|"&amp;RIGHT("000000"&amp;158,6),CalcRankKeyA,0),"")</f>
        <v/>
      </c>
      <c r="N174" t="str">
        <f>IFERROR(MATCH($C$5&amp;"|"&amp;RIGHT("000000"&amp;158,6),CalcRankKeyB,0),"")</f>
        <v/>
      </c>
    </row>
    <row r="175" spans="1:14" x14ac:dyDescent="0.2">
      <c r="A175" s="7">
        <v>159</v>
      </c>
      <c r="B175" s="8" t="str">
        <f t="shared" si="20"/>
        <v/>
      </c>
      <c r="C175" s="8" t="str">
        <f t="shared" si="21"/>
        <v/>
      </c>
      <c r="D175" s="8" t="str">
        <f t="shared" si="22"/>
        <v/>
      </c>
      <c r="E175" s="9" t="str">
        <f t="shared" si="23"/>
        <v/>
      </c>
      <c r="F175" s="9" t="str">
        <f t="shared" si="24"/>
        <v/>
      </c>
      <c r="G175" s="9" t="str">
        <f t="shared" si="25"/>
        <v/>
      </c>
      <c r="H175" s="9" t="str">
        <f t="shared" si="26"/>
        <v/>
      </c>
      <c r="I175" s="10" t="str">
        <f t="shared" si="27"/>
        <v/>
      </c>
      <c r="J175" s="10" t="str">
        <f t="shared" si="29"/>
        <v/>
      </c>
      <c r="K175" s="11" t="str">
        <f t="shared" si="28"/>
        <v/>
      </c>
      <c r="M175" t="str">
        <f>IFERROR(MATCH($C$5&amp;"|"&amp;RIGHT("000000"&amp;159,6),CalcRankKeyA,0),"")</f>
        <v/>
      </c>
      <c r="N175" t="str">
        <f>IFERROR(MATCH($C$5&amp;"|"&amp;RIGHT("000000"&amp;159,6),CalcRankKeyB,0),"")</f>
        <v/>
      </c>
    </row>
    <row r="176" spans="1:14" x14ac:dyDescent="0.2">
      <c r="A176" s="12">
        <v>160</v>
      </c>
      <c r="B176" s="13" t="str">
        <f t="shared" si="20"/>
        <v/>
      </c>
      <c r="C176" s="13" t="str">
        <f t="shared" si="21"/>
        <v/>
      </c>
      <c r="D176" s="13" t="str">
        <f t="shared" si="22"/>
        <v/>
      </c>
      <c r="E176" s="14" t="str">
        <f t="shared" si="23"/>
        <v/>
      </c>
      <c r="F176" s="14" t="str">
        <f t="shared" si="24"/>
        <v/>
      </c>
      <c r="G176" s="14" t="str">
        <f t="shared" si="25"/>
        <v/>
      </c>
      <c r="H176" s="14" t="str">
        <f t="shared" si="26"/>
        <v/>
      </c>
      <c r="I176" s="15" t="str">
        <f t="shared" si="27"/>
        <v/>
      </c>
      <c r="J176" s="15" t="str">
        <f t="shared" si="29"/>
        <v/>
      </c>
      <c r="K176" s="16" t="str">
        <f t="shared" si="28"/>
        <v/>
      </c>
      <c r="M176" t="str">
        <f>IFERROR(MATCH($C$5&amp;"|"&amp;RIGHT("000000"&amp;160,6),CalcRankKeyA,0),"")</f>
        <v/>
      </c>
      <c r="N176" t="str">
        <f>IFERROR(MATCH($C$5&amp;"|"&amp;RIGHT("000000"&amp;160,6),CalcRankKeyB,0),"")</f>
        <v/>
      </c>
    </row>
    <row r="177" spans="1:14" x14ac:dyDescent="0.2">
      <c r="A177" s="7">
        <v>161</v>
      </c>
      <c r="B177" s="8" t="str">
        <f t="shared" si="20"/>
        <v/>
      </c>
      <c r="C177" s="8" t="str">
        <f t="shared" si="21"/>
        <v/>
      </c>
      <c r="D177" s="8" t="str">
        <f t="shared" si="22"/>
        <v/>
      </c>
      <c r="E177" s="9" t="str">
        <f t="shared" si="23"/>
        <v/>
      </c>
      <c r="F177" s="9" t="str">
        <f t="shared" si="24"/>
        <v/>
      </c>
      <c r="G177" s="9" t="str">
        <f t="shared" si="25"/>
        <v/>
      </c>
      <c r="H177" s="9" t="str">
        <f t="shared" si="26"/>
        <v/>
      </c>
      <c r="I177" s="10" t="str">
        <f t="shared" si="27"/>
        <v/>
      </c>
      <c r="J177" s="10" t="str">
        <f t="shared" si="29"/>
        <v/>
      </c>
      <c r="K177" s="11" t="str">
        <f t="shared" si="28"/>
        <v/>
      </c>
      <c r="M177" t="str">
        <f>IFERROR(MATCH($C$5&amp;"|"&amp;RIGHT("000000"&amp;161,6),CalcRankKeyA,0),"")</f>
        <v/>
      </c>
      <c r="N177" t="str">
        <f>IFERROR(MATCH($C$5&amp;"|"&amp;RIGHT("000000"&amp;161,6),CalcRankKeyB,0),"")</f>
        <v/>
      </c>
    </row>
    <row r="178" spans="1:14" x14ac:dyDescent="0.2">
      <c r="A178" s="12">
        <v>162</v>
      </c>
      <c r="B178" s="13" t="str">
        <f t="shared" si="20"/>
        <v/>
      </c>
      <c r="C178" s="13" t="str">
        <f t="shared" si="21"/>
        <v/>
      </c>
      <c r="D178" s="13" t="str">
        <f t="shared" si="22"/>
        <v/>
      </c>
      <c r="E178" s="14" t="str">
        <f t="shared" si="23"/>
        <v/>
      </c>
      <c r="F178" s="14" t="str">
        <f t="shared" si="24"/>
        <v/>
      </c>
      <c r="G178" s="14" t="str">
        <f t="shared" si="25"/>
        <v/>
      </c>
      <c r="H178" s="14" t="str">
        <f t="shared" si="26"/>
        <v/>
      </c>
      <c r="I178" s="15" t="str">
        <f t="shared" si="27"/>
        <v/>
      </c>
      <c r="J178" s="15" t="str">
        <f t="shared" si="29"/>
        <v/>
      </c>
      <c r="K178" s="16" t="str">
        <f t="shared" si="28"/>
        <v/>
      </c>
      <c r="M178" t="str">
        <f>IFERROR(MATCH($C$5&amp;"|"&amp;RIGHT("000000"&amp;162,6),CalcRankKeyA,0),"")</f>
        <v/>
      </c>
      <c r="N178" t="str">
        <f>IFERROR(MATCH($C$5&amp;"|"&amp;RIGHT("000000"&amp;162,6),CalcRankKeyB,0),"")</f>
        <v/>
      </c>
    </row>
    <row r="179" spans="1:14" x14ac:dyDescent="0.2">
      <c r="A179" s="7">
        <v>163</v>
      </c>
      <c r="B179" s="8" t="str">
        <f t="shared" si="20"/>
        <v/>
      </c>
      <c r="C179" s="8" t="str">
        <f t="shared" si="21"/>
        <v/>
      </c>
      <c r="D179" s="8" t="str">
        <f t="shared" si="22"/>
        <v/>
      </c>
      <c r="E179" s="9" t="str">
        <f t="shared" si="23"/>
        <v/>
      </c>
      <c r="F179" s="9" t="str">
        <f t="shared" si="24"/>
        <v/>
      </c>
      <c r="G179" s="9" t="str">
        <f t="shared" si="25"/>
        <v/>
      </c>
      <c r="H179" s="9" t="str">
        <f t="shared" si="26"/>
        <v/>
      </c>
      <c r="I179" s="10" t="str">
        <f t="shared" si="27"/>
        <v/>
      </c>
      <c r="J179" s="10" t="str">
        <f t="shared" si="29"/>
        <v/>
      </c>
      <c r="K179" s="11" t="str">
        <f t="shared" si="28"/>
        <v/>
      </c>
      <c r="M179" t="str">
        <f>IFERROR(MATCH($C$5&amp;"|"&amp;RIGHT("000000"&amp;163,6),CalcRankKeyA,0),"")</f>
        <v/>
      </c>
      <c r="N179" t="str">
        <f>IFERROR(MATCH($C$5&amp;"|"&amp;RIGHT("000000"&amp;163,6),CalcRankKeyB,0),"")</f>
        <v/>
      </c>
    </row>
    <row r="180" spans="1:14" x14ac:dyDescent="0.2">
      <c r="A180" s="12">
        <v>164</v>
      </c>
      <c r="B180" s="13" t="str">
        <f t="shared" si="20"/>
        <v/>
      </c>
      <c r="C180" s="13" t="str">
        <f t="shared" si="21"/>
        <v/>
      </c>
      <c r="D180" s="13" t="str">
        <f t="shared" si="22"/>
        <v/>
      </c>
      <c r="E180" s="14" t="str">
        <f t="shared" si="23"/>
        <v/>
      </c>
      <c r="F180" s="14" t="str">
        <f t="shared" si="24"/>
        <v/>
      </c>
      <c r="G180" s="14" t="str">
        <f t="shared" si="25"/>
        <v/>
      </c>
      <c r="H180" s="14" t="str">
        <f t="shared" si="26"/>
        <v/>
      </c>
      <c r="I180" s="15" t="str">
        <f t="shared" si="27"/>
        <v/>
      </c>
      <c r="J180" s="15" t="str">
        <f t="shared" si="29"/>
        <v/>
      </c>
      <c r="K180" s="16" t="str">
        <f t="shared" si="28"/>
        <v/>
      </c>
      <c r="M180" t="str">
        <f>IFERROR(MATCH($C$5&amp;"|"&amp;RIGHT("000000"&amp;164,6),CalcRankKeyA,0),"")</f>
        <v/>
      </c>
      <c r="N180" t="str">
        <f>IFERROR(MATCH($C$5&amp;"|"&amp;RIGHT("000000"&amp;164,6),CalcRankKeyB,0),"")</f>
        <v/>
      </c>
    </row>
    <row r="181" spans="1:14" x14ac:dyDescent="0.2">
      <c r="A181" s="7">
        <v>165</v>
      </c>
      <c r="B181" s="8" t="str">
        <f t="shared" si="20"/>
        <v/>
      </c>
      <c r="C181" s="8" t="str">
        <f t="shared" si="21"/>
        <v/>
      </c>
      <c r="D181" s="8" t="str">
        <f t="shared" si="22"/>
        <v/>
      </c>
      <c r="E181" s="9" t="str">
        <f t="shared" si="23"/>
        <v/>
      </c>
      <c r="F181" s="9" t="str">
        <f t="shared" si="24"/>
        <v/>
      </c>
      <c r="G181" s="9" t="str">
        <f t="shared" si="25"/>
        <v/>
      </c>
      <c r="H181" s="9" t="str">
        <f t="shared" si="26"/>
        <v/>
      </c>
      <c r="I181" s="10" t="str">
        <f t="shared" si="27"/>
        <v/>
      </c>
      <c r="J181" s="10" t="str">
        <f t="shared" si="29"/>
        <v/>
      </c>
      <c r="K181" s="11" t="str">
        <f t="shared" si="28"/>
        <v/>
      </c>
      <c r="M181" t="str">
        <f>IFERROR(MATCH($C$5&amp;"|"&amp;RIGHT("000000"&amp;165,6),CalcRankKeyA,0),"")</f>
        <v/>
      </c>
      <c r="N181" t="str">
        <f>IFERROR(MATCH($C$5&amp;"|"&amp;RIGHT("000000"&amp;165,6),CalcRankKeyB,0),"")</f>
        <v/>
      </c>
    </row>
    <row r="182" spans="1:14" x14ac:dyDescent="0.2">
      <c r="A182" s="12">
        <v>166</v>
      </c>
      <c r="B182" s="13" t="str">
        <f t="shared" si="20"/>
        <v/>
      </c>
      <c r="C182" s="13" t="str">
        <f t="shared" si="21"/>
        <v/>
      </c>
      <c r="D182" s="13" t="str">
        <f t="shared" si="22"/>
        <v/>
      </c>
      <c r="E182" s="14" t="str">
        <f t="shared" si="23"/>
        <v/>
      </c>
      <c r="F182" s="14" t="str">
        <f t="shared" si="24"/>
        <v/>
      </c>
      <c r="G182" s="14" t="str">
        <f t="shared" si="25"/>
        <v/>
      </c>
      <c r="H182" s="14" t="str">
        <f t="shared" si="26"/>
        <v/>
      </c>
      <c r="I182" s="15" t="str">
        <f t="shared" si="27"/>
        <v/>
      </c>
      <c r="J182" s="15" t="str">
        <f t="shared" si="29"/>
        <v/>
      </c>
      <c r="K182" s="16" t="str">
        <f t="shared" si="28"/>
        <v/>
      </c>
      <c r="M182" t="str">
        <f>IFERROR(MATCH($C$5&amp;"|"&amp;RIGHT("000000"&amp;166,6),CalcRankKeyA,0),"")</f>
        <v/>
      </c>
      <c r="N182" t="str">
        <f>IFERROR(MATCH($C$5&amp;"|"&amp;RIGHT("000000"&amp;166,6),CalcRankKeyB,0),"")</f>
        <v/>
      </c>
    </row>
    <row r="183" spans="1:14" x14ac:dyDescent="0.2">
      <c r="A183" s="7">
        <v>167</v>
      </c>
      <c r="B183" s="8" t="str">
        <f t="shared" si="20"/>
        <v/>
      </c>
      <c r="C183" s="8" t="str">
        <f t="shared" si="21"/>
        <v/>
      </c>
      <c r="D183" s="8" t="str">
        <f t="shared" si="22"/>
        <v/>
      </c>
      <c r="E183" s="9" t="str">
        <f t="shared" si="23"/>
        <v/>
      </c>
      <c r="F183" s="9" t="str">
        <f t="shared" si="24"/>
        <v/>
      </c>
      <c r="G183" s="9" t="str">
        <f t="shared" si="25"/>
        <v/>
      </c>
      <c r="H183" s="9" t="str">
        <f t="shared" si="26"/>
        <v/>
      </c>
      <c r="I183" s="10" t="str">
        <f t="shared" si="27"/>
        <v/>
      </c>
      <c r="J183" s="10" t="str">
        <f t="shared" si="29"/>
        <v/>
      </c>
      <c r="K183" s="11" t="str">
        <f t="shared" si="28"/>
        <v/>
      </c>
      <c r="M183" t="str">
        <f>IFERROR(MATCH($C$5&amp;"|"&amp;RIGHT("000000"&amp;167,6),CalcRankKeyA,0),"")</f>
        <v/>
      </c>
      <c r="N183" t="str">
        <f>IFERROR(MATCH($C$5&amp;"|"&amp;RIGHT("000000"&amp;167,6),CalcRankKeyB,0),"")</f>
        <v/>
      </c>
    </row>
    <row r="184" spans="1:14" x14ac:dyDescent="0.2">
      <c r="A184" s="12">
        <v>168</v>
      </c>
      <c r="B184" s="13" t="str">
        <f t="shared" si="20"/>
        <v/>
      </c>
      <c r="C184" s="13" t="str">
        <f t="shared" si="21"/>
        <v/>
      </c>
      <c r="D184" s="13" t="str">
        <f t="shared" si="22"/>
        <v/>
      </c>
      <c r="E184" s="14" t="str">
        <f t="shared" si="23"/>
        <v/>
      </c>
      <c r="F184" s="14" t="str">
        <f t="shared" si="24"/>
        <v/>
      </c>
      <c r="G184" s="14" t="str">
        <f t="shared" si="25"/>
        <v/>
      </c>
      <c r="H184" s="14" t="str">
        <f t="shared" si="26"/>
        <v/>
      </c>
      <c r="I184" s="15" t="str">
        <f t="shared" si="27"/>
        <v/>
      </c>
      <c r="J184" s="15" t="str">
        <f t="shared" si="29"/>
        <v/>
      </c>
      <c r="K184" s="16" t="str">
        <f t="shared" si="28"/>
        <v/>
      </c>
      <c r="M184" t="str">
        <f>IFERROR(MATCH($C$5&amp;"|"&amp;RIGHT("000000"&amp;168,6),CalcRankKeyA,0),"")</f>
        <v/>
      </c>
      <c r="N184" t="str">
        <f>IFERROR(MATCH($C$5&amp;"|"&amp;RIGHT("000000"&amp;168,6),CalcRankKeyB,0),"")</f>
        <v/>
      </c>
    </row>
    <row r="185" spans="1:14" x14ac:dyDescent="0.2">
      <c r="A185" s="7">
        <v>169</v>
      </c>
      <c r="B185" s="8" t="str">
        <f t="shared" si="20"/>
        <v/>
      </c>
      <c r="C185" s="8" t="str">
        <f t="shared" si="21"/>
        <v/>
      </c>
      <c r="D185" s="8" t="str">
        <f t="shared" si="22"/>
        <v/>
      </c>
      <c r="E185" s="9" t="str">
        <f t="shared" si="23"/>
        <v/>
      </c>
      <c r="F185" s="9" t="str">
        <f t="shared" si="24"/>
        <v/>
      </c>
      <c r="G185" s="9" t="str">
        <f t="shared" si="25"/>
        <v/>
      </c>
      <c r="H185" s="9" t="str">
        <f t="shared" si="26"/>
        <v/>
      </c>
      <c r="I185" s="10" t="str">
        <f t="shared" si="27"/>
        <v/>
      </c>
      <c r="J185" s="10" t="str">
        <f t="shared" si="29"/>
        <v/>
      </c>
      <c r="K185" s="11" t="str">
        <f t="shared" si="28"/>
        <v/>
      </c>
      <c r="M185" t="str">
        <f>IFERROR(MATCH($C$5&amp;"|"&amp;RIGHT("000000"&amp;169,6),CalcRankKeyA,0),"")</f>
        <v/>
      </c>
      <c r="N185" t="str">
        <f>IFERROR(MATCH($C$5&amp;"|"&amp;RIGHT("000000"&amp;169,6),CalcRankKeyB,0),"")</f>
        <v/>
      </c>
    </row>
    <row r="186" spans="1:14" x14ac:dyDescent="0.2">
      <c r="A186" s="12">
        <v>170</v>
      </c>
      <c r="B186" s="13" t="str">
        <f t="shared" si="20"/>
        <v/>
      </c>
      <c r="C186" s="13" t="str">
        <f t="shared" si="21"/>
        <v/>
      </c>
      <c r="D186" s="13" t="str">
        <f t="shared" si="22"/>
        <v/>
      </c>
      <c r="E186" s="14" t="str">
        <f t="shared" si="23"/>
        <v/>
      </c>
      <c r="F186" s="14" t="str">
        <f t="shared" si="24"/>
        <v/>
      </c>
      <c r="G186" s="14" t="str">
        <f t="shared" si="25"/>
        <v/>
      </c>
      <c r="H186" s="14" t="str">
        <f t="shared" si="26"/>
        <v/>
      </c>
      <c r="I186" s="15" t="str">
        <f t="shared" si="27"/>
        <v/>
      </c>
      <c r="J186" s="15" t="str">
        <f t="shared" si="29"/>
        <v/>
      </c>
      <c r="K186" s="16" t="str">
        <f t="shared" si="28"/>
        <v/>
      </c>
      <c r="M186" t="str">
        <f>IFERROR(MATCH($C$5&amp;"|"&amp;RIGHT("000000"&amp;170,6),CalcRankKeyA,0),"")</f>
        <v/>
      </c>
      <c r="N186" t="str">
        <f>IFERROR(MATCH($C$5&amp;"|"&amp;RIGHT("000000"&amp;170,6),CalcRankKeyB,0),"")</f>
        <v/>
      </c>
    </row>
    <row r="187" spans="1:14" x14ac:dyDescent="0.2">
      <c r="A187" s="7">
        <v>171</v>
      </c>
      <c r="B187" s="8" t="str">
        <f t="shared" si="20"/>
        <v/>
      </c>
      <c r="C187" s="8" t="str">
        <f t="shared" si="21"/>
        <v/>
      </c>
      <c r="D187" s="8" t="str">
        <f t="shared" si="22"/>
        <v/>
      </c>
      <c r="E187" s="9" t="str">
        <f t="shared" si="23"/>
        <v/>
      </c>
      <c r="F187" s="9" t="str">
        <f t="shared" si="24"/>
        <v/>
      </c>
      <c r="G187" s="9" t="str">
        <f t="shared" si="25"/>
        <v/>
      </c>
      <c r="H187" s="9" t="str">
        <f t="shared" si="26"/>
        <v/>
      </c>
      <c r="I187" s="10" t="str">
        <f t="shared" si="27"/>
        <v/>
      </c>
      <c r="J187" s="10" t="str">
        <f t="shared" si="29"/>
        <v/>
      </c>
      <c r="K187" s="11" t="str">
        <f t="shared" si="28"/>
        <v/>
      </c>
      <c r="M187" t="str">
        <f>IFERROR(MATCH($C$5&amp;"|"&amp;RIGHT("000000"&amp;171,6),CalcRankKeyA,0),"")</f>
        <v/>
      </c>
      <c r="N187" t="str">
        <f>IFERROR(MATCH($C$5&amp;"|"&amp;RIGHT("000000"&amp;171,6),CalcRankKeyB,0),"")</f>
        <v/>
      </c>
    </row>
    <row r="188" spans="1:14" x14ac:dyDescent="0.2">
      <c r="A188" s="12">
        <v>172</v>
      </c>
      <c r="B188" s="13" t="str">
        <f t="shared" si="20"/>
        <v/>
      </c>
      <c r="C188" s="13" t="str">
        <f t="shared" si="21"/>
        <v/>
      </c>
      <c r="D188" s="13" t="str">
        <f t="shared" si="22"/>
        <v/>
      </c>
      <c r="E188" s="14" t="str">
        <f t="shared" si="23"/>
        <v/>
      </c>
      <c r="F188" s="14" t="str">
        <f t="shared" si="24"/>
        <v/>
      </c>
      <c r="G188" s="14" t="str">
        <f t="shared" si="25"/>
        <v/>
      </c>
      <c r="H188" s="14" t="str">
        <f t="shared" si="26"/>
        <v/>
      </c>
      <c r="I188" s="15" t="str">
        <f t="shared" si="27"/>
        <v/>
      </c>
      <c r="J188" s="15" t="str">
        <f t="shared" si="29"/>
        <v/>
      </c>
      <c r="K188" s="16" t="str">
        <f t="shared" si="28"/>
        <v/>
      </c>
      <c r="M188" t="str">
        <f>IFERROR(MATCH($C$5&amp;"|"&amp;RIGHT("000000"&amp;172,6),CalcRankKeyA,0),"")</f>
        <v/>
      </c>
      <c r="N188" t="str">
        <f>IFERROR(MATCH($C$5&amp;"|"&amp;RIGHT("000000"&amp;172,6),CalcRankKeyB,0),"")</f>
        <v/>
      </c>
    </row>
    <row r="189" spans="1:14" x14ac:dyDescent="0.2">
      <c r="A189" s="7">
        <v>173</v>
      </c>
      <c r="B189" s="8" t="str">
        <f t="shared" si="20"/>
        <v/>
      </c>
      <c r="C189" s="8" t="str">
        <f t="shared" si="21"/>
        <v/>
      </c>
      <c r="D189" s="8" t="str">
        <f t="shared" si="22"/>
        <v/>
      </c>
      <c r="E189" s="9" t="str">
        <f t="shared" si="23"/>
        <v/>
      </c>
      <c r="F189" s="9" t="str">
        <f t="shared" si="24"/>
        <v/>
      </c>
      <c r="G189" s="9" t="str">
        <f t="shared" si="25"/>
        <v/>
      </c>
      <c r="H189" s="9" t="str">
        <f t="shared" si="26"/>
        <v/>
      </c>
      <c r="I189" s="10" t="str">
        <f t="shared" si="27"/>
        <v/>
      </c>
      <c r="J189" s="10" t="str">
        <f t="shared" si="29"/>
        <v/>
      </c>
      <c r="K189" s="11" t="str">
        <f t="shared" si="28"/>
        <v/>
      </c>
      <c r="M189" t="str">
        <f>IFERROR(MATCH($C$5&amp;"|"&amp;RIGHT("000000"&amp;173,6),CalcRankKeyA,0),"")</f>
        <v/>
      </c>
      <c r="N189" t="str">
        <f>IFERROR(MATCH($C$5&amp;"|"&amp;RIGHT("000000"&amp;173,6),CalcRankKeyB,0),"")</f>
        <v/>
      </c>
    </row>
    <row r="190" spans="1:14" x14ac:dyDescent="0.2">
      <c r="A190" s="12">
        <v>174</v>
      </c>
      <c r="B190" s="13" t="str">
        <f t="shared" si="20"/>
        <v/>
      </c>
      <c r="C190" s="13" t="str">
        <f t="shared" si="21"/>
        <v/>
      </c>
      <c r="D190" s="13" t="str">
        <f t="shared" si="22"/>
        <v/>
      </c>
      <c r="E190" s="14" t="str">
        <f t="shared" si="23"/>
        <v/>
      </c>
      <c r="F190" s="14" t="str">
        <f t="shared" si="24"/>
        <v/>
      </c>
      <c r="G190" s="14" t="str">
        <f t="shared" si="25"/>
        <v/>
      </c>
      <c r="H190" s="14" t="str">
        <f t="shared" si="26"/>
        <v/>
      </c>
      <c r="I190" s="15" t="str">
        <f t="shared" si="27"/>
        <v/>
      </c>
      <c r="J190" s="15" t="str">
        <f t="shared" si="29"/>
        <v/>
      </c>
      <c r="K190" s="16" t="str">
        <f t="shared" si="28"/>
        <v/>
      </c>
      <c r="M190" t="str">
        <f>IFERROR(MATCH($C$5&amp;"|"&amp;RIGHT("000000"&amp;174,6),CalcRankKeyA,0),"")</f>
        <v/>
      </c>
      <c r="N190" t="str">
        <f>IFERROR(MATCH($C$5&amp;"|"&amp;RIGHT("000000"&amp;174,6),CalcRankKeyB,0),"")</f>
        <v/>
      </c>
    </row>
    <row r="191" spans="1:14" x14ac:dyDescent="0.2">
      <c r="A191" s="7">
        <v>175</v>
      </c>
      <c r="B191" s="8" t="str">
        <f t="shared" si="20"/>
        <v/>
      </c>
      <c r="C191" s="8" t="str">
        <f t="shared" si="21"/>
        <v/>
      </c>
      <c r="D191" s="8" t="str">
        <f t="shared" si="22"/>
        <v/>
      </c>
      <c r="E191" s="9" t="str">
        <f t="shared" si="23"/>
        <v/>
      </c>
      <c r="F191" s="9" t="str">
        <f t="shared" si="24"/>
        <v/>
      </c>
      <c r="G191" s="9" t="str">
        <f t="shared" si="25"/>
        <v/>
      </c>
      <c r="H191" s="9" t="str">
        <f t="shared" si="26"/>
        <v/>
      </c>
      <c r="I191" s="10" t="str">
        <f t="shared" si="27"/>
        <v/>
      </c>
      <c r="J191" s="10" t="str">
        <f t="shared" si="29"/>
        <v/>
      </c>
      <c r="K191" s="11" t="str">
        <f t="shared" si="28"/>
        <v/>
      </c>
      <c r="M191" t="str">
        <f>IFERROR(MATCH($C$5&amp;"|"&amp;RIGHT("000000"&amp;175,6),CalcRankKeyA,0),"")</f>
        <v/>
      </c>
      <c r="N191" t="str">
        <f>IFERROR(MATCH($C$5&amp;"|"&amp;RIGHT("000000"&amp;175,6),CalcRankKeyB,0),"")</f>
        <v/>
      </c>
    </row>
    <row r="192" spans="1:14" x14ac:dyDescent="0.2">
      <c r="A192" s="12">
        <v>176</v>
      </c>
      <c r="B192" s="13" t="str">
        <f t="shared" si="20"/>
        <v/>
      </c>
      <c r="C192" s="13" t="str">
        <f t="shared" si="21"/>
        <v/>
      </c>
      <c r="D192" s="13" t="str">
        <f t="shared" si="22"/>
        <v/>
      </c>
      <c r="E192" s="14" t="str">
        <f t="shared" si="23"/>
        <v/>
      </c>
      <c r="F192" s="14" t="str">
        <f t="shared" si="24"/>
        <v/>
      </c>
      <c r="G192" s="14" t="str">
        <f t="shared" si="25"/>
        <v/>
      </c>
      <c r="H192" s="14" t="str">
        <f t="shared" si="26"/>
        <v/>
      </c>
      <c r="I192" s="15" t="str">
        <f t="shared" si="27"/>
        <v/>
      </c>
      <c r="J192" s="15" t="str">
        <f t="shared" si="29"/>
        <v/>
      </c>
      <c r="K192" s="16" t="str">
        <f t="shared" si="28"/>
        <v/>
      </c>
      <c r="M192" t="str">
        <f>IFERROR(MATCH($C$5&amp;"|"&amp;RIGHT("000000"&amp;176,6),CalcRankKeyA,0),"")</f>
        <v/>
      </c>
      <c r="N192" t="str">
        <f>IFERROR(MATCH($C$5&amp;"|"&amp;RIGHT("000000"&amp;176,6),CalcRankKeyB,0),"")</f>
        <v/>
      </c>
    </row>
    <row r="193" spans="1:14" x14ac:dyDescent="0.2">
      <c r="A193" s="7">
        <v>177</v>
      </c>
      <c r="B193" s="8" t="str">
        <f t="shared" si="20"/>
        <v/>
      </c>
      <c r="C193" s="8" t="str">
        <f t="shared" si="21"/>
        <v/>
      </c>
      <c r="D193" s="8" t="str">
        <f t="shared" si="22"/>
        <v/>
      </c>
      <c r="E193" s="9" t="str">
        <f t="shared" si="23"/>
        <v/>
      </c>
      <c r="F193" s="9" t="str">
        <f t="shared" si="24"/>
        <v/>
      </c>
      <c r="G193" s="9" t="str">
        <f t="shared" si="25"/>
        <v/>
      </c>
      <c r="H193" s="9" t="str">
        <f t="shared" si="26"/>
        <v/>
      </c>
      <c r="I193" s="10" t="str">
        <f t="shared" si="27"/>
        <v/>
      </c>
      <c r="J193" s="10" t="str">
        <f t="shared" si="29"/>
        <v/>
      </c>
      <c r="K193" s="11" t="str">
        <f t="shared" si="28"/>
        <v/>
      </c>
      <c r="M193" t="str">
        <f>IFERROR(MATCH($C$5&amp;"|"&amp;RIGHT("000000"&amp;177,6),CalcRankKeyA,0),"")</f>
        <v/>
      </c>
      <c r="N193" t="str">
        <f>IFERROR(MATCH($C$5&amp;"|"&amp;RIGHT("000000"&amp;177,6),CalcRankKeyB,0),"")</f>
        <v/>
      </c>
    </row>
    <row r="194" spans="1:14" x14ac:dyDescent="0.2">
      <c r="A194" s="12">
        <v>178</v>
      </c>
      <c r="B194" s="13" t="str">
        <f t="shared" si="20"/>
        <v/>
      </c>
      <c r="C194" s="13" t="str">
        <f t="shared" si="21"/>
        <v/>
      </c>
      <c r="D194" s="13" t="str">
        <f t="shared" si="22"/>
        <v/>
      </c>
      <c r="E194" s="14" t="str">
        <f t="shared" si="23"/>
        <v/>
      </c>
      <c r="F194" s="14" t="str">
        <f t="shared" si="24"/>
        <v/>
      </c>
      <c r="G194" s="14" t="str">
        <f t="shared" si="25"/>
        <v/>
      </c>
      <c r="H194" s="14" t="str">
        <f t="shared" si="26"/>
        <v/>
      </c>
      <c r="I194" s="15" t="str">
        <f t="shared" si="27"/>
        <v/>
      </c>
      <c r="J194" s="15" t="str">
        <f t="shared" si="29"/>
        <v/>
      </c>
      <c r="K194" s="16" t="str">
        <f t="shared" si="28"/>
        <v/>
      </c>
      <c r="M194" t="str">
        <f>IFERROR(MATCH($C$5&amp;"|"&amp;RIGHT("000000"&amp;178,6),CalcRankKeyA,0),"")</f>
        <v/>
      </c>
      <c r="N194" t="str">
        <f>IFERROR(MATCH($C$5&amp;"|"&amp;RIGHT("000000"&amp;178,6),CalcRankKeyB,0),"")</f>
        <v/>
      </c>
    </row>
    <row r="195" spans="1:14" x14ac:dyDescent="0.2">
      <c r="A195" s="7">
        <v>179</v>
      </c>
      <c r="B195" s="8" t="str">
        <f t="shared" si="20"/>
        <v/>
      </c>
      <c r="C195" s="8" t="str">
        <f t="shared" si="21"/>
        <v/>
      </c>
      <c r="D195" s="8" t="str">
        <f t="shared" si="22"/>
        <v/>
      </c>
      <c r="E195" s="9" t="str">
        <f t="shared" si="23"/>
        <v/>
      </c>
      <c r="F195" s="9" t="str">
        <f t="shared" si="24"/>
        <v/>
      </c>
      <c r="G195" s="9" t="str">
        <f t="shared" si="25"/>
        <v/>
      </c>
      <c r="H195" s="9" t="str">
        <f t="shared" si="26"/>
        <v/>
      </c>
      <c r="I195" s="10" t="str">
        <f t="shared" si="27"/>
        <v/>
      </c>
      <c r="J195" s="10" t="str">
        <f t="shared" si="29"/>
        <v/>
      </c>
      <c r="K195" s="11" t="str">
        <f t="shared" si="28"/>
        <v/>
      </c>
      <c r="M195" t="str">
        <f>IFERROR(MATCH($C$5&amp;"|"&amp;RIGHT("000000"&amp;179,6),CalcRankKeyA,0),"")</f>
        <v/>
      </c>
      <c r="N195" t="str">
        <f>IFERROR(MATCH($C$5&amp;"|"&amp;RIGHT("000000"&amp;179,6),CalcRankKeyB,0),"")</f>
        <v/>
      </c>
    </row>
    <row r="196" spans="1:14" x14ac:dyDescent="0.2">
      <c r="A196" s="12">
        <v>180</v>
      </c>
      <c r="B196" s="13" t="str">
        <f t="shared" si="20"/>
        <v/>
      </c>
      <c r="C196" s="13" t="str">
        <f t="shared" si="21"/>
        <v/>
      </c>
      <c r="D196" s="13" t="str">
        <f t="shared" si="22"/>
        <v/>
      </c>
      <c r="E196" s="14" t="str">
        <f t="shared" si="23"/>
        <v/>
      </c>
      <c r="F196" s="14" t="str">
        <f t="shared" si="24"/>
        <v/>
      </c>
      <c r="G196" s="14" t="str">
        <f t="shared" si="25"/>
        <v/>
      </c>
      <c r="H196" s="14" t="str">
        <f t="shared" si="26"/>
        <v/>
      </c>
      <c r="I196" s="15" t="str">
        <f t="shared" si="27"/>
        <v/>
      </c>
      <c r="J196" s="15" t="str">
        <f t="shared" si="29"/>
        <v/>
      </c>
      <c r="K196" s="16" t="str">
        <f t="shared" si="28"/>
        <v/>
      </c>
      <c r="M196" t="str">
        <f>IFERROR(MATCH($C$5&amp;"|"&amp;RIGHT("000000"&amp;180,6),CalcRankKeyA,0),"")</f>
        <v/>
      </c>
      <c r="N196" t="str">
        <f>IFERROR(MATCH($C$5&amp;"|"&amp;RIGHT("000000"&amp;180,6),CalcRankKeyB,0),"")</f>
        <v/>
      </c>
    </row>
    <row r="197" spans="1:14" x14ac:dyDescent="0.2">
      <c r="A197" s="7">
        <v>181</v>
      </c>
      <c r="B197" s="8" t="str">
        <f t="shared" si="20"/>
        <v/>
      </c>
      <c r="C197" s="8" t="str">
        <f t="shared" si="21"/>
        <v/>
      </c>
      <c r="D197" s="8" t="str">
        <f t="shared" si="22"/>
        <v/>
      </c>
      <c r="E197" s="9" t="str">
        <f t="shared" si="23"/>
        <v/>
      </c>
      <c r="F197" s="9" t="str">
        <f t="shared" si="24"/>
        <v/>
      </c>
      <c r="G197" s="9" t="str">
        <f t="shared" si="25"/>
        <v/>
      </c>
      <c r="H197" s="9" t="str">
        <f t="shared" si="26"/>
        <v/>
      </c>
      <c r="I197" s="10" t="str">
        <f t="shared" si="27"/>
        <v/>
      </c>
      <c r="J197" s="10" t="str">
        <f t="shared" si="29"/>
        <v/>
      </c>
      <c r="K197" s="11" t="str">
        <f t="shared" si="28"/>
        <v/>
      </c>
      <c r="M197" t="str">
        <f>IFERROR(MATCH($C$5&amp;"|"&amp;RIGHT("000000"&amp;181,6),CalcRankKeyA,0),"")</f>
        <v/>
      </c>
      <c r="N197" t="str">
        <f>IFERROR(MATCH($C$5&amp;"|"&amp;RIGHT("000000"&amp;181,6),CalcRankKeyB,0),"")</f>
        <v/>
      </c>
    </row>
    <row r="198" spans="1:14" x14ac:dyDescent="0.2">
      <c r="A198" s="12">
        <v>182</v>
      </c>
      <c r="B198" s="13" t="str">
        <f t="shared" si="20"/>
        <v/>
      </c>
      <c r="C198" s="13" t="str">
        <f t="shared" si="21"/>
        <v/>
      </c>
      <c r="D198" s="13" t="str">
        <f t="shared" si="22"/>
        <v/>
      </c>
      <c r="E198" s="14" t="str">
        <f t="shared" si="23"/>
        <v/>
      </c>
      <c r="F198" s="14" t="str">
        <f t="shared" si="24"/>
        <v/>
      </c>
      <c r="G198" s="14" t="str">
        <f t="shared" si="25"/>
        <v/>
      </c>
      <c r="H198" s="14" t="str">
        <f t="shared" si="26"/>
        <v/>
      </c>
      <c r="I198" s="15" t="str">
        <f t="shared" si="27"/>
        <v/>
      </c>
      <c r="J198" s="15" t="str">
        <f t="shared" si="29"/>
        <v/>
      </c>
      <c r="K198" s="16" t="str">
        <f t="shared" si="28"/>
        <v/>
      </c>
      <c r="M198" t="str">
        <f>IFERROR(MATCH($C$5&amp;"|"&amp;RIGHT("000000"&amp;182,6),CalcRankKeyA,0),"")</f>
        <v/>
      </c>
      <c r="N198" t="str">
        <f>IFERROR(MATCH($C$5&amp;"|"&amp;RIGHT("000000"&amp;182,6),CalcRankKeyB,0),"")</f>
        <v/>
      </c>
    </row>
    <row r="199" spans="1:14" x14ac:dyDescent="0.2">
      <c r="A199" s="7">
        <v>183</v>
      </c>
      <c r="B199" s="8" t="str">
        <f t="shared" si="20"/>
        <v/>
      </c>
      <c r="C199" s="8" t="str">
        <f t="shared" si="21"/>
        <v/>
      </c>
      <c r="D199" s="8" t="str">
        <f t="shared" si="22"/>
        <v/>
      </c>
      <c r="E199" s="9" t="str">
        <f t="shared" si="23"/>
        <v/>
      </c>
      <c r="F199" s="9" t="str">
        <f t="shared" si="24"/>
        <v/>
      </c>
      <c r="G199" s="9" t="str">
        <f t="shared" si="25"/>
        <v/>
      </c>
      <c r="H199" s="9" t="str">
        <f t="shared" si="26"/>
        <v/>
      </c>
      <c r="I199" s="10" t="str">
        <f t="shared" si="27"/>
        <v/>
      </c>
      <c r="J199" s="10" t="str">
        <f t="shared" si="29"/>
        <v/>
      </c>
      <c r="K199" s="11" t="str">
        <f t="shared" si="28"/>
        <v/>
      </c>
      <c r="M199" t="str">
        <f>IFERROR(MATCH($C$5&amp;"|"&amp;RIGHT("000000"&amp;183,6),CalcRankKeyA,0),"")</f>
        <v/>
      </c>
      <c r="N199" t="str">
        <f>IFERROR(MATCH($C$5&amp;"|"&amp;RIGHT("000000"&amp;183,6),CalcRankKeyB,0),"")</f>
        <v/>
      </c>
    </row>
    <row r="200" spans="1:14" x14ac:dyDescent="0.2">
      <c r="A200" s="12">
        <v>184</v>
      </c>
      <c r="B200" s="13" t="str">
        <f t="shared" si="20"/>
        <v/>
      </c>
      <c r="C200" s="13" t="str">
        <f t="shared" si="21"/>
        <v/>
      </c>
      <c r="D200" s="13" t="str">
        <f t="shared" si="22"/>
        <v/>
      </c>
      <c r="E200" s="14" t="str">
        <f t="shared" si="23"/>
        <v/>
      </c>
      <c r="F200" s="14" t="str">
        <f t="shared" si="24"/>
        <v/>
      </c>
      <c r="G200" s="14" t="str">
        <f t="shared" si="25"/>
        <v/>
      </c>
      <c r="H200" s="14" t="str">
        <f t="shared" si="26"/>
        <v/>
      </c>
      <c r="I200" s="15" t="str">
        <f t="shared" si="27"/>
        <v/>
      </c>
      <c r="J200" s="15" t="str">
        <f t="shared" si="29"/>
        <v/>
      </c>
      <c r="K200" s="16" t="str">
        <f t="shared" si="28"/>
        <v/>
      </c>
      <c r="M200" t="str">
        <f>IFERROR(MATCH($C$5&amp;"|"&amp;RIGHT("000000"&amp;184,6),CalcRankKeyA,0),"")</f>
        <v/>
      </c>
      <c r="N200" t="str">
        <f>IFERROR(MATCH($C$5&amp;"|"&amp;RIGHT("000000"&amp;184,6),CalcRankKeyB,0),"")</f>
        <v/>
      </c>
    </row>
    <row r="201" spans="1:14" x14ac:dyDescent="0.2">
      <c r="A201" s="7">
        <v>185</v>
      </c>
      <c r="B201" s="8" t="str">
        <f t="shared" si="20"/>
        <v/>
      </c>
      <c r="C201" s="8" t="str">
        <f t="shared" si="21"/>
        <v/>
      </c>
      <c r="D201" s="8" t="str">
        <f t="shared" si="22"/>
        <v/>
      </c>
      <c r="E201" s="9" t="str">
        <f t="shared" si="23"/>
        <v/>
      </c>
      <c r="F201" s="9" t="str">
        <f t="shared" si="24"/>
        <v/>
      </c>
      <c r="G201" s="9" t="str">
        <f t="shared" si="25"/>
        <v/>
      </c>
      <c r="H201" s="9" t="str">
        <f t="shared" si="26"/>
        <v/>
      </c>
      <c r="I201" s="10" t="str">
        <f t="shared" si="27"/>
        <v/>
      </c>
      <c r="J201" s="10" t="str">
        <f t="shared" si="29"/>
        <v/>
      </c>
      <c r="K201" s="11" t="str">
        <f t="shared" si="28"/>
        <v/>
      </c>
      <c r="M201" t="str">
        <f>IFERROR(MATCH($C$5&amp;"|"&amp;RIGHT("000000"&amp;185,6),CalcRankKeyA,0),"")</f>
        <v/>
      </c>
      <c r="N201" t="str">
        <f>IFERROR(MATCH($C$5&amp;"|"&amp;RIGHT("000000"&amp;185,6),CalcRankKeyB,0),"")</f>
        <v/>
      </c>
    </row>
    <row r="202" spans="1:14" x14ac:dyDescent="0.2">
      <c r="A202" s="12">
        <v>186</v>
      </c>
      <c r="B202" s="13" t="str">
        <f t="shared" si="20"/>
        <v/>
      </c>
      <c r="C202" s="13" t="str">
        <f t="shared" si="21"/>
        <v/>
      </c>
      <c r="D202" s="13" t="str">
        <f t="shared" si="22"/>
        <v/>
      </c>
      <c r="E202" s="14" t="str">
        <f t="shared" si="23"/>
        <v/>
      </c>
      <c r="F202" s="14" t="str">
        <f t="shared" si="24"/>
        <v/>
      </c>
      <c r="G202" s="14" t="str">
        <f t="shared" si="25"/>
        <v/>
      </c>
      <c r="H202" s="14" t="str">
        <f t="shared" si="26"/>
        <v/>
      </c>
      <c r="I202" s="15" t="str">
        <f t="shared" si="27"/>
        <v/>
      </c>
      <c r="J202" s="15" t="str">
        <f t="shared" si="29"/>
        <v/>
      </c>
      <c r="K202" s="16" t="str">
        <f t="shared" si="28"/>
        <v/>
      </c>
      <c r="M202" t="str">
        <f>IFERROR(MATCH($C$5&amp;"|"&amp;RIGHT("000000"&amp;186,6),CalcRankKeyA,0),"")</f>
        <v/>
      </c>
      <c r="N202" t="str">
        <f>IFERROR(MATCH($C$5&amp;"|"&amp;RIGHT("000000"&amp;186,6),CalcRankKeyB,0),"")</f>
        <v/>
      </c>
    </row>
    <row r="203" spans="1:14" x14ac:dyDescent="0.2">
      <c r="A203" s="7">
        <v>187</v>
      </c>
      <c r="B203" s="8" t="str">
        <f t="shared" si="20"/>
        <v/>
      </c>
      <c r="C203" s="8" t="str">
        <f t="shared" si="21"/>
        <v/>
      </c>
      <c r="D203" s="8" t="str">
        <f t="shared" si="22"/>
        <v/>
      </c>
      <c r="E203" s="9" t="str">
        <f t="shared" si="23"/>
        <v/>
      </c>
      <c r="F203" s="9" t="str">
        <f t="shared" si="24"/>
        <v/>
      </c>
      <c r="G203" s="9" t="str">
        <f t="shared" si="25"/>
        <v/>
      </c>
      <c r="H203" s="9" t="str">
        <f t="shared" si="26"/>
        <v/>
      </c>
      <c r="I203" s="10" t="str">
        <f t="shared" si="27"/>
        <v/>
      </c>
      <c r="J203" s="10" t="str">
        <f t="shared" si="29"/>
        <v/>
      </c>
      <c r="K203" s="11" t="str">
        <f t="shared" si="28"/>
        <v/>
      </c>
      <c r="M203" t="str">
        <f>IFERROR(MATCH($C$5&amp;"|"&amp;RIGHT("000000"&amp;187,6),CalcRankKeyA,0),"")</f>
        <v/>
      </c>
      <c r="N203" t="str">
        <f>IFERROR(MATCH($C$5&amp;"|"&amp;RIGHT("000000"&amp;187,6),CalcRankKeyB,0),"")</f>
        <v/>
      </c>
    </row>
    <row r="204" spans="1:14" x14ac:dyDescent="0.2">
      <c r="A204" s="12">
        <v>188</v>
      </c>
      <c r="B204" s="13" t="str">
        <f t="shared" si="20"/>
        <v/>
      </c>
      <c r="C204" s="13" t="str">
        <f t="shared" si="21"/>
        <v/>
      </c>
      <c r="D204" s="13" t="str">
        <f t="shared" si="22"/>
        <v/>
      </c>
      <c r="E204" s="14" t="str">
        <f t="shared" si="23"/>
        <v/>
      </c>
      <c r="F204" s="14" t="str">
        <f t="shared" si="24"/>
        <v/>
      </c>
      <c r="G204" s="14" t="str">
        <f t="shared" si="25"/>
        <v/>
      </c>
      <c r="H204" s="14" t="str">
        <f t="shared" si="26"/>
        <v/>
      </c>
      <c r="I204" s="15" t="str">
        <f t="shared" si="27"/>
        <v/>
      </c>
      <c r="J204" s="15" t="str">
        <f t="shared" si="29"/>
        <v/>
      </c>
      <c r="K204" s="16" t="str">
        <f t="shared" si="28"/>
        <v/>
      </c>
      <c r="M204" t="str">
        <f>IFERROR(MATCH($C$5&amp;"|"&amp;RIGHT("000000"&amp;188,6),CalcRankKeyA,0),"")</f>
        <v/>
      </c>
      <c r="N204" t="str">
        <f>IFERROR(MATCH($C$5&amp;"|"&amp;RIGHT("000000"&amp;188,6),CalcRankKeyB,0),"")</f>
        <v/>
      </c>
    </row>
    <row r="205" spans="1:14" x14ac:dyDescent="0.2">
      <c r="A205" s="7">
        <v>189</v>
      </c>
      <c r="B205" s="8" t="str">
        <f t="shared" si="20"/>
        <v/>
      </c>
      <c r="C205" s="8" t="str">
        <f t="shared" si="21"/>
        <v/>
      </c>
      <c r="D205" s="8" t="str">
        <f t="shared" si="22"/>
        <v/>
      </c>
      <c r="E205" s="9" t="str">
        <f t="shared" si="23"/>
        <v/>
      </c>
      <c r="F205" s="9" t="str">
        <f t="shared" si="24"/>
        <v/>
      </c>
      <c r="G205" s="9" t="str">
        <f t="shared" si="25"/>
        <v/>
      </c>
      <c r="H205" s="9" t="str">
        <f t="shared" si="26"/>
        <v/>
      </c>
      <c r="I205" s="10" t="str">
        <f t="shared" si="27"/>
        <v/>
      </c>
      <c r="J205" s="10" t="str">
        <f t="shared" si="29"/>
        <v/>
      </c>
      <c r="K205" s="11" t="str">
        <f t="shared" si="28"/>
        <v/>
      </c>
      <c r="M205" t="str">
        <f>IFERROR(MATCH($C$5&amp;"|"&amp;RIGHT("000000"&amp;189,6),CalcRankKeyA,0),"")</f>
        <v/>
      </c>
      <c r="N205" t="str">
        <f>IFERROR(MATCH($C$5&amp;"|"&amp;RIGHT("000000"&amp;189,6),CalcRankKeyB,0),"")</f>
        <v/>
      </c>
    </row>
    <row r="206" spans="1:14" x14ac:dyDescent="0.2">
      <c r="A206" s="12">
        <v>190</v>
      </c>
      <c r="B206" s="13" t="str">
        <f t="shared" si="20"/>
        <v/>
      </c>
      <c r="C206" s="13" t="str">
        <f t="shared" si="21"/>
        <v/>
      </c>
      <c r="D206" s="13" t="str">
        <f t="shared" si="22"/>
        <v/>
      </c>
      <c r="E206" s="14" t="str">
        <f t="shared" si="23"/>
        <v/>
      </c>
      <c r="F206" s="14" t="str">
        <f t="shared" si="24"/>
        <v/>
      </c>
      <c r="G206" s="14" t="str">
        <f t="shared" si="25"/>
        <v/>
      </c>
      <c r="H206" s="14" t="str">
        <f t="shared" si="26"/>
        <v/>
      </c>
      <c r="I206" s="15" t="str">
        <f t="shared" si="27"/>
        <v/>
      </c>
      <c r="J206" s="15" t="str">
        <f t="shared" si="29"/>
        <v/>
      </c>
      <c r="K206" s="16" t="str">
        <f t="shared" si="28"/>
        <v/>
      </c>
      <c r="M206" t="str">
        <f>IFERROR(MATCH($C$5&amp;"|"&amp;RIGHT("000000"&amp;190,6),CalcRankKeyA,0),"")</f>
        <v/>
      </c>
      <c r="N206" t="str">
        <f>IFERROR(MATCH($C$5&amp;"|"&amp;RIGHT("000000"&amp;190,6),CalcRankKeyB,0),"")</f>
        <v/>
      </c>
    </row>
    <row r="207" spans="1:14" x14ac:dyDescent="0.2">
      <c r="A207" s="7">
        <v>191</v>
      </c>
      <c r="B207" s="8" t="str">
        <f t="shared" si="20"/>
        <v/>
      </c>
      <c r="C207" s="8" t="str">
        <f t="shared" si="21"/>
        <v/>
      </c>
      <c r="D207" s="8" t="str">
        <f t="shared" si="22"/>
        <v/>
      </c>
      <c r="E207" s="9" t="str">
        <f t="shared" si="23"/>
        <v/>
      </c>
      <c r="F207" s="9" t="str">
        <f t="shared" si="24"/>
        <v/>
      </c>
      <c r="G207" s="9" t="str">
        <f t="shared" si="25"/>
        <v/>
      </c>
      <c r="H207" s="9" t="str">
        <f t="shared" si="26"/>
        <v/>
      </c>
      <c r="I207" s="10" t="str">
        <f t="shared" si="27"/>
        <v/>
      </c>
      <c r="J207" s="10" t="str">
        <f t="shared" si="29"/>
        <v/>
      </c>
      <c r="K207" s="11" t="str">
        <f t="shared" si="28"/>
        <v/>
      </c>
      <c r="M207" t="str">
        <f>IFERROR(MATCH($C$5&amp;"|"&amp;RIGHT("000000"&amp;191,6),CalcRankKeyA,0),"")</f>
        <v/>
      </c>
      <c r="N207" t="str">
        <f>IFERROR(MATCH($C$5&amp;"|"&amp;RIGHT("000000"&amp;191,6),CalcRankKeyB,0),"")</f>
        <v/>
      </c>
    </row>
    <row r="208" spans="1:14" x14ac:dyDescent="0.2">
      <c r="A208" s="12">
        <v>192</v>
      </c>
      <c r="B208" s="13" t="str">
        <f t="shared" si="20"/>
        <v/>
      </c>
      <c r="C208" s="13" t="str">
        <f t="shared" si="21"/>
        <v/>
      </c>
      <c r="D208" s="13" t="str">
        <f t="shared" si="22"/>
        <v/>
      </c>
      <c r="E208" s="14" t="str">
        <f t="shared" si="23"/>
        <v/>
      </c>
      <c r="F208" s="14" t="str">
        <f t="shared" si="24"/>
        <v/>
      </c>
      <c r="G208" s="14" t="str">
        <f t="shared" si="25"/>
        <v/>
      </c>
      <c r="H208" s="14" t="str">
        <f t="shared" si="26"/>
        <v/>
      </c>
      <c r="I208" s="15" t="str">
        <f t="shared" si="27"/>
        <v/>
      </c>
      <c r="J208" s="15" t="str">
        <f t="shared" si="29"/>
        <v/>
      </c>
      <c r="K208" s="16" t="str">
        <f t="shared" si="28"/>
        <v/>
      </c>
      <c r="M208" t="str">
        <f>IFERROR(MATCH($C$5&amp;"|"&amp;RIGHT("000000"&amp;192,6),CalcRankKeyA,0),"")</f>
        <v/>
      </c>
      <c r="N208" t="str">
        <f>IFERROR(MATCH($C$5&amp;"|"&amp;RIGHT("000000"&amp;192,6),CalcRankKeyB,0),"")</f>
        <v/>
      </c>
    </row>
    <row r="209" spans="1:14" x14ac:dyDescent="0.2">
      <c r="A209" s="7">
        <v>193</v>
      </c>
      <c r="B209" s="8" t="str">
        <f t="shared" ref="B209:B272" si="30">IF(AND($M209="",$N209=""),"",IF($M209&lt;&gt;"",INDEX(CalcDateA,$M209),INDEX(CalcDateB,$N209)))</f>
        <v/>
      </c>
      <c r="C209" s="8" t="str">
        <f t="shared" ref="C209:C272" si="31">IF($M209&lt;&gt;"","خرید سبد",IF($N209&lt;&gt;"",IF(N(INDEX(CalcDepB,$N209))&gt;0,"دریافت بانکی","پرداخت بانکی"),""))</f>
        <v/>
      </c>
      <c r="D209" s="8" t="str">
        <f t="shared" ref="D209:D272" si="32">IF($M209&lt;&gt;"",IF(INDEX(CalcDocA,$M209)="","—",INDEX(CalcDocA,$M209)),IF($N209&lt;&gt;"",INDEX(CalcBankB,$N209),""))</f>
        <v/>
      </c>
      <c r="E209" s="9" t="str">
        <f t="shared" ref="E209:E272" si="33">IF($N209&lt;&gt;"",IF(INDEX(CalcDepB,$N209)=0,"",INDEX(CalcDepB,$N209)),"")</f>
        <v/>
      </c>
      <c r="F209" s="9" t="str">
        <f t="shared" ref="F209:F272" si="34">IF($M209&lt;&gt;"",IF(INDEX(CalcQtyA,$M209)=0,"",INDEX(CalcQtyA,$M209)),"")</f>
        <v/>
      </c>
      <c r="G209" s="9" t="str">
        <f t="shared" ref="G209:G272" si="35">IF($M209&lt;&gt;"",IF(INDEX(CalcPriceA,$M209)=0,"",INDEX(CalcPriceA,$M209)),"")</f>
        <v/>
      </c>
      <c r="H209" s="9" t="str">
        <f t="shared" ref="H209:H272" si="36">IF($N209&lt;&gt;"",IF(INDEX(CalcWitB,$N209)=0,"",INDEX(CalcWitB,$N209)),"")</f>
        <v/>
      </c>
      <c r="I209" s="10" t="str">
        <f t="shared" ref="I209:I272" si="37">IF($M209&lt;&gt;"",INDEX(CalcAmtA,$M209),"")</f>
        <v/>
      </c>
      <c r="J209" s="10" t="str">
        <f t="shared" si="29"/>
        <v/>
      </c>
      <c r="K209" s="11" t="str">
        <f t="shared" ref="K209:K272" si="38">IF($M209&lt;&gt;"",IF(INDEX(CalcNoteA,$M209)="","—",INDEX(CalcNoteA,$M209)),IF($N209&lt;&gt;"",IF(INDEX(CalcNoteB,$N209)="","—",INDEX(CalcNoteB,$N209)),""))</f>
        <v/>
      </c>
      <c r="M209" t="str">
        <f>IFERROR(MATCH($C$5&amp;"|"&amp;RIGHT("000000"&amp;193,6),CalcRankKeyA,0),"")</f>
        <v/>
      </c>
      <c r="N209" t="str">
        <f>IFERROR(MATCH($C$5&amp;"|"&amp;RIGHT("000000"&amp;193,6),CalcRankKeyB,0),"")</f>
        <v/>
      </c>
    </row>
    <row r="210" spans="1:14" x14ac:dyDescent="0.2">
      <c r="A210" s="12">
        <v>194</v>
      </c>
      <c r="B210" s="13" t="str">
        <f t="shared" si="30"/>
        <v/>
      </c>
      <c r="C210" s="13" t="str">
        <f t="shared" si="31"/>
        <v/>
      </c>
      <c r="D210" s="13" t="str">
        <f t="shared" si="32"/>
        <v/>
      </c>
      <c r="E210" s="14" t="str">
        <f t="shared" si="33"/>
        <v/>
      </c>
      <c r="F210" s="14" t="str">
        <f t="shared" si="34"/>
        <v/>
      </c>
      <c r="G210" s="14" t="str">
        <f t="shared" si="35"/>
        <v/>
      </c>
      <c r="H210" s="14" t="str">
        <f t="shared" si="36"/>
        <v/>
      </c>
      <c r="I210" s="15" t="str">
        <f t="shared" si="37"/>
        <v/>
      </c>
      <c r="J210" s="15" t="str">
        <f t="shared" ref="J210:J273" si="39">IF($B210="","",IF($J209="",$C$8,$J209)+IF($I210="",0,$I210)+IF($E210="",0,$E210)-IF($H210="",0,$H210))</f>
        <v/>
      </c>
      <c r="K210" s="16" t="str">
        <f t="shared" si="38"/>
        <v/>
      </c>
      <c r="M210" t="str">
        <f>IFERROR(MATCH($C$5&amp;"|"&amp;RIGHT("000000"&amp;194,6),CalcRankKeyA,0),"")</f>
        <v/>
      </c>
      <c r="N210" t="str">
        <f>IFERROR(MATCH($C$5&amp;"|"&amp;RIGHT("000000"&amp;194,6),CalcRankKeyB,0),"")</f>
        <v/>
      </c>
    </row>
    <row r="211" spans="1:14" x14ac:dyDescent="0.2">
      <c r="A211" s="7">
        <v>195</v>
      </c>
      <c r="B211" s="8" t="str">
        <f t="shared" si="30"/>
        <v/>
      </c>
      <c r="C211" s="8" t="str">
        <f t="shared" si="31"/>
        <v/>
      </c>
      <c r="D211" s="8" t="str">
        <f t="shared" si="32"/>
        <v/>
      </c>
      <c r="E211" s="9" t="str">
        <f t="shared" si="33"/>
        <v/>
      </c>
      <c r="F211" s="9" t="str">
        <f t="shared" si="34"/>
        <v/>
      </c>
      <c r="G211" s="9" t="str">
        <f t="shared" si="35"/>
        <v/>
      </c>
      <c r="H211" s="9" t="str">
        <f t="shared" si="36"/>
        <v/>
      </c>
      <c r="I211" s="10" t="str">
        <f t="shared" si="37"/>
        <v/>
      </c>
      <c r="J211" s="10" t="str">
        <f t="shared" si="39"/>
        <v/>
      </c>
      <c r="K211" s="11" t="str">
        <f t="shared" si="38"/>
        <v/>
      </c>
      <c r="M211" t="str">
        <f>IFERROR(MATCH($C$5&amp;"|"&amp;RIGHT("000000"&amp;195,6),CalcRankKeyA,0),"")</f>
        <v/>
      </c>
      <c r="N211" t="str">
        <f>IFERROR(MATCH($C$5&amp;"|"&amp;RIGHT("000000"&amp;195,6),CalcRankKeyB,0),"")</f>
        <v/>
      </c>
    </row>
    <row r="212" spans="1:14" x14ac:dyDescent="0.2">
      <c r="A212" s="12">
        <v>196</v>
      </c>
      <c r="B212" s="13" t="str">
        <f t="shared" si="30"/>
        <v/>
      </c>
      <c r="C212" s="13" t="str">
        <f t="shared" si="31"/>
        <v/>
      </c>
      <c r="D212" s="13" t="str">
        <f t="shared" si="32"/>
        <v/>
      </c>
      <c r="E212" s="14" t="str">
        <f t="shared" si="33"/>
        <v/>
      </c>
      <c r="F212" s="14" t="str">
        <f t="shared" si="34"/>
        <v/>
      </c>
      <c r="G212" s="14" t="str">
        <f t="shared" si="35"/>
        <v/>
      </c>
      <c r="H212" s="14" t="str">
        <f t="shared" si="36"/>
        <v/>
      </c>
      <c r="I212" s="15" t="str">
        <f t="shared" si="37"/>
        <v/>
      </c>
      <c r="J212" s="15" t="str">
        <f t="shared" si="39"/>
        <v/>
      </c>
      <c r="K212" s="16" t="str">
        <f t="shared" si="38"/>
        <v/>
      </c>
      <c r="M212" t="str">
        <f>IFERROR(MATCH($C$5&amp;"|"&amp;RIGHT("000000"&amp;196,6),CalcRankKeyA,0),"")</f>
        <v/>
      </c>
      <c r="N212" t="str">
        <f>IFERROR(MATCH($C$5&amp;"|"&amp;RIGHT("000000"&amp;196,6),CalcRankKeyB,0),"")</f>
        <v/>
      </c>
    </row>
    <row r="213" spans="1:14" x14ac:dyDescent="0.2">
      <c r="A213" s="7">
        <v>197</v>
      </c>
      <c r="B213" s="8" t="str">
        <f t="shared" si="30"/>
        <v/>
      </c>
      <c r="C213" s="8" t="str">
        <f t="shared" si="31"/>
        <v/>
      </c>
      <c r="D213" s="8" t="str">
        <f t="shared" si="32"/>
        <v/>
      </c>
      <c r="E213" s="9" t="str">
        <f t="shared" si="33"/>
        <v/>
      </c>
      <c r="F213" s="9" t="str">
        <f t="shared" si="34"/>
        <v/>
      </c>
      <c r="G213" s="9" t="str">
        <f t="shared" si="35"/>
        <v/>
      </c>
      <c r="H213" s="9" t="str">
        <f t="shared" si="36"/>
        <v/>
      </c>
      <c r="I213" s="10" t="str">
        <f t="shared" si="37"/>
        <v/>
      </c>
      <c r="J213" s="10" t="str">
        <f t="shared" si="39"/>
        <v/>
      </c>
      <c r="K213" s="11" t="str">
        <f t="shared" si="38"/>
        <v/>
      </c>
      <c r="M213" t="str">
        <f>IFERROR(MATCH($C$5&amp;"|"&amp;RIGHT("000000"&amp;197,6),CalcRankKeyA,0),"")</f>
        <v/>
      </c>
      <c r="N213" t="str">
        <f>IFERROR(MATCH($C$5&amp;"|"&amp;RIGHT("000000"&amp;197,6),CalcRankKeyB,0),"")</f>
        <v/>
      </c>
    </row>
    <row r="214" spans="1:14" x14ac:dyDescent="0.2">
      <c r="A214" s="12">
        <v>198</v>
      </c>
      <c r="B214" s="13" t="str">
        <f t="shared" si="30"/>
        <v/>
      </c>
      <c r="C214" s="13" t="str">
        <f t="shared" si="31"/>
        <v/>
      </c>
      <c r="D214" s="13" t="str">
        <f t="shared" si="32"/>
        <v/>
      </c>
      <c r="E214" s="14" t="str">
        <f t="shared" si="33"/>
        <v/>
      </c>
      <c r="F214" s="14" t="str">
        <f t="shared" si="34"/>
        <v/>
      </c>
      <c r="G214" s="14" t="str">
        <f t="shared" si="35"/>
        <v/>
      </c>
      <c r="H214" s="14" t="str">
        <f t="shared" si="36"/>
        <v/>
      </c>
      <c r="I214" s="15" t="str">
        <f t="shared" si="37"/>
        <v/>
      </c>
      <c r="J214" s="15" t="str">
        <f t="shared" si="39"/>
        <v/>
      </c>
      <c r="K214" s="16" t="str">
        <f t="shared" si="38"/>
        <v/>
      </c>
      <c r="M214" t="str">
        <f>IFERROR(MATCH($C$5&amp;"|"&amp;RIGHT("000000"&amp;198,6),CalcRankKeyA,0),"")</f>
        <v/>
      </c>
      <c r="N214" t="str">
        <f>IFERROR(MATCH($C$5&amp;"|"&amp;RIGHT("000000"&amp;198,6),CalcRankKeyB,0),"")</f>
        <v/>
      </c>
    </row>
    <row r="215" spans="1:14" x14ac:dyDescent="0.2">
      <c r="A215" s="7">
        <v>199</v>
      </c>
      <c r="B215" s="8" t="str">
        <f t="shared" si="30"/>
        <v/>
      </c>
      <c r="C215" s="8" t="str">
        <f t="shared" si="31"/>
        <v/>
      </c>
      <c r="D215" s="8" t="str">
        <f t="shared" si="32"/>
        <v/>
      </c>
      <c r="E215" s="9" t="str">
        <f t="shared" si="33"/>
        <v/>
      </c>
      <c r="F215" s="9" t="str">
        <f t="shared" si="34"/>
        <v/>
      </c>
      <c r="G215" s="9" t="str">
        <f t="shared" si="35"/>
        <v/>
      </c>
      <c r="H215" s="9" t="str">
        <f t="shared" si="36"/>
        <v/>
      </c>
      <c r="I215" s="10" t="str">
        <f t="shared" si="37"/>
        <v/>
      </c>
      <c r="J215" s="10" t="str">
        <f t="shared" si="39"/>
        <v/>
      </c>
      <c r="K215" s="11" t="str">
        <f t="shared" si="38"/>
        <v/>
      </c>
      <c r="M215" t="str">
        <f>IFERROR(MATCH($C$5&amp;"|"&amp;RIGHT("000000"&amp;199,6),CalcRankKeyA,0),"")</f>
        <v/>
      </c>
      <c r="N215" t="str">
        <f>IFERROR(MATCH($C$5&amp;"|"&amp;RIGHT("000000"&amp;199,6),CalcRankKeyB,0),"")</f>
        <v/>
      </c>
    </row>
    <row r="216" spans="1:14" x14ac:dyDescent="0.2">
      <c r="A216" s="12">
        <v>200</v>
      </c>
      <c r="B216" s="13" t="str">
        <f t="shared" si="30"/>
        <v/>
      </c>
      <c r="C216" s="13" t="str">
        <f t="shared" si="31"/>
        <v/>
      </c>
      <c r="D216" s="13" t="str">
        <f t="shared" si="32"/>
        <v/>
      </c>
      <c r="E216" s="14" t="str">
        <f t="shared" si="33"/>
        <v/>
      </c>
      <c r="F216" s="14" t="str">
        <f t="shared" si="34"/>
        <v/>
      </c>
      <c r="G216" s="14" t="str">
        <f t="shared" si="35"/>
        <v/>
      </c>
      <c r="H216" s="14" t="str">
        <f t="shared" si="36"/>
        <v/>
      </c>
      <c r="I216" s="15" t="str">
        <f t="shared" si="37"/>
        <v/>
      </c>
      <c r="J216" s="15" t="str">
        <f t="shared" si="39"/>
        <v/>
      </c>
      <c r="K216" s="16" t="str">
        <f t="shared" si="38"/>
        <v/>
      </c>
      <c r="M216" t="str">
        <f>IFERROR(MATCH($C$5&amp;"|"&amp;RIGHT("000000"&amp;200,6),CalcRankKeyA,0),"")</f>
        <v/>
      </c>
      <c r="N216" t="str">
        <f>IFERROR(MATCH($C$5&amp;"|"&amp;RIGHT("000000"&amp;200,6),CalcRankKeyB,0),"")</f>
        <v/>
      </c>
    </row>
    <row r="217" spans="1:14" x14ac:dyDescent="0.2">
      <c r="A217" s="7">
        <v>201</v>
      </c>
      <c r="B217" s="8" t="str">
        <f t="shared" si="30"/>
        <v/>
      </c>
      <c r="C217" s="8" t="str">
        <f t="shared" si="31"/>
        <v/>
      </c>
      <c r="D217" s="8" t="str">
        <f t="shared" si="32"/>
        <v/>
      </c>
      <c r="E217" s="9" t="str">
        <f t="shared" si="33"/>
        <v/>
      </c>
      <c r="F217" s="9" t="str">
        <f t="shared" si="34"/>
        <v/>
      </c>
      <c r="G217" s="9" t="str">
        <f t="shared" si="35"/>
        <v/>
      </c>
      <c r="H217" s="9" t="str">
        <f t="shared" si="36"/>
        <v/>
      </c>
      <c r="I217" s="10" t="str">
        <f t="shared" si="37"/>
        <v/>
      </c>
      <c r="J217" s="10" t="str">
        <f t="shared" si="39"/>
        <v/>
      </c>
      <c r="K217" s="11" t="str">
        <f t="shared" si="38"/>
        <v/>
      </c>
      <c r="M217" t="str">
        <f>IFERROR(MATCH($C$5&amp;"|"&amp;RIGHT("000000"&amp;201,6),CalcRankKeyA,0),"")</f>
        <v/>
      </c>
      <c r="N217" t="str">
        <f>IFERROR(MATCH($C$5&amp;"|"&amp;RIGHT("000000"&amp;201,6),CalcRankKeyB,0),"")</f>
        <v/>
      </c>
    </row>
    <row r="218" spans="1:14" x14ac:dyDescent="0.2">
      <c r="A218" s="12">
        <v>202</v>
      </c>
      <c r="B218" s="13" t="str">
        <f t="shared" si="30"/>
        <v/>
      </c>
      <c r="C218" s="13" t="str">
        <f t="shared" si="31"/>
        <v/>
      </c>
      <c r="D218" s="13" t="str">
        <f t="shared" si="32"/>
        <v/>
      </c>
      <c r="E218" s="14" t="str">
        <f t="shared" si="33"/>
        <v/>
      </c>
      <c r="F218" s="14" t="str">
        <f t="shared" si="34"/>
        <v/>
      </c>
      <c r="G218" s="14" t="str">
        <f t="shared" si="35"/>
        <v/>
      </c>
      <c r="H218" s="14" t="str">
        <f t="shared" si="36"/>
        <v/>
      </c>
      <c r="I218" s="15" t="str">
        <f t="shared" si="37"/>
        <v/>
      </c>
      <c r="J218" s="15" t="str">
        <f t="shared" si="39"/>
        <v/>
      </c>
      <c r="K218" s="16" t="str">
        <f t="shared" si="38"/>
        <v/>
      </c>
      <c r="M218" t="str">
        <f>IFERROR(MATCH($C$5&amp;"|"&amp;RIGHT("000000"&amp;202,6),CalcRankKeyA,0),"")</f>
        <v/>
      </c>
      <c r="N218" t="str">
        <f>IFERROR(MATCH($C$5&amp;"|"&amp;RIGHT("000000"&amp;202,6),CalcRankKeyB,0),"")</f>
        <v/>
      </c>
    </row>
    <row r="219" spans="1:14" x14ac:dyDescent="0.2">
      <c r="A219" s="7">
        <v>203</v>
      </c>
      <c r="B219" s="8" t="str">
        <f t="shared" si="30"/>
        <v/>
      </c>
      <c r="C219" s="8" t="str">
        <f t="shared" si="31"/>
        <v/>
      </c>
      <c r="D219" s="8" t="str">
        <f t="shared" si="32"/>
        <v/>
      </c>
      <c r="E219" s="9" t="str">
        <f t="shared" si="33"/>
        <v/>
      </c>
      <c r="F219" s="9" t="str">
        <f t="shared" si="34"/>
        <v/>
      </c>
      <c r="G219" s="9" t="str">
        <f t="shared" si="35"/>
        <v/>
      </c>
      <c r="H219" s="9" t="str">
        <f t="shared" si="36"/>
        <v/>
      </c>
      <c r="I219" s="10" t="str">
        <f t="shared" si="37"/>
        <v/>
      </c>
      <c r="J219" s="10" t="str">
        <f t="shared" si="39"/>
        <v/>
      </c>
      <c r="K219" s="11" t="str">
        <f t="shared" si="38"/>
        <v/>
      </c>
      <c r="M219" t="str">
        <f>IFERROR(MATCH($C$5&amp;"|"&amp;RIGHT("000000"&amp;203,6),CalcRankKeyA,0),"")</f>
        <v/>
      </c>
      <c r="N219" t="str">
        <f>IFERROR(MATCH($C$5&amp;"|"&amp;RIGHT("000000"&amp;203,6),CalcRankKeyB,0),"")</f>
        <v/>
      </c>
    </row>
    <row r="220" spans="1:14" x14ac:dyDescent="0.2">
      <c r="A220" s="12">
        <v>204</v>
      </c>
      <c r="B220" s="13" t="str">
        <f t="shared" si="30"/>
        <v/>
      </c>
      <c r="C220" s="13" t="str">
        <f t="shared" si="31"/>
        <v/>
      </c>
      <c r="D220" s="13" t="str">
        <f t="shared" si="32"/>
        <v/>
      </c>
      <c r="E220" s="14" t="str">
        <f t="shared" si="33"/>
        <v/>
      </c>
      <c r="F220" s="14" t="str">
        <f t="shared" si="34"/>
        <v/>
      </c>
      <c r="G220" s="14" t="str">
        <f t="shared" si="35"/>
        <v/>
      </c>
      <c r="H220" s="14" t="str">
        <f t="shared" si="36"/>
        <v/>
      </c>
      <c r="I220" s="15" t="str">
        <f t="shared" si="37"/>
        <v/>
      </c>
      <c r="J220" s="15" t="str">
        <f t="shared" si="39"/>
        <v/>
      </c>
      <c r="K220" s="16" t="str">
        <f t="shared" si="38"/>
        <v/>
      </c>
      <c r="M220" t="str">
        <f>IFERROR(MATCH($C$5&amp;"|"&amp;RIGHT("000000"&amp;204,6),CalcRankKeyA,0),"")</f>
        <v/>
      </c>
      <c r="N220" t="str">
        <f>IFERROR(MATCH($C$5&amp;"|"&amp;RIGHT("000000"&amp;204,6),CalcRankKeyB,0),"")</f>
        <v/>
      </c>
    </row>
    <row r="221" spans="1:14" x14ac:dyDescent="0.2">
      <c r="A221" s="7">
        <v>205</v>
      </c>
      <c r="B221" s="8" t="str">
        <f t="shared" si="30"/>
        <v/>
      </c>
      <c r="C221" s="8" t="str">
        <f t="shared" si="31"/>
        <v/>
      </c>
      <c r="D221" s="8" t="str">
        <f t="shared" si="32"/>
        <v/>
      </c>
      <c r="E221" s="9" t="str">
        <f t="shared" si="33"/>
        <v/>
      </c>
      <c r="F221" s="9" t="str">
        <f t="shared" si="34"/>
        <v/>
      </c>
      <c r="G221" s="9" t="str">
        <f t="shared" si="35"/>
        <v/>
      </c>
      <c r="H221" s="9" t="str">
        <f t="shared" si="36"/>
        <v/>
      </c>
      <c r="I221" s="10" t="str">
        <f t="shared" si="37"/>
        <v/>
      </c>
      <c r="J221" s="10" t="str">
        <f t="shared" si="39"/>
        <v/>
      </c>
      <c r="K221" s="11" t="str">
        <f t="shared" si="38"/>
        <v/>
      </c>
      <c r="M221" t="str">
        <f>IFERROR(MATCH($C$5&amp;"|"&amp;RIGHT("000000"&amp;205,6),CalcRankKeyA,0),"")</f>
        <v/>
      </c>
      <c r="N221" t="str">
        <f>IFERROR(MATCH($C$5&amp;"|"&amp;RIGHT("000000"&amp;205,6),CalcRankKeyB,0),"")</f>
        <v/>
      </c>
    </row>
    <row r="222" spans="1:14" x14ac:dyDescent="0.2">
      <c r="A222" s="12">
        <v>206</v>
      </c>
      <c r="B222" s="13" t="str">
        <f t="shared" si="30"/>
        <v/>
      </c>
      <c r="C222" s="13" t="str">
        <f t="shared" si="31"/>
        <v/>
      </c>
      <c r="D222" s="13" t="str">
        <f t="shared" si="32"/>
        <v/>
      </c>
      <c r="E222" s="14" t="str">
        <f t="shared" si="33"/>
        <v/>
      </c>
      <c r="F222" s="14" t="str">
        <f t="shared" si="34"/>
        <v/>
      </c>
      <c r="G222" s="14" t="str">
        <f t="shared" si="35"/>
        <v/>
      </c>
      <c r="H222" s="14" t="str">
        <f t="shared" si="36"/>
        <v/>
      </c>
      <c r="I222" s="15" t="str">
        <f t="shared" si="37"/>
        <v/>
      </c>
      <c r="J222" s="15" t="str">
        <f t="shared" si="39"/>
        <v/>
      </c>
      <c r="K222" s="16" t="str">
        <f t="shared" si="38"/>
        <v/>
      </c>
      <c r="M222" t="str">
        <f>IFERROR(MATCH($C$5&amp;"|"&amp;RIGHT("000000"&amp;206,6),CalcRankKeyA,0),"")</f>
        <v/>
      </c>
      <c r="N222" t="str">
        <f>IFERROR(MATCH($C$5&amp;"|"&amp;RIGHT("000000"&amp;206,6),CalcRankKeyB,0),"")</f>
        <v/>
      </c>
    </row>
    <row r="223" spans="1:14" x14ac:dyDescent="0.2">
      <c r="A223" s="7">
        <v>207</v>
      </c>
      <c r="B223" s="8" t="str">
        <f t="shared" si="30"/>
        <v/>
      </c>
      <c r="C223" s="8" t="str">
        <f t="shared" si="31"/>
        <v/>
      </c>
      <c r="D223" s="8" t="str">
        <f t="shared" si="32"/>
        <v/>
      </c>
      <c r="E223" s="9" t="str">
        <f t="shared" si="33"/>
        <v/>
      </c>
      <c r="F223" s="9" t="str">
        <f t="shared" si="34"/>
        <v/>
      </c>
      <c r="G223" s="9" t="str">
        <f t="shared" si="35"/>
        <v/>
      </c>
      <c r="H223" s="9" t="str">
        <f t="shared" si="36"/>
        <v/>
      </c>
      <c r="I223" s="10" t="str">
        <f t="shared" si="37"/>
        <v/>
      </c>
      <c r="J223" s="10" t="str">
        <f t="shared" si="39"/>
        <v/>
      </c>
      <c r="K223" s="11" t="str">
        <f t="shared" si="38"/>
        <v/>
      </c>
      <c r="M223" t="str">
        <f>IFERROR(MATCH($C$5&amp;"|"&amp;RIGHT("000000"&amp;207,6),CalcRankKeyA,0),"")</f>
        <v/>
      </c>
      <c r="N223" t="str">
        <f>IFERROR(MATCH($C$5&amp;"|"&amp;RIGHT("000000"&amp;207,6),CalcRankKeyB,0),"")</f>
        <v/>
      </c>
    </row>
    <row r="224" spans="1:14" x14ac:dyDescent="0.2">
      <c r="A224" s="12">
        <v>208</v>
      </c>
      <c r="B224" s="13" t="str">
        <f t="shared" si="30"/>
        <v/>
      </c>
      <c r="C224" s="13" t="str">
        <f t="shared" si="31"/>
        <v/>
      </c>
      <c r="D224" s="13" t="str">
        <f t="shared" si="32"/>
        <v/>
      </c>
      <c r="E224" s="14" t="str">
        <f t="shared" si="33"/>
        <v/>
      </c>
      <c r="F224" s="14" t="str">
        <f t="shared" si="34"/>
        <v/>
      </c>
      <c r="G224" s="14" t="str">
        <f t="shared" si="35"/>
        <v/>
      </c>
      <c r="H224" s="14" t="str">
        <f t="shared" si="36"/>
        <v/>
      </c>
      <c r="I224" s="15" t="str">
        <f t="shared" si="37"/>
        <v/>
      </c>
      <c r="J224" s="15" t="str">
        <f t="shared" si="39"/>
        <v/>
      </c>
      <c r="K224" s="16" t="str">
        <f t="shared" si="38"/>
        <v/>
      </c>
      <c r="M224" t="str">
        <f>IFERROR(MATCH($C$5&amp;"|"&amp;RIGHT("000000"&amp;208,6),CalcRankKeyA,0),"")</f>
        <v/>
      </c>
      <c r="N224" t="str">
        <f>IFERROR(MATCH($C$5&amp;"|"&amp;RIGHT("000000"&amp;208,6),CalcRankKeyB,0),"")</f>
        <v/>
      </c>
    </row>
    <row r="225" spans="1:14" x14ac:dyDescent="0.2">
      <c r="A225" s="7">
        <v>209</v>
      </c>
      <c r="B225" s="8" t="str">
        <f t="shared" si="30"/>
        <v/>
      </c>
      <c r="C225" s="8" t="str">
        <f t="shared" si="31"/>
        <v/>
      </c>
      <c r="D225" s="8" t="str">
        <f t="shared" si="32"/>
        <v/>
      </c>
      <c r="E225" s="9" t="str">
        <f t="shared" si="33"/>
        <v/>
      </c>
      <c r="F225" s="9" t="str">
        <f t="shared" si="34"/>
        <v/>
      </c>
      <c r="G225" s="9" t="str">
        <f t="shared" si="35"/>
        <v/>
      </c>
      <c r="H225" s="9" t="str">
        <f t="shared" si="36"/>
        <v/>
      </c>
      <c r="I225" s="10" t="str">
        <f t="shared" si="37"/>
        <v/>
      </c>
      <c r="J225" s="10" t="str">
        <f t="shared" si="39"/>
        <v/>
      </c>
      <c r="K225" s="11" t="str">
        <f t="shared" si="38"/>
        <v/>
      </c>
      <c r="M225" t="str">
        <f>IFERROR(MATCH($C$5&amp;"|"&amp;RIGHT("000000"&amp;209,6),CalcRankKeyA,0),"")</f>
        <v/>
      </c>
      <c r="N225" t="str">
        <f>IFERROR(MATCH($C$5&amp;"|"&amp;RIGHT("000000"&amp;209,6),CalcRankKeyB,0),"")</f>
        <v/>
      </c>
    </row>
    <row r="226" spans="1:14" x14ac:dyDescent="0.2">
      <c r="A226" s="12">
        <v>210</v>
      </c>
      <c r="B226" s="13" t="str">
        <f t="shared" si="30"/>
        <v/>
      </c>
      <c r="C226" s="13" t="str">
        <f t="shared" si="31"/>
        <v/>
      </c>
      <c r="D226" s="13" t="str">
        <f t="shared" si="32"/>
        <v/>
      </c>
      <c r="E226" s="14" t="str">
        <f t="shared" si="33"/>
        <v/>
      </c>
      <c r="F226" s="14" t="str">
        <f t="shared" si="34"/>
        <v/>
      </c>
      <c r="G226" s="14" t="str">
        <f t="shared" si="35"/>
        <v/>
      </c>
      <c r="H226" s="14" t="str">
        <f t="shared" si="36"/>
        <v/>
      </c>
      <c r="I226" s="15" t="str">
        <f t="shared" si="37"/>
        <v/>
      </c>
      <c r="J226" s="15" t="str">
        <f t="shared" si="39"/>
        <v/>
      </c>
      <c r="K226" s="16" t="str">
        <f t="shared" si="38"/>
        <v/>
      </c>
      <c r="M226" t="str">
        <f>IFERROR(MATCH($C$5&amp;"|"&amp;RIGHT("000000"&amp;210,6),CalcRankKeyA,0),"")</f>
        <v/>
      </c>
      <c r="N226" t="str">
        <f>IFERROR(MATCH($C$5&amp;"|"&amp;RIGHT("000000"&amp;210,6),CalcRankKeyB,0),"")</f>
        <v/>
      </c>
    </row>
    <row r="227" spans="1:14" x14ac:dyDescent="0.2">
      <c r="A227" s="7">
        <v>211</v>
      </c>
      <c r="B227" s="8" t="str">
        <f t="shared" si="30"/>
        <v/>
      </c>
      <c r="C227" s="8" t="str">
        <f t="shared" si="31"/>
        <v/>
      </c>
      <c r="D227" s="8" t="str">
        <f t="shared" si="32"/>
        <v/>
      </c>
      <c r="E227" s="9" t="str">
        <f t="shared" si="33"/>
        <v/>
      </c>
      <c r="F227" s="9" t="str">
        <f t="shared" si="34"/>
        <v/>
      </c>
      <c r="G227" s="9" t="str">
        <f t="shared" si="35"/>
        <v/>
      </c>
      <c r="H227" s="9" t="str">
        <f t="shared" si="36"/>
        <v/>
      </c>
      <c r="I227" s="10" t="str">
        <f t="shared" si="37"/>
        <v/>
      </c>
      <c r="J227" s="10" t="str">
        <f t="shared" si="39"/>
        <v/>
      </c>
      <c r="K227" s="11" t="str">
        <f t="shared" si="38"/>
        <v/>
      </c>
      <c r="M227" t="str">
        <f>IFERROR(MATCH($C$5&amp;"|"&amp;RIGHT("000000"&amp;211,6),CalcRankKeyA,0),"")</f>
        <v/>
      </c>
      <c r="N227" t="str">
        <f>IFERROR(MATCH($C$5&amp;"|"&amp;RIGHT("000000"&amp;211,6),CalcRankKeyB,0),"")</f>
        <v/>
      </c>
    </row>
    <row r="228" spans="1:14" x14ac:dyDescent="0.2">
      <c r="A228" s="12">
        <v>212</v>
      </c>
      <c r="B228" s="13" t="str">
        <f t="shared" si="30"/>
        <v/>
      </c>
      <c r="C228" s="13" t="str">
        <f t="shared" si="31"/>
        <v/>
      </c>
      <c r="D228" s="13" t="str">
        <f t="shared" si="32"/>
        <v/>
      </c>
      <c r="E228" s="14" t="str">
        <f t="shared" si="33"/>
        <v/>
      </c>
      <c r="F228" s="14" t="str">
        <f t="shared" si="34"/>
        <v/>
      </c>
      <c r="G228" s="14" t="str">
        <f t="shared" si="35"/>
        <v/>
      </c>
      <c r="H228" s="14" t="str">
        <f t="shared" si="36"/>
        <v/>
      </c>
      <c r="I228" s="15" t="str">
        <f t="shared" si="37"/>
        <v/>
      </c>
      <c r="J228" s="15" t="str">
        <f t="shared" si="39"/>
        <v/>
      </c>
      <c r="K228" s="16" t="str">
        <f t="shared" si="38"/>
        <v/>
      </c>
      <c r="M228" t="str">
        <f>IFERROR(MATCH($C$5&amp;"|"&amp;RIGHT("000000"&amp;212,6),CalcRankKeyA,0),"")</f>
        <v/>
      </c>
      <c r="N228" t="str">
        <f>IFERROR(MATCH($C$5&amp;"|"&amp;RIGHT("000000"&amp;212,6),CalcRankKeyB,0),"")</f>
        <v/>
      </c>
    </row>
    <row r="229" spans="1:14" x14ac:dyDescent="0.2">
      <c r="A229" s="7">
        <v>213</v>
      </c>
      <c r="B229" s="8" t="str">
        <f t="shared" si="30"/>
        <v/>
      </c>
      <c r="C229" s="8" t="str">
        <f t="shared" si="31"/>
        <v/>
      </c>
      <c r="D229" s="8" t="str">
        <f t="shared" si="32"/>
        <v/>
      </c>
      <c r="E229" s="9" t="str">
        <f t="shared" si="33"/>
        <v/>
      </c>
      <c r="F229" s="9" t="str">
        <f t="shared" si="34"/>
        <v/>
      </c>
      <c r="G229" s="9" t="str">
        <f t="shared" si="35"/>
        <v/>
      </c>
      <c r="H229" s="9" t="str">
        <f t="shared" si="36"/>
        <v/>
      </c>
      <c r="I229" s="10" t="str">
        <f t="shared" si="37"/>
        <v/>
      </c>
      <c r="J229" s="10" t="str">
        <f t="shared" si="39"/>
        <v/>
      </c>
      <c r="K229" s="11" t="str">
        <f t="shared" si="38"/>
        <v/>
      </c>
      <c r="M229" t="str">
        <f>IFERROR(MATCH($C$5&amp;"|"&amp;RIGHT("000000"&amp;213,6),CalcRankKeyA,0),"")</f>
        <v/>
      </c>
      <c r="N229" t="str">
        <f>IFERROR(MATCH($C$5&amp;"|"&amp;RIGHT("000000"&amp;213,6),CalcRankKeyB,0),"")</f>
        <v/>
      </c>
    </row>
    <row r="230" spans="1:14" x14ac:dyDescent="0.2">
      <c r="A230" s="12">
        <v>214</v>
      </c>
      <c r="B230" s="13" t="str">
        <f t="shared" si="30"/>
        <v/>
      </c>
      <c r="C230" s="13" t="str">
        <f t="shared" si="31"/>
        <v/>
      </c>
      <c r="D230" s="13" t="str">
        <f t="shared" si="32"/>
        <v/>
      </c>
      <c r="E230" s="14" t="str">
        <f t="shared" si="33"/>
        <v/>
      </c>
      <c r="F230" s="14" t="str">
        <f t="shared" si="34"/>
        <v/>
      </c>
      <c r="G230" s="14" t="str">
        <f t="shared" si="35"/>
        <v/>
      </c>
      <c r="H230" s="14" t="str">
        <f t="shared" si="36"/>
        <v/>
      </c>
      <c r="I230" s="15" t="str">
        <f t="shared" si="37"/>
        <v/>
      </c>
      <c r="J230" s="15" t="str">
        <f t="shared" si="39"/>
        <v/>
      </c>
      <c r="K230" s="16" t="str">
        <f t="shared" si="38"/>
        <v/>
      </c>
      <c r="M230" t="str">
        <f>IFERROR(MATCH($C$5&amp;"|"&amp;RIGHT("000000"&amp;214,6),CalcRankKeyA,0),"")</f>
        <v/>
      </c>
      <c r="N230" t="str">
        <f>IFERROR(MATCH($C$5&amp;"|"&amp;RIGHT("000000"&amp;214,6),CalcRankKeyB,0),"")</f>
        <v/>
      </c>
    </row>
    <row r="231" spans="1:14" x14ac:dyDescent="0.2">
      <c r="A231" s="7">
        <v>215</v>
      </c>
      <c r="B231" s="8" t="str">
        <f t="shared" si="30"/>
        <v/>
      </c>
      <c r="C231" s="8" t="str">
        <f t="shared" si="31"/>
        <v/>
      </c>
      <c r="D231" s="8" t="str">
        <f t="shared" si="32"/>
        <v/>
      </c>
      <c r="E231" s="9" t="str">
        <f t="shared" si="33"/>
        <v/>
      </c>
      <c r="F231" s="9" t="str">
        <f t="shared" si="34"/>
        <v/>
      </c>
      <c r="G231" s="9" t="str">
        <f t="shared" si="35"/>
        <v/>
      </c>
      <c r="H231" s="9" t="str">
        <f t="shared" si="36"/>
        <v/>
      </c>
      <c r="I231" s="10" t="str">
        <f t="shared" si="37"/>
        <v/>
      </c>
      <c r="J231" s="10" t="str">
        <f t="shared" si="39"/>
        <v/>
      </c>
      <c r="K231" s="11" t="str">
        <f t="shared" si="38"/>
        <v/>
      </c>
      <c r="M231" t="str">
        <f>IFERROR(MATCH($C$5&amp;"|"&amp;RIGHT("000000"&amp;215,6),CalcRankKeyA,0),"")</f>
        <v/>
      </c>
      <c r="N231" t="str">
        <f>IFERROR(MATCH($C$5&amp;"|"&amp;RIGHT("000000"&amp;215,6),CalcRankKeyB,0),"")</f>
        <v/>
      </c>
    </row>
    <row r="232" spans="1:14" x14ac:dyDescent="0.2">
      <c r="A232" s="12">
        <v>216</v>
      </c>
      <c r="B232" s="13" t="str">
        <f t="shared" si="30"/>
        <v/>
      </c>
      <c r="C232" s="13" t="str">
        <f t="shared" si="31"/>
        <v/>
      </c>
      <c r="D232" s="13" t="str">
        <f t="shared" si="32"/>
        <v/>
      </c>
      <c r="E232" s="14" t="str">
        <f t="shared" si="33"/>
        <v/>
      </c>
      <c r="F232" s="14" t="str">
        <f t="shared" si="34"/>
        <v/>
      </c>
      <c r="G232" s="14" t="str">
        <f t="shared" si="35"/>
        <v/>
      </c>
      <c r="H232" s="14" t="str">
        <f t="shared" si="36"/>
        <v/>
      </c>
      <c r="I232" s="15" t="str">
        <f t="shared" si="37"/>
        <v/>
      </c>
      <c r="J232" s="15" t="str">
        <f t="shared" si="39"/>
        <v/>
      </c>
      <c r="K232" s="16" t="str">
        <f t="shared" si="38"/>
        <v/>
      </c>
      <c r="M232" t="str">
        <f>IFERROR(MATCH($C$5&amp;"|"&amp;RIGHT("000000"&amp;216,6),CalcRankKeyA,0),"")</f>
        <v/>
      </c>
      <c r="N232" t="str">
        <f>IFERROR(MATCH($C$5&amp;"|"&amp;RIGHT("000000"&amp;216,6),CalcRankKeyB,0),"")</f>
        <v/>
      </c>
    </row>
    <row r="233" spans="1:14" x14ac:dyDescent="0.2">
      <c r="A233" s="7">
        <v>217</v>
      </c>
      <c r="B233" s="8" t="str">
        <f t="shared" si="30"/>
        <v/>
      </c>
      <c r="C233" s="8" t="str">
        <f t="shared" si="31"/>
        <v/>
      </c>
      <c r="D233" s="8" t="str">
        <f t="shared" si="32"/>
        <v/>
      </c>
      <c r="E233" s="9" t="str">
        <f t="shared" si="33"/>
        <v/>
      </c>
      <c r="F233" s="9" t="str">
        <f t="shared" si="34"/>
        <v/>
      </c>
      <c r="G233" s="9" t="str">
        <f t="shared" si="35"/>
        <v/>
      </c>
      <c r="H233" s="9" t="str">
        <f t="shared" si="36"/>
        <v/>
      </c>
      <c r="I233" s="10" t="str">
        <f t="shared" si="37"/>
        <v/>
      </c>
      <c r="J233" s="10" t="str">
        <f t="shared" si="39"/>
        <v/>
      </c>
      <c r="K233" s="11" t="str">
        <f t="shared" si="38"/>
        <v/>
      </c>
      <c r="M233" t="str">
        <f>IFERROR(MATCH($C$5&amp;"|"&amp;RIGHT("000000"&amp;217,6),CalcRankKeyA,0),"")</f>
        <v/>
      </c>
      <c r="N233" t="str">
        <f>IFERROR(MATCH($C$5&amp;"|"&amp;RIGHT("000000"&amp;217,6),CalcRankKeyB,0),"")</f>
        <v/>
      </c>
    </row>
    <row r="234" spans="1:14" x14ac:dyDescent="0.2">
      <c r="A234" s="12">
        <v>218</v>
      </c>
      <c r="B234" s="13" t="str">
        <f t="shared" si="30"/>
        <v/>
      </c>
      <c r="C234" s="13" t="str">
        <f t="shared" si="31"/>
        <v/>
      </c>
      <c r="D234" s="13" t="str">
        <f t="shared" si="32"/>
        <v/>
      </c>
      <c r="E234" s="14" t="str">
        <f t="shared" si="33"/>
        <v/>
      </c>
      <c r="F234" s="14" t="str">
        <f t="shared" si="34"/>
        <v/>
      </c>
      <c r="G234" s="14" t="str">
        <f t="shared" si="35"/>
        <v/>
      </c>
      <c r="H234" s="14" t="str">
        <f t="shared" si="36"/>
        <v/>
      </c>
      <c r="I234" s="15" t="str">
        <f t="shared" si="37"/>
        <v/>
      </c>
      <c r="J234" s="15" t="str">
        <f t="shared" si="39"/>
        <v/>
      </c>
      <c r="K234" s="16" t="str">
        <f t="shared" si="38"/>
        <v/>
      </c>
      <c r="M234" t="str">
        <f>IFERROR(MATCH($C$5&amp;"|"&amp;RIGHT("000000"&amp;218,6),CalcRankKeyA,0),"")</f>
        <v/>
      </c>
      <c r="N234" t="str">
        <f>IFERROR(MATCH($C$5&amp;"|"&amp;RIGHT("000000"&amp;218,6),CalcRankKeyB,0),"")</f>
        <v/>
      </c>
    </row>
    <row r="235" spans="1:14" x14ac:dyDescent="0.2">
      <c r="A235" s="7">
        <v>219</v>
      </c>
      <c r="B235" s="8" t="str">
        <f t="shared" si="30"/>
        <v/>
      </c>
      <c r="C235" s="8" t="str">
        <f t="shared" si="31"/>
        <v/>
      </c>
      <c r="D235" s="8" t="str">
        <f t="shared" si="32"/>
        <v/>
      </c>
      <c r="E235" s="9" t="str">
        <f t="shared" si="33"/>
        <v/>
      </c>
      <c r="F235" s="9" t="str">
        <f t="shared" si="34"/>
        <v/>
      </c>
      <c r="G235" s="9" t="str">
        <f t="shared" si="35"/>
        <v/>
      </c>
      <c r="H235" s="9" t="str">
        <f t="shared" si="36"/>
        <v/>
      </c>
      <c r="I235" s="10" t="str">
        <f t="shared" si="37"/>
        <v/>
      </c>
      <c r="J235" s="10" t="str">
        <f t="shared" si="39"/>
        <v/>
      </c>
      <c r="K235" s="11" t="str">
        <f t="shared" si="38"/>
        <v/>
      </c>
      <c r="M235" t="str">
        <f>IFERROR(MATCH($C$5&amp;"|"&amp;RIGHT("000000"&amp;219,6),CalcRankKeyA,0),"")</f>
        <v/>
      </c>
      <c r="N235" t="str">
        <f>IFERROR(MATCH($C$5&amp;"|"&amp;RIGHT("000000"&amp;219,6),CalcRankKeyB,0),"")</f>
        <v/>
      </c>
    </row>
    <row r="236" spans="1:14" x14ac:dyDescent="0.2">
      <c r="A236" s="12">
        <v>220</v>
      </c>
      <c r="B236" s="13" t="str">
        <f t="shared" si="30"/>
        <v/>
      </c>
      <c r="C236" s="13" t="str">
        <f t="shared" si="31"/>
        <v/>
      </c>
      <c r="D236" s="13" t="str">
        <f t="shared" si="32"/>
        <v/>
      </c>
      <c r="E236" s="14" t="str">
        <f t="shared" si="33"/>
        <v/>
      </c>
      <c r="F236" s="14" t="str">
        <f t="shared" si="34"/>
        <v/>
      </c>
      <c r="G236" s="14" t="str">
        <f t="shared" si="35"/>
        <v/>
      </c>
      <c r="H236" s="14" t="str">
        <f t="shared" si="36"/>
        <v/>
      </c>
      <c r="I236" s="15" t="str">
        <f t="shared" si="37"/>
        <v/>
      </c>
      <c r="J236" s="15" t="str">
        <f t="shared" si="39"/>
        <v/>
      </c>
      <c r="K236" s="16" t="str">
        <f t="shared" si="38"/>
        <v/>
      </c>
      <c r="M236" t="str">
        <f>IFERROR(MATCH($C$5&amp;"|"&amp;RIGHT("000000"&amp;220,6),CalcRankKeyA,0),"")</f>
        <v/>
      </c>
      <c r="N236" t="str">
        <f>IFERROR(MATCH($C$5&amp;"|"&amp;RIGHT("000000"&amp;220,6),CalcRankKeyB,0),"")</f>
        <v/>
      </c>
    </row>
    <row r="237" spans="1:14" x14ac:dyDescent="0.2">
      <c r="A237" s="7">
        <v>221</v>
      </c>
      <c r="B237" s="8" t="str">
        <f t="shared" si="30"/>
        <v/>
      </c>
      <c r="C237" s="8" t="str">
        <f t="shared" si="31"/>
        <v/>
      </c>
      <c r="D237" s="8" t="str">
        <f t="shared" si="32"/>
        <v/>
      </c>
      <c r="E237" s="9" t="str">
        <f t="shared" si="33"/>
        <v/>
      </c>
      <c r="F237" s="9" t="str">
        <f t="shared" si="34"/>
        <v/>
      </c>
      <c r="G237" s="9" t="str">
        <f t="shared" si="35"/>
        <v/>
      </c>
      <c r="H237" s="9" t="str">
        <f t="shared" si="36"/>
        <v/>
      </c>
      <c r="I237" s="10" t="str">
        <f t="shared" si="37"/>
        <v/>
      </c>
      <c r="J237" s="10" t="str">
        <f t="shared" si="39"/>
        <v/>
      </c>
      <c r="K237" s="11" t="str">
        <f t="shared" si="38"/>
        <v/>
      </c>
      <c r="M237" t="str">
        <f>IFERROR(MATCH($C$5&amp;"|"&amp;RIGHT("000000"&amp;221,6),CalcRankKeyA,0),"")</f>
        <v/>
      </c>
      <c r="N237" t="str">
        <f>IFERROR(MATCH($C$5&amp;"|"&amp;RIGHT("000000"&amp;221,6),CalcRankKeyB,0),"")</f>
        <v/>
      </c>
    </row>
    <row r="238" spans="1:14" x14ac:dyDescent="0.2">
      <c r="A238" s="12">
        <v>222</v>
      </c>
      <c r="B238" s="13" t="str">
        <f t="shared" si="30"/>
        <v/>
      </c>
      <c r="C238" s="13" t="str">
        <f t="shared" si="31"/>
        <v/>
      </c>
      <c r="D238" s="13" t="str">
        <f t="shared" si="32"/>
        <v/>
      </c>
      <c r="E238" s="14" t="str">
        <f t="shared" si="33"/>
        <v/>
      </c>
      <c r="F238" s="14" t="str">
        <f t="shared" si="34"/>
        <v/>
      </c>
      <c r="G238" s="14" t="str">
        <f t="shared" si="35"/>
        <v/>
      </c>
      <c r="H238" s="14" t="str">
        <f t="shared" si="36"/>
        <v/>
      </c>
      <c r="I238" s="15" t="str">
        <f t="shared" si="37"/>
        <v/>
      </c>
      <c r="J238" s="15" t="str">
        <f t="shared" si="39"/>
        <v/>
      </c>
      <c r="K238" s="16" t="str">
        <f t="shared" si="38"/>
        <v/>
      </c>
      <c r="M238" t="str">
        <f>IFERROR(MATCH($C$5&amp;"|"&amp;RIGHT("000000"&amp;222,6),CalcRankKeyA,0),"")</f>
        <v/>
      </c>
      <c r="N238" t="str">
        <f>IFERROR(MATCH($C$5&amp;"|"&amp;RIGHT("000000"&amp;222,6),CalcRankKeyB,0),"")</f>
        <v/>
      </c>
    </row>
    <row r="239" spans="1:14" x14ac:dyDescent="0.2">
      <c r="A239" s="7">
        <v>223</v>
      </c>
      <c r="B239" s="8" t="str">
        <f t="shared" si="30"/>
        <v/>
      </c>
      <c r="C239" s="8" t="str">
        <f t="shared" si="31"/>
        <v/>
      </c>
      <c r="D239" s="8" t="str">
        <f t="shared" si="32"/>
        <v/>
      </c>
      <c r="E239" s="9" t="str">
        <f t="shared" si="33"/>
        <v/>
      </c>
      <c r="F239" s="9" t="str">
        <f t="shared" si="34"/>
        <v/>
      </c>
      <c r="G239" s="9" t="str">
        <f t="shared" si="35"/>
        <v/>
      </c>
      <c r="H239" s="9" t="str">
        <f t="shared" si="36"/>
        <v/>
      </c>
      <c r="I239" s="10" t="str">
        <f t="shared" si="37"/>
        <v/>
      </c>
      <c r="J239" s="10" t="str">
        <f t="shared" si="39"/>
        <v/>
      </c>
      <c r="K239" s="11" t="str">
        <f t="shared" si="38"/>
        <v/>
      </c>
      <c r="M239" t="str">
        <f>IFERROR(MATCH($C$5&amp;"|"&amp;RIGHT("000000"&amp;223,6),CalcRankKeyA,0),"")</f>
        <v/>
      </c>
      <c r="N239" t="str">
        <f>IFERROR(MATCH($C$5&amp;"|"&amp;RIGHT("000000"&amp;223,6),CalcRankKeyB,0),"")</f>
        <v/>
      </c>
    </row>
    <row r="240" spans="1:14" x14ac:dyDescent="0.2">
      <c r="A240" s="12">
        <v>224</v>
      </c>
      <c r="B240" s="13" t="str">
        <f t="shared" si="30"/>
        <v/>
      </c>
      <c r="C240" s="13" t="str">
        <f t="shared" si="31"/>
        <v/>
      </c>
      <c r="D240" s="13" t="str">
        <f t="shared" si="32"/>
        <v/>
      </c>
      <c r="E240" s="14" t="str">
        <f t="shared" si="33"/>
        <v/>
      </c>
      <c r="F240" s="14" t="str">
        <f t="shared" si="34"/>
        <v/>
      </c>
      <c r="G240" s="14" t="str">
        <f t="shared" si="35"/>
        <v/>
      </c>
      <c r="H240" s="14" t="str">
        <f t="shared" si="36"/>
        <v/>
      </c>
      <c r="I240" s="15" t="str">
        <f t="shared" si="37"/>
        <v/>
      </c>
      <c r="J240" s="15" t="str">
        <f t="shared" si="39"/>
        <v/>
      </c>
      <c r="K240" s="16" t="str">
        <f t="shared" si="38"/>
        <v/>
      </c>
      <c r="M240" t="str">
        <f>IFERROR(MATCH($C$5&amp;"|"&amp;RIGHT("000000"&amp;224,6),CalcRankKeyA,0),"")</f>
        <v/>
      </c>
      <c r="N240" t="str">
        <f>IFERROR(MATCH($C$5&amp;"|"&amp;RIGHT("000000"&amp;224,6),CalcRankKeyB,0),"")</f>
        <v/>
      </c>
    </row>
    <row r="241" spans="1:14" x14ac:dyDescent="0.2">
      <c r="A241" s="7">
        <v>225</v>
      </c>
      <c r="B241" s="8" t="str">
        <f t="shared" si="30"/>
        <v/>
      </c>
      <c r="C241" s="8" t="str">
        <f t="shared" si="31"/>
        <v/>
      </c>
      <c r="D241" s="8" t="str">
        <f t="shared" si="32"/>
        <v/>
      </c>
      <c r="E241" s="9" t="str">
        <f t="shared" si="33"/>
        <v/>
      </c>
      <c r="F241" s="9" t="str">
        <f t="shared" si="34"/>
        <v/>
      </c>
      <c r="G241" s="9" t="str">
        <f t="shared" si="35"/>
        <v/>
      </c>
      <c r="H241" s="9" t="str">
        <f t="shared" si="36"/>
        <v/>
      </c>
      <c r="I241" s="10" t="str">
        <f t="shared" si="37"/>
        <v/>
      </c>
      <c r="J241" s="10" t="str">
        <f t="shared" si="39"/>
        <v/>
      </c>
      <c r="K241" s="11" t="str">
        <f t="shared" si="38"/>
        <v/>
      </c>
      <c r="M241" t="str">
        <f>IFERROR(MATCH($C$5&amp;"|"&amp;RIGHT("000000"&amp;225,6),CalcRankKeyA,0),"")</f>
        <v/>
      </c>
      <c r="N241" t="str">
        <f>IFERROR(MATCH($C$5&amp;"|"&amp;RIGHT("000000"&amp;225,6),CalcRankKeyB,0),"")</f>
        <v/>
      </c>
    </row>
    <row r="242" spans="1:14" x14ac:dyDescent="0.2">
      <c r="A242" s="12">
        <v>226</v>
      </c>
      <c r="B242" s="13" t="str">
        <f t="shared" si="30"/>
        <v/>
      </c>
      <c r="C242" s="13" t="str">
        <f t="shared" si="31"/>
        <v/>
      </c>
      <c r="D242" s="13" t="str">
        <f t="shared" si="32"/>
        <v/>
      </c>
      <c r="E242" s="14" t="str">
        <f t="shared" si="33"/>
        <v/>
      </c>
      <c r="F242" s="14" t="str">
        <f t="shared" si="34"/>
        <v/>
      </c>
      <c r="G242" s="14" t="str">
        <f t="shared" si="35"/>
        <v/>
      </c>
      <c r="H242" s="14" t="str">
        <f t="shared" si="36"/>
        <v/>
      </c>
      <c r="I242" s="15" t="str">
        <f t="shared" si="37"/>
        <v/>
      </c>
      <c r="J242" s="15" t="str">
        <f t="shared" si="39"/>
        <v/>
      </c>
      <c r="K242" s="16" t="str">
        <f t="shared" si="38"/>
        <v/>
      </c>
      <c r="M242" t="str">
        <f>IFERROR(MATCH($C$5&amp;"|"&amp;RIGHT("000000"&amp;226,6),CalcRankKeyA,0),"")</f>
        <v/>
      </c>
      <c r="N242" t="str">
        <f>IFERROR(MATCH($C$5&amp;"|"&amp;RIGHT("000000"&amp;226,6),CalcRankKeyB,0),"")</f>
        <v/>
      </c>
    </row>
    <row r="243" spans="1:14" x14ac:dyDescent="0.2">
      <c r="A243" s="7">
        <v>227</v>
      </c>
      <c r="B243" s="8" t="str">
        <f t="shared" si="30"/>
        <v/>
      </c>
      <c r="C243" s="8" t="str">
        <f t="shared" si="31"/>
        <v/>
      </c>
      <c r="D243" s="8" t="str">
        <f t="shared" si="32"/>
        <v/>
      </c>
      <c r="E243" s="9" t="str">
        <f t="shared" si="33"/>
        <v/>
      </c>
      <c r="F243" s="9" t="str">
        <f t="shared" si="34"/>
        <v/>
      </c>
      <c r="G243" s="9" t="str">
        <f t="shared" si="35"/>
        <v/>
      </c>
      <c r="H243" s="9" t="str">
        <f t="shared" si="36"/>
        <v/>
      </c>
      <c r="I243" s="10" t="str">
        <f t="shared" si="37"/>
        <v/>
      </c>
      <c r="J243" s="10" t="str">
        <f t="shared" si="39"/>
        <v/>
      </c>
      <c r="K243" s="11" t="str">
        <f t="shared" si="38"/>
        <v/>
      </c>
      <c r="M243" t="str">
        <f>IFERROR(MATCH($C$5&amp;"|"&amp;RIGHT("000000"&amp;227,6),CalcRankKeyA,0),"")</f>
        <v/>
      </c>
      <c r="N243" t="str">
        <f>IFERROR(MATCH($C$5&amp;"|"&amp;RIGHT("000000"&amp;227,6),CalcRankKeyB,0),"")</f>
        <v/>
      </c>
    </row>
    <row r="244" spans="1:14" x14ac:dyDescent="0.2">
      <c r="A244" s="12">
        <v>228</v>
      </c>
      <c r="B244" s="13" t="str">
        <f t="shared" si="30"/>
        <v/>
      </c>
      <c r="C244" s="13" t="str">
        <f t="shared" si="31"/>
        <v/>
      </c>
      <c r="D244" s="13" t="str">
        <f t="shared" si="32"/>
        <v/>
      </c>
      <c r="E244" s="14" t="str">
        <f t="shared" si="33"/>
        <v/>
      </c>
      <c r="F244" s="14" t="str">
        <f t="shared" si="34"/>
        <v/>
      </c>
      <c r="G244" s="14" t="str">
        <f t="shared" si="35"/>
        <v/>
      </c>
      <c r="H244" s="14" t="str">
        <f t="shared" si="36"/>
        <v/>
      </c>
      <c r="I244" s="15" t="str">
        <f t="shared" si="37"/>
        <v/>
      </c>
      <c r="J244" s="15" t="str">
        <f t="shared" si="39"/>
        <v/>
      </c>
      <c r="K244" s="16" t="str">
        <f t="shared" si="38"/>
        <v/>
      </c>
      <c r="M244" t="str">
        <f>IFERROR(MATCH($C$5&amp;"|"&amp;RIGHT("000000"&amp;228,6),CalcRankKeyA,0),"")</f>
        <v/>
      </c>
      <c r="N244" t="str">
        <f>IFERROR(MATCH($C$5&amp;"|"&amp;RIGHT("000000"&amp;228,6),CalcRankKeyB,0),"")</f>
        <v/>
      </c>
    </row>
    <row r="245" spans="1:14" x14ac:dyDescent="0.2">
      <c r="A245" s="7">
        <v>229</v>
      </c>
      <c r="B245" s="8" t="str">
        <f t="shared" si="30"/>
        <v/>
      </c>
      <c r="C245" s="8" t="str">
        <f t="shared" si="31"/>
        <v/>
      </c>
      <c r="D245" s="8" t="str">
        <f t="shared" si="32"/>
        <v/>
      </c>
      <c r="E245" s="9" t="str">
        <f t="shared" si="33"/>
        <v/>
      </c>
      <c r="F245" s="9" t="str">
        <f t="shared" si="34"/>
        <v/>
      </c>
      <c r="G245" s="9" t="str">
        <f t="shared" si="35"/>
        <v/>
      </c>
      <c r="H245" s="9" t="str">
        <f t="shared" si="36"/>
        <v/>
      </c>
      <c r="I245" s="10" t="str">
        <f t="shared" si="37"/>
        <v/>
      </c>
      <c r="J245" s="10" t="str">
        <f t="shared" si="39"/>
        <v/>
      </c>
      <c r="K245" s="11" t="str">
        <f t="shared" si="38"/>
        <v/>
      </c>
      <c r="M245" t="str">
        <f>IFERROR(MATCH($C$5&amp;"|"&amp;RIGHT("000000"&amp;229,6),CalcRankKeyA,0),"")</f>
        <v/>
      </c>
      <c r="N245" t="str">
        <f>IFERROR(MATCH($C$5&amp;"|"&amp;RIGHT("000000"&amp;229,6),CalcRankKeyB,0),"")</f>
        <v/>
      </c>
    </row>
    <row r="246" spans="1:14" x14ac:dyDescent="0.2">
      <c r="A246" s="12">
        <v>230</v>
      </c>
      <c r="B246" s="13" t="str">
        <f t="shared" si="30"/>
        <v/>
      </c>
      <c r="C246" s="13" t="str">
        <f t="shared" si="31"/>
        <v/>
      </c>
      <c r="D246" s="13" t="str">
        <f t="shared" si="32"/>
        <v/>
      </c>
      <c r="E246" s="14" t="str">
        <f t="shared" si="33"/>
        <v/>
      </c>
      <c r="F246" s="14" t="str">
        <f t="shared" si="34"/>
        <v/>
      </c>
      <c r="G246" s="14" t="str">
        <f t="shared" si="35"/>
        <v/>
      </c>
      <c r="H246" s="14" t="str">
        <f t="shared" si="36"/>
        <v/>
      </c>
      <c r="I246" s="15" t="str">
        <f t="shared" si="37"/>
        <v/>
      </c>
      <c r="J246" s="15" t="str">
        <f t="shared" si="39"/>
        <v/>
      </c>
      <c r="K246" s="16" t="str">
        <f t="shared" si="38"/>
        <v/>
      </c>
      <c r="M246" t="str">
        <f>IFERROR(MATCH($C$5&amp;"|"&amp;RIGHT("000000"&amp;230,6),CalcRankKeyA,0),"")</f>
        <v/>
      </c>
      <c r="N246" t="str">
        <f>IFERROR(MATCH($C$5&amp;"|"&amp;RIGHT("000000"&amp;230,6),CalcRankKeyB,0),"")</f>
        <v/>
      </c>
    </row>
    <row r="247" spans="1:14" x14ac:dyDescent="0.2">
      <c r="A247" s="7">
        <v>231</v>
      </c>
      <c r="B247" s="8" t="str">
        <f t="shared" si="30"/>
        <v/>
      </c>
      <c r="C247" s="8" t="str">
        <f t="shared" si="31"/>
        <v/>
      </c>
      <c r="D247" s="8" t="str">
        <f t="shared" si="32"/>
        <v/>
      </c>
      <c r="E247" s="9" t="str">
        <f t="shared" si="33"/>
        <v/>
      </c>
      <c r="F247" s="9" t="str">
        <f t="shared" si="34"/>
        <v/>
      </c>
      <c r="G247" s="9" t="str">
        <f t="shared" si="35"/>
        <v/>
      </c>
      <c r="H247" s="9" t="str">
        <f t="shared" si="36"/>
        <v/>
      </c>
      <c r="I247" s="10" t="str">
        <f t="shared" si="37"/>
        <v/>
      </c>
      <c r="J247" s="10" t="str">
        <f t="shared" si="39"/>
        <v/>
      </c>
      <c r="K247" s="11" t="str">
        <f t="shared" si="38"/>
        <v/>
      </c>
      <c r="M247" t="str">
        <f>IFERROR(MATCH($C$5&amp;"|"&amp;RIGHT("000000"&amp;231,6),CalcRankKeyA,0),"")</f>
        <v/>
      </c>
      <c r="N247" t="str">
        <f>IFERROR(MATCH($C$5&amp;"|"&amp;RIGHT("000000"&amp;231,6),CalcRankKeyB,0),"")</f>
        <v/>
      </c>
    </row>
    <row r="248" spans="1:14" x14ac:dyDescent="0.2">
      <c r="A248" s="12">
        <v>232</v>
      </c>
      <c r="B248" s="13" t="str">
        <f t="shared" si="30"/>
        <v/>
      </c>
      <c r="C248" s="13" t="str">
        <f t="shared" si="31"/>
        <v/>
      </c>
      <c r="D248" s="13" t="str">
        <f t="shared" si="32"/>
        <v/>
      </c>
      <c r="E248" s="14" t="str">
        <f t="shared" si="33"/>
        <v/>
      </c>
      <c r="F248" s="14" t="str">
        <f t="shared" si="34"/>
        <v/>
      </c>
      <c r="G248" s="14" t="str">
        <f t="shared" si="35"/>
        <v/>
      </c>
      <c r="H248" s="14" t="str">
        <f t="shared" si="36"/>
        <v/>
      </c>
      <c r="I248" s="15" t="str">
        <f t="shared" si="37"/>
        <v/>
      </c>
      <c r="J248" s="15" t="str">
        <f t="shared" si="39"/>
        <v/>
      </c>
      <c r="K248" s="16" t="str">
        <f t="shared" si="38"/>
        <v/>
      </c>
      <c r="M248" t="str">
        <f>IFERROR(MATCH($C$5&amp;"|"&amp;RIGHT("000000"&amp;232,6),CalcRankKeyA,0),"")</f>
        <v/>
      </c>
      <c r="N248" t="str">
        <f>IFERROR(MATCH($C$5&amp;"|"&amp;RIGHT("000000"&amp;232,6),CalcRankKeyB,0),"")</f>
        <v/>
      </c>
    </row>
    <row r="249" spans="1:14" x14ac:dyDescent="0.2">
      <c r="A249" s="7">
        <v>233</v>
      </c>
      <c r="B249" s="8" t="str">
        <f t="shared" si="30"/>
        <v/>
      </c>
      <c r="C249" s="8" t="str">
        <f t="shared" si="31"/>
        <v/>
      </c>
      <c r="D249" s="8" t="str">
        <f t="shared" si="32"/>
        <v/>
      </c>
      <c r="E249" s="9" t="str">
        <f t="shared" si="33"/>
        <v/>
      </c>
      <c r="F249" s="9" t="str">
        <f t="shared" si="34"/>
        <v/>
      </c>
      <c r="G249" s="9" t="str">
        <f t="shared" si="35"/>
        <v/>
      </c>
      <c r="H249" s="9" t="str">
        <f t="shared" si="36"/>
        <v/>
      </c>
      <c r="I249" s="10" t="str">
        <f t="shared" si="37"/>
        <v/>
      </c>
      <c r="J249" s="10" t="str">
        <f t="shared" si="39"/>
        <v/>
      </c>
      <c r="K249" s="11" t="str">
        <f t="shared" si="38"/>
        <v/>
      </c>
      <c r="M249" t="str">
        <f>IFERROR(MATCH($C$5&amp;"|"&amp;RIGHT("000000"&amp;233,6),CalcRankKeyA,0),"")</f>
        <v/>
      </c>
      <c r="N249" t="str">
        <f>IFERROR(MATCH($C$5&amp;"|"&amp;RIGHT("000000"&amp;233,6),CalcRankKeyB,0),"")</f>
        <v/>
      </c>
    </row>
    <row r="250" spans="1:14" x14ac:dyDescent="0.2">
      <c r="A250" s="12">
        <v>234</v>
      </c>
      <c r="B250" s="13" t="str">
        <f t="shared" si="30"/>
        <v/>
      </c>
      <c r="C250" s="13" t="str">
        <f t="shared" si="31"/>
        <v/>
      </c>
      <c r="D250" s="13" t="str">
        <f t="shared" si="32"/>
        <v/>
      </c>
      <c r="E250" s="14" t="str">
        <f t="shared" si="33"/>
        <v/>
      </c>
      <c r="F250" s="14" t="str">
        <f t="shared" si="34"/>
        <v/>
      </c>
      <c r="G250" s="14" t="str">
        <f t="shared" si="35"/>
        <v/>
      </c>
      <c r="H250" s="14" t="str">
        <f t="shared" si="36"/>
        <v/>
      </c>
      <c r="I250" s="15" t="str">
        <f t="shared" si="37"/>
        <v/>
      </c>
      <c r="J250" s="15" t="str">
        <f t="shared" si="39"/>
        <v/>
      </c>
      <c r="K250" s="16" t="str">
        <f t="shared" si="38"/>
        <v/>
      </c>
      <c r="M250" t="str">
        <f>IFERROR(MATCH($C$5&amp;"|"&amp;RIGHT("000000"&amp;234,6),CalcRankKeyA,0),"")</f>
        <v/>
      </c>
      <c r="N250" t="str">
        <f>IFERROR(MATCH($C$5&amp;"|"&amp;RIGHT("000000"&amp;234,6),CalcRankKeyB,0),"")</f>
        <v/>
      </c>
    </row>
    <row r="251" spans="1:14" x14ac:dyDescent="0.2">
      <c r="A251" s="7">
        <v>235</v>
      </c>
      <c r="B251" s="8" t="str">
        <f t="shared" si="30"/>
        <v/>
      </c>
      <c r="C251" s="8" t="str">
        <f t="shared" si="31"/>
        <v/>
      </c>
      <c r="D251" s="8" t="str">
        <f t="shared" si="32"/>
        <v/>
      </c>
      <c r="E251" s="9" t="str">
        <f t="shared" si="33"/>
        <v/>
      </c>
      <c r="F251" s="9" t="str">
        <f t="shared" si="34"/>
        <v/>
      </c>
      <c r="G251" s="9" t="str">
        <f t="shared" si="35"/>
        <v/>
      </c>
      <c r="H251" s="9" t="str">
        <f t="shared" si="36"/>
        <v/>
      </c>
      <c r="I251" s="10" t="str">
        <f t="shared" si="37"/>
        <v/>
      </c>
      <c r="J251" s="10" t="str">
        <f t="shared" si="39"/>
        <v/>
      </c>
      <c r="K251" s="11" t="str">
        <f t="shared" si="38"/>
        <v/>
      </c>
      <c r="M251" t="str">
        <f>IFERROR(MATCH($C$5&amp;"|"&amp;RIGHT("000000"&amp;235,6),CalcRankKeyA,0),"")</f>
        <v/>
      </c>
      <c r="N251" t="str">
        <f>IFERROR(MATCH($C$5&amp;"|"&amp;RIGHT("000000"&amp;235,6),CalcRankKeyB,0),"")</f>
        <v/>
      </c>
    </row>
    <row r="252" spans="1:14" x14ac:dyDescent="0.2">
      <c r="A252" s="12">
        <v>236</v>
      </c>
      <c r="B252" s="13" t="str">
        <f t="shared" si="30"/>
        <v/>
      </c>
      <c r="C252" s="13" t="str">
        <f t="shared" si="31"/>
        <v/>
      </c>
      <c r="D252" s="13" t="str">
        <f t="shared" si="32"/>
        <v/>
      </c>
      <c r="E252" s="14" t="str">
        <f t="shared" si="33"/>
        <v/>
      </c>
      <c r="F252" s="14" t="str">
        <f t="shared" si="34"/>
        <v/>
      </c>
      <c r="G252" s="14" t="str">
        <f t="shared" si="35"/>
        <v/>
      </c>
      <c r="H252" s="14" t="str">
        <f t="shared" si="36"/>
        <v/>
      </c>
      <c r="I252" s="15" t="str">
        <f t="shared" si="37"/>
        <v/>
      </c>
      <c r="J252" s="15" t="str">
        <f t="shared" si="39"/>
        <v/>
      </c>
      <c r="K252" s="16" t="str">
        <f t="shared" si="38"/>
        <v/>
      </c>
      <c r="M252" t="str">
        <f>IFERROR(MATCH($C$5&amp;"|"&amp;RIGHT("000000"&amp;236,6),CalcRankKeyA,0),"")</f>
        <v/>
      </c>
      <c r="N252" t="str">
        <f>IFERROR(MATCH($C$5&amp;"|"&amp;RIGHT("000000"&amp;236,6),CalcRankKeyB,0),"")</f>
        <v/>
      </c>
    </row>
    <row r="253" spans="1:14" x14ac:dyDescent="0.2">
      <c r="A253" s="7">
        <v>237</v>
      </c>
      <c r="B253" s="8" t="str">
        <f t="shared" si="30"/>
        <v/>
      </c>
      <c r="C253" s="8" t="str">
        <f t="shared" si="31"/>
        <v/>
      </c>
      <c r="D253" s="8" t="str">
        <f t="shared" si="32"/>
        <v/>
      </c>
      <c r="E253" s="9" t="str">
        <f t="shared" si="33"/>
        <v/>
      </c>
      <c r="F253" s="9" t="str">
        <f t="shared" si="34"/>
        <v/>
      </c>
      <c r="G253" s="9" t="str">
        <f t="shared" si="35"/>
        <v/>
      </c>
      <c r="H253" s="9" t="str">
        <f t="shared" si="36"/>
        <v/>
      </c>
      <c r="I253" s="10" t="str">
        <f t="shared" si="37"/>
        <v/>
      </c>
      <c r="J253" s="10" t="str">
        <f t="shared" si="39"/>
        <v/>
      </c>
      <c r="K253" s="11" t="str">
        <f t="shared" si="38"/>
        <v/>
      </c>
      <c r="M253" t="str">
        <f>IFERROR(MATCH($C$5&amp;"|"&amp;RIGHT("000000"&amp;237,6),CalcRankKeyA,0),"")</f>
        <v/>
      </c>
      <c r="N253" t="str">
        <f>IFERROR(MATCH($C$5&amp;"|"&amp;RIGHT("000000"&amp;237,6),CalcRankKeyB,0),"")</f>
        <v/>
      </c>
    </row>
    <row r="254" spans="1:14" x14ac:dyDescent="0.2">
      <c r="A254" s="12">
        <v>238</v>
      </c>
      <c r="B254" s="13" t="str">
        <f t="shared" si="30"/>
        <v/>
      </c>
      <c r="C254" s="13" t="str">
        <f t="shared" si="31"/>
        <v/>
      </c>
      <c r="D254" s="13" t="str">
        <f t="shared" si="32"/>
        <v/>
      </c>
      <c r="E254" s="14" t="str">
        <f t="shared" si="33"/>
        <v/>
      </c>
      <c r="F254" s="14" t="str">
        <f t="shared" si="34"/>
        <v/>
      </c>
      <c r="G254" s="14" t="str">
        <f t="shared" si="35"/>
        <v/>
      </c>
      <c r="H254" s="14" t="str">
        <f t="shared" si="36"/>
        <v/>
      </c>
      <c r="I254" s="15" t="str">
        <f t="shared" si="37"/>
        <v/>
      </c>
      <c r="J254" s="15" t="str">
        <f t="shared" si="39"/>
        <v/>
      </c>
      <c r="K254" s="16" t="str">
        <f t="shared" si="38"/>
        <v/>
      </c>
      <c r="M254" t="str">
        <f>IFERROR(MATCH($C$5&amp;"|"&amp;RIGHT("000000"&amp;238,6),CalcRankKeyA,0),"")</f>
        <v/>
      </c>
      <c r="N254" t="str">
        <f>IFERROR(MATCH($C$5&amp;"|"&amp;RIGHT("000000"&amp;238,6),CalcRankKeyB,0),"")</f>
        <v/>
      </c>
    </row>
    <row r="255" spans="1:14" x14ac:dyDescent="0.2">
      <c r="A255" s="7">
        <v>239</v>
      </c>
      <c r="B255" s="8" t="str">
        <f t="shared" si="30"/>
        <v/>
      </c>
      <c r="C255" s="8" t="str">
        <f t="shared" si="31"/>
        <v/>
      </c>
      <c r="D255" s="8" t="str">
        <f t="shared" si="32"/>
        <v/>
      </c>
      <c r="E255" s="9" t="str">
        <f t="shared" si="33"/>
        <v/>
      </c>
      <c r="F255" s="9" t="str">
        <f t="shared" si="34"/>
        <v/>
      </c>
      <c r="G255" s="9" t="str">
        <f t="shared" si="35"/>
        <v/>
      </c>
      <c r="H255" s="9" t="str">
        <f t="shared" si="36"/>
        <v/>
      </c>
      <c r="I255" s="10" t="str">
        <f t="shared" si="37"/>
        <v/>
      </c>
      <c r="J255" s="10" t="str">
        <f t="shared" si="39"/>
        <v/>
      </c>
      <c r="K255" s="11" t="str">
        <f t="shared" si="38"/>
        <v/>
      </c>
      <c r="M255" t="str">
        <f>IFERROR(MATCH($C$5&amp;"|"&amp;RIGHT("000000"&amp;239,6),CalcRankKeyA,0),"")</f>
        <v/>
      </c>
      <c r="N255" t="str">
        <f>IFERROR(MATCH($C$5&amp;"|"&amp;RIGHT("000000"&amp;239,6),CalcRankKeyB,0),"")</f>
        <v/>
      </c>
    </row>
    <row r="256" spans="1:14" x14ac:dyDescent="0.2">
      <c r="A256" s="12">
        <v>240</v>
      </c>
      <c r="B256" s="13" t="str">
        <f t="shared" si="30"/>
        <v/>
      </c>
      <c r="C256" s="13" t="str">
        <f t="shared" si="31"/>
        <v/>
      </c>
      <c r="D256" s="13" t="str">
        <f t="shared" si="32"/>
        <v/>
      </c>
      <c r="E256" s="14" t="str">
        <f t="shared" si="33"/>
        <v/>
      </c>
      <c r="F256" s="14" t="str">
        <f t="shared" si="34"/>
        <v/>
      </c>
      <c r="G256" s="14" t="str">
        <f t="shared" si="35"/>
        <v/>
      </c>
      <c r="H256" s="14" t="str">
        <f t="shared" si="36"/>
        <v/>
      </c>
      <c r="I256" s="15" t="str">
        <f t="shared" si="37"/>
        <v/>
      </c>
      <c r="J256" s="15" t="str">
        <f t="shared" si="39"/>
        <v/>
      </c>
      <c r="K256" s="16" t="str">
        <f t="shared" si="38"/>
        <v/>
      </c>
      <c r="M256" t="str">
        <f>IFERROR(MATCH($C$5&amp;"|"&amp;RIGHT("000000"&amp;240,6),CalcRankKeyA,0),"")</f>
        <v/>
      </c>
      <c r="N256" t="str">
        <f>IFERROR(MATCH($C$5&amp;"|"&amp;RIGHT("000000"&amp;240,6),CalcRankKeyB,0),"")</f>
        <v/>
      </c>
    </row>
    <row r="257" spans="1:14" x14ac:dyDescent="0.2">
      <c r="A257" s="7">
        <v>241</v>
      </c>
      <c r="B257" s="8" t="str">
        <f t="shared" si="30"/>
        <v/>
      </c>
      <c r="C257" s="8" t="str">
        <f t="shared" si="31"/>
        <v/>
      </c>
      <c r="D257" s="8" t="str">
        <f t="shared" si="32"/>
        <v/>
      </c>
      <c r="E257" s="9" t="str">
        <f t="shared" si="33"/>
        <v/>
      </c>
      <c r="F257" s="9" t="str">
        <f t="shared" si="34"/>
        <v/>
      </c>
      <c r="G257" s="9" t="str">
        <f t="shared" si="35"/>
        <v/>
      </c>
      <c r="H257" s="9" t="str">
        <f t="shared" si="36"/>
        <v/>
      </c>
      <c r="I257" s="10" t="str">
        <f t="shared" si="37"/>
        <v/>
      </c>
      <c r="J257" s="10" t="str">
        <f t="shared" si="39"/>
        <v/>
      </c>
      <c r="K257" s="11" t="str">
        <f t="shared" si="38"/>
        <v/>
      </c>
      <c r="M257" t="str">
        <f>IFERROR(MATCH($C$5&amp;"|"&amp;RIGHT("000000"&amp;241,6),CalcRankKeyA,0),"")</f>
        <v/>
      </c>
      <c r="N257" t="str">
        <f>IFERROR(MATCH($C$5&amp;"|"&amp;RIGHT("000000"&amp;241,6),CalcRankKeyB,0),"")</f>
        <v/>
      </c>
    </row>
    <row r="258" spans="1:14" x14ac:dyDescent="0.2">
      <c r="A258" s="12">
        <v>242</v>
      </c>
      <c r="B258" s="13" t="str">
        <f t="shared" si="30"/>
        <v/>
      </c>
      <c r="C258" s="13" t="str">
        <f t="shared" si="31"/>
        <v/>
      </c>
      <c r="D258" s="13" t="str">
        <f t="shared" si="32"/>
        <v/>
      </c>
      <c r="E258" s="14" t="str">
        <f t="shared" si="33"/>
        <v/>
      </c>
      <c r="F258" s="14" t="str">
        <f t="shared" si="34"/>
        <v/>
      </c>
      <c r="G258" s="14" t="str">
        <f t="shared" si="35"/>
        <v/>
      </c>
      <c r="H258" s="14" t="str">
        <f t="shared" si="36"/>
        <v/>
      </c>
      <c r="I258" s="15" t="str">
        <f t="shared" si="37"/>
        <v/>
      </c>
      <c r="J258" s="15" t="str">
        <f t="shared" si="39"/>
        <v/>
      </c>
      <c r="K258" s="16" t="str">
        <f t="shared" si="38"/>
        <v/>
      </c>
      <c r="M258" t="str">
        <f>IFERROR(MATCH($C$5&amp;"|"&amp;RIGHT("000000"&amp;242,6),CalcRankKeyA,0),"")</f>
        <v/>
      </c>
      <c r="N258" t="str">
        <f>IFERROR(MATCH($C$5&amp;"|"&amp;RIGHT("000000"&amp;242,6),CalcRankKeyB,0),"")</f>
        <v/>
      </c>
    </row>
    <row r="259" spans="1:14" x14ac:dyDescent="0.2">
      <c r="A259" s="7">
        <v>243</v>
      </c>
      <c r="B259" s="8" t="str">
        <f t="shared" si="30"/>
        <v/>
      </c>
      <c r="C259" s="8" t="str">
        <f t="shared" si="31"/>
        <v/>
      </c>
      <c r="D259" s="8" t="str">
        <f t="shared" si="32"/>
        <v/>
      </c>
      <c r="E259" s="9" t="str">
        <f t="shared" si="33"/>
        <v/>
      </c>
      <c r="F259" s="9" t="str">
        <f t="shared" si="34"/>
        <v/>
      </c>
      <c r="G259" s="9" t="str">
        <f t="shared" si="35"/>
        <v/>
      </c>
      <c r="H259" s="9" t="str">
        <f t="shared" si="36"/>
        <v/>
      </c>
      <c r="I259" s="10" t="str">
        <f t="shared" si="37"/>
        <v/>
      </c>
      <c r="J259" s="10" t="str">
        <f t="shared" si="39"/>
        <v/>
      </c>
      <c r="K259" s="11" t="str">
        <f t="shared" si="38"/>
        <v/>
      </c>
      <c r="M259" t="str">
        <f>IFERROR(MATCH($C$5&amp;"|"&amp;RIGHT("000000"&amp;243,6),CalcRankKeyA,0),"")</f>
        <v/>
      </c>
      <c r="N259" t="str">
        <f>IFERROR(MATCH($C$5&amp;"|"&amp;RIGHT("000000"&amp;243,6),CalcRankKeyB,0),"")</f>
        <v/>
      </c>
    </row>
    <row r="260" spans="1:14" x14ac:dyDescent="0.2">
      <c r="A260" s="12">
        <v>244</v>
      </c>
      <c r="B260" s="13" t="str">
        <f t="shared" si="30"/>
        <v/>
      </c>
      <c r="C260" s="13" t="str">
        <f t="shared" si="31"/>
        <v/>
      </c>
      <c r="D260" s="13" t="str">
        <f t="shared" si="32"/>
        <v/>
      </c>
      <c r="E260" s="14" t="str">
        <f t="shared" si="33"/>
        <v/>
      </c>
      <c r="F260" s="14" t="str">
        <f t="shared" si="34"/>
        <v/>
      </c>
      <c r="G260" s="14" t="str">
        <f t="shared" si="35"/>
        <v/>
      </c>
      <c r="H260" s="14" t="str">
        <f t="shared" si="36"/>
        <v/>
      </c>
      <c r="I260" s="15" t="str">
        <f t="shared" si="37"/>
        <v/>
      </c>
      <c r="J260" s="15" t="str">
        <f t="shared" si="39"/>
        <v/>
      </c>
      <c r="K260" s="16" t="str">
        <f t="shared" si="38"/>
        <v/>
      </c>
      <c r="M260" t="str">
        <f>IFERROR(MATCH($C$5&amp;"|"&amp;RIGHT("000000"&amp;244,6),CalcRankKeyA,0),"")</f>
        <v/>
      </c>
      <c r="N260" t="str">
        <f>IFERROR(MATCH($C$5&amp;"|"&amp;RIGHT("000000"&amp;244,6),CalcRankKeyB,0),"")</f>
        <v/>
      </c>
    </row>
    <row r="261" spans="1:14" x14ac:dyDescent="0.2">
      <c r="A261" s="7">
        <v>245</v>
      </c>
      <c r="B261" s="8" t="str">
        <f t="shared" si="30"/>
        <v/>
      </c>
      <c r="C261" s="8" t="str">
        <f t="shared" si="31"/>
        <v/>
      </c>
      <c r="D261" s="8" t="str">
        <f t="shared" si="32"/>
        <v/>
      </c>
      <c r="E261" s="9" t="str">
        <f t="shared" si="33"/>
        <v/>
      </c>
      <c r="F261" s="9" t="str">
        <f t="shared" si="34"/>
        <v/>
      </c>
      <c r="G261" s="9" t="str">
        <f t="shared" si="35"/>
        <v/>
      </c>
      <c r="H261" s="9" t="str">
        <f t="shared" si="36"/>
        <v/>
      </c>
      <c r="I261" s="10" t="str">
        <f t="shared" si="37"/>
        <v/>
      </c>
      <c r="J261" s="10" t="str">
        <f t="shared" si="39"/>
        <v/>
      </c>
      <c r="K261" s="11" t="str">
        <f t="shared" si="38"/>
        <v/>
      </c>
      <c r="M261" t="str">
        <f>IFERROR(MATCH($C$5&amp;"|"&amp;RIGHT("000000"&amp;245,6),CalcRankKeyA,0),"")</f>
        <v/>
      </c>
      <c r="N261" t="str">
        <f>IFERROR(MATCH($C$5&amp;"|"&amp;RIGHT("000000"&amp;245,6),CalcRankKeyB,0),"")</f>
        <v/>
      </c>
    </row>
    <row r="262" spans="1:14" x14ac:dyDescent="0.2">
      <c r="A262" s="12">
        <v>246</v>
      </c>
      <c r="B262" s="13" t="str">
        <f t="shared" si="30"/>
        <v/>
      </c>
      <c r="C262" s="13" t="str">
        <f t="shared" si="31"/>
        <v/>
      </c>
      <c r="D262" s="13" t="str">
        <f t="shared" si="32"/>
        <v/>
      </c>
      <c r="E262" s="14" t="str">
        <f t="shared" si="33"/>
        <v/>
      </c>
      <c r="F262" s="14" t="str">
        <f t="shared" si="34"/>
        <v/>
      </c>
      <c r="G262" s="14" t="str">
        <f t="shared" si="35"/>
        <v/>
      </c>
      <c r="H262" s="14" t="str">
        <f t="shared" si="36"/>
        <v/>
      </c>
      <c r="I262" s="15" t="str">
        <f t="shared" si="37"/>
        <v/>
      </c>
      <c r="J262" s="15" t="str">
        <f t="shared" si="39"/>
        <v/>
      </c>
      <c r="K262" s="16" t="str">
        <f t="shared" si="38"/>
        <v/>
      </c>
      <c r="M262" t="str">
        <f>IFERROR(MATCH($C$5&amp;"|"&amp;RIGHT("000000"&amp;246,6),CalcRankKeyA,0),"")</f>
        <v/>
      </c>
      <c r="N262" t="str">
        <f>IFERROR(MATCH($C$5&amp;"|"&amp;RIGHT("000000"&amp;246,6),CalcRankKeyB,0),"")</f>
        <v/>
      </c>
    </row>
    <row r="263" spans="1:14" x14ac:dyDescent="0.2">
      <c r="A263" s="7">
        <v>247</v>
      </c>
      <c r="B263" s="8" t="str">
        <f t="shared" si="30"/>
        <v/>
      </c>
      <c r="C263" s="8" t="str">
        <f t="shared" si="31"/>
        <v/>
      </c>
      <c r="D263" s="8" t="str">
        <f t="shared" si="32"/>
        <v/>
      </c>
      <c r="E263" s="9" t="str">
        <f t="shared" si="33"/>
        <v/>
      </c>
      <c r="F263" s="9" t="str">
        <f t="shared" si="34"/>
        <v/>
      </c>
      <c r="G263" s="9" t="str">
        <f t="shared" si="35"/>
        <v/>
      </c>
      <c r="H263" s="9" t="str">
        <f t="shared" si="36"/>
        <v/>
      </c>
      <c r="I263" s="10" t="str">
        <f t="shared" si="37"/>
        <v/>
      </c>
      <c r="J263" s="10" t="str">
        <f t="shared" si="39"/>
        <v/>
      </c>
      <c r="K263" s="11" t="str">
        <f t="shared" si="38"/>
        <v/>
      </c>
      <c r="M263" t="str">
        <f>IFERROR(MATCH($C$5&amp;"|"&amp;RIGHT("000000"&amp;247,6),CalcRankKeyA,0),"")</f>
        <v/>
      </c>
      <c r="N263" t="str">
        <f>IFERROR(MATCH($C$5&amp;"|"&amp;RIGHT("000000"&amp;247,6),CalcRankKeyB,0),"")</f>
        <v/>
      </c>
    </row>
    <row r="264" spans="1:14" x14ac:dyDescent="0.2">
      <c r="A264" s="12">
        <v>248</v>
      </c>
      <c r="B264" s="13" t="str">
        <f t="shared" si="30"/>
        <v/>
      </c>
      <c r="C264" s="13" t="str">
        <f t="shared" si="31"/>
        <v/>
      </c>
      <c r="D264" s="13" t="str">
        <f t="shared" si="32"/>
        <v/>
      </c>
      <c r="E264" s="14" t="str">
        <f t="shared" si="33"/>
        <v/>
      </c>
      <c r="F264" s="14" t="str">
        <f t="shared" si="34"/>
        <v/>
      </c>
      <c r="G264" s="14" t="str">
        <f t="shared" si="35"/>
        <v/>
      </c>
      <c r="H264" s="14" t="str">
        <f t="shared" si="36"/>
        <v/>
      </c>
      <c r="I264" s="15" t="str">
        <f t="shared" si="37"/>
        <v/>
      </c>
      <c r="J264" s="15" t="str">
        <f t="shared" si="39"/>
        <v/>
      </c>
      <c r="K264" s="16" t="str">
        <f t="shared" si="38"/>
        <v/>
      </c>
      <c r="M264" t="str">
        <f>IFERROR(MATCH($C$5&amp;"|"&amp;RIGHT("000000"&amp;248,6),CalcRankKeyA,0),"")</f>
        <v/>
      </c>
      <c r="N264" t="str">
        <f>IFERROR(MATCH($C$5&amp;"|"&amp;RIGHT("000000"&amp;248,6),CalcRankKeyB,0),"")</f>
        <v/>
      </c>
    </row>
    <row r="265" spans="1:14" x14ac:dyDescent="0.2">
      <c r="A265" s="7">
        <v>249</v>
      </c>
      <c r="B265" s="8" t="str">
        <f t="shared" si="30"/>
        <v/>
      </c>
      <c r="C265" s="8" t="str">
        <f t="shared" si="31"/>
        <v/>
      </c>
      <c r="D265" s="8" t="str">
        <f t="shared" si="32"/>
        <v/>
      </c>
      <c r="E265" s="9" t="str">
        <f t="shared" si="33"/>
        <v/>
      </c>
      <c r="F265" s="9" t="str">
        <f t="shared" si="34"/>
        <v/>
      </c>
      <c r="G265" s="9" t="str">
        <f t="shared" si="35"/>
        <v/>
      </c>
      <c r="H265" s="9" t="str">
        <f t="shared" si="36"/>
        <v/>
      </c>
      <c r="I265" s="10" t="str">
        <f t="shared" si="37"/>
        <v/>
      </c>
      <c r="J265" s="10" t="str">
        <f t="shared" si="39"/>
        <v/>
      </c>
      <c r="K265" s="11" t="str">
        <f t="shared" si="38"/>
        <v/>
      </c>
      <c r="M265" t="str">
        <f>IFERROR(MATCH($C$5&amp;"|"&amp;RIGHT("000000"&amp;249,6),CalcRankKeyA,0),"")</f>
        <v/>
      </c>
      <c r="N265" t="str">
        <f>IFERROR(MATCH($C$5&amp;"|"&amp;RIGHT("000000"&amp;249,6),CalcRankKeyB,0),"")</f>
        <v/>
      </c>
    </row>
    <row r="266" spans="1:14" x14ac:dyDescent="0.2">
      <c r="A266" s="12">
        <v>250</v>
      </c>
      <c r="B266" s="13" t="str">
        <f t="shared" si="30"/>
        <v/>
      </c>
      <c r="C266" s="13" t="str">
        <f t="shared" si="31"/>
        <v/>
      </c>
      <c r="D266" s="13" t="str">
        <f t="shared" si="32"/>
        <v/>
      </c>
      <c r="E266" s="14" t="str">
        <f t="shared" si="33"/>
        <v/>
      </c>
      <c r="F266" s="14" t="str">
        <f t="shared" si="34"/>
        <v/>
      </c>
      <c r="G266" s="14" t="str">
        <f t="shared" si="35"/>
        <v/>
      </c>
      <c r="H266" s="14" t="str">
        <f t="shared" si="36"/>
        <v/>
      </c>
      <c r="I266" s="15" t="str">
        <f t="shared" si="37"/>
        <v/>
      </c>
      <c r="J266" s="15" t="str">
        <f t="shared" si="39"/>
        <v/>
      </c>
      <c r="K266" s="16" t="str">
        <f t="shared" si="38"/>
        <v/>
      </c>
      <c r="M266" t="str">
        <f>IFERROR(MATCH($C$5&amp;"|"&amp;RIGHT("000000"&amp;250,6),CalcRankKeyA,0),"")</f>
        <v/>
      </c>
      <c r="N266" t="str">
        <f>IFERROR(MATCH($C$5&amp;"|"&amp;RIGHT("000000"&amp;250,6),CalcRankKeyB,0),"")</f>
        <v/>
      </c>
    </row>
    <row r="267" spans="1:14" x14ac:dyDescent="0.2">
      <c r="A267" s="7">
        <v>251</v>
      </c>
      <c r="B267" s="8" t="str">
        <f t="shared" si="30"/>
        <v/>
      </c>
      <c r="C267" s="8" t="str">
        <f t="shared" si="31"/>
        <v/>
      </c>
      <c r="D267" s="8" t="str">
        <f t="shared" si="32"/>
        <v/>
      </c>
      <c r="E267" s="9" t="str">
        <f t="shared" si="33"/>
        <v/>
      </c>
      <c r="F267" s="9" t="str">
        <f t="shared" si="34"/>
        <v/>
      </c>
      <c r="G267" s="9" t="str">
        <f t="shared" si="35"/>
        <v/>
      </c>
      <c r="H267" s="9" t="str">
        <f t="shared" si="36"/>
        <v/>
      </c>
      <c r="I267" s="10" t="str">
        <f t="shared" si="37"/>
        <v/>
      </c>
      <c r="J267" s="10" t="str">
        <f t="shared" si="39"/>
        <v/>
      </c>
      <c r="K267" s="11" t="str">
        <f t="shared" si="38"/>
        <v/>
      </c>
      <c r="M267" t="str">
        <f>IFERROR(MATCH($C$5&amp;"|"&amp;RIGHT("000000"&amp;251,6),CalcRankKeyA,0),"")</f>
        <v/>
      </c>
      <c r="N267" t="str">
        <f>IFERROR(MATCH($C$5&amp;"|"&amp;RIGHT("000000"&amp;251,6),CalcRankKeyB,0),"")</f>
        <v/>
      </c>
    </row>
    <row r="268" spans="1:14" x14ac:dyDescent="0.2">
      <c r="A268" s="12">
        <v>252</v>
      </c>
      <c r="B268" s="13" t="str">
        <f t="shared" si="30"/>
        <v/>
      </c>
      <c r="C268" s="13" t="str">
        <f t="shared" si="31"/>
        <v/>
      </c>
      <c r="D268" s="13" t="str">
        <f t="shared" si="32"/>
        <v/>
      </c>
      <c r="E268" s="14" t="str">
        <f t="shared" si="33"/>
        <v/>
      </c>
      <c r="F268" s="14" t="str">
        <f t="shared" si="34"/>
        <v/>
      </c>
      <c r="G268" s="14" t="str">
        <f t="shared" si="35"/>
        <v/>
      </c>
      <c r="H268" s="14" t="str">
        <f t="shared" si="36"/>
        <v/>
      </c>
      <c r="I268" s="15" t="str">
        <f t="shared" si="37"/>
        <v/>
      </c>
      <c r="J268" s="15" t="str">
        <f t="shared" si="39"/>
        <v/>
      </c>
      <c r="K268" s="16" t="str">
        <f t="shared" si="38"/>
        <v/>
      </c>
      <c r="M268" t="str">
        <f>IFERROR(MATCH($C$5&amp;"|"&amp;RIGHT("000000"&amp;252,6),CalcRankKeyA,0),"")</f>
        <v/>
      </c>
      <c r="N268" t="str">
        <f>IFERROR(MATCH($C$5&amp;"|"&amp;RIGHT("000000"&amp;252,6),CalcRankKeyB,0),"")</f>
        <v/>
      </c>
    </row>
    <row r="269" spans="1:14" x14ac:dyDescent="0.2">
      <c r="A269" s="7">
        <v>253</v>
      </c>
      <c r="B269" s="8" t="str">
        <f t="shared" si="30"/>
        <v/>
      </c>
      <c r="C269" s="8" t="str">
        <f t="shared" si="31"/>
        <v/>
      </c>
      <c r="D269" s="8" t="str">
        <f t="shared" si="32"/>
        <v/>
      </c>
      <c r="E269" s="9" t="str">
        <f t="shared" si="33"/>
        <v/>
      </c>
      <c r="F269" s="9" t="str">
        <f t="shared" si="34"/>
        <v/>
      </c>
      <c r="G269" s="9" t="str">
        <f t="shared" si="35"/>
        <v/>
      </c>
      <c r="H269" s="9" t="str">
        <f t="shared" si="36"/>
        <v/>
      </c>
      <c r="I269" s="10" t="str">
        <f t="shared" si="37"/>
        <v/>
      </c>
      <c r="J269" s="10" t="str">
        <f t="shared" si="39"/>
        <v/>
      </c>
      <c r="K269" s="11" t="str">
        <f t="shared" si="38"/>
        <v/>
      </c>
      <c r="M269" t="str">
        <f>IFERROR(MATCH($C$5&amp;"|"&amp;RIGHT("000000"&amp;253,6),CalcRankKeyA,0),"")</f>
        <v/>
      </c>
      <c r="N269" t="str">
        <f>IFERROR(MATCH($C$5&amp;"|"&amp;RIGHT("000000"&amp;253,6),CalcRankKeyB,0),"")</f>
        <v/>
      </c>
    </row>
    <row r="270" spans="1:14" x14ac:dyDescent="0.2">
      <c r="A270" s="12">
        <v>254</v>
      </c>
      <c r="B270" s="13" t="str">
        <f t="shared" si="30"/>
        <v/>
      </c>
      <c r="C270" s="13" t="str">
        <f t="shared" si="31"/>
        <v/>
      </c>
      <c r="D270" s="13" t="str">
        <f t="shared" si="32"/>
        <v/>
      </c>
      <c r="E270" s="14" t="str">
        <f t="shared" si="33"/>
        <v/>
      </c>
      <c r="F270" s="14" t="str">
        <f t="shared" si="34"/>
        <v/>
      </c>
      <c r="G270" s="14" t="str">
        <f t="shared" si="35"/>
        <v/>
      </c>
      <c r="H270" s="14" t="str">
        <f t="shared" si="36"/>
        <v/>
      </c>
      <c r="I270" s="15" t="str">
        <f t="shared" si="37"/>
        <v/>
      </c>
      <c r="J270" s="15" t="str">
        <f t="shared" si="39"/>
        <v/>
      </c>
      <c r="K270" s="16" t="str">
        <f t="shared" si="38"/>
        <v/>
      </c>
      <c r="M270" t="str">
        <f>IFERROR(MATCH($C$5&amp;"|"&amp;RIGHT("000000"&amp;254,6),CalcRankKeyA,0),"")</f>
        <v/>
      </c>
      <c r="N270" t="str">
        <f>IFERROR(MATCH($C$5&amp;"|"&amp;RIGHT("000000"&amp;254,6),CalcRankKeyB,0),"")</f>
        <v/>
      </c>
    </row>
    <row r="271" spans="1:14" x14ac:dyDescent="0.2">
      <c r="A271" s="7">
        <v>255</v>
      </c>
      <c r="B271" s="8" t="str">
        <f t="shared" si="30"/>
        <v/>
      </c>
      <c r="C271" s="8" t="str">
        <f t="shared" si="31"/>
        <v/>
      </c>
      <c r="D271" s="8" t="str">
        <f t="shared" si="32"/>
        <v/>
      </c>
      <c r="E271" s="9" t="str">
        <f t="shared" si="33"/>
        <v/>
      </c>
      <c r="F271" s="9" t="str">
        <f t="shared" si="34"/>
        <v/>
      </c>
      <c r="G271" s="9" t="str">
        <f t="shared" si="35"/>
        <v/>
      </c>
      <c r="H271" s="9" t="str">
        <f t="shared" si="36"/>
        <v/>
      </c>
      <c r="I271" s="10" t="str">
        <f t="shared" si="37"/>
        <v/>
      </c>
      <c r="J271" s="10" t="str">
        <f t="shared" si="39"/>
        <v/>
      </c>
      <c r="K271" s="11" t="str">
        <f t="shared" si="38"/>
        <v/>
      </c>
      <c r="M271" t="str">
        <f>IFERROR(MATCH($C$5&amp;"|"&amp;RIGHT("000000"&amp;255,6),CalcRankKeyA,0),"")</f>
        <v/>
      </c>
      <c r="N271" t="str">
        <f>IFERROR(MATCH($C$5&amp;"|"&amp;RIGHT("000000"&amp;255,6),CalcRankKeyB,0),"")</f>
        <v/>
      </c>
    </row>
    <row r="272" spans="1:14" x14ac:dyDescent="0.2">
      <c r="A272" s="12">
        <v>256</v>
      </c>
      <c r="B272" s="13" t="str">
        <f t="shared" si="30"/>
        <v/>
      </c>
      <c r="C272" s="13" t="str">
        <f t="shared" si="31"/>
        <v/>
      </c>
      <c r="D272" s="13" t="str">
        <f t="shared" si="32"/>
        <v/>
      </c>
      <c r="E272" s="14" t="str">
        <f t="shared" si="33"/>
        <v/>
      </c>
      <c r="F272" s="14" t="str">
        <f t="shared" si="34"/>
        <v/>
      </c>
      <c r="G272" s="14" t="str">
        <f t="shared" si="35"/>
        <v/>
      </c>
      <c r="H272" s="14" t="str">
        <f t="shared" si="36"/>
        <v/>
      </c>
      <c r="I272" s="15" t="str">
        <f t="shared" si="37"/>
        <v/>
      </c>
      <c r="J272" s="15" t="str">
        <f t="shared" si="39"/>
        <v/>
      </c>
      <c r="K272" s="16" t="str">
        <f t="shared" si="38"/>
        <v/>
      </c>
      <c r="M272" t="str">
        <f>IFERROR(MATCH($C$5&amp;"|"&amp;RIGHT("000000"&amp;256,6),CalcRankKeyA,0),"")</f>
        <v/>
      </c>
      <c r="N272" t="str">
        <f>IFERROR(MATCH($C$5&amp;"|"&amp;RIGHT("000000"&amp;256,6),CalcRankKeyB,0),"")</f>
        <v/>
      </c>
    </row>
    <row r="273" spans="1:14" x14ac:dyDescent="0.2">
      <c r="A273" s="7">
        <v>257</v>
      </c>
      <c r="B273" s="8" t="str">
        <f t="shared" ref="B273:B336" si="40">IF(AND($M273="",$N273=""),"",IF($M273&lt;&gt;"",INDEX(CalcDateA,$M273),INDEX(CalcDateB,$N273)))</f>
        <v/>
      </c>
      <c r="C273" s="8" t="str">
        <f t="shared" ref="C273:C336" si="41">IF($M273&lt;&gt;"","خرید سبد",IF($N273&lt;&gt;"",IF(N(INDEX(CalcDepB,$N273))&gt;0,"دریافت بانکی","پرداخت بانکی"),""))</f>
        <v/>
      </c>
      <c r="D273" s="8" t="str">
        <f t="shared" ref="D273:D336" si="42">IF($M273&lt;&gt;"",IF(INDEX(CalcDocA,$M273)="","—",INDEX(CalcDocA,$M273)),IF($N273&lt;&gt;"",INDEX(CalcBankB,$N273),""))</f>
        <v/>
      </c>
      <c r="E273" s="9" t="str">
        <f t="shared" ref="E273:E336" si="43">IF($N273&lt;&gt;"",IF(INDEX(CalcDepB,$N273)=0,"",INDEX(CalcDepB,$N273)),"")</f>
        <v/>
      </c>
      <c r="F273" s="9" t="str">
        <f t="shared" ref="F273:F336" si="44">IF($M273&lt;&gt;"",IF(INDEX(CalcQtyA,$M273)=0,"",INDEX(CalcQtyA,$M273)),"")</f>
        <v/>
      </c>
      <c r="G273" s="9" t="str">
        <f t="shared" ref="G273:G336" si="45">IF($M273&lt;&gt;"",IF(INDEX(CalcPriceA,$M273)=0,"",INDEX(CalcPriceA,$M273)),"")</f>
        <v/>
      </c>
      <c r="H273" s="9" t="str">
        <f t="shared" ref="H273:H336" si="46">IF($N273&lt;&gt;"",IF(INDEX(CalcWitB,$N273)=0,"",INDEX(CalcWitB,$N273)),"")</f>
        <v/>
      </c>
      <c r="I273" s="10" t="str">
        <f t="shared" ref="I273:I336" si="47">IF($M273&lt;&gt;"",INDEX(CalcAmtA,$M273),"")</f>
        <v/>
      </c>
      <c r="J273" s="10" t="str">
        <f t="shared" si="39"/>
        <v/>
      </c>
      <c r="K273" s="11" t="str">
        <f t="shared" ref="K273:K336" si="48">IF($M273&lt;&gt;"",IF(INDEX(CalcNoteA,$M273)="","—",INDEX(CalcNoteA,$M273)),IF($N273&lt;&gt;"",IF(INDEX(CalcNoteB,$N273)="","—",INDEX(CalcNoteB,$N273)),""))</f>
        <v/>
      </c>
      <c r="M273" t="str">
        <f>IFERROR(MATCH($C$5&amp;"|"&amp;RIGHT("000000"&amp;257,6),CalcRankKeyA,0),"")</f>
        <v/>
      </c>
      <c r="N273" t="str">
        <f>IFERROR(MATCH($C$5&amp;"|"&amp;RIGHT("000000"&amp;257,6),CalcRankKeyB,0),"")</f>
        <v/>
      </c>
    </row>
    <row r="274" spans="1:14" x14ac:dyDescent="0.2">
      <c r="A274" s="12">
        <v>258</v>
      </c>
      <c r="B274" s="13" t="str">
        <f t="shared" si="40"/>
        <v/>
      </c>
      <c r="C274" s="13" t="str">
        <f t="shared" si="41"/>
        <v/>
      </c>
      <c r="D274" s="13" t="str">
        <f t="shared" si="42"/>
        <v/>
      </c>
      <c r="E274" s="14" t="str">
        <f t="shared" si="43"/>
        <v/>
      </c>
      <c r="F274" s="14" t="str">
        <f t="shared" si="44"/>
        <v/>
      </c>
      <c r="G274" s="14" t="str">
        <f t="shared" si="45"/>
        <v/>
      </c>
      <c r="H274" s="14" t="str">
        <f t="shared" si="46"/>
        <v/>
      </c>
      <c r="I274" s="15" t="str">
        <f t="shared" si="47"/>
        <v/>
      </c>
      <c r="J274" s="15" t="str">
        <f t="shared" ref="J274:J337" si="49">IF($B274="","",IF($J273="",$C$8,$J273)+IF($I274="",0,$I274)+IF($E274="",0,$E274)-IF($H274="",0,$H274))</f>
        <v/>
      </c>
      <c r="K274" s="16" t="str">
        <f t="shared" si="48"/>
        <v/>
      </c>
      <c r="M274" t="str">
        <f>IFERROR(MATCH($C$5&amp;"|"&amp;RIGHT("000000"&amp;258,6),CalcRankKeyA,0),"")</f>
        <v/>
      </c>
      <c r="N274" t="str">
        <f>IFERROR(MATCH($C$5&amp;"|"&amp;RIGHT("000000"&amp;258,6),CalcRankKeyB,0),"")</f>
        <v/>
      </c>
    </row>
    <row r="275" spans="1:14" x14ac:dyDescent="0.2">
      <c r="A275" s="7">
        <v>259</v>
      </c>
      <c r="B275" s="8" t="str">
        <f t="shared" si="40"/>
        <v/>
      </c>
      <c r="C275" s="8" t="str">
        <f t="shared" si="41"/>
        <v/>
      </c>
      <c r="D275" s="8" t="str">
        <f t="shared" si="42"/>
        <v/>
      </c>
      <c r="E275" s="9" t="str">
        <f t="shared" si="43"/>
        <v/>
      </c>
      <c r="F275" s="9" t="str">
        <f t="shared" si="44"/>
        <v/>
      </c>
      <c r="G275" s="9" t="str">
        <f t="shared" si="45"/>
        <v/>
      </c>
      <c r="H275" s="9" t="str">
        <f t="shared" si="46"/>
        <v/>
      </c>
      <c r="I275" s="10" t="str">
        <f t="shared" si="47"/>
        <v/>
      </c>
      <c r="J275" s="10" t="str">
        <f t="shared" si="49"/>
        <v/>
      </c>
      <c r="K275" s="11" t="str">
        <f t="shared" si="48"/>
        <v/>
      </c>
      <c r="M275" t="str">
        <f>IFERROR(MATCH($C$5&amp;"|"&amp;RIGHT("000000"&amp;259,6),CalcRankKeyA,0),"")</f>
        <v/>
      </c>
      <c r="N275" t="str">
        <f>IFERROR(MATCH($C$5&amp;"|"&amp;RIGHT("000000"&amp;259,6),CalcRankKeyB,0),"")</f>
        <v/>
      </c>
    </row>
    <row r="276" spans="1:14" x14ac:dyDescent="0.2">
      <c r="A276" s="12">
        <v>260</v>
      </c>
      <c r="B276" s="13" t="str">
        <f t="shared" si="40"/>
        <v/>
      </c>
      <c r="C276" s="13" t="str">
        <f t="shared" si="41"/>
        <v/>
      </c>
      <c r="D276" s="13" t="str">
        <f t="shared" si="42"/>
        <v/>
      </c>
      <c r="E276" s="14" t="str">
        <f t="shared" si="43"/>
        <v/>
      </c>
      <c r="F276" s="14" t="str">
        <f t="shared" si="44"/>
        <v/>
      </c>
      <c r="G276" s="14" t="str">
        <f t="shared" si="45"/>
        <v/>
      </c>
      <c r="H276" s="14" t="str">
        <f t="shared" si="46"/>
        <v/>
      </c>
      <c r="I276" s="15" t="str">
        <f t="shared" si="47"/>
        <v/>
      </c>
      <c r="J276" s="15" t="str">
        <f t="shared" si="49"/>
        <v/>
      </c>
      <c r="K276" s="16" t="str">
        <f t="shared" si="48"/>
        <v/>
      </c>
      <c r="M276" t="str">
        <f>IFERROR(MATCH($C$5&amp;"|"&amp;RIGHT("000000"&amp;260,6),CalcRankKeyA,0),"")</f>
        <v/>
      </c>
      <c r="N276" t="str">
        <f>IFERROR(MATCH($C$5&amp;"|"&amp;RIGHT("000000"&amp;260,6),CalcRankKeyB,0),"")</f>
        <v/>
      </c>
    </row>
    <row r="277" spans="1:14" x14ac:dyDescent="0.2">
      <c r="A277" s="7">
        <v>261</v>
      </c>
      <c r="B277" s="8" t="str">
        <f t="shared" si="40"/>
        <v/>
      </c>
      <c r="C277" s="8" t="str">
        <f t="shared" si="41"/>
        <v/>
      </c>
      <c r="D277" s="8" t="str">
        <f t="shared" si="42"/>
        <v/>
      </c>
      <c r="E277" s="9" t="str">
        <f t="shared" si="43"/>
        <v/>
      </c>
      <c r="F277" s="9" t="str">
        <f t="shared" si="44"/>
        <v/>
      </c>
      <c r="G277" s="9" t="str">
        <f t="shared" si="45"/>
        <v/>
      </c>
      <c r="H277" s="9" t="str">
        <f t="shared" si="46"/>
        <v/>
      </c>
      <c r="I277" s="10" t="str">
        <f t="shared" si="47"/>
        <v/>
      </c>
      <c r="J277" s="10" t="str">
        <f t="shared" si="49"/>
        <v/>
      </c>
      <c r="K277" s="11" t="str">
        <f t="shared" si="48"/>
        <v/>
      </c>
      <c r="M277" t="str">
        <f>IFERROR(MATCH($C$5&amp;"|"&amp;RIGHT("000000"&amp;261,6),CalcRankKeyA,0),"")</f>
        <v/>
      </c>
      <c r="N277" t="str">
        <f>IFERROR(MATCH($C$5&amp;"|"&amp;RIGHT("000000"&amp;261,6),CalcRankKeyB,0),"")</f>
        <v/>
      </c>
    </row>
    <row r="278" spans="1:14" x14ac:dyDescent="0.2">
      <c r="A278" s="12">
        <v>262</v>
      </c>
      <c r="B278" s="13" t="str">
        <f t="shared" si="40"/>
        <v/>
      </c>
      <c r="C278" s="13" t="str">
        <f t="shared" si="41"/>
        <v/>
      </c>
      <c r="D278" s="13" t="str">
        <f t="shared" si="42"/>
        <v/>
      </c>
      <c r="E278" s="14" t="str">
        <f t="shared" si="43"/>
        <v/>
      </c>
      <c r="F278" s="14" t="str">
        <f t="shared" si="44"/>
        <v/>
      </c>
      <c r="G278" s="14" t="str">
        <f t="shared" si="45"/>
        <v/>
      </c>
      <c r="H278" s="14" t="str">
        <f t="shared" si="46"/>
        <v/>
      </c>
      <c r="I278" s="15" t="str">
        <f t="shared" si="47"/>
        <v/>
      </c>
      <c r="J278" s="15" t="str">
        <f t="shared" si="49"/>
        <v/>
      </c>
      <c r="K278" s="16" t="str">
        <f t="shared" si="48"/>
        <v/>
      </c>
      <c r="M278" t="str">
        <f>IFERROR(MATCH($C$5&amp;"|"&amp;RIGHT("000000"&amp;262,6),CalcRankKeyA,0),"")</f>
        <v/>
      </c>
      <c r="N278" t="str">
        <f>IFERROR(MATCH($C$5&amp;"|"&amp;RIGHT("000000"&amp;262,6),CalcRankKeyB,0),"")</f>
        <v/>
      </c>
    </row>
    <row r="279" spans="1:14" x14ac:dyDescent="0.2">
      <c r="A279" s="7">
        <v>263</v>
      </c>
      <c r="B279" s="8" t="str">
        <f t="shared" si="40"/>
        <v/>
      </c>
      <c r="C279" s="8" t="str">
        <f t="shared" si="41"/>
        <v/>
      </c>
      <c r="D279" s="8" t="str">
        <f t="shared" si="42"/>
        <v/>
      </c>
      <c r="E279" s="9" t="str">
        <f t="shared" si="43"/>
        <v/>
      </c>
      <c r="F279" s="9" t="str">
        <f t="shared" si="44"/>
        <v/>
      </c>
      <c r="G279" s="9" t="str">
        <f t="shared" si="45"/>
        <v/>
      </c>
      <c r="H279" s="9" t="str">
        <f t="shared" si="46"/>
        <v/>
      </c>
      <c r="I279" s="10" t="str">
        <f t="shared" si="47"/>
        <v/>
      </c>
      <c r="J279" s="10" t="str">
        <f t="shared" si="49"/>
        <v/>
      </c>
      <c r="K279" s="11" t="str">
        <f t="shared" si="48"/>
        <v/>
      </c>
      <c r="M279" t="str">
        <f>IFERROR(MATCH($C$5&amp;"|"&amp;RIGHT("000000"&amp;263,6),CalcRankKeyA,0),"")</f>
        <v/>
      </c>
      <c r="N279" t="str">
        <f>IFERROR(MATCH($C$5&amp;"|"&amp;RIGHT("000000"&amp;263,6),CalcRankKeyB,0),"")</f>
        <v/>
      </c>
    </row>
    <row r="280" spans="1:14" x14ac:dyDescent="0.2">
      <c r="A280" s="12">
        <v>264</v>
      </c>
      <c r="B280" s="13" t="str">
        <f t="shared" si="40"/>
        <v/>
      </c>
      <c r="C280" s="13" t="str">
        <f t="shared" si="41"/>
        <v/>
      </c>
      <c r="D280" s="13" t="str">
        <f t="shared" si="42"/>
        <v/>
      </c>
      <c r="E280" s="14" t="str">
        <f t="shared" si="43"/>
        <v/>
      </c>
      <c r="F280" s="14" t="str">
        <f t="shared" si="44"/>
        <v/>
      </c>
      <c r="G280" s="14" t="str">
        <f t="shared" si="45"/>
        <v/>
      </c>
      <c r="H280" s="14" t="str">
        <f t="shared" si="46"/>
        <v/>
      </c>
      <c r="I280" s="15" t="str">
        <f t="shared" si="47"/>
        <v/>
      </c>
      <c r="J280" s="15" t="str">
        <f t="shared" si="49"/>
        <v/>
      </c>
      <c r="K280" s="16" t="str">
        <f t="shared" si="48"/>
        <v/>
      </c>
      <c r="M280" t="str">
        <f>IFERROR(MATCH($C$5&amp;"|"&amp;RIGHT("000000"&amp;264,6),CalcRankKeyA,0),"")</f>
        <v/>
      </c>
      <c r="N280" t="str">
        <f>IFERROR(MATCH($C$5&amp;"|"&amp;RIGHT("000000"&amp;264,6),CalcRankKeyB,0),"")</f>
        <v/>
      </c>
    </row>
    <row r="281" spans="1:14" x14ac:dyDescent="0.2">
      <c r="A281" s="7">
        <v>265</v>
      </c>
      <c r="B281" s="8" t="str">
        <f t="shared" si="40"/>
        <v/>
      </c>
      <c r="C281" s="8" t="str">
        <f t="shared" si="41"/>
        <v/>
      </c>
      <c r="D281" s="8" t="str">
        <f t="shared" si="42"/>
        <v/>
      </c>
      <c r="E281" s="9" t="str">
        <f t="shared" si="43"/>
        <v/>
      </c>
      <c r="F281" s="9" t="str">
        <f t="shared" si="44"/>
        <v/>
      </c>
      <c r="G281" s="9" t="str">
        <f t="shared" si="45"/>
        <v/>
      </c>
      <c r="H281" s="9" t="str">
        <f t="shared" si="46"/>
        <v/>
      </c>
      <c r="I281" s="10" t="str">
        <f t="shared" si="47"/>
        <v/>
      </c>
      <c r="J281" s="10" t="str">
        <f t="shared" si="49"/>
        <v/>
      </c>
      <c r="K281" s="11" t="str">
        <f t="shared" si="48"/>
        <v/>
      </c>
      <c r="M281" t="str">
        <f>IFERROR(MATCH($C$5&amp;"|"&amp;RIGHT("000000"&amp;265,6),CalcRankKeyA,0),"")</f>
        <v/>
      </c>
      <c r="N281" t="str">
        <f>IFERROR(MATCH($C$5&amp;"|"&amp;RIGHT("000000"&amp;265,6),CalcRankKeyB,0),"")</f>
        <v/>
      </c>
    </row>
    <row r="282" spans="1:14" x14ac:dyDescent="0.2">
      <c r="A282" s="12">
        <v>266</v>
      </c>
      <c r="B282" s="13" t="str">
        <f t="shared" si="40"/>
        <v/>
      </c>
      <c r="C282" s="13" t="str">
        <f t="shared" si="41"/>
        <v/>
      </c>
      <c r="D282" s="13" t="str">
        <f t="shared" si="42"/>
        <v/>
      </c>
      <c r="E282" s="14" t="str">
        <f t="shared" si="43"/>
        <v/>
      </c>
      <c r="F282" s="14" t="str">
        <f t="shared" si="44"/>
        <v/>
      </c>
      <c r="G282" s="14" t="str">
        <f t="shared" si="45"/>
        <v/>
      </c>
      <c r="H282" s="14" t="str">
        <f t="shared" si="46"/>
        <v/>
      </c>
      <c r="I282" s="15" t="str">
        <f t="shared" si="47"/>
        <v/>
      </c>
      <c r="J282" s="15" t="str">
        <f t="shared" si="49"/>
        <v/>
      </c>
      <c r="K282" s="16" t="str">
        <f t="shared" si="48"/>
        <v/>
      </c>
      <c r="M282" t="str">
        <f>IFERROR(MATCH($C$5&amp;"|"&amp;RIGHT("000000"&amp;266,6),CalcRankKeyA,0),"")</f>
        <v/>
      </c>
      <c r="N282" t="str">
        <f>IFERROR(MATCH($C$5&amp;"|"&amp;RIGHT("000000"&amp;266,6),CalcRankKeyB,0),"")</f>
        <v/>
      </c>
    </row>
    <row r="283" spans="1:14" x14ac:dyDescent="0.2">
      <c r="A283" s="7">
        <v>267</v>
      </c>
      <c r="B283" s="8" t="str">
        <f t="shared" si="40"/>
        <v/>
      </c>
      <c r="C283" s="8" t="str">
        <f t="shared" si="41"/>
        <v/>
      </c>
      <c r="D283" s="8" t="str">
        <f t="shared" si="42"/>
        <v/>
      </c>
      <c r="E283" s="9" t="str">
        <f t="shared" si="43"/>
        <v/>
      </c>
      <c r="F283" s="9" t="str">
        <f t="shared" si="44"/>
        <v/>
      </c>
      <c r="G283" s="9" t="str">
        <f t="shared" si="45"/>
        <v/>
      </c>
      <c r="H283" s="9" t="str">
        <f t="shared" si="46"/>
        <v/>
      </c>
      <c r="I283" s="10" t="str">
        <f t="shared" si="47"/>
        <v/>
      </c>
      <c r="J283" s="10" t="str">
        <f t="shared" si="49"/>
        <v/>
      </c>
      <c r="K283" s="11" t="str">
        <f t="shared" si="48"/>
        <v/>
      </c>
      <c r="M283" t="str">
        <f>IFERROR(MATCH($C$5&amp;"|"&amp;RIGHT("000000"&amp;267,6),CalcRankKeyA,0),"")</f>
        <v/>
      </c>
      <c r="N283" t="str">
        <f>IFERROR(MATCH($C$5&amp;"|"&amp;RIGHT("000000"&amp;267,6),CalcRankKeyB,0),"")</f>
        <v/>
      </c>
    </row>
    <row r="284" spans="1:14" x14ac:dyDescent="0.2">
      <c r="A284" s="12">
        <v>268</v>
      </c>
      <c r="B284" s="13" t="str">
        <f t="shared" si="40"/>
        <v/>
      </c>
      <c r="C284" s="13" t="str">
        <f t="shared" si="41"/>
        <v/>
      </c>
      <c r="D284" s="13" t="str">
        <f t="shared" si="42"/>
        <v/>
      </c>
      <c r="E284" s="14" t="str">
        <f t="shared" si="43"/>
        <v/>
      </c>
      <c r="F284" s="14" t="str">
        <f t="shared" si="44"/>
        <v/>
      </c>
      <c r="G284" s="14" t="str">
        <f t="shared" si="45"/>
        <v/>
      </c>
      <c r="H284" s="14" t="str">
        <f t="shared" si="46"/>
        <v/>
      </c>
      <c r="I284" s="15" t="str">
        <f t="shared" si="47"/>
        <v/>
      </c>
      <c r="J284" s="15" t="str">
        <f t="shared" si="49"/>
        <v/>
      </c>
      <c r="K284" s="16" t="str">
        <f t="shared" si="48"/>
        <v/>
      </c>
      <c r="M284" t="str">
        <f>IFERROR(MATCH($C$5&amp;"|"&amp;RIGHT("000000"&amp;268,6),CalcRankKeyA,0),"")</f>
        <v/>
      </c>
      <c r="N284" t="str">
        <f>IFERROR(MATCH($C$5&amp;"|"&amp;RIGHT("000000"&amp;268,6),CalcRankKeyB,0),"")</f>
        <v/>
      </c>
    </row>
    <row r="285" spans="1:14" x14ac:dyDescent="0.2">
      <c r="A285" s="7">
        <v>269</v>
      </c>
      <c r="B285" s="8" t="str">
        <f t="shared" si="40"/>
        <v/>
      </c>
      <c r="C285" s="8" t="str">
        <f t="shared" si="41"/>
        <v/>
      </c>
      <c r="D285" s="8" t="str">
        <f t="shared" si="42"/>
        <v/>
      </c>
      <c r="E285" s="9" t="str">
        <f t="shared" si="43"/>
        <v/>
      </c>
      <c r="F285" s="9" t="str">
        <f t="shared" si="44"/>
        <v/>
      </c>
      <c r="G285" s="9" t="str">
        <f t="shared" si="45"/>
        <v/>
      </c>
      <c r="H285" s="9" t="str">
        <f t="shared" si="46"/>
        <v/>
      </c>
      <c r="I285" s="10" t="str">
        <f t="shared" si="47"/>
        <v/>
      </c>
      <c r="J285" s="10" t="str">
        <f t="shared" si="49"/>
        <v/>
      </c>
      <c r="K285" s="11" t="str">
        <f t="shared" si="48"/>
        <v/>
      </c>
      <c r="M285" t="str">
        <f>IFERROR(MATCH($C$5&amp;"|"&amp;RIGHT("000000"&amp;269,6),CalcRankKeyA,0),"")</f>
        <v/>
      </c>
      <c r="N285" t="str">
        <f>IFERROR(MATCH($C$5&amp;"|"&amp;RIGHT("000000"&amp;269,6),CalcRankKeyB,0),"")</f>
        <v/>
      </c>
    </row>
    <row r="286" spans="1:14" x14ac:dyDescent="0.2">
      <c r="A286" s="12">
        <v>270</v>
      </c>
      <c r="B286" s="13" t="str">
        <f t="shared" si="40"/>
        <v/>
      </c>
      <c r="C286" s="13" t="str">
        <f t="shared" si="41"/>
        <v/>
      </c>
      <c r="D286" s="13" t="str">
        <f t="shared" si="42"/>
        <v/>
      </c>
      <c r="E286" s="14" t="str">
        <f t="shared" si="43"/>
        <v/>
      </c>
      <c r="F286" s="14" t="str">
        <f t="shared" si="44"/>
        <v/>
      </c>
      <c r="G286" s="14" t="str">
        <f t="shared" si="45"/>
        <v/>
      </c>
      <c r="H286" s="14" t="str">
        <f t="shared" si="46"/>
        <v/>
      </c>
      <c r="I286" s="15" t="str">
        <f t="shared" si="47"/>
        <v/>
      </c>
      <c r="J286" s="15" t="str">
        <f t="shared" si="49"/>
        <v/>
      </c>
      <c r="K286" s="16" t="str">
        <f t="shared" si="48"/>
        <v/>
      </c>
      <c r="M286" t="str">
        <f>IFERROR(MATCH($C$5&amp;"|"&amp;RIGHT("000000"&amp;270,6),CalcRankKeyA,0),"")</f>
        <v/>
      </c>
      <c r="N286" t="str">
        <f>IFERROR(MATCH($C$5&amp;"|"&amp;RIGHT("000000"&amp;270,6),CalcRankKeyB,0),"")</f>
        <v/>
      </c>
    </row>
    <row r="287" spans="1:14" x14ac:dyDescent="0.2">
      <c r="A287" s="7">
        <v>271</v>
      </c>
      <c r="B287" s="8" t="str">
        <f t="shared" si="40"/>
        <v/>
      </c>
      <c r="C287" s="8" t="str">
        <f t="shared" si="41"/>
        <v/>
      </c>
      <c r="D287" s="8" t="str">
        <f t="shared" si="42"/>
        <v/>
      </c>
      <c r="E287" s="9" t="str">
        <f t="shared" si="43"/>
        <v/>
      </c>
      <c r="F287" s="9" t="str">
        <f t="shared" si="44"/>
        <v/>
      </c>
      <c r="G287" s="9" t="str">
        <f t="shared" si="45"/>
        <v/>
      </c>
      <c r="H287" s="9" t="str">
        <f t="shared" si="46"/>
        <v/>
      </c>
      <c r="I287" s="10" t="str">
        <f t="shared" si="47"/>
        <v/>
      </c>
      <c r="J287" s="10" t="str">
        <f t="shared" si="49"/>
        <v/>
      </c>
      <c r="K287" s="11" t="str">
        <f t="shared" si="48"/>
        <v/>
      </c>
      <c r="M287" t="str">
        <f>IFERROR(MATCH($C$5&amp;"|"&amp;RIGHT("000000"&amp;271,6),CalcRankKeyA,0),"")</f>
        <v/>
      </c>
      <c r="N287" t="str">
        <f>IFERROR(MATCH($C$5&amp;"|"&amp;RIGHT("000000"&amp;271,6),CalcRankKeyB,0),"")</f>
        <v/>
      </c>
    </row>
    <row r="288" spans="1:14" x14ac:dyDescent="0.2">
      <c r="A288" s="12">
        <v>272</v>
      </c>
      <c r="B288" s="13" t="str">
        <f t="shared" si="40"/>
        <v/>
      </c>
      <c r="C288" s="13" t="str">
        <f t="shared" si="41"/>
        <v/>
      </c>
      <c r="D288" s="13" t="str">
        <f t="shared" si="42"/>
        <v/>
      </c>
      <c r="E288" s="14" t="str">
        <f t="shared" si="43"/>
        <v/>
      </c>
      <c r="F288" s="14" t="str">
        <f t="shared" si="44"/>
        <v/>
      </c>
      <c r="G288" s="14" t="str">
        <f t="shared" si="45"/>
        <v/>
      </c>
      <c r="H288" s="14" t="str">
        <f t="shared" si="46"/>
        <v/>
      </c>
      <c r="I288" s="15" t="str">
        <f t="shared" si="47"/>
        <v/>
      </c>
      <c r="J288" s="15" t="str">
        <f t="shared" si="49"/>
        <v/>
      </c>
      <c r="K288" s="16" t="str">
        <f t="shared" si="48"/>
        <v/>
      </c>
      <c r="M288" t="str">
        <f>IFERROR(MATCH($C$5&amp;"|"&amp;RIGHT("000000"&amp;272,6),CalcRankKeyA,0),"")</f>
        <v/>
      </c>
      <c r="N288" t="str">
        <f>IFERROR(MATCH($C$5&amp;"|"&amp;RIGHT("000000"&amp;272,6),CalcRankKeyB,0),"")</f>
        <v/>
      </c>
    </row>
    <row r="289" spans="1:14" x14ac:dyDescent="0.2">
      <c r="A289" s="7">
        <v>273</v>
      </c>
      <c r="B289" s="8" t="str">
        <f t="shared" si="40"/>
        <v/>
      </c>
      <c r="C289" s="8" t="str">
        <f t="shared" si="41"/>
        <v/>
      </c>
      <c r="D289" s="8" t="str">
        <f t="shared" si="42"/>
        <v/>
      </c>
      <c r="E289" s="9" t="str">
        <f t="shared" si="43"/>
        <v/>
      </c>
      <c r="F289" s="9" t="str">
        <f t="shared" si="44"/>
        <v/>
      </c>
      <c r="G289" s="9" t="str">
        <f t="shared" si="45"/>
        <v/>
      </c>
      <c r="H289" s="9" t="str">
        <f t="shared" si="46"/>
        <v/>
      </c>
      <c r="I289" s="10" t="str">
        <f t="shared" si="47"/>
        <v/>
      </c>
      <c r="J289" s="10" t="str">
        <f t="shared" si="49"/>
        <v/>
      </c>
      <c r="K289" s="11" t="str">
        <f t="shared" si="48"/>
        <v/>
      </c>
      <c r="M289" t="str">
        <f>IFERROR(MATCH($C$5&amp;"|"&amp;RIGHT("000000"&amp;273,6),CalcRankKeyA,0),"")</f>
        <v/>
      </c>
      <c r="N289" t="str">
        <f>IFERROR(MATCH($C$5&amp;"|"&amp;RIGHT("000000"&amp;273,6),CalcRankKeyB,0),"")</f>
        <v/>
      </c>
    </row>
    <row r="290" spans="1:14" x14ac:dyDescent="0.2">
      <c r="A290" s="12">
        <v>274</v>
      </c>
      <c r="B290" s="13" t="str">
        <f t="shared" si="40"/>
        <v/>
      </c>
      <c r="C290" s="13" t="str">
        <f t="shared" si="41"/>
        <v/>
      </c>
      <c r="D290" s="13" t="str">
        <f t="shared" si="42"/>
        <v/>
      </c>
      <c r="E290" s="14" t="str">
        <f t="shared" si="43"/>
        <v/>
      </c>
      <c r="F290" s="14" t="str">
        <f t="shared" si="44"/>
        <v/>
      </c>
      <c r="G290" s="14" t="str">
        <f t="shared" si="45"/>
        <v/>
      </c>
      <c r="H290" s="14" t="str">
        <f t="shared" si="46"/>
        <v/>
      </c>
      <c r="I290" s="15" t="str">
        <f t="shared" si="47"/>
        <v/>
      </c>
      <c r="J290" s="15" t="str">
        <f t="shared" si="49"/>
        <v/>
      </c>
      <c r="K290" s="16" t="str">
        <f t="shared" si="48"/>
        <v/>
      </c>
      <c r="M290" t="str">
        <f>IFERROR(MATCH($C$5&amp;"|"&amp;RIGHT("000000"&amp;274,6),CalcRankKeyA,0),"")</f>
        <v/>
      </c>
      <c r="N290" t="str">
        <f>IFERROR(MATCH($C$5&amp;"|"&amp;RIGHT("000000"&amp;274,6),CalcRankKeyB,0),"")</f>
        <v/>
      </c>
    </row>
    <row r="291" spans="1:14" x14ac:dyDescent="0.2">
      <c r="A291" s="7">
        <v>275</v>
      </c>
      <c r="B291" s="8" t="str">
        <f t="shared" si="40"/>
        <v/>
      </c>
      <c r="C291" s="8" t="str">
        <f t="shared" si="41"/>
        <v/>
      </c>
      <c r="D291" s="8" t="str">
        <f t="shared" si="42"/>
        <v/>
      </c>
      <c r="E291" s="9" t="str">
        <f t="shared" si="43"/>
        <v/>
      </c>
      <c r="F291" s="9" t="str">
        <f t="shared" si="44"/>
        <v/>
      </c>
      <c r="G291" s="9" t="str">
        <f t="shared" si="45"/>
        <v/>
      </c>
      <c r="H291" s="9" t="str">
        <f t="shared" si="46"/>
        <v/>
      </c>
      <c r="I291" s="10" t="str">
        <f t="shared" si="47"/>
        <v/>
      </c>
      <c r="J291" s="10" t="str">
        <f t="shared" si="49"/>
        <v/>
      </c>
      <c r="K291" s="11" t="str">
        <f t="shared" si="48"/>
        <v/>
      </c>
      <c r="M291" t="str">
        <f>IFERROR(MATCH($C$5&amp;"|"&amp;RIGHT("000000"&amp;275,6),CalcRankKeyA,0),"")</f>
        <v/>
      </c>
      <c r="N291" t="str">
        <f>IFERROR(MATCH($C$5&amp;"|"&amp;RIGHT("000000"&amp;275,6),CalcRankKeyB,0),"")</f>
        <v/>
      </c>
    </row>
    <row r="292" spans="1:14" x14ac:dyDescent="0.2">
      <c r="A292" s="12">
        <v>276</v>
      </c>
      <c r="B292" s="13" t="str">
        <f t="shared" si="40"/>
        <v/>
      </c>
      <c r="C292" s="13" t="str">
        <f t="shared" si="41"/>
        <v/>
      </c>
      <c r="D292" s="13" t="str">
        <f t="shared" si="42"/>
        <v/>
      </c>
      <c r="E292" s="14" t="str">
        <f t="shared" si="43"/>
        <v/>
      </c>
      <c r="F292" s="14" t="str">
        <f t="shared" si="44"/>
        <v/>
      </c>
      <c r="G292" s="14" t="str">
        <f t="shared" si="45"/>
        <v/>
      </c>
      <c r="H292" s="14" t="str">
        <f t="shared" si="46"/>
        <v/>
      </c>
      <c r="I292" s="15" t="str">
        <f t="shared" si="47"/>
        <v/>
      </c>
      <c r="J292" s="15" t="str">
        <f t="shared" si="49"/>
        <v/>
      </c>
      <c r="K292" s="16" t="str">
        <f t="shared" si="48"/>
        <v/>
      </c>
      <c r="M292" t="str">
        <f>IFERROR(MATCH($C$5&amp;"|"&amp;RIGHT("000000"&amp;276,6),CalcRankKeyA,0),"")</f>
        <v/>
      </c>
      <c r="N292" t="str">
        <f>IFERROR(MATCH($C$5&amp;"|"&amp;RIGHT("000000"&amp;276,6),CalcRankKeyB,0),"")</f>
        <v/>
      </c>
    </row>
    <row r="293" spans="1:14" x14ac:dyDescent="0.2">
      <c r="A293" s="7">
        <v>277</v>
      </c>
      <c r="B293" s="8" t="str">
        <f t="shared" si="40"/>
        <v/>
      </c>
      <c r="C293" s="8" t="str">
        <f t="shared" si="41"/>
        <v/>
      </c>
      <c r="D293" s="8" t="str">
        <f t="shared" si="42"/>
        <v/>
      </c>
      <c r="E293" s="9" t="str">
        <f t="shared" si="43"/>
        <v/>
      </c>
      <c r="F293" s="9" t="str">
        <f t="shared" si="44"/>
        <v/>
      </c>
      <c r="G293" s="9" t="str">
        <f t="shared" si="45"/>
        <v/>
      </c>
      <c r="H293" s="9" t="str">
        <f t="shared" si="46"/>
        <v/>
      </c>
      <c r="I293" s="10" t="str">
        <f t="shared" si="47"/>
        <v/>
      </c>
      <c r="J293" s="10" t="str">
        <f t="shared" si="49"/>
        <v/>
      </c>
      <c r="K293" s="11" t="str">
        <f t="shared" si="48"/>
        <v/>
      </c>
      <c r="M293" t="str">
        <f>IFERROR(MATCH($C$5&amp;"|"&amp;RIGHT("000000"&amp;277,6),CalcRankKeyA,0),"")</f>
        <v/>
      </c>
      <c r="N293" t="str">
        <f>IFERROR(MATCH($C$5&amp;"|"&amp;RIGHT("000000"&amp;277,6),CalcRankKeyB,0),"")</f>
        <v/>
      </c>
    </row>
    <row r="294" spans="1:14" x14ac:dyDescent="0.2">
      <c r="A294" s="12">
        <v>278</v>
      </c>
      <c r="B294" s="13" t="str">
        <f t="shared" si="40"/>
        <v/>
      </c>
      <c r="C294" s="13" t="str">
        <f t="shared" si="41"/>
        <v/>
      </c>
      <c r="D294" s="13" t="str">
        <f t="shared" si="42"/>
        <v/>
      </c>
      <c r="E294" s="14" t="str">
        <f t="shared" si="43"/>
        <v/>
      </c>
      <c r="F294" s="14" t="str">
        <f t="shared" si="44"/>
        <v/>
      </c>
      <c r="G294" s="14" t="str">
        <f t="shared" si="45"/>
        <v/>
      </c>
      <c r="H294" s="14" t="str">
        <f t="shared" si="46"/>
        <v/>
      </c>
      <c r="I294" s="15" t="str">
        <f t="shared" si="47"/>
        <v/>
      </c>
      <c r="J294" s="15" t="str">
        <f t="shared" si="49"/>
        <v/>
      </c>
      <c r="K294" s="16" t="str">
        <f t="shared" si="48"/>
        <v/>
      </c>
      <c r="M294" t="str">
        <f>IFERROR(MATCH($C$5&amp;"|"&amp;RIGHT("000000"&amp;278,6),CalcRankKeyA,0),"")</f>
        <v/>
      </c>
      <c r="N294" t="str">
        <f>IFERROR(MATCH($C$5&amp;"|"&amp;RIGHT("000000"&amp;278,6),CalcRankKeyB,0),"")</f>
        <v/>
      </c>
    </row>
    <row r="295" spans="1:14" x14ac:dyDescent="0.2">
      <c r="A295" s="7">
        <v>279</v>
      </c>
      <c r="B295" s="8" t="str">
        <f t="shared" si="40"/>
        <v/>
      </c>
      <c r="C295" s="8" t="str">
        <f t="shared" si="41"/>
        <v/>
      </c>
      <c r="D295" s="8" t="str">
        <f t="shared" si="42"/>
        <v/>
      </c>
      <c r="E295" s="9" t="str">
        <f t="shared" si="43"/>
        <v/>
      </c>
      <c r="F295" s="9" t="str">
        <f t="shared" si="44"/>
        <v/>
      </c>
      <c r="G295" s="9" t="str">
        <f t="shared" si="45"/>
        <v/>
      </c>
      <c r="H295" s="9" t="str">
        <f t="shared" si="46"/>
        <v/>
      </c>
      <c r="I295" s="10" t="str">
        <f t="shared" si="47"/>
        <v/>
      </c>
      <c r="J295" s="10" t="str">
        <f t="shared" si="49"/>
        <v/>
      </c>
      <c r="K295" s="11" t="str">
        <f t="shared" si="48"/>
        <v/>
      </c>
      <c r="M295" t="str">
        <f>IFERROR(MATCH($C$5&amp;"|"&amp;RIGHT("000000"&amp;279,6),CalcRankKeyA,0),"")</f>
        <v/>
      </c>
      <c r="N295" t="str">
        <f>IFERROR(MATCH($C$5&amp;"|"&amp;RIGHT("000000"&amp;279,6),CalcRankKeyB,0),"")</f>
        <v/>
      </c>
    </row>
    <row r="296" spans="1:14" x14ac:dyDescent="0.2">
      <c r="A296" s="12">
        <v>280</v>
      </c>
      <c r="B296" s="13" t="str">
        <f t="shared" si="40"/>
        <v/>
      </c>
      <c r="C296" s="13" t="str">
        <f t="shared" si="41"/>
        <v/>
      </c>
      <c r="D296" s="13" t="str">
        <f t="shared" si="42"/>
        <v/>
      </c>
      <c r="E296" s="14" t="str">
        <f t="shared" si="43"/>
        <v/>
      </c>
      <c r="F296" s="14" t="str">
        <f t="shared" si="44"/>
        <v/>
      </c>
      <c r="G296" s="14" t="str">
        <f t="shared" si="45"/>
        <v/>
      </c>
      <c r="H296" s="14" t="str">
        <f t="shared" si="46"/>
        <v/>
      </c>
      <c r="I296" s="15" t="str">
        <f t="shared" si="47"/>
        <v/>
      </c>
      <c r="J296" s="15" t="str">
        <f t="shared" si="49"/>
        <v/>
      </c>
      <c r="K296" s="16" t="str">
        <f t="shared" si="48"/>
        <v/>
      </c>
      <c r="M296" t="str">
        <f>IFERROR(MATCH($C$5&amp;"|"&amp;RIGHT("000000"&amp;280,6),CalcRankKeyA,0),"")</f>
        <v/>
      </c>
      <c r="N296" t="str">
        <f>IFERROR(MATCH($C$5&amp;"|"&amp;RIGHT("000000"&amp;280,6),CalcRankKeyB,0),"")</f>
        <v/>
      </c>
    </row>
    <row r="297" spans="1:14" x14ac:dyDescent="0.2">
      <c r="A297" s="7">
        <v>281</v>
      </c>
      <c r="B297" s="8" t="str">
        <f t="shared" si="40"/>
        <v/>
      </c>
      <c r="C297" s="8" t="str">
        <f t="shared" si="41"/>
        <v/>
      </c>
      <c r="D297" s="8" t="str">
        <f t="shared" si="42"/>
        <v/>
      </c>
      <c r="E297" s="9" t="str">
        <f t="shared" si="43"/>
        <v/>
      </c>
      <c r="F297" s="9" t="str">
        <f t="shared" si="44"/>
        <v/>
      </c>
      <c r="G297" s="9" t="str">
        <f t="shared" si="45"/>
        <v/>
      </c>
      <c r="H297" s="9" t="str">
        <f t="shared" si="46"/>
        <v/>
      </c>
      <c r="I297" s="10" t="str">
        <f t="shared" si="47"/>
        <v/>
      </c>
      <c r="J297" s="10" t="str">
        <f t="shared" si="49"/>
        <v/>
      </c>
      <c r="K297" s="11" t="str">
        <f t="shared" si="48"/>
        <v/>
      </c>
      <c r="M297" t="str">
        <f>IFERROR(MATCH($C$5&amp;"|"&amp;RIGHT("000000"&amp;281,6),CalcRankKeyA,0),"")</f>
        <v/>
      </c>
      <c r="N297" t="str">
        <f>IFERROR(MATCH($C$5&amp;"|"&amp;RIGHT("000000"&amp;281,6),CalcRankKeyB,0),"")</f>
        <v/>
      </c>
    </row>
    <row r="298" spans="1:14" x14ac:dyDescent="0.2">
      <c r="A298" s="12">
        <v>282</v>
      </c>
      <c r="B298" s="13" t="str">
        <f t="shared" si="40"/>
        <v/>
      </c>
      <c r="C298" s="13" t="str">
        <f t="shared" si="41"/>
        <v/>
      </c>
      <c r="D298" s="13" t="str">
        <f t="shared" si="42"/>
        <v/>
      </c>
      <c r="E298" s="14" t="str">
        <f t="shared" si="43"/>
        <v/>
      </c>
      <c r="F298" s="14" t="str">
        <f t="shared" si="44"/>
        <v/>
      </c>
      <c r="G298" s="14" t="str">
        <f t="shared" si="45"/>
        <v/>
      </c>
      <c r="H298" s="14" t="str">
        <f t="shared" si="46"/>
        <v/>
      </c>
      <c r="I298" s="15" t="str">
        <f t="shared" si="47"/>
        <v/>
      </c>
      <c r="J298" s="15" t="str">
        <f t="shared" si="49"/>
        <v/>
      </c>
      <c r="K298" s="16" t="str">
        <f t="shared" si="48"/>
        <v/>
      </c>
      <c r="M298" t="str">
        <f>IFERROR(MATCH($C$5&amp;"|"&amp;RIGHT("000000"&amp;282,6),CalcRankKeyA,0),"")</f>
        <v/>
      </c>
      <c r="N298" t="str">
        <f>IFERROR(MATCH($C$5&amp;"|"&amp;RIGHT("000000"&amp;282,6),CalcRankKeyB,0),"")</f>
        <v/>
      </c>
    </row>
    <row r="299" spans="1:14" x14ac:dyDescent="0.2">
      <c r="A299" s="7">
        <v>283</v>
      </c>
      <c r="B299" s="8" t="str">
        <f t="shared" si="40"/>
        <v/>
      </c>
      <c r="C299" s="8" t="str">
        <f t="shared" si="41"/>
        <v/>
      </c>
      <c r="D299" s="8" t="str">
        <f t="shared" si="42"/>
        <v/>
      </c>
      <c r="E299" s="9" t="str">
        <f t="shared" si="43"/>
        <v/>
      </c>
      <c r="F299" s="9" t="str">
        <f t="shared" si="44"/>
        <v/>
      </c>
      <c r="G299" s="9" t="str">
        <f t="shared" si="45"/>
        <v/>
      </c>
      <c r="H299" s="9" t="str">
        <f t="shared" si="46"/>
        <v/>
      </c>
      <c r="I299" s="10" t="str">
        <f t="shared" si="47"/>
        <v/>
      </c>
      <c r="J299" s="10" t="str">
        <f t="shared" si="49"/>
        <v/>
      </c>
      <c r="K299" s="11" t="str">
        <f t="shared" si="48"/>
        <v/>
      </c>
      <c r="M299" t="str">
        <f>IFERROR(MATCH($C$5&amp;"|"&amp;RIGHT("000000"&amp;283,6),CalcRankKeyA,0),"")</f>
        <v/>
      </c>
      <c r="N299" t="str">
        <f>IFERROR(MATCH($C$5&amp;"|"&amp;RIGHT("000000"&amp;283,6),CalcRankKeyB,0),"")</f>
        <v/>
      </c>
    </row>
    <row r="300" spans="1:14" x14ac:dyDescent="0.2">
      <c r="A300" s="12">
        <v>284</v>
      </c>
      <c r="B300" s="13" t="str">
        <f t="shared" si="40"/>
        <v/>
      </c>
      <c r="C300" s="13" t="str">
        <f t="shared" si="41"/>
        <v/>
      </c>
      <c r="D300" s="13" t="str">
        <f t="shared" si="42"/>
        <v/>
      </c>
      <c r="E300" s="14" t="str">
        <f t="shared" si="43"/>
        <v/>
      </c>
      <c r="F300" s="14" t="str">
        <f t="shared" si="44"/>
        <v/>
      </c>
      <c r="G300" s="14" t="str">
        <f t="shared" si="45"/>
        <v/>
      </c>
      <c r="H300" s="14" t="str">
        <f t="shared" si="46"/>
        <v/>
      </c>
      <c r="I300" s="15" t="str">
        <f t="shared" si="47"/>
        <v/>
      </c>
      <c r="J300" s="15" t="str">
        <f t="shared" si="49"/>
        <v/>
      </c>
      <c r="K300" s="16" t="str">
        <f t="shared" si="48"/>
        <v/>
      </c>
      <c r="M300" t="str">
        <f>IFERROR(MATCH($C$5&amp;"|"&amp;RIGHT("000000"&amp;284,6),CalcRankKeyA,0),"")</f>
        <v/>
      </c>
      <c r="N300" t="str">
        <f>IFERROR(MATCH($C$5&amp;"|"&amp;RIGHT("000000"&amp;284,6),CalcRankKeyB,0),"")</f>
        <v/>
      </c>
    </row>
    <row r="301" spans="1:14" x14ac:dyDescent="0.2">
      <c r="A301" s="7">
        <v>285</v>
      </c>
      <c r="B301" s="8" t="str">
        <f t="shared" si="40"/>
        <v/>
      </c>
      <c r="C301" s="8" t="str">
        <f t="shared" si="41"/>
        <v/>
      </c>
      <c r="D301" s="8" t="str">
        <f t="shared" si="42"/>
        <v/>
      </c>
      <c r="E301" s="9" t="str">
        <f t="shared" si="43"/>
        <v/>
      </c>
      <c r="F301" s="9" t="str">
        <f t="shared" si="44"/>
        <v/>
      </c>
      <c r="G301" s="9" t="str">
        <f t="shared" si="45"/>
        <v/>
      </c>
      <c r="H301" s="9" t="str">
        <f t="shared" si="46"/>
        <v/>
      </c>
      <c r="I301" s="10" t="str">
        <f t="shared" si="47"/>
        <v/>
      </c>
      <c r="J301" s="10" t="str">
        <f t="shared" si="49"/>
        <v/>
      </c>
      <c r="K301" s="11" t="str">
        <f t="shared" si="48"/>
        <v/>
      </c>
      <c r="M301" t="str">
        <f>IFERROR(MATCH($C$5&amp;"|"&amp;RIGHT("000000"&amp;285,6),CalcRankKeyA,0),"")</f>
        <v/>
      </c>
      <c r="N301" t="str">
        <f>IFERROR(MATCH($C$5&amp;"|"&amp;RIGHT("000000"&amp;285,6),CalcRankKeyB,0),"")</f>
        <v/>
      </c>
    </row>
    <row r="302" spans="1:14" x14ac:dyDescent="0.2">
      <c r="A302" s="12">
        <v>286</v>
      </c>
      <c r="B302" s="13" t="str">
        <f t="shared" si="40"/>
        <v/>
      </c>
      <c r="C302" s="13" t="str">
        <f t="shared" si="41"/>
        <v/>
      </c>
      <c r="D302" s="13" t="str">
        <f t="shared" si="42"/>
        <v/>
      </c>
      <c r="E302" s="14" t="str">
        <f t="shared" si="43"/>
        <v/>
      </c>
      <c r="F302" s="14" t="str">
        <f t="shared" si="44"/>
        <v/>
      </c>
      <c r="G302" s="14" t="str">
        <f t="shared" si="45"/>
        <v/>
      </c>
      <c r="H302" s="14" t="str">
        <f t="shared" si="46"/>
        <v/>
      </c>
      <c r="I302" s="15" t="str">
        <f t="shared" si="47"/>
        <v/>
      </c>
      <c r="J302" s="15" t="str">
        <f t="shared" si="49"/>
        <v/>
      </c>
      <c r="K302" s="16" t="str">
        <f t="shared" si="48"/>
        <v/>
      </c>
      <c r="M302" t="str">
        <f>IFERROR(MATCH($C$5&amp;"|"&amp;RIGHT("000000"&amp;286,6),CalcRankKeyA,0),"")</f>
        <v/>
      </c>
      <c r="N302" t="str">
        <f>IFERROR(MATCH($C$5&amp;"|"&amp;RIGHT("000000"&amp;286,6),CalcRankKeyB,0),"")</f>
        <v/>
      </c>
    </row>
    <row r="303" spans="1:14" x14ac:dyDescent="0.2">
      <c r="A303" s="7">
        <v>287</v>
      </c>
      <c r="B303" s="8" t="str">
        <f t="shared" si="40"/>
        <v/>
      </c>
      <c r="C303" s="8" t="str">
        <f t="shared" si="41"/>
        <v/>
      </c>
      <c r="D303" s="8" t="str">
        <f t="shared" si="42"/>
        <v/>
      </c>
      <c r="E303" s="9" t="str">
        <f t="shared" si="43"/>
        <v/>
      </c>
      <c r="F303" s="9" t="str">
        <f t="shared" si="44"/>
        <v/>
      </c>
      <c r="G303" s="9" t="str">
        <f t="shared" si="45"/>
        <v/>
      </c>
      <c r="H303" s="9" t="str">
        <f t="shared" si="46"/>
        <v/>
      </c>
      <c r="I303" s="10" t="str">
        <f t="shared" si="47"/>
        <v/>
      </c>
      <c r="J303" s="10" t="str">
        <f t="shared" si="49"/>
        <v/>
      </c>
      <c r="K303" s="11" t="str">
        <f t="shared" si="48"/>
        <v/>
      </c>
      <c r="M303" t="str">
        <f>IFERROR(MATCH($C$5&amp;"|"&amp;RIGHT("000000"&amp;287,6),CalcRankKeyA,0),"")</f>
        <v/>
      </c>
      <c r="N303" t="str">
        <f>IFERROR(MATCH($C$5&amp;"|"&amp;RIGHT("000000"&amp;287,6),CalcRankKeyB,0),"")</f>
        <v/>
      </c>
    </row>
    <row r="304" spans="1:14" x14ac:dyDescent="0.2">
      <c r="A304" s="12">
        <v>288</v>
      </c>
      <c r="B304" s="13" t="str">
        <f t="shared" si="40"/>
        <v/>
      </c>
      <c r="C304" s="13" t="str">
        <f t="shared" si="41"/>
        <v/>
      </c>
      <c r="D304" s="13" t="str">
        <f t="shared" si="42"/>
        <v/>
      </c>
      <c r="E304" s="14" t="str">
        <f t="shared" si="43"/>
        <v/>
      </c>
      <c r="F304" s="14" t="str">
        <f t="shared" si="44"/>
        <v/>
      </c>
      <c r="G304" s="14" t="str">
        <f t="shared" si="45"/>
        <v/>
      </c>
      <c r="H304" s="14" t="str">
        <f t="shared" si="46"/>
        <v/>
      </c>
      <c r="I304" s="15" t="str">
        <f t="shared" si="47"/>
        <v/>
      </c>
      <c r="J304" s="15" t="str">
        <f t="shared" si="49"/>
        <v/>
      </c>
      <c r="K304" s="16" t="str">
        <f t="shared" si="48"/>
        <v/>
      </c>
      <c r="M304" t="str">
        <f>IFERROR(MATCH($C$5&amp;"|"&amp;RIGHT("000000"&amp;288,6),CalcRankKeyA,0),"")</f>
        <v/>
      </c>
      <c r="N304" t="str">
        <f>IFERROR(MATCH($C$5&amp;"|"&amp;RIGHT("000000"&amp;288,6),CalcRankKeyB,0),"")</f>
        <v/>
      </c>
    </row>
    <row r="305" spans="1:14" x14ac:dyDescent="0.2">
      <c r="A305" s="7">
        <v>289</v>
      </c>
      <c r="B305" s="8" t="str">
        <f t="shared" si="40"/>
        <v/>
      </c>
      <c r="C305" s="8" t="str">
        <f t="shared" si="41"/>
        <v/>
      </c>
      <c r="D305" s="8" t="str">
        <f t="shared" si="42"/>
        <v/>
      </c>
      <c r="E305" s="9" t="str">
        <f t="shared" si="43"/>
        <v/>
      </c>
      <c r="F305" s="9" t="str">
        <f t="shared" si="44"/>
        <v/>
      </c>
      <c r="G305" s="9" t="str">
        <f t="shared" si="45"/>
        <v/>
      </c>
      <c r="H305" s="9" t="str">
        <f t="shared" si="46"/>
        <v/>
      </c>
      <c r="I305" s="10" t="str">
        <f t="shared" si="47"/>
        <v/>
      </c>
      <c r="J305" s="10" t="str">
        <f t="shared" si="49"/>
        <v/>
      </c>
      <c r="K305" s="11" t="str">
        <f t="shared" si="48"/>
        <v/>
      </c>
      <c r="M305" t="str">
        <f>IFERROR(MATCH($C$5&amp;"|"&amp;RIGHT("000000"&amp;289,6),CalcRankKeyA,0),"")</f>
        <v/>
      </c>
      <c r="N305" t="str">
        <f>IFERROR(MATCH($C$5&amp;"|"&amp;RIGHT("000000"&amp;289,6),CalcRankKeyB,0),"")</f>
        <v/>
      </c>
    </row>
    <row r="306" spans="1:14" x14ac:dyDescent="0.2">
      <c r="A306" s="12">
        <v>290</v>
      </c>
      <c r="B306" s="13" t="str">
        <f t="shared" si="40"/>
        <v/>
      </c>
      <c r="C306" s="13" t="str">
        <f t="shared" si="41"/>
        <v/>
      </c>
      <c r="D306" s="13" t="str">
        <f t="shared" si="42"/>
        <v/>
      </c>
      <c r="E306" s="14" t="str">
        <f t="shared" si="43"/>
        <v/>
      </c>
      <c r="F306" s="14" t="str">
        <f t="shared" si="44"/>
        <v/>
      </c>
      <c r="G306" s="14" t="str">
        <f t="shared" si="45"/>
        <v/>
      </c>
      <c r="H306" s="14" t="str">
        <f t="shared" si="46"/>
        <v/>
      </c>
      <c r="I306" s="15" t="str">
        <f t="shared" si="47"/>
        <v/>
      </c>
      <c r="J306" s="15" t="str">
        <f t="shared" si="49"/>
        <v/>
      </c>
      <c r="K306" s="16" t="str">
        <f t="shared" si="48"/>
        <v/>
      </c>
      <c r="M306" t="str">
        <f>IFERROR(MATCH($C$5&amp;"|"&amp;RIGHT("000000"&amp;290,6),CalcRankKeyA,0),"")</f>
        <v/>
      </c>
      <c r="N306" t="str">
        <f>IFERROR(MATCH($C$5&amp;"|"&amp;RIGHT("000000"&amp;290,6),CalcRankKeyB,0),"")</f>
        <v/>
      </c>
    </row>
    <row r="307" spans="1:14" x14ac:dyDescent="0.2">
      <c r="A307" s="7">
        <v>291</v>
      </c>
      <c r="B307" s="8" t="str">
        <f t="shared" si="40"/>
        <v/>
      </c>
      <c r="C307" s="8" t="str">
        <f t="shared" si="41"/>
        <v/>
      </c>
      <c r="D307" s="8" t="str">
        <f t="shared" si="42"/>
        <v/>
      </c>
      <c r="E307" s="9" t="str">
        <f t="shared" si="43"/>
        <v/>
      </c>
      <c r="F307" s="9" t="str">
        <f t="shared" si="44"/>
        <v/>
      </c>
      <c r="G307" s="9" t="str">
        <f t="shared" si="45"/>
        <v/>
      </c>
      <c r="H307" s="9" t="str">
        <f t="shared" si="46"/>
        <v/>
      </c>
      <c r="I307" s="10" t="str">
        <f t="shared" si="47"/>
        <v/>
      </c>
      <c r="J307" s="10" t="str">
        <f t="shared" si="49"/>
        <v/>
      </c>
      <c r="K307" s="11" t="str">
        <f t="shared" si="48"/>
        <v/>
      </c>
      <c r="M307" t="str">
        <f>IFERROR(MATCH($C$5&amp;"|"&amp;RIGHT("000000"&amp;291,6),CalcRankKeyA,0),"")</f>
        <v/>
      </c>
      <c r="N307" t="str">
        <f>IFERROR(MATCH($C$5&amp;"|"&amp;RIGHT("000000"&amp;291,6),CalcRankKeyB,0),"")</f>
        <v/>
      </c>
    </row>
    <row r="308" spans="1:14" x14ac:dyDescent="0.2">
      <c r="A308" s="12">
        <v>292</v>
      </c>
      <c r="B308" s="13" t="str">
        <f t="shared" si="40"/>
        <v/>
      </c>
      <c r="C308" s="13" t="str">
        <f t="shared" si="41"/>
        <v/>
      </c>
      <c r="D308" s="13" t="str">
        <f t="shared" si="42"/>
        <v/>
      </c>
      <c r="E308" s="14" t="str">
        <f t="shared" si="43"/>
        <v/>
      </c>
      <c r="F308" s="14" t="str">
        <f t="shared" si="44"/>
        <v/>
      </c>
      <c r="G308" s="14" t="str">
        <f t="shared" si="45"/>
        <v/>
      </c>
      <c r="H308" s="14" t="str">
        <f t="shared" si="46"/>
        <v/>
      </c>
      <c r="I308" s="15" t="str">
        <f t="shared" si="47"/>
        <v/>
      </c>
      <c r="J308" s="15" t="str">
        <f t="shared" si="49"/>
        <v/>
      </c>
      <c r="K308" s="16" t="str">
        <f t="shared" si="48"/>
        <v/>
      </c>
      <c r="M308" t="str">
        <f>IFERROR(MATCH($C$5&amp;"|"&amp;RIGHT("000000"&amp;292,6),CalcRankKeyA,0),"")</f>
        <v/>
      </c>
      <c r="N308" t="str">
        <f>IFERROR(MATCH($C$5&amp;"|"&amp;RIGHT("000000"&amp;292,6),CalcRankKeyB,0),"")</f>
        <v/>
      </c>
    </row>
    <row r="309" spans="1:14" x14ac:dyDescent="0.2">
      <c r="A309" s="7">
        <v>293</v>
      </c>
      <c r="B309" s="8" t="str">
        <f t="shared" si="40"/>
        <v/>
      </c>
      <c r="C309" s="8" t="str">
        <f t="shared" si="41"/>
        <v/>
      </c>
      <c r="D309" s="8" t="str">
        <f t="shared" si="42"/>
        <v/>
      </c>
      <c r="E309" s="9" t="str">
        <f t="shared" si="43"/>
        <v/>
      </c>
      <c r="F309" s="9" t="str">
        <f t="shared" si="44"/>
        <v/>
      </c>
      <c r="G309" s="9" t="str">
        <f t="shared" si="45"/>
        <v/>
      </c>
      <c r="H309" s="9" t="str">
        <f t="shared" si="46"/>
        <v/>
      </c>
      <c r="I309" s="10" t="str">
        <f t="shared" si="47"/>
        <v/>
      </c>
      <c r="J309" s="10" t="str">
        <f t="shared" si="49"/>
        <v/>
      </c>
      <c r="K309" s="11" t="str">
        <f t="shared" si="48"/>
        <v/>
      </c>
      <c r="M309" t="str">
        <f>IFERROR(MATCH($C$5&amp;"|"&amp;RIGHT("000000"&amp;293,6),CalcRankKeyA,0),"")</f>
        <v/>
      </c>
      <c r="N309" t="str">
        <f>IFERROR(MATCH($C$5&amp;"|"&amp;RIGHT("000000"&amp;293,6),CalcRankKeyB,0),"")</f>
        <v/>
      </c>
    </row>
    <row r="310" spans="1:14" x14ac:dyDescent="0.2">
      <c r="A310" s="12">
        <v>294</v>
      </c>
      <c r="B310" s="13" t="str">
        <f t="shared" si="40"/>
        <v/>
      </c>
      <c r="C310" s="13" t="str">
        <f t="shared" si="41"/>
        <v/>
      </c>
      <c r="D310" s="13" t="str">
        <f t="shared" si="42"/>
        <v/>
      </c>
      <c r="E310" s="14" t="str">
        <f t="shared" si="43"/>
        <v/>
      </c>
      <c r="F310" s="14" t="str">
        <f t="shared" si="44"/>
        <v/>
      </c>
      <c r="G310" s="14" t="str">
        <f t="shared" si="45"/>
        <v/>
      </c>
      <c r="H310" s="14" t="str">
        <f t="shared" si="46"/>
        <v/>
      </c>
      <c r="I310" s="15" t="str">
        <f t="shared" si="47"/>
        <v/>
      </c>
      <c r="J310" s="15" t="str">
        <f t="shared" si="49"/>
        <v/>
      </c>
      <c r="K310" s="16" t="str">
        <f t="shared" si="48"/>
        <v/>
      </c>
      <c r="M310" t="str">
        <f>IFERROR(MATCH($C$5&amp;"|"&amp;RIGHT("000000"&amp;294,6),CalcRankKeyA,0),"")</f>
        <v/>
      </c>
      <c r="N310" t="str">
        <f>IFERROR(MATCH($C$5&amp;"|"&amp;RIGHT("000000"&amp;294,6),CalcRankKeyB,0),"")</f>
        <v/>
      </c>
    </row>
    <row r="311" spans="1:14" x14ac:dyDescent="0.2">
      <c r="A311" s="7">
        <v>295</v>
      </c>
      <c r="B311" s="8" t="str">
        <f t="shared" si="40"/>
        <v/>
      </c>
      <c r="C311" s="8" t="str">
        <f t="shared" si="41"/>
        <v/>
      </c>
      <c r="D311" s="8" t="str">
        <f t="shared" si="42"/>
        <v/>
      </c>
      <c r="E311" s="9" t="str">
        <f t="shared" si="43"/>
        <v/>
      </c>
      <c r="F311" s="9" t="str">
        <f t="shared" si="44"/>
        <v/>
      </c>
      <c r="G311" s="9" t="str">
        <f t="shared" si="45"/>
        <v/>
      </c>
      <c r="H311" s="9" t="str">
        <f t="shared" si="46"/>
        <v/>
      </c>
      <c r="I311" s="10" t="str">
        <f t="shared" si="47"/>
        <v/>
      </c>
      <c r="J311" s="10" t="str">
        <f t="shared" si="49"/>
        <v/>
      </c>
      <c r="K311" s="11" t="str">
        <f t="shared" si="48"/>
        <v/>
      </c>
      <c r="M311" t="str">
        <f>IFERROR(MATCH($C$5&amp;"|"&amp;RIGHT("000000"&amp;295,6),CalcRankKeyA,0),"")</f>
        <v/>
      </c>
      <c r="N311" t="str">
        <f>IFERROR(MATCH($C$5&amp;"|"&amp;RIGHT("000000"&amp;295,6),CalcRankKeyB,0),"")</f>
        <v/>
      </c>
    </row>
    <row r="312" spans="1:14" x14ac:dyDescent="0.2">
      <c r="A312" s="12">
        <v>296</v>
      </c>
      <c r="B312" s="13" t="str">
        <f t="shared" si="40"/>
        <v/>
      </c>
      <c r="C312" s="13" t="str">
        <f t="shared" si="41"/>
        <v/>
      </c>
      <c r="D312" s="13" t="str">
        <f t="shared" si="42"/>
        <v/>
      </c>
      <c r="E312" s="14" t="str">
        <f t="shared" si="43"/>
        <v/>
      </c>
      <c r="F312" s="14" t="str">
        <f t="shared" si="44"/>
        <v/>
      </c>
      <c r="G312" s="14" t="str">
        <f t="shared" si="45"/>
        <v/>
      </c>
      <c r="H312" s="14" t="str">
        <f t="shared" si="46"/>
        <v/>
      </c>
      <c r="I312" s="15" t="str">
        <f t="shared" si="47"/>
        <v/>
      </c>
      <c r="J312" s="15" t="str">
        <f t="shared" si="49"/>
        <v/>
      </c>
      <c r="K312" s="16" t="str">
        <f t="shared" si="48"/>
        <v/>
      </c>
      <c r="M312" t="str">
        <f>IFERROR(MATCH($C$5&amp;"|"&amp;RIGHT("000000"&amp;296,6),CalcRankKeyA,0),"")</f>
        <v/>
      </c>
      <c r="N312" t="str">
        <f>IFERROR(MATCH($C$5&amp;"|"&amp;RIGHT("000000"&amp;296,6),CalcRankKeyB,0),"")</f>
        <v/>
      </c>
    </row>
    <row r="313" spans="1:14" x14ac:dyDescent="0.2">
      <c r="A313" s="7">
        <v>297</v>
      </c>
      <c r="B313" s="8" t="str">
        <f t="shared" si="40"/>
        <v/>
      </c>
      <c r="C313" s="8" t="str">
        <f t="shared" si="41"/>
        <v/>
      </c>
      <c r="D313" s="8" t="str">
        <f t="shared" si="42"/>
        <v/>
      </c>
      <c r="E313" s="9" t="str">
        <f t="shared" si="43"/>
        <v/>
      </c>
      <c r="F313" s="9" t="str">
        <f t="shared" si="44"/>
        <v/>
      </c>
      <c r="G313" s="9" t="str">
        <f t="shared" si="45"/>
        <v/>
      </c>
      <c r="H313" s="9" t="str">
        <f t="shared" si="46"/>
        <v/>
      </c>
      <c r="I313" s="10" t="str">
        <f t="shared" si="47"/>
        <v/>
      </c>
      <c r="J313" s="10" t="str">
        <f t="shared" si="49"/>
        <v/>
      </c>
      <c r="K313" s="11" t="str">
        <f t="shared" si="48"/>
        <v/>
      </c>
      <c r="M313" t="str">
        <f>IFERROR(MATCH($C$5&amp;"|"&amp;RIGHT("000000"&amp;297,6),CalcRankKeyA,0),"")</f>
        <v/>
      </c>
      <c r="N313" t="str">
        <f>IFERROR(MATCH($C$5&amp;"|"&amp;RIGHT("000000"&amp;297,6),CalcRankKeyB,0),"")</f>
        <v/>
      </c>
    </row>
    <row r="314" spans="1:14" x14ac:dyDescent="0.2">
      <c r="A314" s="12">
        <v>298</v>
      </c>
      <c r="B314" s="13" t="str">
        <f t="shared" si="40"/>
        <v/>
      </c>
      <c r="C314" s="13" t="str">
        <f t="shared" si="41"/>
        <v/>
      </c>
      <c r="D314" s="13" t="str">
        <f t="shared" si="42"/>
        <v/>
      </c>
      <c r="E314" s="14" t="str">
        <f t="shared" si="43"/>
        <v/>
      </c>
      <c r="F314" s="14" t="str">
        <f t="shared" si="44"/>
        <v/>
      </c>
      <c r="G314" s="14" t="str">
        <f t="shared" si="45"/>
        <v/>
      </c>
      <c r="H314" s="14" t="str">
        <f t="shared" si="46"/>
        <v/>
      </c>
      <c r="I314" s="15" t="str">
        <f t="shared" si="47"/>
        <v/>
      </c>
      <c r="J314" s="15" t="str">
        <f t="shared" si="49"/>
        <v/>
      </c>
      <c r="K314" s="16" t="str">
        <f t="shared" si="48"/>
        <v/>
      </c>
      <c r="M314" t="str">
        <f>IFERROR(MATCH($C$5&amp;"|"&amp;RIGHT("000000"&amp;298,6),CalcRankKeyA,0),"")</f>
        <v/>
      </c>
      <c r="N314" t="str">
        <f>IFERROR(MATCH($C$5&amp;"|"&amp;RIGHT("000000"&amp;298,6),CalcRankKeyB,0),"")</f>
        <v/>
      </c>
    </row>
    <row r="315" spans="1:14" x14ac:dyDescent="0.2">
      <c r="A315" s="7">
        <v>299</v>
      </c>
      <c r="B315" s="8" t="str">
        <f t="shared" si="40"/>
        <v/>
      </c>
      <c r="C315" s="8" t="str">
        <f t="shared" si="41"/>
        <v/>
      </c>
      <c r="D315" s="8" t="str">
        <f t="shared" si="42"/>
        <v/>
      </c>
      <c r="E315" s="9" t="str">
        <f t="shared" si="43"/>
        <v/>
      </c>
      <c r="F315" s="9" t="str">
        <f t="shared" si="44"/>
        <v/>
      </c>
      <c r="G315" s="9" t="str">
        <f t="shared" si="45"/>
        <v/>
      </c>
      <c r="H315" s="9" t="str">
        <f t="shared" si="46"/>
        <v/>
      </c>
      <c r="I315" s="10" t="str">
        <f t="shared" si="47"/>
        <v/>
      </c>
      <c r="J315" s="10" t="str">
        <f t="shared" si="49"/>
        <v/>
      </c>
      <c r="K315" s="11" t="str">
        <f t="shared" si="48"/>
        <v/>
      </c>
      <c r="M315" t="str">
        <f>IFERROR(MATCH($C$5&amp;"|"&amp;RIGHT("000000"&amp;299,6),CalcRankKeyA,0),"")</f>
        <v/>
      </c>
      <c r="N315" t="str">
        <f>IFERROR(MATCH($C$5&amp;"|"&amp;RIGHT("000000"&amp;299,6),CalcRankKeyB,0),"")</f>
        <v/>
      </c>
    </row>
    <row r="316" spans="1:14" x14ac:dyDescent="0.2">
      <c r="A316" s="12">
        <v>300</v>
      </c>
      <c r="B316" s="13" t="str">
        <f t="shared" si="40"/>
        <v/>
      </c>
      <c r="C316" s="13" t="str">
        <f t="shared" si="41"/>
        <v/>
      </c>
      <c r="D316" s="13" t="str">
        <f t="shared" si="42"/>
        <v/>
      </c>
      <c r="E316" s="14" t="str">
        <f t="shared" si="43"/>
        <v/>
      </c>
      <c r="F316" s="14" t="str">
        <f t="shared" si="44"/>
        <v/>
      </c>
      <c r="G316" s="14" t="str">
        <f t="shared" si="45"/>
        <v/>
      </c>
      <c r="H316" s="14" t="str">
        <f t="shared" si="46"/>
        <v/>
      </c>
      <c r="I316" s="15" t="str">
        <f t="shared" si="47"/>
        <v/>
      </c>
      <c r="J316" s="15" t="str">
        <f t="shared" si="49"/>
        <v/>
      </c>
      <c r="K316" s="16" t="str">
        <f t="shared" si="48"/>
        <v/>
      </c>
      <c r="M316" t="str">
        <f>IFERROR(MATCH($C$5&amp;"|"&amp;RIGHT("000000"&amp;300,6),CalcRankKeyA,0),"")</f>
        <v/>
      </c>
      <c r="N316" t="str">
        <f>IFERROR(MATCH($C$5&amp;"|"&amp;RIGHT("000000"&amp;300,6),CalcRankKeyB,0),"")</f>
        <v/>
      </c>
    </row>
    <row r="317" spans="1:14" x14ac:dyDescent="0.2">
      <c r="A317" s="7">
        <v>301</v>
      </c>
      <c r="B317" s="8" t="str">
        <f t="shared" si="40"/>
        <v/>
      </c>
      <c r="C317" s="8" t="str">
        <f t="shared" si="41"/>
        <v/>
      </c>
      <c r="D317" s="8" t="str">
        <f t="shared" si="42"/>
        <v/>
      </c>
      <c r="E317" s="9" t="str">
        <f t="shared" si="43"/>
        <v/>
      </c>
      <c r="F317" s="9" t="str">
        <f t="shared" si="44"/>
        <v/>
      </c>
      <c r="G317" s="9" t="str">
        <f t="shared" si="45"/>
        <v/>
      </c>
      <c r="H317" s="9" t="str">
        <f t="shared" si="46"/>
        <v/>
      </c>
      <c r="I317" s="10" t="str">
        <f t="shared" si="47"/>
        <v/>
      </c>
      <c r="J317" s="10" t="str">
        <f t="shared" si="49"/>
        <v/>
      </c>
      <c r="K317" s="11" t="str">
        <f t="shared" si="48"/>
        <v/>
      </c>
      <c r="M317" t="str">
        <f>IFERROR(MATCH($C$5&amp;"|"&amp;RIGHT("000000"&amp;301,6),CalcRankKeyA,0),"")</f>
        <v/>
      </c>
      <c r="N317" t="str">
        <f>IFERROR(MATCH($C$5&amp;"|"&amp;RIGHT("000000"&amp;301,6),CalcRankKeyB,0),"")</f>
        <v/>
      </c>
    </row>
    <row r="318" spans="1:14" x14ac:dyDescent="0.2">
      <c r="A318" s="12">
        <v>302</v>
      </c>
      <c r="B318" s="13" t="str">
        <f t="shared" si="40"/>
        <v/>
      </c>
      <c r="C318" s="13" t="str">
        <f t="shared" si="41"/>
        <v/>
      </c>
      <c r="D318" s="13" t="str">
        <f t="shared" si="42"/>
        <v/>
      </c>
      <c r="E318" s="14" t="str">
        <f t="shared" si="43"/>
        <v/>
      </c>
      <c r="F318" s="14" t="str">
        <f t="shared" si="44"/>
        <v/>
      </c>
      <c r="G318" s="14" t="str">
        <f t="shared" si="45"/>
        <v/>
      </c>
      <c r="H318" s="14" t="str">
        <f t="shared" si="46"/>
        <v/>
      </c>
      <c r="I318" s="15" t="str">
        <f t="shared" si="47"/>
        <v/>
      </c>
      <c r="J318" s="15" t="str">
        <f t="shared" si="49"/>
        <v/>
      </c>
      <c r="K318" s="16" t="str">
        <f t="shared" si="48"/>
        <v/>
      </c>
      <c r="M318" t="str">
        <f>IFERROR(MATCH($C$5&amp;"|"&amp;RIGHT("000000"&amp;302,6),CalcRankKeyA,0),"")</f>
        <v/>
      </c>
      <c r="N318" t="str">
        <f>IFERROR(MATCH($C$5&amp;"|"&amp;RIGHT("000000"&amp;302,6),CalcRankKeyB,0),"")</f>
        <v/>
      </c>
    </row>
    <row r="319" spans="1:14" x14ac:dyDescent="0.2">
      <c r="A319" s="7">
        <v>303</v>
      </c>
      <c r="B319" s="8" t="str">
        <f t="shared" si="40"/>
        <v/>
      </c>
      <c r="C319" s="8" t="str">
        <f t="shared" si="41"/>
        <v/>
      </c>
      <c r="D319" s="8" t="str">
        <f t="shared" si="42"/>
        <v/>
      </c>
      <c r="E319" s="9" t="str">
        <f t="shared" si="43"/>
        <v/>
      </c>
      <c r="F319" s="9" t="str">
        <f t="shared" si="44"/>
        <v/>
      </c>
      <c r="G319" s="9" t="str">
        <f t="shared" si="45"/>
        <v/>
      </c>
      <c r="H319" s="9" t="str">
        <f t="shared" si="46"/>
        <v/>
      </c>
      <c r="I319" s="10" t="str">
        <f t="shared" si="47"/>
        <v/>
      </c>
      <c r="J319" s="10" t="str">
        <f t="shared" si="49"/>
        <v/>
      </c>
      <c r="K319" s="11" t="str">
        <f t="shared" si="48"/>
        <v/>
      </c>
      <c r="M319" t="str">
        <f>IFERROR(MATCH($C$5&amp;"|"&amp;RIGHT("000000"&amp;303,6),CalcRankKeyA,0),"")</f>
        <v/>
      </c>
      <c r="N319" t="str">
        <f>IFERROR(MATCH($C$5&amp;"|"&amp;RIGHT("000000"&amp;303,6),CalcRankKeyB,0),"")</f>
        <v/>
      </c>
    </row>
    <row r="320" spans="1:14" x14ac:dyDescent="0.2">
      <c r="A320" s="12">
        <v>304</v>
      </c>
      <c r="B320" s="13" t="str">
        <f t="shared" si="40"/>
        <v/>
      </c>
      <c r="C320" s="13" t="str">
        <f t="shared" si="41"/>
        <v/>
      </c>
      <c r="D320" s="13" t="str">
        <f t="shared" si="42"/>
        <v/>
      </c>
      <c r="E320" s="14" t="str">
        <f t="shared" si="43"/>
        <v/>
      </c>
      <c r="F320" s="14" t="str">
        <f t="shared" si="44"/>
        <v/>
      </c>
      <c r="G320" s="14" t="str">
        <f t="shared" si="45"/>
        <v/>
      </c>
      <c r="H320" s="14" t="str">
        <f t="shared" si="46"/>
        <v/>
      </c>
      <c r="I320" s="15" t="str">
        <f t="shared" si="47"/>
        <v/>
      </c>
      <c r="J320" s="15" t="str">
        <f t="shared" si="49"/>
        <v/>
      </c>
      <c r="K320" s="16" t="str">
        <f t="shared" si="48"/>
        <v/>
      </c>
      <c r="M320" t="str">
        <f>IFERROR(MATCH($C$5&amp;"|"&amp;RIGHT("000000"&amp;304,6),CalcRankKeyA,0),"")</f>
        <v/>
      </c>
      <c r="N320" t="str">
        <f>IFERROR(MATCH($C$5&amp;"|"&amp;RIGHT("000000"&amp;304,6),CalcRankKeyB,0),"")</f>
        <v/>
      </c>
    </row>
    <row r="321" spans="1:14" x14ac:dyDescent="0.2">
      <c r="A321" s="7">
        <v>305</v>
      </c>
      <c r="B321" s="8" t="str">
        <f t="shared" si="40"/>
        <v/>
      </c>
      <c r="C321" s="8" t="str">
        <f t="shared" si="41"/>
        <v/>
      </c>
      <c r="D321" s="8" t="str">
        <f t="shared" si="42"/>
        <v/>
      </c>
      <c r="E321" s="9" t="str">
        <f t="shared" si="43"/>
        <v/>
      </c>
      <c r="F321" s="9" t="str">
        <f t="shared" si="44"/>
        <v/>
      </c>
      <c r="G321" s="9" t="str">
        <f t="shared" si="45"/>
        <v/>
      </c>
      <c r="H321" s="9" t="str">
        <f t="shared" si="46"/>
        <v/>
      </c>
      <c r="I321" s="10" t="str">
        <f t="shared" si="47"/>
        <v/>
      </c>
      <c r="J321" s="10" t="str">
        <f t="shared" si="49"/>
        <v/>
      </c>
      <c r="K321" s="11" t="str">
        <f t="shared" si="48"/>
        <v/>
      </c>
      <c r="M321" t="str">
        <f>IFERROR(MATCH($C$5&amp;"|"&amp;RIGHT("000000"&amp;305,6),CalcRankKeyA,0),"")</f>
        <v/>
      </c>
      <c r="N321" t="str">
        <f>IFERROR(MATCH($C$5&amp;"|"&amp;RIGHT("000000"&amp;305,6),CalcRankKeyB,0),"")</f>
        <v/>
      </c>
    </row>
    <row r="322" spans="1:14" x14ac:dyDescent="0.2">
      <c r="A322" s="12">
        <v>306</v>
      </c>
      <c r="B322" s="13" t="str">
        <f t="shared" si="40"/>
        <v/>
      </c>
      <c r="C322" s="13" t="str">
        <f t="shared" si="41"/>
        <v/>
      </c>
      <c r="D322" s="13" t="str">
        <f t="shared" si="42"/>
        <v/>
      </c>
      <c r="E322" s="14" t="str">
        <f t="shared" si="43"/>
        <v/>
      </c>
      <c r="F322" s="14" t="str">
        <f t="shared" si="44"/>
        <v/>
      </c>
      <c r="G322" s="14" t="str">
        <f t="shared" si="45"/>
        <v/>
      </c>
      <c r="H322" s="14" t="str">
        <f t="shared" si="46"/>
        <v/>
      </c>
      <c r="I322" s="15" t="str">
        <f t="shared" si="47"/>
        <v/>
      </c>
      <c r="J322" s="15" t="str">
        <f t="shared" si="49"/>
        <v/>
      </c>
      <c r="K322" s="16" t="str">
        <f t="shared" si="48"/>
        <v/>
      </c>
      <c r="M322" t="str">
        <f>IFERROR(MATCH($C$5&amp;"|"&amp;RIGHT("000000"&amp;306,6),CalcRankKeyA,0),"")</f>
        <v/>
      </c>
      <c r="N322" t="str">
        <f>IFERROR(MATCH($C$5&amp;"|"&amp;RIGHT("000000"&amp;306,6),CalcRankKeyB,0),"")</f>
        <v/>
      </c>
    </row>
    <row r="323" spans="1:14" x14ac:dyDescent="0.2">
      <c r="A323" s="7">
        <v>307</v>
      </c>
      <c r="B323" s="8" t="str">
        <f t="shared" si="40"/>
        <v/>
      </c>
      <c r="C323" s="8" t="str">
        <f t="shared" si="41"/>
        <v/>
      </c>
      <c r="D323" s="8" t="str">
        <f t="shared" si="42"/>
        <v/>
      </c>
      <c r="E323" s="9" t="str">
        <f t="shared" si="43"/>
        <v/>
      </c>
      <c r="F323" s="9" t="str">
        <f t="shared" si="44"/>
        <v/>
      </c>
      <c r="G323" s="9" t="str">
        <f t="shared" si="45"/>
        <v/>
      </c>
      <c r="H323" s="9" t="str">
        <f t="shared" si="46"/>
        <v/>
      </c>
      <c r="I323" s="10" t="str">
        <f t="shared" si="47"/>
        <v/>
      </c>
      <c r="J323" s="10" t="str">
        <f t="shared" si="49"/>
        <v/>
      </c>
      <c r="K323" s="11" t="str">
        <f t="shared" si="48"/>
        <v/>
      </c>
      <c r="M323" t="str">
        <f>IFERROR(MATCH($C$5&amp;"|"&amp;RIGHT("000000"&amp;307,6),CalcRankKeyA,0),"")</f>
        <v/>
      </c>
      <c r="N323" t="str">
        <f>IFERROR(MATCH($C$5&amp;"|"&amp;RIGHT("000000"&amp;307,6),CalcRankKeyB,0),"")</f>
        <v/>
      </c>
    </row>
    <row r="324" spans="1:14" x14ac:dyDescent="0.2">
      <c r="A324" s="12">
        <v>308</v>
      </c>
      <c r="B324" s="13" t="str">
        <f t="shared" si="40"/>
        <v/>
      </c>
      <c r="C324" s="13" t="str">
        <f t="shared" si="41"/>
        <v/>
      </c>
      <c r="D324" s="13" t="str">
        <f t="shared" si="42"/>
        <v/>
      </c>
      <c r="E324" s="14" t="str">
        <f t="shared" si="43"/>
        <v/>
      </c>
      <c r="F324" s="14" t="str">
        <f t="shared" si="44"/>
        <v/>
      </c>
      <c r="G324" s="14" t="str">
        <f t="shared" si="45"/>
        <v/>
      </c>
      <c r="H324" s="14" t="str">
        <f t="shared" si="46"/>
        <v/>
      </c>
      <c r="I324" s="15" t="str">
        <f t="shared" si="47"/>
        <v/>
      </c>
      <c r="J324" s="15" t="str">
        <f t="shared" si="49"/>
        <v/>
      </c>
      <c r="K324" s="16" t="str">
        <f t="shared" si="48"/>
        <v/>
      </c>
      <c r="M324" t="str">
        <f>IFERROR(MATCH($C$5&amp;"|"&amp;RIGHT("000000"&amp;308,6),CalcRankKeyA,0),"")</f>
        <v/>
      </c>
      <c r="N324" t="str">
        <f>IFERROR(MATCH($C$5&amp;"|"&amp;RIGHT("000000"&amp;308,6),CalcRankKeyB,0),"")</f>
        <v/>
      </c>
    </row>
    <row r="325" spans="1:14" x14ac:dyDescent="0.2">
      <c r="A325" s="7">
        <v>309</v>
      </c>
      <c r="B325" s="8" t="str">
        <f t="shared" si="40"/>
        <v/>
      </c>
      <c r="C325" s="8" t="str">
        <f t="shared" si="41"/>
        <v/>
      </c>
      <c r="D325" s="8" t="str">
        <f t="shared" si="42"/>
        <v/>
      </c>
      <c r="E325" s="9" t="str">
        <f t="shared" si="43"/>
        <v/>
      </c>
      <c r="F325" s="9" t="str">
        <f t="shared" si="44"/>
        <v/>
      </c>
      <c r="G325" s="9" t="str">
        <f t="shared" si="45"/>
        <v/>
      </c>
      <c r="H325" s="9" t="str">
        <f t="shared" si="46"/>
        <v/>
      </c>
      <c r="I325" s="10" t="str">
        <f t="shared" si="47"/>
        <v/>
      </c>
      <c r="J325" s="10" t="str">
        <f t="shared" si="49"/>
        <v/>
      </c>
      <c r="K325" s="11" t="str">
        <f t="shared" si="48"/>
        <v/>
      </c>
      <c r="M325" t="str">
        <f>IFERROR(MATCH($C$5&amp;"|"&amp;RIGHT("000000"&amp;309,6),CalcRankKeyA,0),"")</f>
        <v/>
      </c>
      <c r="N325" t="str">
        <f>IFERROR(MATCH($C$5&amp;"|"&amp;RIGHT("000000"&amp;309,6),CalcRankKeyB,0),"")</f>
        <v/>
      </c>
    </row>
    <row r="326" spans="1:14" x14ac:dyDescent="0.2">
      <c r="A326" s="12">
        <v>310</v>
      </c>
      <c r="B326" s="13" t="str">
        <f t="shared" si="40"/>
        <v/>
      </c>
      <c r="C326" s="13" t="str">
        <f t="shared" si="41"/>
        <v/>
      </c>
      <c r="D326" s="13" t="str">
        <f t="shared" si="42"/>
        <v/>
      </c>
      <c r="E326" s="14" t="str">
        <f t="shared" si="43"/>
        <v/>
      </c>
      <c r="F326" s="14" t="str">
        <f t="shared" si="44"/>
        <v/>
      </c>
      <c r="G326" s="14" t="str">
        <f t="shared" si="45"/>
        <v/>
      </c>
      <c r="H326" s="14" t="str">
        <f t="shared" si="46"/>
        <v/>
      </c>
      <c r="I326" s="15" t="str">
        <f t="shared" si="47"/>
        <v/>
      </c>
      <c r="J326" s="15" t="str">
        <f t="shared" si="49"/>
        <v/>
      </c>
      <c r="K326" s="16" t="str">
        <f t="shared" si="48"/>
        <v/>
      </c>
      <c r="M326" t="str">
        <f>IFERROR(MATCH($C$5&amp;"|"&amp;RIGHT("000000"&amp;310,6),CalcRankKeyA,0),"")</f>
        <v/>
      </c>
      <c r="N326" t="str">
        <f>IFERROR(MATCH($C$5&amp;"|"&amp;RIGHT("000000"&amp;310,6),CalcRankKeyB,0),"")</f>
        <v/>
      </c>
    </row>
    <row r="327" spans="1:14" x14ac:dyDescent="0.2">
      <c r="A327" s="7">
        <v>311</v>
      </c>
      <c r="B327" s="8" t="str">
        <f t="shared" si="40"/>
        <v/>
      </c>
      <c r="C327" s="8" t="str">
        <f t="shared" si="41"/>
        <v/>
      </c>
      <c r="D327" s="8" t="str">
        <f t="shared" si="42"/>
        <v/>
      </c>
      <c r="E327" s="9" t="str">
        <f t="shared" si="43"/>
        <v/>
      </c>
      <c r="F327" s="9" t="str">
        <f t="shared" si="44"/>
        <v/>
      </c>
      <c r="G327" s="9" t="str">
        <f t="shared" si="45"/>
        <v/>
      </c>
      <c r="H327" s="9" t="str">
        <f t="shared" si="46"/>
        <v/>
      </c>
      <c r="I327" s="10" t="str">
        <f t="shared" si="47"/>
        <v/>
      </c>
      <c r="J327" s="10" t="str">
        <f t="shared" si="49"/>
        <v/>
      </c>
      <c r="K327" s="11" t="str">
        <f t="shared" si="48"/>
        <v/>
      </c>
      <c r="M327" t="str">
        <f>IFERROR(MATCH($C$5&amp;"|"&amp;RIGHT("000000"&amp;311,6),CalcRankKeyA,0),"")</f>
        <v/>
      </c>
      <c r="N327" t="str">
        <f>IFERROR(MATCH($C$5&amp;"|"&amp;RIGHT("000000"&amp;311,6),CalcRankKeyB,0),"")</f>
        <v/>
      </c>
    </row>
    <row r="328" spans="1:14" x14ac:dyDescent="0.2">
      <c r="A328" s="12">
        <v>312</v>
      </c>
      <c r="B328" s="13" t="str">
        <f t="shared" si="40"/>
        <v/>
      </c>
      <c r="C328" s="13" t="str">
        <f t="shared" si="41"/>
        <v/>
      </c>
      <c r="D328" s="13" t="str">
        <f t="shared" si="42"/>
        <v/>
      </c>
      <c r="E328" s="14" t="str">
        <f t="shared" si="43"/>
        <v/>
      </c>
      <c r="F328" s="14" t="str">
        <f t="shared" si="44"/>
        <v/>
      </c>
      <c r="G328" s="14" t="str">
        <f t="shared" si="45"/>
        <v/>
      </c>
      <c r="H328" s="14" t="str">
        <f t="shared" si="46"/>
        <v/>
      </c>
      <c r="I328" s="15" t="str">
        <f t="shared" si="47"/>
        <v/>
      </c>
      <c r="J328" s="15" t="str">
        <f t="shared" si="49"/>
        <v/>
      </c>
      <c r="K328" s="16" t="str">
        <f t="shared" si="48"/>
        <v/>
      </c>
      <c r="M328" t="str">
        <f>IFERROR(MATCH($C$5&amp;"|"&amp;RIGHT("000000"&amp;312,6),CalcRankKeyA,0),"")</f>
        <v/>
      </c>
      <c r="N328" t="str">
        <f>IFERROR(MATCH($C$5&amp;"|"&amp;RIGHT("000000"&amp;312,6),CalcRankKeyB,0),"")</f>
        <v/>
      </c>
    </row>
    <row r="329" spans="1:14" x14ac:dyDescent="0.2">
      <c r="A329" s="7">
        <v>313</v>
      </c>
      <c r="B329" s="8" t="str">
        <f t="shared" si="40"/>
        <v/>
      </c>
      <c r="C329" s="8" t="str">
        <f t="shared" si="41"/>
        <v/>
      </c>
      <c r="D329" s="8" t="str">
        <f t="shared" si="42"/>
        <v/>
      </c>
      <c r="E329" s="9" t="str">
        <f t="shared" si="43"/>
        <v/>
      </c>
      <c r="F329" s="9" t="str">
        <f t="shared" si="44"/>
        <v/>
      </c>
      <c r="G329" s="9" t="str">
        <f t="shared" si="45"/>
        <v/>
      </c>
      <c r="H329" s="9" t="str">
        <f t="shared" si="46"/>
        <v/>
      </c>
      <c r="I329" s="10" t="str">
        <f t="shared" si="47"/>
        <v/>
      </c>
      <c r="J329" s="10" t="str">
        <f t="shared" si="49"/>
        <v/>
      </c>
      <c r="K329" s="11" t="str">
        <f t="shared" si="48"/>
        <v/>
      </c>
      <c r="M329" t="str">
        <f>IFERROR(MATCH($C$5&amp;"|"&amp;RIGHT("000000"&amp;313,6),CalcRankKeyA,0),"")</f>
        <v/>
      </c>
      <c r="N329" t="str">
        <f>IFERROR(MATCH($C$5&amp;"|"&amp;RIGHT("000000"&amp;313,6),CalcRankKeyB,0),"")</f>
        <v/>
      </c>
    </row>
    <row r="330" spans="1:14" x14ac:dyDescent="0.2">
      <c r="A330" s="12">
        <v>314</v>
      </c>
      <c r="B330" s="13" t="str">
        <f t="shared" si="40"/>
        <v/>
      </c>
      <c r="C330" s="13" t="str">
        <f t="shared" si="41"/>
        <v/>
      </c>
      <c r="D330" s="13" t="str">
        <f t="shared" si="42"/>
        <v/>
      </c>
      <c r="E330" s="14" t="str">
        <f t="shared" si="43"/>
        <v/>
      </c>
      <c r="F330" s="14" t="str">
        <f t="shared" si="44"/>
        <v/>
      </c>
      <c r="G330" s="14" t="str">
        <f t="shared" si="45"/>
        <v/>
      </c>
      <c r="H330" s="14" t="str">
        <f t="shared" si="46"/>
        <v/>
      </c>
      <c r="I330" s="15" t="str">
        <f t="shared" si="47"/>
        <v/>
      </c>
      <c r="J330" s="15" t="str">
        <f t="shared" si="49"/>
        <v/>
      </c>
      <c r="K330" s="16" t="str">
        <f t="shared" si="48"/>
        <v/>
      </c>
      <c r="M330" t="str">
        <f>IFERROR(MATCH($C$5&amp;"|"&amp;RIGHT("000000"&amp;314,6),CalcRankKeyA,0),"")</f>
        <v/>
      </c>
      <c r="N330" t="str">
        <f>IFERROR(MATCH($C$5&amp;"|"&amp;RIGHT("000000"&amp;314,6),CalcRankKeyB,0),"")</f>
        <v/>
      </c>
    </row>
    <row r="331" spans="1:14" x14ac:dyDescent="0.2">
      <c r="A331" s="7">
        <v>315</v>
      </c>
      <c r="B331" s="8" t="str">
        <f t="shared" si="40"/>
        <v/>
      </c>
      <c r="C331" s="8" t="str">
        <f t="shared" si="41"/>
        <v/>
      </c>
      <c r="D331" s="8" t="str">
        <f t="shared" si="42"/>
        <v/>
      </c>
      <c r="E331" s="9" t="str">
        <f t="shared" si="43"/>
        <v/>
      </c>
      <c r="F331" s="9" t="str">
        <f t="shared" si="44"/>
        <v/>
      </c>
      <c r="G331" s="9" t="str">
        <f t="shared" si="45"/>
        <v/>
      </c>
      <c r="H331" s="9" t="str">
        <f t="shared" si="46"/>
        <v/>
      </c>
      <c r="I331" s="10" t="str">
        <f t="shared" si="47"/>
        <v/>
      </c>
      <c r="J331" s="10" t="str">
        <f t="shared" si="49"/>
        <v/>
      </c>
      <c r="K331" s="11" t="str">
        <f t="shared" si="48"/>
        <v/>
      </c>
      <c r="M331" t="str">
        <f>IFERROR(MATCH($C$5&amp;"|"&amp;RIGHT("000000"&amp;315,6),CalcRankKeyA,0),"")</f>
        <v/>
      </c>
      <c r="N331" t="str">
        <f>IFERROR(MATCH($C$5&amp;"|"&amp;RIGHT("000000"&amp;315,6),CalcRankKeyB,0),"")</f>
        <v/>
      </c>
    </row>
    <row r="332" spans="1:14" x14ac:dyDescent="0.2">
      <c r="A332" s="12">
        <v>316</v>
      </c>
      <c r="B332" s="13" t="str">
        <f t="shared" si="40"/>
        <v/>
      </c>
      <c r="C332" s="13" t="str">
        <f t="shared" si="41"/>
        <v/>
      </c>
      <c r="D332" s="13" t="str">
        <f t="shared" si="42"/>
        <v/>
      </c>
      <c r="E332" s="14" t="str">
        <f t="shared" si="43"/>
        <v/>
      </c>
      <c r="F332" s="14" t="str">
        <f t="shared" si="44"/>
        <v/>
      </c>
      <c r="G332" s="14" t="str">
        <f t="shared" si="45"/>
        <v/>
      </c>
      <c r="H332" s="14" t="str">
        <f t="shared" si="46"/>
        <v/>
      </c>
      <c r="I332" s="15" t="str">
        <f t="shared" si="47"/>
        <v/>
      </c>
      <c r="J332" s="15" t="str">
        <f t="shared" si="49"/>
        <v/>
      </c>
      <c r="K332" s="16" t="str">
        <f t="shared" si="48"/>
        <v/>
      </c>
      <c r="M332" t="str">
        <f>IFERROR(MATCH($C$5&amp;"|"&amp;RIGHT("000000"&amp;316,6),CalcRankKeyA,0),"")</f>
        <v/>
      </c>
      <c r="N332" t="str">
        <f>IFERROR(MATCH($C$5&amp;"|"&amp;RIGHT("000000"&amp;316,6),CalcRankKeyB,0),"")</f>
        <v/>
      </c>
    </row>
    <row r="333" spans="1:14" x14ac:dyDescent="0.2">
      <c r="A333" s="7">
        <v>317</v>
      </c>
      <c r="B333" s="8" t="str">
        <f t="shared" si="40"/>
        <v/>
      </c>
      <c r="C333" s="8" t="str">
        <f t="shared" si="41"/>
        <v/>
      </c>
      <c r="D333" s="8" t="str">
        <f t="shared" si="42"/>
        <v/>
      </c>
      <c r="E333" s="9" t="str">
        <f t="shared" si="43"/>
        <v/>
      </c>
      <c r="F333" s="9" t="str">
        <f t="shared" si="44"/>
        <v/>
      </c>
      <c r="G333" s="9" t="str">
        <f t="shared" si="45"/>
        <v/>
      </c>
      <c r="H333" s="9" t="str">
        <f t="shared" si="46"/>
        <v/>
      </c>
      <c r="I333" s="10" t="str">
        <f t="shared" si="47"/>
        <v/>
      </c>
      <c r="J333" s="10" t="str">
        <f t="shared" si="49"/>
        <v/>
      </c>
      <c r="K333" s="11" t="str">
        <f t="shared" si="48"/>
        <v/>
      </c>
      <c r="M333" t="str">
        <f>IFERROR(MATCH($C$5&amp;"|"&amp;RIGHT("000000"&amp;317,6),CalcRankKeyA,0),"")</f>
        <v/>
      </c>
      <c r="N333" t="str">
        <f>IFERROR(MATCH($C$5&amp;"|"&amp;RIGHT("000000"&amp;317,6),CalcRankKeyB,0),"")</f>
        <v/>
      </c>
    </row>
    <row r="334" spans="1:14" x14ac:dyDescent="0.2">
      <c r="A334" s="12">
        <v>318</v>
      </c>
      <c r="B334" s="13" t="str">
        <f t="shared" si="40"/>
        <v/>
      </c>
      <c r="C334" s="13" t="str">
        <f t="shared" si="41"/>
        <v/>
      </c>
      <c r="D334" s="13" t="str">
        <f t="shared" si="42"/>
        <v/>
      </c>
      <c r="E334" s="14" t="str">
        <f t="shared" si="43"/>
        <v/>
      </c>
      <c r="F334" s="14" t="str">
        <f t="shared" si="44"/>
        <v/>
      </c>
      <c r="G334" s="14" t="str">
        <f t="shared" si="45"/>
        <v/>
      </c>
      <c r="H334" s="14" t="str">
        <f t="shared" si="46"/>
        <v/>
      </c>
      <c r="I334" s="15" t="str">
        <f t="shared" si="47"/>
        <v/>
      </c>
      <c r="J334" s="15" t="str">
        <f t="shared" si="49"/>
        <v/>
      </c>
      <c r="K334" s="16" t="str">
        <f t="shared" si="48"/>
        <v/>
      </c>
      <c r="M334" t="str">
        <f>IFERROR(MATCH($C$5&amp;"|"&amp;RIGHT("000000"&amp;318,6),CalcRankKeyA,0),"")</f>
        <v/>
      </c>
      <c r="N334" t="str">
        <f>IFERROR(MATCH($C$5&amp;"|"&amp;RIGHT("000000"&amp;318,6),CalcRankKeyB,0),"")</f>
        <v/>
      </c>
    </row>
    <row r="335" spans="1:14" x14ac:dyDescent="0.2">
      <c r="A335" s="7">
        <v>319</v>
      </c>
      <c r="B335" s="8" t="str">
        <f t="shared" si="40"/>
        <v/>
      </c>
      <c r="C335" s="8" t="str">
        <f t="shared" si="41"/>
        <v/>
      </c>
      <c r="D335" s="8" t="str">
        <f t="shared" si="42"/>
        <v/>
      </c>
      <c r="E335" s="9" t="str">
        <f t="shared" si="43"/>
        <v/>
      </c>
      <c r="F335" s="9" t="str">
        <f t="shared" si="44"/>
        <v/>
      </c>
      <c r="G335" s="9" t="str">
        <f t="shared" si="45"/>
        <v/>
      </c>
      <c r="H335" s="9" t="str">
        <f t="shared" si="46"/>
        <v/>
      </c>
      <c r="I335" s="10" t="str">
        <f t="shared" si="47"/>
        <v/>
      </c>
      <c r="J335" s="10" t="str">
        <f t="shared" si="49"/>
        <v/>
      </c>
      <c r="K335" s="11" t="str">
        <f t="shared" si="48"/>
        <v/>
      </c>
      <c r="M335" t="str">
        <f>IFERROR(MATCH($C$5&amp;"|"&amp;RIGHT("000000"&amp;319,6),CalcRankKeyA,0),"")</f>
        <v/>
      </c>
      <c r="N335" t="str">
        <f>IFERROR(MATCH($C$5&amp;"|"&amp;RIGHT("000000"&amp;319,6),CalcRankKeyB,0),"")</f>
        <v/>
      </c>
    </row>
    <row r="336" spans="1:14" x14ac:dyDescent="0.2">
      <c r="A336" s="12">
        <v>320</v>
      </c>
      <c r="B336" s="13" t="str">
        <f t="shared" si="40"/>
        <v/>
      </c>
      <c r="C336" s="13" t="str">
        <f t="shared" si="41"/>
        <v/>
      </c>
      <c r="D336" s="13" t="str">
        <f t="shared" si="42"/>
        <v/>
      </c>
      <c r="E336" s="14" t="str">
        <f t="shared" si="43"/>
        <v/>
      </c>
      <c r="F336" s="14" t="str">
        <f t="shared" si="44"/>
        <v/>
      </c>
      <c r="G336" s="14" t="str">
        <f t="shared" si="45"/>
        <v/>
      </c>
      <c r="H336" s="14" t="str">
        <f t="shared" si="46"/>
        <v/>
      </c>
      <c r="I336" s="15" t="str">
        <f t="shared" si="47"/>
        <v/>
      </c>
      <c r="J336" s="15" t="str">
        <f t="shared" si="49"/>
        <v/>
      </c>
      <c r="K336" s="16" t="str">
        <f t="shared" si="48"/>
        <v/>
      </c>
      <c r="M336" t="str">
        <f>IFERROR(MATCH($C$5&amp;"|"&amp;RIGHT("000000"&amp;320,6),CalcRankKeyA,0),"")</f>
        <v/>
      </c>
      <c r="N336" t="str">
        <f>IFERROR(MATCH($C$5&amp;"|"&amp;RIGHT("000000"&amp;320,6),CalcRankKeyB,0),"")</f>
        <v/>
      </c>
    </row>
    <row r="337" spans="1:14" x14ac:dyDescent="0.2">
      <c r="A337" s="7">
        <v>321</v>
      </c>
      <c r="B337" s="8" t="str">
        <f t="shared" ref="B337:B400" si="50">IF(AND($M337="",$N337=""),"",IF($M337&lt;&gt;"",INDEX(CalcDateA,$M337),INDEX(CalcDateB,$N337)))</f>
        <v/>
      </c>
      <c r="C337" s="8" t="str">
        <f t="shared" ref="C337:C400" si="51">IF($M337&lt;&gt;"","خرید سبد",IF($N337&lt;&gt;"",IF(N(INDEX(CalcDepB,$N337))&gt;0,"دریافت بانکی","پرداخت بانکی"),""))</f>
        <v/>
      </c>
      <c r="D337" s="8" t="str">
        <f t="shared" ref="D337:D400" si="52">IF($M337&lt;&gt;"",IF(INDEX(CalcDocA,$M337)="","—",INDEX(CalcDocA,$M337)),IF($N337&lt;&gt;"",INDEX(CalcBankB,$N337),""))</f>
        <v/>
      </c>
      <c r="E337" s="9" t="str">
        <f t="shared" ref="E337:E400" si="53">IF($N337&lt;&gt;"",IF(INDEX(CalcDepB,$N337)=0,"",INDEX(CalcDepB,$N337)),"")</f>
        <v/>
      </c>
      <c r="F337" s="9" t="str">
        <f t="shared" ref="F337:F400" si="54">IF($M337&lt;&gt;"",IF(INDEX(CalcQtyA,$M337)=0,"",INDEX(CalcQtyA,$M337)),"")</f>
        <v/>
      </c>
      <c r="G337" s="9" t="str">
        <f t="shared" ref="G337:G400" si="55">IF($M337&lt;&gt;"",IF(INDEX(CalcPriceA,$M337)=0,"",INDEX(CalcPriceA,$M337)),"")</f>
        <v/>
      </c>
      <c r="H337" s="9" t="str">
        <f t="shared" ref="H337:H400" si="56">IF($N337&lt;&gt;"",IF(INDEX(CalcWitB,$N337)=0,"",INDEX(CalcWitB,$N337)),"")</f>
        <v/>
      </c>
      <c r="I337" s="10" t="str">
        <f t="shared" ref="I337:I400" si="57">IF($M337&lt;&gt;"",INDEX(CalcAmtA,$M337),"")</f>
        <v/>
      </c>
      <c r="J337" s="10" t="str">
        <f t="shared" si="49"/>
        <v/>
      </c>
      <c r="K337" s="11" t="str">
        <f t="shared" ref="K337:K400" si="58">IF($M337&lt;&gt;"",IF(INDEX(CalcNoteA,$M337)="","—",INDEX(CalcNoteA,$M337)),IF($N337&lt;&gt;"",IF(INDEX(CalcNoteB,$N337)="","—",INDEX(CalcNoteB,$N337)),""))</f>
        <v/>
      </c>
      <c r="M337" t="str">
        <f>IFERROR(MATCH($C$5&amp;"|"&amp;RIGHT("000000"&amp;321,6),CalcRankKeyA,0),"")</f>
        <v/>
      </c>
      <c r="N337" t="str">
        <f>IFERROR(MATCH($C$5&amp;"|"&amp;RIGHT("000000"&amp;321,6),CalcRankKeyB,0),"")</f>
        <v/>
      </c>
    </row>
    <row r="338" spans="1:14" x14ac:dyDescent="0.2">
      <c r="A338" s="12">
        <v>322</v>
      </c>
      <c r="B338" s="13" t="str">
        <f t="shared" si="50"/>
        <v/>
      </c>
      <c r="C338" s="13" t="str">
        <f t="shared" si="51"/>
        <v/>
      </c>
      <c r="D338" s="13" t="str">
        <f t="shared" si="52"/>
        <v/>
      </c>
      <c r="E338" s="14" t="str">
        <f t="shared" si="53"/>
        <v/>
      </c>
      <c r="F338" s="14" t="str">
        <f t="shared" si="54"/>
        <v/>
      </c>
      <c r="G338" s="14" t="str">
        <f t="shared" si="55"/>
        <v/>
      </c>
      <c r="H338" s="14" t="str">
        <f t="shared" si="56"/>
        <v/>
      </c>
      <c r="I338" s="15" t="str">
        <f t="shared" si="57"/>
        <v/>
      </c>
      <c r="J338" s="15" t="str">
        <f t="shared" ref="J338:J401" si="59">IF($B338="","",IF($J337="",$C$8,$J337)+IF($I338="",0,$I338)+IF($E338="",0,$E338)-IF($H338="",0,$H338))</f>
        <v/>
      </c>
      <c r="K338" s="16" t="str">
        <f t="shared" si="58"/>
        <v/>
      </c>
      <c r="M338" t="str">
        <f>IFERROR(MATCH($C$5&amp;"|"&amp;RIGHT("000000"&amp;322,6),CalcRankKeyA,0),"")</f>
        <v/>
      </c>
      <c r="N338" t="str">
        <f>IFERROR(MATCH($C$5&amp;"|"&amp;RIGHT("000000"&amp;322,6),CalcRankKeyB,0),"")</f>
        <v/>
      </c>
    </row>
    <row r="339" spans="1:14" x14ac:dyDescent="0.2">
      <c r="A339" s="7">
        <v>323</v>
      </c>
      <c r="B339" s="8" t="str">
        <f t="shared" si="50"/>
        <v/>
      </c>
      <c r="C339" s="8" t="str">
        <f t="shared" si="51"/>
        <v/>
      </c>
      <c r="D339" s="8" t="str">
        <f t="shared" si="52"/>
        <v/>
      </c>
      <c r="E339" s="9" t="str">
        <f t="shared" si="53"/>
        <v/>
      </c>
      <c r="F339" s="9" t="str">
        <f t="shared" si="54"/>
        <v/>
      </c>
      <c r="G339" s="9" t="str">
        <f t="shared" si="55"/>
        <v/>
      </c>
      <c r="H339" s="9" t="str">
        <f t="shared" si="56"/>
        <v/>
      </c>
      <c r="I339" s="10" t="str">
        <f t="shared" si="57"/>
        <v/>
      </c>
      <c r="J339" s="10" t="str">
        <f t="shared" si="59"/>
        <v/>
      </c>
      <c r="K339" s="11" t="str">
        <f t="shared" si="58"/>
        <v/>
      </c>
      <c r="M339" t="str">
        <f>IFERROR(MATCH($C$5&amp;"|"&amp;RIGHT("000000"&amp;323,6),CalcRankKeyA,0),"")</f>
        <v/>
      </c>
      <c r="N339" t="str">
        <f>IFERROR(MATCH($C$5&amp;"|"&amp;RIGHT("000000"&amp;323,6),CalcRankKeyB,0),"")</f>
        <v/>
      </c>
    </row>
    <row r="340" spans="1:14" x14ac:dyDescent="0.2">
      <c r="A340" s="12">
        <v>324</v>
      </c>
      <c r="B340" s="13" t="str">
        <f t="shared" si="50"/>
        <v/>
      </c>
      <c r="C340" s="13" t="str">
        <f t="shared" si="51"/>
        <v/>
      </c>
      <c r="D340" s="13" t="str">
        <f t="shared" si="52"/>
        <v/>
      </c>
      <c r="E340" s="14" t="str">
        <f t="shared" si="53"/>
        <v/>
      </c>
      <c r="F340" s="14" t="str">
        <f t="shared" si="54"/>
        <v/>
      </c>
      <c r="G340" s="14" t="str">
        <f t="shared" si="55"/>
        <v/>
      </c>
      <c r="H340" s="14" t="str">
        <f t="shared" si="56"/>
        <v/>
      </c>
      <c r="I340" s="15" t="str">
        <f t="shared" si="57"/>
        <v/>
      </c>
      <c r="J340" s="15" t="str">
        <f t="shared" si="59"/>
        <v/>
      </c>
      <c r="K340" s="16" t="str">
        <f t="shared" si="58"/>
        <v/>
      </c>
      <c r="M340" t="str">
        <f>IFERROR(MATCH($C$5&amp;"|"&amp;RIGHT("000000"&amp;324,6),CalcRankKeyA,0),"")</f>
        <v/>
      </c>
      <c r="N340" t="str">
        <f>IFERROR(MATCH($C$5&amp;"|"&amp;RIGHT("000000"&amp;324,6),CalcRankKeyB,0),"")</f>
        <v/>
      </c>
    </row>
    <row r="341" spans="1:14" x14ac:dyDescent="0.2">
      <c r="A341" s="7">
        <v>325</v>
      </c>
      <c r="B341" s="8" t="str">
        <f t="shared" si="50"/>
        <v/>
      </c>
      <c r="C341" s="8" t="str">
        <f t="shared" si="51"/>
        <v/>
      </c>
      <c r="D341" s="8" t="str">
        <f t="shared" si="52"/>
        <v/>
      </c>
      <c r="E341" s="9" t="str">
        <f t="shared" si="53"/>
        <v/>
      </c>
      <c r="F341" s="9" t="str">
        <f t="shared" si="54"/>
        <v/>
      </c>
      <c r="G341" s="9" t="str">
        <f t="shared" si="55"/>
        <v/>
      </c>
      <c r="H341" s="9" t="str">
        <f t="shared" si="56"/>
        <v/>
      </c>
      <c r="I341" s="10" t="str">
        <f t="shared" si="57"/>
        <v/>
      </c>
      <c r="J341" s="10" t="str">
        <f t="shared" si="59"/>
        <v/>
      </c>
      <c r="K341" s="11" t="str">
        <f t="shared" si="58"/>
        <v/>
      </c>
      <c r="M341" t="str">
        <f>IFERROR(MATCH($C$5&amp;"|"&amp;RIGHT("000000"&amp;325,6),CalcRankKeyA,0),"")</f>
        <v/>
      </c>
      <c r="N341" t="str">
        <f>IFERROR(MATCH($C$5&amp;"|"&amp;RIGHT("000000"&amp;325,6),CalcRankKeyB,0),"")</f>
        <v/>
      </c>
    </row>
    <row r="342" spans="1:14" x14ac:dyDescent="0.2">
      <c r="A342" s="12">
        <v>326</v>
      </c>
      <c r="B342" s="13" t="str">
        <f t="shared" si="50"/>
        <v/>
      </c>
      <c r="C342" s="13" t="str">
        <f t="shared" si="51"/>
        <v/>
      </c>
      <c r="D342" s="13" t="str">
        <f t="shared" si="52"/>
        <v/>
      </c>
      <c r="E342" s="14" t="str">
        <f t="shared" si="53"/>
        <v/>
      </c>
      <c r="F342" s="14" t="str">
        <f t="shared" si="54"/>
        <v/>
      </c>
      <c r="G342" s="14" t="str">
        <f t="shared" si="55"/>
        <v/>
      </c>
      <c r="H342" s="14" t="str">
        <f t="shared" si="56"/>
        <v/>
      </c>
      <c r="I342" s="15" t="str">
        <f t="shared" si="57"/>
        <v/>
      </c>
      <c r="J342" s="15" t="str">
        <f t="shared" si="59"/>
        <v/>
      </c>
      <c r="K342" s="16" t="str">
        <f t="shared" si="58"/>
        <v/>
      </c>
      <c r="M342" t="str">
        <f>IFERROR(MATCH($C$5&amp;"|"&amp;RIGHT("000000"&amp;326,6),CalcRankKeyA,0),"")</f>
        <v/>
      </c>
      <c r="N342" t="str">
        <f>IFERROR(MATCH($C$5&amp;"|"&amp;RIGHT("000000"&amp;326,6),CalcRankKeyB,0),"")</f>
        <v/>
      </c>
    </row>
    <row r="343" spans="1:14" x14ac:dyDescent="0.2">
      <c r="A343" s="7">
        <v>327</v>
      </c>
      <c r="B343" s="8" t="str">
        <f t="shared" si="50"/>
        <v/>
      </c>
      <c r="C343" s="8" t="str">
        <f t="shared" si="51"/>
        <v/>
      </c>
      <c r="D343" s="8" t="str">
        <f t="shared" si="52"/>
        <v/>
      </c>
      <c r="E343" s="9" t="str">
        <f t="shared" si="53"/>
        <v/>
      </c>
      <c r="F343" s="9" t="str">
        <f t="shared" si="54"/>
        <v/>
      </c>
      <c r="G343" s="9" t="str">
        <f t="shared" si="55"/>
        <v/>
      </c>
      <c r="H343" s="9" t="str">
        <f t="shared" si="56"/>
        <v/>
      </c>
      <c r="I343" s="10" t="str">
        <f t="shared" si="57"/>
        <v/>
      </c>
      <c r="J343" s="10" t="str">
        <f t="shared" si="59"/>
        <v/>
      </c>
      <c r="K343" s="11" t="str">
        <f t="shared" si="58"/>
        <v/>
      </c>
      <c r="M343" t="str">
        <f>IFERROR(MATCH($C$5&amp;"|"&amp;RIGHT("000000"&amp;327,6),CalcRankKeyA,0),"")</f>
        <v/>
      </c>
      <c r="N343" t="str">
        <f>IFERROR(MATCH($C$5&amp;"|"&amp;RIGHT("000000"&amp;327,6),CalcRankKeyB,0),"")</f>
        <v/>
      </c>
    </row>
    <row r="344" spans="1:14" x14ac:dyDescent="0.2">
      <c r="A344" s="12">
        <v>328</v>
      </c>
      <c r="B344" s="13" t="str">
        <f t="shared" si="50"/>
        <v/>
      </c>
      <c r="C344" s="13" t="str">
        <f t="shared" si="51"/>
        <v/>
      </c>
      <c r="D344" s="13" t="str">
        <f t="shared" si="52"/>
        <v/>
      </c>
      <c r="E344" s="14" t="str">
        <f t="shared" si="53"/>
        <v/>
      </c>
      <c r="F344" s="14" t="str">
        <f t="shared" si="54"/>
        <v/>
      </c>
      <c r="G344" s="14" t="str">
        <f t="shared" si="55"/>
        <v/>
      </c>
      <c r="H344" s="14" t="str">
        <f t="shared" si="56"/>
        <v/>
      </c>
      <c r="I344" s="15" t="str">
        <f t="shared" si="57"/>
        <v/>
      </c>
      <c r="J344" s="15" t="str">
        <f t="shared" si="59"/>
        <v/>
      </c>
      <c r="K344" s="16" t="str">
        <f t="shared" si="58"/>
        <v/>
      </c>
      <c r="M344" t="str">
        <f>IFERROR(MATCH($C$5&amp;"|"&amp;RIGHT("000000"&amp;328,6),CalcRankKeyA,0),"")</f>
        <v/>
      </c>
      <c r="N344" t="str">
        <f>IFERROR(MATCH($C$5&amp;"|"&amp;RIGHT("000000"&amp;328,6),CalcRankKeyB,0),"")</f>
        <v/>
      </c>
    </row>
    <row r="345" spans="1:14" x14ac:dyDescent="0.2">
      <c r="A345" s="7">
        <v>329</v>
      </c>
      <c r="B345" s="8" t="str">
        <f t="shared" si="50"/>
        <v/>
      </c>
      <c r="C345" s="8" t="str">
        <f t="shared" si="51"/>
        <v/>
      </c>
      <c r="D345" s="8" t="str">
        <f t="shared" si="52"/>
        <v/>
      </c>
      <c r="E345" s="9" t="str">
        <f t="shared" si="53"/>
        <v/>
      </c>
      <c r="F345" s="9" t="str">
        <f t="shared" si="54"/>
        <v/>
      </c>
      <c r="G345" s="9" t="str">
        <f t="shared" si="55"/>
        <v/>
      </c>
      <c r="H345" s="9" t="str">
        <f t="shared" si="56"/>
        <v/>
      </c>
      <c r="I345" s="10" t="str">
        <f t="shared" si="57"/>
        <v/>
      </c>
      <c r="J345" s="10" t="str">
        <f t="shared" si="59"/>
        <v/>
      </c>
      <c r="K345" s="11" t="str">
        <f t="shared" si="58"/>
        <v/>
      </c>
      <c r="M345" t="str">
        <f>IFERROR(MATCH($C$5&amp;"|"&amp;RIGHT("000000"&amp;329,6),CalcRankKeyA,0),"")</f>
        <v/>
      </c>
      <c r="N345" t="str">
        <f>IFERROR(MATCH($C$5&amp;"|"&amp;RIGHT("000000"&amp;329,6),CalcRankKeyB,0),"")</f>
        <v/>
      </c>
    </row>
    <row r="346" spans="1:14" x14ac:dyDescent="0.2">
      <c r="A346" s="12">
        <v>330</v>
      </c>
      <c r="B346" s="13" t="str">
        <f t="shared" si="50"/>
        <v/>
      </c>
      <c r="C346" s="13" t="str">
        <f t="shared" si="51"/>
        <v/>
      </c>
      <c r="D346" s="13" t="str">
        <f t="shared" si="52"/>
        <v/>
      </c>
      <c r="E346" s="14" t="str">
        <f t="shared" si="53"/>
        <v/>
      </c>
      <c r="F346" s="14" t="str">
        <f t="shared" si="54"/>
        <v/>
      </c>
      <c r="G346" s="14" t="str">
        <f t="shared" si="55"/>
        <v/>
      </c>
      <c r="H346" s="14" t="str">
        <f t="shared" si="56"/>
        <v/>
      </c>
      <c r="I346" s="15" t="str">
        <f t="shared" si="57"/>
        <v/>
      </c>
      <c r="J346" s="15" t="str">
        <f t="shared" si="59"/>
        <v/>
      </c>
      <c r="K346" s="16" t="str">
        <f t="shared" si="58"/>
        <v/>
      </c>
      <c r="M346" t="str">
        <f>IFERROR(MATCH($C$5&amp;"|"&amp;RIGHT("000000"&amp;330,6),CalcRankKeyA,0),"")</f>
        <v/>
      </c>
      <c r="N346" t="str">
        <f>IFERROR(MATCH($C$5&amp;"|"&amp;RIGHT("000000"&amp;330,6),CalcRankKeyB,0),"")</f>
        <v/>
      </c>
    </row>
    <row r="347" spans="1:14" x14ac:dyDescent="0.2">
      <c r="A347" s="7">
        <v>331</v>
      </c>
      <c r="B347" s="8" t="str">
        <f t="shared" si="50"/>
        <v/>
      </c>
      <c r="C347" s="8" t="str">
        <f t="shared" si="51"/>
        <v/>
      </c>
      <c r="D347" s="8" t="str">
        <f t="shared" si="52"/>
        <v/>
      </c>
      <c r="E347" s="9" t="str">
        <f t="shared" si="53"/>
        <v/>
      </c>
      <c r="F347" s="9" t="str">
        <f t="shared" si="54"/>
        <v/>
      </c>
      <c r="G347" s="9" t="str">
        <f t="shared" si="55"/>
        <v/>
      </c>
      <c r="H347" s="9" t="str">
        <f t="shared" si="56"/>
        <v/>
      </c>
      <c r="I347" s="10" t="str">
        <f t="shared" si="57"/>
        <v/>
      </c>
      <c r="J347" s="10" t="str">
        <f t="shared" si="59"/>
        <v/>
      </c>
      <c r="K347" s="11" t="str">
        <f t="shared" si="58"/>
        <v/>
      </c>
      <c r="M347" t="str">
        <f>IFERROR(MATCH($C$5&amp;"|"&amp;RIGHT("000000"&amp;331,6),CalcRankKeyA,0),"")</f>
        <v/>
      </c>
      <c r="N347" t="str">
        <f>IFERROR(MATCH($C$5&amp;"|"&amp;RIGHT("000000"&amp;331,6),CalcRankKeyB,0),"")</f>
        <v/>
      </c>
    </row>
    <row r="348" spans="1:14" x14ac:dyDescent="0.2">
      <c r="A348" s="12">
        <v>332</v>
      </c>
      <c r="B348" s="13" t="str">
        <f t="shared" si="50"/>
        <v/>
      </c>
      <c r="C348" s="13" t="str">
        <f t="shared" si="51"/>
        <v/>
      </c>
      <c r="D348" s="13" t="str">
        <f t="shared" si="52"/>
        <v/>
      </c>
      <c r="E348" s="14" t="str">
        <f t="shared" si="53"/>
        <v/>
      </c>
      <c r="F348" s="14" t="str">
        <f t="shared" si="54"/>
        <v/>
      </c>
      <c r="G348" s="14" t="str">
        <f t="shared" si="55"/>
        <v/>
      </c>
      <c r="H348" s="14" t="str">
        <f t="shared" si="56"/>
        <v/>
      </c>
      <c r="I348" s="15" t="str">
        <f t="shared" si="57"/>
        <v/>
      </c>
      <c r="J348" s="15" t="str">
        <f t="shared" si="59"/>
        <v/>
      </c>
      <c r="K348" s="16" t="str">
        <f t="shared" si="58"/>
        <v/>
      </c>
      <c r="M348" t="str">
        <f>IFERROR(MATCH($C$5&amp;"|"&amp;RIGHT("000000"&amp;332,6),CalcRankKeyA,0),"")</f>
        <v/>
      </c>
      <c r="N348" t="str">
        <f>IFERROR(MATCH($C$5&amp;"|"&amp;RIGHT("000000"&amp;332,6),CalcRankKeyB,0),"")</f>
        <v/>
      </c>
    </row>
    <row r="349" spans="1:14" x14ac:dyDescent="0.2">
      <c r="A349" s="7">
        <v>333</v>
      </c>
      <c r="B349" s="8" t="str">
        <f t="shared" si="50"/>
        <v/>
      </c>
      <c r="C349" s="8" t="str">
        <f t="shared" si="51"/>
        <v/>
      </c>
      <c r="D349" s="8" t="str">
        <f t="shared" si="52"/>
        <v/>
      </c>
      <c r="E349" s="9" t="str">
        <f t="shared" si="53"/>
        <v/>
      </c>
      <c r="F349" s="9" t="str">
        <f t="shared" si="54"/>
        <v/>
      </c>
      <c r="G349" s="9" t="str">
        <f t="shared" si="55"/>
        <v/>
      </c>
      <c r="H349" s="9" t="str">
        <f t="shared" si="56"/>
        <v/>
      </c>
      <c r="I349" s="10" t="str">
        <f t="shared" si="57"/>
        <v/>
      </c>
      <c r="J349" s="10" t="str">
        <f t="shared" si="59"/>
        <v/>
      </c>
      <c r="K349" s="11" t="str">
        <f t="shared" si="58"/>
        <v/>
      </c>
      <c r="M349" t="str">
        <f>IFERROR(MATCH($C$5&amp;"|"&amp;RIGHT("000000"&amp;333,6),CalcRankKeyA,0),"")</f>
        <v/>
      </c>
      <c r="N349" t="str">
        <f>IFERROR(MATCH($C$5&amp;"|"&amp;RIGHT("000000"&amp;333,6),CalcRankKeyB,0),"")</f>
        <v/>
      </c>
    </row>
    <row r="350" spans="1:14" x14ac:dyDescent="0.2">
      <c r="A350" s="12">
        <v>334</v>
      </c>
      <c r="B350" s="13" t="str">
        <f t="shared" si="50"/>
        <v/>
      </c>
      <c r="C350" s="13" t="str">
        <f t="shared" si="51"/>
        <v/>
      </c>
      <c r="D350" s="13" t="str">
        <f t="shared" si="52"/>
        <v/>
      </c>
      <c r="E350" s="14" t="str">
        <f t="shared" si="53"/>
        <v/>
      </c>
      <c r="F350" s="14" t="str">
        <f t="shared" si="54"/>
        <v/>
      </c>
      <c r="G350" s="14" t="str">
        <f t="shared" si="55"/>
        <v/>
      </c>
      <c r="H350" s="14" t="str">
        <f t="shared" si="56"/>
        <v/>
      </c>
      <c r="I350" s="15" t="str">
        <f t="shared" si="57"/>
        <v/>
      </c>
      <c r="J350" s="15" t="str">
        <f t="shared" si="59"/>
        <v/>
      </c>
      <c r="K350" s="16" t="str">
        <f t="shared" si="58"/>
        <v/>
      </c>
      <c r="M350" t="str">
        <f>IFERROR(MATCH($C$5&amp;"|"&amp;RIGHT("000000"&amp;334,6),CalcRankKeyA,0),"")</f>
        <v/>
      </c>
      <c r="N350" t="str">
        <f>IFERROR(MATCH($C$5&amp;"|"&amp;RIGHT("000000"&amp;334,6),CalcRankKeyB,0),"")</f>
        <v/>
      </c>
    </row>
    <row r="351" spans="1:14" x14ac:dyDescent="0.2">
      <c r="A351" s="7">
        <v>335</v>
      </c>
      <c r="B351" s="8" t="str">
        <f t="shared" si="50"/>
        <v/>
      </c>
      <c r="C351" s="8" t="str">
        <f t="shared" si="51"/>
        <v/>
      </c>
      <c r="D351" s="8" t="str">
        <f t="shared" si="52"/>
        <v/>
      </c>
      <c r="E351" s="9" t="str">
        <f t="shared" si="53"/>
        <v/>
      </c>
      <c r="F351" s="9" t="str">
        <f t="shared" si="54"/>
        <v/>
      </c>
      <c r="G351" s="9" t="str">
        <f t="shared" si="55"/>
        <v/>
      </c>
      <c r="H351" s="9" t="str">
        <f t="shared" si="56"/>
        <v/>
      </c>
      <c r="I351" s="10" t="str">
        <f t="shared" si="57"/>
        <v/>
      </c>
      <c r="J351" s="10" t="str">
        <f t="shared" si="59"/>
        <v/>
      </c>
      <c r="K351" s="11" t="str">
        <f t="shared" si="58"/>
        <v/>
      </c>
      <c r="M351" t="str">
        <f>IFERROR(MATCH($C$5&amp;"|"&amp;RIGHT("000000"&amp;335,6),CalcRankKeyA,0),"")</f>
        <v/>
      </c>
      <c r="N351" t="str">
        <f>IFERROR(MATCH($C$5&amp;"|"&amp;RIGHT("000000"&amp;335,6),CalcRankKeyB,0),"")</f>
        <v/>
      </c>
    </row>
    <row r="352" spans="1:14" x14ac:dyDescent="0.2">
      <c r="A352" s="12">
        <v>336</v>
      </c>
      <c r="B352" s="13" t="str">
        <f t="shared" si="50"/>
        <v/>
      </c>
      <c r="C352" s="13" t="str">
        <f t="shared" si="51"/>
        <v/>
      </c>
      <c r="D352" s="13" t="str">
        <f t="shared" si="52"/>
        <v/>
      </c>
      <c r="E352" s="14" t="str">
        <f t="shared" si="53"/>
        <v/>
      </c>
      <c r="F352" s="14" t="str">
        <f t="shared" si="54"/>
        <v/>
      </c>
      <c r="G352" s="14" t="str">
        <f t="shared" si="55"/>
        <v/>
      </c>
      <c r="H352" s="14" t="str">
        <f t="shared" si="56"/>
        <v/>
      </c>
      <c r="I352" s="15" t="str">
        <f t="shared" si="57"/>
        <v/>
      </c>
      <c r="J352" s="15" t="str">
        <f t="shared" si="59"/>
        <v/>
      </c>
      <c r="K352" s="16" t="str">
        <f t="shared" si="58"/>
        <v/>
      </c>
      <c r="M352" t="str">
        <f>IFERROR(MATCH($C$5&amp;"|"&amp;RIGHT("000000"&amp;336,6),CalcRankKeyA,0),"")</f>
        <v/>
      </c>
      <c r="N352" t="str">
        <f>IFERROR(MATCH($C$5&amp;"|"&amp;RIGHT("000000"&amp;336,6),CalcRankKeyB,0),"")</f>
        <v/>
      </c>
    </row>
    <row r="353" spans="1:14" x14ac:dyDescent="0.2">
      <c r="A353" s="7">
        <v>337</v>
      </c>
      <c r="B353" s="8" t="str">
        <f t="shared" si="50"/>
        <v/>
      </c>
      <c r="C353" s="8" t="str">
        <f t="shared" si="51"/>
        <v/>
      </c>
      <c r="D353" s="8" t="str">
        <f t="shared" si="52"/>
        <v/>
      </c>
      <c r="E353" s="9" t="str">
        <f t="shared" si="53"/>
        <v/>
      </c>
      <c r="F353" s="9" t="str">
        <f t="shared" si="54"/>
        <v/>
      </c>
      <c r="G353" s="9" t="str">
        <f t="shared" si="55"/>
        <v/>
      </c>
      <c r="H353" s="9" t="str">
        <f t="shared" si="56"/>
        <v/>
      </c>
      <c r="I353" s="10" t="str">
        <f t="shared" si="57"/>
        <v/>
      </c>
      <c r="J353" s="10" t="str">
        <f t="shared" si="59"/>
        <v/>
      </c>
      <c r="K353" s="11" t="str">
        <f t="shared" si="58"/>
        <v/>
      </c>
      <c r="M353" t="str">
        <f>IFERROR(MATCH($C$5&amp;"|"&amp;RIGHT("000000"&amp;337,6),CalcRankKeyA,0),"")</f>
        <v/>
      </c>
      <c r="N353" t="str">
        <f>IFERROR(MATCH($C$5&amp;"|"&amp;RIGHT("000000"&amp;337,6),CalcRankKeyB,0),"")</f>
        <v/>
      </c>
    </row>
    <row r="354" spans="1:14" x14ac:dyDescent="0.2">
      <c r="A354" s="12">
        <v>338</v>
      </c>
      <c r="B354" s="13" t="str">
        <f t="shared" si="50"/>
        <v/>
      </c>
      <c r="C354" s="13" t="str">
        <f t="shared" si="51"/>
        <v/>
      </c>
      <c r="D354" s="13" t="str">
        <f t="shared" si="52"/>
        <v/>
      </c>
      <c r="E354" s="14" t="str">
        <f t="shared" si="53"/>
        <v/>
      </c>
      <c r="F354" s="14" t="str">
        <f t="shared" si="54"/>
        <v/>
      </c>
      <c r="G354" s="14" t="str">
        <f t="shared" si="55"/>
        <v/>
      </c>
      <c r="H354" s="14" t="str">
        <f t="shared" si="56"/>
        <v/>
      </c>
      <c r="I354" s="15" t="str">
        <f t="shared" si="57"/>
        <v/>
      </c>
      <c r="J354" s="15" t="str">
        <f t="shared" si="59"/>
        <v/>
      </c>
      <c r="K354" s="16" t="str">
        <f t="shared" si="58"/>
        <v/>
      </c>
      <c r="M354" t="str">
        <f>IFERROR(MATCH($C$5&amp;"|"&amp;RIGHT("000000"&amp;338,6),CalcRankKeyA,0),"")</f>
        <v/>
      </c>
      <c r="N354" t="str">
        <f>IFERROR(MATCH($C$5&amp;"|"&amp;RIGHT("000000"&amp;338,6),CalcRankKeyB,0),"")</f>
        <v/>
      </c>
    </row>
    <row r="355" spans="1:14" x14ac:dyDescent="0.2">
      <c r="A355" s="7">
        <v>339</v>
      </c>
      <c r="B355" s="8" t="str">
        <f t="shared" si="50"/>
        <v/>
      </c>
      <c r="C355" s="8" t="str">
        <f t="shared" si="51"/>
        <v/>
      </c>
      <c r="D355" s="8" t="str">
        <f t="shared" si="52"/>
        <v/>
      </c>
      <c r="E355" s="9" t="str">
        <f t="shared" si="53"/>
        <v/>
      </c>
      <c r="F355" s="9" t="str">
        <f t="shared" si="54"/>
        <v/>
      </c>
      <c r="G355" s="9" t="str">
        <f t="shared" si="55"/>
        <v/>
      </c>
      <c r="H355" s="9" t="str">
        <f t="shared" si="56"/>
        <v/>
      </c>
      <c r="I355" s="10" t="str">
        <f t="shared" si="57"/>
        <v/>
      </c>
      <c r="J355" s="10" t="str">
        <f t="shared" si="59"/>
        <v/>
      </c>
      <c r="K355" s="11" t="str">
        <f t="shared" si="58"/>
        <v/>
      </c>
      <c r="M355" t="str">
        <f>IFERROR(MATCH($C$5&amp;"|"&amp;RIGHT("000000"&amp;339,6),CalcRankKeyA,0),"")</f>
        <v/>
      </c>
      <c r="N355" t="str">
        <f>IFERROR(MATCH($C$5&amp;"|"&amp;RIGHT("000000"&amp;339,6),CalcRankKeyB,0),"")</f>
        <v/>
      </c>
    </row>
    <row r="356" spans="1:14" x14ac:dyDescent="0.2">
      <c r="A356" s="12">
        <v>340</v>
      </c>
      <c r="B356" s="13" t="str">
        <f t="shared" si="50"/>
        <v/>
      </c>
      <c r="C356" s="13" t="str">
        <f t="shared" si="51"/>
        <v/>
      </c>
      <c r="D356" s="13" t="str">
        <f t="shared" si="52"/>
        <v/>
      </c>
      <c r="E356" s="14" t="str">
        <f t="shared" si="53"/>
        <v/>
      </c>
      <c r="F356" s="14" t="str">
        <f t="shared" si="54"/>
        <v/>
      </c>
      <c r="G356" s="14" t="str">
        <f t="shared" si="55"/>
        <v/>
      </c>
      <c r="H356" s="14" t="str">
        <f t="shared" si="56"/>
        <v/>
      </c>
      <c r="I356" s="15" t="str">
        <f t="shared" si="57"/>
        <v/>
      </c>
      <c r="J356" s="15" t="str">
        <f t="shared" si="59"/>
        <v/>
      </c>
      <c r="K356" s="16" t="str">
        <f t="shared" si="58"/>
        <v/>
      </c>
      <c r="M356" t="str">
        <f>IFERROR(MATCH($C$5&amp;"|"&amp;RIGHT("000000"&amp;340,6),CalcRankKeyA,0),"")</f>
        <v/>
      </c>
      <c r="N356" t="str">
        <f>IFERROR(MATCH($C$5&amp;"|"&amp;RIGHT("000000"&amp;340,6),CalcRankKeyB,0),"")</f>
        <v/>
      </c>
    </row>
    <row r="357" spans="1:14" x14ac:dyDescent="0.2">
      <c r="A357" s="7">
        <v>341</v>
      </c>
      <c r="B357" s="8" t="str">
        <f t="shared" si="50"/>
        <v/>
      </c>
      <c r="C357" s="8" t="str">
        <f t="shared" si="51"/>
        <v/>
      </c>
      <c r="D357" s="8" t="str">
        <f t="shared" si="52"/>
        <v/>
      </c>
      <c r="E357" s="9" t="str">
        <f t="shared" si="53"/>
        <v/>
      </c>
      <c r="F357" s="9" t="str">
        <f t="shared" si="54"/>
        <v/>
      </c>
      <c r="G357" s="9" t="str">
        <f t="shared" si="55"/>
        <v/>
      </c>
      <c r="H357" s="9" t="str">
        <f t="shared" si="56"/>
        <v/>
      </c>
      <c r="I357" s="10" t="str">
        <f t="shared" si="57"/>
        <v/>
      </c>
      <c r="J357" s="10" t="str">
        <f t="shared" si="59"/>
        <v/>
      </c>
      <c r="K357" s="11" t="str">
        <f t="shared" si="58"/>
        <v/>
      </c>
      <c r="M357" t="str">
        <f>IFERROR(MATCH($C$5&amp;"|"&amp;RIGHT("000000"&amp;341,6),CalcRankKeyA,0),"")</f>
        <v/>
      </c>
      <c r="N357" t="str">
        <f>IFERROR(MATCH($C$5&amp;"|"&amp;RIGHT("000000"&amp;341,6),CalcRankKeyB,0),"")</f>
        <v/>
      </c>
    </row>
    <row r="358" spans="1:14" x14ac:dyDescent="0.2">
      <c r="A358" s="12">
        <v>342</v>
      </c>
      <c r="B358" s="13" t="str">
        <f t="shared" si="50"/>
        <v/>
      </c>
      <c r="C358" s="13" t="str">
        <f t="shared" si="51"/>
        <v/>
      </c>
      <c r="D358" s="13" t="str">
        <f t="shared" si="52"/>
        <v/>
      </c>
      <c r="E358" s="14" t="str">
        <f t="shared" si="53"/>
        <v/>
      </c>
      <c r="F358" s="14" t="str">
        <f t="shared" si="54"/>
        <v/>
      </c>
      <c r="G358" s="14" t="str">
        <f t="shared" si="55"/>
        <v/>
      </c>
      <c r="H358" s="14" t="str">
        <f t="shared" si="56"/>
        <v/>
      </c>
      <c r="I358" s="15" t="str">
        <f t="shared" si="57"/>
        <v/>
      </c>
      <c r="J358" s="15" t="str">
        <f t="shared" si="59"/>
        <v/>
      </c>
      <c r="K358" s="16" t="str">
        <f t="shared" si="58"/>
        <v/>
      </c>
      <c r="M358" t="str">
        <f>IFERROR(MATCH($C$5&amp;"|"&amp;RIGHT("000000"&amp;342,6),CalcRankKeyA,0),"")</f>
        <v/>
      </c>
      <c r="N358" t="str">
        <f>IFERROR(MATCH($C$5&amp;"|"&amp;RIGHT("000000"&amp;342,6),CalcRankKeyB,0),"")</f>
        <v/>
      </c>
    </row>
    <row r="359" spans="1:14" x14ac:dyDescent="0.2">
      <c r="A359" s="7">
        <v>343</v>
      </c>
      <c r="B359" s="8" t="str">
        <f t="shared" si="50"/>
        <v/>
      </c>
      <c r="C359" s="8" t="str">
        <f t="shared" si="51"/>
        <v/>
      </c>
      <c r="D359" s="8" t="str">
        <f t="shared" si="52"/>
        <v/>
      </c>
      <c r="E359" s="9" t="str">
        <f t="shared" si="53"/>
        <v/>
      </c>
      <c r="F359" s="9" t="str">
        <f t="shared" si="54"/>
        <v/>
      </c>
      <c r="G359" s="9" t="str">
        <f t="shared" si="55"/>
        <v/>
      </c>
      <c r="H359" s="9" t="str">
        <f t="shared" si="56"/>
        <v/>
      </c>
      <c r="I359" s="10" t="str">
        <f t="shared" si="57"/>
        <v/>
      </c>
      <c r="J359" s="10" t="str">
        <f t="shared" si="59"/>
        <v/>
      </c>
      <c r="K359" s="11" t="str">
        <f t="shared" si="58"/>
        <v/>
      </c>
      <c r="M359" t="str">
        <f>IFERROR(MATCH($C$5&amp;"|"&amp;RIGHT("000000"&amp;343,6),CalcRankKeyA,0),"")</f>
        <v/>
      </c>
      <c r="N359" t="str">
        <f>IFERROR(MATCH($C$5&amp;"|"&amp;RIGHT("000000"&amp;343,6),CalcRankKeyB,0),"")</f>
        <v/>
      </c>
    </row>
    <row r="360" spans="1:14" x14ac:dyDescent="0.2">
      <c r="A360" s="12">
        <v>344</v>
      </c>
      <c r="B360" s="13" t="str">
        <f t="shared" si="50"/>
        <v/>
      </c>
      <c r="C360" s="13" t="str">
        <f t="shared" si="51"/>
        <v/>
      </c>
      <c r="D360" s="13" t="str">
        <f t="shared" si="52"/>
        <v/>
      </c>
      <c r="E360" s="14" t="str">
        <f t="shared" si="53"/>
        <v/>
      </c>
      <c r="F360" s="14" t="str">
        <f t="shared" si="54"/>
        <v/>
      </c>
      <c r="G360" s="14" t="str">
        <f t="shared" si="55"/>
        <v/>
      </c>
      <c r="H360" s="14" t="str">
        <f t="shared" si="56"/>
        <v/>
      </c>
      <c r="I360" s="15" t="str">
        <f t="shared" si="57"/>
        <v/>
      </c>
      <c r="J360" s="15" t="str">
        <f t="shared" si="59"/>
        <v/>
      </c>
      <c r="K360" s="16" t="str">
        <f t="shared" si="58"/>
        <v/>
      </c>
      <c r="M360" t="str">
        <f>IFERROR(MATCH($C$5&amp;"|"&amp;RIGHT("000000"&amp;344,6),CalcRankKeyA,0),"")</f>
        <v/>
      </c>
      <c r="N360" t="str">
        <f>IFERROR(MATCH($C$5&amp;"|"&amp;RIGHT("000000"&amp;344,6),CalcRankKeyB,0),"")</f>
        <v/>
      </c>
    </row>
    <row r="361" spans="1:14" x14ac:dyDescent="0.2">
      <c r="A361" s="7">
        <v>345</v>
      </c>
      <c r="B361" s="8" t="str">
        <f t="shared" si="50"/>
        <v/>
      </c>
      <c r="C361" s="8" t="str">
        <f t="shared" si="51"/>
        <v/>
      </c>
      <c r="D361" s="8" t="str">
        <f t="shared" si="52"/>
        <v/>
      </c>
      <c r="E361" s="9" t="str">
        <f t="shared" si="53"/>
        <v/>
      </c>
      <c r="F361" s="9" t="str">
        <f t="shared" si="54"/>
        <v/>
      </c>
      <c r="G361" s="9" t="str">
        <f t="shared" si="55"/>
        <v/>
      </c>
      <c r="H361" s="9" t="str">
        <f t="shared" si="56"/>
        <v/>
      </c>
      <c r="I361" s="10" t="str">
        <f t="shared" si="57"/>
        <v/>
      </c>
      <c r="J361" s="10" t="str">
        <f t="shared" si="59"/>
        <v/>
      </c>
      <c r="K361" s="11" t="str">
        <f t="shared" si="58"/>
        <v/>
      </c>
      <c r="M361" t="str">
        <f>IFERROR(MATCH($C$5&amp;"|"&amp;RIGHT("000000"&amp;345,6),CalcRankKeyA,0),"")</f>
        <v/>
      </c>
      <c r="N361" t="str">
        <f>IFERROR(MATCH($C$5&amp;"|"&amp;RIGHT("000000"&amp;345,6),CalcRankKeyB,0),"")</f>
        <v/>
      </c>
    </row>
    <row r="362" spans="1:14" x14ac:dyDescent="0.2">
      <c r="A362" s="12">
        <v>346</v>
      </c>
      <c r="B362" s="13" t="str">
        <f t="shared" si="50"/>
        <v/>
      </c>
      <c r="C362" s="13" t="str">
        <f t="shared" si="51"/>
        <v/>
      </c>
      <c r="D362" s="13" t="str">
        <f t="shared" si="52"/>
        <v/>
      </c>
      <c r="E362" s="14" t="str">
        <f t="shared" si="53"/>
        <v/>
      </c>
      <c r="F362" s="14" t="str">
        <f t="shared" si="54"/>
        <v/>
      </c>
      <c r="G362" s="14" t="str">
        <f t="shared" si="55"/>
        <v/>
      </c>
      <c r="H362" s="14" t="str">
        <f t="shared" si="56"/>
        <v/>
      </c>
      <c r="I362" s="15" t="str">
        <f t="shared" si="57"/>
        <v/>
      </c>
      <c r="J362" s="15" t="str">
        <f t="shared" si="59"/>
        <v/>
      </c>
      <c r="K362" s="16" t="str">
        <f t="shared" si="58"/>
        <v/>
      </c>
      <c r="M362" t="str">
        <f>IFERROR(MATCH($C$5&amp;"|"&amp;RIGHT("000000"&amp;346,6),CalcRankKeyA,0),"")</f>
        <v/>
      </c>
      <c r="N362" t="str">
        <f>IFERROR(MATCH($C$5&amp;"|"&amp;RIGHT("000000"&amp;346,6),CalcRankKeyB,0),"")</f>
        <v/>
      </c>
    </row>
    <row r="363" spans="1:14" x14ac:dyDescent="0.2">
      <c r="A363" s="7">
        <v>347</v>
      </c>
      <c r="B363" s="8" t="str">
        <f t="shared" si="50"/>
        <v/>
      </c>
      <c r="C363" s="8" t="str">
        <f t="shared" si="51"/>
        <v/>
      </c>
      <c r="D363" s="8" t="str">
        <f t="shared" si="52"/>
        <v/>
      </c>
      <c r="E363" s="9" t="str">
        <f t="shared" si="53"/>
        <v/>
      </c>
      <c r="F363" s="9" t="str">
        <f t="shared" si="54"/>
        <v/>
      </c>
      <c r="G363" s="9" t="str">
        <f t="shared" si="55"/>
        <v/>
      </c>
      <c r="H363" s="9" t="str">
        <f t="shared" si="56"/>
        <v/>
      </c>
      <c r="I363" s="10" t="str">
        <f t="shared" si="57"/>
        <v/>
      </c>
      <c r="J363" s="10" t="str">
        <f t="shared" si="59"/>
        <v/>
      </c>
      <c r="K363" s="11" t="str">
        <f t="shared" si="58"/>
        <v/>
      </c>
      <c r="M363" t="str">
        <f>IFERROR(MATCH($C$5&amp;"|"&amp;RIGHT("000000"&amp;347,6),CalcRankKeyA,0),"")</f>
        <v/>
      </c>
      <c r="N363" t="str">
        <f>IFERROR(MATCH($C$5&amp;"|"&amp;RIGHT("000000"&amp;347,6),CalcRankKeyB,0),"")</f>
        <v/>
      </c>
    </row>
    <row r="364" spans="1:14" x14ac:dyDescent="0.2">
      <c r="A364" s="12">
        <v>348</v>
      </c>
      <c r="B364" s="13" t="str">
        <f t="shared" si="50"/>
        <v/>
      </c>
      <c r="C364" s="13" t="str">
        <f t="shared" si="51"/>
        <v/>
      </c>
      <c r="D364" s="13" t="str">
        <f t="shared" si="52"/>
        <v/>
      </c>
      <c r="E364" s="14" t="str">
        <f t="shared" si="53"/>
        <v/>
      </c>
      <c r="F364" s="14" t="str">
        <f t="shared" si="54"/>
        <v/>
      </c>
      <c r="G364" s="14" t="str">
        <f t="shared" si="55"/>
        <v/>
      </c>
      <c r="H364" s="14" t="str">
        <f t="shared" si="56"/>
        <v/>
      </c>
      <c r="I364" s="15" t="str">
        <f t="shared" si="57"/>
        <v/>
      </c>
      <c r="J364" s="15" t="str">
        <f t="shared" si="59"/>
        <v/>
      </c>
      <c r="K364" s="16" t="str">
        <f t="shared" si="58"/>
        <v/>
      </c>
      <c r="M364" t="str">
        <f>IFERROR(MATCH($C$5&amp;"|"&amp;RIGHT("000000"&amp;348,6),CalcRankKeyA,0),"")</f>
        <v/>
      </c>
      <c r="N364" t="str">
        <f>IFERROR(MATCH($C$5&amp;"|"&amp;RIGHT("000000"&amp;348,6),CalcRankKeyB,0),"")</f>
        <v/>
      </c>
    </row>
    <row r="365" spans="1:14" x14ac:dyDescent="0.2">
      <c r="A365" s="7">
        <v>349</v>
      </c>
      <c r="B365" s="8" t="str">
        <f t="shared" si="50"/>
        <v/>
      </c>
      <c r="C365" s="8" t="str">
        <f t="shared" si="51"/>
        <v/>
      </c>
      <c r="D365" s="8" t="str">
        <f t="shared" si="52"/>
        <v/>
      </c>
      <c r="E365" s="9" t="str">
        <f t="shared" si="53"/>
        <v/>
      </c>
      <c r="F365" s="9" t="str">
        <f t="shared" si="54"/>
        <v/>
      </c>
      <c r="G365" s="9" t="str">
        <f t="shared" si="55"/>
        <v/>
      </c>
      <c r="H365" s="9" t="str">
        <f t="shared" si="56"/>
        <v/>
      </c>
      <c r="I365" s="10" t="str">
        <f t="shared" si="57"/>
        <v/>
      </c>
      <c r="J365" s="10" t="str">
        <f t="shared" si="59"/>
        <v/>
      </c>
      <c r="K365" s="11" t="str">
        <f t="shared" si="58"/>
        <v/>
      </c>
      <c r="M365" t="str">
        <f>IFERROR(MATCH($C$5&amp;"|"&amp;RIGHT("000000"&amp;349,6),CalcRankKeyA,0),"")</f>
        <v/>
      </c>
      <c r="N365" t="str">
        <f>IFERROR(MATCH($C$5&amp;"|"&amp;RIGHT("000000"&amp;349,6),CalcRankKeyB,0),"")</f>
        <v/>
      </c>
    </row>
    <row r="366" spans="1:14" x14ac:dyDescent="0.2">
      <c r="A366" s="12">
        <v>350</v>
      </c>
      <c r="B366" s="13" t="str">
        <f t="shared" si="50"/>
        <v/>
      </c>
      <c r="C366" s="13" t="str">
        <f t="shared" si="51"/>
        <v/>
      </c>
      <c r="D366" s="13" t="str">
        <f t="shared" si="52"/>
        <v/>
      </c>
      <c r="E366" s="14" t="str">
        <f t="shared" si="53"/>
        <v/>
      </c>
      <c r="F366" s="14" t="str">
        <f t="shared" si="54"/>
        <v/>
      </c>
      <c r="G366" s="14" t="str">
        <f t="shared" si="55"/>
        <v/>
      </c>
      <c r="H366" s="14" t="str">
        <f t="shared" si="56"/>
        <v/>
      </c>
      <c r="I366" s="15" t="str">
        <f t="shared" si="57"/>
        <v/>
      </c>
      <c r="J366" s="15" t="str">
        <f t="shared" si="59"/>
        <v/>
      </c>
      <c r="K366" s="16" t="str">
        <f t="shared" si="58"/>
        <v/>
      </c>
      <c r="M366" t="str">
        <f>IFERROR(MATCH($C$5&amp;"|"&amp;RIGHT("000000"&amp;350,6),CalcRankKeyA,0),"")</f>
        <v/>
      </c>
      <c r="N366" t="str">
        <f>IFERROR(MATCH($C$5&amp;"|"&amp;RIGHT("000000"&amp;350,6),CalcRankKeyB,0),"")</f>
        <v/>
      </c>
    </row>
    <row r="367" spans="1:14" x14ac:dyDescent="0.2">
      <c r="A367" s="7">
        <v>351</v>
      </c>
      <c r="B367" s="8" t="str">
        <f t="shared" si="50"/>
        <v/>
      </c>
      <c r="C367" s="8" t="str">
        <f t="shared" si="51"/>
        <v/>
      </c>
      <c r="D367" s="8" t="str">
        <f t="shared" si="52"/>
        <v/>
      </c>
      <c r="E367" s="9" t="str">
        <f t="shared" si="53"/>
        <v/>
      </c>
      <c r="F367" s="9" t="str">
        <f t="shared" si="54"/>
        <v/>
      </c>
      <c r="G367" s="9" t="str">
        <f t="shared" si="55"/>
        <v/>
      </c>
      <c r="H367" s="9" t="str">
        <f t="shared" si="56"/>
        <v/>
      </c>
      <c r="I367" s="10" t="str">
        <f t="shared" si="57"/>
        <v/>
      </c>
      <c r="J367" s="10" t="str">
        <f t="shared" si="59"/>
        <v/>
      </c>
      <c r="K367" s="11" t="str">
        <f t="shared" si="58"/>
        <v/>
      </c>
      <c r="M367" t="str">
        <f>IFERROR(MATCH($C$5&amp;"|"&amp;RIGHT("000000"&amp;351,6),CalcRankKeyA,0),"")</f>
        <v/>
      </c>
      <c r="N367" t="str">
        <f>IFERROR(MATCH($C$5&amp;"|"&amp;RIGHT("000000"&amp;351,6),CalcRankKeyB,0),"")</f>
        <v/>
      </c>
    </row>
    <row r="368" spans="1:14" x14ac:dyDescent="0.2">
      <c r="A368" s="12">
        <v>352</v>
      </c>
      <c r="B368" s="13" t="str">
        <f t="shared" si="50"/>
        <v/>
      </c>
      <c r="C368" s="13" t="str">
        <f t="shared" si="51"/>
        <v/>
      </c>
      <c r="D368" s="13" t="str">
        <f t="shared" si="52"/>
        <v/>
      </c>
      <c r="E368" s="14" t="str">
        <f t="shared" si="53"/>
        <v/>
      </c>
      <c r="F368" s="14" t="str">
        <f t="shared" si="54"/>
        <v/>
      </c>
      <c r="G368" s="14" t="str">
        <f t="shared" si="55"/>
        <v/>
      </c>
      <c r="H368" s="14" t="str">
        <f t="shared" si="56"/>
        <v/>
      </c>
      <c r="I368" s="15" t="str">
        <f t="shared" si="57"/>
        <v/>
      </c>
      <c r="J368" s="15" t="str">
        <f t="shared" si="59"/>
        <v/>
      </c>
      <c r="K368" s="16" t="str">
        <f t="shared" si="58"/>
        <v/>
      </c>
      <c r="M368" t="str">
        <f>IFERROR(MATCH($C$5&amp;"|"&amp;RIGHT("000000"&amp;352,6),CalcRankKeyA,0),"")</f>
        <v/>
      </c>
      <c r="N368" t="str">
        <f>IFERROR(MATCH($C$5&amp;"|"&amp;RIGHT("000000"&amp;352,6),CalcRankKeyB,0),"")</f>
        <v/>
      </c>
    </row>
    <row r="369" spans="1:14" x14ac:dyDescent="0.2">
      <c r="A369" s="7">
        <v>353</v>
      </c>
      <c r="B369" s="8" t="str">
        <f t="shared" si="50"/>
        <v/>
      </c>
      <c r="C369" s="8" t="str">
        <f t="shared" si="51"/>
        <v/>
      </c>
      <c r="D369" s="8" t="str">
        <f t="shared" si="52"/>
        <v/>
      </c>
      <c r="E369" s="9" t="str">
        <f t="shared" si="53"/>
        <v/>
      </c>
      <c r="F369" s="9" t="str">
        <f t="shared" si="54"/>
        <v/>
      </c>
      <c r="G369" s="9" t="str">
        <f t="shared" si="55"/>
        <v/>
      </c>
      <c r="H369" s="9" t="str">
        <f t="shared" si="56"/>
        <v/>
      </c>
      <c r="I369" s="10" t="str">
        <f t="shared" si="57"/>
        <v/>
      </c>
      <c r="J369" s="10" t="str">
        <f t="shared" si="59"/>
        <v/>
      </c>
      <c r="K369" s="11" t="str">
        <f t="shared" si="58"/>
        <v/>
      </c>
      <c r="M369" t="str">
        <f>IFERROR(MATCH($C$5&amp;"|"&amp;RIGHT("000000"&amp;353,6),CalcRankKeyA,0),"")</f>
        <v/>
      </c>
      <c r="N369" t="str">
        <f>IFERROR(MATCH($C$5&amp;"|"&amp;RIGHT("000000"&amp;353,6),CalcRankKeyB,0),"")</f>
        <v/>
      </c>
    </row>
    <row r="370" spans="1:14" x14ac:dyDescent="0.2">
      <c r="A370" s="12">
        <v>354</v>
      </c>
      <c r="B370" s="13" t="str">
        <f t="shared" si="50"/>
        <v/>
      </c>
      <c r="C370" s="13" t="str">
        <f t="shared" si="51"/>
        <v/>
      </c>
      <c r="D370" s="13" t="str">
        <f t="shared" si="52"/>
        <v/>
      </c>
      <c r="E370" s="14" t="str">
        <f t="shared" si="53"/>
        <v/>
      </c>
      <c r="F370" s="14" t="str">
        <f t="shared" si="54"/>
        <v/>
      </c>
      <c r="G370" s="14" t="str">
        <f t="shared" si="55"/>
        <v/>
      </c>
      <c r="H370" s="14" t="str">
        <f t="shared" si="56"/>
        <v/>
      </c>
      <c r="I370" s="15" t="str">
        <f t="shared" si="57"/>
        <v/>
      </c>
      <c r="J370" s="15" t="str">
        <f t="shared" si="59"/>
        <v/>
      </c>
      <c r="K370" s="16" t="str">
        <f t="shared" si="58"/>
        <v/>
      </c>
      <c r="M370" t="str">
        <f>IFERROR(MATCH($C$5&amp;"|"&amp;RIGHT("000000"&amp;354,6),CalcRankKeyA,0),"")</f>
        <v/>
      </c>
      <c r="N370" t="str">
        <f>IFERROR(MATCH($C$5&amp;"|"&amp;RIGHT("000000"&amp;354,6),CalcRankKeyB,0),"")</f>
        <v/>
      </c>
    </row>
    <row r="371" spans="1:14" x14ac:dyDescent="0.2">
      <c r="A371" s="7">
        <v>355</v>
      </c>
      <c r="B371" s="8" t="str">
        <f t="shared" si="50"/>
        <v/>
      </c>
      <c r="C371" s="8" t="str">
        <f t="shared" si="51"/>
        <v/>
      </c>
      <c r="D371" s="8" t="str">
        <f t="shared" si="52"/>
        <v/>
      </c>
      <c r="E371" s="9" t="str">
        <f t="shared" si="53"/>
        <v/>
      </c>
      <c r="F371" s="9" t="str">
        <f t="shared" si="54"/>
        <v/>
      </c>
      <c r="G371" s="9" t="str">
        <f t="shared" si="55"/>
        <v/>
      </c>
      <c r="H371" s="9" t="str">
        <f t="shared" si="56"/>
        <v/>
      </c>
      <c r="I371" s="10" t="str">
        <f t="shared" si="57"/>
        <v/>
      </c>
      <c r="J371" s="10" t="str">
        <f t="shared" si="59"/>
        <v/>
      </c>
      <c r="K371" s="11" t="str">
        <f t="shared" si="58"/>
        <v/>
      </c>
      <c r="M371" t="str">
        <f>IFERROR(MATCH($C$5&amp;"|"&amp;RIGHT("000000"&amp;355,6),CalcRankKeyA,0),"")</f>
        <v/>
      </c>
      <c r="N371" t="str">
        <f>IFERROR(MATCH($C$5&amp;"|"&amp;RIGHT("000000"&amp;355,6),CalcRankKeyB,0),"")</f>
        <v/>
      </c>
    </row>
    <row r="372" spans="1:14" x14ac:dyDescent="0.2">
      <c r="A372" s="12">
        <v>356</v>
      </c>
      <c r="B372" s="13" t="str">
        <f t="shared" si="50"/>
        <v/>
      </c>
      <c r="C372" s="13" t="str">
        <f t="shared" si="51"/>
        <v/>
      </c>
      <c r="D372" s="13" t="str">
        <f t="shared" si="52"/>
        <v/>
      </c>
      <c r="E372" s="14" t="str">
        <f t="shared" si="53"/>
        <v/>
      </c>
      <c r="F372" s="14" t="str">
        <f t="shared" si="54"/>
        <v/>
      </c>
      <c r="G372" s="14" t="str">
        <f t="shared" si="55"/>
        <v/>
      </c>
      <c r="H372" s="14" t="str">
        <f t="shared" si="56"/>
        <v/>
      </c>
      <c r="I372" s="15" t="str">
        <f t="shared" si="57"/>
        <v/>
      </c>
      <c r="J372" s="15" t="str">
        <f t="shared" si="59"/>
        <v/>
      </c>
      <c r="K372" s="16" t="str">
        <f t="shared" si="58"/>
        <v/>
      </c>
      <c r="M372" t="str">
        <f>IFERROR(MATCH($C$5&amp;"|"&amp;RIGHT("000000"&amp;356,6),CalcRankKeyA,0),"")</f>
        <v/>
      </c>
      <c r="N372" t="str">
        <f>IFERROR(MATCH($C$5&amp;"|"&amp;RIGHT("000000"&amp;356,6),CalcRankKeyB,0),"")</f>
        <v/>
      </c>
    </row>
    <row r="373" spans="1:14" x14ac:dyDescent="0.2">
      <c r="A373" s="7">
        <v>357</v>
      </c>
      <c r="B373" s="8" t="str">
        <f t="shared" si="50"/>
        <v/>
      </c>
      <c r="C373" s="8" t="str">
        <f t="shared" si="51"/>
        <v/>
      </c>
      <c r="D373" s="8" t="str">
        <f t="shared" si="52"/>
        <v/>
      </c>
      <c r="E373" s="9" t="str">
        <f t="shared" si="53"/>
        <v/>
      </c>
      <c r="F373" s="9" t="str">
        <f t="shared" si="54"/>
        <v/>
      </c>
      <c r="G373" s="9" t="str">
        <f t="shared" si="55"/>
        <v/>
      </c>
      <c r="H373" s="9" t="str">
        <f t="shared" si="56"/>
        <v/>
      </c>
      <c r="I373" s="10" t="str">
        <f t="shared" si="57"/>
        <v/>
      </c>
      <c r="J373" s="10" t="str">
        <f t="shared" si="59"/>
        <v/>
      </c>
      <c r="K373" s="11" t="str">
        <f t="shared" si="58"/>
        <v/>
      </c>
      <c r="M373" t="str">
        <f>IFERROR(MATCH($C$5&amp;"|"&amp;RIGHT("000000"&amp;357,6),CalcRankKeyA,0),"")</f>
        <v/>
      </c>
      <c r="N373" t="str">
        <f>IFERROR(MATCH($C$5&amp;"|"&amp;RIGHT("000000"&amp;357,6),CalcRankKeyB,0),"")</f>
        <v/>
      </c>
    </row>
    <row r="374" spans="1:14" x14ac:dyDescent="0.2">
      <c r="A374" s="12">
        <v>358</v>
      </c>
      <c r="B374" s="13" t="str">
        <f t="shared" si="50"/>
        <v/>
      </c>
      <c r="C374" s="13" t="str">
        <f t="shared" si="51"/>
        <v/>
      </c>
      <c r="D374" s="13" t="str">
        <f t="shared" si="52"/>
        <v/>
      </c>
      <c r="E374" s="14" t="str">
        <f t="shared" si="53"/>
        <v/>
      </c>
      <c r="F374" s="14" t="str">
        <f t="shared" si="54"/>
        <v/>
      </c>
      <c r="G374" s="14" t="str">
        <f t="shared" si="55"/>
        <v/>
      </c>
      <c r="H374" s="14" t="str">
        <f t="shared" si="56"/>
        <v/>
      </c>
      <c r="I374" s="15" t="str">
        <f t="shared" si="57"/>
        <v/>
      </c>
      <c r="J374" s="15" t="str">
        <f t="shared" si="59"/>
        <v/>
      </c>
      <c r="K374" s="16" t="str">
        <f t="shared" si="58"/>
        <v/>
      </c>
      <c r="M374" t="str">
        <f>IFERROR(MATCH($C$5&amp;"|"&amp;RIGHT("000000"&amp;358,6),CalcRankKeyA,0),"")</f>
        <v/>
      </c>
      <c r="N374" t="str">
        <f>IFERROR(MATCH($C$5&amp;"|"&amp;RIGHT("000000"&amp;358,6),CalcRankKeyB,0),"")</f>
        <v/>
      </c>
    </row>
    <row r="375" spans="1:14" x14ac:dyDescent="0.2">
      <c r="A375" s="7">
        <v>359</v>
      </c>
      <c r="B375" s="8" t="str">
        <f t="shared" si="50"/>
        <v/>
      </c>
      <c r="C375" s="8" t="str">
        <f t="shared" si="51"/>
        <v/>
      </c>
      <c r="D375" s="8" t="str">
        <f t="shared" si="52"/>
        <v/>
      </c>
      <c r="E375" s="9" t="str">
        <f t="shared" si="53"/>
        <v/>
      </c>
      <c r="F375" s="9" t="str">
        <f t="shared" si="54"/>
        <v/>
      </c>
      <c r="G375" s="9" t="str">
        <f t="shared" si="55"/>
        <v/>
      </c>
      <c r="H375" s="9" t="str">
        <f t="shared" si="56"/>
        <v/>
      </c>
      <c r="I375" s="10" t="str">
        <f t="shared" si="57"/>
        <v/>
      </c>
      <c r="J375" s="10" t="str">
        <f t="shared" si="59"/>
        <v/>
      </c>
      <c r="K375" s="11" t="str">
        <f t="shared" si="58"/>
        <v/>
      </c>
      <c r="M375" t="str">
        <f>IFERROR(MATCH($C$5&amp;"|"&amp;RIGHT("000000"&amp;359,6),CalcRankKeyA,0),"")</f>
        <v/>
      </c>
      <c r="N375" t="str">
        <f>IFERROR(MATCH($C$5&amp;"|"&amp;RIGHT("000000"&amp;359,6),CalcRankKeyB,0),"")</f>
        <v/>
      </c>
    </row>
    <row r="376" spans="1:14" x14ac:dyDescent="0.2">
      <c r="A376" s="12">
        <v>360</v>
      </c>
      <c r="B376" s="13" t="str">
        <f t="shared" si="50"/>
        <v/>
      </c>
      <c r="C376" s="13" t="str">
        <f t="shared" si="51"/>
        <v/>
      </c>
      <c r="D376" s="13" t="str">
        <f t="shared" si="52"/>
        <v/>
      </c>
      <c r="E376" s="14" t="str">
        <f t="shared" si="53"/>
        <v/>
      </c>
      <c r="F376" s="14" t="str">
        <f t="shared" si="54"/>
        <v/>
      </c>
      <c r="G376" s="14" t="str">
        <f t="shared" si="55"/>
        <v/>
      </c>
      <c r="H376" s="14" t="str">
        <f t="shared" si="56"/>
        <v/>
      </c>
      <c r="I376" s="15" t="str">
        <f t="shared" si="57"/>
        <v/>
      </c>
      <c r="J376" s="15" t="str">
        <f t="shared" si="59"/>
        <v/>
      </c>
      <c r="K376" s="16" t="str">
        <f t="shared" si="58"/>
        <v/>
      </c>
      <c r="M376" t="str">
        <f>IFERROR(MATCH($C$5&amp;"|"&amp;RIGHT("000000"&amp;360,6),CalcRankKeyA,0),"")</f>
        <v/>
      </c>
      <c r="N376" t="str">
        <f>IFERROR(MATCH($C$5&amp;"|"&amp;RIGHT("000000"&amp;360,6),CalcRankKeyB,0),"")</f>
        <v/>
      </c>
    </row>
    <row r="377" spans="1:14" x14ac:dyDescent="0.2">
      <c r="A377" s="7">
        <v>361</v>
      </c>
      <c r="B377" s="8" t="str">
        <f t="shared" si="50"/>
        <v/>
      </c>
      <c r="C377" s="8" t="str">
        <f t="shared" si="51"/>
        <v/>
      </c>
      <c r="D377" s="8" t="str">
        <f t="shared" si="52"/>
        <v/>
      </c>
      <c r="E377" s="9" t="str">
        <f t="shared" si="53"/>
        <v/>
      </c>
      <c r="F377" s="9" t="str">
        <f t="shared" si="54"/>
        <v/>
      </c>
      <c r="G377" s="9" t="str">
        <f t="shared" si="55"/>
        <v/>
      </c>
      <c r="H377" s="9" t="str">
        <f t="shared" si="56"/>
        <v/>
      </c>
      <c r="I377" s="10" t="str">
        <f t="shared" si="57"/>
        <v/>
      </c>
      <c r="J377" s="10" t="str">
        <f t="shared" si="59"/>
        <v/>
      </c>
      <c r="K377" s="11" t="str">
        <f t="shared" si="58"/>
        <v/>
      </c>
      <c r="M377" t="str">
        <f>IFERROR(MATCH($C$5&amp;"|"&amp;RIGHT("000000"&amp;361,6),CalcRankKeyA,0),"")</f>
        <v/>
      </c>
      <c r="N377" t="str">
        <f>IFERROR(MATCH($C$5&amp;"|"&amp;RIGHT("000000"&amp;361,6),CalcRankKeyB,0),"")</f>
        <v/>
      </c>
    </row>
    <row r="378" spans="1:14" x14ac:dyDescent="0.2">
      <c r="A378" s="12">
        <v>362</v>
      </c>
      <c r="B378" s="13" t="str">
        <f t="shared" si="50"/>
        <v/>
      </c>
      <c r="C378" s="13" t="str">
        <f t="shared" si="51"/>
        <v/>
      </c>
      <c r="D378" s="13" t="str">
        <f t="shared" si="52"/>
        <v/>
      </c>
      <c r="E378" s="14" t="str">
        <f t="shared" si="53"/>
        <v/>
      </c>
      <c r="F378" s="14" t="str">
        <f t="shared" si="54"/>
        <v/>
      </c>
      <c r="G378" s="14" t="str">
        <f t="shared" si="55"/>
        <v/>
      </c>
      <c r="H378" s="14" t="str">
        <f t="shared" si="56"/>
        <v/>
      </c>
      <c r="I378" s="15" t="str">
        <f t="shared" si="57"/>
        <v/>
      </c>
      <c r="J378" s="15" t="str">
        <f t="shared" si="59"/>
        <v/>
      </c>
      <c r="K378" s="16" t="str">
        <f t="shared" si="58"/>
        <v/>
      </c>
      <c r="M378" t="str">
        <f>IFERROR(MATCH($C$5&amp;"|"&amp;RIGHT("000000"&amp;362,6),CalcRankKeyA,0),"")</f>
        <v/>
      </c>
      <c r="N378" t="str">
        <f>IFERROR(MATCH($C$5&amp;"|"&amp;RIGHT("000000"&amp;362,6),CalcRankKeyB,0),"")</f>
        <v/>
      </c>
    </row>
    <row r="379" spans="1:14" x14ac:dyDescent="0.2">
      <c r="A379" s="7">
        <v>363</v>
      </c>
      <c r="B379" s="8" t="str">
        <f t="shared" si="50"/>
        <v/>
      </c>
      <c r="C379" s="8" t="str">
        <f t="shared" si="51"/>
        <v/>
      </c>
      <c r="D379" s="8" t="str">
        <f t="shared" si="52"/>
        <v/>
      </c>
      <c r="E379" s="9" t="str">
        <f t="shared" si="53"/>
        <v/>
      </c>
      <c r="F379" s="9" t="str">
        <f t="shared" si="54"/>
        <v/>
      </c>
      <c r="G379" s="9" t="str">
        <f t="shared" si="55"/>
        <v/>
      </c>
      <c r="H379" s="9" t="str">
        <f t="shared" si="56"/>
        <v/>
      </c>
      <c r="I379" s="10" t="str">
        <f t="shared" si="57"/>
        <v/>
      </c>
      <c r="J379" s="10" t="str">
        <f t="shared" si="59"/>
        <v/>
      </c>
      <c r="K379" s="11" t="str">
        <f t="shared" si="58"/>
        <v/>
      </c>
      <c r="M379" t="str">
        <f>IFERROR(MATCH($C$5&amp;"|"&amp;RIGHT("000000"&amp;363,6),CalcRankKeyA,0),"")</f>
        <v/>
      </c>
      <c r="N379" t="str">
        <f>IFERROR(MATCH($C$5&amp;"|"&amp;RIGHT("000000"&amp;363,6),CalcRankKeyB,0),"")</f>
        <v/>
      </c>
    </row>
    <row r="380" spans="1:14" x14ac:dyDescent="0.2">
      <c r="A380" s="12">
        <v>364</v>
      </c>
      <c r="B380" s="13" t="str">
        <f t="shared" si="50"/>
        <v/>
      </c>
      <c r="C380" s="13" t="str">
        <f t="shared" si="51"/>
        <v/>
      </c>
      <c r="D380" s="13" t="str">
        <f t="shared" si="52"/>
        <v/>
      </c>
      <c r="E380" s="14" t="str">
        <f t="shared" si="53"/>
        <v/>
      </c>
      <c r="F380" s="14" t="str">
        <f t="shared" si="54"/>
        <v/>
      </c>
      <c r="G380" s="14" t="str">
        <f t="shared" si="55"/>
        <v/>
      </c>
      <c r="H380" s="14" t="str">
        <f t="shared" si="56"/>
        <v/>
      </c>
      <c r="I380" s="15" t="str">
        <f t="shared" si="57"/>
        <v/>
      </c>
      <c r="J380" s="15" t="str">
        <f t="shared" si="59"/>
        <v/>
      </c>
      <c r="K380" s="16" t="str">
        <f t="shared" si="58"/>
        <v/>
      </c>
      <c r="M380" t="str">
        <f>IFERROR(MATCH($C$5&amp;"|"&amp;RIGHT("000000"&amp;364,6),CalcRankKeyA,0),"")</f>
        <v/>
      </c>
      <c r="N380" t="str">
        <f>IFERROR(MATCH($C$5&amp;"|"&amp;RIGHT("000000"&amp;364,6),CalcRankKeyB,0),"")</f>
        <v/>
      </c>
    </row>
    <row r="381" spans="1:14" x14ac:dyDescent="0.2">
      <c r="A381" s="7">
        <v>365</v>
      </c>
      <c r="B381" s="8" t="str">
        <f t="shared" si="50"/>
        <v/>
      </c>
      <c r="C381" s="8" t="str">
        <f t="shared" si="51"/>
        <v/>
      </c>
      <c r="D381" s="8" t="str">
        <f t="shared" si="52"/>
        <v/>
      </c>
      <c r="E381" s="9" t="str">
        <f t="shared" si="53"/>
        <v/>
      </c>
      <c r="F381" s="9" t="str">
        <f t="shared" si="54"/>
        <v/>
      </c>
      <c r="G381" s="9" t="str">
        <f t="shared" si="55"/>
        <v/>
      </c>
      <c r="H381" s="9" t="str">
        <f t="shared" si="56"/>
        <v/>
      </c>
      <c r="I381" s="10" t="str">
        <f t="shared" si="57"/>
        <v/>
      </c>
      <c r="J381" s="10" t="str">
        <f t="shared" si="59"/>
        <v/>
      </c>
      <c r="K381" s="11" t="str">
        <f t="shared" si="58"/>
        <v/>
      </c>
      <c r="M381" t="str">
        <f>IFERROR(MATCH($C$5&amp;"|"&amp;RIGHT("000000"&amp;365,6),CalcRankKeyA,0),"")</f>
        <v/>
      </c>
      <c r="N381" t="str">
        <f>IFERROR(MATCH($C$5&amp;"|"&amp;RIGHT("000000"&amp;365,6),CalcRankKeyB,0),"")</f>
        <v/>
      </c>
    </row>
    <row r="382" spans="1:14" x14ac:dyDescent="0.2">
      <c r="A382" s="12">
        <v>366</v>
      </c>
      <c r="B382" s="13" t="str">
        <f t="shared" si="50"/>
        <v/>
      </c>
      <c r="C382" s="13" t="str">
        <f t="shared" si="51"/>
        <v/>
      </c>
      <c r="D382" s="13" t="str">
        <f t="shared" si="52"/>
        <v/>
      </c>
      <c r="E382" s="14" t="str">
        <f t="shared" si="53"/>
        <v/>
      </c>
      <c r="F382" s="14" t="str">
        <f t="shared" si="54"/>
        <v/>
      </c>
      <c r="G382" s="14" t="str">
        <f t="shared" si="55"/>
        <v/>
      </c>
      <c r="H382" s="14" t="str">
        <f t="shared" si="56"/>
        <v/>
      </c>
      <c r="I382" s="15" t="str">
        <f t="shared" si="57"/>
        <v/>
      </c>
      <c r="J382" s="15" t="str">
        <f t="shared" si="59"/>
        <v/>
      </c>
      <c r="K382" s="16" t="str">
        <f t="shared" si="58"/>
        <v/>
      </c>
      <c r="M382" t="str">
        <f>IFERROR(MATCH($C$5&amp;"|"&amp;RIGHT("000000"&amp;366,6),CalcRankKeyA,0),"")</f>
        <v/>
      </c>
      <c r="N382" t="str">
        <f>IFERROR(MATCH($C$5&amp;"|"&amp;RIGHT("000000"&amp;366,6),CalcRankKeyB,0),"")</f>
        <v/>
      </c>
    </row>
    <row r="383" spans="1:14" x14ac:dyDescent="0.2">
      <c r="A383" s="7">
        <v>367</v>
      </c>
      <c r="B383" s="8" t="str">
        <f t="shared" si="50"/>
        <v/>
      </c>
      <c r="C383" s="8" t="str">
        <f t="shared" si="51"/>
        <v/>
      </c>
      <c r="D383" s="8" t="str">
        <f t="shared" si="52"/>
        <v/>
      </c>
      <c r="E383" s="9" t="str">
        <f t="shared" si="53"/>
        <v/>
      </c>
      <c r="F383" s="9" t="str">
        <f t="shared" si="54"/>
        <v/>
      </c>
      <c r="G383" s="9" t="str">
        <f t="shared" si="55"/>
        <v/>
      </c>
      <c r="H383" s="9" t="str">
        <f t="shared" si="56"/>
        <v/>
      </c>
      <c r="I383" s="10" t="str">
        <f t="shared" si="57"/>
        <v/>
      </c>
      <c r="J383" s="10" t="str">
        <f t="shared" si="59"/>
        <v/>
      </c>
      <c r="K383" s="11" t="str">
        <f t="shared" si="58"/>
        <v/>
      </c>
      <c r="M383" t="str">
        <f>IFERROR(MATCH($C$5&amp;"|"&amp;RIGHT("000000"&amp;367,6),CalcRankKeyA,0),"")</f>
        <v/>
      </c>
      <c r="N383" t="str">
        <f>IFERROR(MATCH($C$5&amp;"|"&amp;RIGHT("000000"&amp;367,6),CalcRankKeyB,0),"")</f>
        <v/>
      </c>
    </row>
    <row r="384" spans="1:14" x14ac:dyDescent="0.2">
      <c r="A384" s="12">
        <v>368</v>
      </c>
      <c r="B384" s="13" t="str">
        <f t="shared" si="50"/>
        <v/>
      </c>
      <c r="C384" s="13" t="str">
        <f t="shared" si="51"/>
        <v/>
      </c>
      <c r="D384" s="13" t="str">
        <f t="shared" si="52"/>
        <v/>
      </c>
      <c r="E384" s="14" t="str">
        <f t="shared" si="53"/>
        <v/>
      </c>
      <c r="F384" s="14" t="str">
        <f t="shared" si="54"/>
        <v/>
      </c>
      <c r="G384" s="14" t="str">
        <f t="shared" si="55"/>
        <v/>
      </c>
      <c r="H384" s="14" t="str">
        <f t="shared" si="56"/>
        <v/>
      </c>
      <c r="I384" s="15" t="str">
        <f t="shared" si="57"/>
        <v/>
      </c>
      <c r="J384" s="15" t="str">
        <f t="shared" si="59"/>
        <v/>
      </c>
      <c r="K384" s="16" t="str">
        <f t="shared" si="58"/>
        <v/>
      </c>
      <c r="M384" t="str">
        <f>IFERROR(MATCH($C$5&amp;"|"&amp;RIGHT("000000"&amp;368,6),CalcRankKeyA,0),"")</f>
        <v/>
      </c>
      <c r="N384" t="str">
        <f>IFERROR(MATCH($C$5&amp;"|"&amp;RIGHT("000000"&amp;368,6),CalcRankKeyB,0),"")</f>
        <v/>
      </c>
    </row>
    <row r="385" spans="1:14" x14ac:dyDescent="0.2">
      <c r="A385" s="7">
        <v>369</v>
      </c>
      <c r="B385" s="8" t="str">
        <f t="shared" si="50"/>
        <v/>
      </c>
      <c r="C385" s="8" t="str">
        <f t="shared" si="51"/>
        <v/>
      </c>
      <c r="D385" s="8" t="str">
        <f t="shared" si="52"/>
        <v/>
      </c>
      <c r="E385" s="9" t="str">
        <f t="shared" si="53"/>
        <v/>
      </c>
      <c r="F385" s="9" t="str">
        <f t="shared" si="54"/>
        <v/>
      </c>
      <c r="G385" s="9" t="str">
        <f t="shared" si="55"/>
        <v/>
      </c>
      <c r="H385" s="9" t="str">
        <f t="shared" si="56"/>
        <v/>
      </c>
      <c r="I385" s="10" t="str">
        <f t="shared" si="57"/>
        <v/>
      </c>
      <c r="J385" s="10" t="str">
        <f t="shared" si="59"/>
        <v/>
      </c>
      <c r="K385" s="11" t="str">
        <f t="shared" si="58"/>
        <v/>
      </c>
      <c r="M385" t="str">
        <f>IFERROR(MATCH($C$5&amp;"|"&amp;RIGHT("000000"&amp;369,6),CalcRankKeyA,0),"")</f>
        <v/>
      </c>
      <c r="N385" t="str">
        <f>IFERROR(MATCH($C$5&amp;"|"&amp;RIGHT("000000"&amp;369,6),CalcRankKeyB,0),"")</f>
        <v/>
      </c>
    </row>
    <row r="386" spans="1:14" x14ac:dyDescent="0.2">
      <c r="A386" s="12">
        <v>370</v>
      </c>
      <c r="B386" s="13" t="str">
        <f t="shared" si="50"/>
        <v/>
      </c>
      <c r="C386" s="13" t="str">
        <f t="shared" si="51"/>
        <v/>
      </c>
      <c r="D386" s="13" t="str">
        <f t="shared" si="52"/>
        <v/>
      </c>
      <c r="E386" s="14" t="str">
        <f t="shared" si="53"/>
        <v/>
      </c>
      <c r="F386" s="14" t="str">
        <f t="shared" si="54"/>
        <v/>
      </c>
      <c r="G386" s="14" t="str">
        <f t="shared" si="55"/>
        <v/>
      </c>
      <c r="H386" s="14" t="str">
        <f t="shared" si="56"/>
        <v/>
      </c>
      <c r="I386" s="15" t="str">
        <f t="shared" si="57"/>
        <v/>
      </c>
      <c r="J386" s="15" t="str">
        <f t="shared" si="59"/>
        <v/>
      </c>
      <c r="K386" s="16" t="str">
        <f t="shared" si="58"/>
        <v/>
      </c>
      <c r="M386" t="str">
        <f>IFERROR(MATCH($C$5&amp;"|"&amp;RIGHT("000000"&amp;370,6),CalcRankKeyA,0),"")</f>
        <v/>
      </c>
      <c r="N386" t="str">
        <f>IFERROR(MATCH($C$5&amp;"|"&amp;RIGHT("000000"&amp;370,6),CalcRankKeyB,0),"")</f>
        <v/>
      </c>
    </row>
    <row r="387" spans="1:14" x14ac:dyDescent="0.2">
      <c r="A387" s="7">
        <v>371</v>
      </c>
      <c r="B387" s="8" t="str">
        <f t="shared" si="50"/>
        <v/>
      </c>
      <c r="C387" s="8" t="str">
        <f t="shared" si="51"/>
        <v/>
      </c>
      <c r="D387" s="8" t="str">
        <f t="shared" si="52"/>
        <v/>
      </c>
      <c r="E387" s="9" t="str">
        <f t="shared" si="53"/>
        <v/>
      </c>
      <c r="F387" s="9" t="str">
        <f t="shared" si="54"/>
        <v/>
      </c>
      <c r="G387" s="9" t="str">
        <f t="shared" si="55"/>
        <v/>
      </c>
      <c r="H387" s="9" t="str">
        <f t="shared" si="56"/>
        <v/>
      </c>
      <c r="I387" s="10" t="str">
        <f t="shared" si="57"/>
        <v/>
      </c>
      <c r="J387" s="10" t="str">
        <f t="shared" si="59"/>
        <v/>
      </c>
      <c r="K387" s="11" t="str">
        <f t="shared" si="58"/>
        <v/>
      </c>
      <c r="M387" t="str">
        <f>IFERROR(MATCH($C$5&amp;"|"&amp;RIGHT("000000"&amp;371,6),CalcRankKeyA,0),"")</f>
        <v/>
      </c>
      <c r="N387" t="str">
        <f>IFERROR(MATCH($C$5&amp;"|"&amp;RIGHT("000000"&amp;371,6),CalcRankKeyB,0),"")</f>
        <v/>
      </c>
    </row>
    <row r="388" spans="1:14" x14ac:dyDescent="0.2">
      <c r="A388" s="12">
        <v>372</v>
      </c>
      <c r="B388" s="13" t="str">
        <f t="shared" si="50"/>
        <v/>
      </c>
      <c r="C388" s="13" t="str">
        <f t="shared" si="51"/>
        <v/>
      </c>
      <c r="D388" s="13" t="str">
        <f t="shared" si="52"/>
        <v/>
      </c>
      <c r="E388" s="14" t="str">
        <f t="shared" si="53"/>
        <v/>
      </c>
      <c r="F388" s="14" t="str">
        <f t="shared" si="54"/>
        <v/>
      </c>
      <c r="G388" s="14" t="str">
        <f t="shared" si="55"/>
        <v/>
      </c>
      <c r="H388" s="14" t="str">
        <f t="shared" si="56"/>
        <v/>
      </c>
      <c r="I388" s="15" t="str">
        <f t="shared" si="57"/>
        <v/>
      </c>
      <c r="J388" s="15" t="str">
        <f t="shared" si="59"/>
        <v/>
      </c>
      <c r="K388" s="16" t="str">
        <f t="shared" si="58"/>
        <v/>
      </c>
      <c r="M388" t="str">
        <f>IFERROR(MATCH($C$5&amp;"|"&amp;RIGHT("000000"&amp;372,6),CalcRankKeyA,0),"")</f>
        <v/>
      </c>
      <c r="N388" t="str">
        <f>IFERROR(MATCH($C$5&amp;"|"&amp;RIGHT("000000"&amp;372,6),CalcRankKeyB,0),"")</f>
        <v/>
      </c>
    </row>
    <row r="389" spans="1:14" x14ac:dyDescent="0.2">
      <c r="A389" s="7">
        <v>373</v>
      </c>
      <c r="B389" s="8" t="str">
        <f t="shared" si="50"/>
        <v/>
      </c>
      <c r="C389" s="8" t="str">
        <f t="shared" si="51"/>
        <v/>
      </c>
      <c r="D389" s="8" t="str">
        <f t="shared" si="52"/>
        <v/>
      </c>
      <c r="E389" s="9" t="str">
        <f t="shared" si="53"/>
        <v/>
      </c>
      <c r="F389" s="9" t="str">
        <f t="shared" si="54"/>
        <v/>
      </c>
      <c r="G389" s="9" t="str">
        <f t="shared" si="55"/>
        <v/>
      </c>
      <c r="H389" s="9" t="str">
        <f t="shared" si="56"/>
        <v/>
      </c>
      <c r="I389" s="10" t="str">
        <f t="shared" si="57"/>
        <v/>
      </c>
      <c r="J389" s="10" t="str">
        <f t="shared" si="59"/>
        <v/>
      </c>
      <c r="K389" s="11" t="str">
        <f t="shared" si="58"/>
        <v/>
      </c>
      <c r="M389" t="str">
        <f>IFERROR(MATCH($C$5&amp;"|"&amp;RIGHT("000000"&amp;373,6),CalcRankKeyA,0),"")</f>
        <v/>
      </c>
      <c r="N389" t="str">
        <f>IFERROR(MATCH($C$5&amp;"|"&amp;RIGHT("000000"&amp;373,6),CalcRankKeyB,0),"")</f>
        <v/>
      </c>
    </row>
    <row r="390" spans="1:14" x14ac:dyDescent="0.2">
      <c r="A390" s="12">
        <v>374</v>
      </c>
      <c r="B390" s="13" t="str">
        <f t="shared" si="50"/>
        <v/>
      </c>
      <c r="C390" s="13" t="str">
        <f t="shared" si="51"/>
        <v/>
      </c>
      <c r="D390" s="13" t="str">
        <f t="shared" si="52"/>
        <v/>
      </c>
      <c r="E390" s="14" t="str">
        <f t="shared" si="53"/>
        <v/>
      </c>
      <c r="F390" s="14" t="str">
        <f t="shared" si="54"/>
        <v/>
      </c>
      <c r="G390" s="14" t="str">
        <f t="shared" si="55"/>
        <v/>
      </c>
      <c r="H390" s="14" t="str">
        <f t="shared" si="56"/>
        <v/>
      </c>
      <c r="I390" s="15" t="str">
        <f t="shared" si="57"/>
        <v/>
      </c>
      <c r="J390" s="15" t="str">
        <f t="shared" si="59"/>
        <v/>
      </c>
      <c r="K390" s="16" t="str">
        <f t="shared" si="58"/>
        <v/>
      </c>
      <c r="M390" t="str">
        <f>IFERROR(MATCH($C$5&amp;"|"&amp;RIGHT("000000"&amp;374,6),CalcRankKeyA,0),"")</f>
        <v/>
      </c>
      <c r="N390" t="str">
        <f>IFERROR(MATCH($C$5&amp;"|"&amp;RIGHT("000000"&amp;374,6),CalcRankKeyB,0),"")</f>
        <v/>
      </c>
    </row>
    <row r="391" spans="1:14" x14ac:dyDescent="0.2">
      <c r="A391" s="7">
        <v>375</v>
      </c>
      <c r="B391" s="8" t="str">
        <f t="shared" si="50"/>
        <v/>
      </c>
      <c r="C391" s="8" t="str">
        <f t="shared" si="51"/>
        <v/>
      </c>
      <c r="D391" s="8" t="str">
        <f t="shared" si="52"/>
        <v/>
      </c>
      <c r="E391" s="9" t="str">
        <f t="shared" si="53"/>
        <v/>
      </c>
      <c r="F391" s="9" t="str">
        <f t="shared" si="54"/>
        <v/>
      </c>
      <c r="G391" s="9" t="str">
        <f t="shared" si="55"/>
        <v/>
      </c>
      <c r="H391" s="9" t="str">
        <f t="shared" si="56"/>
        <v/>
      </c>
      <c r="I391" s="10" t="str">
        <f t="shared" si="57"/>
        <v/>
      </c>
      <c r="J391" s="10" t="str">
        <f t="shared" si="59"/>
        <v/>
      </c>
      <c r="K391" s="11" t="str">
        <f t="shared" si="58"/>
        <v/>
      </c>
      <c r="M391" t="str">
        <f>IFERROR(MATCH($C$5&amp;"|"&amp;RIGHT("000000"&amp;375,6),CalcRankKeyA,0),"")</f>
        <v/>
      </c>
      <c r="N391" t="str">
        <f>IFERROR(MATCH($C$5&amp;"|"&amp;RIGHT("000000"&amp;375,6),CalcRankKeyB,0),"")</f>
        <v/>
      </c>
    </row>
    <row r="392" spans="1:14" x14ac:dyDescent="0.2">
      <c r="A392" s="12">
        <v>376</v>
      </c>
      <c r="B392" s="13" t="str">
        <f t="shared" si="50"/>
        <v/>
      </c>
      <c r="C392" s="13" t="str">
        <f t="shared" si="51"/>
        <v/>
      </c>
      <c r="D392" s="13" t="str">
        <f t="shared" si="52"/>
        <v/>
      </c>
      <c r="E392" s="14" t="str">
        <f t="shared" si="53"/>
        <v/>
      </c>
      <c r="F392" s="14" t="str">
        <f t="shared" si="54"/>
        <v/>
      </c>
      <c r="G392" s="14" t="str">
        <f t="shared" si="55"/>
        <v/>
      </c>
      <c r="H392" s="14" t="str">
        <f t="shared" si="56"/>
        <v/>
      </c>
      <c r="I392" s="15" t="str">
        <f t="shared" si="57"/>
        <v/>
      </c>
      <c r="J392" s="15" t="str">
        <f t="shared" si="59"/>
        <v/>
      </c>
      <c r="K392" s="16" t="str">
        <f t="shared" si="58"/>
        <v/>
      </c>
      <c r="M392" t="str">
        <f>IFERROR(MATCH($C$5&amp;"|"&amp;RIGHT("000000"&amp;376,6),CalcRankKeyA,0),"")</f>
        <v/>
      </c>
      <c r="N392" t="str">
        <f>IFERROR(MATCH($C$5&amp;"|"&amp;RIGHT("000000"&amp;376,6),CalcRankKeyB,0),"")</f>
        <v/>
      </c>
    </row>
    <row r="393" spans="1:14" x14ac:dyDescent="0.2">
      <c r="A393" s="7">
        <v>377</v>
      </c>
      <c r="B393" s="8" t="str">
        <f t="shared" si="50"/>
        <v/>
      </c>
      <c r="C393" s="8" t="str">
        <f t="shared" si="51"/>
        <v/>
      </c>
      <c r="D393" s="8" t="str">
        <f t="shared" si="52"/>
        <v/>
      </c>
      <c r="E393" s="9" t="str">
        <f t="shared" si="53"/>
        <v/>
      </c>
      <c r="F393" s="9" t="str">
        <f t="shared" si="54"/>
        <v/>
      </c>
      <c r="G393" s="9" t="str">
        <f t="shared" si="55"/>
        <v/>
      </c>
      <c r="H393" s="9" t="str">
        <f t="shared" si="56"/>
        <v/>
      </c>
      <c r="I393" s="10" t="str">
        <f t="shared" si="57"/>
        <v/>
      </c>
      <c r="J393" s="10" t="str">
        <f t="shared" si="59"/>
        <v/>
      </c>
      <c r="K393" s="11" t="str">
        <f t="shared" si="58"/>
        <v/>
      </c>
      <c r="M393" t="str">
        <f>IFERROR(MATCH($C$5&amp;"|"&amp;RIGHT("000000"&amp;377,6),CalcRankKeyA,0),"")</f>
        <v/>
      </c>
      <c r="N393" t="str">
        <f>IFERROR(MATCH($C$5&amp;"|"&amp;RIGHT("000000"&amp;377,6),CalcRankKeyB,0),"")</f>
        <v/>
      </c>
    </row>
    <row r="394" spans="1:14" x14ac:dyDescent="0.2">
      <c r="A394" s="12">
        <v>378</v>
      </c>
      <c r="B394" s="13" t="str">
        <f t="shared" si="50"/>
        <v/>
      </c>
      <c r="C394" s="13" t="str">
        <f t="shared" si="51"/>
        <v/>
      </c>
      <c r="D394" s="13" t="str">
        <f t="shared" si="52"/>
        <v/>
      </c>
      <c r="E394" s="14" t="str">
        <f t="shared" si="53"/>
        <v/>
      </c>
      <c r="F394" s="14" t="str">
        <f t="shared" si="54"/>
        <v/>
      </c>
      <c r="G394" s="14" t="str">
        <f t="shared" si="55"/>
        <v/>
      </c>
      <c r="H394" s="14" t="str">
        <f t="shared" si="56"/>
        <v/>
      </c>
      <c r="I394" s="15" t="str">
        <f t="shared" si="57"/>
        <v/>
      </c>
      <c r="J394" s="15" t="str">
        <f t="shared" si="59"/>
        <v/>
      </c>
      <c r="K394" s="16" t="str">
        <f t="shared" si="58"/>
        <v/>
      </c>
      <c r="M394" t="str">
        <f>IFERROR(MATCH($C$5&amp;"|"&amp;RIGHT("000000"&amp;378,6),CalcRankKeyA,0),"")</f>
        <v/>
      </c>
      <c r="N394" t="str">
        <f>IFERROR(MATCH($C$5&amp;"|"&amp;RIGHT("000000"&amp;378,6),CalcRankKeyB,0),"")</f>
        <v/>
      </c>
    </row>
    <row r="395" spans="1:14" x14ac:dyDescent="0.2">
      <c r="A395" s="7">
        <v>379</v>
      </c>
      <c r="B395" s="8" t="str">
        <f t="shared" si="50"/>
        <v/>
      </c>
      <c r="C395" s="8" t="str">
        <f t="shared" si="51"/>
        <v/>
      </c>
      <c r="D395" s="8" t="str">
        <f t="shared" si="52"/>
        <v/>
      </c>
      <c r="E395" s="9" t="str">
        <f t="shared" si="53"/>
        <v/>
      </c>
      <c r="F395" s="9" t="str">
        <f t="shared" si="54"/>
        <v/>
      </c>
      <c r="G395" s="9" t="str">
        <f t="shared" si="55"/>
        <v/>
      </c>
      <c r="H395" s="9" t="str">
        <f t="shared" si="56"/>
        <v/>
      </c>
      <c r="I395" s="10" t="str">
        <f t="shared" si="57"/>
        <v/>
      </c>
      <c r="J395" s="10" t="str">
        <f t="shared" si="59"/>
        <v/>
      </c>
      <c r="K395" s="11" t="str">
        <f t="shared" si="58"/>
        <v/>
      </c>
      <c r="M395" t="str">
        <f>IFERROR(MATCH($C$5&amp;"|"&amp;RIGHT("000000"&amp;379,6),CalcRankKeyA,0),"")</f>
        <v/>
      </c>
      <c r="N395" t="str">
        <f>IFERROR(MATCH($C$5&amp;"|"&amp;RIGHT("000000"&amp;379,6),CalcRankKeyB,0),"")</f>
        <v/>
      </c>
    </row>
    <row r="396" spans="1:14" x14ac:dyDescent="0.2">
      <c r="A396" s="12">
        <v>380</v>
      </c>
      <c r="B396" s="13" t="str">
        <f t="shared" si="50"/>
        <v/>
      </c>
      <c r="C396" s="13" t="str">
        <f t="shared" si="51"/>
        <v/>
      </c>
      <c r="D396" s="13" t="str">
        <f t="shared" si="52"/>
        <v/>
      </c>
      <c r="E396" s="14" t="str">
        <f t="shared" si="53"/>
        <v/>
      </c>
      <c r="F396" s="14" t="str">
        <f t="shared" si="54"/>
        <v/>
      </c>
      <c r="G396" s="14" t="str">
        <f t="shared" si="55"/>
        <v/>
      </c>
      <c r="H396" s="14" t="str">
        <f t="shared" si="56"/>
        <v/>
      </c>
      <c r="I396" s="15" t="str">
        <f t="shared" si="57"/>
        <v/>
      </c>
      <c r="J396" s="15" t="str">
        <f t="shared" si="59"/>
        <v/>
      </c>
      <c r="K396" s="16" t="str">
        <f t="shared" si="58"/>
        <v/>
      </c>
      <c r="M396" t="str">
        <f>IFERROR(MATCH($C$5&amp;"|"&amp;RIGHT("000000"&amp;380,6),CalcRankKeyA,0),"")</f>
        <v/>
      </c>
      <c r="N396" t="str">
        <f>IFERROR(MATCH($C$5&amp;"|"&amp;RIGHT("000000"&amp;380,6),CalcRankKeyB,0),"")</f>
        <v/>
      </c>
    </row>
    <row r="397" spans="1:14" x14ac:dyDescent="0.2">
      <c r="A397" s="7">
        <v>381</v>
      </c>
      <c r="B397" s="8" t="str">
        <f t="shared" si="50"/>
        <v/>
      </c>
      <c r="C397" s="8" t="str">
        <f t="shared" si="51"/>
        <v/>
      </c>
      <c r="D397" s="8" t="str">
        <f t="shared" si="52"/>
        <v/>
      </c>
      <c r="E397" s="9" t="str">
        <f t="shared" si="53"/>
        <v/>
      </c>
      <c r="F397" s="9" t="str">
        <f t="shared" si="54"/>
        <v/>
      </c>
      <c r="G397" s="9" t="str">
        <f t="shared" si="55"/>
        <v/>
      </c>
      <c r="H397" s="9" t="str">
        <f t="shared" si="56"/>
        <v/>
      </c>
      <c r="I397" s="10" t="str">
        <f t="shared" si="57"/>
        <v/>
      </c>
      <c r="J397" s="10" t="str">
        <f t="shared" si="59"/>
        <v/>
      </c>
      <c r="K397" s="11" t="str">
        <f t="shared" si="58"/>
        <v/>
      </c>
      <c r="M397" t="str">
        <f>IFERROR(MATCH($C$5&amp;"|"&amp;RIGHT("000000"&amp;381,6),CalcRankKeyA,0),"")</f>
        <v/>
      </c>
      <c r="N397" t="str">
        <f>IFERROR(MATCH($C$5&amp;"|"&amp;RIGHT("000000"&amp;381,6),CalcRankKeyB,0),"")</f>
        <v/>
      </c>
    </row>
    <row r="398" spans="1:14" x14ac:dyDescent="0.2">
      <c r="A398" s="12">
        <v>382</v>
      </c>
      <c r="B398" s="13" t="str">
        <f t="shared" si="50"/>
        <v/>
      </c>
      <c r="C398" s="13" t="str">
        <f t="shared" si="51"/>
        <v/>
      </c>
      <c r="D398" s="13" t="str">
        <f t="shared" si="52"/>
        <v/>
      </c>
      <c r="E398" s="14" t="str">
        <f t="shared" si="53"/>
        <v/>
      </c>
      <c r="F398" s="14" t="str">
        <f t="shared" si="54"/>
        <v/>
      </c>
      <c r="G398" s="14" t="str">
        <f t="shared" si="55"/>
        <v/>
      </c>
      <c r="H398" s="14" t="str">
        <f t="shared" si="56"/>
        <v/>
      </c>
      <c r="I398" s="15" t="str">
        <f t="shared" si="57"/>
        <v/>
      </c>
      <c r="J398" s="15" t="str">
        <f t="shared" si="59"/>
        <v/>
      </c>
      <c r="K398" s="16" t="str">
        <f t="shared" si="58"/>
        <v/>
      </c>
      <c r="M398" t="str">
        <f>IFERROR(MATCH($C$5&amp;"|"&amp;RIGHT("000000"&amp;382,6),CalcRankKeyA,0),"")</f>
        <v/>
      </c>
      <c r="N398" t="str">
        <f>IFERROR(MATCH($C$5&amp;"|"&amp;RIGHT("000000"&amp;382,6),CalcRankKeyB,0),"")</f>
        <v/>
      </c>
    </row>
    <row r="399" spans="1:14" x14ac:dyDescent="0.2">
      <c r="A399" s="7">
        <v>383</v>
      </c>
      <c r="B399" s="8" t="str">
        <f t="shared" si="50"/>
        <v/>
      </c>
      <c r="C399" s="8" t="str">
        <f t="shared" si="51"/>
        <v/>
      </c>
      <c r="D399" s="8" t="str">
        <f t="shared" si="52"/>
        <v/>
      </c>
      <c r="E399" s="9" t="str">
        <f t="shared" si="53"/>
        <v/>
      </c>
      <c r="F399" s="9" t="str">
        <f t="shared" si="54"/>
        <v/>
      </c>
      <c r="G399" s="9" t="str">
        <f t="shared" si="55"/>
        <v/>
      </c>
      <c r="H399" s="9" t="str">
        <f t="shared" si="56"/>
        <v/>
      </c>
      <c r="I399" s="10" t="str">
        <f t="shared" si="57"/>
        <v/>
      </c>
      <c r="J399" s="10" t="str">
        <f t="shared" si="59"/>
        <v/>
      </c>
      <c r="K399" s="11" t="str">
        <f t="shared" si="58"/>
        <v/>
      </c>
      <c r="M399" t="str">
        <f>IFERROR(MATCH($C$5&amp;"|"&amp;RIGHT("000000"&amp;383,6),CalcRankKeyA,0),"")</f>
        <v/>
      </c>
      <c r="N399" t="str">
        <f>IFERROR(MATCH($C$5&amp;"|"&amp;RIGHT("000000"&amp;383,6),CalcRankKeyB,0),"")</f>
        <v/>
      </c>
    </row>
    <row r="400" spans="1:14" x14ac:dyDescent="0.2">
      <c r="A400" s="12">
        <v>384</v>
      </c>
      <c r="B400" s="13" t="str">
        <f t="shared" si="50"/>
        <v/>
      </c>
      <c r="C400" s="13" t="str">
        <f t="shared" si="51"/>
        <v/>
      </c>
      <c r="D400" s="13" t="str">
        <f t="shared" si="52"/>
        <v/>
      </c>
      <c r="E400" s="14" t="str">
        <f t="shared" si="53"/>
        <v/>
      </c>
      <c r="F400" s="14" t="str">
        <f t="shared" si="54"/>
        <v/>
      </c>
      <c r="G400" s="14" t="str">
        <f t="shared" si="55"/>
        <v/>
      </c>
      <c r="H400" s="14" t="str">
        <f t="shared" si="56"/>
        <v/>
      </c>
      <c r="I400" s="15" t="str">
        <f t="shared" si="57"/>
        <v/>
      </c>
      <c r="J400" s="15" t="str">
        <f t="shared" si="59"/>
        <v/>
      </c>
      <c r="K400" s="16" t="str">
        <f t="shared" si="58"/>
        <v/>
      </c>
      <c r="M400" t="str">
        <f>IFERROR(MATCH($C$5&amp;"|"&amp;RIGHT("000000"&amp;384,6),CalcRankKeyA,0),"")</f>
        <v/>
      </c>
      <c r="N400" t="str">
        <f>IFERROR(MATCH($C$5&amp;"|"&amp;RIGHT("000000"&amp;384,6),CalcRankKeyB,0),"")</f>
        <v/>
      </c>
    </row>
    <row r="401" spans="1:14" x14ac:dyDescent="0.2">
      <c r="A401" s="7">
        <v>385</v>
      </c>
      <c r="B401" s="8" t="str">
        <f t="shared" ref="B401:B464" si="60">IF(AND($M401="",$N401=""),"",IF($M401&lt;&gt;"",INDEX(CalcDateA,$M401),INDEX(CalcDateB,$N401)))</f>
        <v/>
      </c>
      <c r="C401" s="8" t="str">
        <f t="shared" ref="C401:C464" si="61">IF($M401&lt;&gt;"","خرید سبد",IF($N401&lt;&gt;"",IF(N(INDEX(CalcDepB,$N401))&gt;0,"دریافت بانکی","پرداخت بانکی"),""))</f>
        <v/>
      </c>
      <c r="D401" s="8" t="str">
        <f t="shared" ref="D401:D464" si="62">IF($M401&lt;&gt;"",IF(INDEX(CalcDocA,$M401)="","—",INDEX(CalcDocA,$M401)),IF($N401&lt;&gt;"",INDEX(CalcBankB,$N401),""))</f>
        <v/>
      </c>
      <c r="E401" s="9" t="str">
        <f t="shared" ref="E401:E464" si="63">IF($N401&lt;&gt;"",IF(INDEX(CalcDepB,$N401)=0,"",INDEX(CalcDepB,$N401)),"")</f>
        <v/>
      </c>
      <c r="F401" s="9" t="str">
        <f t="shared" ref="F401:F464" si="64">IF($M401&lt;&gt;"",IF(INDEX(CalcQtyA,$M401)=0,"",INDEX(CalcQtyA,$M401)),"")</f>
        <v/>
      </c>
      <c r="G401" s="9" t="str">
        <f t="shared" ref="G401:G464" si="65">IF($M401&lt;&gt;"",IF(INDEX(CalcPriceA,$M401)=0,"",INDEX(CalcPriceA,$M401)),"")</f>
        <v/>
      </c>
      <c r="H401" s="9" t="str">
        <f t="shared" ref="H401:H464" si="66">IF($N401&lt;&gt;"",IF(INDEX(CalcWitB,$N401)=0,"",INDEX(CalcWitB,$N401)),"")</f>
        <v/>
      </c>
      <c r="I401" s="10" t="str">
        <f t="shared" ref="I401:I464" si="67">IF($M401&lt;&gt;"",INDEX(CalcAmtA,$M401),"")</f>
        <v/>
      </c>
      <c r="J401" s="10" t="str">
        <f t="shared" si="59"/>
        <v/>
      </c>
      <c r="K401" s="11" t="str">
        <f t="shared" ref="K401:K464" si="68">IF($M401&lt;&gt;"",IF(INDEX(CalcNoteA,$M401)="","—",INDEX(CalcNoteA,$M401)),IF($N401&lt;&gt;"",IF(INDEX(CalcNoteB,$N401)="","—",INDEX(CalcNoteB,$N401)),""))</f>
        <v/>
      </c>
      <c r="M401" t="str">
        <f>IFERROR(MATCH($C$5&amp;"|"&amp;RIGHT("000000"&amp;385,6),CalcRankKeyA,0),"")</f>
        <v/>
      </c>
      <c r="N401" t="str">
        <f>IFERROR(MATCH($C$5&amp;"|"&amp;RIGHT("000000"&amp;385,6),CalcRankKeyB,0),"")</f>
        <v/>
      </c>
    </row>
    <row r="402" spans="1:14" x14ac:dyDescent="0.2">
      <c r="A402" s="12">
        <v>386</v>
      </c>
      <c r="B402" s="13" t="str">
        <f t="shared" si="60"/>
        <v/>
      </c>
      <c r="C402" s="13" t="str">
        <f t="shared" si="61"/>
        <v/>
      </c>
      <c r="D402" s="13" t="str">
        <f t="shared" si="62"/>
        <v/>
      </c>
      <c r="E402" s="14" t="str">
        <f t="shared" si="63"/>
        <v/>
      </c>
      <c r="F402" s="14" t="str">
        <f t="shared" si="64"/>
        <v/>
      </c>
      <c r="G402" s="14" t="str">
        <f t="shared" si="65"/>
        <v/>
      </c>
      <c r="H402" s="14" t="str">
        <f t="shared" si="66"/>
        <v/>
      </c>
      <c r="I402" s="15" t="str">
        <f t="shared" si="67"/>
        <v/>
      </c>
      <c r="J402" s="15" t="str">
        <f t="shared" ref="J402:J465" si="69">IF($B402="","",IF($J401="",$C$8,$J401)+IF($I402="",0,$I402)+IF($E402="",0,$E402)-IF($H402="",0,$H402))</f>
        <v/>
      </c>
      <c r="K402" s="16" t="str">
        <f t="shared" si="68"/>
        <v/>
      </c>
      <c r="M402" t="str">
        <f>IFERROR(MATCH($C$5&amp;"|"&amp;RIGHT("000000"&amp;386,6),CalcRankKeyA,0),"")</f>
        <v/>
      </c>
      <c r="N402" t="str">
        <f>IFERROR(MATCH($C$5&amp;"|"&amp;RIGHT("000000"&amp;386,6),CalcRankKeyB,0),"")</f>
        <v/>
      </c>
    </row>
    <row r="403" spans="1:14" x14ac:dyDescent="0.2">
      <c r="A403" s="7">
        <v>387</v>
      </c>
      <c r="B403" s="8" t="str">
        <f t="shared" si="60"/>
        <v/>
      </c>
      <c r="C403" s="8" t="str">
        <f t="shared" si="61"/>
        <v/>
      </c>
      <c r="D403" s="8" t="str">
        <f t="shared" si="62"/>
        <v/>
      </c>
      <c r="E403" s="9" t="str">
        <f t="shared" si="63"/>
        <v/>
      </c>
      <c r="F403" s="9" t="str">
        <f t="shared" si="64"/>
        <v/>
      </c>
      <c r="G403" s="9" t="str">
        <f t="shared" si="65"/>
        <v/>
      </c>
      <c r="H403" s="9" t="str">
        <f t="shared" si="66"/>
        <v/>
      </c>
      <c r="I403" s="10" t="str">
        <f t="shared" si="67"/>
        <v/>
      </c>
      <c r="J403" s="10" t="str">
        <f t="shared" si="69"/>
        <v/>
      </c>
      <c r="K403" s="11" t="str">
        <f t="shared" si="68"/>
        <v/>
      </c>
      <c r="M403" t="str">
        <f>IFERROR(MATCH($C$5&amp;"|"&amp;RIGHT("000000"&amp;387,6),CalcRankKeyA,0),"")</f>
        <v/>
      </c>
      <c r="N403" t="str">
        <f>IFERROR(MATCH($C$5&amp;"|"&amp;RIGHT("000000"&amp;387,6),CalcRankKeyB,0),"")</f>
        <v/>
      </c>
    </row>
    <row r="404" spans="1:14" x14ac:dyDescent="0.2">
      <c r="A404" s="12">
        <v>388</v>
      </c>
      <c r="B404" s="13" t="str">
        <f t="shared" si="60"/>
        <v/>
      </c>
      <c r="C404" s="13" t="str">
        <f t="shared" si="61"/>
        <v/>
      </c>
      <c r="D404" s="13" t="str">
        <f t="shared" si="62"/>
        <v/>
      </c>
      <c r="E404" s="14" t="str">
        <f t="shared" si="63"/>
        <v/>
      </c>
      <c r="F404" s="14" t="str">
        <f t="shared" si="64"/>
        <v/>
      </c>
      <c r="G404" s="14" t="str">
        <f t="shared" si="65"/>
        <v/>
      </c>
      <c r="H404" s="14" t="str">
        <f t="shared" si="66"/>
        <v/>
      </c>
      <c r="I404" s="15" t="str">
        <f t="shared" si="67"/>
        <v/>
      </c>
      <c r="J404" s="15" t="str">
        <f t="shared" si="69"/>
        <v/>
      </c>
      <c r="K404" s="16" t="str">
        <f t="shared" si="68"/>
        <v/>
      </c>
      <c r="M404" t="str">
        <f>IFERROR(MATCH($C$5&amp;"|"&amp;RIGHT("000000"&amp;388,6),CalcRankKeyA,0),"")</f>
        <v/>
      </c>
      <c r="N404" t="str">
        <f>IFERROR(MATCH($C$5&amp;"|"&amp;RIGHT("000000"&amp;388,6),CalcRankKeyB,0),"")</f>
        <v/>
      </c>
    </row>
    <row r="405" spans="1:14" x14ac:dyDescent="0.2">
      <c r="A405" s="7">
        <v>389</v>
      </c>
      <c r="B405" s="8" t="str">
        <f t="shared" si="60"/>
        <v/>
      </c>
      <c r="C405" s="8" t="str">
        <f t="shared" si="61"/>
        <v/>
      </c>
      <c r="D405" s="8" t="str">
        <f t="shared" si="62"/>
        <v/>
      </c>
      <c r="E405" s="9" t="str">
        <f t="shared" si="63"/>
        <v/>
      </c>
      <c r="F405" s="9" t="str">
        <f t="shared" si="64"/>
        <v/>
      </c>
      <c r="G405" s="9" t="str">
        <f t="shared" si="65"/>
        <v/>
      </c>
      <c r="H405" s="9" t="str">
        <f t="shared" si="66"/>
        <v/>
      </c>
      <c r="I405" s="10" t="str">
        <f t="shared" si="67"/>
        <v/>
      </c>
      <c r="J405" s="10" t="str">
        <f t="shared" si="69"/>
        <v/>
      </c>
      <c r="K405" s="11" t="str">
        <f t="shared" si="68"/>
        <v/>
      </c>
      <c r="M405" t="str">
        <f>IFERROR(MATCH($C$5&amp;"|"&amp;RIGHT("000000"&amp;389,6),CalcRankKeyA,0),"")</f>
        <v/>
      </c>
      <c r="N405" t="str">
        <f>IFERROR(MATCH($C$5&amp;"|"&amp;RIGHT("000000"&amp;389,6),CalcRankKeyB,0),"")</f>
        <v/>
      </c>
    </row>
    <row r="406" spans="1:14" x14ac:dyDescent="0.2">
      <c r="A406" s="12">
        <v>390</v>
      </c>
      <c r="B406" s="13" t="str">
        <f t="shared" si="60"/>
        <v/>
      </c>
      <c r="C406" s="13" t="str">
        <f t="shared" si="61"/>
        <v/>
      </c>
      <c r="D406" s="13" t="str">
        <f t="shared" si="62"/>
        <v/>
      </c>
      <c r="E406" s="14" t="str">
        <f t="shared" si="63"/>
        <v/>
      </c>
      <c r="F406" s="14" t="str">
        <f t="shared" si="64"/>
        <v/>
      </c>
      <c r="G406" s="14" t="str">
        <f t="shared" si="65"/>
        <v/>
      </c>
      <c r="H406" s="14" t="str">
        <f t="shared" si="66"/>
        <v/>
      </c>
      <c r="I406" s="15" t="str">
        <f t="shared" si="67"/>
        <v/>
      </c>
      <c r="J406" s="15" t="str">
        <f t="shared" si="69"/>
        <v/>
      </c>
      <c r="K406" s="16" t="str">
        <f t="shared" si="68"/>
        <v/>
      </c>
      <c r="M406" t="str">
        <f>IFERROR(MATCH($C$5&amp;"|"&amp;RIGHT("000000"&amp;390,6),CalcRankKeyA,0),"")</f>
        <v/>
      </c>
      <c r="N406" t="str">
        <f>IFERROR(MATCH($C$5&amp;"|"&amp;RIGHT("000000"&amp;390,6),CalcRankKeyB,0),"")</f>
        <v/>
      </c>
    </row>
    <row r="407" spans="1:14" x14ac:dyDescent="0.2">
      <c r="A407" s="7">
        <v>391</v>
      </c>
      <c r="B407" s="8" t="str">
        <f t="shared" si="60"/>
        <v/>
      </c>
      <c r="C407" s="8" t="str">
        <f t="shared" si="61"/>
        <v/>
      </c>
      <c r="D407" s="8" t="str">
        <f t="shared" si="62"/>
        <v/>
      </c>
      <c r="E407" s="9" t="str">
        <f t="shared" si="63"/>
        <v/>
      </c>
      <c r="F407" s="9" t="str">
        <f t="shared" si="64"/>
        <v/>
      </c>
      <c r="G407" s="9" t="str">
        <f t="shared" si="65"/>
        <v/>
      </c>
      <c r="H407" s="9" t="str">
        <f t="shared" si="66"/>
        <v/>
      </c>
      <c r="I407" s="10" t="str">
        <f t="shared" si="67"/>
        <v/>
      </c>
      <c r="J407" s="10" t="str">
        <f t="shared" si="69"/>
        <v/>
      </c>
      <c r="K407" s="11" t="str">
        <f t="shared" si="68"/>
        <v/>
      </c>
      <c r="M407" t="str">
        <f>IFERROR(MATCH($C$5&amp;"|"&amp;RIGHT("000000"&amp;391,6),CalcRankKeyA,0),"")</f>
        <v/>
      </c>
      <c r="N407" t="str">
        <f>IFERROR(MATCH($C$5&amp;"|"&amp;RIGHT("000000"&amp;391,6),CalcRankKeyB,0),"")</f>
        <v/>
      </c>
    </row>
    <row r="408" spans="1:14" x14ac:dyDescent="0.2">
      <c r="A408" s="12">
        <v>392</v>
      </c>
      <c r="B408" s="13" t="str">
        <f t="shared" si="60"/>
        <v/>
      </c>
      <c r="C408" s="13" t="str">
        <f t="shared" si="61"/>
        <v/>
      </c>
      <c r="D408" s="13" t="str">
        <f t="shared" si="62"/>
        <v/>
      </c>
      <c r="E408" s="14" t="str">
        <f t="shared" si="63"/>
        <v/>
      </c>
      <c r="F408" s="14" t="str">
        <f t="shared" si="64"/>
        <v/>
      </c>
      <c r="G408" s="14" t="str">
        <f t="shared" si="65"/>
        <v/>
      </c>
      <c r="H408" s="14" t="str">
        <f t="shared" si="66"/>
        <v/>
      </c>
      <c r="I408" s="15" t="str">
        <f t="shared" si="67"/>
        <v/>
      </c>
      <c r="J408" s="15" t="str">
        <f t="shared" si="69"/>
        <v/>
      </c>
      <c r="K408" s="16" t="str">
        <f t="shared" si="68"/>
        <v/>
      </c>
      <c r="M408" t="str">
        <f>IFERROR(MATCH($C$5&amp;"|"&amp;RIGHT("000000"&amp;392,6),CalcRankKeyA,0),"")</f>
        <v/>
      </c>
      <c r="N408" t="str">
        <f>IFERROR(MATCH($C$5&amp;"|"&amp;RIGHT("000000"&amp;392,6),CalcRankKeyB,0),"")</f>
        <v/>
      </c>
    </row>
    <row r="409" spans="1:14" x14ac:dyDescent="0.2">
      <c r="A409" s="7">
        <v>393</v>
      </c>
      <c r="B409" s="8" t="str">
        <f t="shared" si="60"/>
        <v/>
      </c>
      <c r="C409" s="8" t="str">
        <f t="shared" si="61"/>
        <v/>
      </c>
      <c r="D409" s="8" t="str">
        <f t="shared" si="62"/>
        <v/>
      </c>
      <c r="E409" s="9" t="str">
        <f t="shared" si="63"/>
        <v/>
      </c>
      <c r="F409" s="9" t="str">
        <f t="shared" si="64"/>
        <v/>
      </c>
      <c r="G409" s="9" t="str">
        <f t="shared" si="65"/>
        <v/>
      </c>
      <c r="H409" s="9" t="str">
        <f t="shared" si="66"/>
        <v/>
      </c>
      <c r="I409" s="10" t="str">
        <f t="shared" si="67"/>
        <v/>
      </c>
      <c r="J409" s="10" t="str">
        <f t="shared" si="69"/>
        <v/>
      </c>
      <c r="K409" s="11" t="str">
        <f t="shared" si="68"/>
        <v/>
      </c>
      <c r="M409" t="str">
        <f>IFERROR(MATCH($C$5&amp;"|"&amp;RIGHT("000000"&amp;393,6),CalcRankKeyA,0),"")</f>
        <v/>
      </c>
      <c r="N409" t="str">
        <f>IFERROR(MATCH($C$5&amp;"|"&amp;RIGHT("000000"&amp;393,6),CalcRankKeyB,0),"")</f>
        <v/>
      </c>
    </row>
    <row r="410" spans="1:14" x14ac:dyDescent="0.2">
      <c r="A410" s="12">
        <v>394</v>
      </c>
      <c r="B410" s="13" t="str">
        <f t="shared" si="60"/>
        <v/>
      </c>
      <c r="C410" s="13" t="str">
        <f t="shared" si="61"/>
        <v/>
      </c>
      <c r="D410" s="13" t="str">
        <f t="shared" si="62"/>
        <v/>
      </c>
      <c r="E410" s="14" t="str">
        <f t="shared" si="63"/>
        <v/>
      </c>
      <c r="F410" s="14" t="str">
        <f t="shared" si="64"/>
        <v/>
      </c>
      <c r="G410" s="14" t="str">
        <f t="shared" si="65"/>
        <v/>
      </c>
      <c r="H410" s="14" t="str">
        <f t="shared" si="66"/>
        <v/>
      </c>
      <c r="I410" s="15" t="str">
        <f t="shared" si="67"/>
        <v/>
      </c>
      <c r="J410" s="15" t="str">
        <f t="shared" si="69"/>
        <v/>
      </c>
      <c r="K410" s="16" t="str">
        <f t="shared" si="68"/>
        <v/>
      </c>
      <c r="M410" t="str">
        <f>IFERROR(MATCH($C$5&amp;"|"&amp;RIGHT("000000"&amp;394,6),CalcRankKeyA,0),"")</f>
        <v/>
      </c>
      <c r="N410" t="str">
        <f>IFERROR(MATCH($C$5&amp;"|"&amp;RIGHT("000000"&amp;394,6),CalcRankKeyB,0),"")</f>
        <v/>
      </c>
    </row>
    <row r="411" spans="1:14" x14ac:dyDescent="0.2">
      <c r="A411" s="7">
        <v>395</v>
      </c>
      <c r="B411" s="8" t="str">
        <f t="shared" si="60"/>
        <v/>
      </c>
      <c r="C411" s="8" t="str">
        <f t="shared" si="61"/>
        <v/>
      </c>
      <c r="D411" s="8" t="str">
        <f t="shared" si="62"/>
        <v/>
      </c>
      <c r="E411" s="9" t="str">
        <f t="shared" si="63"/>
        <v/>
      </c>
      <c r="F411" s="9" t="str">
        <f t="shared" si="64"/>
        <v/>
      </c>
      <c r="G411" s="9" t="str">
        <f t="shared" si="65"/>
        <v/>
      </c>
      <c r="H411" s="9" t="str">
        <f t="shared" si="66"/>
        <v/>
      </c>
      <c r="I411" s="10" t="str">
        <f t="shared" si="67"/>
        <v/>
      </c>
      <c r="J411" s="10" t="str">
        <f t="shared" si="69"/>
        <v/>
      </c>
      <c r="K411" s="11" t="str">
        <f t="shared" si="68"/>
        <v/>
      </c>
      <c r="M411" t="str">
        <f>IFERROR(MATCH($C$5&amp;"|"&amp;RIGHT("000000"&amp;395,6),CalcRankKeyA,0),"")</f>
        <v/>
      </c>
      <c r="N411" t="str">
        <f>IFERROR(MATCH($C$5&amp;"|"&amp;RIGHT("000000"&amp;395,6),CalcRankKeyB,0),"")</f>
        <v/>
      </c>
    </row>
    <row r="412" spans="1:14" x14ac:dyDescent="0.2">
      <c r="A412" s="12">
        <v>396</v>
      </c>
      <c r="B412" s="13" t="str">
        <f t="shared" si="60"/>
        <v/>
      </c>
      <c r="C412" s="13" t="str">
        <f t="shared" si="61"/>
        <v/>
      </c>
      <c r="D412" s="13" t="str">
        <f t="shared" si="62"/>
        <v/>
      </c>
      <c r="E412" s="14" t="str">
        <f t="shared" si="63"/>
        <v/>
      </c>
      <c r="F412" s="14" t="str">
        <f t="shared" si="64"/>
        <v/>
      </c>
      <c r="G412" s="14" t="str">
        <f t="shared" si="65"/>
        <v/>
      </c>
      <c r="H412" s="14" t="str">
        <f t="shared" si="66"/>
        <v/>
      </c>
      <c r="I412" s="15" t="str">
        <f t="shared" si="67"/>
        <v/>
      </c>
      <c r="J412" s="15" t="str">
        <f t="shared" si="69"/>
        <v/>
      </c>
      <c r="K412" s="16" t="str">
        <f t="shared" si="68"/>
        <v/>
      </c>
      <c r="M412" t="str">
        <f>IFERROR(MATCH($C$5&amp;"|"&amp;RIGHT("000000"&amp;396,6),CalcRankKeyA,0),"")</f>
        <v/>
      </c>
      <c r="N412" t="str">
        <f>IFERROR(MATCH($C$5&amp;"|"&amp;RIGHT("000000"&amp;396,6),CalcRankKeyB,0),"")</f>
        <v/>
      </c>
    </row>
    <row r="413" spans="1:14" x14ac:dyDescent="0.2">
      <c r="A413" s="7">
        <v>397</v>
      </c>
      <c r="B413" s="8" t="str">
        <f t="shared" si="60"/>
        <v/>
      </c>
      <c r="C413" s="8" t="str">
        <f t="shared" si="61"/>
        <v/>
      </c>
      <c r="D413" s="8" t="str">
        <f t="shared" si="62"/>
        <v/>
      </c>
      <c r="E413" s="9" t="str">
        <f t="shared" si="63"/>
        <v/>
      </c>
      <c r="F413" s="9" t="str">
        <f t="shared" si="64"/>
        <v/>
      </c>
      <c r="G413" s="9" t="str">
        <f t="shared" si="65"/>
        <v/>
      </c>
      <c r="H413" s="9" t="str">
        <f t="shared" si="66"/>
        <v/>
      </c>
      <c r="I413" s="10" t="str">
        <f t="shared" si="67"/>
        <v/>
      </c>
      <c r="J413" s="10" t="str">
        <f t="shared" si="69"/>
        <v/>
      </c>
      <c r="K413" s="11" t="str">
        <f t="shared" si="68"/>
        <v/>
      </c>
      <c r="M413" t="str">
        <f>IFERROR(MATCH($C$5&amp;"|"&amp;RIGHT("000000"&amp;397,6),CalcRankKeyA,0),"")</f>
        <v/>
      </c>
      <c r="N413" t="str">
        <f>IFERROR(MATCH($C$5&amp;"|"&amp;RIGHT("000000"&amp;397,6),CalcRankKeyB,0),"")</f>
        <v/>
      </c>
    </row>
    <row r="414" spans="1:14" x14ac:dyDescent="0.2">
      <c r="A414" s="12">
        <v>398</v>
      </c>
      <c r="B414" s="13" t="str">
        <f t="shared" si="60"/>
        <v/>
      </c>
      <c r="C414" s="13" t="str">
        <f t="shared" si="61"/>
        <v/>
      </c>
      <c r="D414" s="13" t="str">
        <f t="shared" si="62"/>
        <v/>
      </c>
      <c r="E414" s="14" t="str">
        <f t="shared" si="63"/>
        <v/>
      </c>
      <c r="F414" s="14" t="str">
        <f t="shared" si="64"/>
        <v/>
      </c>
      <c r="G414" s="14" t="str">
        <f t="shared" si="65"/>
        <v/>
      </c>
      <c r="H414" s="14" t="str">
        <f t="shared" si="66"/>
        <v/>
      </c>
      <c r="I414" s="15" t="str">
        <f t="shared" si="67"/>
        <v/>
      </c>
      <c r="J414" s="15" t="str">
        <f t="shared" si="69"/>
        <v/>
      </c>
      <c r="K414" s="16" t="str">
        <f t="shared" si="68"/>
        <v/>
      </c>
      <c r="M414" t="str">
        <f>IFERROR(MATCH($C$5&amp;"|"&amp;RIGHT("000000"&amp;398,6),CalcRankKeyA,0),"")</f>
        <v/>
      </c>
      <c r="N414" t="str">
        <f>IFERROR(MATCH($C$5&amp;"|"&amp;RIGHT("000000"&amp;398,6),CalcRankKeyB,0),"")</f>
        <v/>
      </c>
    </row>
    <row r="415" spans="1:14" x14ac:dyDescent="0.2">
      <c r="A415" s="7">
        <v>399</v>
      </c>
      <c r="B415" s="8" t="str">
        <f t="shared" si="60"/>
        <v/>
      </c>
      <c r="C415" s="8" t="str">
        <f t="shared" si="61"/>
        <v/>
      </c>
      <c r="D415" s="8" t="str">
        <f t="shared" si="62"/>
        <v/>
      </c>
      <c r="E415" s="9" t="str">
        <f t="shared" si="63"/>
        <v/>
      </c>
      <c r="F415" s="9" t="str">
        <f t="shared" si="64"/>
        <v/>
      </c>
      <c r="G415" s="9" t="str">
        <f t="shared" si="65"/>
        <v/>
      </c>
      <c r="H415" s="9" t="str">
        <f t="shared" si="66"/>
        <v/>
      </c>
      <c r="I415" s="10" t="str">
        <f t="shared" si="67"/>
        <v/>
      </c>
      <c r="J415" s="10" t="str">
        <f t="shared" si="69"/>
        <v/>
      </c>
      <c r="K415" s="11" t="str">
        <f t="shared" si="68"/>
        <v/>
      </c>
      <c r="M415" t="str">
        <f>IFERROR(MATCH($C$5&amp;"|"&amp;RIGHT("000000"&amp;399,6),CalcRankKeyA,0),"")</f>
        <v/>
      </c>
      <c r="N415" t="str">
        <f>IFERROR(MATCH($C$5&amp;"|"&amp;RIGHT("000000"&amp;399,6),CalcRankKeyB,0),"")</f>
        <v/>
      </c>
    </row>
    <row r="416" spans="1:14" x14ac:dyDescent="0.2">
      <c r="A416" s="12">
        <v>400</v>
      </c>
      <c r="B416" s="13" t="str">
        <f t="shared" si="60"/>
        <v/>
      </c>
      <c r="C416" s="13" t="str">
        <f t="shared" si="61"/>
        <v/>
      </c>
      <c r="D416" s="13" t="str">
        <f t="shared" si="62"/>
        <v/>
      </c>
      <c r="E416" s="14" t="str">
        <f t="shared" si="63"/>
        <v/>
      </c>
      <c r="F416" s="14" t="str">
        <f t="shared" si="64"/>
        <v/>
      </c>
      <c r="G416" s="14" t="str">
        <f t="shared" si="65"/>
        <v/>
      </c>
      <c r="H416" s="14" t="str">
        <f t="shared" si="66"/>
        <v/>
      </c>
      <c r="I416" s="15" t="str">
        <f t="shared" si="67"/>
        <v/>
      </c>
      <c r="J416" s="15" t="str">
        <f t="shared" si="69"/>
        <v/>
      </c>
      <c r="K416" s="16" t="str">
        <f t="shared" si="68"/>
        <v/>
      </c>
      <c r="M416" t="str">
        <f>IFERROR(MATCH($C$5&amp;"|"&amp;RIGHT("000000"&amp;400,6),CalcRankKeyA,0),"")</f>
        <v/>
      </c>
      <c r="N416" t="str">
        <f>IFERROR(MATCH($C$5&amp;"|"&amp;RIGHT("000000"&amp;400,6),CalcRankKeyB,0),"")</f>
        <v/>
      </c>
    </row>
    <row r="417" spans="1:14" x14ac:dyDescent="0.2">
      <c r="A417" s="7">
        <v>401</v>
      </c>
      <c r="B417" s="8" t="str">
        <f t="shared" si="60"/>
        <v/>
      </c>
      <c r="C417" s="8" t="str">
        <f t="shared" si="61"/>
        <v/>
      </c>
      <c r="D417" s="8" t="str">
        <f t="shared" si="62"/>
        <v/>
      </c>
      <c r="E417" s="9" t="str">
        <f t="shared" si="63"/>
        <v/>
      </c>
      <c r="F417" s="9" t="str">
        <f t="shared" si="64"/>
        <v/>
      </c>
      <c r="G417" s="9" t="str">
        <f t="shared" si="65"/>
        <v/>
      </c>
      <c r="H417" s="9" t="str">
        <f t="shared" si="66"/>
        <v/>
      </c>
      <c r="I417" s="10" t="str">
        <f t="shared" si="67"/>
        <v/>
      </c>
      <c r="J417" s="10" t="str">
        <f t="shared" si="69"/>
        <v/>
      </c>
      <c r="K417" s="11" t="str">
        <f t="shared" si="68"/>
        <v/>
      </c>
      <c r="M417" t="str">
        <f>IFERROR(MATCH($C$5&amp;"|"&amp;RIGHT("000000"&amp;401,6),CalcRankKeyA,0),"")</f>
        <v/>
      </c>
      <c r="N417" t="str">
        <f>IFERROR(MATCH($C$5&amp;"|"&amp;RIGHT("000000"&amp;401,6),CalcRankKeyB,0),"")</f>
        <v/>
      </c>
    </row>
    <row r="418" spans="1:14" x14ac:dyDescent="0.2">
      <c r="A418" s="12">
        <v>402</v>
      </c>
      <c r="B418" s="13" t="str">
        <f t="shared" si="60"/>
        <v/>
      </c>
      <c r="C418" s="13" t="str">
        <f t="shared" si="61"/>
        <v/>
      </c>
      <c r="D418" s="13" t="str">
        <f t="shared" si="62"/>
        <v/>
      </c>
      <c r="E418" s="14" t="str">
        <f t="shared" si="63"/>
        <v/>
      </c>
      <c r="F418" s="14" t="str">
        <f t="shared" si="64"/>
        <v/>
      </c>
      <c r="G418" s="14" t="str">
        <f t="shared" si="65"/>
        <v/>
      </c>
      <c r="H418" s="14" t="str">
        <f t="shared" si="66"/>
        <v/>
      </c>
      <c r="I418" s="15" t="str">
        <f t="shared" si="67"/>
        <v/>
      </c>
      <c r="J418" s="15" t="str">
        <f t="shared" si="69"/>
        <v/>
      </c>
      <c r="K418" s="16" t="str">
        <f t="shared" si="68"/>
        <v/>
      </c>
      <c r="M418" t="str">
        <f>IFERROR(MATCH($C$5&amp;"|"&amp;RIGHT("000000"&amp;402,6),CalcRankKeyA,0),"")</f>
        <v/>
      </c>
      <c r="N418" t="str">
        <f>IFERROR(MATCH($C$5&amp;"|"&amp;RIGHT("000000"&amp;402,6),CalcRankKeyB,0),"")</f>
        <v/>
      </c>
    </row>
    <row r="419" spans="1:14" x14ac:dyDescent="0.2">
      <c r="A419" s="7">
        <v>403</v>
      </c>
      <c r="B419" s="8" t="str">
        <f t="shared" si="60"/>
        <v/>
      </c>
      <c r="C419" s="8" t="str">
        <f t="shared" si="61"/>
        <v/>
      </c>
      <c r="D419" s="8" t="str">
        <f t="shared" si="62"/>
        <v/>
      </c>
      <c r="E419" s="9" t="str">
        <f t="shared" si="63"/>
        <v/>
      </c>
      <c r="F419" s="9" t="str">
        <f t="shared" si="64"/>
        <v/>
      </c>
      <c r="G419" s="9" t="str">
        <f t="shared" si="65"/>
        <v/>
      </c>
      <c r="H419" s="9" t="str">
        <f t="shared" si="66"/>
        <v/>
      </c>
      <c r="I419" s="10" t="str">
        <f t="shared" si="67"/>
        <v/>
      </c>
      <c r="J419" s="10" t="str">
        <f t="shared" si="69"/>
        <v/>
      </c>
      <c r="K419" s="11" t="str">
        <f t="shared" si="68"/>
        <v/>
      </c>
      <c r="M419" t="str">
        <f>IFERROR(MATCH($C$5&amp;"|"&amp;RIGHT("000000"&amp;403,6),CalcRankKeyA,0),"")</f>
        <v/>
      </c>
      <c r="N419" t="str">
        <f>IFERROR(MATCH($C$5&amp;"|"&amp;RIGHT("000000"&amp;403,6),CalcRankKeyB,0),"")</f>
        <v/>
      </c>
    </row>
    <row r="420" spans="1:14" x14ac:dyDescent="0.2">
      <c r="A420" s="12">
        <v>404</v>
      </c>
      <c r="B420" s="13" t="str">
        <f t="shared" si="60"/>
        <v/>
      </c>
      <c r="C420" s="13" t="str">
        <f t="shared" si="61"/>
        <v/>
      </c>
      <c r="D420" s="13" t="str">
        <f t="shared" si="62"/>
        <v/>
      </c>
      <c r="E420" s="14" t="str">
        <f t="shared" si="63"/>
        <v/>
      </c>
      <c r="F420" s="14" t="str">
        <f t="shared" si="64"/>
        <v/>
      </c>
      <c r="G420" s="14" t="str">
        <f t="shared" si="65"/>
        <v/>
      </c>
      <c r="H420" s="14" t="str">
        <f t="shared" si="66"/>
        <v/>
      </c>
      <c r="I420" s="15" t="str">
        <f t="shared" si="67"/>
        <v/>
      </c>
      <c r="J420" s="15" t="str">
        <f t="shared" si="69"/>
        <v/>
      </c>
      <c r="K420" s="16" t="str">
        <f t="shared" si="68"/>
        <v/>
      </c>
      <c r="M420" t="str">
        <f>IFERROR(MATCH($C$5&amp;"|"&amp;RIGHT("000000"&amp;404,6),CalcRankKeyA,0),"")</f>
        <v/>
      </c>
      <c r="N420" t="str">
        <f>IFERROR(MATCH($C$5&amp;"|"&amp;RIGHT("000000"&amp;404,6),CalcRankKeyB,0),"")</f>
        <v/>
      </c>
    </row>
    <row r="421" spans="1:14" x14ac:dyDescent="0.2">
      <c r="A421" s="7">
        <v>405</v>
      </c>
      <c r="B421" s="8" t="str">
        <f t="shared" si="60"/>
        <v/>
      </c>
      <c r="C421" s="8" t="str">
        <f t="shared" si="61"/>
        <v/>
      </c>
      <c r="D421" s="8" t="str">
        <f t="shared" si="62"/>
        <v/>
      </c>
      <c r="E421" s="9" t="str">
        <f t="shared" si="63"/>
        <v/>
      </c>
      <c r="F421" s="9" t="str">
        <f t="shared" si="64"/>
        <v/>
      </c>
      <c r="G421" s="9" t="str">
        <f t="shared" si="65"/>
        <v/>
      </c>
      <c r="H421" s="9" t="str">
        <f t="shared" si="66"/>
        <v/>
      </c>
      <c r="I421" s="10" t="str">
        <f t="shared" si="67"/>
        <v/>
      </c>
      <c r="J421" s="10" t="str">
        <f t="shared" si="69"/>
        <v/>
      </c>
      <c r="K421" s="11" t="str">
        <f t="shared" si="68"/>
        <v/>
      </c>
      <c r="M421" t="str">
        <f>IFERROR(MATCH($C$5&amp;"|"&amp;RIGHT("000000"&amp;405,6),CalcRankKeyA,0),"")</f>
        <v/>
      </c>
      <c r="N421" t="str">
        <f>IFERROR(MATCH($C$5&amp;"|"&amp;RIGHT("000000"&amp;405,6),CalcRankKeyB,0),"")</f>
        <v/>
      </c>
    </row>
    <row r="422" spans="1:14" x14ac:dyDescent="0.2">
      <c r="A422" s="12">
        <v>406</v>
      </c>
      <c r="B422" s="13" t="str">
        <f t="shared" si="60"/>
        <v/>
      </c>
      <c r="C422" s="13" t="str">
        <f t="shared" si="61"/>
        <v/>
      </c>
      <c r="D422" s="13" t="str">
        <f t="shared" si="62"/>
        <v/>
      </c>
      <c r="E422" s="14" t="str">
        <f t="shared" si="63"/>
        <v/>
      </c>
      <c r="F422" s="14" t="str">
        <f t="shared" si="64"/>
        <v/>
      </c>
      <c r="G422" s="14" t="str">
        <f t="shared" si="65"/>
        <v/>
      </c>
      <c r="H422" s="14" t="str">
        <f t="shared" si="66"/>
        <v/>
      </c>
      <c r="I422" s="15" t="str">
        <f t="shared" si="67"/>
        <v/>
      </c>
      <c r="J422" s="15" t="str">
        <f t="shared" si="69"/>
        <v/>
      </c>
      <c r="K422" s="16" t="str">
        <f t="shared" si="68"/>
        <v/>
      </c>
      <c r="M422" t="str">
        <f>IFERROR(MATCH($C$5&amp;"|"&amp;RIGHT("000000"&amp;406,6),CalcRankKeyA,0),"")</f>
        <v/>
      </c>
      <c r="N422" t="str">
        <f>IFERROR(MATCH($C$5&amp;"|"&amp;RIGHT("000000"&amp;406,6),CalcRankKeyB,0),"")</f>
        <v/>
      </c>
    </row>
    <row r="423" spans="1:14" x14ac:dyDescent="0.2">
      <c r="A423" s="7">
        <v>407</v>
      </c>
      <c r="B423" s="8" t="str">
        <f t="shared" si="60"/>
        <v/>
      </c>
      <c r="C423" s="8" t="str">
        <f t="shared" si="61"/>
        <v/>
      </c>
      <c r="D423" s="8" t="str">
        <f t="shared" si="62"/>
        <v/>
      </c>
      <c r="E423" s="9" t="str">
        <f t="shared" si="63"/>
        <v/>
      </c>
      <c r="F423" s="9" t="str">
        <f t="shared" si="64"/>
        <v/>
      </c>
      <c r="G423" s="9" t="str">
        <f t="shared" si="65"/>
        <v/>
      </c>
      <c r="H423" s="9" t="str">
        <f t="shared" si="66"/>
        <v/>
      </c>
      <c r="I423" s="10" t="str">
        <f t="shared" si="67"/>
        <v/>
      </c>
      <c r="J423" s="10" t="str">
        <f t="shared" si="69"/>
        <v/>
      </c>
      <c r="K423" s="11" t="str">
        <f t="shared" si="68"/>
        <v/>
      </c>
      <c r="M423" t="str">
        <f>IFERROR(MATCH($C$5&amp;"|"&amp;RIGHT("000000"&amp;407,6),CalcRankKeyA,0),"")</f>
        <v/>
      </c>
      <c r="N423" t="str">
        <f>IFERROR(MATCH($C$5&amp;"|"&amp;RIGHT("000000"&amp;407,6),CalcRankKeyB,0),"")</f>
        <v/>
      </c>
    </row>
    <row r="424" spans="1:14" x14ac:dyDescent="0.2">
      <c r="A424" s="12">
        <v>408</v>
      </c>
      <c r="B424" s="13" t="str">
        <f t="shared" si="60"/>
        <v/>
      </c>
      <c r="C424" s="13" t="str">
        <f t="shared" si="61"/>
        <v/>
      </c>
      <c r="D424" s="13" t="str">
        <f t="shared" si="62"/>
        <v/>
      </c>
      <c r="E424" s="14" t="str">
        <f t="shared" si="63"/>
        <v/>
      </c>
      <c r="F424" s="14" t="str">
        <f t="shared" si="64"/>
        <v/>
      </c>
      <c r="G424" s="14" t="str">
        <f t="shared" si="65"/>
        <v/>
      </c>
      <c r="H424" s="14" t="str">
        <f t="shared" si="66"/>
        <v/>
      </c>
      <c r="I424" s="15" t="str">
        <f t="shared" si="67"/>
        <v/>
      </c>
      <c r="J424" s="15" t="str">
        <f t="shared" si="69"/>
        <v/>
      </c>
      <c r="K424" s="16" t="str">
        <f t="shared" si="68"/>
        <v/>
      </c>
      <c r="M424" t="str">
        <f>IFERROR(MATCH($C$5&amp;"|"&amp;RIGHT("000000"&amp;408,6),CalcRankKeyA,0),"")</f>
        <v/>
      </c>
      <c r="N424" t="str">
        <f>IFERROR(MATCH($C$5&amp;"|"&amp;RIGHT("000000"&amp;408,6),CalcRankKeyB,0),"")</f>
        <v/>
      </c>
    </row>
    <row r="425" spans="1:14" x14ac:dyDescent="0.2">
      <c r="A425" s="7">
        <v>409</v>
      </c>
      <c r="B425" s="8" t="str">
        <f t="shared" si="60"/>
        <v/>
      </c>
      <c r="C425" s="8" t="str">
        <f t="shared" si="61"/>
        <v/>
      </c>
      <c r="D425" s="8" t="str">
        <f t="shared" si="62"/>
        <v/>
      </c>
      <c r="E425" s="9" t="str">
        <f t="shared" si="63"/>
        <v/>
      </c>
      <c r="F425" s="9" t="str">
        <f t="shared" si="64"/>
        <v/>
      </c>
      <c r="G425" s="9" t="str">
        <f t="shared" si="65"/>
        <v/>
      </c>
      <c r="H425" s="9" t="str">
        <f t="shared" si="66"/>
        <v/>
      </c>
      <c r="I425" s="10" t="str">
        <f t="shared" si="67"/>
        <v/>
      </c>
      <c r="J425" s="10" t="str">
        <f t="shared" si="69"/>
        <v/>
      </c>
      <c r="K425" s="11" t="str">
        <f t="shared" si="68"/>
        <v/>
      </c>
      <c r="M425" t="str">
        <f>IFERROR(MATCH($C$5&amp;"|"&amp;RIGHT("000000"&amp;409,6),CalcRankKeyA,0),"")</f>
        <v/>
      </c>
      <c r="N425" t="str">
        <f>IFERROR(MATCH($C$5&amp;"|"&amp;RIGHT("000000"&amp;409,6),CalcRankKeyB,0),"")</f>
        <v/>
      </c>
    </row>
    <row r="426" spans="1:14" x14ac:dyDescent="0.2">
      <c r="A426" s="12">
        <v>410</v>
      </c>
      <c r="B426" s="13" t="str">
        <f t="shared" si="60"/>
        <v/>
      </c>
      <c r="C426" s="13" t="str">
        <f t="shared" si="61"/>
        <v/>
      </c>
      <c r="D426" s="13" t="str">
        <f t="shared" si="62"/>
        <v/>
      </c>
      <c r="E426" s="14" t="str">
        <f t="shared" si="63"/>
        <v/>
      </c>
      <c r="F426" s="14" t="str">
        <f t="shared" si="64"/>
        <v/>
      </c>
      <c r="G426" s="14" t="str">
        <f t="shared" si="65"/>
        <v/>
      </c>
      <c r="H426" s="14" t="str">
        <f t="shared" si="66"/>
        <v/>
      </c>
      <c r="I426" s="15" t="str">
        <f t="shared" si="67"/>
        <v/>
      </c>
      <c r="J426" s="15" t="str">
        <f t="shared" si="69"/>
        <v/>
      </c>
      <c r="K426" s="16" t="str">
        <f t="shared" si="68"/>
        <v/>
      </c>
      <c r="M426" t="str">
        <f>IFERROR(MATCH($C$5&amp;"|"&amp;RIGHT("000000"&amp;410,6),CalcRankKeyA,0),"")</f>
        <v/>
      </c>
      <c r="N426" t="str">
        <f>IFERROR(MATCH($C$5&amp;"|"&amp;RIGHT("000000"&amp;410,6),CalcRankKeyB,0),"")</f>
        <v/>
      </c>
    </row>
    <row r="427" spans="1:14" x14ac:dyDescent="0.2">
      <c r="A427" s="7">
        <v>411</v>
      </c>
      <c r="B427" s="8" t="str">
        <f t="shared" si="60"/>
        <v/>
      </c>
      <c r="C427" s="8" t="str">
        <f t="shared" si="61"/>
        <v/>
      </c>
      <c r="D427" s="8" t="str">
        <f t="shared" si="62"/>
        <v/>
      </c>
      <c r="E427" s="9" t="str">
        <f t="shared" si="63"/>
        <v/>
      </c>
      <c r="F427" s="9" t="str">
        <f t="shared" si="64"/>
        <v/>
      </c>
      <c r="G427" s="9" t="str">
        <f t="shared" si="65"/>
        <v/>
      </c>
      <c r="H427" s="9" t="str">
        <f t="shared" si="66"/>
        <v/>
      </c>
      <c r="I427" s="10" t="str">
        <f t="shared" si="67"/>
        <v/>
      </c>
      <c r="J427" s="10" t="str">
        <f t="shared" si="69"/>
        <v/>
      </c>
      <c r="K427" s="11" t="str">
        <f t="shared" si="68"/>
        <v/>
      </c>
      <c r="M427" t="str">
        <f>IFERROR(MATCH($C$5&amp;"|"&amp;RIGHT("000000"&amp;411,6),CalcRankKeyA,0),"")</f>
        <v/>
      </c>
      <c r="N427" t="str">
        <f>IFERROR(MATCH($C$5&amp;"|"&amp;RIGHT("000000"&amp;411,6),CalcRankKeyB,0),"")</f>
        <v/>
      </c>
    </row>
    <row r="428" spans="1:14" x14ac:dyDescent="0.2">
      <c r="A428" s="12">
        <v>412</v>
      </c>
      <c r="B428" s="13" t="str">
        <f t="shared" si="60"/>
        <v/>
      </c>
      <c r="C428" s="13" t="str">
        <f t="shared" si="61"/>
        <v/>
      </c>
      <c r="D428" s="13" t="str">
        <f t="shared" si="62"/>
        <v/>
      </c>
      <c r="E428" s="14" t="str">
        <f t="shared" si="63"/>
        <v/>
      </c>
      <c r="F428" s="14" t="str">
        <f t="shared" si="64"/>
        <v/>
      </c>
      <c r="G428" s="14" t="str">
        <f t="shared" si="65"/>
        <v/>
      </c>
      <c r="H428" s="14" t="str">
        <f t="shared" si="66"/>
        <v/>
      </c>
      <c r="I428" s="15" t="str">
        <f t="shared" si="67"/>
        <v/>
      </c>
      <c r="J428" s="15" t="str">
        <f t="shared" si="69"/>
        <v/>
      </c>
      <c r="K428" s="16" t="str">
        <f t="shared" si="68"/>
        <v/>
      </c>
      <c r="M428" t="str">
        <f>IFERROR(MATCH($C$5&amp;"|"&amp;RIGHT("000000"&amp;412,6),CalcRankKeyA,0),"")</f>
        <v/>
      </c>
      <c r="N428" t="str">
        <f>IFERROR(MATCH($C$5&amp;"|"&amp;RIGHT("000000"&amp;412,6),CalcRankKeyB,0),"")</f>
        <v/>
      </c>
    </row>
    <row r="429" spans="1:14" x14ac:dyDescent="0.2">
      <c r="A429" s="7">
        <v>413</v>
      </c>
      <c r="B429" s="8" t="str">
        <f t="shared" si="60"/>
        <v/>
      </c>
      <c r="C429" s="8" t="str">
        <f t="shared" si="61"/>
        <v/>
      </c>
      <c r="D429" s="8" t="str">
        <f t="shared" si="62"/>
        <v/>
      </c>
      <c r="E429" s="9" t="str">
        <f t="shared" si="63"/>
        <v/>
      </c>
      <c r="F429" s="9" t="str">
        <f t="shared" si="64"/>
        <v/>
      </c>
      <c r="G429" s="9" t="str">
        <f t="shared" si="65"/>
        <v/>
      </c>
      <c r="H429" s="9" t="str">
        <f t="shared" si="66"/>
        <v/>
      </c>
      <c r="I429" s="10" t="str">
        <f t="shared" si="67"/>
        <v/>
      </c>
      <c r="J429" s="10" t="str">
        <f t="shared" si="69"/>
        <v/>
      </c>
      <c r="K429" s="11" t="str">
        <f t="shared" si="68"/>
        <v/>
      </c>
      <c r="M429" t="str">
        <f>IFERROR(MATCH($C$5&amp;"|"&amp;RIGHT("000000"&amp;413,6),CalcRankKeyA,0),"")</f>
        <v/>
      </c>
      <c r="N429" t="str">
        <f>IFERROR(MATCH($C$5&amp;"|"&amp;RIGHT("000000"&amp;413,6),CalcRankKeyB,0),"")</f>
        <v/>
      </c>
    </row>
    <row r="430" spans="1:14" x14ac:dyDescent="0.2">
      <c r="A430" s="12">
        <v>414</v>
      </c>
      <c r="B430" s="13" t="str">
        <f t="shared" si="60"/>
        <v/>
      </c>
      <c r="C430" s="13" t="str">
        <f t="shared" si="61"/>
        <v/>
      </c>
      <c r="D430" s="13" t="str">
        <f t="shared" si="62"/>
        <v/>
      </c>
      <c r="E430" s="14" t="str">
        <f t="shared" si="63"/>
        <v/>
      </c>
      <c r="F430" s="14" t="str">
        <f t="shared" si="64"/>
        <v/>
      </c>
      <c r="G430" s="14" t="str">
        <f t="shared" si="65"/>
        <v/>
      </c>
      <c r="H430" s="14" t="str">
        <f t="shared" si="66"/>
        <v/>
      </c>
      <c r="I430" s="15" t="str">
        <f t="shared" si="67"/>
        <v/>
      </c>
      <c r="J430" s="15" t="str">
        <f t="shared" si="69"/>
        <v/>
      </c>
      <c r="K430" s="16" t="str">
        <f t="shared" si="68"/>
        <v/>
      </c>
      <c r="M430" t="str">
        <f>IFERROR(MATCH($C$5&amp;"|"&amp;RIGHT("000000"&amp;414,6),CalcRankKeyA,0),"")</f>
        <v/>
      </c>
      <c r="N430" t="str">
        <f>IFERROR(MATCH($C$5&amp;"|"&amp;RIGHT("000000"&amp;414,6),CalcRankKeyB,0),"")</f>
        <v/>
      </c>
    </row>
    <row r="431" spans="1:14" x14ac:dyDescent="0.2">
      <c r="A431" s="7">
        <v>415</v>
      </c>
      <c r="B431" s="8" t="str">
        <f t="shared" si="60"/>
        <v/>
      </c>
      <c r="C431" s="8" t="str">
        <f t="shared" si="61"/>
        <v/>
      </c>
      <c r="D431" s="8" t="str">
        <f t="shared" si="62"/>
        <v/>
      </c>
      <c r="E431" s="9" t="str">
        <f t="shared" si="63"/>
        <v/>
      </c>
      <c r="F431" s="9" t="str">
        <f t="shared" si="64"/>
        <v/>
      </c>
      <c r="G431" s="9" t="str">
        <f t="shared" si="65"/>
        <v/>
      </c>
      <c r="H431" s="9" t="str">
        <f t="shared" si="66"/>
        <v/>
      </c>
      <c r="I431" s="10" t="str">
        <f t="shared" si="67"/>
        <v/>
      </c>
      <c r="J431" s="10" t="str">
        <f t="shared" si="69"/>
        <v/>
      </c>
      <c r="K431" s="11" t="str">
        <f t="shared" si="68"/>
        <v/>
      </c>
      <c r="M431" t="str">
        <f>IFERROR(MATCH($C$5&amp;"|"&amp;RIGHT("000000"&amp;415,6),CalcRankKeyA,0),"")</f>
        <v/>
      </c>
      <c r="N431" t="str">
        <f>IFERROR(MATCH($C$5&amp;"|"&amp;RIGHT("000000"&amp;415,6),CalcRankKeyB,0),"")</f>
        <v/>
      </c>
    </row>
    <row r="432" spans="1:14" x14ac:dyDescent="0.2">
      <c r="A432" s="12">
        <v>416</v>
      </c>
      <c r="B432" s="13" t="str">
        <f t="shared" si="60"/>
        <v/>
      </c>
      <c r="C432" s="13" t="str">
        <f t="shared" si="61"/>
        <v/>
      </c>
      <c r="D432" s="13" t="str">
        <f t="shared" si="62"/>
        <v/>
      </c>
      <c r="E432" s="14" t="str">
        <f t="shared" si="63"/>
        <v/>
      </c>
      <c r="F432" s="14" t="str">
        <f t="shared" si="64"/>
        <v/>
      </c>
      <c r="G432" s="14" t="str">
        <f t="shared" si="65"/>
        <v/>
      </c>
      <c r="H432" s="14" t="str">
        <f t="shared" si="66"/>
        <v/>
      </c>
      <c r="I432" s="15" t="str">
        <f t="shared" si="67"/>
        <v/>
      </c>
      <c r="J432" s="15" t="str">
        <f t="shared" si="69"/>
        <v/>
      </c>
      <c r="K432" s="16" t="str">
        <f t="shared" si="68"/>
        <v/>
      </c>
      <c r="M432" t="str">
        <f>IFERROR(MATCH($C$5&amp;"|"&amp;RIGHT("000000"&amp;416,6),CalcRankKeyA,0),"")</f>
        <v/>
      </c>
      <c r="N432" t="str">
        <f>IFERROR(MATCH($C$5&amp;"|"&amp;RIGHT("000000"&amp;416,6),CalcRankKeyB,0),"")</f>
        <v/>
      </c>
    </row>
    <row r="433" spans="1:14" x14ac:dyDescent="0.2">
      <c r="A433" s="7">
        <v>417</v>
      </c>
      <c r="B433" s="8" t="str">
        <f t="shared" si="60"/>
        <v/>
      </c>
      <c r="C433" s="8" t="str">
        <f t="shared" si="61"/>
        <v/>
      </c>
      <c r="D433" s="8" t="str">
        <f t="shared" si="62"/>
        <v/>
      </c>
      <c r="E433" s="9" t="str">
        <f t="shared" si="63"/>
        <v/>
      </c>
      <c r="F433" s="9" t="str">
        <f t="shared" si="64"/>
        <v/>
      </c>
      <c r="G433" s="9" t="str">
        <f t="shared" si="65"/>
        <v/>
      </c>
      <c r="H433" s="9" t="str">
        <f t="shared" si="66"/>
        <v/>
      </c>
      <c r="I433" s="10" t="str">
        <f t="shared" si="67"/>
        <v/>
      </c>
      <c r="J433" s="10" t="str">
        <f t="shared" si="69"/>
        <v/>
      </c>
      <c r="K433" s="11" t="str">
        <f t="shared" si="68"/>
        <v/>
      </c>
      <c r="M433" t="str">
        <f>IFERROR(MATCH($C$5&amp;"|"&amp;RIGHT("000000"&amp;417,6),CalcRankKeyA,0),"")</f>
        <v/>
      </c>
      <c r="N433" t="str">
        <f>IFERROR(MATCH($C$5&amp;"|"&amp;RIGHT("000000"&amp;417,6),CalcRankKeyB,0),"")</f>
        <v/>
      </c>
    </row>
    <row r="434" spans="1:14" x14ac:dyDescent="0.2">
      <c r="A434" s="12">
        <v>418</v>
      </c>
      <c r="B434" s="13" t="str">
        <f t="shared" si="60"/>
        <v/>
      </c>
      <c r="C434" s="13" t="str">
        <f t="shared" si="61"/>
        <v/>
      </c>
      <c r="D434" s="13" t="str">
        <f t="shared" si="62"/>
        <v/>
      </c>
      <c r="E434" s="14" t="str">
        <f t="shared" si="63"/>
        <v/>
      </c>
      <c r="F434" s="14" t="str">
        <f t="shared" si="64"/>
        <v/>
      </c>
      <c r="G434" s="14" t="str">
        <f t="shared" si="65"/>
        <v/>
      </c>
      <c r="H434" s="14" t="str">
        <f t="shared" si="66"/>
        <v/>
      </c>
      <c r="I434" s="15" t="str">
        <f t="shared" si="67"/>
        <v/>
      </c>
      <c r="J434" s="15" t="str">
        <f t="shared" si="69"/>
        <v/>
      </c>
      <c r="K434" s="16" t="str">
        <f t="shared" si="68"/>
        <v/>
      </c>
      <c r="M434" t="str">
        <f>IFERROR(MATCH($C$5&amp;"|"&amp;RIGHT("000000"&amp;418,6),CalcRankKeyA,0),"")</f>
        <v/>
      </c>
      <c r="N434" t="str">
        <f>IFERROR(MATCH($C$5&amp;"|"&amp;RIGHT("000000"&amp;418,6),CalcRankKeyB,0),"")</f>
        <v/>
      </c>
    </row>
    <row r="435" spans="1:14" x14ac:dyDescent="0.2">
      <c r="A435" s="7">
        <v>419</v>
      </c>
      <c r="B435" s="8" t="str">
        <f t="shared" si="60"/>
        <v/>
      </c>
      <c r="C435" s="8" t="str">
        <f t="shared" si="61"/>
        <v/>
      </c>
      <c r="D435" s="8" t="str">
        <f t="shared" si="62"/>
        <v/>
      </c>
      <c r="E435" s="9" t="str">
        <f t="shared" si="63"/>
        <v/>
      </c>
      <c r="F435" s="9" t="str">
        <f t="shared" si="64"/>
        <v/>
      </c>
      <c r="G435" s="9" t="str">
        <f t="shared" si="65"/>
        <v/>
      </c>
      <c r="H435" s="9" t="str">
        <f t="shared" si="66"/>
        <v/>
      </c>
      <c r="I435" s="10" t="str">
        <f t="shared" si="67"/>
        <v/>
      </c>
      <c r="J435" s="10" t="str">
        <f t="shared" si="69"/>
        <v/>
      </c>
      <c r="K435" s="11" t="str">
        <f t="shared" si="68"/>
        <v/>
      </c>
      <c r="M435" t="str">
        <f>IFERROR(MATCH($C$5&amp;"|"&amp;RIGHT("000000"&amp;419,6),CalcRankKeyA,0),"")</f>
        <v/>
      </c>
      <c r="N435" t="str">
        <f>IFERROR(MATCH($C$5&amp;"|"&amp;RIGHT("000000"&amp;419,6),CalcRankKeyB,0),"")</f>
        <v/>
      </c>
    </row>
    <row r="436" spans="1:14" x14ac:dyDescent="0.2">
      <c r="A436" s="12">
        <v>420</v>
      </c>
      <c r="B436" s="13" t="str">
        <f t="shared" si="60"/>
        <v/>
      </c>
      <c r="C436" s="13" t="str">
        <f t="shared" si="61"/>
        <v/>
      </c>
      <c r="D436" s="13" t="str">
        <f t="shared" si="62"/>
        <v/>
      </c>
      <c r="E436" s="14" t="str">
        <f t="shared" si="63"/>
        <v/>
      </c>
      <c r="F436" s="14" t="str">
        <f t="shared" si="64"/>
        <v/>
      </c>
      <c r="G436" s="14" t="str">
        <f t="shared" si="65"/>
        <v/>
      </c>
      <c r="H436" s="14" t="str">
        <f t="shared" si="66"/>
        <v/>
      </c>
      <c r="I436" s="15" t="str">
        <f t="shared" si="67"/>
        <v/>
      </c>
      <c r="J436" s="15" t="str">
        <f t="shared" si="69"/>
        <v/>
      </c>
      <c r="K436" s="16" t="str">
        <f t="shared" si="68"/>
        <v/>
      </c>
      <c r="M436" t="str">
        <f>IFERROR(MATCH($C$5&amp;"|"&amp;RIGHT("000000"&amp;420,6),CalcRankKeyA,0),"")</f>
        <v/>
      </c>
      <c r="N436" t="str">
        <f>IFERROR(MATCH($C$5&amp;"|"&amp;RIGHT("000000"&amp;420,6),CalcRankKeyB,0),"")</f>
        <v/>
      </c>
    </row>
    <row r="437" spans="1:14" x14ac:dyDescent="0.2">
      <c r="A437" s="7">
        <v>421</v>
      </c>
      <c r="B437" s="8" t="str">
        <f t="shared" si="60"/>
        <v/>
      </c>
      <c r="C437" s="8" t="str">
        <f t="shared" si="61"/>
        <v/>
      </c>
      <c r="D437" s="8" t="str">
        <f t="shared" si="62"/>
        <v/>
      </c>
      <c r="E437" s="9" t="str">
        <f t="shared" si="63"/>
        <v/>
      </c>
      <c r="F437" s="9" t="str">
        <f t="shared" si="64"/>
        <v/>
      </c>
      <c r="G437" s="9" t="str">
        <f t="shared" si="65"/>
        <v/>
      </c>
      <c r="H437" s="9" t="str">
        <f t="shared" si="66"/>
        <v/>
      </c>
      <c r="I437" s="10" t="str">
        <f t="shared" si="67"/>
        <v/>
      </c>
      <c r="J437" s="10" t="str">
        <f t="shared" si="69"/>
        <v/>
      </c>
      <c r="K437" s="11" t="str">
        <f t="shared" si="68"/>
        <v/>
      </c>
      <c r="M437" t="str">
        <f>IFERROR(MATCH($C$5&amp;"|"&amp;RIGHT("000000"&amp;421,6),CalcRankKeyA,0),"")</f>
        <v/>
      </c>
      <c r="N437" t="str">
        <f>IFERROR(MATCH($C$5&amp;"|"&amp;RIGHT("000000"&amp;421,6),CalcRankKeyB,0),"")</f>
        <v/>
      </c>
    </row>
    <row r="438" spans="1:14" x14ac:dyDescent="0.2">
      <c r="A438" s="12">
        <v>422</v>
      </c>
      <c r="B438" s="13" t="str">
        <f t="shared" si="60"/>
        <v/>
      </c>
      <c r="C438" s="13" t="str">
        <f t="shared" si="61"/>
        <v/>
      </c>
      <c r="D438" s="13" t="str">
        <f t="shared" si="62"/>
        <v/>
      </c>
      <c r="E438" s="14" t="str">
        <f t="shared" si="63"/>
        <v/>
      </c>
      <c r="F438" s="14" t="str">
        <f t="shared" si="64"/>
        <v/>
      </c>
      <c r="G438" s="14" t="str">
        <f t="shared" si="65"/>
        <v/>
      </c>
      <c r="H438" s="14" t="str">
        <f t="shared" si="66"/>
        <v/>
      </c>
      <c r="I438" s="15" t="str">
        <f t="shared" si="67"/>
        <v/>
      </c>
      <c r="J438" s="15" t="str">
        <f t="shared" si="69"/>
        <v/>
      </c>
      <c r="K438" s="16" t="str">
        <f t="shared" si="68"/>
        <v/>
      </c>
      <c r="M438" t="str">
        <f>IFERROR(MATCH($C$5&amp;"|"&amp;RIGHT("000000"&amp;422,6),CalcRankKeyA,0),"")</f>
        <v/>
      </c>
      <c r="N438" t="str">
        <f>IFERROR(MATCH($C$5&amp;"|"&amp;RIGHT("000000"&amp;422,6),CalcRankKeyB,0),"")</f>
        <v/>
      </c>
    </row>
    <row r="439" spans="1:14" x14ac:dyDescent="0.2">
      <c r="A439" s="7">
        <v>423</v>
      </c>
      <c r="B439" s="8" t="str">
        <f t="shared" si="60"/>
        <v/>
      </c>
      <c r="C439" s="8" t="str">
        <f t="shared" si="61"/>
        <v/>
      </c>
      <c r="D439" s="8" t="str">
        <f t="shared" si="62"/>
        <v/>
      </c>
      <c r="E439" s="9" t="str">
        <f t="shared" si="63"/>
        <v/>
      </c>
      <c r="F439" s="9" t="str">
        <f t="shared" si="64"/>
        <v/>
      </c>
      <c r="G439" s="9" t="str">
        <f t="shared" si="65"/>
        <v/>
      </c>
      <c r="H439" s="9" t="str">
        <f t="shared" si="66"/>
        <v/>
      </c>
      <c r="I439" s="10" t="str">
        <f t="shared" si="67"/>
        <v/>
      </c>
      <c r="J439" s="10" t="str">
        <f t="shared" si="69"/>
        <v/>
      </c>
      <c r="K439" s="11" t="str">
        <f t="shared" si="68"/>
        <v/>
      </c>
      <c r="M439" t="str">
        <f>IFERROR(MATCH($C$5&amp;"|"&amp;RIGHT("000000"&amp;423,6),CalcRankKeyA,0),"")</f>
        <v/>
      </c>
      <c r="N439" t="str">
        <f>IFERROR(MATCH($C$5&amp;"|"&amp;RIGHT("000000"&amp;423,6),CalcRankKeyB,0),"")</f>
        <v/>
      </c>
    </row>
    <row r="440" spans="1:14" x14ac:dyDescent="0.2">
      <c r="A440" s="12">
        <v>424</v>
      </c>
      <c r="B440" s="13" t="str">
        <f t="shared" si="60"/>
        <v/>
      </c>
      <c r="C440" s="13" t="str">
        <f t="shared" si="61"/>
        <v/>
      </c>
      <c r="D440" s="13" t="str">
        <f t="shared" si="62"/>
        <v/>
      </c>
      <c r="E440" s="14" t="str">
        <f t="shared" si="63"/>
        <v/>
      </c>
      <c r="F440" s="14" t="str">
        <f t="shared" si="64"/>
        <v/>
      </c>
      <c r="G440" s="14" t="str">
        <f t="shared" si="65"/>
        <v/>
      </c>
      <c r="H440" s="14" t="str">
        <f t="shared" si="66"/>
        <v/>
      </c>
      <c r="I440" s="15" t="str">
        <f t="shared" si="67"/>
        <v/>
      </c>
      <c r="J440" s="15" t="str">
        <f t="shared" si="69"/>
        <v/>
      </c>
      <c r="K440" s="16" t="str">
        <f t="shared" si="68"/>
        <v/>
      </c>
      <c r="M440" t="str">
        <f>IFERROR(MATCH($C$5&amp;"|"&amp;RIGHT("000000"&amp;424,6),CalcRankKeyA,0),"")</f>
        <v/>
      </c>
      <c r="N440" t="str">
        <f>IFERROR(MATCH($C$5&amp;"|"&amp;RIGHT("000000"&amp;424,6),CalcRankKeyB,0),"")</f>
        <v/>
      </c>
    </row>
    <row r="441" spans="1:14" x14ac:dyDescent="0.2">
      <c r="A441" s="7">
        <v>425</v>
      </c>
      <c r="B441" s="8" t="str">
        <f t="shared" si="60"/>
        <v/>
      </c>
      <c r="C441" s="8" t="str">
        <f t="shared" si="61"/>
        <v/>
      </c>
      <c r="D441" s="8" t="str">
        <f t="shared" si="62"/>
        <v/>
      </c>
      <c r="E441" s="9" t="str">
        <f t="shared" si="63"/>
        <v/>
      </c>
      <c r="F441" s="9" t="str">
        <f t="shared" si="64"/>
        <v/>
      </c>
      <c r="G441" s="9" t="str">
        <f t="shared" si="65"/>
        <v/>
      </c>
      <c r="H441" s="9" t="str">
        <f t="shared" si="66"/>
        <v/>
      </c>
      <c r="I441" s="10" t="str">
        <f t="shared" si="67"/>
        <v/>
      </c>
      <c r="J441" s="10" t="str">
        <f t="shared" si="69"/>
        <v/>
      </c>
      <c r="K441" s="11" t="str">
        <f t="shared" si="68"/>
        <v/>
      </c>
      <c r="M441" t="str">
        <f>IFERROR(MATCH($C$5&amp;"|"&amp;RIGHT("000000"&amp;425,6),CalcRankKeyA,0),"")</f>
        <v/>
      </c>
      <c r="N441" t="str">
        <f>IFERROR(MATCH($C$5&amp;"|"&amp;RIGHT("000000"&amp;425,6),CalcRankKeyB,0),"")</f>
        <v/>
      </c>
    </row>
    <row r="442" spans="1:14" x14ac:dyDescent="0.2">
      <c r="A442" s="12">
        <v>426</v>
      </c>
      <c r="B442" s="13" t="str">
        <f t="shared" si="60"/>
        <v/>
      </c>
      <c r="C442" s="13" t="str">
        <f t="shared" si="61"/>
        <v/>
      </c>
      <c r="D442" s="13" t="str">
        <f t="shared" si="62"/>
        <v/>
      </c>
      <c r="E442" s="14" t="str">
        <f t="shared" si="63"/>
        <v/>
      </c>
      <c r="F442" s="14" t="str">
        <f t="shared" si="64"/>
        <v/>
      </c>
      <c r="G442" s="14" t="str">
        <f t="shared" si="65"/>
        <v/>
      </c>
      <c r="H442" s="14" t="str">
        <f t="shared" si="66"/>
        <v/>
      </c>
      <c r="I442" s="15" t="str">
        <f t="shared" si="67"/>
        <v/>
      </c>
      <c r="J442" s="15" t="str">
        <f t="shared" si="69"/>
        <v/>
      </c>
      <c r="K442" s="16" t="str">
        <f t="shared" si="68"/>
        <v/>
      </c>
      <c r="M442" t="str">
        <f>IFERROR(MATCH($C$5&amp;"|"&amp;RIGHT("000000"&amp;426,6),CalcRankKeyA,0),"")</f>
        <v/>
      </c>
      <c r="N442" t="str">
        <f>IFERROR(MATCH($C$5&amp;"|"&amp;RIGHT("000000"&amp;426,6),CalcRankKeyB,0),"")</f>
        <v/>
      </c>
    </row>
    <row r="443" spans="1:14" x14ac:dyDescent="0.2">
      <c r="A443" s="7">
        <v>427</v>
      </c>
      <c r="B443" s="8" t="str">
        <f t="shared" si="60"/>
        <v/>
      </c>
      <c r="C443" s="8" t="str">
        <f t="shared" si="61"/>
        <v/>
      </c>
      <c r="D443" s="8" t="str">
        <f t="shared" si="62"/>
        <v/>
      </c>
      <c r="E443" s="9" t="str">
        <f t="shared" si="63"/>
        <v/>
      </c>
      <c r="F443" s="9" t="str">
        <f t="shared" si="64"/>
        <v/>
      </c>
      <c r="G443" s="9" t="str">
        <f t="shared" si="65"/>
        <v/>
      </c>
      <c r="H443" s="9" t="str">
        <f t="shared" si="66"/>
        <v/>
      </c>
      <c r="I443" s="10" t="str">
        <f t="shared" si="67"/>
        <v/>
      </c>
      <c r="J443" s="10" t="str">
        <f t="shared" si="69"/>
        <v/>
      </c>
      <c r="K443" s="11" t="str">
        <f t="shared" si="68"/>
        <v/>
      </c>
      <c r="M443" t="str">
        <f>IFERROR(MATCH($C$5&amp;"|"&amp;RIGHT("000000"&amp;427,6),CalcRankKeyA,0),"")</f>
        <v/>
      </c>
      <c r="N443" t="str">
        <f>IFERROR(MATCH($C$5&amp;"|"&amp;RIGHT("000000"&amp;427,6),CalcRankKeyB,0),"")</f>
        <v/>
      </c>
    </row>
    <row r="444" spans="1:14" x14ac:dyDescent="0.2">
      <c r="A444" s="12">
        <v>428</v>
      </c>
      <c r="B444" s="13" t="str">
        <f t="shared" si="60"/>
        <v/>
      </c>
      <c r="C444" s="13" t="str">
        <f t="shared" si="61"/>
        <v/>
      </c>
      <c r="D444" s="13" t="str">
        <f t="shared" si="62"/>
        <v/>
      </c>
      <c r="E444" s="14" t="str">
        <f t="shared" si="63"/>
        <v/>
      </c>
      <c r="F444" s="14" t="str">
        <f t="shared" si="64"/>
        <v/>
      </c>
      <c r="G444" s="14" t="str">
        <f t="shared" si="65"/>
        <v/>
      </c>
      <c r="H444" s="14" t="str">
        <f t="shared" si="66"/>
        <v/>
      </c>
      <c r="I444" s="15" t="str">
        <f t="shared" si="67"/>
        <v/>
      </c>
      <c r="J444" s="15" t="str">
        <f t="shared" si="69"/>
        <v/>
      </c>
      <c r="K444" s="16" t="str">
        <f t="shared" si="68"/>
        <v/>
      </c>
      <c r="M444" t="str">
        <f>IFERROR(MATCH($C$5&amp;"|"&amp;RIGHT("000000"&amp;428,6),CalcRankKeyA,0),"")</f>
        <v/>
      </c>
      <c r="N444" t="str">
        <f>IFERROR(MATCH($C$5&amp;"|"&amp;RIGHT("000000"&amp;428,6),CalcRankKeyB,0),"")</f>
        <v/>
      </c>
    </row>
    <row r="445" spans="1:14" x14ac:dyDescent="0.2">
      <c r="A445" s="7">
        <v>429</v>
      </c>
      <c r="B445" s="8" t="str">
        <f t="shared" si="60"/>
        <v/>
      </c>
      <c r="C445" s="8" t="str">
        <f t="shared" si="61"/>
        <v/>
      </c>
      <c r="D445" s="8" t="str">
        <f t="shared" si="62"/>
        <v/>
      </c>
      <c r="E445" s="9" t="str">
        <f t="shared" si="63"/>
        <v/>
      </c>
      <c r="F445" s="9" t="str">
        <f t="shared" si="64"/>
        <v/>
      </c>
      <c r="G445" s="9" t="str">
        <f t="shared" si="65"/>
        <v/>
      </c>
      <c r="H445" s="9" t="str">
        <f t="shared" si="66"/>
        <v/>
      </c>
      <c r="I445" s="10" t="str">
        <f t="shared" si="67"/>
        <v/>
      </c>
      <c r="J445" s="10" t="str">
        <f t="shared" si="69"/>
        <v/>
      </c>
      <c r="K445" s="11" t="str">
        <f t="shared" si="68"/>
        <v/>
      </c>
      <c r="M445" t="str">
        <f>IFERROR(MATCH($C$5&amp;"|"&amp;RIGHT("000000"&amp;429,6),CalcRankKeyA,0),"")</f>
        <v/>
      </c>
      <c r="N445" t="str">
        <f>IFERROR(MATCH($C$5&amp;"|"&amp;RIGHT("000000"&amp;429,6),CalcRankKeyB,0),"")</f>
        <v/>
      </c>
    </row>
    <row r="446" spans="1:14" x14ac:dyDescent="0.2">
      <c r="A446" s="12">
        <v>430</v>
      </c>
      <c r="B446" s="13" t="str">
        <f t="shared" si="60"/>
        <v/>
      </c>
      <c r="C446" s="13" t="str">
        <f t="shared" si="61"/>
        <v/>
      </c>
      <c r="D446" s="13" t="str">
        <f t="shared" si="62"/>
        <v/>
      </c>
      <c r="E446" s="14" t="str">
        <f t="shared" si="63"/>
        <v/>
      </c>
      <c r="F446" s="14" t="str">
        <f t="shared" si="64"/>
        <v/>
      </c>
      <c r="G446" s="14" t="str">
        <f t="shared" si="65"/>
        <v/>
      </c>
      <c r="H446" s="14" t="str">
        <f t="shared" si="66"/>
        <v/>
      </c>
      <c r="I446" s="15" t="str">
        <f t="shared" si="67"/>
        <v/>
      </c>
      <c r="J446" s="15" t="str">
        <f t="shared" si="69"/>
        <v/>
      </c>
      <c r="K446" s="16" t="str">
        <f t="shared" si="68"/>
        <v/>
      </c>
      <c r="M446" t="str">
        <f>IFERROR(MATCH($C$5&amp;"|"&amp;RIGHT("000000"&amp;430,6),CalcRankKeyA,0),"")</f>
        <v/>
      </c>
      <c r="N446" t="str">
        <f>IFERROR(MATCH($C$5&amp;"|"&amp;RIGHT("000000"&amp;430,6),CalcRankKeyB,0),"")</f>
        <v/>
      </c>
    </row>
    <row r="447" spans="1:14" x14ac:dyDescent="0.2">
      <c r="A447" s="7">
        <v>431</v>
      </c>
      <c r="B447" s="8" t="str">
        <f t="shared" si="60"/>
        <v/>
      </c>
      <c r="C447" s="8" t="str">
        <f t="shared" si="61"/>
        <v/>
      </c>
      <c r="D447" s="8" t="str">
        <f t="shared" si="62"/>
        <v/>
      </c>
      <c r="E447" s="9" t="str">
        <f t="shared" si="63"/>
        <v/>
      </c>
      <c r="F447" s="9" t="str">
        <f t="shared" si="64"/>
        <v/>
      </c>
      <c r="G447" s="9" t="str">
        <f t="shared" si="65"/>
        <v/>
      </c>
      <c r="H447" s="9" t="str">
        <f t="shared" si="66"/>
        <v/>
      </c>
      <c r="I447" s="10" t="str">
        <f t="shared" si="67"/>
        <v/>
      </c>
      <c r="J447" s="10" t="str">
        <f t="shared" si="69"/>
        <v/>
      </c>
      <c r="K447" s="11" t="str">
        <f t="shared" si="68"/>
        <v/>
      </c>
      <c r="M447" t="str">
        <f>IFERROR(MATCH($C$5&amp;"|"&amp;RIGHT("000000"&amp;431,6),CalcRankKeyA,0),"")</f>
        <v/>
      </c>
      <c r="N447" t="str">
        <f>IFERROR(MATCH($C$5&amp;"|"&amp;RIGHT("000000"&amp;431,6),CalcRankKeyB,0),"")</f>
        <v/>
      </c>
    </row>
    <row r="448" spans="1:14" x14ac:dyDescent="0.2">
      <c r="A448" s="12">
        <v>432</v>
      </c>
      <c r="B448" s="13" t="str">
        <f t="shared" si="60"/>
        <v/>
      </c>
      <c r="C448" s="13" t="str">
        <f t="shared" si="61"/>
        <v/>
      </c>
      <c r="D448" s="13" t="str">
        <f t="shared" si="62"/>
        <v/>
      </c>
      <c r="E448" s="14" t="str">
        <f t="shared" si="63"/>
        <v/>
      </c>
      <c r="F448" s="14" t="str">
        <f t="shared" si="64"/>
        <v/>
      </c>
      <c r="G448" s="14" t="str">
        <f t="shared" si="65"/>
        <v/>
      </c>
      <c r="H448" s="14" t="str">
        <f t="shared" si="66"/>
        <v/>
      </c>
      <c r="I448" s="15" t="str">
        <f t="shared" si="67"/>
        <v/>
      </c>
      <c r="J448" s="15" t="str">
        <f t="shared" si="69"/>
        <v/>
      </c>
      <c r="K448" s="16" t="str">
        <f t="shared" si="68"/>
        <v/>
      </c>
      <c r="M448" t="str">
        <f>IFERROR(MATCH($C$5&amp;"|"&amp;RIGHT("000000"&amp;432,6),CalcRankKeyA,0),"")</f>
        <v/>
      </c>
      <c r="N448" t="str">
        <f>IFERROR(MATCH($C$5&amp;"|"&amp;RIGHT("000000"&amp;432,6),CalcRankKeyB,0),"")</f>
        <v/>
      </c>
    </row>
    <row r="449" spans="1:14" x14ac:dyDescent="0.2">
      <c r="A449" s="7">
        <v>433</v>
      </c>
      <c r="B449" s="8" t="str">
        <f t="shared" si="60"/>
        <v/>
      </c>
      <c r="C449" s="8" t="str">
        <f t="shared" si="61"/>
        <v/>
      </c>
      <c r="D449" s="8" t="str">
        <f t="shared" si="62"/>
        <v/>
      </c>
      <c r="E449" s="9" t="str">
        <f t="shared" si="63"/>
        <v/>
      </c>
      <c r="F449" s="9" t="str">
        <f t="shared" si="64"/>
        <v/>
      </c>
      <c r="G449" s="9" t="str">
        <f t="shared" si="65"/>
        <v/>
      </c>
      <c r="H449" s="9" t="str">
        <f t="shared" si="66"/>
        <v/>
      </c>
      <c r="I449" s="10" t="str">
        <f t="shared" si="67"/>
        <v/>
      </c>
      <c r="J449" s="10" t="str">
        <f t="shared" si="69"/>
        <v/>
      </c>
      <c r="K449" s="11" t="str">
        <f t="shared" si="68"/>
        <v/>
      </c>
      <c r="M449" t="str">
        <f>IFERROR(MATCH($C$5&amp;"|"&amp;RIGHT("000000"&amp;433,6),CalcRankKeyA,0),"")</f>
        <v/>
      </c>
      <c r="N449" t="str">
        <f>IFERROR(MATCH($C$5&amp;"|"&amp;RIGHT("000000"&amp;433,6),CalcRankKeyB,0),"")</f>
        <v/>
      </c>
    </row>
    <row r="450" spans="1:14" x14ac:dyDescent="0.2">
      <c r="A450" s="12">
        <v>434</v>
      </c>
      <c r="B450" s="13" t="str">
        <f t="shared" si="60"/>
        <v/>
      </c>
      <c r="C450" s="13" t="str">
        <f t="shared" si="61"/>
        <v/>
      </c>
      <c r="D450" s="13" t="str">
        <f t="shared" si="62"/>
        <v/>
      </c>
      <c r="E450" s="14" t="str">
        <f t="shared" si="63"/>
        <v/>
      </c>
      <c r="F450" s="14" t="str">
        <f t="shared" si="64"/>
        <v/>
      </c>
      <c r="G450" s="14" t="str">
        <f t="shared" si="65"/>
        <v/>
      </c>
      <c r="H450" s="14" t="str">
        <f t="shared" si="66"/>
        <v/>
      </c>
      <c r="I450" s="15" t="str">
        <f t="shared" si="67"/>
        <v/>
      </c>
      <c r="J450" s="15" t="str">
        <f t="shared" si="69"/>
        <v/>
      </c>
      <c r="K450" s="16" t="str">
        <f t="shared" si="68"/>
        <v/>
      </c>
      <c r="M450" t="str">
        <f>IFERROR(MATCH($C$5&amp;"|"&amp;RIGHT("000000"&amp;434,6),CalcRankKeyA,0),"")</f>
        <v/>
      </c>
      <c r="N450" t="str">
        <f>IFERROR(MATCH($C$5&amp;"|"&amp;RIGHT("000000"&amp;434,6),CalcRankKeyB,0),"")</f>
        <v/>
      </c>
    </row>
    <row r="451" spans="1:14" x14ac:dyDescent="0.2">
      <c r="A451" s="7">
        <v>435</v>
      </c>
      <c r="B451" s="8" t="str">
        <f t="shared" si="60"/>
        <v/>
      </c>
      <c r="C451" s="8" t="str">
        <f t="shared" si="61"/>
        <v/>
      </c>
      <c r="D451" s="8" t="str">
        <f t="shared" si="62"/>
        <v/>
      </c>
      <c r="E451" s="9" t="str">
        <f t="shared" si="63"/>
        <v/>
      </c>
      <c r="F451" s="9" t="str">
        <f t="shared" si="64"/>
        <v/>
      </c>
      <c r="G451" s="9" t="str">
        <f t="shared" si="65"/>
        <v/>
      </c>
      <c r="H451" s="9" t="str">
        <f t="shared" si="66"/>
        <v/>
      </c>
      <c r="I451" s="10" t="str">
        <f t="shared" si="67"/>
        <v/>
      </c>
      <c r="J451" s="10" t="str">
        <f t="shared" si="69"/>
        <v/>
      </c>
      <c r="K451" s="11" t="str">
        <f t="shared" si="68"/>
        <v/>
      </c>
      <c r="M451" t="str">
        <f>IFERROR(MATCH($C$5&amp;"|"&amp;RIGHT("000000"&amp;435,6),CalcRankKeyA,0),"")</f>
        <v/>
      </c>
      <c r="N451" t="str">
        <f>IFERROR(MATCH($C$5&amp;"|"&amp;RIGHT("000000"&amp;435,6),CalcRankKeyB,0),"")</f>
        <v/>
      </c>
    </row>
    <row r="452" spans="1:14" x14ac:dyDescent="0.2">
      <c r="A452" s="12">
        <v>436</v>
      </c>
      <c r="B452" s="13" t="str">
        <f t="shared" si="60"/>
        <v/>
      </c>
      <c r="C452" s="13" t="str">
        <f t="shared" si="61"/>
        <v/>
      </c>
      <c r="D452" s="13" t="str">
        <f t="shared" si="62"/>
        <v/>
      </c>
      <c r="E452" s="14" t="str">
        <f t="shared" si="63"/>
        <v/>
      </c>
      <c r="F452" s="14" t="str">
        <f t="shared" si="64"/>
        <v/>
      </c>
      <c r="G452" s="14" t="str">
        <f t="shared" si="65"/>
        <v/>
      </c>
      <c r="H452" s="14" t="str">
        <f t="shared" si="66"/>
        <v/>
      </c>
      <c r="I452" s="15" t="str">
        <f t="shared" si="67"/>
        <v/>
      </c>
      <c r="J452" s="15" t="str">
        <f t="shared" si="69"/>
        <v/>
      </c>
      <c r="K452" s="16" t="str">
        <f t="shared" si="68"/>
        <v/>
      </c>
      <c r="M452" t="str">
        <f>IFERROR(MATCH($C$5&amp;"|"&amp;RIGHT("000000"&amp;436,6),CalcRankKeyA,0),"")</f>
        <v/>
      </c>
      <c r="N452" t="str">
        <f>IFERROR(MATCH($C$5&amp;"|"&amp;RIGHT("000000"&amp;436,6),CalcRankKeyB,0),"")</f>
        <v/>
      </c>
    </row>
    <row r="453" spans="1:14" x14ac:dyDescent="0.2">
      <c r="A453" s="7">
        <v>437</v>
      </c>
      <c r="B453" s="8" t="str">
        <f t="shared" si="60"/>
        <v/>
      </c>
      <c r="C453" s="8" t="str">
        <f t="shared" si="61"/>
        <v/>
      </c>
      <c r="D453" s="8" t="str">
        <f t="shared" si="62"/>
        <v/>
      </c>
      <c r="E453" s="9" t="str">
        <f t="shared" si="63"/>
        <v/>
      </c>
      <c r="F453" s="9" t="str">
        <f t="shared" si="64"/>
        <v/>
      </c>
      <c r="G453" s="9" t="str">
        <f t="shared" si="65"/>
        <v/>
      </c>
      <c r="H453" s="9" t="str">
        <f t="shared" si="66"/>
        <v/>
      </c>
      <c r="I453" s="10" t="str">
        <f t="shared" si="67"/>
        <v/>
      </c>
      <c r="J453" s="10" t="str">
        <f t="shared" si="69"/>
        <v/>
      </c>
      <c r="K453" s="11" t="str">
        <f t="shared" si="68"/>
        <v/>
      </c>
      <c r="M453" t="str">
        <f>IFERROR(MATCH($C$5&amp;"|"&amp;RIGHT("000000"&amp;437,6),CalcRankKeyA,0),"")</f>
        <v/>
      </c>
      <c r="N453" t="str">
        <f>IFERROR(MATCH($C$5&amp;"|"&amp;RIGHT("000000"&amp;437,6),CalcRankKeyB,0),"")</f>
        <v/>
      </c>
    </row>
    <row r="454" spans="1:14" x14ac:dyDescent="0.2">
      <c r="A454" s="12">
        <v>438</v>
      </c>
      <c r="B454" s="13" t="str">
        <f t="shared" si="60"/>
        <v/>
      </c>
      <c r="C454" s="13" t="str">
        <f t="shared" si="61"/>
        <v/>
      </c>
      <c r="D454" s="13" t="str">
        <f t="shared" si="62"/>
        <v/>
      </c>
      <c r="E454" s="14" t="str">
        <f t="shared" si="63"/>
        <v/>
      </c>
      <c r="F454" s="14" t="str">
        <f t="shared" si="64"/>
        <v/>
      </c>
      <c r="G454" s="14" t="str">
        <f t="shared" si="65"/>
        <v/>
      </c>
      <c r="H454" s="14" t="str">
        <f t="shared" si="66"/>
        <v/>
      </c>
      <c r="I454" s="15" t="str">
        <f t="shared" si="67"/>
        <v/>
      </c>
      <c r="J454" s="15" t="str">
        <f t="shared" si="69"/>
        <v/>
      </c>
      <c r="K454" s="16" t="str">
        <f t="shared" si="68"/>
        <v/>
      </c>
      <c r="M454" t="str">
        <f>IFERROR(MATCH($C$5&amp;"|"&amp;RIGHT("000000"&amp;438,6),CalcRankKeyA,0),"")</f>
        <v/>
      </c>
      <c r="N454" t="str">
        <f>IFERROR(MATCH($C$5&amp;"|"&amp;RIGHT("000000"&amp;438,6),CalcRankKeyB,0),"")</f>
        <v/>
      </c>
    </row>
    <row r="455" spans="1:14" x14ac:dyDescent="0.2">
      <c r="A455" s="7">
        <v>439</v>
      </c>
      <c r="B455" s="8" t="str">
        <f t="shared" si="60"/>
        <v/>
      </c>
      <c r="C455" s="8" t="str">
        <f t="shared" si="61"/>
        <v/>
      </c>
      <c r="D455" s="8" t="str">
        <f t="shared" si="62"/>
        <v/>
      </c>
      <c r="E455" s="9" t="str">
        <f t="shared" si="63"/>
        <v/>
      </c>
      <c r="F455" s="9" t="str">
        <f t="shared" si="64"/>
        <v/>
      </c>
      <c r="G455" s="9" t="str">
        <f t="shared" si="65"/>
        <v/>
      </c>
      <c r="H455" s="9" t="str">
        <f t="shared" si="66"/>
        <v/>
      </c>
      <c r="I455" s="10" t="str">
        <f t="shared" si="67"/>
        <v/>
      </c>
      <c r="J455" s="10" t="str">
        <f t="shared" si="69"/>
        <v/>
      </c>
      <c r="K455" s="11" t="str">
        <f t="shared" si="68"/>
        <v/>
      </c>
      <c r="M455" t="str">
        <f>IFERROR(MATCH($C$5&amp;"|"&amp;RIGHT("000000"&amp;439,6),CalcRankKeyA,0),"")</f>
        <v/>
      </c>
      <c r="N455" t="str">
        <f>IFERROR(MATCH($C$5&amp;"|"&amp;RIGHT("000000"&amp;439,6),CalcRankKeyB,0),"")</f>
        <v/>
      </c>
    </row>
    <row r="456" spans="1:14" x14ac:dyDescent="0.2">
      <c r="A456" s="12">
        <v>440</v>
      </c>
      <c r="B456" s="13" t="str">
        <f t="shared" si="60"/>
        <v/>
      </c>
      <c r="C456" s="13" t="str">
        <f t="shared" si="61"/>
        <v/>
      </c>
      <c r="D456" s="13" t="str">
        <f t="shared" si="62"/>
        <v/>
      </c>
      <c r="E456" s="14" t="str">
        <f t="shared" si="63"/>
        <v/>
      </c>
      <c r="F456" s="14" t="str">
        <f t="shared" si="64"/>
        <v/>
      </c>
      <c r="G456" s="14" t="str">
        <f t="shared" si="65"/>
        <v/>
      </c>
      <c r="H456" s="14" t="str">
        <f t="shared" si="66"/>
        <v/>
      </c>
      <c r="I456" s="15" t="str">
        <f t="shared" si="67"/>
        <v/>
      </c>
      <c r="J456" s="15" t="str">
        <f t="shared" si="69"/>
        <v/>
      </c>
      <c r="K456" s="16" t="str">
        <f t="shared" si="68"/>
        <v/>
      </c>
      <c r="M456" t="str">
        <f>IFERROR(MATCH($C$5&amp;"|"&amp;RIGHT("000000"&amp;440,6),CalcRankKeyA,0),"")</f>
        <v/>
      </c>
      <c r="N456" t="str">
        <f>IFERROR(MATCH($C$5&amp;"|"&amp;RIGHT("000000"&amp;440,6),CalcRankKeyB,0),"")</f>
        <v/>
      </c>
    </row>
    <row r="457" spans="1:14" x14ac:dyDescent="0.2">
      <c r="A457" s="7">
        <v>441</v>
      </c>
      <c r="B457" s="8" t="str">
        <f t="shared" si="60"/>
        <v/>
      </c>
      <c r="C457" s="8" t="str">
        <f t="shared" si="61"/>
        <v/>
      </c>
      <c r="D457" s="8" t="str">
        <f t="shared" si="62"/>
        <v/>
      </c>
      <c r="E457" s="9" t="str">
        <f t="shared" si="63"/>
        <v/>
      </c>
      <c r="F457" s="9" t="str">
        <f t="shared" si="64"/>
        <v/>
      </c>
      <c r="G457" s="9" t="str">
        <f t="shared" si="65"/>
        <v/>
      </c>
      <c r="H457" s="9" t="str">
        <f t="shared" si="66"/>
        <v/>
      </c>
      <c r="I457" s="10" t="str">
        <f t="shared" si="67"/>
        <v/>
      </c>
      <c r="J457" s="10" t="str">
        <f t="shared" si="69"/>
        <v/>
      </c>
      <c r="K457" s="11" t="str">
        <f t="shared" si="68"/>
        <v/>
      </c>
      <c r="M457" t="str">
        <f>IFERROR(MATCH($C$5&amp;"|"&amp;RIGHT("000000"&amp;441,6),CalcRankKeyA,0),"")</f>
        <v/>
      </c>
      <c r="N457" t="str">
        <f>IFERROR(MATCH($C$5&amp;"|"&amp;RIGHT("000000"&amp;441,6),CalcRankKeyB,0),"")</f>
        <v/>
      </c>
    </row>
    <row r="458" spans="1:14" x14ac:dyDescent="0.2">
      <c r="A458" s="12">
        <v>442</v>
      </c>
      <c r="B458" s="13" t="str">
        <f t="shared" si="60"/>
        <v/>
      </c>
      <c r="C458" s="13" t="str">
        <f t="shared" si="61"/>
        <v/>
      </c>
      <c r="D458" s="13" t="str">
        <f t="shared" si="62"/>
        <v/>
      </c>
      <c r="E458" s="14" t="str">
        <f t="shared" si="63"/>
        <v/>
      </c>
      <c r="F458" s="14" t="str">
        <f t="shared" si="64"/>
        <v/>
      </c>
      <c r="G458" s="14" t="str">
        <f t="shared" si="65"/>
        <v/>
      </c>
      <c r="H458" s="14" t="str">
        <f t="shared" si="66"/>
        <v/>
      </c>
      <c r="I458" s="15" t="str">
        <f t="shared" si="67"/>
        <v/>
      </c>
      <c r="J458" s="15" t="str">
        <f t="shared" si="69"/>
        <v/>
      </c>
      <c r="K458" s="16" t="str">
        <f t="shared" si="68"/>
        <v/>
      </c>
      <c r="M458" t="str">
        <f>IFERROR(MATCH($C$5&amp;"|"&amp;RIGHT("000000"&amp;442,6),CalcRankKeyA,0),"")</f>
        <v/>
      </c>
      <c r="N458" t="str">
        <f>IFERROR(MATCH($C$5&amp;"|"&amp;RIGHT("000000"&amp;442,6),CalcRankKeyB,0),"")</f>
        <v/>
      </c>
    </row>
    <row r="459" spans="1:14" x14ac:dyDescent="0.2">
      <c r="A459" s="7">
        <v>443</v>
      </c>
      <c r="B459" s="8" t="str">
        <f t="shared" si="60"/>
        <v/>
      </c>
      <c r="C459" s="8" t="str">
        <f t="shared" si="61"/>
        <v/>
      </c>
      <c r="D459" s="8" t="str">
        <f t="shared" si="62"/>
        <v/>
      </c>
      <c r="E459" s="9" t="str">
        <f t="shared" si="63"/>
        <v/>
      </c>
      <c r="F459" s="9" t="str">
        <f t="shared" si="64"/>
        <v/>
      </c>
      <c r="G459" s="9" t="str">
        <f t="shared" si="65"/>
        <v/>
      </c>
      <c r="H459" s="9" t="str">
        <f t="shared" si="66"/>
        <v/>
      </c>
      <c r="I459" s="10" t="str">
        <f t="shared" si="67"/>
        <v/>
      </c>
      <c r="J459" s="10" t="str">
        <f t="shared" si="69"/>
        <v/>
      </c>
      <c r="K459" s="11" t="str">
        <f t="shared" si="68"/>
        <v/>
      </c>
      <c r="M459" t="str">
        <f>IFERROR(MATCH($C$5&amp;"|"&amp;RIGHT("000000"&amp;443,6),CalcRankKeyA,0),"")</f>
        <v/>
      </c>
      <c r="N459" t="str">
        <f>IFERROR(MATCH($C$5&amp;"|"&amp;RIGHT("000000"&amp;443,6),CalcRankKeyB,0),"")</f>
        <v/>
      </c>
    </row>
    <row r="460" spans="1:14" x14ac:dyDescent="0.2">
      <c r="A460" s="12">
        <v>444</v>
      </c>
      <c r="B460" s="13" t="str">
        <f t="shared" si="60"/>
        <v/>
      </c>
      <c r="C460" s="13" t="str">
        <f t="shared" si="61"/>
        <v/>
      </c>
      <c r="D460" s="13" t="str">
        <f t="shared" si="62"/>
        <v/>
      </c>
      <c r="E460" s="14" t="str">
        <f t="shared" si="63"/>
        <v/>
      </c>
      <c r="F460" s="14" t="str">
        <f t="shared" si="64"/>
        <v/>
      </c>
      <c r="G460" s="14" t="str">
        <f t="shared" si="65"/>
        <v/>
      </c>
      <c r="H460" s="14" t="str">
        <f t="shared" si="66"/>
        <v/>
      </c>
      <c r="I460" s="15" t="str">
        <f t="shared" si="67"/>
        <v/>
      </c>
      <c r="J460" s="15" t="str">
        <f t="shared" si="69"/>
        <v/>
      </c>
      <c r="K460" s="16" t="str">
        <f t="shared" si="68"/>
        <v/>
      </c>
      <c r="M460" t="str">
        <f>IFERROR(MATCH($C$5&amp;"|"&amp;RIGHT("000000"&amp;444,6),CalcRankKeyA,0),"")</f>
        <v/>
      </c>
      <c r="N460" t="str">
        <f>IFERROR(MATCH($C$5&amp;"|"&amp;RIGHT("000000"&amp;444,6),CalcRankKeyB,0),"")</f>
        <v/>
      </c>
    </row>
    <row r="461" spans="1:14" x14ac:dyDescent="0.2">
      <c r="A461" s="7">
        <v>445</v>
      </c>
      <c r="B461" s="8" t="str">
        <f t="shared" si="60"/>
        <v/>
      </c>
      <c r="C461" s="8" t="str">
        <f t="shared" si="61"/>
        <v/>
      </c>
      <c r="D461" s="8" t="str">
        <f t="shared" si="62"/>
        <v/>
      </c>
      <c r="E461" s="9" t="str">
        <f t="shared" si="63"/>
        <v/>
      </c>
      <c r="F461" s="9" t="str">
        <f t="shared" si="64"/>
        <v/>
      </c>
      <c r="G461" s="9" t="str">
        <f t="shared" si="65"/>
        <v/>
      </c>
      <c r="H461" s="9" t="str">
        <f t="shared" si="66"/>
        <v/>
      </c>
      <c r="I461" s="10" t="str">
        <f t="shared" si="67"/>
        <v/>
      </c>
      <c r="J461" s="10" t="str">
        <f t="shared" si="69"/>
        <v/>
      </c>
      <c r="K461" s="11" t="str">
        <f t="shared" si="68"/>
        <v/>
      </c>
      <c r="M461" t="str">
        <f>IFERROR(MATCH($C$5&amp;"|"&amp;RIGHT("000000"&amp;445,6),CalcRankKeyA,0),"")</f>
        <v/>
      </c>
      <c r="N461" t="str">
        <f>IFERROR(MATCH($C$5&amp;"|"&amp;RIGHT("000000"&amp;445,6),CalcRankKeyB,0),"")</f>
        <v/>
      </c>
    </row>
    <row r="462" spans="1:14" x14ac:dyDescent="0.2">
      <c r="A462" s="12">
        <v>446</v>
      </c>
      <c r="B462" s="13" t="str">
        <f t="shared" si="60"/>
        <v/>
      </c>
      <c r="C462" s="13" t="str">
        <f t="shared" si="61"/>
        <v/>
      </c>
      <c r="D462" s="13" t="str">
        <f t="shared" si="62"/>
        <v/>
      </c>
      <c r="E462" s="14" t="str">
        <f t="shared" si="63"/>
        <v/>
      </c>
      <c r="F462" s="14" t="str">
        <f t="shared" si="64"/>
        <v/>
      </c>
      <c r="G462" s="14" t="str">
        <f t="shared" si="65"/>
        <v/>
      </c>
      <c r="H462" s="14" t="str">
        <f t="shared" si="66"/>
        <v/>
      </c>
      <c r="I462" s="15" t="str">
        <f t="shared" si="67"/>
        <v/>
      </c>
      <c r="J462" s="15" t="str">
        <f t="shared" si="69"/>
        <v/>
      </c>
      <c r="K462" s="16" t="str">
        <f t="shared" si="68"/>
        <v/>
      </c>
      <c r="M462" t="str">
        <f>IFERROR(MATCH($C$5&amp;"|"&amp;RIGHT("000000"&amp;446,6),CalcRankKeyA,0),"")</f>
        <v/>
      </c>
      <c r="N462" t="str">
        <f>IFERROR(MATCH($C$5&amp;"|"&amp;RIGHT("000000"&amp;446,6),CalcRankKeyB,0),"")</f>
        <v/>
      </c>
    </row>
    <row r="463" spans="1:14" x14ac:dyDescent="0.2">
      <c r="A463" s="7">
        <v>447</v>
      </c>
      <c r="B463" s="8" t="str">
        <f t="shared" si="60"/>
        <v/>
      </c>
      <c r="C463" s="8" t="str">
        <f t="shared" si="61"/>
        <v/>
      </c>
      <c r="D463" s="8" t="str">
        <f t="shared" si="62"/>
        <v/>
      </c>
      <c r="E463" s="9" t="str">
        <f t="shared" si="63"/>
        <v/>
      </c>
      <c r="F463" s="9" t="str">
        <f t="shared" si="64"/>
        <v/>
      </c>
      <c r="G463" s="9" t="str">
        <f t="shared" si="65"/>
        <v/>
      </c>
      <c r="H463" s="9" t="str">
        <f t="shared" si="66"/>
        <v/>
      </c>
      <c r="I463" s="10" t="str">
        <f t="shared" si="67"/>
        <v/>
      </c>
      <c r="J463" s="10" t="str">
        <f t="shared" si="69"/>
        <v/>
      </c>
      <c r="K463" s="11" t="str">
        <f t="shared" si="68"/>
        <v/>
      </c>
      <c r="M463" t="str">
        <f>IFERROR(MATCH($C$5&amp;"|"&amp;RIGHT("000000"&amp;447,6),CalcRankKeyA,0),"")</f>
        <v/>
      </c>
      <c r="N463" t="str">
        <f>IFERROR(MATCH($C$5&amp;"|"&amp;RIGHT("000000"&amp;447,6),CalcRankKeyB,0),"")</f>
        <v/>
      </c>
    </row>
    <row r="464" spans="1:14" x14ac:dyDescent="0.2">
      <c r="A464" s="12">
        <v>448</v>
      </c>
      <c r="B464" s="13" t="str">
        <f t="shared" si="60"/>
        <v/>
      </c>
      <c r="C464" s="13" t="str">
        <f t="shared" si="61"/>
        <v/>
      </c>
      <c r="D464" s="13" t="str">
        <f t="shared" si="62"/>
        <v/>
      </c>
      <c r="E464" s="14" t="str">
        <f t="shared" si="63"/>
        <v/>
      </c>
      <c r="F464" s="14" t="str">
        <f t="shared" si="64"/>
        <v/>
      </c>
      <c r="G464" s="14" t="str">
        <f t="shared" si="65"/>
        <v/>
      </c>
      <c r="H464" s="14" t="str">
        <f t="shared" si="66"/>
        <v/>
      </c>
      <c r="I464" s="15" t="str">
        <f t="shared" si="67"/>
        <v/>
      </c>
      <c r="J464" s="15" t="str">
        <f t="shared" si="69"/>
        <v/>
      </c>
      <c r="K464" s="16" t="str">
        <f t="shared" si="68"/>
        <v/>
      </c>
      <c r="M464" t="str">
        <f>IFERROR(MATCH($C$5&amp;"|"&amp;RIGHT("000000"&amp;448,6),CalcRankKeyA,0),"")</f>
        <v/>
      </c>
      <c r="N464" t="str">
        <f>IFERROR(MATCH($C$5&amp;"|"&amp;RIGHT("000000"&amp;448,6),CalcRankKeyB,0),"")</f>
        <v/>
      </c>
    </row>
    <row r="465" spans="1:14" x14ac:dyDescent="0.2">
      <c r="A465" s="7">
        <v>449</v>
      </c>
      <c r="B465" s="8" t="str">
        <f t="shared" ref="B465:B528" si="70">IF(AND($M465="",$N465=""),"",IF($M465&lt;&gt;"",INDEX(CalcDateA,$M465),INDEX(CalcDateB,$N465)))</f>
        <v/>
      </c>
      <c r="C465" s="8" t="str">
        <f t="shared" ref="C465:C528" si="71">IF($M465&lt;&gt;"","خرید سبد",IF($N465&lt;&gt;"",IF(N(INDEX(CalcDepB,$N465))&gt;0,"دریافت بانکی","پرداخت بانکی"),""))</f>
        <v/>
      </c>
      <c r="D465" s="8" t="str">
        <f t="shared" ref="D465:D528" si="72">IF($M465&lt;&gt;"",IF(INDEX(CalcDocA,$M465)="","—",INDEX(CalcDocA,$M465)),IF($N465&lt;&gt;"",INDEX(CalcBankB,$N465),""))</f>
        <v/>
      </c>
      <c r="E465" s="9" t="str">
        <f t="shared" ref="E465:E528" si="73">IF($N465&lt;&gt;"",IF(INDEX(CalcDepB,$N465)=0,"",INDEX(CalcDepB,$N465)),"")</f>
        <v/>
      </c>
      <c r="F465" s="9" t="str">
        <f t="shared" ref="F465:F528" si="74">IF($M465&lt;&gt;"",IF(INDEX(CalcQtyA,$M465)=0,"",INDEX(CalcQtyA,$M465)),"")</f>
        <v/>
      </c>
      <c r="G465" s="9" t="str">
        <f t="shared" ref="G465:G528" si="75">IF($M465&lt;&gt;"",IF(INDEX(CalcPriceA,$M465)=0,"",INDEX(CalcPriceA,$M465)),"")</f>
        <v/>
      </c>
      <c r="H465" s="9" t="str">
        <f t="shared" ref="H465:H528" si="76">IF($N465&lt;&gt;"",IF(INDEX(CalcWitB,$N465)=0,"",INDEX(CalcWitB,$N465)),"")</f>
        <v/>
      </c>
      <c r="I465" s="10" t="str">
        <f t="shared" ref="I465:I528" si="77">IF($M465&lt;&gt;"",INDEX(CalcAmtA,$M465),"")</f>
        <v/>
      </c>
      <c r="J465" s="10" t="str">
        <f t="shared" si="69"/>
        <v/>
      </c>
      <c r="K465" s="11" t="str">
        <f t="shared" ref="K465:K528" si="78">IF($M465&lt;&gt;"",IF(INDEX(CalcNoteA,$M465)="","—",INDEX(CalcNoteA,$M465)),IF($N465&lt;&gt;"",IF(INDEX(CalcNoteB,$N465)="","—",INDEX(CalcNoteB,$N465)),""))</f>
        <v/>
      </c>
      <c r="M465" t="str">
        <f>IFERROR(MATCH($C$5&amp;"|"&amp;RIGHT("000000"&amp;449,6),CalcRankKeyA,0),"")</f>
        <v/>
      </c>
      <c r="N465" t="str">
        <f>IFERROR(MATCH($C$5&amp;"|"&amp;RIGHT("000000"&amp;449,6),CalcRankKeyB,0),"")</f>
        <v/>
      </c>
    </row>
    <row r="466" spans="1:14" x14ac:dyDescent="0.2">
      <c r="A466" s="12">
        <v>450</v>
      </c>
      <c r="B466" s="13" t="str">
        <f t="shared" si="70"/>
        <v/>
      </c>
      <c r="C466" s="13" t="str">
        <f t="shared" si="71"/>
        <v/>
      </c>
      <c r="D466" s="13" t="str">
        <f t="shared" si="72"/>
        <v/>
      </c>
      <c r="E466" s="14" t="str">
        <f t="shared" si="73"/>
        <v/>
      </c>
      <c r="F466" s="14" t="str">
        <f t="shared" si="74"/>
        <v/>
      </c>
      <c r="G466" s="14" t="str">
        <f t="shared" si="75"/>
        <v/>
      </c>
      <c r="H466" s="14" t="str">
        <f t="shared" si="76"/>
        <v/>
      </c>
      <c r="I466" s="15" t="str">
        <f t="shared" si="77"/>
        <v/>
      </c>
      <c r="J466" s="15" t="str">
        <f t="shared" ref="J466:J529" si="79">IF($B466="","",IF($J465="",$C$8,$J465)+IF($I466="",0,$I466)+IF($E466="",0,$E466)-IF($H466="",0,$H466))</f>
        <v/>
      </c>
      <c r="K466" s="16" t="str">
        <f t="shared" si="78"/>
        <v/>
      </c>
      <c r="M466" t="str">
        <f>IFERROR(MATCH($C$5&amp;"|"&amp;RIGHT("000000"&amp;450,6),CalcRankKeyA,0),"")</f>
        <v/>
      </c>
      <c r="N466" t="str">
        <f>IFERROR(MATCH($C$5&amp;"|"&amp;RIGHT("000000"&amp;450,6),CalcRankKeyB,0),"")</f>
        <v/>
      </c>
    </row>
    <row r="467" spans="1:14" x14ac:dyDescent="0.2">
      <c r="A467" s="7">
        <v>451</v>
      </c>
      <c r="B467" s="8" t="str">
        <f t="shared" si="70"/>
        <v/>
      </c>
      <c r="C467" s="8" t="str">
        <f t="shared" si="71"/>
        <v/>
      </c>
      <c r="D467" s="8" t="str">
        <f t="shared" si="72"/>
        <v/>
      </c>
      <c r="E467" s="9" t="str">
        <f t="shared" si="73"/>
        <v/>
      </c>
      <c r="F467" s="9" t="str">
        <f t="shared" si="74"/>
        <v/>
      </c>
      <c r="G467" s="9" t="str">
        <f t="shared" si="75"/>
        <v/>
      </c>
      <c r="H467" s="9" t="str">
        <f t="shared" si="76"/>
        <v/>
      </c>
      <c r="I467" s="10" t="str">
        <f t="shared" si="77"/>
        <v/>
      </c>
      <c r="J467" s="10" t="str">
        <f t="shared" si="79"/>
        <v/>
      </c>
      <c r="K467" s="11" t="str">
        <f t="shared" si="78"/>
        <v/>
      </c>
      <c r="M467" t="str">
        <f>IFERROR(MATCH($C$5&amp;"|"&amp;RIGHT("000000"&amp;451,6),CalcRankKeyA,0),"")</f>
        <v/>
      </c>
      <c r="N467" t="str">
        <f>IFERROR(MATCH($C$5&amp;"|"&amp;RIGHT("000000"&amp;451,6),CalcRankKeyB,0),"")</f>
        <v/>
      </c>
    </row>
    <row r="468" spans="1:14" x14ac:dyDescent="0.2">
      <c r="A468" s="12">
        <v>452</v>
      </c>
      <c r="B468" s="13" t="str">
        <f t="shared" si="70"/>
        <v/>
      </c>
      <c r="C468" s="13" t="str">
        <f t="shared" si="71"/>
        <v/>
      </c>
      <c r="D468" s="13" t="str">
        <f t="shared" si="72"/>
        <v/>
      </c>
      <c r="E468" s="14" t="str">
        <f t="shared" si="73"/>
        <v/>
      </c>
      <c r="F468" s="14" t="str">
        <f t="shared" si="74"/>
        <v/>
      </c>
      <c r="G468" s="14" t="str">
        <f t="shared" si="75"/>
        <v/>
      </c>
      <c r="H468" s="14" t="str">
        <f t="shared" si="76"/>
        <v/>
      </c>
      <c r="I468" s="15" t="str">
        <f t="shared" si="77"/>
        <v/>
      </c>
      <c r="J468" s="15" t="str">
        <f t="shared" si="79"/>
        <v/>
      </c>
      <c r="K468" s="16" t="str">
        <f t="shared" si="78"/>
        <v/>
      </c>
      <c r="M468" t="str">
        <f>IFERROR(MATCH($C$5&amp;"|"&amp;RIGHT("000000"&amp;452,6),CalcRankKeyA,0),"")</f>
        <v/>
      </c>
      <c r="N468" t="str">
        <f>IFERROR(MATCH($C$5&amp;"|"&amp;RIGHT("000000"&amp;452,6),CalcRankKeyB,0),"")</f>
        <v/>
      </c>
    </row>
    <row r="469" spans="1:14" x14ac:dyDescent="0.2">
      <c r="A469" s="7">
        <v>453</v>
      </c>
      <c r="B469" s="8" t="str">
        <f t="shared" si="70"/>
        <v/>
      </c>
      <c r="C469" s="8" t="str">
        <f t="shared" si="71"/>
        <v/>
      </c>
      <c r="D469" s="8" t="str">
        <f t="shared" si="72"/>
        <v/>
      </c>
      <c r="E469" s="9" t="str">
        <f t="shared" si="73"/>
        <v/>
      </c>
      <c r="F469" s="9" t="str">
        <f t="shared" si="74"/>
        <v/>
      </c>
      <c r="G469" s="9" t="str">
        <f t="shared" si="75"/>
        <v/>
      </c>
      <c r="H469" s="9" t="str">
        <f t="shared" si="76"/>
        <v/>
      </c>
      <c r="I469" s="10" t="str">
        <f t="shared" si="77"/>
        <v/>
      </c>
      <c r="J469" s="10" t="str">
        <f t="shared" si="79"/>
        <v/>
      </c>
      <c r="K469" s="11" t="str">
        <f t="shared" si="78"/>
        <v/>
      </c>
      <c r="M469" t="str">
        <f>IFERROR(MATCH($C$5&amp;"|"&amp;RIGHT("000000"&amp;453,6),CalcRankKeyA,0),"")</f>
        <v/>
      </c>
      <c r="N469" t="str">
        <f>IFERROR(MATCH($C$5&amp;"|"&amp;RIGHT("000000"&amp;453,6),CalcRankKeyB,0),"")</f>
        <v/>
      </c>
    </row>
    <row r="470" spans="1:14" x14ac:dyDescent="0.2">
      <c r="A470" s="12">
        <v>454</v>
      </c>
      <c r="B470" s="13" t="str">
        <f t="shared" si="70"/>
        <v/>
      </c>
      <c r="C470" s="13" t="str">
        <f t="shared" si="71"/>
        <v/>
      </c>
      <c r="D470" s="13" t="str">
        <f t="shared" si="72"/>
        <v/>
      </c>
      <c r="E470" s="14" t="str">
        <f t="shared" si="73"/>
        <v/>
      </c>
      <c r="F470" s="14" t="str">
        <f t="shared" si="74"/>
        <v/>
      </c>
      <c r="G470" s="14" t="str">
        <f t="shared" si="75"/>
        <v/>
      </c>
      <c r="H470" s="14" t="str">
        <f t="shared" si="76"/>
        <v/>
      </c>
      <c r="I470" s="15" t="str">
        <f t="shared" si="77"/>
        <v/>
      </c>
      <c r="J470" s="15" t="str">
        <f t="shared" si="79"/>
        <v/>
      </c>
      <c r="K470" s="16" t="str">
        <f t="shared" si="78"/>
        <v/>
      </c>
      <c r="M470" t="str">
        <f>IFERROR(MATCH($C$5&amp;"|"&amp;RIGHT("000000"&amp;454,6),CalcRankKeyA,0),"")</f>
        <v/>
      </c>
      <c r="N470" t="str">
        <f>IFERROR(MATCH($C$5&amp;"|"&amp;RIGHT("000000"&amp;454,6),CalcRankKeyB,0),"")</f>
        <v/>
      </c>
    </row>
    <row r="471" spans="1:14" x14ac:dyDescent="0.2">
      <c r="A471" s="7">
        <v>455</v>
      </c>
      <c r="B471" s="8" t="str">
        <f t="shared" si="70"/>
        <v/>
      </c>
      <c r="C471" s="8" t="str">
        <f t="shared" si="71"/>
        <v/>
      </c>
      <c r="D471" s="8" t="str">
        <f t="shared" si="72"/>
        <v/>
      </c>
      <c r="E471" s="9" t="str">
        <f t="shared" si="73"/>
        <v/>
      </c>
      <c r="F471" s="9" t="str">
        <f t="shared" si="74"/>
        <v/>
      </c>
      <c r="G471" s="9" t="str">
        <f t="shared" si="75"/>
        <v/>
      </c>
      <c r="H471" s="9" t="str">
        <f t="shared" si="76"/>
        <v/>
      </c>
      <c r="I471" s="10" t="str">
        <f t="shared" si="77"/>
        <v/>
      </c>
      <c r="J471" s="10" t="str">
        <f t="shared" si="79"/>
        <v/>
      </c>
      <c r="K471" s="11" t="str">
        <f t="shared" si="78"/>
        <v/>
      </c>
      <c r="M471" t="str">
        <f>IFERROR(MATCH($C$5&amp;"|"&amp;RIGHT("000000"&amp;455,6),CalcRankKeyA,0),"")</f>
        <v/>
      </c>
      <c r="N471" t="str">
        <f>IFERROR(MATCH($C$5&amp;"|"&amp;RIGHT("000000"&amp;455,6),CalcRankKeyB,0),"")</f>
        <v/>
      </c>
    </row>
    <row r="472" spans="1:14" x14ac:dyDescent="0.2">
      <c r="A472" s="12">
        <v>456</v>
      </c>
      <c r="B472" s="13" t="str">
        <f t="shared" si="70"/>
        <v/>
      </c>
      <c r="C472" s="13" t="str">
        <f t="shared" si="71"/>
        <v/>
      </c>
      <c r="D472" s="13" t="str">
        <f t="shared" si="72"/>
        <v/>
      </c>
      <c r="E472" s="14" t="str">
        <f t="shared" si="73"/>
        <v/>
      </c>
      <c r="F472" s="14" t="str">
        <f t="shared" si="74"/>
        <v/>
      </c>
      <c r="G472" s="14" t="str">
        <f t="shared" si="75"/>
        <v/>
      </c>
      <c r="H472" s="14" t="str">
        <f t="shared" si="76"/>
        <v/>
      </c>
      <c r="I472" s="15" t="str">
        <f t="shared" si="77"/>
        <v/>
      </c>
      <c r="J472" s="15" t="str">
        <f t="shared" si="79"/>
        <v/>
      </c>
      <c r="K472" s="16" t="str">
        <f t="shared" si="78"/>
        <v/>
      </c>
      <c r="M472" t="str">
        <f>IFERROR(MATCH($C$5&amp;"|"&amp;RIGHT("000000"&amp;456,6),CalcRankKeyA,0),"")</f>
        <v/>
      </c>
      <c r="N472" t="str">
        <f>IFERROR(MATCH($C$5&amp;"|"&amp;RIGHT("000000"&amp;456,6),CalcRankKeyB,0),"")</f>
        <v/>
      </c>
    </row>
    <row r="473" spans="1:14" x14ac:dyDescent="0.2">
      <c r="A473" s="7">
        <v>457</v>
      </c>
      <c r="B473" s="8" t="str">
        <f t="shared" si="70"/>
        <v/>
      </c>
      <c r="C473" s="8" t="str">
        <f t="shared" si="71"/>
        <v/>
      </c>
      <c r="D473" s="8" t="str">
        <f t="shared" si="72"/>
        <v/>
      </c>
      <c r="E473" s="9" t="str">
        <f t="shared" si="73"/>
        <v/>
      </c>
      <c r="F473" s="9" t="str">
        <f t="shared" si="74"/>
        <v/>
      </c>
      <c r="G473" s="9" t="str">
        <f t="shared" si="75"/>
        <v/>
      </c>
      <c r="H473" s="9" t="str">
        <f t="shared" si="76"/>
        <v/>
      </c>
      <c r="I473" s="10" t="str">
        <f t="shared" si="77"/>
        <v/>
      </c>
      <c r="J473" s="10" t="str">
        <f t="shared" si="79"/>
        <v/>
      </c>
      <c r="K473" s="11" t="str">
        <f t="shared" si="78"/>
        <v/>
      </c>
      <c r="M473" t="str">
        <f>IFERROR(MATCH($C$5&amp;"|"&amp;RIGHT("000000"&amp;457,6),CalcRankKeyA,0),"")</f>
        <v/>
      </c>
      <c r="N473" t="str">
        <f>IFERROR(MATCH($C$5&amp;"|"&amp;RIGHT("000000"&amp;457,6),CalcRankKeyB,0),"")</f>
        <v/>
      </c>
    </row>
    <row r="474" spans="1:14" x14ac:dyDescent="0.2">
      <c r="A474" s="12">
        <v>458</v>
      </c>
      <c r="B474" s="13" t="str">
        <f t="shared" si="70"/>
        <v/>
      </c>
      <c r="C474" s="13" t="str">
        <f t="shared" si="71"/>
        <v/>
      </c>
      <c r="D474" s="13" t="str">
        <f t="shared" si="72"/>
        <v/>
      </c>
      <c r="E474" s="14" t="str">
        <f t="shared" si="73"/>
        <v/>
      </c>
      <c r="F474" s="14" t="str">
        <f t="shared" si="74"/>
        <v/>
      </c>
      <c r="G474" s="14" t="str">
        <f t="shared" si="75"/>
        <v/>
      </c>
      <c r="H474" s="14" t="str">
        <f t="shared" si="76"/>
        <v/>
      </c>
      <c r="I474" s="15" t="str">
        <f t="shared" si="77"/>
        <v/>
      </c>
      <c r="J474" s="15" t="str">
        <f t="shared" si="79"/>
        <v/>
      </c>
      <c r="K474" s="16" t="str">
        <f t="shared" si="78"/>
        <v/>
      </c>
      <c r="M474" t="str">
        <f>IFERROR(MATCH($C$5&amp;"|"&amp;RIGHT("000000"&amp;458,6),CalcRankKeyA,0),"")</f>
        <v/>
      </c>
      <c r="N474" t="str">
        <f>IFERROR(MATCH($C$5&amp;"|"&amp;RIGHT("000000"&amp;458,6),CalcRankKeyB,0),"")</f>
        <v/>
      </c>
    </row>
    <row r="475" spans="1:14" x14ac:dyDescent="0.2">
      <c r="A475" s="7">
        <v>459</v>
      </c>
      <c r="B475" s="8" t="str">
        <f t="shared" si="70"/>
        <v/>
      </c>
      <c r="C475" s="8" t="str">
        <f t="shared" si="71"/>
        <v/>
      </c>
      <c r="D475" s="8" t="str">
        <f t="shared" si="72"/>
        <v/>
      </c>
      <c r="E475" s="9" t="str">
        <f t="shared" si="73"/>
        <v/>
      </c>
      <c r="F475" s="9" t="str">
        <f t="shared" si="74"/>
        <v/>
      </c>
      <c r="G475" s="9" t="str">
        <f t="shared" si="75"/>
        <v/>
      </c>
      <c r="H475" s="9" t="str">
        <f t="shared" si="76"/>
        <v/>
      </c>
      <c r="I475" s="10" t="str">
        <f t="shared" si="77"/>
        <v/>
      </c>
      <c r="J475" s="10" t="str">
        <f t="shared" si="79"/>
        <v/>
      </c>
      <c r="K475" s="11" t="str">
        <f t="shared" si="78"/>
        <v/>
      </c>
      <c r="M475" t="str">
        <f>IFERROR(MATCH($C$5&amp;"|"&amp;RIGHT("000000"&amp;459,6),CalcRankKeyA,0),"")</f>
        <v/>
      </c>
      <c r="N475" t="str">
        <f>IFERROR(MATCH($C$5&amp;"|"&amp;RIGHT("000000"&amp;459,6),CalcRankKeyB,0),"")</f>
        <v/>
      </c>
    </row>
    <row r="476" spans="1:14" x14ac:dyDescent="0.2">
      <c r="A476" s="12">
        <v>460</v>
      </c>
      <c r="B476" s="13" t="str">
        <f t="shared" si="70"/>
        <v/>
      </c>
      <c r="C476" s="13" t="str">
        <f t="shared" si="71"/>
        <v/>
      </c>
      <c r="D476" s="13" t="str">
        <f t="shared" si="72"/>
        <v/>
      </c>
      <c r="E476" s="14" t="str">
        <f t="shared" si="73"/>
        <v/>
      </c>
      <c r="F476" s="14" t="str">
        <f t="shared" si="74"/>
        <v/>
      </c>
      <c r="G476" s="14" t="str">
        <f t="shared" si="75"/>
        <v/>
      </c>
      <c r="H476" s="14" t="str">
        <f t="shared" si="76"/>
        <v/>
      </c>
      <c r="I476" s="15" t="str">
        <f t="shared" si="77"/>
        <v/>
      </c>
      <c r="J476" s="15" t="str">
        <f t="shared" si="79"/>
        <v/>
      </c>
      <c r="K476" s="16" t="str">
        <f t="shared" si="78"/>
        <v/>
      </c>
      <c r="M476" t="str">
        <f>IFERROR(MATCH($C$5&amp;"|"&amp;RIGHT("000000"&amp;460,6),CalcRankKeyA,0),"")</f>
        <v/>
      </c>
      <c r="N476" t="str">
        <f>IFERROR(MATCH($C$5&amp;"|"&amp;RIGHT("000000"&amp;460,6),CalcRankKeyB,0),"")</f>
        <v/>
      </c>
    </row>
    <row r="477" spans="1:14" x14ac:dyDescent="0.2">
      <c r="A477" s="7">
        <v>461</v>
      </c>
      <c r="B477" s="8" t="str">
        <f t="shared" si="70"/>
        <v/>
      </c>
      <c r="C477" s="8" t="str">
        <f t="shared" si="71"/>
        <v/>
      </c>
      <c r="D477" s="8" t="str">
        <f t="shared" si="72"/>
        <v/>
      </c>
      <c r="E477" s="9" t="str">
        <f t="shared" si="73"/>
        <v/>
      </c>
      <c r="F477" s="9" t="str">
        <f t="shared" si="74"/>
        <v/>
      </c>
      <c r="G477" s="9" t="str">
        <f t="shared" si="75"/>
        <v/>
      </c>
      <c r="H477" s="9" t="str">
        <f t="shared" si="76"/>
        <v/>
      </c>
      <c r="I477" s="10" t="str">
        <f t="shared" si="77"/>
        <v/>
      </c>
      <c r="J477" s="10" t="str">
        <f t="shared" si="79"/>
        <v/>
      </c>
      <c r="K477" s="11" t="str">
        <f t="shared" si="78"/>
        <v/>
      </c>
      <c r="M477" t="str">
        <f>IFERROR(MATCH($C$5&amp;"|"&amp;RIGHT("000000"&amp;461,6),CalcRankKeyA,0),"")</f>
        <v/>
      </c>
      <c r="N477" t="str">
        <f>IFERROR(MATCH($C$5&amp;"|"&amp;RIGHT("000000"&amp;461,6),CalcRankKeyB,0),"")</f>
        <v/>
      </c>
    </row>
    <row r="478" spans="1:14" x14ac:dyDescent="0.2">
      <c r="A478" s="12">
        <v>462</v>
      </c>
      <c r="B478" s="13" t="str">
        <f t="shared" si="70"/>
        <v/>
      </c>
      <c r="C478" s="13" t="str">
        <f t="shared" si="71"/>
        <v/>
      </c>
      <c r="D478" s="13" t="str">
        <f t="shared" si="72"/>
        <v/>
      </c>
      <c r="E478" s="14" t="str">
        <f t="shared" si="73"/>
        <v/>
      </c>
      <c r="F478" s="14" t="str">
        <f t="shared" si="74"/>
        <v/>
      </c>
      <c r="G478" s="14" t="str">
        <f t="shared" si="75"/>
        <v/>
      </c>
      <c r="H478" s="14" t="str">
        <f t="shared" si="76"/>
        <v/>
      </c>
      <c r="I478" s="15" t="str">
        <f t="shared" si="77"/>
        <v/>
      </c>
      <c r="J478" s="15" t="str">
        <f t="shared" si="79"/>
        <v/>
      </c>
      <c r="K478" s="16" t="str">
        <f t="shared" si="78"/>
        <v/>
      </c>
      <c r="M478" t="str">
        <f>IFERROR(MATCH($C$5&amp;"|"&amp;RIGHT("000000"&amp;462,6),CalcRankKeyA,0),"")</f>
        <v/>
      </c>
      <c r="N478" t="str">
        <f>IFERROR(MATCH($C$5&amp;"|"&amp;RIGHT("000000"&amp;462,6),CalcRankKeyB,0),"")</f>
        <v/>
      </c>
    </row>
    <row r="479" spans="1:14" x14ac:dyDescent="0.2">
      <c r="A479" s="7">
        <v>463</v>
      </c>
      <c r="B479" s="8" t="str">
        <f t="shared" si="70"/>
        <v/>
      </c>
      <c r="C479" s="8" t="str">
        <f t="shared" si="71"/>
        <v/>
      </c>
      <c r="D479" s="8" t="str">
        <f t="shared" si="72"/>
        <v/>
      </c>
      <c r="E479" s="9" t="str">
        <f t="shared" si="73"/>
        <v/>
      </c>
      <c r="F479" s="9" t="str">
        <f t="shared" si="74"/>
        <v/>
      </c>
      <c r="G479" s="9" t="str">
        <f t="shared" si="75"/>
        <v/>
      </c>
      <c r="H479" s="9" t="str">
        <f t="shared" si="76"/>
        <v/>
      </c>
      <c r="I479" s="10" t="str">
        <f t="shared" si="77"/>
        <v/>
      </c>
      <c r="J479" s="10" t="str">
        <f t="shared" si="79"/>
        <v/>
      </c>
      <c r="K479" s="11" t="str">
        <f t="shared" si="78"/>
        <v/>
      </c>
      <c r="M479" t="str">
        <f>IFERROR(MATCH($C$5&amp;"|"&amp;RIGHT("000000"&amp;463,6),CalcRankKeyA,0),"")</f>
        <v/>
      </c>
      <c r="N479" t="str">
        <f>IFERROR(MATCH($C$5&amp;"|"&amp;RIGHT("000000"&amp;463,6),CalcRankKeyB,0),"")</f>
        <v/>
      </c>
    </row>
    <row r="480" spans="1:14" x14ac:dyDescent="0.2">
      <c r="A480" s="12">
        <v>464</v>
      </c>
      <c r="B480" s="13" t="str">
        <f t="shared" si="70"/>
        <v/>
      </c>
      <c r="C480" s="13" t="str">
        <f t="shared" si="71"/>
        <v/>
      </c>
      <c r="D480" s="13" t="str">
        <f t="shared" si="72"/>
        <v/>
      </c>
      <c r="E480" s="14" t="str">
        <f t="shared" si="73"/>
        <v/>
      </c>
      <c r="F480" s="14" t="str">
        <f t="shared" si="74"/>
        <v/>
      </c>
      <c r="G480" s="14" t="str">
        <f t="shared" si="75"/>
        <v/>
      </c>
      <c r="H480" s="14" t="str">
        <f t="shared" si="76"/>
        <v/>
      </c>
      <c r="I480" s="15" t="str">
        <f t="shared" si="77"/>
        <v/>
      </c>
      <c r="J480" s="15" t="str">
        <f t="shared" si="79"/>
        <v/>
      </c>
      <c r="K480" s="16" t="str">
        <f t="shared" si="78"/>
        <v/>
      </c>
      <c r="M480" t="str">
        <f>IFERROR(MATCH($C$5&amp;"|"&amp;RIGHT("000000"&amp;464,6),CalcRankKeyA,0),"")</f>
        <v/>
      </c>
      <c r="N480" t="str">
        <f>IFERROR(MATCH($C$5&amp;"|"&amp;RIGHT("000000"&amp;464,6),CalcRankKeyB,0),"")</f>
        <v/>
      </c>
    </row>
    <row r="481" spans="1:14" x14ac:dyDescent="0.2">
      <c r="A481" s="7">
        <v>465</v>
      </c>
      <c r="B481" s="8" t="str">
        <f t="shared" si="70"/>
        <v/>
      </c>
      <c r="C481" s="8" t="str">
        <f t="shared" si="71"/>
        <v/>
      </c>
      <c r="D481" s="8" t="str">
        <f t="shared" si="72"/>
        <v/>
      </c>
      <c r="E481" s="9" t="str">
        <f t="shared" si="73"/>
        <v/>
      </c>
      <c r="F481" s="9" t="str">
        <f t="shared" si="74"/>
        <v/>
      </c>
      <c r="G481" s="9" t="str">
        <f t="shared" si="75"/>
        <v/>
      </c>
      <c r="H481" s="9" t="str">
        <f t="shared" si="76"/>
        <v/>
      </c>
      <c r="I481" s="10" t="str">
        <f t="shared" si="77"/>
        <v/>
      </c>
      <c r="J481" s="10" t="str">
        <f t="shared" si="79"/>
        <v/>
      </c>
      <c r="K481" s="11" t="str">
        <f t="shared" si="78"/>
        <v/>
      </c>
      <c r="M481" t="str">
        <f>IFERROR(MATCH($C$5&amp;"|"&amp;RIGHT("000000"&amp;465,6),CalcRankKeyA,0),"")</f>
        <v/>
      </c>
      <c r="N481" t="str">
        <f>IFERROR(MATCH($C$5&amp;"|"&amp;RIGHT("000000"&amp;465,6),CalcRankKeyB,0),"")</f>
        <v/>
      </c>
    </row>
    <row r="482" spans="1:14" x14ac:dyDescent="0.2">
      <c r="A482" s="12">
        <v>466</v>
      </c>
      <c r="B482" s="13" t="str">
        <f t="shared" si="70"/>
        <v/>
      </c>
      <c r="C482" s="13" t="str">
        <f t="shared" si="71"/>
        <v/>
      </c>
      <c r="D482" s="13" t="str">
        <f t="shared" si="72"/>
        <v/>
      </c>
      <c r="E482" s="14" t="str">
        <f t="shared" si="73"/>
        <v/>
      </c>
      <c r="F482" s="14" t="str">
        <f t="shared" si="74"/>
        <v/>
      </c>
      <c r="G482" s="14" t="str">
        <f t="shared" si="75"/>
        <v/>
      </c>
      <c r="H482" s="14" t="str">
        <f t="shared" si="76"/>
        <v/>
      </c>
      <c r="I482" s="15" t="str">
        <f t="shared" si="77"/>
        <v/>
      </c>
      <c r="J482" s="15" t="str">
        <f t="shared" si="79"/>
        <v/>
      </c>
      <c r="K482" s="16" t="str">
        <f t="shared" si="78"/>
        <v/>
      </c>
      <c r="M482" t="str">
        <f>IFERROR(MATCH($C$5&amp;"|"&amp;RIGHT("000000"&amp;466,6),CalcRankKeyA,0),"")</f>
        <v/>
      </c>
      <c r="N482" t="str">
        <f>IFERROR(MATCH($C$5&amp;"|"&amp;RIGHT("000000"&amp;466,6),CalcRankKeyB,0),"")</f>
        <v/>
      </c>
    </row>
    <row r="483" spans="1:14" x14ac:dyDescent="0.2">
      <c r="A483" s="7">
        <v>467</v>
      </c>
      <c r="B483" s="8" t="str">
        <f t="shared" si="70"/>
        <v/>
      </c>
      <c r="C483" s="8" t="str">
        <f t="shared" si="71"/>
        <v/>
      </c>
      <c r="D483" s="8" t="str">
        <f t="shared" si="72"/>
        <v/>
      </c>
      <c r="E483" s="9" t="str">
        <f t="shared" si="73"/>
        <v/>
      </c>
      <c r="F483" s="9" t="str">
        <f t="shared" si="74"/>
        <v/>
      </c>
      <c r="G483" s="9" t="str">
        <f t="shared" si="75"/>
        <v/>
      </c>
      <c r="H483" s="9" t="str">
        <f t="shared" si="76"/>
        <v/>
      </c>
      <c r="I483" s="10" t="str">
        <f t="shared" si="77"/>
        <v/>
      </c>
      <c r="J483" s="10" t="str">
        <f t="shared" si="79"/>
        <v/>
      </c>
      <c r="K483" s="11" t="str">
        <f t="shared" si="78"/>
        <v/>
      </c>
      <c r="M483" t="str">
        <f>IFERROR(MATCH($C$5&amp;"|"&amp;RIGHT("000000"&amp;467,6),CalcRankKeyA,0),"")</f>
        <v/>
      </c>
      <c r="N483" t="str">
        <f>IFERROR(MATCH($C$5&amp;"|"&amp;RIGHT("000000"&amp;467,6),CalcRankKeyB,0),"")</f>
        <v/>
      </c>
    </row>
    <row r="484" spans="1:14" x14ac:dyDescent="0.2">
      <c r="A484" s="12">
        <v>468</v>
      </c>
      <c r="B484" s="13" t="str">
        <f t="shared" si="70"/>
        <v/>
      </c>
      <c r="C484" s="13" t="str">
        <f t="shared" si="71"/>
        <v/>
      </c>
      <c r="D484" s="13" t="str">
        <f t="shared" si="72"/>
        <v/>
      </c>
      <c r="E484" s="14" t="str">
        <f t="shared" si="73"/>
        <v/>
      </c>
      <c r="F484" s="14" t="str">
        <f t="shared" si="74"/>
        <v/>
      </c>
      <c r="G484" s="14" t="str">
        <f t="shared" si="75"/>
        <v/>
      </c>
      <c r="H484" s="14" t="str">
        <f t="shared" si="76"/>
        <v/>
      </c>
      <c r="I484" s="15" t="str">
        <f t="shared" si="77"/>
        <v/>
      </c>
      <c r="J484" s="15" t="str">
        <f t="shared" si="79"/>
        <v/>
      </c>
      <c r="K484" s="16" t="str">
        <f t="shared" si="78"/>
        <v/>
      </c>
      <c r="M484" t="str">
        <f>IFERROR(MATCH($C$5&amp;"|"&amp;RIGHT("000000"&amp;468,6),CalcRankKeyA,0),"")</f>
        <v/>
      </c>
      <c r="N484" t="str">
        <f>IFERROR(MATCH($C$5&amp;"|"&amp;RIGHT("000000"&amp;468,6),CalcRankKeyB,0),"")</f>
        <v/>
      </c>
    </row>
    <row r="485" spans="1:14" x14ac:dyDescent="0.2">
      <c r="A485" s="7">
        <v>469</v>
      </c>
      <c r="B485" s="8" t="str">
        <f t="shared" si="70"/>
        <v/>
      </c>
      <c r="C485" s="8" t="str">
        <f t="shared" si="71"/>
        <v/>
      </c>
      <c r="D485" s="8" t="str">
        <f t="shared" si="72"/>
        <v/>
      </c>
      <c r="E485" s="9" t="str">
        <f t="shared" si="73"/>
        <v/>
      </c>
      <c r="F485" s="9" t="str">
        <f t="shared" si="74"/>
        <v/>
      </c>
      <c r="G485" s="9" t="str">
        <f t="shared" si="75"/>
        <v/>
      </c>
      <c r="H485" s="9" t="str">
        <f t="shared" si="76"/>
        <v/>
      </c>
      <c r="I485" s="10" t="str">
        <f t="shared" si="77"/>
        <v/>
      </c>
      <c r="J485" s="10" t="str">
        <f t="shared" si="79"/>
        <v/>
      </c>
      <c r="K485" s="11" t="str">
        <f t="shared" si="78"/>
        <v/>
      </c>
      <c r="M485" t="str">
        <f>IFERROR(MATCH($C$5&amp;"|"&amp;RIGHT("000000"&amp;469,6),CalcRankKeyA,0),"")</f>
        <v/>
      </c>
      <c r="N485" t="str">
        <f>IFERROR(MATCH($C$5&amp;"|"&amp;RIGHT("000000"&amp;469,6),CalcRankKeyB,0),"")</f>
        <v/>
      </c>
    </row>
    <row r="486" spans="1:14" x14ac:dyDescent="0.2">
      <c r="A486" s="12">
        <v>470</v>
      </c>
      <c r="B486" s="13" t="str">
        <f t="shared" si="70"/>
        <v/>
      </c>
      <c r="C486" s="13" t="str">
        <f t="shared" si="71"/>
        <v/>
      </c>
      <c r="D486" s="13" t="str">
        <f t="shared" si="72"/>
        <v/>
      </c>
      <c r="E486" s="14" t="str">
        <f t="shared" si="73"/>
        <v/>
      </c>
      <c r="F486" s="14" t="str">
        <f t="shared" si="74"/>
        <v/>
      </c>
      <c r="G486" s="14" t="str">
        <f t="shared" si="75"/>
        <v/>
      </c>
      <c r="H486" s="14" t="str">
        <f t="shared" si="76"/>
        <v/>
      </c>
      <c r="I486" s="15" t="str">
        <f t="shared" si="77"/>
        <v/>
      </c>
      <c r="J486" s="15" t="str">
        <f t="shared" si="79"/>
        <v/>
      </c>
      <c r="K486" s="16" t="str">
        <f t="shared" si="78"/>
        <v/>
      </c>
      <c r="M486" t="str">
        <f>IFERROR(MATCH($C$5&amp;"|"&amp;RIGHT("000000"&amp;470,6),CalcRankKeyA,0),"")</f>
        <v/>
      </c>
      <c r="N486" t="str">
        <f>IFERROR(MATCH($C$5&amp;"|"&amp;RIGHT("000000"&amp;470,6),CalcRankKeyB,0),"")</f>
        <v/>
      </c>
    </row>
    <row r="487" spans="1:14" x14ac:dyDescent="0.2">
      <c r="A487" s="7">
        <v>471</v>
      </c>
      <c r="B487" s="8" t="str">
        <f t="shared" si="70"/>
        <v/>
      </c>
      <c r="C487" s="8" t="str">
        <f t="shared" si="71"/>
        <v/>
      </c>
      <c r="D487" s="8" t="str">
        <f t="shared" si="72"/>
        <v/>
      </c>
      <c r="E487" s="9" t="str">
        <f t="shared" si="73"/>
        <v/>
      </c>
      <c r="F487" s="9" t="str">
        <f t="shared" si="74"/>
        <v/>
      </c>
      <c r="G487" s="9" t="str">
        <f t="shared" si="75"/>
        <v/>
      </c>
      <c r="H487" s="9" t="str">
        <f t="shared" si="76"/>
        <v/>
      </c>
      <c r="I487" s="10" t="str">
        <f t="shared" si="77"/>
        <v/>
      </c>
      <c r="J487" s="10" t="str">
        <f t="shared" si="79"/>
        <v/>
      </c>
      <c r="K487" s="11" t="str">
        <f t="shared" si="78"/>
        <v/>
      </c>
      <c r="M487" t="str">
        <f>IFERROR(MATCH($C$5&amp;"|"&amp;RIGHT("000000"&amp;471,6),CalcRankKeyA,0),"")</f>
        <v/>
      </c>
      <c r="N487" t="str">
        <f>IFERROR(MATCH($C$5&amp;"|"&amp;RIGHT("000000"&amp;471,6),CalcRankKeyB,0),"")</f>
        <v/>
      </c>
    </row>
    <row r="488" spans="1:14" x14ac:dyDescent="0.2">
      <c r="A488" s="12">
        <v>472</v>
      </c>
      <c r="B488" s="13" t="str">
        <f t="shared" si="70"/>
        <v/>
      </c>
      <c r="C488" s="13" t="str">
        <f t="shared" si="71"/>
        <v/>
      </c>
      <c r="D488" s="13" t="str">
        <f t="shared" si="72"/>
        <v/>
      </c>
      <c r="E488" s="14" t="str">
        <f t="shared" si="73"/>
        <v/>
      </c>
      <c r="F488" s="14" t="str">
        <f t="shared" si="74"/>
        <v/>
      </c>
      <c r="G488" s="14" t="str">
        <f t="shared" si="75"/>
        <v/>
      </c>
      <c r="H488" s="14" t="str">
        <f t="shared" si="76"/>
        <v/>
      </c>
      <c r="I488" s="15" t="str">
        <f t="shared" si="77"/>
        <v/>
      </c>
      <c r="J488" s="15" t="str">
        <f t="shared" si="79"/>
        <v/>
      </c>
      <c r="K488" s="16" t="str">
        <f t="shared" si="78"/>
        <v/>
      </c>
      <c r="M488" t="str">
        <f>IFERROR(MATCH($C$5&amp;"|"&amp;RIGHT("000000"&amp;472,6),CalcRankKeyA,0),"")</f>
        <v/>
      </c>
      <c r="N488" t="str">
        <f>IFERROR(MATCH($C$5&amp;"|"&amp;RIGHT("000000"&amp;472,6),CalcRankKeyB,0),"")</f>
        <v/>
      </c>
    </row>
    <row r="489" spans="1:14" x14ac:dyDescent="0.2">
      <c r="A489" s="7">
        <v>473</v>
      </c>
      <c r="B489" s="8" t="str">
        <f t="shared" si="70"/>
        <v/>
      </c>
      <c r="C489" s="8" t="str">
        <f t="shared" si="71"/>
        <v/>
      </c>
      <c r="D489" s="8" t="str">
        <f t="shared" si="72"/>
        <v/>
      </c>
      <c r="E489" s="9" t="str">
        <f t="shared" si="73"/>
        <v/>
      </c>
      <c r="F489" s="9" t="str">
        <f t="shared" si="74"/>
        <v/>
      </c>
      <c r="G489" s="9" t="str">
        <f t="shared" si="75"/>
        <v/>
      </c>
      <c r="H489" s="9" t="str">
        <f t="shared" si="76"/>
        <v/>
      </c>
      <c r="I489" s="10" t="str">
        <f t="shared" si="77"/>
        <v/>
      </c>
      <c r="J489" s="10" t="str">
        <f t="shared" si="79"/>
        <v/>
      </c>
      <c r="K489" s="11" t="str">
        <f t="shared" si="78"/>
        <v/>
      </c>
      <c r="M489" t="str">
        <f>IFERROR(MATCH($C$5&amp;"|"&amp;RIGHT("000000"&amp;473,6),CalcRankKeyA,0),"")</f>
        <v/>
      </c>
      <c r="N489" t="str">
        <f>IFERROR(MATCH($C$5&amp;"|"&amp;RIGHT("000000"&amp;473,6),CalcRankKeyB,0),"")</f>
        <v/>
      </c>
    </row>
    <row r="490" spans="1:14" x14ac:dyDescent="0.2">
      <c r="A490" s="12">
        <v>474</v>
      </c>
      <c r="B490" s="13" t="str">
        <f t="shared" si="70"/>
        <v/>
      </c>
      <c r="C490" s="13" t="str">
        <f t="shared" si="71"/>
        <v/>
      </c>
      <c r="D490" s="13" t="str">
        <f t="shared" si="72"/>
        <v/>
      </c>
      <c r="E490" s="14" t="str">
        <f t="shared" si="73"/>
        <v/>
      </c>
      <c r="F490" s="14" t="str">
        <f t="shared" si="74"/>
        <v/>
      </c>
      <c r="G490" s="14" t="str">
        <f t="shared" si="75"/>
        <v/>
      </c>
      <c r="H490" s="14" t="str">
        <f t="shared" si="76"/>
        <v/>
      </c>
      <c r="I490" s="15" t="str">
        <f t="shared" si="77"/>
        <v/>
      </c>
      <c r="J490" s="15" t="str">
        <f t="shared" si="79"/>
        <v/>
      </c>
      <c r="K490" s="16" t="str">
        <f t="shared" si="78"/>
        <v/>
      </c>
      <c r="M490" t="str">
        <f>IFERROR(MATCH($C$5&amp;"|"&amp;RIGHT("000000"&amp;474,6),CalcRankKeyA,0),"")</f>
        <v/>
      </c>
      <c r="N490" t="str">
        <f>IFERROR(MATCH($C$5&amp;"|"&amp;RIGHT("000000"&amp;474,6),CalcRankKeyB,0),"")</f>
        <v/>
      </c>
    </row>
    <row r="491" spans="1:14" x14ac:dyDescent="0.2">
      <c r="A491" s="7">
        <v>475</v>
      </c>
      <c r="B491" s="8" t="str">
        <f t="shared" si="70"/>
        <v/>
      </c>
      <c r="C491" s="8" t="str">
        <f t="shared" si="71"/>
        <v/>
      </c>
      <c r="D491" s="8" t="str">
        <f t="shared" si="72"/>
        <v/>
      </c>
      <c r="E491" s="9" t="str">
        <f t="shared" si="73"/>
        <v/>
      </c>
      <c r="F491" s="9" t="str">
        <f t="shared" si="74"/>
        <v/>
      </c>
      <c r="G491" s="9" t="str">
        <f t="shared" si="75"/>
        <v/>
      </c>
      <c r="H491" s="9" t="str">
        <f t="shared" si="76"/>
        <v/>
      </c>
      <c r="I491" s="10" t="str">
        <f t="shared" si="77"/>
        <v/>
      </c>
      <c r="J491" s="10" t="str">
        <f t="shared" si="79"/>
        <v/>
      </c>
      <c r="K491" s="11" t="str">
        <f t="shared" si="78"/>
        <v/>
      </c>
      <c r="M491" t="str">
        <f>IFERROR(MATCH($C$5&amp;"|"&amp;RIGHT("000000"&amp;475,6),CalcRankKeyA,0),"")</f>
        <v/>
      </c>
      <c r="N491" t="str">
        <f>IFERROR(MATCH($C$5&amp;"|"&amp;RIGHT("000000"&amp;475,6),CalcRankKeyB,0),"")</f>
        <v/>
      </c>
    </row>
    <row r="492" spans="1:14" x14ac:dyDescent="0.2">
      <c r="A492" s="12">
        <v>476</v>
      </c>
      <c r="B492" s="13" t="str">
        <f t="shared" si="70"/>
        <v/>
      </c>
      <c r="C492" s="13" t="str">
        <f t="shared" si="71"/>
        <v/>
      </c>
      <c r="D492" s="13" t="str">
        <f t="shared" si="72"/>
        <v/>
      </c>
      <c r="E492" s="14" t="str">
        <f t="shared" si="73"/>
        <v/>
      </c>
      <c r="F492" s="14" t="str">
        <f t="shared" si="74"/>
        <v/>
      </c>
      <c r="G492" s="14" t="str">
        <f t="shared" si="75"/>
        <v/>
      </c>
      <c r="H492" s="14" t="str">
        <f t="shared" si="76"/>
        <v/>
      </c>
      <c r="I492" s="15" t="str">
        <f t="shared" si="77"/>
        <v/>
      </c>
      <c r="J492" s="15" t="str">
        <f t="shared" si="79"/>
        <v/>
      </c>
      <c r="K492" s="16" t="str">
        <f t="shared" si="78"/>
        <v/>
      </c>
      <c r="M492" t="str">
        <f>IFERROR(MATCH($C$5&amp;"|"&amp;RIGHT("000000"&amp;476,6),CalcRankKeyA,0),"")</f>
        <v/>
      </c>
      <c r="N492" t="str">
        <f>IFERROR(MATCH($C$5&amp;"|"&amp;RIGHT("000000"&amp;476,6),CalcRankKeyB,0),"")</f>
        <v/>
      </c>
    </row>
    <row r="493" spans="1:14" x14ac:dyDescent="0.2">
      <c r="A493" s="7">
        <v>477</v>
      </c>
      <c r="B493" s="8" t="str">
        <f t="shared" si="70"/>
        <v/>
      </c>
      <c r="C493" s="8" t="str">
        <f t="shared" si="71"/>
        <v/>
      </c>
      <c r="D493" s="8" t="str">
        <f t="shared" si="72"/>
        <v/>
      </c>
      <c r="E493" s="9" t="str">
        <f t="shared" si="73"/>
        <v/>
      </c>
      <c r="F493" s="9" t="str">
        <f t="shared" si="74"/>
        <v/>
      </c>
      <c r="G493" s="9" t="str">
        <f t="shared" si="75"/>
        <v/>
      </c>
      <c r="H493" s="9" t="str">
        <f t="shared" si="76"/>
        <v/>
      </c>
      <c r="I493" s="10" t="str">
        <f t="shared" si="77"/>
        <v/>
      </c>
      <c r="J493" s="10" t="str">
        <f t="shared" si="79"/>
        <v/>
      </c>
      <c r="K493" s="11" t="str">
        <f t="shared" si="78"/>
        <v/>
      </c>
      <c r="M493" t="str">
        <f>IFERROR(MATCH($C$5&amp;"|"&amp;RIGHT("000000"&amp;477,6),CalcRankKeyA,0),"")</f>
        <v/>
      </c>
      <c r="N493" t="str">
        <f>IFERROR(MATCH($C$5&amp;"|"&amp;RIGHT("000000"&amp;477,6),CalcRankKeyB,0),"")</f>
        <v/>
      </c>
    </row>
    <row r="494" spans="1:14" x14ac:dyDescent="0.2">
      <c r="A494" s="12">
        <v>478</v>
      </c>
      <c r="B494" s="13" t="str">
        <f t="shared" si="70"/>
        <v/>
      </c>
      <c r="C494" s="13" t="str">
        <f t="shared" si="71"/>
        <v/>
      </c>
      <c r="D494" s="13" t="str">
        <f t="shared" si="72"/>
        <v/>
      </c>
      <c r="E494" s="14" t="str">
        <f t="shared" si="73"/>
        <v/>
      </c>
      <c r="F494" s="14" t="str">
        <f t="shared" si="74"/>
        <v/>
      </c>
      <c r="G494" s="14" t="str">
        <f t="shared" si="75"/>
        <v/>
      </c>
      <c r="H494" s="14" t="str">
        <f t="shared" si="76"/>
        <v/>
      </c>
      <c r="I494" s="15" t="str">
        <f t="shared" si="77"/>
        <v/>
      </c>
      <c r="J494" s="15" t="str">
        <f t="shared" si="79"/>
        <v/>
      </c>
      <c r="K494" s="16" t="str">
        <f t="shared" si="78"/>
        <v/>
      </c>
      <c r="M494" t="str">
        <f>IFERROR(MATCH($C$5&amp;"|"&amp;RIGHT("000000"&amp;478,6),CalcRankKeyA,0),"")</f>
        <v/>
      </c>
      <c r="N494" t="str">
        <f>IFERROR(MATCH($C$5&amp;"|"&amp;RIGHT("000000"&amp;478,6),CalcRankKeyB,0),"")</f>
        <v/>
      </c>
    </row>
    <row r="495" spans="1:14" x14ac:dyDescent="0.2">
      <c r="A495" s="7">
        <v>479</v>
      </c>
      <c r="B495" s="8" t="str">
        <f t="shared" si="70"/>
        <v/>
      </c>
      <c r="C495" s="8" t="str">
        <f t="shared" si="71"/>
        <v/>
      </c>
      <c r="D495" s="8" t="str">
        <f t="shared" si="72"/>
        <v/>
      </c>
      <c r="E495" s="9" t="str">
        <f t="shared" si="73"/>
        <v/>
      </c>
      <c r="F495" s="9" t="str">
        <f t="shared" si="74"/>
        <v/>
      </c>
      <c r="G495" s="9" t="str">
        <f t="shared" si="75"/>
        <v/>
      </c>
      <c r="H495" s="9" t="str">
        <f t="shared" si="76"/>
        <v/>
      </c>
      <c r="I495" s="10" t="str">
        <f t="shared" si="77"/>
        <v/>
      </c>
      <c r="J495" s="10" t="str">
        <f t="shared" si="79"/>
        <v/>
      </c>
      <c r="K495" s="11" t="str">
        <f t="shared" si="78"/>
        <v/>
      </c>
      <c r="M495" t="str">
        <f>IFERROR(MATCH($C$5&amp;"|"&amp;RIGHT("000000"&amp;479,6),CalcRankKeyA,0),"")</f>
        <v/>
      </c>
      <c r="N495" t="str">
        <f>IFERROR(MATCH($C$5&amp;"|"&amp;RIGHT("000000"&amp;479,6),CalcRankKeyB,0),"")</f>
        <v/>
      </c>
    </row>
    <row r="496" spans="1:14" x14ac:dyDescent="0.2">
      <c r="A496" s="12">
        <v>480</v>
      </c>
      <c r="B496" s="13" t="str">
        <f t="shared" si="70"/>
        <v/>
      </c>
      <c r="C496" s="13" t="str">
        <f t="shared" si="71"/>
        <v/>
      </c>
      <c r="D496" s="13" t="str">
        <f t="shared" si="72"/>
        <v/>
      </c>
      <c r="E496" s="14" t="str">
        <f t="shared" si="73"/>
        <v/>
      </c>
      <c r="F496" s="14" t="str">
        <f t="shared" si="74"/>
        <v/>
      </c>
      <c r="G496" s="14" t="str">
        <f t="shared" si="75"/>
        <v/>
      </c>
      <c r="H496" s="14" t="str">
        <f t="shared" si="76"/>
        <v/>
      </c>
      <c r="I496" s="15" t="str">
        <f t="shared" si="77"/>
        <v/>
      </c>
      <c r="J496" s="15" t="str">
        <f t="shared" si="79"/>
        <v/>
      </c>
      <c r="K496" s="16" t="str">
        <f t="shared" si="78"/>
        <v/>
      </c>
      <c r="M496" t="str">
        <f>IFERROR(MATCH($C$5&amp;"|"&amp;RIGHT("000000"&amp;480,6),CalcRankKeyA,0),"")</f>
        <v/>
      </c>
      <c r="N496" t="str">
        <f>IFERROR(MATCH($C$5&amp;"|"&amp;RIGHT("000000"&amp;480,6),CalcRankKeyB,0),"")</f>
        <v/>
      </c>
    </row>
    <row r="497" spans="1:14" x14ac:dyDescent="0.2">
      <c r="A497" s="7">
        <v>481</v>
      </c>
      <c r="B497" s="8" t="str">
        <f t="shared" si="70"/>
        <v/>
      </c>
      <c r="C497" s="8" t="str">
        <f t="shared" si="71"/>
        <v/>
      </c>
      <c r="D497" s="8" t="str">
        <f t="shared" si="72"/>
        <v/>
      </c>
      <c r="E497" s="9" t="str">
        <f t="shared" si="73"/>
        <v/>
      </c>
      <c r="F497" s="9" t="str">
        <f t="shared" si="74"/>
        <v/>
      </c>
      <c r="G497" s="9" t="str">
        <f t="shared" si="75"/>
        <v/>
      </c>
      <c r="H497" s="9" t="str">
        <f t="shared" si="76"/>
        <v/>
      </c>
      <c r="I497" s="10" t="str">
        <f t="shared" si="77"/>
        <v/>
      </c>
      <c r="J497" s="10" t="str">
        <f t="shared" si="79"/>
        <v/>
      </c>
      <c r="K497" s="11" t="str">
        <f t="shared" si="78"/>
        <v/>
      </c>
      <c r="M497" t="str">
        <f>IFERROR(MATCH($C$5&amp;"|"&amp;RIGHT("000000"&amp;481,6),CalcRankKeyA,0),"")</f>
        <v/>
      </c>
      <c r="N497" t="str">
        <f>IFERROR(MATCH($C$5&amp;"|"&amp;RIGHT("000000"&amp;481,6),CalcRankKeyB,0),"")</f>
        <v/>
      </c>
    </row>
    <row r="498" spans="1:14" x14ac:dyDescent="0.2">
      <c r="A498" s="12">
        <v>482</v>
      </c>
      <c r="B498" s="13" t="str">
        <f t="shared" si="70"/>
        <v/>
      </c>
      <c r="C498" s="13" t="str">
        <f t="shared" si="71"/>
        <v/>
      </c>
      <c r="D498" s="13" t="str">
        <f t="shared" si="72"/>
        <v/>
      </c>
      <c r="E498" s="14" t="str">
        <f t="shared" si="73"/>
        <v/>
      </c>
      <c r="F498" s="14" t="str">
        <f t="shared" si="74"/>
        <v/>
      </c>
      <c r="G498" s="14" t="str">
        <f t="shared" si="75"/>
        <v/>
      </c>
      <c r="H498" s="14" t="str">
        <f t="shared" si="76"/>
        <v/>
      </c>
      <c r="I498" s="15" t="str">
        <f t="shared" si="77"/>
        <v/>
      </c>
      <c r="J498" s="15" t="str">
        <f t="shared" si="79"/>
        <v/>
      </c>
      <c r="K498" s="16" t="str">
        <f t="shared" si="78"/>
        <v/>
      </c>
      <c r="M498" t="str">
        <f>IFERROR(MATCH($C$5&amp;"|"&amp;RIGHT("000000"&amp;482,6),CalcRankKeyA,0),"")</f>
        <v/>
      </c>
      <c r="N498" t="str">
        <f>IFERROR(MATCH($C$5&amp;"|"&amp;RIGHT("000000"&amp;482,6),CalcRankKeyB,0),"")</f>
        <v/>
      </c>
    </row>
    <row r="499" spans="1:14" x14ac:dyDescent="0.2">
      <c r="A499" s="7">
        <v>483</v>
      </c>
      <c r="B499" s="8" t="str">
        <f t="shared" si="70"/>
        <v/>
      </c>
      <c r="C499" s="8" t="str">
        <f t="shared" si="71"/>
        <v/>
      </c>
      <c r="D499" s="8" t="str">
        <f t="shared" si="72"/>
        <v/>
      </c>
      <c r="E499" s="9" t="str">
        <f t="shared" si="73"/>
        <v/>
      </c>
      <c r="F499" s="9" t="str">
        <f t="shared" si="74"/>
        <v/>
      </c>
      <c r="G499" s="9" t="str">
        <f t="shared" si="75"/>
        <v/>
      </c>
      <c r="H499" s="9" t="str">
        <f t="shared" si="76"/>
        <v/>
      </c>
      <c r="I499" s="10" t="str">
        <f t="shared" si="77"/>
        <v/>
      </c>
      <c r="J499" s="10" t="str">
        <f t="shared" si="79"/>
        <v/>
      </c>
      <c r="K499" s="11" t="str">
        <f t="shared" si="78"/>
        <v/>
      </c>
      <c r="M499" t="str">
        <f>IFERROR(MATCH($C$5&amp;"|"&amp;RIGHT("000000"&amp;483,6),CalcRankKeyA,0),"")</f>
        <v/>
      </c>
      <c r="N499" t="str">
        <f>IFERROR(MATCH($C$5&amp;"|"&amp;RIGHT("000000"&amp;483,6),CalcRankKeyB,0),"")</f>
        <v/>
      </c>
    </row>
    <row r="500" spans="1:14" x14ac:dyDescent="0.2">
      <c r="A500" s="12">
        <v>484</v>
      </c>
      <c r="B500" s="13" t="str">
        <f t="shared" si="70"/>
        <v/>
      </c>
      <c r="C500" s="13" t="str">
        <f t="shared" si="71"/>
        <v/>
      </c>
      <c r="D500" s="13" t="str">
        <f t="shared" si="72"/>
        <v/>
      </c>
      <c r="E500" s="14" t="str">
        <f t="shared" si="73"/>
        <v/>
      </c>
      <c r="F500" s="14" t="str">
        <f t="shared" si="74"/>
        <v/>
      </c>
      <c r="G500" s="14" t="str">
        <f t="shared" si="75"/>
        <v/>
      </c>
      <c r="H500" s="14" t="str">
        <f t="shared" si="76"/>
        <v/>
      </c>
      <c r="I500" s="15" t="str">
        <f t="shared" si="77"/>
        <v/>
      </c>
      <c r="J500" s="15" t="str">
        <f t="shared" si="79"/>
        <v/>
      </c>
      <c r="K500" s="16" t="str">
        <f t="shared" si="78"/>
        <v/>
      </c>
      <c r="M500" t="str">
        <f>IFERROR(MATCH($C$5&amp;"|"&amp;RIGHT("000000"&amp;484,6),CalcRankKeyA,0),"")</f>
        <v/>
      </c>
      <c r="N500" t="str">
        <f>IFERROR(MATCH($C$5&amp;"|"&amp;RIGHT("000000"&amp;484,6),CalcRankKeyB,0),"")</f>
        <v/>
      </c>
    </row>
    <row r="501" spans="1:14" x14ac:dyDescent="0.2">
      <c r="A501" s="7">
        <v>485</v>
      </c>
      <c r="B501" s="8" t="str">
        <f t="shared" si="70"/>
        <v/>
      </c>
      <c r="C501" s="8" t="str">
        <f t="shared" si="71"/>
        <v/>
      </c>
      <c r="D501" s="8" t="str">
        <f t="shared" si="72"/>
        <v/>
      </c>
      <c r="E501" s="9" t="str">
        <f t="shared" si="73"/>
        <v/>
      </c>
      <c r="F501" s="9" t="str">
        <f t="shared" si="74"/>
        <v/>
      </c>
      <c r="G501" s="9" t="str">
        <f t="shared" si="75"/>
        <v/>
      </c>
      <c r="H501" s="9" t="str">
        <f t="shared" si="76"/>
        <v/>
      </c>
      <c r="I501" s="10" t="str">
        <f t="shared" si="77"/>
        <v/>
      </c>
      <c r="J501" s="10" t="str">
        <f t="shared" si="79"/>
        <v/>
      </c>
      <c r="K501" s="11" t="str">
        <f t="shared" si="78"/>
        <v/>
      </c>
      <c r="M501" t="str">
        <f>IFERROR(MATCH($C$5&amp;"|"&amp;RIGHT("000000"&amp;485,6),CalcRankKeyA,0),"")</f>
        <v/>
      </c>
      <c r="N501" t="str">
        <f>IFERROR(MATCH($C$5&amp;"|"&amp;RIGHT("000000"&amp;485,6),CalcRankKeyB,0),"")</f>
        <v/>
      </c>
    </row>
    <row r="502" spans="1:14" x14ac:dyDescent="0.2">
      <c r="A502" s="12">
        <v>486</v>
      </c>
      <c r="B502" s="13" t="str">
        <f t="shared" si="70"/>
        <v/>
      </c>
      <c r="C502" s="13" t="str">
        <f t="shared" si="71"/>
        <v/>
      </c>
      <c r="D502" s="13" t="str">
        <f t="shared" si="72"/>
        <v/>
      </c>
      <c r="E502" s="14" t="str">
        <f t="shared" si="73"/>
        <v/>
      </c>
      <c r="F502" s="14" t="str">
        <f t="shared" si="74"/>
        <v/>
      </c>
      <c r="G502" s="14" t="str">
        <f t="shared" si="75"/>
        <v/>
      </c>
      <c r="H502" s="14" t="str">
        <f t="shared" si="76"/>
        <v/>
      </c>
      <c r="I502" s="15" t="str">
        <f t="shared" si="77"/>
        <v/>
      </c>
      <c r="J502" s="15" t="str">
        <f t="shared" si="79"/>
        <v/>
      </c>
      <c r="K502" s="16" t="str">
        <f t="shared" si="78"/>
        <v/>
      </c>
      <c r="M502" t="str">
        <f>IFERROR(MATCH($C$5&amp;"|"&amp;RIGHT("000000"&amp;486,6),CalcRankKeyA,0),"")</f>
        <v/>
      </c>
      <c r="N502" t="str">
        <f>IFERROR(MATCH($C$5&amp;"|"&amp;RIGHT("000000"&amp;486,6),CalcRankKeyB,0),"")</f>
        <v/>
      </c>
    </row>
    <row r="503" spans="1:14" x14ac:dyDescent="0.2">
      <c r="A503" s="7">
        <v>487</v>
      </c>
      <c r="B503" s="8" t="str">
        <f t="shared" si="70"/>
        <v/>
      </c>
      <c r="C503" s="8" t="str">
        <f t="shared" si="71"/>
        <v/>
      </c>
      <c r="D503" s="8" t="str">
        <f t="shared" si="72"/>
        <v/>
      </c>
      <c r="E503" s="9" t="str">
        <f t="shared" si="73"/>
        <v/>
      </c>
      <c r="F503" s="9" t="str">
        <f t="shared" si="74"/>
        <v/>
      </c>
      <c r="G503" s="9" t="str">
        <f t="shared" si="75"/>
        <v/>
      </c>
      <c r="H503" s="9" t="str">
        <f t="shared" si="76"/>
        <v/>
      </c>
      <c r="I503" s="10" t="str">
        <f t="shared" si="77"/>
        <v/>
      </c>
      <c r="J503" s="10" t="str">
        <f t="shared" si="79"/>
        <v/>
      </c>
      <c r="K503" s="11" t="str">
        <f t="shared" si="78"/>
        <v/>
      </c>
      <c r="M503" t="str">
        <f>IFERROR(MATCH($C$5&amp;"|"&amp;RIGHT("000000"&amp;487,6),CalcRankKeyA,0),"")</f>
        <v/>
      </c>
      <c r="N503" t="str">
        <f>IFERROR(MATCH($C$5&amp;"|"&amp;RIGHT("000000"&amp;487,6),CalcRankKeyB,0),"")</f>
        <v/>
      </c>
    </row>
    <row r="504" spans="1:14" x14ac:dyDescent="0.2">
      <c r="A504" s="12">
        <v>488</v>
      </c>
      <c r="B504" s="13" t="str">
        <f t="shared" si="70"/>
        <v/>
      </c>
      <c r="C504" s="13" t="str">
        <f t="shared" si="71"/>
        <v/>
      </c>
      <c r="D504" s="13" t="str">
        <f t="shared" si="72"/>
        <v/>
      </c>
      <c r="E504" s="14" t="str">
        <f t="shared" si="73"/>
        <v/>
      </c>
      <c r="F504" s="14" t="str">
        <f t="shared" si="74"/>
        <v/>
      </c>
      <c r="G504" s="14" t="str">
        <f t="shared" si="75"/>
        <v/>
      </c>
      <c r="H504" s="14" t="str">
        <f t="shared" si="76"/>
        <v/>
      </c>
      <c r="I504" s="15" t="str">
        <f t="shared" si="77"/>
        <v/>
      </c>
      <c r="J504" s="15" t="str">
        <f t="shared" si="79"/>
        <v/>
      </c>
      <c r="K504" s="16" t="str">
        <f t="shared" si="78"/>
        <v/>
      </c>
      <c r="M504" t="str">
        <f>IFERROR(MATCH($C$5&amp;"|"&amp;RIGHT("000000"&amp;488,6),CalcRankKeyA,0),"")</f>
        <v/>
      </c>
      <c r="N504" t="str">
        <f>IFERROR(MATCH($C$5&amp;"|"&amp;RIGHT("000000"&amp;488,6),CalcRankKeyB,0),"")</f>
        <v/>
      </c>
    </row>
    <row r="505" spans="1:14" x14ac:dyDescent="0.2">
      <c r="A505" s="7">
        <v>489</v>
      </c>
      <c r="B505" s="8" t="str">
        <f t="shared" si="70"/>
        <v/>
      </c>
      <c r="C505" s="8" t="str">
        <f t="shared" si="71"/>
        <v/>
      </c>
      <c r="D505" s="8" t="str">
        <f t="shared" si="72"/>
        <v/>
      </c>
      <c r="E505" s="9" t="str">
        <f t="shared" si="73"/>
        <v/>
      </c>
      <c r="F505" s="9" t="str">
        <f t="shared" si="74"/>
        <v/>
      </c>
      <c r="G505" s="9" t="str">
        <f t="shared" si="75"/>
        <v/>
      </c>
      <c r="H505" s="9" t="str">
        <f t="shared" si="76"/>
        <v/>
      </c>
      <c r="I505" s="10" t="str">
        <f t="shared" si="77"/>
        <v/>
      </c>
      <c r="J505" s="10" t="str">
        <f t="shared" si="79"/>
        <v/>
      </c>
      <c r="K505" s="11" t="str">
        <f t="shared" si="78"/>
        <v/>
      </c>
      <c r="M505" t="str">
        <f>IFERROR(MATCH($C$5&amp;"|"&amp;RIGHT("000000"&amp;489,6),CalcRankKeyA,0),"")</f>
        <v/>
      </c>
      <c r="N505" t="str">
        <f>IFERROR(MATCH($C$5&amp;"|"&amp;RIGHT("000000"&amp;489,6),CalcRankKeyB,0),"")</f>
        <v/>
      </c>
    </row>
    <row r="506" spans="1:14" x14ac:dyDescent="0.2">
      <c r="A506" s="12">
        <v>490</v>
      </c>
      <c r="B506" s="13" t="str">
        <f t="shared" si="70"/>
        <v/>
      </c>
      <c r="C506" s="13" t="str">
        <f t="shared" si="71"/>
        <v/>
      </c>
      <c r="D506" s="13" t="str">
        <f t="shared" si="72"/>
        <v/>
      </c>
      <c r="E506" s="14" t="str">
        <f t="shared" si="73"/>
        <v/>
      </c>
      <c r="F506" s="14" t="str">
        <f t="shared" si="74"/>
        <v/>
      </c>
      <c r="G506" s="14" t="str">
        <f t="shared" si="75"/>
        <v/>
      </c>
      <c r="H506" s="14" t="str">
        <f t="shared" si="76"/>
        <v/>
      </c>
      <c r="I506" s="15" t="str">
        <f t="shared" si="77"/>
        <v/>
      </c>
      <c r="J506" s="15" t="str">
        <f t="shared" si="79"/>
        <v/>
      </c>
      <c r="K506" s="16" t="str">
        <f t="shared" si="78"/>
        <v/>
      </c>
      <c r="M506" t="str">
        <f>IFERROR(MATCH($C$5&amp;"|"&amp;RIGHT("000000"&amp;490,6),CalcRankKeyA,0),"")</f>
        <v/>
      </c>
      <c r="N506" t="str">
        <f>IFERROR(MATCH($C$5&amp;"|"&amp;RIGHT("000000"&amp;490,6),CalcRankKeyB,0),"")</f>
        <v/>
      </c>
    </row>
    <row r="507" spans="1:14" x14ac:dyDescent="0.2">
      <c r="A507" s="7">
        <v>491</v>
      </c>
      <c r="B507" s="8" t="str">
        <f t="shared" si="70"/>
        <v/>
      </c>
      <c r="C507" s="8" t="str">
        <f t="shared" si="71"/>
        <v/>
      </c>
      <c r="D507" s="8" t="str">
        <f t="shared" si="72"/>
        <v/>
      </c>
      <c r="E507" s="9" t="str">
        <f t="shared" si="73"/>
        <v/>
      </c>
      <c r="F507" s="9" t="str">
        <f t="shared" si="74"/>
        <v/>
      </c>
      <c r="G507" s="9" t="str">
        <f t="shared" si="75"/>
        <v/>
      </c>
      <c r="H507" s="9" t="str">
        <f t="shared" si="76"/>
        <v/>
      </c>
      <c r="I507" s="10" t="str">
        <f t="shared" si="77"/>
        <v/>
      </c>
      <c r="J507" s="10" t="str">
        <f t="shared" si="79"/>
        <v/>
      </c>
      <c r="K507" s="11" t="str">
        <f t="shared" si="78"/>
        <v/>
      </c>
      <c r="M507" t="str">
        <f>IFERROR(MATCH($C$5&amp;"|"&amp;RIGHT("000000"&amp;491,6),CalcRankKeyA,0),"")</f>
        <v/>
      </c>
      <c r="N507" t="str">
        <f>IFERROR(MATCH($C$5&amp;"|"&amp;RIGHT("000000"&amp;491,6),CalcRankKeyB,0),"")</f>
        <v/>
      </c>
    </row>
    <row r="508" spans="1:14" x14ac:dyDescent="0.2">
      <c r="A508" s="12">
        <v>492</v>
      </c>
      <c r="B508" s="13" t="str">
        <f t="shared" si="70"/>
        <v/>
      </c>
      <c r="C508" s="13" t="str">
        <f t="shared" si="71"/>
        <v/>
      </c>
      <c r="D508" s="13" t="str">
        <f t="shared" si="72"/>
        <v/>
      </c>
      <c r="E508" s="14" t="str">
        <f t="shared" si="73"/>
        <v/>
      </c>
      <c r="F508" s="14" t="str">
        <f t="shared" si="74"/>
        <v/>
      </c>
      <c r="G508" s="14" t="str">
        <f t="shared" si="75"/>
        <v/>
      </c>
      <c r="H508" s="14" t="str">
        <f t="shared" si="76"/>
        <v/>
      </c>
      <c r="I508" s="15" t="str">
        <f t="shared" si="77"/>
        <v/>
      </c>
      <c r="J508" s="15" t="str">
        <f t="shared" si="79"/>
        <v/>
      </c>
      <c r="K508" s="16" t="str">
        <f t="shared" si="78"/>
        <v/>
      </c>
      <c r="M508" t="str">
        <f>IFERROR(MATCH($C$5&amp;"|"&amp;RIGHT("000000"&amp;492,6),CalcRankKeyA,0),"")</f>
        <v/>
      </c>
      <c r="N508" t="str">
        <f>IFERROR(MATCH($C$5&amp;"|"&amp;RIGHT("000000"&amp;492,6),CalcRankKeyB,0),"")</f>
        <v/>
      </c>
    </row>
    <row r="509" spans="1:14" x14ac:dyDescent="0.2">
      <c r="A509" s="7">
        <v>493</v>
      </c>
      <c r="B509" s="8" t="str">
        <f t="shared" si="70"/>
        <v/>
      </c>
      <c r="C509" s="8" t="str">
        <f t="shared" si="71"/>
        <v/>
      </c>
      <c r="D509" s="8" t="str">
        <f t="shared" si="72"/>
        <v/>
      </c>
      <c r="E509" s="9" t="str">
        <f t="shared" si="73"/>
        <v/>
      </c>
      <c r="F509" s="9" t="str">
        <f t="shared" si="74"/>
        <v/>
      </c>
      <c r="G509" s="9" t="str">
        <f t="shared" si="75"/>
        <v/>
      </c>
      <c r="H509" s="9" t="str">
        <f t="shared" si="76"/>
        <v/>
      </c>
      <c r="I509" s="10" t="str">
        <f t="shared" si="77"/>
        <v/>
      </c>
      <c r="J509" s="10" t="str">
        <f t="shared" si="79"/>
        <v/>
      </c>
      <c r="K509" s="11" t="str">
        <f t="shared" si="78"/>
        <v/>
      </c>
      <c r="M509" t="str">
        <f>IFERROR(MATCH($C$5&amp;"|"&amp;RIGHT("000000"&amp;493,6),CalcRankKeyA,0),"")</f>
        <v/>
      </c>
      <c r="N509" t="str">
        <f>IFERROR(MATCH($C$5&amp;"|"&amp;RIGHT("000000"&amp;493,6),CalcRankKeyB,0),"")</f>
        <v/>
      </c>
    </row>
    <row r="510" spans="1:14" x14ac:dyDescent="0.2">
      <c r="A510" s="12">
        <v>494</v>
      </c>
      <c r="B510" s="13" t="str">
        <f t="shared" si="70"/>
        <v/>
      </c>
      <c r="C510" s="13" t="str">
        <f t="shared" si="71"/>
        <v/>
      </c>
      <c r="D510" s="13" t="str">
        <f t="shared" si="72"/>
        <v/>
      </c>
      <c r="E510" s="14" t="str">
        <f t="shared" si="73"/>
        <v/>
      </c>
      <c r="F510" s="14" t="str">
        <f t="shared" si="74"/>
        <v/>
      </c>
      <c r="G510" s="14" t="str">
        <f t="shared" si="75"/>
        <v/>
      </c>
      <c r="H510" s="14" t="str">
        <f t="shared" si="76"/>
        <v/>
      </c>
      <c r="I510" s="15" t="str">
        <f t="shared" si="77"/>
        <v/>
      </c>
      <c r="J510" s="15" t="str">
        <f t="shared" si="79"/>
        <v/>
      </c>
      <c r="K510" s="16" t="str">
        <f t="shared" si="78"/>
        <v/>
      </c>
      <c r="M510" t="str">
        <f>IFERROR(MATCH($C$5&amp;"|"&amp;RIGHT("000000"&amp;494,6),CalcRankKeyA,0),"")</f>
        <v/>
      </c>
      <c r="N510" t="str">
        <f>IFERROR(MATCH($C$5&amp;"|"&amp;RIGHT("000000"&amp;494,6),CalcRankKeyB,0),"")</f>
        <v/>
      </c>
    </row>
    <row r="511" spans="1:14" x14ac:dyDescent="0.2">
      <c r="A511" s="7">
        <v>495</v>
      </c>
      <c r="B511" s="8" t="str">
        <f t="shared" si="70"/>
        <v/>
      </c>
      <c r="C511" s="8" t="str">
        <f t="shared" si="71"/>
        <v/>
      </c>
      <c r="D511" s="8" t="str">
        <f t="shared" si="72"/>
        <v/>
      </c>
      <c r="E511" s="9" t="str">
        <f t="shared" si="73"/>
        <v/>
      </c>
      <c r="F511" s="9" t="str">
        <f t="shared" si="74"/>
        <v/>
      </c>
      <c r="G511" s="9" t="str">
        <f t="shared" si="75"/>
        <v/>
      </c>
      <c r="H511" s="9" t="str">
        <f t="shared" si="76"/>
        <v/>
      </c>
      <c r="I511" s="10" t="str">
        <f t="shared" si="77"/>
        <v/>
      </c>
      <c r="J511" s="10" t="str">
        <f t="shared" si="79"/>
        <v/>
      </c>
      <c r="K511" s="11" t="str">
        <f t="shared" si="78"/>
        <v/>
      </c>
      <c r="M511" t="str">
        <f>IFERROR(MATCH($C$5&amp;"|"&amp;RIGHT("000000"&amp;495,6),CalcRankKeyA,0),"")</f>
        <v/>
      </c>
      <c r="N511" t="str">
        <f>IFERROR(MATCH($C$5&amp;"|"&amp;RIGHT("000000"&amp;495,6),CalcRankKeyB,0),"")</f>
        <v/>
      </c>
    </row>
    <row r="512" spans="1:14" x14ac:dyDescent="0.2">
      <c r="A512" s="12">
        <v>496</v>
      </c>
      <c r="B512" s="13" t="str">
        <f t="shared" si="70"/>
        <v/>
      </c>
      <c r="C512" s="13" t="str">
        <f t="shared" si="71"/>
        <v/>
      </c>
      <c r="D512" s="13" t="str">
        <f t="shared" si="72"/>
        <v/>
      </c>
      <c r="E512" s="14" t="str">
        <f t="shared" si="73"/>
        <v/>
      </c>
      <c r="F512" s="14" t="str">
        <f t="shared" si="74"/>
        <v/>
      </c>
      <c r="G512" s="14" t="str">
        <f t="shared" si="75"/>
        <v/>
      </c>
      <c r="H512" s="14" t="str">
        <f t="shared" si="76"/>
        <v/>
      </c>
      <c r="I512" s="15" t="str">
        <f t="shared" si="77"/>
        <v/>
      </c>
      <c r="J512" s="15" t="str">
        <f t="shared" si="79"/>
        <v/>
      </c>
      <c r="K512" s="16" t="str">
        <f t="shared" si="78"/>
        <v/>
      </c>
      <c r="M512" t="str">
        <f>IFERROR(MATCH($C$5&amp;"|"&amp;RIGHT("000000"&amp;496,6),CalcRankKeyA,0),"")</f>
        <v/>
      </c>
      <c r="N512" t="str">
        <f>IFERROR(MATCH($C$5&amp;"|"&amp;RIGHT("000000"&amp;496,6),CalcRankKeyB,0),"")</f>
        <v/>
      </c>
    </row>
    <row r="513" spans="1:14" x14ac:dyDescent="0.2">
      <c r="A513" s="7">
        <v>497</v>
      </c>
      <c r="B513" s="8" t="str">
        <f t="shared" si="70"/>
        <v/>
      </c>
      <c r="C513" s="8" t="str">
        <f t="shared" si="71"/>
        <v/>
      </c>
      <c r="D513" s="8" t="str">
        <f t="shared" si="72"/>
        <v/>
      </c>
      <c r="E513" s="9" t="str">
        <f t="shared" si="73"/>
        <v/>
      </c>
      <c r="F513" s="9" t="str">
        <f t="shared" si="74"/>
        <v/>
      </c>
      <c r="G513" s="9" t="str">
        <f t="shared" si="75"/>
        <v/>
      </c>
      <c r="H513" s="9" t="str">
        <f t="shared" si="76"/>
        <v/>
      </c>
      <c r="I513" s="10" t="str">
        <f t="shared" si="77"/>
        <v/>
      </c>
      <c r="J513" s="10" t="str">
        <f t="shared" si="79"/>
        <v/>
      </c>
      <c r="K513" s="11" t="str">
        <f t="shared" si="78"/>
        <v/>
      </c>
      <c r="M513" t="str">
        <f>IFERROR(MATCH($C$5&amp;"|"&amp;RIGHT("000000"&amp;497,6),CalcRankKeyA,0),"")</f>
        <v/>
      </c>
      <c r="N513" t="str">
        <f>IFERROR(MATCH($C$5&amp;"|"&amp;RIGHT("000000"&amp;497,6),CalcRankKeyB,0),"")</f>
        <v/>
      </c>
    </row>
    <row r="514" spans="1:14" x14ac:dyDescent="0.2">
      <c r="A514" s="12">
        <v>498</v>
      </c>
      <c r="B514" s="13" t="str">
        <f t="shared" si="70"/>
        <v/>
      </c>
      <c r="C514" s="13" t="str">
        <f t="shared" si="71"/>
        <v/>
      </c>
      <c r="D514" s="13" t="str">
        <f t="shared" si="72"/>
        <v/>
      </c>
      <c r="E514" s="14" t="str">
        <f t="shared" si="73"/>
        <v/>
      </c>
      <c r="F514" s="14" t="str">
        <f t="shared" si="74"/>
        <v/>
      </c>
      <c r="G514" s="14" t="str">
        <f t="shared" si="75"/>
        <v/>
      </c>
      <c r="H514" s="14" t="str">
        <f t="shared" si="76"/>
        <v/>
      </c>
      <c r="I514" s="15" t="str">
        <f t="shared" si="77"/>
        <v/>
      </c>
      <c r="J514" s="15" t="str">
        <f t="shared" si="79"/>
        <v/>
      </c>
      <c r="K514" s="16" t="str">
        <f t="shared" si="78"/>
        <v/>
      </c>
      <c r="M514" t="str">
        <f>IFERROR(MATCH($C$5&amp;"|"&amp;RIGHT("000000"&amp;498,6),CalcRankKeyA,0),"")</f>
        <v/>
      </c>
      <c r="N514" t="str">
        <f>IFERROR(MATCH($C$5&amp;"|"&amp;RIGHT("000000"&amp;498,6),CalcRankKeyB,0),"")</f>
        <v/>
      </c>
    </row>
    <row r="515" spans="1:14" x14ac:dyDescent="0.2">
      <c r="A515" s="7">
        <v>499</v>
      </c>
      <c r="B515" s="8" t="str">
        <f t="shared" si="70"/>
        <v/>
      </c>
      <c r="C515" s="8" t="str">
        <f t="shared" si="71"/>
        <v/>
      </c>
      <c r="D515" s="8" t="str">
        <f t="shared" si="72"/>
        <v/>
      </c>
      <c r="E515" s="9" t="str">
        <f t="shared" si="73"/>
        <v/>
      </c>
      <c r="F515" s="9" t="str">
        <f t="shared" si="74"/>
        <v/>
      </c>
      <c r="G515" s="9" t="str">
        <f t="shared" si="75"/>
        <v/>
      </c>
      <c r="H515" s="9" t="str">
        <f t="shared" si="76"/>
        <v/>
      </c>
      <c r="I515" s="10" t="str">
        <f t="shared" si="77"/>
        <v/>
      </c>
      <c r="J515" s="10" t="str">
        <f t="shared" si="79"/>
        <v/>
      </c>
      <c r="K515" s="11" t="str">
        <f t="shared" si="78"/>
        <v/>
      </c>
      <c r="M515" t="str">
        <f>IFERROR(MATCH($C$5&amp;"|"&amp;RIGHT("000000"&amp;499,6),CalcRankKeyA,0),"")</f>
        <v/>
      </c>
      <c r="N515" t="str">
        <f>IFERROR(MATCH($C$5&amp;"|"&amp;RIGHT("000000"&amp;499,6),CalcRankKeyB,0),"")</f>
        <v/>
      </c>
    </row>
    <row r="516" spans="1:14" x14ac:dyDescent="0.2">
      <c r="A516" s="12">
        <v>500</v>
      </c>
      <c r="B516" s="13" t="str">
        <f t="shared" si="70"/>
        <v/>
      </c>
      <c r="C516" s="13" t="str">
        <f t="shared" si="71"/>
        <v/>
      </c>
      <c r="D516" s="13" t="str">
        <f t="shared" si="72"/>
        <v/>
      </c>
      <c r="E516" s="14" t="str">
        <f t="shared" si="73"/>
        <v/>
      </c>
      <c r="F516" s="14" t="str">
        <f t="shared" si="74"/>
        <v/>
      </c>
      <c r="G516" s="14" t="str">
        <f t="shared" si="75"/>
        <v/>
      </c>
      <c r="H516" s="14" t="str">
        <f t="shared" si="76"/>
        <v/>
      </c>
      <c r="I516" s="15" t="str">
        <f t="shared" si="77"/>
        <v/>
      </c>
      <c r="J516" s="15" t="str">
        <f t="shared" si="79"/>
        <v/>
      </c>
      <c r="K516" s="16" t="str">
        <f t="shared" si="78"/>
        <v/>
      </c>
      <c r="M516" t="str">
        <f>IFERROR(MATCH($C$5&amp;"|"&amp;RIGHT("000000"&amp;500,6),CalcRankKeyA,0),"")</f>
        <v/>
      </c>
      <c r="N516" t="str">
        <f>IFERROR(MATCH($C$5&amp;"|"&amp;RIGHT("000000"&amp;500,6),CalcRankKeyB,0),"")</f>
        <v/>
      </c>
    </row>
    <row r="517" spans="1:14" x14ac:dyDescent="0.2">
      <c r="A517" s="7">
        <v>501</v>
      </c>
      <c r="B517" s="8" t="str">
        <f t="shared" si="70"/>
        <v/>
      </c>
      <c r="C517" s="8" t="str">
        <f t="shared" si="71"/>
        <v/>
      </c>
      <c r="D517" s="8" t="str">
        <f t="shared" si="72"/>
        <v/>
      </c>
      <c r="E517" s="9" t="str">
        <f t="shared" si="73"/>
        <v/>
      </c>
      <c r="F517" s="9" t="str">
        <f t="shared" si="74"/>
        <v/>
      </c>
      <c r="G517" s="9" t="str">
        <f t="shared" si="75"/>
        <v/>
      </c>
      <c r="H517" s="9" t="str">
        <f t="shared" si="76"/>
        <v/>
      </c>
      <c r="I517" s="10" t="str">
        <f t="shared" si="77"/>
        <v/>
      </c>
      <c r="J517" s="10" t="str">
        <f t="shared" si="79"/>
        <v/>
      </c>
      <c r="K517" s="11" t="str">
        <f t="shared" si="78"/>
        <v/>
      </c>
      <c r="M517" t="str">
        <f>IFERROR(MATCH($C$5&amp;"|"&amp;RIGHT("000000"&amp;501,6),CalcRankKeyA,0),"")</f>
        <v/>
      </c>
      <c r="N517" t="str">
        <f>IFERROR(MATCH($C$5&amp;"|"&amp;RIGHT("000000"&amp;501,6),CalcRankKeyB,0),"")</f>
        <v/>
      </c>
    </row>
    <row r="518" spans="1:14" x14ac:dyDescent="0.2">
      <c r="A518" s="12">
        <v>502</v>
      </c>
      <c r="B518" s="13" t="str">
        <f t="shared" si="70"/>
        <v/>
      </c>
      <c r="C518" s="13" t="str">
        <f t="shared" si="71"/>
        <v/>
      </c>
      <c r="D518" s="13" t="str">
        <f t="shared" si="72"/>
        <v/>
      </c>
      <c r="E518" s="14" t="str">
        <f t="shared" si="73"/>
        <v/>
      </c>
      <c r="F518" s="14" t="str">
        <f t="shared" si="74"/>
        <v/>
      </c>
      <c r="G518" s="14" t="str">
        <f t="shared" si="75"/>
        <v/>
      </c>
      <c r="H518" s="14" t="str">
        <f t="shared" si="76"/>
        <v/>
      </c>
      <c r="I518" s="15" t="str">
        <f t="shared" si="77"/>
        <v/>
      </c>
      <c r="J518" s="15" t="str">
        <f t="shared" si="79"/>
        <v/>
      </c>
      <c r="K518" s="16" t="str">
        <f t="shared" si="78"/>
        <v/>
      </c>
      <c r="M518" t="str">
        <f>IFERROR(MATCH($C$5&amp;"|"&amp;RIGHT("000000"&amp;502,6),CalcRankKeyA,0),"")</f>
        <v/>
      </c>
      <c r="N518" t="str">
        <f>IFERROR(MATCH($C$5&amp;"|"&amp;RIGHT("000000"&amp;502,6),CalcRankKeyB,0),"")</f>
        <v/>
      </c>
    </row>
    <row r="519" spans="1:14" x14ac:dyDescent="0.2">
      <c r="A519" s="7">
        <v>503</v>
      </c>
      <c r="B519" s="8" t="str">
        <f t="shared" si="70"/>
        <v/>
      </c>
      <c r="C519" s="8" t="str">
        <f t="shared" si="71"/>
        <v/>
      </c>
      <c r="D519" s="8" t="str">
        <f t="shared" si="72"/>
        <v/>
      </c>
      <c r="E519" s="9" t="str">
        <f t="shared" si="73"/>
        <v/>
      </c>
      <c r="F519" s="9" t="str">
        <f t="shared" si="74"/>
        <v/>
      </c>
      <c r="G519" s="9" t="str">
        <f t="shared" si="75"/>
        <v/>
      </c>
      <c r="H519" s="9" t="str">
        <f t="shared" si="76"/>
        <v/>
      </c>
      <c r="I519" s="10" t="str">
        <f t="shared" si="77"/>
        <v/>
      </c>
      <c r="J519" s="10" t="str">
        <f t="shared" si="79"/>
        <v/>
      </c>
      <c r="K519" s="11" t="str">
        <f t="shared" si="78"/>
        <v/>
      </c>
      <c r="M519" t="str">
        <f>IFERROR(MATCH($C$5&amp;"|"&amp;RIGHT("000000"&amp;503,6),CalcRankKeyA,0),"")</f>
        <v/>
      </c>
      <c r="N519" t="str">
        <f>IFERROR(MATCH($C$5&amp;"|"&amp;RIGHT("000000"&amp;503,6),CalcRankKeyB,0),"")</f>
        <v/>
      </c>
    </row>
    <row r="520" spans="1:14" x14ac:dyDescent="0.2">
      <c r="A520" s="12">
        <v>504</v>
      </c>
      <c r="B520" s="13" t="str">
        <f t="shared" si="70"/>
        <v/>
      </c>
      <c r="C520" s="13" t="str">
        <f t="shared" si="71"/>
        <v/>
      </c>
      <c r="D520" s="13" t="str">
        <f t="shared" si="72"/>
        <v/>
      </c>
      <c r="E520" s="14" t="str">
        <f t="shared" si="73"/>
        <v/>
      </c>
      <c r="F520" s="14" t="str">
        <f t="shared" si="74"/>
        <v/>
      </c>
      <c r="G520" s="14" t="str">
        <f t="shared" si="75"/>
        <v/>
      </c>
      <c r="H520" s="14" t="str">
        <f t="shared" si="76"/>
        <v/>
      </c>
      <c r="I520" s="15" t="str">
        <f t="shared" si="77"/>
        <v/>
      </c>
      <c r="J520" s="15" t="str">
        <f t="shared" si="79"/>
        <v/>
      </c>
      <c r="K520" s="16" t="str">
        <f t="shared" si="78"/>
        <v/>
      </c>
      <c r="M520" t="str">
        <f>IFERROR(MATCH($C$5&amp;"|"&amp;RIGHT("000000"&amp;504,6),CalcRankKeyA,0),"")</f>
        <v/>
      </c>
      <c r="N520" t="str">
        <f>IFERROR(MATCH($C$5&amp;"|"&amp;RIGHT("000000"&amp;504,6),CalcRankKeyB,0),"")</f>
        <v/>
      </c>
    </row>
    <row r="521" spans="1:14" x14ac:dyDescent="0.2">
      <c r="A521" s="7">
        <v>505</v>
      </c>
      <c r="B521" s="8" t="str">
        <f t="shared" si="70"/>
        <v/>
      </c>
      <c r="C521" s="8" t="str">
        <f t="shared" si="71"/>
        <v/>
      </c>
      <c r="D521" s="8" t="str">
        <f t="shared" si="72"/>
        <v/>
      </c>
      <c r="E521" s="9" t="str">
        <f t="shared" si="73"/>
        <v/>
      </c>
      <c r="F521" s="9" t="str">
        <f t="shared" si="74"/>
        <v/>
      </c>
      <c r="G521" s="9" t="str">
        <f t="shared" si="75"/>
        <v/>
      </c>
      <c r="H521" s="9" t="str">
        <f t="shared" si="76"/>
        <v/>
      </c>
      <c r="I521" s="10" t="str">
        <f t="shared" si="77"/>
        <v/>
      </c>
      <c r="J521" s="10" t="str">
        <f t="shared" si="79"/>
        <v/>
      </c>
      <c r="K521" s="11" t="str">
        <f t="shared" si="78"/>
        <v/>
      </c>
      <c r="M521" t="str">
        <f>IFERROR(MATCH($C$5&amp;"|"&amp;RIGHT("000000"&amp;505,6),CalcRankKeyA,0),"")</f>
        <v/>
      </c>
      <c r="N521" t="str">
        <f>IFERROR(MATCH($C$5&amp;"|"&amp;RIGHT("000000"&amp;505,6),CalcRankKeyB,0),"")</f>
        <v/>
      </c>
    </row>
    <row r="522" spans="1:14" x14ac:dyDescent="0.2">
      <c r="A522" s="12">
        <v>506</v>
      </c>
      <c r="B522" s="13" t="str">
        <f t="shared" si="70"/>
        <v/>
      </c>
      <c r="C522" s="13" t="str">
        <f t="shared" si="71"/>
        <v/>
      </c>
      <c r="D522" s="13" t="str">
        <f t="shared" si="72"/>
        <v/>
      </c>
      <c r="E522" s="14" t="str">
        <f t="shared" si="73"/>
        <v/>
      </c>
      <c r="F522" s="14" t="str">
        <f t="shared" si="74"/>
        <v/>
      </c>
      <c r="G522" s="14" t="str">
        <f t="shared" si="75"/>
        <v/>
      </c>
      <c r="H522" s="14" t="str">
        <f t="shared" si="76"/>
        <v/>
      </c>
      <c r="I522" s="15" t="str">
        <f t="shared" si="77"/>
        <v/>
      </c>
      <c r="J522" s="15" t="str">
        <f t="shared" si="79"/>
        <v/>
      </c>
      <c r="K522" s="16" t="str">
        <f t="shared" si="78"/>
        <v/>
      </c>
      <c r="M522" t="str">
        <f>IFERROR(MATCH($C$5&amp;"|"&amp;RIGHT("000000"&amp;506,6),CalcRankKeyA,0),"")</f>
        <v/>
      </c>
      <c r="N522" t="str">
        <f>IFERROR(MATCH($C$5&amp;"|"&amp;RIGHT("000000"&amp;506,6),CalcRankKeyB,0),"")</f>
        <v/>
      </c>
    </row>
    <row r="523" spans="1:14" x14ac:dyDescent="0.2">
      <c r="A523" s="7">
        <v>507</v>
      </c>
      <c r="B523" s="8" t="str">
        <f t="shared" si="70"/>
        <v/>
      </c>
      <c r="C523" s="8" t="str">
        <f t="shared" si="71"/>
        <v/>
      </c>
      <c r="D523" s="8" t="str">
        <f t="shared" si="72"/>
        <v/>
      </c>
      <c r="E523" s="9" t="str">
        <f t="shared" si="73"/>
        <v/>
      </c>
      <c r="F523" s="9" t="str">
        <f t="shared" si="74"/>
        <v/>
      </c>
      <c r="G523" s="9" t="str">
        <f t="shared" si="75"/>
        <v/>
      </c>
      <c r="H523" s="9" t="str">
        <f t="shared" si="76"/>
        <v/>
      </c>
      <c r="I523" s="10" t="str">
        <f t="shared" si="77"/>
        <v/>
      </c>
      <c r="J523" s="10" t="str">
        <f t="shared" si="79"/>
        <v/>
      </c>
      <c r="K523" s="11" t="str">
        <f t="shared" si="78"/>
        <v/>
      </c>
      <c r="M523" t="str">
        <f>IFERROR(MATCH($C$5&amp;"|"&amp;RIGHT("000000"&amp;507,6),CalcRankKeyA,0),"")</f>
        <v/>
      </c>
      <c r="N523" t="str">
        <f>IFERROR(MATCH($C$5&amp;"|"&amp;RIGHT("000000"&amp;507,6),CalcRankKeyB,0),"")</f>
        <v/>
      </c>
    </row>
    <row r="524" spans="1:14" x14ac:dyDescent="0.2">
      <c r="A524" s="12">
        <v>508</v>
      </c>
      <c r="B524" s="13" t="str">
        <f t="shared" si="70"/>
        <v/>
      </c>
      <c r="C524" s="13" t="str">
        <f t="shared" si="71"/>
        <v/>
      </c>
      <c r="D524" s="13" t="str">
        <f t="shared" si="72"/>
        <v/>
      </c>
      <c r="E524" s="14" t="str">
        <f t="shared" si="73"/>
        <v/>
      </c>
      <c r="F524" s="14" t="str">
        <f t="shared" si="74"/>
        <v/>
      </c>
      <c r="G524" s="14" t="str">
        <f t="shared" si="75"/>
        <v/>
      </c>
      <c r="H524" s="14" t="str">
        <f t="shared" si="76"/>
        <v/>
      </c>
      <c r="I524" s="15" t="str">
        <f t="shared" si="77"/>
        <v/>
      </c>
      <c r="J524" s="15" t="str">
        <f t="shared" si="79"/>
        <v/>
      </c>
      <c r="K524" s="16" t="str">
        <f t="shared" si="78"/>
        <v/>
      </c>
      <c r="M524" t="str">
        <f>IFERROR(MATCH($C$5&amp;"|"&amp;RIGHT("000000"&amp;508,6),CalcRankKeyA,0),"")</f>
        <v/>
      </c>
      <c r="N524" t="str">
        <f>IFERROR(MATCH($C$5&amp;"|"&amp;RIGHT("000000"&amp;508,6),CalcRankKeyB,0),"")</f>
        <v/>
      </c>
    </row>
    <row r="525" spans="1:14" x14ac:dyDescent="0.2">
      <c r="A525" s="7">
        <v>509</v>
      </c>
      <c r="B525" s="8" t="str">
        <f t="shared" si="70"/>
        <v/>
      </c>
      <c r="C525" s="8" t="str">
        <f t="shared" si="71"/>
        <v/>
      </c>
      <c r="D525" s="8" t="str">
        <f t="shared" si="72"/>
        <v/>
      </c>
      <c r="E525" s="9" t="str">
        <f t="shared" si="73"/>
        <v/>
      </c>
      <c r="F525" s="9" t="str">
        <f t="shared" si="74"/>
        <v/>
      </c>
      <c r="G525" s="9" t="str">
        <f t="shared" si="75"/>
        <v/>
      </c>
      <c r="H525" s="9" t="str">
        <f t="shared" si="76"/>
        <v/>
      </c>
      <c r="I525" s="10" t="str">
        <f t="shared" si="77"/>
        <v/>
      </c>
      <c r="J525" s="10" t="str">
        <f t="shared" si="79"/>
        <v/>
      </c>
      <c r="K525" s="11" t="str">
        <f t="shared" si="78"/>
        <v/>
      </c>
      <c r="M525" t="str">
        <f>IFERROR(MATCH($C$5&amp;"|"&amp;RIGHT("000000"&amp;509,6),CalcRankKeyA,0),"")</f>
        <v/>
      </c>
      <c r="N525" t="str">
        <f>IFERROR(MATCH($C$5&amp;"|"&amp;RIGHT("000000"&amp;509,6),CalcRankKeyB,0),"")</f>
        <v/>
      </c>
    </row>
    <row r="526" spans="1:14" x14ac:dyDescent="0.2">
      <c r="A526" s="12">
        <v>510</v>
      </c>
      <c r="B526" s="13" t="str">
        <f t="shared" si="70"/>
        <v/>
      </c>
      <c r="C526" s="13" t="str">
        <f t="shared" si="71"/>
        <v/>
      </c>
      <c r="D526" s="13" t="str">
        <f t="shared" si="72"/>
        <v/>
      </c>
      <c r="E526" s="14" t="str">
        <f t="shared" si="73"/>
        <v/>
      </c>
      <c r="F526" s="14" t="str">
        <f t="shared" si="74"/>
        <v/>
      </c>
      <c r="G526" s="14" t="str">
        <f t="shared" si="75"/>
        <v/>
      </c>
      <c r="H526" s="14" t="str">
        <f t="shared" si="76"/>
        <v/>
      </c>
      <c r="I526" s="15" t="str">
        <f t="shared" si="77"/>
        <v/>
      </c>
      <c r="J526" s="15" t="str">
        <f t="shared" si="79"/>
        <v/>
      </c>
      <c r="K526" s="16" t="str">
        <f t="shared" si="78"/>
        <v/>
      </c>
      <c r="M526" t="str">
        <f>IFERROR(MATCH($C$5&amp;"|"&amp;RIGHT("000000"&amp;510,6),CalcRankKeyA,0),"")</f>
        <v/>
      </c>
      <c r="N526" t="str">
        <f>IFERROR(MATCH($C$5&amp;"|"&amp;RIGHT("000000"&amp;510,6),CalcRankKeyB,0),"")</f>
        <v/>
      </c>
    </row>
    <row r="527" spans="1:14" x14ac:dyDescent="0.2">
      <c r="A527" s="7">
        <v>511</v>
      </c>
      <c r="B527" s="8" t="str">
        <f t="shared" si="70"/>
        <v/>
      </c>
      <c r="C527" s="8" t="str">
        <f t="shared" si="71"/>
        <v/>
      </c>
      <c r="D527" s="8" t="str">
        <f t="shared" si="72"/>
        <v/>
      </c>
      <c r="E527" s="9" t="str">
        <f t="shared" si="73"/>
        <v/>
      </c>
      <c r="F527" s="9" t="str">
        <f t="shared" si="74"/>
        <v/>
      </c>
      <c r="G527" s="9" t="str">
        <f t="shared" si="75"/>
        <v/>
      </c>
      <c r="H527" s="9" t="str">
        <f t="shared" si="76"/>
        <v/>
      </c>
      <c r="I527" s="10" t="str">
        <f t="shared" si="77"/>
        <v/>
      </c>
      <c r="J527" s="10" t="str">
        <f t="shared" si="79"/>
        <v/>
      </c>
      <c r="K527" s="11" t="str">
        <f t="shared" si="78"/>
        <v/>
      </c>
      <c r="M527" t="str">
        <f>IFERROR(MATCH($C$5&amp;"|"&amp;RIGHT("000000"&amp;511,6),CalcRankKeyA,0),"")</f>
        <v/>
      </c>
      <c r="N527" t="str">
        <f>IFERROR(MATCH($C$5&amp;"|"&amp;RIGHT("000000"&amp;511,6),CalcRankKeyB,0),"")</f>
        <v/>
      </c>
    </row>
    <row r="528" spans="1:14" x14ac:dyDescent="0.2">
      <c r="A528" s="12">
        <v>512</v>
      </c>
      <c r="B528" s="13" t="str">
        <f t="shared" si="70"/>
        <v/>
      </c>
      <c r="C528" s="13" t="str">
        <f t="shared" si="71"/>
        <v/>
      </c>
      <c r="D528" s="13" t="str">
        <f t="shared" si="72"/>
        <v/>
      </c>
      <c r="E528" s="14" t="str">
        <f t="shared" si="73"/>
        <v/>
      </c>
      <c r="F528" s="14" t="str">
        <f t="shared" si="74"/>
        <v/>
      </c>
      <c r="G528" s="14" t="str">
        <f t="shared" si="75"/>
        <v/>
      </c>
      <c r="H528" s="14" t="str">
        <f t="shared" si="76"/>
        <v/>
      </c>
      <c r="I528" s="15" t="str">
        <f t="shared" si="77"/>
        <v/>
      </c>
      <c r="J528" s="15" t="str">
        <f t="shared" si="79"/>
        <v/>
      </c>
      <c r="K528" s="16" t="str">
        <f t="shared" si="78"/>
        <v/>
      </c>
      <c r="M528" t="str">
        <f>IFERROR(MATCH($C$5&amp;"|"&amp;RIGHT("000000"&amp;512,6),CalcRankKeyA,0),"")</f>
        <v/>
      </c>
      <c r="N528" t="str">
        <f>IFERROR(MATCH($C$5&amp;"|"&amp;RIGHT("000000"&amp;512,6),CalcRankKeyB,0),"")</f>
        <v/>
      </c>
    </row>
    <row r="529" spans="1:14" x14ac:dyDescent="0.2">
      <c r="A529" s="7">
        <v>513</v>
      </c>
      <c r="B529" s="8" t="str">
        <f t="shared" ref="B529:B592" si="80">IF(AND($M529="",$N529=""),"",IF($M529&lt;&gt;"",INDEX(CalcDateA,$M529),INDEX(CalcDateB,$N529)))</f>
        <v/>
      </c>
      <c r="C529" s="8" t="str">
        <f t="shared" ref="C529:C592" si="81">IF($M529&lt;&gt;"","خرید سبد",IF($N529&lt;&gt;"",IF(N(INDEX(CalcDepB,$N529))&gt;0,"دریافت بانکی","پرداخت بانکی"),""))</f>
        <v/>
      </c>
      <c r="D529" s="8" t="str">
        <f t="shared" ref="D529:D592" si="82">IF($M529&lt;&gt;"",IF(INDEX(CalcDocA,$M529)="","—",INDEX(CalcDocA,$M529)),IF($N529&lt;&gt;"",INDEX(CalcBankB,$N529),""))</f>
        <v/>
      </c>
      <c r="E529" s="9" t="str">
        <f t="shared" ref="E529:E592" si="83">IF($N529&lt;&gt;"",IF(INDEX(CalcDepB,$N529)=0,"",INDEX(CalcDepB,$N529)),"")</f>
        <v/>
      </c>
      <c r="F529" s="9" t="str">
        <f t="shared" ref="F529:F592" si="84">IF($M529&lt;&gt;"",IF(INDEX(CalcQtyA,$M529)=0,"",INDEX(CalcQtyA,$M529)),"")</f>
        <v/>
      </c>
      <c r="G529" s="9" t="str">
        <f t="shared" ref="G529:G592" si="85">IF($M529&lt;&gt;"",IF(INDEX(CalcPriceA,$M529)=0,"",INDEX(CalcPriceA,$M529)),"")</f>
        <v/>
      </c>
      <c r="H529" s="9" t="str">
        <f t="shared" ref="H529:H592" si="86">IF($N529&lt;&gt;"",IF(INDEX(CalcWitB,$N529)=0,"",INDEX(CalcWitB,$N529)),"")</f>
        <v/>
      </c>
      <c r="I529" s="10" t="str">
        <f t="shared" ref="I529:I592" si="87">IF($M529&lt;&gt;"",INDEX(CalcAmtA,$M529),"")</f>
        <v/>
      </c>
      <c r="J529" s="10" t="str">
        <f t="shared" si="79"/>
        <v/>
      </c>
      <c r="K529" s="11" t="str">
        <f t="shared" ref="K529:K592" si="88">IF($M529&lt;&gt;"",IF(INDEX(CalcNoteA,$M529)="","—",INDEX(CalcNoteA,$M529)),IF($N529&lt;&gt;"",IF(INDEX(CalcNoteB,$N529)="","—",INDEX(CalcNoteB,$N529)),""))</f>
        <v/>
      </c>
      <c r="M529" t="str">
        <f>IFERROR(MATCH($C$5&amp;"|"&amp;RIGHT("000000"&amp;513,6),CalcRankKeyA,0),"")</f>
        <v/>
      </c>
      <c r="N529" t="str">
        <f>IFERROR(MATCH($C$5&amp;"|"&amp;RIGHT("000000"&amp;513,6),CalcRankKeyB,0),"")</f>
        <v/>
      </c>
    </row>
    <row r="530" spans="1:14" x14ac:dyDescent="0.2">
      <c r="A530" s="12">
        <v>514</v>
      </c>
      <c r="B530" s="13" t="str">
        <f t="shared" si="80"/>
        <v/>
      </c>
      <c r="C530" s="13" t="str">
        <f t="shared" si="81"/>
        <v/>
      </c>
      <c r="D530" s="13" t="str">
        <f t="shared" si="82"/>
        <v/>
      </c>
      <c r="E530" s="14" t="str">
        <f t="shared" si="83"/>
        <v/>
      </c>
      <c r="F530" s="14" t="str">
        <f t="shared" si="84"/>
        <v/>
      </c>
      <c r="G530" s="14" t="str">
        <f t="shared" si="85"/>
        <v/>
      </c>
      <c r="H530" s="14" t="str">
        <f t="shared" si="86"/>
        <v/>
      </c>
      <c r="I530" s="15" t="str">
        <f t="shared" si="87"/>
        <v/>
      </c>
      <c r="J530" s="15" t="str">
        <f t="shared" ref="J530:J593" si="89">IF($B530="","",IF($J529="",$C$8,$J529)+IF($I530="",0,$I530)+IF($E530="",0,$E530)-IF($H530="",0,$H530))</f>
        <v/>
      </c>
      <c r="K530" s="16" t="str">
        <f t="shared" si="88"/>
        <v/>
      </c>
      <c r="M530" t="str">
        <f>IFERROR(MATCH($C$5&amp;"|"&amp;RIGHT("000000"&amp;514,6),CalcRankKeyA,0),"")</f>
        <v/>
      </c>
      <c r="N530" t="str">
        <f>IFERROR(MATCH($C$5&amp;"|"&amp;RIGHT("000000"&amp;514,6),CalcRankKeyB,0),"")</f>
        <v/>
      </c>
    </row>
    <row r="531" spans="1:14" x14ac:dyDescent="0.2">
      <c r="A531" s="7">
        <v>515</v>
      </c>
      <c r="B531" s="8" t="str">
        <f t="shared" si="80"/>
        <v/>
      </c>
      <c r="C531" s="8" t="str">
        <f t="shared" si="81"/>
        <v/>
      </c>
      <c r="D531" s="8" t="str">
        <f t="shared" si="82"/>
        <v/>
      </c>
      <c r="E531" s="9" t="str">
        <f t="shared" si="83"/>
        <v/>
      </c>
      <c r="F531" s="9" t="str">
        <f t="shared" si="84"/>
        <v/>
      </c>
      <c r="G531" s="9" t="str">
        <f t="shared" si="85"/>
        <v/>
      </c>
      <c r="H531" s="9" t="str">
        <f t="shared" si="86"/>
        <v/>
      </c>
      <c r="I531" s="10" t="str">
        <f t="shared" si="87"/>
        <v/>
      </c>
      <c r="J531" s="10" t="str">
        <f t="shared" si="89"/>
        <v/>
      </c>
      <c r="K531" s="11" t="str">
        <f t="shared" si="88"/>
        <v/>
      </c>
      <c r="M531" t="str">
        <f>IFERROR(MATCH($C$5&amp;"|"&amp;RIGHT("000000"&amp;515,6),CalcRankKeyA,0),"")</f>
        <v/>
      </c>
      <c r="N531" t="str">
        <f>IFERROR(MATCH($C$5&amp;"|"&amp;RIGHT("000000"&amp;515,6),CalcRankKeyB,0),"")</f>
        <v/>
      </c>
    </row>
    <row r="532" spans="1:14" x14ac:dyDescent="0.2">
      <c r="A532" s="12">
        <v>516</v>
      </c>
      <c r="B532" s="13" t="str">
        <f t="shared" si="80"/>
        <v/>
      </c>
      <c r="C532" s="13" t="str">
        <f t="shared" si="81"/>
        <v/>
      </c>
      <c r="D532" s="13" t="str">
        <f t="shared" si="82"/>
        <v/>
      </c>
      <c r="E532" s="14" t="str">
        <f t="shared" si="83"/>
        <v/>
      </c>
      <c r="F532" s="14" t="str">
        <f t="shared" si="84"/>
        <v/>
      </c>
      <c r="G532" s="14" t="str">
        <f t="shared" si="85"/>
        <v/>
      </c>
      <c r="H532" s="14" t="str">
        <f t="shared" si="86"/>
        <v/>
      </c>
      <c r="I532" s="15" t="str">
        <f t="shared" si="87"/>
        <v/>
      </c>
      <c r="J532" s="15" t="str">
        <f t="shared" si="89"/>
        <v/>
      </c>
      <c r="K532" s="16" t="str">
        <f t="shared" si="88"/>
        <v/>
      </c>
      <c r="M532" t="str">
        <f>IFERROR(MATCH($C$5&amp;"|"&amp;RIGHT("000000"&amp;516,6),CalcRankKeyA,0),"")</f>
        <v/>
      </c>
      <c r="N532" t="str">
        <f>IFERROR(MATCH($C$5&amp;"|"&amp;RIGHT("000000"&amp;516,6),CalcRankKeyB,0),"")</f>
        <v/>
      </c>
    </row>
    <row r="533" spans="1:14" x14ac:dyDescent="0.2">
      <c r="A533" s="7">
        <v>517</v>
      </c>
      <c r="B533" s="8" t="str">
        <f t="shared" si="80"/>
        <v/>
      </c>
      <c r="C533" s="8" t="str">
        <f t="shared" si="81"/>
        <v/>
      </c>
      <c r="D533" s="8" t="str">
        <f t="shared" si="82"/>
        <v/>
      </c>
      <c r="E533" s="9" t="str">
        <f t="shared" si="83"/>
        <v/>
      </c>
      <c r="F533" s="9" t="str">
        <f t="shared" si="84"/>
        <v/>
      </c>
      <c r="G533" s="9" t="str">
        <f t="shared" si="85"/>
        <v/>
      </c>
      <c r="H533" s="9" t="str">
        <f t="shared" si="86"/>
        <v/>
      </c>
      <c r="I533" s="10" t="str">
        <f t="shared" si="87"/>
        <v/>
      </c>
      <c r="J533" s="10" t="str">
        <f t="shared" si="89"/>
        <v/>
      </c>
      <c r="K533" s="11" t="str">
        <f t="shared" si="88"/>
        <v/>
      </c>
      <c r="M533" t="str">
        <f>IFERROR(MATCH($C$5&amp;"|"&amp;RIGHT("000000"&amp;517,6),CalcRankKeyA,0),"")</f>
        <v/>
      </c>
      <c r="N533" t="str">
        <f>IFERROR(MATCH($C$5&amp;"|"&amp;RIGHT("000000"&amp;517,6),CalcRankKeyB,0),"")</f>
        <v/>
      </c>
    </row>
    <row r="534" spans="1:14" x14ac:dyDescent="0.2">
      <c r="A534" s="12">
        <v>518</v>
      </c>
      <c r="B534" s="13" t="str">
        <f t="shared" si="80"/>
        <v/>
      </c>
      <c r="C534" s="13" t="str">
        <f t="shared" si="81"/>
        <v/>
      </c>
      <c r="D534" s="13" t="str">
        <f t="shared" si="82"/>
        <v/>
      </c>
      <c r="E534" s="14" t="str">
        <f t="shared" si="83"/>
        <v/>
      </c>
      <c r="F534" s="14" t="str">
        <f t="shared" si="84"/>
        <v/>
      </c>
      <c r="G534" s="14" t="str">
        <f t="shared" si="85"/>
        <v/>
      </c>
      <c r="H534" s="14" t="str">
        <f t="shared" si="86"/>
        <v/>
      </c>
      <c r="I534" s="15" t="str">
        <f t="shared" si="87"/>
        <v/>
      </c>
      <c r="J534" s="15" t="str">
        <f t="shared" si="89"/>
        <v/>
      </c>
      <c r="K534" s="16" t="str">
        <f t="shared" si="88"/>
        <v/>
      </c>
      <c r="M534" t="str">
        <f>IFERROR(MATCH($C$5&amp;"|"&amp;RIGHT("000000"&amp;518,6),CalcRankKeyA,0),"")</f>
        <v/>
      </c>
      <c r="N534" t="str">
        <f>IFERROR(MATCH($C$5&amp;"|"&amp;RIGHT("000000"&amp;518,6),CalcRankKeyB,0),"")</f>
        <v/>
      </c>
    </row>
    <row r="535" spans="1:14" x14ac:dyDescent="0.2">
      <c r="A535" s="7">
        <v>519</v>
      </c>
      <c r="B535" s="8" t="str">
        <f t="shared" si="80"/>
        <v/>
      </c>
      <c r="C535" s="8" t="str">
        <f t="shared" si="81"/>
        <v/>
      </c>
      <c r="D535" s="8" t="str">
        <f t="shared" si="82"/>
        <v/>
      </c>
      <c r="E535" s="9" t="str">
        <f t="shared" si="83"/>
        <v/>
      </c>
      <c r="F535" s="9" t="str">
        <f t="shared" si="84"/>
        <v/>
      </c>
      <c r="G535" s="9" t="str">
        <f t="shared" si="85"/>
        <v/>
      </c>
      <c r="H535" s="9" t="str">
        <f t="shared" si="86"/>
        <v/>
      </c>
      <c r="I535" s="10" t="str">
        <f t="shared" si="87"/>
        <v/>
      </c>
      <c r="J535" s="10" t="str">
        <f t="shared" si="89"/>
        <v/>
      </c>
      <c r="K535" s="11" t="str">
        <f t="shared" si="88"/>
        <v/>
      </c>
      <c r="M535" t="str">
        <f>IFERROR(MATCH($C$5&amp;"|"&amp;RIGHT("000000"&amp;519,6),CalcRankKeyA,0),"")</f>
        <v/>
      </c>
      <c r="N535" t="str">
        <f>IFERROR(MATCH($C$5&amp;"|"&amp;RIGHT("000000"&amp;519,6),CalcRankKeyB,0),"")</f>
        <v/>
      </c>
    </row>
    <row r="536" spans="1:14" x14ac:dyDescent="0.2">
      <c r="A536" s="12">
        <v>520</v>
      </c>
      <c r="B536" s="13" t="str">
        <f t="shared" si="80"/>
        <v/>
      </c>
      <c r="C536" s="13" t="str">
        <f t="shared" si="81"/>
        <v/>
      </c>
      <c r="D536" s="13" t="str">
        <f t="shared" si="82"/>
        <v/>
      </c>
      <c r="E536" s="14" t="str">
        <f t="shared" si="83"/>
        <v/>
      </c>
      <c r="F536" s="14" t="str">
        <f t="shared" si="84"/>
        <v/>
      </c>
      <c r="G536" s="14" t="str">
        <f t="shared" si="85"/>
        <v/>
      </c>
      <c r="H536" s="14" t="str">
        <f t="shared" si="86"/>
        <v/>
      </c>
      <c r="I536" s="15" t="str">
        <f t="shared" si="87"/>
        <v/>
      </c>
      <c r="J536" s="15" t="str">
        <f t="shared" si="89"/>
        <v/>
      </c>
      <c r="K536" s="16" t="str">
        <f t="shared" si="88"/>
        <v/>
      </c>
      <c r="M536" t="str">
        <f>IFERROR(MATCH($C$5&amp;"|"&amp;RIGHT("000000"&amp;520,6),CalcRankKeyA,0),"")</f>
        <v/>
      </c>
      <c r="N536" t="str">
        <f>IFERROR(MATCH($C$5&amp;"|"&amp;RIGHT("000000"&amp;520,6),CalcRankKeyB,0),"")</f>
        <v/>
      </c>
    </row>
    <row r="537" spans="1:14" x14ac:dyDescent="0.2">
      <c r="A537" s="7">
        <v>521</v>
      </c>
      <c r="B537" s="8" t="str">
        <f t="shared" si="80"/>
        <v/>
      </c>
      <c r="C537" s="8" t="str">
        <f t="shared" si="81"/>
        <v/>
      </c>
      <c r="D537" s="8" t="str">
        <f t="shared" si="82"/>
        <v/>
      </c>
      <c r="E537" s="9" t="str">
        <f t="shared" si="83"/>
        <v/>
      </c>
      <c r="F537" s="9" t="str">
        <f t="shared" si="84"/>
        <v/>
      </c>
      <c r="G537" s="9" t="str">
        <f t="shared" si="85"/>
        <v/>
      </c>
      <c r="H537" s="9" t="str">
        <f t="shared" si="86"/>
        <v/>
      </c>
      <c r="I537" s="10" t="str">
        <f t="shared" si="87"/>
        <v/>
      </c>
      <c r="J537" s="10" t="str">
        <f t="shared" si="89"/>
        <v/>
      </c>
      <c r="K537" s="11" t="str">
        <f t="shared" si="88"/>
        <v/>
      </c>
      <c r="M537" t="str">
        <f>IFERROR(MATCH($C$5&amp;"|"&amp;RIGHT("000000"&amp;521,6),CalcRankKeyA,0),"")</f>
        <v/>
      </c>
      <c r="N537" t="str">
        <f>IFERROR(MATCH($C$5&amp;"|"&amp;RIGHT("000000"&amp;521,6),CalcRankKeyB,0),"")</f>
        <v/>
      </c>
    </row>
    <row r="538" spans="1:14" x14ac:dyDescent="0.2">
      <c r="A538" s="12">
        <v>522</v>
      </c>
      <c r="B538" s="13" t="str">
        <f t="shared" si="80"/>
        <v/>
      </c>
      <c r="C538" s="13" t="str">
        <f t="shared" si="81"/>
        <v/>
      </c>
      <c r="D538" s="13" t="str">
        <f t="shared" si="82"/>
        <v/>
      </c>
      <c r="E538" s="14" t="str">
        <f t="shared" si="83"/>
        <v/>
      </c>
      <c r="F538" s="14" t="str">
        <f t="shared" si="84"/>
        <v/>
      </c>
      <c r="G538" s="14" t="str">
        <f t="shared" si="85"/>
        <v/>
      </c>
      <c r="H538" s="14" t="str">
        <f t="shared" si="86"/>
        <v/>
      </c>
      <c r="I538" s="15" t="str">
        <f t="shared" si="87"/>
        <v/>
      </c>
      <c r="J538" s="15" t="str">
        <f t="shared" si="89"/>
        <v/>
      </c>
      <c r="K538" s="16" t="str">
        <f t="shared" si="88"/>
        <v/>
      </c>
      <c r="M538" t="str">
        <f>IFERROR(MATCH($C$5&amp;"|"&amp;RIGHT("000000"&amp;522,6),CalcRankKeyA,0),"")</f>
        <v/>
      </c>
      <c r="N538" t="str">
        <f>IFERROR(MATCH($C$5&amp;"|"&amp;RIGHT("000000"&amp;522,6),CalcRankKeyB,0),"")</f>
        <v/>
      </c>
    </row>
    <row r="539" spans="1:14" x14ac:dyDescent="0.2">
      <c r="A539" s="7">
        <v>523</v>
      </c>
      <c r="B539" s="8" t="str">
        <f t="shared" si="80"/>
        <v/>
      </c>
      <c r="C539" s="8" t="str">
        <f t="shared" si="81"/>
        <v/>
      </c>
      <c r="D539" s="8" t="str">
        <f t="shared" si="82"/>
        <v/>
      </c>
      <c r="E539" s="9" t="str">
        <f t="shared" si="83"/>
        <v/>
      </c>
      <c r="F539" s="9" t="str">
        <f t="shared" si="84"/>
        <v/>
      </c>
      <c r="G539" s="9" t="str">
        <f t="shared" si="85"/>
        <v/>
      </c>
      <c r="H539" s="9" t="str">
        <f t="shared" si="86"/>
        <v/>
      </c>
      <c r="I539" s="10" t="str">
        <f t="shared" si="87"/>
        <v/>
      </c>
      <c r="J539" s="10" t="str">
        <f t="shared" si="89"/>
        <v/>
      </c>
      <c r="K539" s="11" t="str">
        <f t="shared" si="88"/>
        <v/>
      </c>
      <c r="M539" t="str">
        <f>IFERROR(MATCH($C$5&amp;"|"&amp;RIGHT("000000"&amp;523,6),CalcRankKeyA,0),"")</f>
        <v/>
      </c>
      <c r="N539" t="str">
        <f>IFERROR(MATCH($C$5&amp;"|"&amp;RIGHT("000000"&amp;523,6),CalcRankKeyB,0),"")</f>
        <v/>
      </c>
    </row>
    <row r="540" spans="1:14" x14ac:dyDescent="0.2">
      <c r="A540" s="12">
        <v>524</v>
      </c>
      <c r="B540" s="13" t="str">
        <f t="shared" si="80"/>
        <v/>
      </c>
      <c r="C540" s="13" t="str">
        <f t="shared" si="81"/>
        <v/>
      </c>
      <c r="D540" s="13" t="str">
        <f t="shared" si="82"/>
        <v/>
      </c>
      <c r="E540" s="14" t="str">
        <f t="shared" si="83"/>
        <v/>
      </c>
      <c r="F540" s="14" t="str">
        <f t="shared" si="84"/>
        <v/>
      </c>
      <c r="G540" s="14" t="str">
        <f t="shared" si="85"/>
        <v/>
      </c>
      <c r="H540" s="14" t="str">
        <f t="shared" si="86"/>
        <v/>
      </c>
      <c r="I540" s="15" t="str">
        <f t="shared" si="87"/>
        <v/>
      </c>
      <c r="J540" s="15" t="str">
        <f t="shared" si="89"/>
        <v/>
      </c>
      <c r="K540" s="16" t="str">
        <f t="shared" si="88"/>
        <v/>
      </c>
      <c r="M540" t="str">
        <f>IFERROR(MATCH($C$5&amp;"|"&amp;RIGHT("000000"&amp;524,6),CalcRankKeyA,0),"")</f>
        <v/>
      </c>
      <c r="N540" t="str">
        <f>IFERROR(MATCH($C$5&amp;"|"&amp;RIGHT("000000"&amp;524,6),CalcRankKeyB,0),"")</f>
        <v/>
      </c>
    </row>
    <row r="541" spans="1:14" x14ac:dyDescent="0.2">
      <c r="A541" s="7">
        <v>525</v>
      </c>
      <c r="B541" s="8" t="str">
        <f t="shared" si="80"/>
        <v/>
      </c>
      <c r="C541" s="8" t="str">
        <f t="shared" si="81"/>
        <v/>
      </c>
      <c r="D541" s="8" t="str">
        <f t="shared" si="82"/>
        <v/>
      </c>
      <c r="E541" s="9" t="str">
        <f t="shared" si="83"/>
        <v/>
      </c>
      <c r="F541" s="9" t="str">
        <f t="shared" si="84"/>
        <v/>
      </c>
      <c r="G541" s="9" t="str">
        <f t="shared" si="85"/>
        <v/>
      </c>
      <c r="H541" s="9" t="str">
        <f t="shared" si="86"/>
        <v/>
      </c>
      <c r="I541" s="10" t="str">
        <f t="shared" si="87"/>
        <v/>
      </c>
      <c r="J541" s="10" t="str">
        <f t="shared" si="89"/>
        <v/>
      </c>
      <c r="K541" s="11" t="str">
        <f t="shared" si="88"/>
        <v/>
      </c>
      <c r="M541" t="str">
        <f>IFERROR(MATCH($C$5&amp;"|"&amp;RIGHT("000000"&amp;525,6),CalcRankKeyA,0),"")</f>
        <v/>
      </c>
      <c r="N541" t="str">
        <f>IFERROR(MATCH($C$5&amp;"|"&amp;RIGHT("000000"&amp;525,6),CalcRankKeyB,0),"")</f>
        <v/>
      </c>
    </row>
    <row r="542" spans="1:14" x14ac:dyDescent="0.2">
      <c r="A542" s="12">
        <v>526</v>
      </c>
      <c r="B542" s="13" t="str">
        <f t="shared" si="80"/>
        <v/>
      </c>
      <c r="C542" s="13" t="str">
        <f t="shared" si="81"/>
        <v/>
      </c>
      <c r="D542" s="13" t="str">
        <f t="shared" si="82"/>
        <v/>
      </c>
      <c r="E542" s="14" t="str">
        <f t="shared" si="83"/>
        <v/>
      </c>
      <c r="F542" s="14" t="str">
        <f t="shared" si="84"/>
        <v/>
      </c>
      <c r="G542" s="14" t="str">
        <f t="shared" si="85"/>
        <v/>
      </c>
      <c r="H542" s="14" t="str">
        <f t="shared" si="86"/>
        <v/>
      </c>
      <c r="I542" s="15" t="str">
        <f t="shared" si="87"/>
        <v/>
      </c>
      <c r="J542" s="15" t="str">
        <f t="shared" si="89"/>
        <v/>
      </c>
      <c r="K542" s="16" t="str">
        <f t="shared" si="88"/>
        <v/>
      </c>
      <c r="M542" t="str">
        <f>IFERROR(MATCH($C$5&amp;"|"&amp;RIGHT("000000"&amp;526,6),CalcRankKeyA,0),"")</f>
        <v/>
      </c>
      <c r="N542" t="str">
        <f>IFERROR(MATCH($C$5&amp;"|"&amp;RIGHT("000000"&amp;526,6),CalcRankKeyB,0),"")</f>
        <v/>
      </c>
    </row>
    <row r="543" spans="1:14" x14ac:dyDescent="0.2">
      <c r="A543" s="7">
        <v>527</v>
      </c>
      <c r="B543" s="8" t="str">
        <f t="shared" si="80"/>
        <v/>
      </c>
      <c r="C543" s="8" t="str">
        <f t="shared" si="81"/>
        <v/>
      </c>
      <c r="D543" s="8" t="str">
        <f t="shared" si="82"/>
        <v/>
      </c>
      <c r="E543" s="9" t="str">
        <f t="shared" si="83"/>
        <v/>
      </c>
      <c r="F543" s="9" t="str">
        <f t="shared" si="84"/>
        <v/>
      </c>
      <c r="G543" s="9" t="str">
        <f t="shared" si="85"/>
        <v/>
      </c>
      <c r="H543" s="9" t="str">
        <f t="shared" si="86"/>
        <v/>
      </c>
      <c r="I543" s="10" t="str">
        <f t="shared" si="87"/>
        <v/>
      </c>
      <c r="J543" s="10" t="str">
        <f t="shared" si="89"/>
        <v/>
      </c>
      <c r="K543" s="11" t="str">
        <f t="shared" si="88"/>
        <v/>
      </c>
      <c r="M543" t="str">
        <f>IFERROR(MATCH($C$5&amp;"|"&amp;RIGHT("000000"&amp;527,6),CalcRankKeyA,0),"")</f>
        <v/>
      </c>
      <c r="N543" t="str">
        <f>IFERROR(MATCH($C$5&amp;"|"&amp;RIGHT("000000"&amp;527,6),CalcRankKeyB,0),"")</f>
        <v/>
      </c>
    </row>
    <row r="544" spans="1:14" x14ac:dyDescent="0.2">
      <c r="A544" s="12">
        <v>528</v>
      </c>
      <c r="B544" s="13" t="str">
        <f t="shared" si="80"/>
        <v/>
      </c>
      <c r="C544" s="13" t="str">
        <f t="shared" si="81"/>
        <v/>
      </c>
      <c r="D544" s="13" t="str">
        <f t="shared" si="82"/>
        <v/>
      </c>
      <c r="E544" s="14" t="str">
        <f t="shared" si="83"/>
        <v/>
      </c>
      <c r="F544" s="14" t="str">
        <f t="shared" si="84"/>
        <v/>
      </c>
      <c r="G544" s="14" t="str">
        <f t="shared" si="85"/>
        <v/>
      </c>
      <c r="H544" s="14" t="str">
        <f t="shared" si="86"/>
        <v/>
      </c>
      <c r="I544" s="15" t="str">
        <f t="shared" si="87"/>
        <v/>
      </c>
      <c r="J544" s="15" t="str">
        <f t="shared" si="89"/>
        <v/>
      </c>
      <c r="K544" s="16" t="str">
        <f t="shared" si="88"/>
        <v/>
      </c>
      <c r="M544" t="str">
        <f>IFERROR(MATCH($C$5&amp;"|"&amp;RIGHT("000000"&amp;528,6),CalcRankKeyA,0),"")</f>
        <v/>
      </c>
      <c r="N544" t="str">
        <f>IFERROR(MATCH($C$5&amp;"|"&amp;RIGHT("000000"&amp;528,6),CalcRankKeyB,0),"")</f>
        <v/>
      </c>
    </row>
    <row r="545" spans="1:14" x14ac:dyDescent="0.2">
      <c r="A545" s="7">
        <v>529</v>
      </c>
      <c r="B545" s="8" t="str">
        <f t="shared" si="80"/>
        <v/>
      </c>
      <c r="C545" s="8" t="str">
        <f t="shared" si="81"/>
        <v/>
      </c>
      <c r="D545" s="8" t="str">
        <f t="shared" si="82"/>
        <v/>
      </c>
      <c r="E545" s="9" t="str">
        <f t="shared" si="83"/>
        <v/>
      </c>
      <c r="F545" s="9" t="str">
        <f t="shared" si="84"/>
        <v/>
      </c>
      <c r="G545" s="9" t="str">
        <f t="shared" si="85"/>
        <v/>
      </c>
      <c r="H545" s="9" t="str">
        <f t="shared" si="86"/>
        <v/>
      </c>
      <c r="I545" s="10" t="str">
        <f t="shared" si="87"/>
        <v/>
      </c>
      <c r="J545" s="10" t="str">
        <f t="shared" si="89"/>
        <v/>
      </c>
      <c r="K545" s="11" t="str">
        <f t="shared" si="88"/>
        <v/>
      </c>
      <c r="M545" t="str">
        <f>IFERROR(MATCH($C$5&amp;"|"&amp;RIGHT("000000"&amp;529,6),CalcRankKeyA,0),"")</f>
        <v/>
      </c>
      <c r="N545" t="str">
        <f>IFERROR(MATCH($C$5&amp;"|"&amp;RIGHT("000000"&amp;529,6),CalcRankKeyB,0),"")</f>
        <v/>
      </c>
    </row>
    <row r="546" spans="1:14" x14ac:dyDescent="0.2">
      <c r="A546" s="12">
        <v>530</v>
      </c>
      <c r="B546" s="13" t="str">
        <f t="shared" si="80"/>
        <v/>
      </c>
      <c r="C546" s="13" t="str">
        <f t="shared" si="81"/>
        <v/>
      </c>
      <c r="D546" s="13" t="str">
        <f t="shared" si="82"/>
        <v/>
      </c>
      <c r="E546" s="14" t="str">
        <f t="shared" si="83"/>
        <v/>
      </c>
      <c r="F546" s="14" t="str">
        <f t="shared" si="84"/>
        <v/>
      </c>
      <c r="G546" s="14" t="str">
        <f t="shared" si="85"/>
        <v/>
      </c>
      <c r="H546" s="14" t="str">
        <f t="shared" si="86"/>
        <v/>
      </c>
      <c r="I546" s="15" t="str">
        <f t="shared" si="87"/>
        <v/>
      </c>
      <c r="J546" s="15" t="str">
        <f t="shared" si="89"/>
        <v/>
      </c>
      <c r="K546" s="16" t="str">
        <f t="shared" si="88"/>
        <v/>
      </c>
      <c r="M546" t="str">
        <f>IFERROR(MATCH($C$5&amp;"|"&amp;RIGHT("000000"&amp;530,6),CalcRankKeyA,0),"")</f>
        <v/>
      </c>
      <c r="N546" t="str">
        <f>IFERROR(MATCH($C$5&amp;"|"&amp;RIGHT("000000"&amp;530,6),CalcRankKeyB,0),"")</f>
        <v/>
      </c>
    </row>
    <row r="547" spans="1:14" x14ac:dyDescent="0.2">
      <c r="A547" s="7">
        <v>531</v>
      </c>
      <c r="B547" s="8" t="str">
        <f t="shared" si="80"/>
        <v/>
      </c>
      <c r="C547" s="8" t="str">
        <f t="shared" si="81"/>
        <v/>
      </c>
      <c r="D547" s="8" t="str">
        <f t="shared" si="82"/>
        <v/>
      </c>
      <c r="E547" s="9" t="str">
        <f t="shared" si="83"/>
        <v/>
      </c>
      <c r="F547" s="9" t="str">
        <f t="shared" si="84"/>
        <v/>
      </c>
      <c r="G547" s="9" t="str">
        <f t="shared" si="85"/>
        <v/>
      </c>
      <c r="H547" s="9" t="str">
        <f t="shared" si="86"/>
        <v/>
      </c>
      <c r="I547" s="10" t="str">
        <f t="shared" si="87"/>
        <v/>
      </c>
      <c r="J547" s="10" t="str">
        <f t="shared" si="89"/>
        <v/>
      </c>
      <c r="K547" s="11" t="str">
        <f t="shared" si="88"/>
        <v/>
      </c>
      <c r="M547" t="str">
        <f>IFERROR(MATCH($C$5&amp;"|"&amp;RIGHT("000000"&amp;531,6),CalcRankKeyA,0),"")</f>
        <v/>
      </c>
      <c r="N547" t="str">
        <f>IFERROR(MATCH($C$5&amp;"|"&amp;RIGHT("000000"&amp;531,6),CalcRankKeyB,0),"")</f>
        <v/>
      </c>
    </row>
    <row r="548" spans="1:14" x14ac:dyDescent="0.2">
      <c r="A548" s="12">
        <v>532</v>
      </c>
      <c r="B548" s="13" t="str">
        <f t="shared" si="80"/>
        <v/>
      </c>
      <c r="C548" s="13" t="str">
        <f t="shared" si="81"/>
        <v/>
      </c>
      <c r="D548" s="13" t="str">
        <f t="shared" si="82"/>
        <v/>
      </c>
      <c r="E548" s="14" t="str">
        <f t="shared" si="83"/>
        <v/>
      </c>
      <c r="F548" s="14" t="str">
        <f t="shared" si="84"/>
        <v/>
      </c>
      <c r="G548" s="14" t="str">
        <f t="shared" si="85"/>
        <v/>
      </c>
      <c r="H548" s="14" t="str">
        <f t="shared" si="86"/>
        <v/>
      </c>
      <c r="I548" s="15" t="str">
        <f t="shared" si="87"/>
        <v/>
      </c>
      <c r="J548" s="15" t="str">
        <f t="shared" si="89"/>
        <v/>
      </c>
      <c r="K548" s="16" t="str">
        <f t="shared" si="88"/>
        <v/>
      </c>
      <c r="M548" t="str">
        <f>IFERROR(MATCH($C$5&amp;"|"&amp;RIGHT("000000"&amp;532,6),CalcRankKeyA,0),"")</f>
        <v/>
      </c>
      <c r="N548" t="str">
        <f>IFERROR(MATCH($C$5&amp;"|"&amp;RIGHT("000000"&amp;532,6),CalcRankKeyB,0),"")</f>
        <v/>
      </c>
    </row>
    <row r="549" spans="1:14" x14ac:dyDescent="0.2">
      <c r="A549" s="7">
        <v>533</v>
      </c>
      <c r="B549" s="8" t="str">
        <f t="shared" si="80"/>
        <v/>
      </c>
      <c r="C549" s="8" t="str">
        <f t="shared" si="81"/>
        <v/>
      </c>
      <c r="D549" s="8" t="str">
        <f t="shared" si="82"/>
        <v/>
      </c>
      <c r="E549" s="9" t="str">
        <f t="shared" si="83"/>
        <v/>
      </c>
      <c r="F549" s="9" t="str">
        <f t="shared" si="84"/>
        <v/>
      </c>
      <c r="G549" s="9" t="str">
        <f t="shared" si="85"/>
        <v/>
      </c>
      <c r="H549" s="9" t="str">
        <f t="shared" si="86"/>
        <v/>
      </c>
      <c r="I549" s="10" t="str">
        <f t="shared" si="87"/>
        <v/>
      </c>
      <c r="J549" s="10" t="str">
        <f t="shared" si="89"/>
        <v/>
      </c>
      <c r="K549" s="11" t="str">
        <f t="shared" si="88"/>
        <v/>
      </c>
      <c r="M549" t="str">
        <f>IFERROR(MATCH($C$5&amp;"|"&amp;RIGHT("000000"&amp;533,6),CalcRankKeyA,0),"")</f>
        <v/>
      </c>
      <c r="N549" t="str">
        <f>IFERROR(MATCH($C$5&amp;"|"&amp;RIGHT("000000"&amp;533,6),CalcRankKeyB,0),"")</f>
        <v/>
      </c>
    </row>
    <row r="550" spans="1:14" x14ac:dyDescent="0.2">
      <c r="A550" s="12">
        <v>534</v>
      </c>
      <c r="B550" s="13" t="str">
        <f t="shared" si="80"/>
        <v/>
      </c>
      <c r="C550" s="13" t="str">
        <f t="shared" si="81"/>
        <v/>
      </c>
      <c r="D550" s="13" t="str">
        <f t="shared" si="82"/>
        <v/>
      </c>
      <c r="E550" s="14" t="str">
        <f t="shared" si="83"/>
        <v/>
      </c>
      <c r="F550" s="14" t="str">
        <f t="shared" si="84"/>
        <v/>
      </c>
      <c r="G550" s="14" t="str">
        <f t="shared" si="85"/>
        <v/>
      </c>
      <c r="H550" s="14" t="str">
        <f t="shared" si="86"/>
        <v/>
      </c>
      <c r="I550" s="15" t="str">
        <f t="shared" si="87"/>
        <v/>
      </c>
      <c r="J550" s="15" t="str">
        <f t="shared" si="89"/>
        <v/>
      </c>
      <c r="K550" s="16" t="str">
        <f t="shared" si="88"/>
        <v/>
      </c>
      <c r="M550" t="str">
        <f>IFERROR(MATCH($C$5&amp;"|"&amp;RIGHT("000000"&amp;534,6),CalcRankKeyA,0),"")</f>
        <v/>
      </c>
      <c r="N550" t="str">
        <f>IFERROR(MATCH($C$5&amp;"|"&amp;RIGHT("000000"&amp;534,6),CalcRankKeyB,0),"")</f>
        <v/>
      </c>
    </row>
    <row r="551" spans="1:14" x14ac:dyDescent="0.2">
      <c r="A551" s="7">
        <v>535</v>
      </c>
      <c r="B551" s="8" t="str">
        <f t="shared" si="80"/>
        <v/>
      </c>
      <c r="C551" s="8" t="str">
        <f t="shared" si="81"/>
        <v/>
      </c>
      <c r="D551" s="8" t="str">
        <f t="shared" si="82"/>
        <v/>
      </c>
      <c r="E551" s="9" t="str">
        <f t="shared" si="83"/>
        <v/>
      </c>
      <c r="F551" s="9" t="str">
        <f t="shared" si="84"/>
        <v/>
      </c>
      <c r="G551" s="9" t="str">
        <f t="shared" si="85"/>
        <v/>
      </c>
      <c r="H551" s="9" t="str">
        <f t="shared" si="86"/>
        <v/>
      </c>
      <c r="I551" s="10" t="str">
        <f t="shared" si="87"/>
        <v/>
      </c>
      <c r="J551" s="10" t="str">
        <f t="shared" si="89"/>
        <v/>
      </c>
      <c r="K551" s="11" t="str">
        <f t="shared" si="88"/>
        <v/>
      </c>
      <c r="M551" t="str">
        <f>IFERROR(MATCH($C$5&amp;"|"&amp;RIGHT("000000"&amp;535,6),CalcRankKeyA,0),"")</f>
        <v/>
      </c>
      <c r="N551" t="str">
        <f>IFERROR(MATCH($C$5&amp;"|"&amp;RIGHT("000000"&amp;535,6),CalcRankKeyB,0),"")</f>
        <v/>
      </c>
    </row>
    <row r="552" spans="1:14" x14ac:dyDescent="0.2">
      <c r="A552" s="12">
        <v>536</v>
      </c>
      <c r="B552" s="13" t="str">
        <f t="shared" si="80"/>
        <v/>
      </c>
      <c r="C552" s="13" t="str">
        <f t="shared" si="81"/>
        <v/>
      </c>
      <c r="D552" s="13" t="str">
        <f t="shared" si="82"/>
        <v/>
      </c>
      <c r="E552" s="14" t="str">
        <f t="shared" si="83"/>
        <v/>
      </c>
      <c r="F552" s="14" t="str">
        <f t="shared" si="84"/>
        <v/>
      </c>
      <c r="G552" s="14" t="str">
        <f t="shared" si="85"/>
        <v/>
      </c>
      <c r="H552" s="14" t="str">
        <f t="shared" si="86"/>
        <v/>
      </c>
      <c r="I552" s="15" t="str">
        <f t="shared" si="87"/>
        <v/>
      </c>
      <c r="J552" s="15" t="str">
        <f t="shared" si="89"/>
        <v/>
      </c>
      <c r="K552" s="16" t="str">
        <f t="shared" si="88"/>
        <v/>
      </c>
      <c r="M552" t="str">
        <f>IFERROR(MATCH($C$5&amp;"|"&amp;RIGHT("000000"&amp;536,6),CalcRankKeyA,0),"")</f>
        <v/>
      </c>
      <c r="N552" t="str">
        <f>IFERROR(MATCH($C$5&amp;"|"&amp;RIGHT("000000"&amp;536,6),CalcRankKeyB,0),"")</f>
        <v/>
      </c>
    </row>
    <row r="553" spans="1:14" x14ac:dyDescent="0.2">
      <c r="A553" s="7">
        <v>537</v>
      </c>
      <c r="B553" s="8" t="str">
        <f t="shared" si="80"/>
        <v/>
      </c>
      <c r="C553" s="8" t="str">
        <f t="shared" si="81"/>
        <v/>
      </c>
      <c r="D553" s="8" t="str">
        <f t="shared" si="82"/>
        <v/>
      </c>
      <c r="E553" s="9" t="str">
        <f t="shared" si="83"/>
        <v/>
      </c>
      <c r="F553" s="9" t="str">
        <f t="shared" si="84"/>
        <v/>
      </c>
      <c r="G553" s="9" t="str">
        <f t="shared" si="85"/>
        <v/>
      </c>
      <c r="H553" s="9" t="str">
        <f t="shared" si="86"/>
        <v/>
      </c>
      <c r="I553" s="10" t="str">
        <f t="shared" si="87"/>
        <v/>
      </c>
      <c r="J553" s="10" t="str">
        <f t="shared" si="89"/>
        <v/>
      </c>
      <c r="K553" s="11" t="str">
        <f t="shared" si="88"/>
        <v/>
      </c>
      <c r="M553" t="str">
        <f>IFERROR(MATCH($C$5&amp;"|"&amp;RIGHT("000000"&amp;537,6),CalcRankKeyA,0),"")</f>
        <v/>
      </c>
      <c r="N553" t="str">
        <f>IFERROR(MATCH($C$5&amp;"|"&amp;RIGHT("000000"&amp;537,6),CalcRankKeyB,0),"")</f>
        <v/>
      </c>
    </row>
    <row r="554" spans="1:14" x14ac:dyDescent="0.2">
      <c r="A554" s="12">
        <v>538</v>
      </c>
      <c r="B554" s="13" t="str">
        <f t="shared" si="80"/>
        <v/>
      </c>
      <c r="C554" s="13" t="str">
        <f t="shared" si="81"/>
        <v/>
      </c>
      <c r="D554" s="13" t="str">
        <f t="shared" si="82"/>
        <v/>
      </c>
      <c r="E554" s="14" t="str">
        <f t="shared" si="83"/>
        <v/>
      </c>
      <c r="F554" s="14" t="str">
        <f t="shared" si="84"/>
        <v/>
      </c>
      <c r="G554" s="14" t="str">
        <f t="shared" si="85"/>
        <v/>
      </c>
      <c r="H554" s="14" t="str">
        <f t="shared" si="86"/>
        <v/>
      </c>
      <c r="I554" s="15" t="str">
        <f t="shared" si="87"/>
        <v/>
      </c>
      <c r="J554" s="15" t="str">
        <f t="shared" si="89"/>
        <v/>
      </c>
      <c r="K554" s="16" t="str">
        <f t="shared" si="88"/>
        <v/>
      </c>
      <c r="M554" t="str">
        <f>IFERROR(MATCH($C$5&amp;"|"&amp;RIGHT("000000"&amp;538,6),CalcRankKeyA,0),"")</f>
        <v/>
      </c>
      <c r="N554" t="str">
        <f>IFERROR(MATCH($C$5&amp;"|"&amp;RIGHT("000000"&amp;538,6),CalcRankKeyB,0),"")</f>
        <v/>
      </c>
    </row>
    <row r="555" spans="1:14" x14ac:dyDescent="0.2">
      <c r="A555" s="7">
        <v>539</v>
      </c>
      <c r="B555" s="8" t="str">
        <f t="shared" si="80"/>
        <v/>
      </c>
      <c r="C555" s="8" t="str">
        <f t="shared" si="81"/>
        <v/>
      </c>
      <c r="D555" s="8" t="str">
        <f t="shared" si="82"/>
        <v/>
      </c>
      <c r="E555" s="9" t="str">
        <f t="shared" si="83"/>
        <v/>
      </c>
      <c r="F555" s="9" t="str">
        <f t="shared" si="84"/>
        <v/>
      </c>
      <c r="G555" s="9" t="str">
        <f t="shared" si="85"/>
        <v/>
      </c>
      <c r="H555" s="9" t="str">
        <f t="shared" si="86"/>
        <v/>
      </c>
      <c r="I555" s="10" t="str">
        <f t="shared" si="87"/>
        <v/>
      </c>
      <c r="J555" s="10" t="str">
        <f t="shared" si="89"/>
        <v/>
      </c>
      <c r="K555" s="11" t="str">
        <f t="shared" si="88"/>
        <v/>
      </c>
      <c r="M555" t="str">
        <f>IFERROR(MATCH($C$5&amp;"|"&amp;RIGHT("000000"&amp;539,6),CalcRankKeyA,0),"")</f>
        <v/>
      </c>
      <c r="N555" t="str">
        <f>IFERROR(MATCH($C$5&amp;"|"&amp;RIGHT("000000"&amp;539,6),CalcRankKeyB,0),"")</f>
        <v/>
      </c>
    </row>
    <row r="556" spans="1:14" x14ac:dyDescent="0.2">
      <c r="A556" s="12">
        <v>540</v>
      </c>
      <c r="B556" s="13" t="str">
        <f t="shared" si="80"/>
        <v/>
      </c>
      <c r="C556" s="13" t="str">
        <f t="shared" si="81"/>
        <v/>
      </c>
      <c r="D556" s="13" t="str">
        <f t="shared" si="82"/>
        <v/>
      </c>
      <c r="E556" s="14" t="str">
        <f t="shared" si="83"/>
        <v/>
      </c>
      <c r="F556" s="14" t="str">
        <f t="shared" si="84"/>
        <v/>
      </c>
      <c r="G556" s="14" t="str">
        <f t="shared" si="85"/>
        <v/>
      </c>
      <c r="H556" s="14" t="str">
        <f t="shared" si="86"/>
        <v/>
      </c>
      <c r="I556" s="15" t="str">
        <f t="shared" si="87"/>
        <v/>
      </c>
      <c r="J556" s="15" t="str">
        <f t="shared" si="89"/>
        <v/>
      </c>
      <c r="K556" s="16" t="str">
        <f t="shared" si="88"/>
        <v/>
      </c>
      <c r="M556" t="str">
        <f>IFERROR(MATCH($C$5&amp;"|"&amp;RIGHT("000000"&amp;540,6),CalcRankKeyA,0),"")</f>
        <v/>
      </c>
      <c r="N556" t="str">
        <f>IFERROR(MATCH($C$5&amp;"|"&amp;RIGHT("000000"&amp;540,6),CalcRankKeyB,0),"")</f>
        <v/>
      </c>
    </row>
    <row r="557" spans="1:14" x14ac:dyDescent="0.2">
      <c r="A557" s="7">
        <v>541</v>
      </c>
      <c r="B557" s="8" t="str">
        <f t="shared" si="80"/>
        <v/>
      </c>
      <c r="C557" s="8" t="str">
        <f t="shared" si="81"/>
        <v/>
      </c>
      <c r="D557" s="8" t="str">
        <f t="shared" si="82"/>
        <v/>
      </c>
      <c r="E557" s="9" t="str">
        <f t="shared" si="83"/>
        <v/>
      </c>
      <c r="F557" s="9" t="str">
        <f t="shared" si="84"/>
        <v/>
      </c>
      <c r="G557" s="9" t="str">
        <f t="shared" si="85"/>
        <v/>
      </c>
      <c r="H557" s="9" t="str">
        <f t="shared" si="86"/>
        <v/>
      </c>
      <c r="I557" s="10" t="str">
        <f t="shared" si="87"/>
        <v/>
      </c>
      <c r="J557" s="10" t="str">
        <f t="shared" si="89"/>
        <v/>
      </c>
      <c r="K557" s="11" t="str">
        <f t="shared" si="88"/>
        <v/>
      </c>
      <c r="M557" t="str">
        <f>IFERROR(MATCH($C$5&amp;"|"&amp;RIGHT("000000"&amp;541,6),CalcRankKeyA,0),"")</f>
        <v/>
      </c>
      <c r="N557" t="str">
        <f>IFERROR(MATCH($C$5&amp;"|"&amp;RIGHT("000000"&amp;541,6),CalcRankKeyB,0),"")</f>
        <v/>
      </c>
    </row>
    <row r="558" spans="1:14" x14ac:dyDescent="0.2">
      <c r="A558" s="12">
        <v>542</v>
      </c>
      <c r="B558" s="13" t="str">
        <f t="shared" si="80"/>
        <v/>
      </c>
      <c r="C558" s="13" t="str">
        <f t="shared" si="81"/>
        <v/>
      </c>
      <c r="D558" s="13" t="str">
        <f t="shared" si="82"/>
        <v/>
      </c>
      <c r="E558" s="14" t="str">
        <f t="shared" si="83"/>
        <v/>
      </c>
      <c r="F558" s="14" t="str">
        <f t="shared" si="84"/>
        <v/>
      </c>
      <c r="G558" s="14" t="str">
        <f t="shared" si="85"/>
        <v/>
      </c>
      <c r="H558" s="14" t="str">
        <f t="shared" si="86"/>
        <v/>
      </c>
      <c r="I558" s="15" t="str">
        <f t="shared" si="87"/>
        <v/>
      </c>
      <c r="J558" s="15" t="str">
        <f t="shared" si="89"/>
        <v/>
      </c>
      <c r="K558" s="16" t="str">
        <f t="shared" si="88"/>
        <v/>
      </c>
      <c r="M558" t="str">
        <f>IFERROR(MATCH($C$5&amp;"|"&amp;RIGHT("000000"&amp;542,6),CalcRankKeyA,0),"")</f>
        <v/>
      </c>
      <c r="N558" t="str">
        <f>IFERROR(MATCH($C$5&amp;"|"&amp;RIGHT("000000"&amp;542,6),CalcRankKeyB,0),"")</f>
        <v/>
      </c>
    </row>
    <row r="559" spans="1:14" x14ac:dyDescent="0.2">
      <c r="A559" s="7">
        <v>543</v>
      </c>
      <c r="B559" s="8" t="str">
        <f t="shared" si="80"/>
        <v/>
      </c>
      <c r="C559" s="8" t="str">
        <f t="shared" si="81"/>
        <v/>
      </c>
      <c r="D559" s="8" t="str">
        <f t="shared" si="82"/>
        <v/>
      </c>
      <c r="E559" s="9" t="str">
        <f t="shared" si="83"/>
        <v/>
      </c>
      <c r="F559" s="9" t="str">
        <f t="shared" si="84"/>
        <v/>
      </c>
      <c r="G559" s="9" t="str">
        <f t="shared" si="85"/>
        <v/>
      </c>
      <c r="H559" s="9" t="str">
        <f t="shared" si="86"/>
        <v/>
      </c>
      <c r="I559" s="10" t="str">
        <f t="shared" si="87"/>
        <v/>
      </c>
      <c r="J559" s="10" t="str">
        <f t="shared" si="89"/>
        <v/>
      </c>
      <c r="K559" s="11" t="str">
        <f t="shared" si="88"/>
        <v/>
      </c>
      <c r="M559" t="str">
        <f>IFERROR(MATCH($C$5&amp;"|"&amp;RIGHT("000000"&amp;543,6),CalcRankKeyA,0),"")</f>
        <v/>
      </c>
      <c r="N559" t="str">
        <f>IFERROR(MATCH($C$5&amp;"|"&amp;RIGHT("000000"&amp;543,6),CalcRankKeyB,0),"")</f>
        <v/>
      </c>
    </row>
    <row r="560" spans="1:14" x14ac:dyDescent="0.2">
      <c r="A560" s="12">
        <v>544</v>
      </c>
      <c r="B560" s="13" t="str">
        <f t="shared" si="80"/>
        <v/>
      </c>
      <c r="C560" s="13" t="str">
        <f t="shared" si="81"/>
        <v/>
      </c>
      <c r="D560" s="13" t="str">
        <f t="shared" si="82"/>
        <v/>
      </c>
      <c r="E560" s="14" t="str">
        <f t="shared" si="83"/>
        <v/>
      </c>
      <c r="F560" s="14" t="str">
        <f t="shared" si="84"/>
        <v/>
      </c>
      <c r="G560" s="14" t="str">
        <f t="shared" si="85"/>
        <v/>
      </c>
      <c r="H560" s="14" t="str">
        <f t="shared" si="86"/>
        <v/>
      </c>
      <c r="I560" s="15" t="str">
        <f t="shared" si="87"/>
        <v/>
      </c>
      <c r="J560" s="15" t="str">
        <f t="shared" si="89"/>
        <v/>
      </c>
      <c r="K560" s="16" t="str">
        <f t="shared" si="88"/>
        <v/>
      </c>
      <c r="M560" t="str">
        <f>IFERROR(MATCH($C$5&amp;"|"&amp;RIGHT("000000"&amp;544,6),CalcRankKeyA,0),"")</f>
        <v/>
      </c>
      <c r="N560" t="str">
        <f>IFERROR(MATCH($C$5&amp;"|"&amp;RIGHT("000000"&amp;544,6),CalcRankKeyB,0),"")</f>
        <v/>
      </c>
    </row>
    <row r="561" spans="1:14" x14ac:dyDescent="0.2">
      <c r="A561" s="7">
        <v>545</v>
      </c>
      <c r="B561" s="8" t="str">
        <f t="shared" si="80"/>
        <v/>
      </c>
      <c r="C561" s="8" t="str">
        <f t="shared" si="81"/>
        <v/>
      </c>
      <c r="D561" s="8" t="str">
        <f t="shared" si="82"/>
        <v/>
      </c>
      <c r="E561" s="9" t="str">
        <f t="shared" si="83"/>
        <v/>
      </c>
      <c r="F561" s="9" t="str">
        <f t="shared" si="84"/>
        <v/>
      </c>
      <c r="G561" s="9" t="str">
        <f t="shared" si="85"/>
        <v/>
      </c>
      <c r="H561" s="9" t="str">
        <f t="shared" si="86"/>
        <v/>
      </c>
      <c r="I561" s="10" t="str">
        <f t="shared" si="87"/>
        <v/>
      </c>
      <c r="J561" s="10" t="str">
        <f t="shared" si="89"/>
        <v/>
      </c>
      <c r="K561" s="11" t="str">
        <f t="shared" si="88"/>
        <v/>
      </c>
      <c r="M561" t="str">
        <f>IFERROR(MATCH($C$5&amp;"|"&amp;RIGHT("000000"&amp;545,6),CalcRankKeyA,0),"")</f>
        <v/>
      </c>
      <c r="N561" t="str">
        <f>IFERROR(MATCH($C$5&amp;"|"&amp;RIGHT("000000"&amp;545,6),CalcRankKeyB,0),"")</f>
        <v/>
      </c>
    </row>
    <row r="562" spans="1:14" x14ac:dyDescent="0.2">
      <c r="A562" s="12">
        <v>546</v>
      </c>
      <c r="B562" s="13" t="str">
        <f t="shared" si="80"/>
        <v/>
      </c>
      <c r="C562" s="13" t="str">
        <f t="shared" si="81"/>
        <v/>
      </c>
      <c r="D562" s="13" t="str">
        <f t="shared" si="82"/>
        <v/>
      </c>
      <c r="E562" s="14" t="str">
        <f t="shared" si="83"/>
        <v/>
      </c>
      <c r="F562" s="14" t="str">
        <f t="shared" si="84"/>
        <v/>
      </c>
      <c r="G562" s="14" t="str">
        <f t="shared" si="85"/>
        <v/>
      </c>
      <c r="H562" s="14" t="str">
        <f t="shared" si="86"/>
        <v/>
      </c>
      <c r="I562" s="15" t="str">
        <f t="shared" si="87"/>
        <v/>
      </c>
      <c r="J562" s="15" t="str">
        <f t="shared" si="89"/>
        <v/>
      </c>
      <c r="K562" s="16" t="str">
        <f t="shared" si="88"/>
        <v/>
      </c>
      <c r="M562" t="str">
        <f>IFERROR(MATCH($C$5&amp;"|"&amp;RIGHT("000000"&amp;546,6),CalcRankKeyA,0),"")</f>
        <v/>
      </c>
      <c r="N562" t="str">
        <f>IFERROR(MATCH($C$5&amp;"|"&amp;RIGHT("000000"&amp;546,6),CalcRankKeyB,0),"")</f>
        <v/>
      </c>
    </row>
    <row r="563" spans="1:14" x14ac:dyDescent="0.2">
      <c r="A563" s="7">
        <v>547</v>
      </c>
      <c r="B563" s="8" t="str">
        <f t="shared" si="80"/>
        <v/>
      </c>
      <c r="C563" s="8" t="str">
        <f t="shared" si="81"/>
        <v/>
      </c>
      <c r="D563" s="8" t="str">
        <f t="shared" si="82"/>
        <v/>
      </c>
      <c r="E563" s="9" t="str">
        <f t="shared" si="83"/>
        <v/>
      </c>
      <c r="F563" s="9" t="str">
        <f t="shared" si="84"/>
        <v/>
      </c>
      <c r="G563" s="9" t="str">
        <f t="shared" si="85"/>
        <v/>
      </c>
      <c r="H563" s="9" t="str">
        <f t="shared" si="86"/>
        <v/>
      </c>
      <c r="I563" s="10" t="str">
        <f t="shared" si="87"/>
        <v/>
      </c>
      <c r="J563" s="10" t="str">
        <f t="shared" si="89"/>
        <v/>
      </c>
      <c r="K563" s="11" t="str">
        <f t="shared" si="88"/>
        <v/>
      </c>
      <c r="M563" t="str">
        <f>IFERROR(MATCH($C$5&amp;"|"&amp;RIGHT("000000"&amp;547,6),CalcRankKeyA,0),"")</f>
        <v/>
      </c>
      <c r="N563" t="str">
        <f>IFERROR(MATCH($C$5&amp;"|"&amp;RIGHT("000000"&amp;547,6),CalcRankKeyB,0),"")</f>
        <v/>
      </c>
    </row>
    <row r="564" spans="1:14" x14ac:dyDescent="0.2">
      <c r="A564" s="12">
        <v>548</v>
      </c>
      <c r="B564" s="13" t="str">
        <f t="shared" si="80"/>
        <v/>
      </c>
      <c r="C564" s="13" t="str">
        <f t="shared" si="81"/>
        <v/>
      </c>
      <c r="D564" s="13" t="str">
        <f t="shared" si="82"/>
        <v/>
      </c>
      <c r="E564" s="14" t="str">
        <f t="shared" si="83"/>
        <v/>
      </c>
      <c r="F564" s="14" t="str">
        <f t="shared" si="84"/>
        <v/>
      </c>
      <c r="G564" s="14" t="str">
        <f t="shared" si="85"/>
        <v/>
      </c>
      <c r="H564" s="14" t="str">
        <f t="shared" si="86"/>
        <v/>
      </c>
      <c r="I564" s="15" t="str">
        <f t="shared" si="87"/>
        <v/>
      </c>
      <c r="J564" s="15" t="str">
        <f t="shared" si="89"/>
        <v/>
      </c>
      <c r="K564" s="16" t="str">
        <f t="shared" si="88"/>
        <v/>
      </c>
      <c r="M564" t="str">
        <f>IFERROR(MATCH($C$5&amp;"|"&amp;RIGHT("000000"&amp;548,6),CalcRankKeyA,0),"")</f>
        <v/>
      </c>
      <c r="N564" t="str">
        <f>IFERROR(MATCH($C$5&amp;"|"&amp;RIGHT("000000"&amp;548,6),CalcRankKeyB,0),"")</f>
        <v/>
      </c>
    </row>
    <row r="565" spans="1:14" x14ac:dyDescent="0.2">
      <c r="A565" s="7">
        <v>549</v>
      </c>
      <c r="B565" s="8" t="str">
        <f t="shared" si="80"/>
        <v/>
      </c>
      <c r="C565" s="8" t="str">
        <f t="shared" si="81"/>
        <v/>
      </c>
      <c r="D565" s="8" t="str">
        <f t="shared" si="82"/>
        <v/>
      </c>
      <c r="E565" s="9" t="str">
        <f t="shared" si="83"/>
        <v/>
      </c>
      <c r="F565" s="9" t="str">
        <f t="shared" si="84"/>
        <v/>
      </c>
      <c r="G565" s="9" t="str">
        <f t="shared" si="85"/>
        <v/>
      </c>
      <c r="H565" s="9" t="str">
        <f t="shared" si="86"/>
        <v/>
      </c>
      <c r="I565" s="10" t="str">
        <f t="shared" si="87"/>
        <v/>
      </c>
      <c r="J565" s="10" t="str">
        <f t="shared" si="89"/>
        <v/>
      </c>
      <c r="K565" s="11" t="str">
        <f t="shared" si="88"/>
        <v/>
      </c>
      <c r="M565" t="str">
        <f>IFERROR(MATCH($C$5&amp;"|"&amp;RIGHT("000000"&amp;549,6),CalcRankKeyA,0),"")</f>
        <v/>
      </c>
      <c r="N565" t="str">
        <f>IFERROR(MATCH($C$5&amp;"|"&amp;RIGHT("000000"&amp;549,6),CalcRankKeyB,0),"")</f>
        <v/>
      </c>
    </row>
    <row r="566" spans="1:14" x14ac:dyDescent="0.2">
      <c r="A566" s="12">
        <v>550</v>
      </c>
      <c r="B566" s="13" t="str">
        <f t="shared" si="80"/>
        <v/>
      </c>
      <c r="C566" s="13" t="str">
        <f t="shared" si="81"/>
        <v/>
      </c>
      <c r="D566" s="13" t="str">
        <f t="shared" si="82"/>
        <v/>
      </c>
      <c r="E566" s="14" t="str">
        <f t="shared" si="83"/>
        <v/>
      </c>
      <c r="F566" s="14" t="str">
        <f t="shared" si="84"/>
        <v/>
      </c>
      <c r="G566" s="14" t="str">
        <f t="shared" si="85"/>
        <v/>
      </c>
      <c r="H566" s="14" t="str">
        <f t="shared" si="86"/>
        <v/>
      </c>
      <c r="I566" s="15" t="str">
        <f t="shared" si="87"/>
        <v/>
      </c>
      <c r="J566" s="15" t="str">
        <f t="shared" si="89"/>
        <v/>
      </c>
      <c r="K566" s="16" t="str">
        <f t="shared" si="88"/>
        <v/>
      </c>
      <c r="M566" t="str">
        <f>IFERROR(MATCH($C$5&amp;"|"&amp;RIGHT("000000"&amp;550,6),CalcRankKeyA,0),"")</f>
        <v/>
      </c>
      <c r="N566" t="str">
        <f>IFERROR(MATCH($C$5&amp;"|"&amp;RIGHT("000000"&amp;550,6),CalcRankKeyB,0),"")</f>
        <v/>
      </c>
    </row>
    <row r="567" spans="1:14" x14ac:dyDescent="0.2">
      <c r="A567" s="7">
        <v>551</v>
      </c>
      <c r="B567" s="8" t="str">
        <f t="shared" si="80"/>
        <v/>
      </c>
      <c r="C567" s="8" t="str">
        <f t="shared" si="81"/>
        <v/>
      </c>
      <c r="D567" s="8" t="str">
        <f t="shared" si="82"/>
        <v/>
      </c>
      <c r="E567" s="9" t="str">
        <f t="shared" si="83"/>
        <v/>
      </c>
      <c r="F567" s="9" t="str">
        <f t="shared" si="84"/>
        <v/>
      </c>
      <c r="G567" s="9" t="str">
        <f t="shared" si="85"/>
        <v/>
      </c>
      <c r="H567" s="9" t="str">
        <f t="shared" si="86"/>
        <v/>
      </c>
      <c r="I567" s="10" t="str">
        <f t="shared" si="87"/>
        <v/>
      </c>
      <c r="J567" s="10" t="str">
        <f t="shared" si="89"/>
        <v/>
      </c>
      <c r="K567" s="11" t="str">
        <f t="shared" si="88"/>
        <v/>
      </c>
      <c r="M567" t="str">
        <f>IFERROR(MATCH($C$5&amp;"|"&amp;RIGHT("000000"&amp;551,6),CalcRankKeyA,0),"")</f>
        <v/>
      </c>
      <c r="N567" t="str">
        <f>IFERROR(MATCH($C$5&amp;"|"&amp;RIGHT("000000"&amp;551,6),CalcRankKeyB,0),"")</f>
        <v/>
      </c>
    </row>
    <row r="568" spans="1:14" x14ac:dyDescent="0.2">
      <c r="A568" s="12">
        <v>552</v>
      </c>
      <c r="B568" s="13" t="str">
        <f t="shared" si="80"/>
        <v/>
      </c>
      <c r="C568" s="13" t="str">
        <f t="shared" si="81"/>
        <v/>
      </c>
      <c r="D568" s="13" t="str">
        <f t="shared" si="82"/>
        <v/>
      </c>
      <c r="E568" s="14" t="str">
        <f t="shared" si="83"/>
        <v/>
      </c>
      <c r="F568" s="14" t="str">
        <f t="shared" si="84"/>
        <v/>
      </c>
      <c r="G568" s="14" t="str">
        <f t="shared" si="85"/>
        <v/>
      </c>
      <c r="H568" s="14" t="str">
        <f t="shared" si="86"/>
        <v/>
      </c>
      <c r="I568" s="15" t="str">
        <f t="shared" si="87"/>
        <v/>
      </c>
      <c r="J568" s="15" t="str">
        <f t="shared" si="89"/>
        <v/>
      </c>
      <c r="K568" s="16" t="str">
        <f t="shared" si="88"/>
        <v/>
      </c>
      <c r="M568" t="str">
        <f>IFERROR(MATCH($C$5&amp;"|"&amp;RIGHT("000000"&amp;552,6),CalcRankKeyA,0),"")</f>
        <v/>
      </c>
      <c r="N568" t="str">
        <f>IFERROR(MATCH($C$5&amp;"|"&amp;RIGHT("000000"&amp;552,6),CalcRankKeyB,0),"")</f>
        <v/>
      </c>
    </row>
    <row r="569" spans="1:14" x14ac:dyDescent="0.2">
      <c r="A569" s="7">
        <v>553</v>
      </c>
      <c r="B569" s="8" t="str">
        <f t="shared" si="80"/>
        <v/>
      </c>
      <c r="C569" s="8" t="str">
        <f t="shared" si="81"/>
        <v/>
      </c>
      <c r="D569" s="8" t="str">
        <f t="shared" si="82"/>
        <v/>
      </c>
      <c r="E569" s="9" t="str">
        <f t="shared" si="83"/>
        <v/>
      </c>
      <c r="F569" s="9" t="str">
        <f t="shared" si="84"/>
        <v/>
      </c>
      <c r="G569" s="9" t="str">
        <f t="shared" si="85"/>
        <v/>
      </c>
      <c r="H569" s="9" t="str">
        <f t="shared" si="86"/>
        <v/>
      </c>
      <c r="I569" s="10" t="str">
        <f t="shared" si="87"/>
        <v/>
      </c>
      <c r="J569" s="10" t="str">
        <f t="shared" si="89"/>
        <v/>
      </c>
      <c r="K569" s="11" t="str">
        <f t="shared" si="88"/>
        <v/>
      </c>
      <c r="M569" t="str">
        <f>IFERROR(MATCH($C$5&amp;"|"&amp;RIGHT("000000"&amp;553,6),CalcRankKeyA,0),"")</f>
        <v/>
      </c>
      <c r="N569" t="str">
        <f>IFERROR(MATCH($C$5&amp;"|"&amp;RIGHT("000000"&amp;553,6),CalcRankKeyB,0),"")</f>
        <v/>
      </c>
    </row>
    <row r="570" spans="1:14" x14ac:dyDescent="0.2">
      <c r="A570" s="12">
        <v>554</v>
      </c>
      <c r="B570" s="13" t="str">
        <f t="shared" si="80"/>
        <v/>
      </c>
      <c r="C570" s="13" t="str">
        <f t="shared" si="81"/>
        <v/>
      </c>
      <c r="D570" s="13" t="str">
        <f t="shared" si="82"/>
        <v/>
      </c>
      <c r="E570" s="14" t="str">
        <f t="shared" si="83"/>
        <v/>
      </c>
      <c r="F570" s="14" t="str">
        <f t="shared" si="84"/>
        <v/>
      </c>
      <c r="G570" s="14" t="str">
        <f t="shared" si="85"/>
        <v/>
      </c>
      <c r="H570" s="14" t="str">
        <f t="shared" si="86"/>
        <v/>
      </c>
      <c r="I570" s="15" t="str">
        <f t="shared" si="87"/>
        <v/>
      </c>
      <c r="J570" s="15" t="str">
        <f t="shared" si="89"/>
        <v/>
      </c>
      <c r="K570" s="16" t="str">
        <f t="shared" si="88"/>
        <v/>
      </c>
      <c r="M570" t="str">
        <f>IFERROR(MATCH($C$5&amp;"|"&amp;RIGHT("000000"&amp;554,6),CalcRankKeyA,0),"")</f>
        <v/>
      </c>
      <c r="N570" t="str">
        <f>IFERROR(MATCH($C$5&amp;"|"&amp;RIGHT("000000"&amp;554,6),CalcRankKeyB,0),"")</f>
        <v/>
      </c>
    </row>
    <row r="571" spans="1:14" x14ac:dyDescent="0.2">
      <c r="A571" s="7">
        <v>555</v>
      </c>
      <c r="B571" s="8" t="str">
        <f t="shared" si="80"/>
        <v/>
      </c>
      <c r="C571" s="8" t="str">
        <f t="shared" si="81"/>
        <v/>
      </c>
      <c r="D571" s="8" t="str">
        <f t="shared" si="82"/>
        <v/>
      </c>
      <c r="E571" s="9" t="str">
        <f t="shared" si="83"/>
        <v/>
      </c>
      <c r="F571" s="9" t="str">
        <f t="shared" si="84"/>
        <v/>
      </c>
      <c r="G571" s="9" t="str">
        <f t="shared" si="85"/>
        <v/>
      </c>
      <c r="H571" s="9" t="str">
        <f t="shared" si="86"/>
        <v/>
      </c>
      <c r="I571" s="10" t="str">
        <f t="shared" si="87"/>
        <v/>
      </c>
      <c r="J571" s="10" t="str">
        <f t="shared" si="89"/>
        <v/>
      </c>
      <c r="K571" s="11" t="str">
        <f t="shared" si="88"/>
        <v/>
      </c>
      <c r="M571" t="str">
        <f>IFERROR(MATCH($C$5&amp;"|"&amp;RIGHT("000000"&amp;555,6),CalcRankKeyA,0),"")</f>
        <v/>
      </c>
      <c r="N571" t="str">
        <f>IFERROR(MATCH($C$5&amp;"|"&amp;RIGHT("000000"&amp;555,6),CalcRankKeyB,0),"")</f>
        <v/>
      </c>
    </row>
    <row r="572" spans="1:14" x14ac:dyDescent="0.2">
      <c r="A572" s="12">
        <v>556</v>
      </c>
      <c r="B572" s="13" t="str">
        <f t="shared" si="80"/>
        <v/>
      </c>
      <c r="C572" s="13" t="str">
        <f t="shared" si="81"/>
        <v/>
      </c>
      <c r="D572" s="13" t="str">
        <f t="shared" si="82"/>
        <v/>
      </c>
      <c r="E572" s="14" t="str">
        <f t="shared" si="83"/>
        <v/>
      </c>
      <c r="F572" s="14" t="str">
        <f t="shared" si="84"/>
        <v/>
      </c>
      <c r="G572" s="14" t="str">
        <f t="shared" si="85"/>
        <v/>
      </c>
      <c r="H572" s="14" t="str">
        <f t="shared" si="86"/>
        <v/>
      </c>
      <c r="I572" s="15" t="str">
        <f t="shared" si="87"/>
        <v/>
      </c>
      <c r="J572" s="15" t="str">
        <f t="shared" si="89"/>
        <v/>
      </c>
      <c r="K572" s="16" t="str">
        <f t="shared" si="88"/>
        <v/>
      </c>
      <c r="M572" t="str">
        <f>IFERROR(MATCH($C$5&amp;"|"&amp;RIGHT("000000"&amp;556,6),CalcRankKeyA,0),"")</f>
        <v/>
      </c>
      <c r="N572" t="str">
        <f>IFERROR(MATCH($C$5&amp;"|"&amp;RIGHT("000000"&amp;556,6),CalcRankKeyB,0),"")</f>
        <v/>
      </c>
    </row>
    <row r="573" spans="1:14" x14ac:dyDescent="0.2">
      <c r="A573" s="7">
        <v>557</v>
      </c>
      <c r="B573" s="8" t="str">
        <f t="shared" si="80"/>
        <v/>
      </c>
      <c r="C573" s="8" t="str">
        <f t="shared" si="81"/>
        <v/>
      </c>
      <c r="D573" s="8" t="str">
        <f t="shared" si="82"/>
        <v/>
      </c>
      <c r="E573" s="9" t="str">
        <f t="shared" si="83"/>
        <v/>
      </c>
      <c r="F573" s="9" t="str">
        <f t="shared" si="84"/>
        <v/>
      </c>
      <c r="G573" s="9" t="str">
        <f t="shared" si="85"/>
        <v/>
      </c>
      <c r="H573" s="9" t="str">
        <f t="shared" si="86"/>
        <v/>
      </c>
      <c r="I573" s="10" t="str">
        <f t="shared" si="87"/>
        <v/>
      </c>
      <c r="J573" s="10" t="str">
        <f t="shared" si="89"/>
        <v/>
      </c>
      <c r="K573" s="11" t="str">
        <f t="shared" si="88"/>
        <v/>
      </c>
      <c r="M573" t="str">
        <f>IFERROR(MATCH($C$5&amp;"|"&amp;RIGHT("000000"&amp;557,6),CalcRankKeyA,0),"")</f>
        <v/>
      </c>
      <c r="N573" t="str">
        <f>IFERROR(MATCH($C$5&amp;"|"&amp;RIGHT("000000"&amp;557,6),CalcRankKeyB,0),"")</f>
        <v/>
      </c>
    </row>
    <row r="574" spans="1:14" x14ac:dyDescent="0.2">
      <c r="A574" s="12">
        <v>558</v>
      </c>
      <c r="B574" s="13" t="str">
        <f t="shared" si="80"/>
        <v/>
      </c>
      <c r="C574" s="13" t="str">
        <f t="shared" si="81"/>
        <v/>
      </c>
      <c r="D574" s="13" t="str">
        <f t="shared" si="82"/>
        <v/>
      </c>
      <c r="E574" s="14" t="str">
        <f t="shared" si="83"/>
        <v/>
      </c>
      <c r="F574" s="14" t="str">
        <f t="shared" si="84"/>
        <v/>
      </c>
      <c r="G574" s="14" t="str">
        <f t="shared" si="85"/>
        <v/>
      </c>
      <c r="H574" s="14" t="str">
        <f t="shared" si="86"/>
        <v/>
      </c>
      <c r="I574" s="15" t="str">
        <f t="shared" si="87"/>
        <v/>
      </c>
      <c r="J574" s="15" t="str">
        <f t="shared" si="89"/>
        <v/>
      </c>
      <c r="K574" s="16" t="str">
        <f t="shared" si="88"/>
        <v/>
      </c>
      <c r="M574" t="str">
        <f>IFERROR(MATCH($C$5&amp;"|"&amp;RIGHT("000000"&amp;558,6),CalcRankKeyA,0),"")</f>
        <v/>
      </c>
      <c r="N574" t="str">
        <f>IFERROR(MATCH($C$5&amp;"|"&amp;RIGHT("000000"&amp;558,6),CalcRankKeyB,0),"")</f>
        <v/>
      </c>
    </row>
    <row r="575" spans="1:14" x14ac:dyDescent="0.2">
      <c r="A575" s="7">
        <v>559</v>
      </c>
      <c r="B575" s="8" t="str">
        <f t="shared" si="80"/>
        <v/>
      </c>
      <c r="C575" s="8" t="str">
        <f t="shared" si="81"/>
        <v/>
      </c>
      <c r="D575" s="8" t="str">
        <f t="shared" si="82"/>
        <v/>
      </c>
      <c r="E575" s="9" t="str">
        <f t="shared" si="83"/>
        <v/>
      </c>
      <c r="F575" s="9" t="str">
        <f t="shared" si="84"/>
        <v/>
      </c>
      <c r="G575" s="9" t="str">
        <f t="shared" si="85"/>
        <v/>
      </c>
      <c r="H575" s="9" t="str">
        <f t="shared" si="86"/>
        <v/>
      </c>
      <c r="I575" s="10" t="str">
        <f t="shared" si="87"/>
        <v/>
      </c>
      <c r="J575" s="10" t="str">
        <f t="shared" si="89"/>
        <v/>
      </c>
      <c r="K575" s="11" t="str">
        <f t="shared" si="88"/>
        <v/>
      </c>
      <c r="M575" t="str">
        <f>IFERROR(MATCH($C$5&amp;"|"&amp;RIGHT("000000"&amp;559,6),CalcRankKeyA,0),"")</f>
        <v/>
      </c>
      <c r="N575" t="str">
        <f>IFERROR(MATCH($C$5&amp;"|"&amp;RIGHT("000000"&amp;559,6),CalcRankKeyB,0),"")</f>
        <v/>
      </c>
    </row>
    <row r="576" spans="1:14" x14ac:dyDescent="0.2">
      <c r="A576" s="12">
        <v>560</v>
      </c>
      <c r="B576" s="13" t="str">
        <f t="shared" si="80"/>
        <v/>
      </c>
      <c r="C576" s="13" t="str">
        <f t="shared" si="81"/>
        <v/>
      </c>
      <c r="D576" s="13" t="str">
        <f t="shared" si="82"/>
        <v/>
      </c>
      <c r="E576" s="14" t="str">
        <f t="shared" si="83"/>
        <v/>
      </c>
      <c r="F576" s="14" t="str">
        <f t="shared" si="84"/>
        <v/>
      </c>
      <c r="G576" s="14" t="str">
        <f t="shared" si="85"/>
        <v/>
      </c>
      <c r="H576" s="14" t="str">
        <f t="shared" si="86"/>
        <v/>
      </c>
      <c r="I576" s="15" t="str">
        <f t="shared" si="87"/>
        <v/>
      </c>
      <c r="J576" s="15" t="str">
        <f t="shared" si="89"/>
        <v/>
      </c>
      <c r="K576" s="16" t="str">
        <f t="shared" si="88"/>
        <v/>
      </c>
      <c r="M576" t="str">
        <f>IFERROR(MATCH($C$5&amp;"|"&amp;RIGHT("000000"&amp;560,6),CalcRankKeyA,0),"")</f>
        <v/>
      </c>
      <c r="N576" t="str">
        <f>IFERROR(MATCH($C$5&amp;"|"&amp;RIGHT("000000"&amp;560,6),CalcRankKeyB,0),"")</f>
        <v/>
      </c>
    </row>
    <row r="577" spans="1:14" x14ac:dyDescent="0.2">
      <c r="A577" s="7">
        <v>561</v>
      </c>
      <c r="B577" s="8" t="str">
        <f t="shared" si="80"/>
        <v/>
      </c>
      <c r="C577" s="8" t="str">
        <f t="shared" si="81"/>
        <v/>
      </c>
      <c r="D577" s="8" t="str">
        <f t="shared" si="82"/>
        <v/>
      </c>
      <c r="E577" s="9" t="str">
        <f t="shared" si="83"/>
        <v/>
      </c>
      <c r="F577" s="9" t="str">
        <f t="shared" si="84"/>
        <v/>
      </c>
      <c r="G577" s="9" t="str">
        <f t="shared" si="85"/>
        <v/>
      </c>
      <c r="H577" s="9" t="str">
        <f t="shared" si="86"/>
        <v/>
      </c>
      <c r="I577" s="10" t="str">
        <f t="shared" si="87"/>
        <v/>
      </c>
      <c r="J577" s="10" t="str">
        <f t="shared" si="89"/>
        <v/>
      </c>
      <c r="K577" s="11" t="str">
        <f t="shared" si="88"/>
        <v/>
      </c>
      <c r="M577" t="str">
        <f>IFERROR(MATCH($C$5&amp;"|"&amp;RIGHT("000000"&amp;561,6),CalcRankKeyA,0),"")</f>
        <v/>
      </c>
      <c r="N577" t="str">
        <f>IFERROR(MATCH($C$5&amp;"|"&amp;RIGHT("000000"&amp;561,6),CalcRankKeyB,0),"")</f>
        <v/>
      </c>
    </row>
    <row r="578" spans="1:14" x14ac:dyDescent="0.2">
      <c r="A578" s="12">
        <v>562</v>
      </c>
      <c r="B578" s="13" t="str">
        <f t="shared" si="80"/>
        <v/>
      </c>
      <c r="C578" s="13" t="str">
        <f t="shared" si="81"/>
        <v/>
      </c>
      <c r="D578" s="13" t="str">
        <f t="shared" si="82"/>
        <v/>
      </c>
      <c r="E578" s="14" t="str">
        <f t="shared" si="83"/>
        <v/>
      </c>
      <c r="F578" s="14" t="str">
        <f t="shared" si="84"/>
        <v/>
      </c>
      <c r="G578" s="14" t="str">
        <f t="shared" si="85"/>
        <v/>
      </c>
      <c r="H578" s="14" t="str">
        <f t="shared" si="86"/>
        <v/>
      </c>
      <c r="I578" s="15" t="str">
        <f t="shared" si="87"/>
        <v/>
      </c>
      <c r="J578" s="15" t="str">
        <f t="shared" si="89"/>
        <v/>
      </c>
      <c r="K578" s="16" t="str">
        <f t="shared" si="88"/>
        <v/>
      </c>
      <c r="M578" t="str">
        <f>IFERROR(MATCH($C$5&amp;"|"&amp;RIGHT("000000"&amp;562,6),CalcRankKeyA,0),"")</f>
        <v/>
      </c>
      <c r="N578" t="str">
        <f>IFERROR(MATCH($C$5&amp;"|"&amp;RIGHT("000000"&amp;562,6),CalcRankKeyB,0),"")</f>
        <v/>
      </c>
    </row>
    <row r="579" spans="1:14" x14ac:dyDescent="0.2">
      <c r="A579" s="7">
        <v>563</v>
      </c>
      <c r="B579" s="8" t="str">
        <f t="shared" si="80"/>
        <v/>
      </c>
      <c r="C579" s="8" t="str">
        <f t="shared" si="81"/>
        <v/>
      </c>
      <c r="D579" s="8" t="str">
        <f t="shared" si="82"/>
        <v/>
      </c>
      <c r="E579" s="9" t="str">
        <f t="shared" si="83"/>
        <v/>
      </c>
      <c r="F579" s="9" t="str">
        <f t="shared" si="84"/>
        <v/>
      </c>
      <c r="G579" s="9" t="str">
        <f t="shared" si="85"/>
        <v/>
      </c>
      <c r="H579" s="9" t="str">
        <f t="shared" si="86"/>
        <v/>
      </c>
      <c r="I579" s="10" t="str">
        <f t="shared" si="87"/>
        <v/>
      </c>
      <c r="J579" s="10" t="str">
        <f t="shared" si="89"/>
        <v/>
      </c>
      <c r="K579" s="11" t="str">
        <f t="shared" si="88"/>
        <v/>
      </c>
      <c r="M579" t="str">
        <f>IFERROR(MATCH($C$5&amp;"|"&amp;RIGHT("000000"&amp;563,6),CalcRankKeyA,0),"")</f>
        <v/>
      </c>
      <c r="N579" t="str">
        <f>IFERROR(MATCH($C$5&amp;"|"&amp;RIGHT("000000"&amp;563,6),CalcRankKeyB,0),"")</f>
        <v/>
      </c>
    </row>
    <row r="580" spans="1:14" x14ac:dyDescent="0.2">
      <c r="A580" s="12">
        <v>564</v>
      </c>
      <c r="B580" s="13" t="str">
        <f t="shared" si="80"/>
        <v/>
      </c>
      <c r="C580" s="13" t="str">
        <f t="shared" si="81"/>
        <v/>
      </c>
      <c r="D580" s="13" t="str">
        <f t="shared" si="82"/>
        <v/>
      </c>
      <c r="E580" s="14" t="str">
        <f t="shared" si="83"/>
        <v/>
      </c>
      <c r="F580" s="14" t="str">
        <f t="shared" si="84"/>
        <v/>
      </c>
      <c r="G580" s="14" t="str">
        <f t="shared" si="85"/>
        <v/>
      </c>
      <c r="H580" s="14" t="str">
        <f t="shared" si="86"/>
        <v/>
      </c>
      <c r="I580" s="15" t="str">
        <f t="shared" si="87"/>
        <v/>
      </c>
      <c r="J580" s="15" t="str">
        <f t="shared" si="89"/>
        <v/>
      </c>
      <c r="K580" s="16" t="str">
        <f t="shared" si="88"/>
        <v/>
      </c>
      <c r="M580" t="str">
        <f>IFERROR(MATCH($C$5&amp;"|"&amp;RIGHT("000000"&amp;564,6),CalcRankKeyA,0),"")</f>
        <v/>
      </c>
      <c r="N580" t="str">
        <f>IFERROR(MATCH($C$5&amp;"|"&amp;RIGHT("000000"&amp;564,6),CalcRankKeyB,0),"")</f>
        <v/>
      </c>
    </row>
    <row r="581" spans="1:14" x14ac:dyDescent="0.2">
      <c r="A581" s="7">
        <v>565</v>
      </c>
      <c r="B581" s="8" t="str">
        <f t="shared" si="80"/>
        <v/>
      </c>
      <c r="C581" s="8" t="str">
        <f t="shared" si="81"/>
        <v/>
      </c>
      <c r="D581" s="8" t="str">
        <f t="shared" si="82"/>
        <v/>
      </c>
      <c r="E581" s="9" t="str">
        <f t="shared" si="83"/>
        <v/>
      </c>
      <c r="F581" s="9" t="str">
        <f t="shared" si="84"/>
        <v/>
      </c>
      <c r="G581" s="9" t="str">
        <f t="shared" si="85"/>
        <v/>
      </c>
      <c r="H581" s="9" t="str">
        <f t="shared" si="86"/>
        <v/>
      </c>
      <c r="I581" s="10" t="str">
        <f t="shared" si="87"/>
        <v/>
      </c>
      <c r="J581" s="10" t="str">
        <f t="shared" si="89"/>
        <v/>
      </c>
      <c r="K581" s="11" t="str">
        <f t="shared" si="88"/>
        <v/>
      </c>
      <c r="M581" t="str">
        <f>IFERROR(MATCH($C$5&amp;"|"&amp;RIGHT("000000"&amp;565,6),CalcRankKeyA,0),"")</f>
        <v/>
      </c>
      <c r="N581" t="str">
        <f>IFERROR(MATCH($C$5&amp;"|"&amp;RIGHT("000000"&amp;565,6),CalcRankKeyB,0),"")</f>
        <v/>
      </c>
    </row>
    <row r="582" spans="1:14" x14ac:dyDescent="0.2">
      <c r="A582" s="12">
        <v>566</v>
      </c>
      <c r="B582" s="13" t="str">
        <f t="shared" si="80"/>
        <v/>
      </c>
      <c r="C582" s="13" t="str">
        <f t="shared" si="81"/>
        <v/>
      </c>
      <c r="D582" s="13" t="str">
        <f t="shared" si="82"/>
        <v/>
      </c>
      <c r="E582" s="14" t="str">
        <f t="shared" si="83"/>
        <v/>
      </c>
      <c r="F582" s="14" t="str">
        <f t="shared" si="84"/>
        <v/>
      </c>
      <c r="G582" s="14" t="str">
        <f t="shared" si="85"/>
        <v/>
      </c>
      <c r="H582" s="14" t="str">
        <f t="shared" si="86"/>
        <v/>
      </c>
      <c r="I582" s="15" t="str">
        <f t="shared" si="87"/>
        <v/>
      </c>
      <c r="J582" s="15" t="str">
        <f t="shared" si="89"/>
        <v/>
      </c>
      <c r="K582" s="16" t="str">
        <f t="shared" si="88"/>
        <v/>
      </c>
      <c r="M582" t="str">
        <f>IFERROR(MATCH($C$5&amp;"|"&amp;RIGHT("000000"&amp;566,6),CalcRankKeyA,0),"")</f>
        <v/>
      </c>
      <c r="N582" t="str">
        <f>IFERROR(MATCH($C$5&amp;"|"&amp;RIGHT("000000"&amp;566,6),CalcRankKeyB,0),"")</f>
        <v/>
      </c>
    </row>
    <row r="583" spans="1:14" x14ac:dyDescent="0.2">
      <c r="A583" s="7">
        <v>567</v>
      </c>
      <c r="B583" s="8" t="str">
        <f t="shared" si="80"/>
        <v/>
      </c>
      <c r="C583" s="8" t="str">
        <f t="shared" si="81"/>
        <v/>
      </c>
      <c r="D583" s="8" t="str">
        <f t="shared" si="82"/>
        <v/>
      </c>
      <c r="E583" s="9" t="str">
        <f t="shared" si="83"/>
        <v/>
      </c>
      <c r="F583" s="9" t="str">
        <f t="shared" si="84"/>
        <v/>
      </c>
      <c r="G583" s="9" t="str">
        <f t="shared" si="85"/>
        <v/>
      </c>
      <c r="H583" s="9" t="str">
        <f t="shared" si="86"/>
        <v/>
      </c>
      <c r="I583" s="10" t="str">
        <f t="shared" si="87"/>
        <v/>
      </c>
      <c r="J583" s="10" t="str">
        <f t="shared" si="89"/>
        <v/>
      </c>
      <c r="K583" s="11" t="str">
        <f t="shared" si="88"/>
        <v/>
      </c>
      <c r="M583" t="str">
        <f>IFERROR(MATCH($C$5&amp;"|"&amp;RIGHT("000000"&amp;567,6),CalcRankKeyA,0),"")</f>
        <v/>
      </c>
      <c r="N583" t="str">
        <f>IFERROR(MATCH($C$5&amp;"|"&amp;RIGHT("000000"&amp;567,6),CalcRankKeyB,0),"")</f>
        <v/>
      </c>
    </row>
    <row r="584" spans="1:14" x14ac:dyDescent="0.2">
      <c r="A584" s="12">
        <v>568</v>
      </c>
      <c r="B584" s="13" t="str">
        <f t="shared" si="80"/>
        <v/>
      </c>
      <c r="C584" s="13" t="str">
        <f t="shared" si="81"/>
        <v/>
      </c>
      <c r="D584" s="13" t="str">
        <f t="shared" si="82"/>
        <v/>
      </c>
      <c r="E584" s="14" t="str">
        <f t="shared" si="83"/>
        <v/>
      </c>
      <c r="F584" s="14" t="str">
        <f t="shared" si="84"/>
        <v/>
      </c>
      <c r="G584" s="14" t="str">
        <f t="shared" si="85"/>
        <v/>
      </c>
      <c r="H584" s="14" t="str">
        <f t="shared" si="86"/>
        <v/>
      </c>
      <c r="I584" s="15" t="str">
        <f t="shared" si="87"/>
        <v/>
      </c>
      <c r="J584" s="15" t="str">
        <f t="shared" si="89"/>
        <v/>
      </c>
      <c r="K584" s="16" t="str">
        <f t="shared" si="88"/>
        <v/>
      </c>
      <c r="M584" t="str">
        <f>IFERROR(MATCH($C$5&amp;"|"&amp;RIGHT("000000"&amp;568,6),CalcRankKeyA,0),"")</f>
        <v/>
      </c>
      <c r="N584" t="str">
        <f>IFERROR(MATCH($C$5&amp;"|"&amp;RIGHT("000000"&amp;568,6),CalcRankKeyB,0),"")</f>
        <v/>
      </c>
    </row>
    <row r="585" spans="1:14" x14ac:dyDescent="0.2">
      <c r="A585" s="7">
        <v>569</v>
      </c>
      <c r="B585" s="8" t="str">
        <f t="shared" si="80"/>
        <v/>
      </c>
      <c r="C585" s="8" t="str">
        <f t="shared" si="81"/>
        <v/>
      </c>
      <c r="D585" s="8" t="str">
        <f t="shared" si="82"/>
        <v/>
      </c>
      <c r="E585" s="9" t="str">
        <f t="shared" si="83"/>
        <v/>
      </c>
      <c r="F585" s="9" t="str">
        <f t="shared" si="84"/>
        <v/>
      </c>
      <c r="G585" s="9" t="str">
        <f t="shared" si="85"/>
        <v/>
      </c>
      <c r="H585" s="9" t="str">
        <f t="shared" si="86"/>
        <v/>
      </c>
      <c r="I585" s="10" t="str">
        <f t="shared" si="87"/>
        <v/>
      </c>
      <c r="J585" s="10" t="str">
        <f t="shared" si="89"/>
        <v/>
      </c>
      <c r="K585" s="11" t="str">
        <f t="shared" si="88"/>
        <v/>
      </c>
      <c r="M585" t="str">
        <f>IFERROR(MATCH($C$5&amp;"|"&amp;RIGHT("000000"&amp;569,6),CalcRankKeyA,0),"")</f>
        <v/>
      </c>
      <c r="N585" t="str">
        <f>IFERROR(MATCH($C$5&amp;"|"&amp;RIGHT("000000"&amp;569,6),CalcRankKeyB,0),"")</f>
        <v/>
      </c>
    </row>
    <row r="586" spans="1:14" x14ac:dyDescent="0.2">
      <c r="A586" s="12">
        <v>570</v>
      </c>
      <c r="B586" s="13" t="str">
        <f t="shared" si="80"/>
        <v/>
      </c>
      <c r="C586" s="13" t="str">
        <f t="shared" si="81"/>
        <v/>
      </c>
      <c r="D586" s="13" t="str">
        <f t="shared" si="82"/>
        <v/>
      </c>
      <c r="E586" s="14" t="str">
        <f t="shared" si="83"/>
        <v/>
      </c>
      <c r="F586" s="14" t="str">
        <f t="shared" si="84"/>
        <v/>
      </c>
      <c r="G586" s="14" t="str">
        <f t="shared" si="85"/>
        <v/>
      </c>
      <c r="H586" s="14" t="str">
        <f t="shared" si="86"/>
        <v/>
      </c>
      <c r="I586" s="15" t="str">
        <f t="shared" si="87"/>
        <v/>
      </c>
      <c r="J586" s="15" t="str">
        <f t="shared" si="89"/>
        <v/>
      </c>
      <c r="K586" s="16" t="str">
        <f t="shared" si="88"/>
        <v/>
      </c>
      <c r="M586" t="str">
        <f>IFERROR(MATCH($C$5&amp;"|"&amp;RIGHT("000000"&amp;570,6),CalcRankKeyA,0),"")</f>
        <v/>
      </c>
      <c r="N586" t="str">
        <f>IFERROR(MATCH($C$5&amp;"|"&amp;RIGHT("000000"&amp;570,6),CalcRankKeyB,0),"")</f>
        <v/>
      </c>
    </row>
    <row r="587" spans="1:14" x14ac:dyDescent="0.2">
      <c r="A587" s="7">
        <v>571</v>
      </c>
      <c r="B587" s="8" t="str">
        <f t="shared" si="80"/>
        <v/>
      </c>
      <c r="C587" s="8" t="str">
        <f t="shared" si="81"/>
        <v/>
      </c>
      <c r="D587" s="8" t="str">
        <f t="shared" si="82"/>
        <v/>
      </c>
      <c r="E587" s="9" t="str">
        <f t="shared" si="83"/>
        <v/>
      </c>
      <c r="F587" s="9" t="str">
        <f t="shared" si="84"/>
        <v/>
      </c>
      <c r="G587" s="9" t="str">
        <f t="shared" si="85"/>
        <v/>
      </c>
      <c r="H587" s="9" t="str">
        <f t="shared" si="86"/>
        <v/>
      </c>
      <c r="I587" s="10" t="str">
        <f t="shared" si="87"/>
        <v/>
      </c>
      <c r="J587" s="10" t="str">
        <f t="shared" si="89"/>
        <v/>
      </c>
      <c r="K587" s="11" t="str">
        <f t="shared" si="88"/>
        <v/>
      </c>
      <c r="M587" t="str">
        <f>IFERROR(MATCH($C$5&amp;"|"&amp;RIGHT("000000"&amp;571,6),CalcRankKeyA,0),"")</f>
        <v/>
      </c>
      <c r="N587" t="str">
        <f>IFERROR(MATCH($C$5&amp;"|"&amp;RIGHT("000000"&amp;571,6),CalcRankKeyB,0),"")</f>
        <v/>
      </c>
    </row>
    <row r="588" spans="1:14" x14ac:dyDescent="0.2">
      <c r="A588" s="12">
        <v>572</v>
      </c>
      <c r="B588" s="13" t="str">
        <f t="shared" si="80"/>
        <v/>
      </c>
      <c r="C588" s="13" t="str">
        <f t="shared" si="81"/>
        <v/>
      </c>
      <c r="D588" s="13" t="str">
        <f t="shared" si="82"/>
        <v/>
      </c>
      <c r="E588" s="14" t="str">
        <f t="shared" si="83"/>
        <v/>
      </c>
      <c r="F588" s="14" t="str">
        <f t="shared" si="84"/>
        <v/>
      </c>
      <c r="G588" s="14" t="str">
        <f t="shared" si="85"/>
        <v/>
      </c>
      <c r="H588" s="14" t="str">
        <f t="shared" si="86"/>
        <v/>
      </c>
      <c r="I588" s="15" t="str">
        <f t="shared" si="87"/>
        <v/>
      </c>
      <c r="J588" s="15" t="str">
        <f t="shared" si="89"/>
        <v/>
      </c>
      <c r="K588" s="16" t="str">
        <f t="shared" si="88"/>
        <v/>
      </c>
      <c r="M588" t="str">
        <f>IFERROR(MATCH($C$5&amp;"|"&amp;RIGHT("000000"&amp;572,6),CalcRankKeyA,0),"")</f>
        <v/>
      </c>
      <c r="N588" t="str">
        <f>IFERROR(MATCH($C$5&amp;"|"&amp;RIGHT("000000"&amp;572,6),CalcRankKeyB,0),"")</f>
        <v/>
      </c>
    </row>
    <row r="589" spans="1:14" x14ac:dyDescent="0.2">
      <c r="A589" s="7">
        <v>573</v>
      </c>
      <c r="B589" s="8" t="str">
        <f t="shared" si="80"/>
        <v/>
      </c>
      <c r="C589" s="8" t="str">
        <f t="shared" si="81"/>
        <v/>
      </c>
      <c r="D589" s="8" t="str">
        <f t="shared" si="82"/>
        <v/>
      </c>
      <c r="E589" s="9" t="str">
        <f t="shared" si="83"/>
        <v/>
      </c>
      <c r="F589" s="9" t="str">
        <f t="shared" si="84"/>
        <v/>
      </c>
      <c r="G589" s="9" t="str">
        <f t="shared" si="85"/>
        <v/>
      </c>
      <c r="H589" s="9" t="str">
        <f t="shared" si="86"/>
        <v/>
      </c>
      <c r="I589" s="10" t="str">
        <f t="shared" si="87"/>
        <v/>
      </c>
      <c r="J589" s="10" t="str">
        <f t="shared" si="89"/>
        <v/>
      </c>
      <c r="K589" s="11" t="str">
        <f t="shared" si="88"/>
        <v/>
      </c>
      <c r="M589" t="str">
        <f>IFERROR(MATCH($C$5&amp;"|"&amp;RIGHT("000000"&amp;573,6),CalcRankKeyA,0),"")</f>
        <v/>
      </c>
      <c r="N589" t="str">
        <f>IFERROR(MATCH($C$5&amp;"|"&amp;RIGHT("000000"&amp;573,6),CalcRankKeyB,0),"")</f>
        <v/>
      </c>
    </row>
    <row r="590" spans="1:14" x14ac:dyDescent="0.2">
      <c r="A590" s="12">
        <v>574</v>
      </c>
      <c r="B590" s="13" t="str">
        <f t="shared" si="80"/>
        <v/>
      </c>
      <c r="C590" s="13" t="str">
        <f t="shared" si="81"/>
        <v/>
      </c>
      <c r="D590" s="13" t="str">
        <f t="shared" si="82"/>
        <v/>
      </c>
      <c r="E590" s="14" t="str">
        <f t="shared" si="83"/>
        <v/>
      </c>
      <c r="F590" s="14" t="str">
        <f t="shared" si="84"/>
        <v/>
      </c>
      <c r="G590" s="14" t="str">
        <f t="shared" si="85"/>
        <v/>
      </c>
      <c r="H590" s="14" t="str">
        <f t="shared" si="86"/>
        <v/>
      </c>
      <c r="I590" s="15" t="str">
        <f t="shared" si="87"/>
        <v/>
      </c>
      <c r="J590" s="15" t="str">
        <f t="shared" si="89"/>
        <v/>
      </c>
      <c r="K590" s="16" t="str">
        <f t="shared" si="88"/>
        <v/>
      </c>
      <c r="M590" t="str">
        <f>IFERROR(MATCH($C$5&amp;"|"&amp;RIGHT("000000"&amp;574,6),CalcRankKeyA,0),"")</f>
        <v/>
      </c>
      <c r="N590" t="str">
        <f>IFERROR(MATCH($C$5&amp;"|"&amp;RIGHT("000000"&amp;574,6),CalcRankKeyB,0),"")</f>
        <v/>
      </c>
    </row>
    <row r="591" spans="1:14" x14ac:dyDescent="0.2">
      <c r="A591" s="7">
        <v>575</v>
      </c>
      <c r="B591" s="8" t="str">
        <f t="shared" si="80"/>
        <v/>
      </c>
      <c r="C591" s="8" t="str">
        <f t="shared" si="81"/>
        <v/>
      </c>
      <c r="D591" s="8" t="str">
        <f t="shared" si="82"/>
        <v/>
      </c>
      <c r="E591" s="9" t="str">
        <f t="shared" si="83"/>
        <v/>
      </c>
      <c r="F591" s="9" t="str">
        <f t="shared" si="84"/>
        <v/>
      </c>
      <c r="G591" s="9" t="str">
        <f t="shared" si="85"/>
        <v/>
      </c>
      <c r="H591" s="9" t="str">
        <f t="shared" si="86"/>
        <v/>
      </c>
      <c r="I591" s="10" t="str">
        <f t="shared" si="87"/>
        <v/>
      </c>
      <c r="J591" s="10" t="str">
        <f t="shared" si="89"/>
        <v/>
      </c>
      <c r="K591" s="11" t="str">
        <f t="shared" si="88"/>
        <v/>
      </c>
      <c r="M591" t="str">
        <f>IFERROR(MATCH($C$5&amp;"|"&amp;RIGHT("000000"&amp;575,6),CalcRankKeyA,0),"")</f>
        <v/>
      </c>
      <c r="N591" t="str">
        <f>IFERROR(MATCH($C$5&amp;"|"&amp;RIGHT("000000"&amp;575,6),CalcRankKeyB,0),"")</f>
        <v/>
      </c>
    </row>
    <row r="592" spans="1:14" x14ac:dyDescent="0.2">
      <c r="A592" s="12">
        <v>576</v>
      </c>
      <c r="B592" s="13" t="str">
        <f t="shared" si="80"/>
        <v/>
      </c>
      <c r="C592" s="13" t="str">
        <f t="shared" si="81"/>
        <v/>
      </c>
      <c r="D592" s="13" t="str">
        <f t="shared" si="82"/>
        <v/>
      </c>
      <c r="E592" s="14" t="str">
        <f t="shared" si="83"/>
        <v/>
      </c>
      <c r="F592" s="14" t="str">
        <f t="shared" si="84"/>
        <v/>
      </c>
      <c r="G592" s="14" t="str">
        <f t="shared" si="85"/>
        <v/>
      </c>
      <c r="H592" s="14" t="str">
        <f t="shared" si="86"/>
        <v/>
      </c>
      <c r="I592" s="15" t="str">
        <f t="shared" si="87"/>
        <v/>
      </c>
      <c r="J592" s="15" t="str">
        <f t="shared" si="89"/>
        <v/>
      </c>
      <c r="K592" s="16" t="str">
        <f t="shared" si="88"/>
        <v/>
      </c>
      <c r="M592" t="str">
        <f>IFERROR(MATCH($C$5&amp;"|"&amp;RIGHT("000000"&amp;576,6),CalcRankKeyA,0),"")</f>
        <v/>
      </c>
      <c r="N592" t="str">
        <f>IFERROR(MATCH($C$5&amp;"|"&amp;RIGHT("000000"&amp;576,6),CalcRankKeyB,0),"")</f>
        <v/>
      </c>
    </row>
    <row r="593" spans="1:14" x14ac:dyDescent="0.2">
      <c r="A593" s="7">
        <v>577</v>
      </c>
      <c r="B593" s="8" t="str">
        <f t="shared" ref="B593:B656" si="90">IF(AND($M593="",$N593=""),"",IF($M593&lt;&gt;"",INDEX(CalcDateA,$M593),INDEX(CalcDateB,$N593)))</f>
        <v/>
      </c>
      <c r="C593" s="8" t="str">
        <f t="shared" ref="C593:C656" si="91">IF($M593&lt;&gt;"","خرید سبد",IF($N593&lt;&gt;"",IF(N(INDEX(CalcDepB,$N593))&gt;0,"دریافت بانکی","پرداخت بانکی"),""))</f>
        <v/>
      </c>
      <c r="D593" s="8" t="str">
        <f t="shared" ref="D593:D656" si="92">IF($M593&lt;&gt;"",IF(INDEX(CalcDocA,$M593)="","—",INDEX(CalcDocA,$M593)),IF($N593&lt;&gt;"",INDEX(CalcBankB,$N593),""))</f>
        <v/>
      </c>
      <c r="E593" s="9" t="str">
        <f t="shared" ref="E593:E656" si="93">IF($N593&lt;&gt;"",IF(INDEX(CalcDepB,$N593)=0,"",INDEX(CalcDepB,$N593)),"")</f>
        <v/>
      </c>
      <c r="F593" s="9" t="str">
        <f t="shared" ref="F593:F656" si="94">IF($M593&lt;&gt;"",IF(INDEX(CalcQtyA,$M593)=0,"",INDEX(CalcQtyA,$M593)),"")</f>
        <v/>
      </c>
      <c r="G593" s="9" t="str">
        <f t="shared" ref="G593:G656" si="95">IF($M593&lt;&gt;"",IF(INDEX(CalcPriceA,$M593)=0,"",INDEX(CalcPriceA,$M593)),"")</f>
        <v/>
      </c>
      <c r="H593" s="9" t="str">
        <f t="shared" ref="H593:H656" si="96">IF($N593&lt;&gt;"",IF(INDEX(CalcWitB,$N593)=0,"",INDEX(CalcWitB,$N593)),"")</f>
        <v/>
      </c>
      <c r="I593" s="10" t="str">
        <f t="shared" ref="I593:I656" si="97">IF($M593&lt;&gt;"",INDEX(CalcAmtA,$M593),"")</f>
        <v/>
      </c>
      <c r="J593" s="10" t="str">
        <f t="shared" si="89"/>
        <v/>
      </c>
      <c r="K593" s="11" t="str">
        <f t="shared" ref="K593:K656" si="98">IF($M593&lt;&gt;"",IF(INDEX(CalcNoteA,$M593)="","—",INDEX(CalcNoteA,$M593)),IF($N593&lt;&gt;"",IF(INDEX(CalcNoteB,$N593)="","—",INDEX(CalcNoteB,$N593)),""))</f>
        <v/>
      </c>
      <c r="M593" t="str">
        <f>IFERROR(MATCH($C$5&amp;"|"&amp;RIGHT("000000"&amp;577,6),CalcRankKeyA,0),"")</f>
        <v/>
      </c>
      <c r="N593" t="str">
        <f>IFERROR(MATCH($C$5&amp;"|"&amp;RIGHT("000000"&amp;577,6),CalcRankKeyB,0),"")</f>
        <v/>
      </c>
    </row>
    <row r="594" spans="1:14" x14ac:dyDescent="0.2">
      <c r="A594" s="12">
        <v>578</v>
      </c>
      <c r="B594" s="13" t="str">
        <f t="shared" si="90"/>
        <v/>
      </c>
      <c r="C594" s="13" t="str">
        <f t="shared" si="91"/>
        <v/>
      </c>
      <c r="D594" s="13" t="str">
        <f t="shared" si="92"/>
        <v/>
      </c>
      <c r="E594" s="14" t="str">
        <f t="shared" si="93"/>
        <v/>
      </c>
      <c r="F594" s="14" t="str">
        <f t="shared" si="94"/>
        <v/>
      </c>
      <c r="G594" s="14" t="str">
        <f t="shared" si="95"/>
        <v/>
      </c>
      <c r="H594" s="14" t="str">
        <f t="shared" si="96"/>
        <v/>
      </c>
      <c r="I594" s="15" t="str">
        <f t="shared" si="97"/>
        <v/>
      </c>
      <c r="J594" s="15" t="str">
        <f t="shared" ref="J594:J657" si="99">IF($B594="","",IF($J593="",$C$8,$J593)+IF($I594="",0,$I594)+IF($E594="",0,$E594)-IF($H594="",0,$H594))</f>
        <v/>
      </c>
      <c r="K594" s="16" t="str">
        <f t="shared" si="98"/>
        <v/>
      </c>
      <c r="M594" t="str">
        <f>IFERROR(MATCH($C$5&amp;"|"&amp;RIGHT("000000"&amp;578,6),CalcRankKeyA,0),"")</f>
        <v/>
      </c>
      <c r="N594" t="str">
        <f>IFERROR(MATCH($C$5&amp;"|"&amp;RIGHT("000000"&amp;578,6),CalcRankKeyB,0),"")</f>
        <v/>
      </c>
    </row>
    <row r="595" spans="1:14" x14ac:dyDescent="0.2">
      <c r="A595" s="7">
        <v>579</v>
      </c>
      <c r="B595" s="8" t="str">
        <f t="shared" si="90"/>
        <v/>
      </c>
      <c r="C595" s="8" t="str">
        <f t="shared" si="91"/>
        <v/>
      </c>
      <c r="D595" s="8" t="str">
        <f t="shared" si="92"/>
        <v/>
      </c>
      <c r="E595" s="9" t="str">
        <f t="shared" si="93"/>
        <v/>
      </c>
      <c r="F595" s="9" t="str">
        <f t="shared" si="94"/>
        <v/>
      </c>
      <c r="G595" s="9" t="str">
        <f t="shared" si="95"/>
        <v/>
      </c>
      <c r="H595" s="9" t="str">
        <f t="shared" si="96"/>
        <v/>
      </c>
      <c r="I595" s="10" t="str">
        <f t="shared" si="97"/>
        <v/>
      </c>
      <c r="J595" s="10" t="str">
        <f t="shared" si="99"/>
        <v/>
      </c>
      <c r="K595" s="11" t="str">
        <f t="shared" si="98"/>
        <v/>
      </c>
      <c r="M595" t="str">
        <f>IFERROR(MATCH($C$5&amp;"|"&amp;RIGHT("000000"&amp;579,6),CalcRankKeyA,0),"")</f>
        <v/>
      </c>
      <c r="N595" t="str">
        <f>IFERROR(MATCH($C$5&amp;"|"&amp;RIGHT("000000"&amp;579,6),CalcRankKeyB,0),"")</f>
        <v/>
      </c>
    </row>
    <row r="596" spans="1:14" x14ac:dyDescent="0.2">
      <c r="A596" s="12">
        <v>580</v>
      </c>
      <c r="B596" s="13" t="str">
        <f t="shared" si="90"/>
        <v/>
      </c>
      <c r="C596" s="13" t="str">
        <f t="shared" si="91"/>
        <v/>
      </c>
      <c r="D596" s="13" t="str">
        <f t="shared" si="92"/>
        <v/>
      </c>
      <c r="E596" s="14" t="str">
        <f t="shared" si="93"/>
        <v/>
      </c>
      <c r="F596" s="14" t="str">
        <f t="shared" si="94"/>
        <v/>
      </c>
      <c r="G596" s="14" t="str">
        <f t="shared" si="95"/>
        <v/>
      </c>
      <c r="H596" s="14" t="str">
        <f t="shared" si="96"/>
        <v/>
      </c>
      <c r="I596" s="15" t="str">
        <f t="shared" si="97"/>
        <v/>
      </c>
      <c r="J596" s="15" t="str">
        <f t="shared" si="99"/>
        <v/>
      </c>
      <c r="K596" s="16" t="str">
        <f t="shared" si="98"/>
        <v/>
      </c>
      <c r="M596" t="str">
        <f>IFERROR(MATCH($C$5&amp;"|"&amp;RIGHT("000000"&amp;580,6),CalcRankKeyA,0),"")</f>
        <v/>
      </c>
      <c r="N596" t="str">
        <f>IFERROR(MATCH($C$5&amp;"|"&amp;RIGHT("000000"&amp;580,6),CalcRankKeyB,0),"")</f>
        <v/>
      </c>
    </row>
    <row r="597" spans="1:14" x14ac:dyDescent="0.2">
      <c r="A597" s="7">
        <v>581</v>
      </c>
      <c r="B597" s="8" t="str">
        <f t="shared" si="90"/>
        <v/>
      </c>
      <c r="C597" s="8" t="str">
        <f t="shared" si="91"/>
        <v/>
      </c>
      <c r="D597" s="8" t="str">
        <f t="shared" si="92"/>
        <v/>
      </c>
      <c r="E597" s="9" t="str">
        <f t="shared" si="93"/>
        <v/>
      </c>
      <c r="F597" s="9" t="str">
        <f t="shared" si="94"/>
        <v/>
      </c>
      <c r="G597" s="9" t="str">
        <f t="shared" si="95"/>
        <v/>
      </c>
      <c r="H597" s="9" t="str">
        <f t="shared" si="96"/>
        <v/>
      </c>
      <c r="I597" s="10" t="str">
        <f t="shared" si="97"/>
        <v/>
      </c>
      <c r="J597" s="10" t="str">
        <f t="shared" si="99"/>
        <v/>
      </c>
      <c r="K597" s="11" t="str">
        <f t="shared" si="98"/>
        <v/>
      </c>
      <c r="M597" t="str">
        <f>IFERROR(MATCH($C$5&amp;"|"&amp;RIGHT("000000"&amp;581,6),CalcRankKeyA,0),"")</f>
        <v/>
      </c>
      <c r="N597" t="str">
        <f>IFERROR(MATCH($C$5&amp;"|"&amp;RIGHT("000000"&amp;581,6),CalcRankKeyB,0),"")</f>
        <v/>
      </c>
    </row>
    <row r="598" spans="1:14" x14ac:dyDescent="0.2">
      <c r="A598" s="12">
        <v>582</v>
      </c>
      <c r="B598" s="13" t="str">
        <f t="shared" si="90"/>
        <v/>
      </c>
      <c r="C598" s="13" t="str">
        <f t="shared" si="91"/>
        <v/>
      </c>
      <c r="D598" s="13" t="str">
        <f t="shared" si="92"/>
        <v/>
      </c>
      <c r="E598" s="14" t="str">
        <f t="shared" si="93"/>
        <v/>
      </c>
      <c r="F598" s="14" t="str">
        <f t="shared" si="94"/>
        <v/>
      </c>
      <c r="G598" s="14" t="str">
        <f t="shared" si="95"/>
        <v/>
      </c>
      <c r="H598" s="14" t="str">
        <f t="shared" si="96"/>
        <v/>
      </c>
      <c r="I598" s="15" t="str">
        <f t="shared" si="97"/>
        <v/>
      </c>
      <c r="J598" s="15" t="str">
        <f t="shared" si="99"/>
        <v/>
      </c>
      <c r="K598" s="16" t="str">
        <f t="shared" si="98"/>
        <v/>
      </c>
      <c r="M598" t="str">
        <f>IFERROR(MATCH($C$5&amp;"|"&amp;RIGHT("000000"&amp;582,6),CalcRankKeyA,0),"")</f>
        <v/>
      </c>
      <c r="N598" t="str">
        <f>IFERROR(MATCH($C$5&amp;"|"&amp;RIGHT("000000"&amp;582,6),CalcRankKeyB,0),"")</f>
        <v/>
      </c>
    </row>
    <row r="599" spans="1:14" x14ac:dyDescent="0.2">
      <c r="A599" s="7">
        <v>583</v>
      </c>
      <c r="B599" s="8" t="str">
        <f t="shared" si="90"/>
        <v/>
      </c>
      <c r="C599" s="8" t="str">
        <f t="shared" si="91"/>
        <v/>
      </c>
      <c r="D599" s="8" t="str">
        <f t="shared" si="92"/>
        <v/>
      </c>
      <c r="E599" s="9" t="str">
        <f t="shared" si="93"/>
        <v/>
      </c>
      <c r="F599" s="9" t="str">
        <f t="shared" si="94"/>
        <v/>
      </c>
      <c r="G599" s="9" t="str">
        <f t="shared" si="95"/>
        <v/>
      </c>
      <c r="H599" s="9" t="str">
        <f t="shared" si="96"/>
        <v/>
      </c>
      <c r="I599" s="10" t="str">
        <f t="shared" si="97"/>
        <v/>
      </c>
      <c r="J599" s="10" t="str">
        <f t="shared" si="99"/>
        <v/>
      </c>
      <c r="K599" s="11" t="str">
        <f t="shared" si="98"/>
        <v/>
      </c>
      <c r="M599" t="str">
        <f>IFERROR(MATCH($C$5&amp;"|"&amp;RIGHT("000000"&amp;583,6),CalcRankKeyA,0),"")</f>
        <v/>
      </c>
      <c r="N599" t="str">
        <f>IFERROR(MATCH($C$5&amp;"|"&amp;RIGHT("000000"&amp;583,6),CalcRankKeyB,0),"")</f>
        <v/>
      </c>
    </row>
    <row r="600" spans="1:14" x14ac:dyDescent="0.2">
      <c r="A600" s="12">
        <v>584</v>
      </c>
      <c r="B600" s="13" t="str">
        <f t="shared" si="90"/>
        <v/>
      </c>
      <c r="C600" s="13" t="str">
        <f t="shared" si="91"/>
        <v/>
      </c>
      <c r="D600" s="13" t="str">
        <f t="shared" si="92"/>
        <v/>
      </c>
      <c r="E600" s="14" t="str">
        <f t="shared" si="93"/>
        <v/>
      </c>
      <c r="F600" s="14" t="str">
        <f t="shared" si="94"/>
        <v/>
      </c>
      <c r="G600" s="14" t="str">
        <f t="shared" si="95"/>
        <v/>
      </c>
      <c r="H600" s="14" t="str">
        <f t="shared" si="96"/>
        <v/>
      </c>
      <c r="I600" s="15" t="str">
        <f t="shared" si="97"/>
        <v/>
      </c>
      <c r="J600" s="15" t="str">
        <f t="shared" si="99"/>
        <v/>
      </c>
      <c r="K600" s="16" t="str">
        <f t="shared" si="98"/>
        <v/>
      </c>
      <c r="M600" t="str">
        <f>IFERROR(MATCH($C$5&amp;"|"&amp;RIGHT("000000"&amp;584,6),CalcRankKeyA,0),"")</f>
        <v/>
      </c>
      <c r="N600" t="str">
        <f>IFERROR(MATCH($C$5&amp;"|"&amp;RIGHT("000000"&amp;584,6),CalcRankKeyB,0),"")</f>
        <v/>
      </c>
    </row>
    <row r="601" spans="1:14" x14ac:dyDescent="0.2">
      <c r="A601" s="7">
        <v>585</v>
      </c>
      <c r="B601" s="8" t="str">
        <f t="shared" si="90"/>
        <v/>
      </c>
      <c r="C601" s="8" t="str">
        <f t="shared" si="91"/>
        <v/>
      </c>
      <c r="D601" s="8" t="str">
        <f t="shared" si="92"/>
        <v/>
      </c>
      <c r="E601" s="9" t="str">
        <f t="shared" si="93"/>
        <v/>
      </c>
      <c r="F601" s="9" t="str">
        <f t="shared" si="94"/>
        <v/>
      </c>
      <c r="G601" s="9" t="str">
        <f t="shared" si="95"/>
        <v/>
      </c>
      <c r="H601" s="9" t="str">
        <f t="shared" si="96"/>
        <v/>
      </c>
      <c r="I601" s="10" t="str">
        <f t="shared" si="97"/>
        <v/>
      </c>
      <c r="J601" s="10" t="str">
        <f t="shared" si="99"/>
        <v/>
      </c>
      <c r="K601" s="11" t="str">
        <f t="shared" si="98"/>
        <v/>
      </c>
      <c r="M601" t="str">
        <f>IFERROR(MATCH($C$5&amp;"|"&amp;RIGHT("000000"&amp;585,6),CalcRankKeyA,0),"")</f>
        <v/>
      </c>
      <c r="N601" t="str">
        <f>IFERROR(MATCH($C$5&amp;"|"&amp;RIGHT("000000"&amp;585,6),CalcRankKeyB,0),"")</f>
        <v/>
      </c>
    </row>
    <row r="602" spans="1:14" x14ac:dyDescent="0.2">
      <c r="A602" s="12">
        <v>586</v>
      </c>
      <c r="B602" s="13" t="str">
        <f t="shared" si="90"/>
        <v/>
      </c>
      <c r="C602" s="13" t="str">
        <f t="shared" si="91"/>
        <v/>
      </c>
      <c r="D602" s="13" t="str">
        <f t="shared" si="92"/>
        <v/>
      </c>
      <c r="E602" s="14" t="str">
        <f t="shared" si="93"/>
        <v/>
      </c>
      <c r="F602" s="14" t="str">
        <f t="shared" si="94"/>
        <v/>
      </c>
      <c r="G602" s="14" t="str">
        <f t="shared" si="95"/>
        <v/>
      </c>
      <c r="H602" s="14" t="str">
        <f t="shared" si="96"/>
        <v/>
      </c>
      <c r="I602" s="15" t="str">
        <f t="shared" si="97"/>
        <v/>
      </c>
      <c r="J602" s="15" t="str">
        <f t="shared" si="99"/>
        <v/>
      </c>
      <c r="K602" s="16" t="str">
        <f t="shared" si="98"/>
        <v/>
      </c>
      <c r="M602" t="str">
        <f>IFERROR(MATCH($C$5&amp;"|"&amp;RIGHT("000000"&amp;586,6),CalcRankKeyA,0),"")</f>
        <v/>
      </c>
      <c r="N602" t="str">
        <f>IFERROR(MATCH($C$5&amp;"|"&amp;RIGHT("000000"&amp;586,6),CalcRankKeyB,0),"")</f>
        <v/>
      </c>
    </row>
    <row r="603" spans="1:14" x14ac:dyDescent="0.2">
      <c r="A603" s="7">
        <v>587</v>
      </c>
      <c r="B603" s="8" t="str">
        <f t="shared" si="90"/>
        <v/>
      </c>
      <c r="C603" s="8" t="str">
        <f t="shared" si="91"/>
        <v/>
      </c>
      <c r="D603" s="8" t="str">
        <f t="shared" si="92"/>
        <v/>
      </c>
      <c r="E603" s="9" t="str">
        <f t="shared" si="93"/>
        <v/>
      </c>
      <c r="F603" s="9" t="str">
        <f t="shared" si="94"/>
        <v/>
      </c>
      <c r="G603" s="9" t="str">
        <f t="shared" si="95"/>
        <v/>
      </c>
      <c r="H603" s="9" t="str">
        <f t="shared" si="96"/>
        <v/>
      </c>
      <c r="I603" s="10" t="str">
        <f t="shared" si="97"/>
        <v/>
      </c>
      <c r="J603" s="10" t="str">
        <f t="shared" si="99"/>
        <v/>
      </c>
      <c r="K603" s="11" t="str">
        <f t="shared" si="98"/>
        <v/>
      </c>
      <c r="M603" t="str">
        <f>IFERROR(MATCH($C$5&amp;"|"&amp;RIGHT("000000"&amp;587,6),CalcRankKeyA,0),"")</f>
        <v/>
      </c>
      <c r="N603" t="str">
        <f>IFERROR(MATCH($C$5&amp;"|"&amp;RIGHT("000000"&amp;587,6),CalcRankKeyB,0),"")</f>
        <v/>
      </c>
    </row>
    <row r="604" spans="1:14" x14ac:dyDescent="0.2">
      <c r="A604" s="12">
        <v>588</v>
      </c>
      <c r="B604" s="13" t="str">
        <f t="shared" si="90"/>
        <v/>
      </c>
      <c r="C604" s="13" t="str">
        <f t="shared" si="91"/>
        <v/>
      </c>
      <c r="D604" s="13" t="str">
        <f t="shared" si="92"/>
        <v/>
      </c>
      <c r="E604" s="14" t="str">
        <f t="shared" si="93"/>
        <v/>
      </c>
      <c r="F604" s="14" t="str">
        <f t="shared" si="94"/>
        <v/>
      </c>
      <c r="G604" s="14" t="str">
        <f t="shared" si="95"/>
        <v/>
      </c>
      <c r="H604" s="14" t="str">
        <f t="shared" si="96"/>
        <v/>
      </c>
      <c r="I604" s="15" t="str">
        <f t="shared" si="97"/>
        <v/>
      </c>
      <c r="J604" s="15" t="str">
        <f t="shared" si="99"/>
        <v/>
      </c>
      <c r="K604" s="16" t="str">
        <f t="shared" si="98"/>
        <v/>
      </c>
      <c r="M604" t="str">
        <f>IFERROR(MATCH($C$5&amp;"|"&amp;RIGHT("000000"&amp;588,6),CalcRankKeyA,0),"")</f>
        <v/>
      </c>
      <c r="N604" t="str">
        <f>IFERROR(MATCH($C$5&amp;"|"&amp;RIGHT("000000"&amp;588,6),CalcRankKeyB,0),"")</f>
        <v/>
      </c>
    </row>
    <row r="605" spans="1:14" x14ac:dyDescent="0.2">
      <c r="A605" s="7">
        <v>589</v>
      </c>
      <c r="B605" s="8" t="str">
        <f t="shared" si="90"/>
        <v/>
      </c>
      <c r="C605" s="8" t="str">
        <f t="shared" si="91"/>
        <v/>
      </c>
      <c r="D605" s="8" t="str">
        <f t="shared" si="92"/>
        <v/>
      </c>
      <c r="E605" s="9" t="str">
        <f t="shared" si="93"/>
        <v/>
      </c>
      <c r="F605" s="9" t="str">
        <f t="shared" si="94"/>
        <v/>
      </c>
      <c r="G605" s="9" t="str">
        <f t="shared" si="95"/>
        <v/>
      </c>
      <c r="H605" s="9" t="str">
        <f t="shared" si="96"/>
        <v/>
      </c>
      <c r="I605" s="10" t="str">
        <f t="shared" si="97"/>
        <v/>
      </c>
      <c r="J605" s="10" t="str">
        <f t="shared" si="99"/>
        <v/>
      </c>
      <c r="K605" s="11" t="str">
        <f t="shared" si="98"/>
        <v/>
      </c>
      <c r="M605" t="str">
        <f>IFERROR(MATCH($C$5&amp;"|"&amp;RIGHT("000000"&amp;589,6),CalcRankKeyA,0),"")</f>
        <v/>
      </c>
      <c r="N605" t="str">
        <f>IFERROR(MATCH($C$5&amp;"|"&amp;RIGHT("000000"&amp;589,6),CalcRankKeyB,0),"")</f>
        <v/>
      </c>
    </row>
    <row r="606" spans="1:14" x14ac:dyDescent="0.2">
      <c r="A606" s="12">
        <v>590</v>
      </c>
      <c r="B606" s="13" t="str">
        <f t="shared" si="90"/>
        <v/>
      </c>
      <c r="C606" s="13" t="str">
        <f t="shared" si="91"/>
        <v/>
      </c>
      <c r="D606" s="13" t="str">
        <f t="shared" si="92"/>
        <v/>
      </c>
      <c r="E606" s="14" t="str">
        <f t="shared" si="93"/>
        <v/>
      </c>
      <c r="F606" s="14" t="str">
        <f t="shared" si="94"/>
        <v/>
      </c>
      <c r="G606" s="14" t="str">
        <f t="shared" si="95"/>
        <v/>
      </c>
      <c r="H606" s="14" t="str">
        <f t="shared" si="96"/>
        <v/>
      </c>
      <c r="I606" s="15" t="str">
        <f t="shared" si="97"/>
        <v/>
      </c>
      <c r="J606" s="15" t="str">
        <f t="shared" si="99"/>
        <v/>
      </c>
      <c r="K606" s="16" t="str">
        <f t="shared" si="98"/>
        <v/>
      </c>
      <c r="M606" t="str">
        <f>IFERROR(MATCH($C$5&amp;"|"&amp;RIGHT("000000"&amp;590,6),CalcRankKeyA,0),"")</f>
        <v/>
      </c>
      <c r="N606" t="str">
        <f>IFERROR(MATCH($C$5&amp;"|"&amp;RIGHT("000000"&amp;590,6),CalcRankKeyB,0),"")</f>
        <v/>
      </c>
    </row>
    <row r="607" spans="1:14" x14ac:dyDescent="0.2">
      <c r="A607" s="7">
        <v>591</v>
      </c>
      <c r="B607" s="8" t="str">
        <f t="shared" si="90"/>
        <v/>
      </c>
      <c r="C607" s="8" t="str">
        <f t="shared" si="91"/>
        <v/>
      </c>
      <c r="D607" s="8" t="str">
        <f t="shared" si="92"/>
        <v/>
      </c>
      <c r="E607" s="9" t="str">
        <f t="shared" si="93"/>
        <v/>
      </c>
      <c r="F607" s="9" t="str">
        <f t="shared" si="94"/>
        <v/>
      </c>
      <c r="G607" s="9" t="str">
        <f t="shared" si="95"/>
        <v/>
      </c>
      <c r="H607" s="9" t="str">
        <f t="shared" si="96"/>
        <v/>
      </c>
      <c r="I607" s="10" t="str">
        <f t="shared" si="97"/>
        <v/>
      </c>
      <c r="J607" s="10" t="str">
        <f t="shared" si="99"/>
        <v/>
      </c>
      <c r="K607" s="11" t="str">
        <f t="shared" si="98"/>
        <v/>
      </c>
      <c r="M607" t="str">
        <f>IFERROR(MATCH($C$5&amp;"|"&amp;RIGHT("000000"&amp;591,6),CalcRankKeyA,0),"")</f>
        <v/>
      </c>
      <c r="N607" t="str">
        <f>IFERROR(MATCH($C$5&amp;"|"&amp;RIGHT("000000"&amp;591,6),CalcRankKeyB,0),"")</f>
        <v/>
      </c>
    </row>
    <row r="608" spans="1:14" x14ac:dyDescent="0.2">
      <c r="A608" s="12">
        <v>592</v>
      </c>
      <c r="B608" s="13" t="str">
        <f t="shared" si="90"/>
        <v/>
      </c>
      <c r="C608" s="13" t="str">
        <f t="shared" si="91"/>
        <v/>
      </c>
      <c r="D608" s="13" t="str">
        <f t="shared" si="92"/>
        <v/>
      </c>
      <c r="E608" s="14" t="str">
        <f t="shared" si="93"/>
        <v/>
      </c>
      <c r="F608" s="14" t="str">
        <f t="shared" si="94"/>
        <v/>
      </c>
      <c r="G608" s="14" t="str">
        <f t="shared" si="95"/>
        <v/>
      </c>
      <c r="H608" s="14" t="str">
        <f t="shared" si="96"/>
        <v/>
      </c>
      <c r="I608" s="15" t="str">
        <f t="shared" si="97"/>
        <v/>
      </c>
      <c r="J608" s="15" t="str">
        <f t="shared" si="99"/>
        <v/>
      </c>
      <c r="K608" s="16" t="str">
        <f t="shared" si="98"/>
        <v/>
      </c>
      <c r="M608" t="str">
        <f>IFERROR(MATCH($C$5&amp;"|"&amp;RIGHT("000000"&amp;592,6),CalcRankKeyA,0),"")</f>
        <v/>
      </c>
      <c r="N608" t="str">
        <f>IFERROR(MATCH($C$5&amp;"|"&amp;RIGHT("000000"&amp;592,6),CalcRankKeyB,0),"")</f>
        <v/>
      </c>
    </row>
    <row r="609" spans="1:14" x14ac:dyDescent="0.2">
      <c r="A609" s="7">
        <v>593</v>
      </c>
      <c r="B609" s="8" t="str">
        <f t="shared" si="90"/>
        <v/>
      </c>
      <c r="C609" s="8" t="str">
        <f t="shared" si="91"/>
        <v/>
      </c>
      <c r="D609" s="8" t="str">
        <f t="shared" si="92"/>
        <v/>
      </c>
      <c r="E609" s="9" t="str">
        <f t="shared" si="93"/>
        <v/>
      </c>
      <c r="F609" s="9" t="str">
        <f t="shared" si="94"/>
        <v/>
      </c>
      <c r="G609" s="9" t="str">
        <f t="shared" si="95"/>
        <v/>
      </c>
      <c r="H609" s="9" t="str">
        <f t="shared" si="96"/>
        <v/>
      </c>
      <c r="I609" s="10" t="str">
        <f t="shared" si="97"/>
        <v/>
      </c>
      <c r="J609" s="10" t="str">
        <f t="shared" si="99"/>
        <v/>
      </c>
      <c r="K609" s="11" t="str">
        <f t="shared" si="98"/>
        <v/>
      </c>
      <c r="M609" t="str">
        <f>IFERROR(MATCH($C$5&amp;"|"&amp;RIGHT("000000"&amp;593,6),CalcRankKeyA,0),"")</f>
        <v/>
      </c>
      <c r="N609" t="str">
        <f>IFERROR(MATCH($C$5&amp;"|"&amp;RIGHT("000000"&amp;593,6),CalcRankKeyB,0),"")</f>
        <v/>
      </c>
    </row>
    <row r="610" spans="1:14" x14ac:dyDescent="0.2">
      <c r="A610" s="12">
        <v>594</v>
      </c>
      <c r="B610" s="13" t="str">
        <f t="shared" si="90"/>
        <v/>
      </c>
      <c r="C610" s="13" t="str">
        <f t="shared" si="91"/>
        <v/>
      </c>
      <c r="D610" s="13" t="str">
        <f t="shared" si="92"/>
        <v/>
      </c>
      <c r="E610" s="14" t="str">
        <f t="shared" si="93"/>
        <v/>
      </c>
      <c r="F610" s="14" t="str">
        <f t="shared" si="94"/>
        <v/>
      </c>
      <c r="G610" s="14" t="str">
        <f t="shared" si="95"/>
        <v/>
      </c>
      <c r="H610" s="14" t="str">
        <f t="shared" si="96"/>
        <v/>
      </c>
      <c r="I610" s="15" t="str">
        <f t="shared" si="97"/>
        <v/>
      </c>
      <c r="J610" s="15" t="str">
        <f t="shared" si="99"/>
        <v/>
      </c>
      <c r="K610" s="16" t="str">
        <f t="shared" si="98"/>
        <v/>
      </c>
      <c r="M610" t="str">
        <f>IFERROR(MATCH($C$5&amp;"|"&amp;RIGHT("000000"&amp;594,6),CalcRankKeyA,0),"")</f>
        <v/>
      </c>
      <c r="N610" t="str">
        <f>IFERROR(MATCH($C$5&amp;"|"&amp;RIGHT("000000"&amp;594,6),CalcRankKeyB,0),"")</f>
        <v/>
      </c>
    </row>
    <row r="611" spans="1:14" x14ac:dyDescent="0.2">
      <c r="A611" s="7">
        <v>595</v>
      </c>
      <c r="B611" s="8" t="str">
        <f t="shared" si="90"/>
        <v/>
      </c>
      <c r="C611" s="8" t="str">
        <f t="shared" si="91"/>
        <v/>
      </c>
      <c r="D611" s="8" t="str">
        <f t="shared" si="92"/>
        <v/>
      </c>
      <c r="E611" s="9" t="str">
        <f t="shared" si="93"/>
        <v/>
      </c>
      <c r="F611" s="9" t="str">
        <f t="shared" si="94"/>
        <v/>
      </c>
      <c r="G611" s="9" t="str">
        <f t="shared" si="95"/>
        <v/>
      </c>
      <c r="H611" s="9" t="str">
        <f t="shared" si="96"/>
        <v/>
      </c>
      <c r="I611" s="10" t="str">
        <f t="shared" si="97"/>
        <v/>
      </c>
      <c r="J611" s="10" t="str">
        <f t="shared" si="99"/>
        <v/>
      </c>
      <c r="K611" s="11" t="str">
        <f t="shared" si="98"/>
        <v/>
      </c>
      <c r="M611" t="str">
        <f>IFERROR(MATCH($C$5&amp;"|"&amp;RIGHT("000000"&amp;595,6),CalcRankKeyA,0),"")</f>
        <v/>
      </c>
      <c r="N611" t="str">
        <f>IFERROR(MATCH($C$5&amp;"|"&amp;RIGHT("000000"&amp;595,6),CalcRankKeyB,0),"")</f>
        <v/>
      </c>
    </row>
    <row r="612" spans="1:14" x14ac:dyDescent="0.2">
      <c r="A612" s="12">
        <v>596</v>
      </c>
      <c r="B612" s="13" t="str">
        <f t="shared" si="90"/>
        <v/>
      </c>
      <c r="C612" s="13" t="str">
        <f t="shared" si="91"/>
        <v/>
      </c>
      <c r="D612" s="13" t="str">
        <f t="shared" si="92"/>
        <v/>
      </c>
      <c r="E612" s="14" t="str">
        <f t="shared" si="93"/>
        <v/>
      </c>
      <c r="F612" s="14" t="str">
        <f t="shared" si="94"/>
        <v/>
      </c>
      <c r="G612" s="14" t="str">
        <f t="shared" si="95"/>
        <v/>
      </c>
      <c r="H612" s="14" t="str">
        <f t="shared" si="96"/>
        <v/>
      </c>
      <c r="I612" s="15" t="str">
        <f t="shared" si="97"/>
        <v/>
      </c>
      <c r="J612" s="15" t="str">
        <f t="shared" si="99"/>
        <v/>
      </c>
      <c r="K612" s="16" t="str">
        <f t="shared" si="98"/>
        <v/>
      </c>
      <c r="M612" t="str">
        <f>IFERROR(MATCH($C$5&amp;"|"&amp;RIGHT("000000"&amp;596,6),CalcRankKeyA,0),"")</f>
        <v/>
      </c>
      <c r="N612" t="str">
        <f>IFERROR(MATCH($C$5&amp;"|"&amp;RIGHT("000000"&amp;596,6),CalcRankKeyB,0),"")</f>
        <v/>
      </c>
    </row>
    <row r="613" spans="1:14" x14ac:dyDescent="0.2">
      <c r="A613" s="7">
        <v>597</v>
      </c>
      <c r="B613" s="8" t="str">
        <f t="shared" si="90"/>
        <v/>
      </c>
      <c r="C613" s="8" t="str">
        <f t="shared" si="91"/>
        <v/>
      </c>
      <c r="D613" s="8" t="str">
        <f t="shared" si="92"/>
        <v/>
      </c>
      <c r="E613" s="9" t="str">
        <f t="shared" si="93"/>
        <v/>
      </c>
      <c r="F613" s="9" t="str">
        <f t="shared" si="94"/>
        <v/>
      </c>
      <c r="G613" s="9" t="str">
        <f t="shared" si="95"/>
        <v/>
      </c>
      <c r="H613" s="9" t="str">
        <f t="shared" si="96"/>
        <v/>
      </c>
      <c r="I613" s="10" t="str">
        <f t="shared" si="97"/>
        <v/>
      </c>
      <c r="J613" s="10" t="str">
        <f t="shared" si="99"/>
        <v/>
      </c>
      <c r="K613" s="11" t="str">
        <f t="shared" si="98"/>
        <v/>
      </c>
      <c r="M613" t="str">
        <f>IFERROR(MATCH($C$5&amp;"|"&amp;RIGHT("000000"&amp;597,6),CalcRankKeyA,0),"")</f>
        <v/>
      </c>
      <c r="N613" t="str">
        <f>IFERROR(MATCH($C$5&amp;"|"&amp;RIGHT("000000"&amp;597,6),CalcRankKeyB,0),"")</f>
        <v/>
      </c>
    </row>
    <row r="614" spans="1:14" x14ac:dyDescent="0.2">
      <c r="A614" s="12">
        <v>598</v>
      </c>
      <c r="B614" s="13" t="str">
        <f t="shared" si="90"/>
        <v/>
      </c>
      <c r="C614" s="13" t="str">
        <f t="shared" si="91"/>
        <v/>
      </c>
      <c r="D614" s="13" t="str">
        <f t="shared" si="92"/>
        <v/>
      </c>
      <c r="E614" s="14" t="str">
        <f t="shared" si="93"/>
        <v/>
      </c>
      <c r="F614" s="14" t="str">
        <f t="shared" si="94"/>
        <v/>
      </c>
      <c r="G614" s="14" t="str">
        <f t="shared" si="95"/>
        <v/>
      </c>
      <c r="H614" s="14" t="str">
        <f t="shared" si="96"/>
        <v/>
      </c>
      <c r="I614" s="15" t="str">
        <f t="shared" si="97"/>
        <v/>
      </c>
      <c r="J614" s="15" t="str">
        <f t="shared" si="99"/>
        <v/>
      </c>
      <c r="K614" s="16" t="str">
        <f t="shared" si="98"/>
        <v/>
      </c>
      <c r="M614" t="str">
        <f>IFERROR(MATCH($C$5&amp;"|"&amp;RIGHT("000000"&amp;598,6),CalcRankKeyA,0),"")</f>
        <v/>
      </c>
      <c r="N614" t="str">
        <f>IFERROR(MATCH($C$5&amp;"|"&amp;RIGHT("000000"&amp;598,6),CalcRankKeyB,0),"")</f>
        <v/>
      </c>
    </row>
    <row r="615" spans="1:14" x14ac:dyDescent="0.2">
      <c r="A615" s="7">
        <v>599</v>
      </c>
      <c r="B615" s="8" t="str">
        <f t="shared" si="90"/>
        <v/>
      </c>
      <c r="C615" s="8" t="str">
        <f t="shared" si="91"/>
        <v/>
      </c>
      <c r="D615" s="8" t="str">
        <f t="shared" si="92"/>
        <v/>
      </c>
      <c r="E615" s="9" t="str">
        <f t="shared" si="93"/>
        <v/>
      </c>
      <c r="F615" s="9" t="str">
        <f t="shared" si="94"/>
        <v/>
      </c>
      <c r="G615" s="9" t="str">
        <f t="shared" si="95"/>
        <v/>
      </c>
      <c r="H615" s="9" t="str">
        <f t="shared" si="96"/>
        <v/>
      </c>
      <c r="I615" s="10" t="str">
        <f t="shared" si="97"/>
        <v/>
      </c>
      <c r="J615" s="10" t="str">
        <f t="shared" si="99"/>
        <v/>
      </c>
      <c r="K615" s="11" t="str">
        <f t="shared" si="98"/>
        <v/>
      </c>
      <c r="M615" t="str">
        <f>IFERROR(MATCH($C$5&amp;"|"&amp;RIGHT("000000"&amp;599,6),CalcRankKeyA,0),"")</f>
        <v/>
      </c>
      <c r="N615" t="str">
        <f>IFERROR(MATCH($C$5&amp;"|"&amp;RIGHT("000000"&amp;599,6),CalcRankKeyB,0),"")</f>
        <v/>
      </c>
    </row>
    <row r="616" spans="1:14" x14ac:dyDescent="0.2">
      <c r="A616" s="12">
        <v>600</v>
      </c>
      <c r="B616" s="13" t="str">
        <f t="shared" si="90"/>
        <v/>
      </c>
      <c r="C616" s="13" t="str">
        <f t="shared" si="91"/>
        <v/>
      </c>
      <c r="D616" s="13" t="str">
        <f t="shared" si="92"/>
        <v/>
      </c>
      <c r="E616" s="14" t="str">
        <f t="shared" si="93"/>
        <v/>
      </c>
      <c r="F616" s="14" t="str">
        <f t="shared" si="94"/>
        <v/>
      </c>
      <c r="G616" s="14" t="str">
        <f t="shared" si="95"/>
        <v/>
      </c>
      <c r="H616" s="14" t="str">
        <f t="shared" si="96"/>
        <v/>
      </c>
      <c r="I616" s="15" t="str">
        <f t="shared" si="97"/>
        <v/>
      </c>
      <c r="J616" s="15" t="str">
        <f t="shared" si="99"/>
        <v/>
      </c>
      <c r="K616" s="16" t="str">
        <f t="shared" si="98"/>
        <v/>
      </c>
      <c r="M616" t="str">
        <f>IFERROR(MATCH($C$5&amp;"|"&amp;RIGHT("000000"&amp;600,6),CalcRankKeyA,0),"")</f>
        <v/>
      </c>
      <c r="N616" t="str">
        <f>IFERROR(MATCH($C$5&amp;"|"&amp;RIGHT("000000"&amp;600,6),CalcRankKeyB,0),"")</f>
        <v/>
      </c>
    </row>
    <row r="617" spans="1:14" x14ac:dyDescent="0.2">
      <c r="A617" s="7">
        <v>601</v>
      </c>
      <c r="B617" s="8" t="str">
        <f t="shared" si="90"/>
        <v/>
      </c>
      <c r="C617" s="8" t="str">
        <f t="shared" si="91"/>
        <v/>
      </c>
      <c r="D617" s="8" t="str">
        <f t="shared" si="92"/>
        <v/>
      </c>
      <c r="E617" s="9" t="str">
        <f t="shared" si="93"/>
        <v/>
      </c>
      <c r="F617" s="9" t="str">
        <f t="shared" si="94"/>
        <v/>
      </c>
      <c r="G617" s="9" t="str">
        <f t="shared" si="95"/>
        <v/>
      </c>
      <c r="H617" s="9" t="str">
        <f t="shared" si="96"/>
        <v/>
      </c>
      <c r="I617" s="10" t="str">
        <f t="shared" si="97"/>
        <v/>
      </c>
      <c r="J617" s="10" t="str">
        <f t="shared" si="99"/>
        <v/>
      </c>
      <c r="K617" s="11" t="str">
        <f t="shared" si="98"/>
        <v/>
      </c>
      <c r="M617" t="str">
        <f>IFERROR(MATCH($C$5&amp;"|"&amp;RIGHT("000000"&amp;601,6),CalcRankKeyA,0),"")</f>
        <v/>
      </c>
      <c r="N617" t="str">
        <f>IFERROR(MATCH($C$5&amp;"|"&amp;RIGHT("000000"&amp;601,6),CalcRankKeyB,0),"")</f>
        <v/>
      </c>
    </row>
    <row r="618" spans="1:14" x14ac:dyDescent="0.2">
      <c r="A618" s="12">
        <v>602</v>
      </c>
      <c r="B618" s="13" t="str">
        <f t="shared" si="90"/>
        <v/>
      </c>
      <c r="C618" s="13" t="str">
        <f t="shared" si="91"/>
        <v/>
      </c>
      <c r="D618" s="13" t="str">
        <f t="shared" si="92"/>
        <v/>
      </c>
      <c r="E618" s="14" t="str">
        <f t="shared" si="93"/>
        <v/>
      </c>
      <c r="F618" s="14" t="str">
        <f t="shared" si="94"/>
        <v/>
      </c>
      <c r="G618" s="14" t="str">
        <f t="shared" si="95"/>
        <v/>
      </c>
      <c r="H618" s="14" t="str">
        <f t="shared" si="96"/>
        <v/>
      </c>
      <c r="I618" s="15" t="str">
        <f t="shared" si="97"/>
        <v/>
      </c>
      <c r="J618" s="15" t="str">
        <f t="shared" si="99"/>
        <v/>
      </c>
      <c r="K618" s="16" t="str">
        <f t="shared" si="98"/>
        <v/>
      </c>
      <c r="M618" t="str">
        <f>IFERROR(MATCH($C$5&amp;"|"&amp;RIGHT("000000"&amp;602,6),CalcRankKeyA,0),"")</f>
        <v/>
      </c>
      <c r="N618" t="str">
        <f>IFERROR(MATCH($C$5&amp;"|"&amp;RIGHT("000000"&amp;602,6),CalcRankKeyB,0),"")</f>
        <v/>
      </c>
    </row>
    <row r="619" spans="1:14" x14ac:dyDescent="0.2">
      <c r="A619" s="7">
        <v>603</v>
      </c>
      <c r="B619" s="8" t="str">
        <f t="shared" si="90"/>
        <v/>
      </c>
      <c r="C619" s="8" t="str">
        <f t="shared" si="91"/>
        <v/>
      </c>
      <c r="D619" s="8" t="str">
        <f t="shared" si="92"/>
        <v/>
      </c>
      <c r="E619" s="9" t="str">
        <f t="shared" si="93"/>
        <v/>
      </c>
      <c r="F619" s="9" t="str">
        <f t="shared" si="94"/>
        <v/>
      </c>
      <c r="G619" s="9" t="str">
        <f t="shared" si="95"/>
        <v/>
      </c>
      <c r="H619" s="9" t="str">
        <f t="shared" si="96"/>
        <v/>
      </c>
      <c r="I619" s="10" t="str">
        <f t="shared" si="97"/>
        <v/>
      </c>
      <c r="J619" s="10" t="str">
        <f t="shared" si="99"/>
        <v/>
      </c>
      <c r="K619" s="11" t="str">
        <f t="shared" si="98"/>
        <v/>
      </c>
      <c r="M619" t="str">
        <f>IFERROR(MATCH($C$5&amp;"|"&amp;RIGHT("000000"&amp;603,6),CalcRankKeyA,0),"")</f>
        <v/>
      </c>
      <c r="N619" t="str">
        <f>IFERROR(MATCH($C$5&amp;"|"&amp;RIGHT("000000"&amp;603,6),CalcRankKeyB,0),"")</f>
        <v/>
      </c>
    </row>
    <row r="620" spans="1:14" x14ac:dyDescent="0.2">
      <c r="A620" s="12">
        <v>604</v>
      </c>
      <c r="B620" s="13" t="str">
        <f t="shared" si="90"/>
        <v/>
      </c>
      <c r="C620" s="13" t="str">
        <f t="shared" si="91"/>
        <v/>
      </c>
      <c r="D620" s="13" t="str">
        <f t="shared" si="92"/>
        <v/>
      </c>
      <c r="E620" s="14" t="str">
        <f t="shared" si="93"/>
        <v/>
      </c>
      <c r="F620" s="14" t="str">
        <f t="shared" si="94"/>
        <v/>
      </c>
      <c r="G620" s="14" t="str">
        <f t="shared" si="95"/>
        <v/>
      </c>
      <c r="H620" s="14" t="str">
        <f t="shared" si="96"/>
        <v/>
      </c>
      <c r="I620" s="15" t="str">
        <f t="shared" si="97"/>
        <v/>
      </c>
      <c r="J620" s="15" t="str">
        <f t="shared" si="99"/>
        <v/>
      </c>
      <c r="K620" s="16" t="str">
        <f t="shared" si="98"/>
        <v/>
      </c>
      <c r="M620" t="str">
        <f>IFERROR(MATCH($C$5&amp;"|"&amp;RIGHT("000000"&amp;604,6),CalcRankKeyA,0),"")</f>
        <v/>
      </c>
      <c r="N620" t="str">
        <f>IFERROR(MATCH($C$5&amp;"|"&amp;RIGHT("000000"&amp;604,6),CalcRankKeyB,0),"")</f>
        <v/>
      </c>
    </row>
    <row r="621" spans="1:14" x14ac:dyDescent="0.2">
      <c r="A621" s="7">
        <v>605</v>
      </c>
      <c r="B621" s="8" t="str">
        <f t="shared" si="90"/>
        <v/>
      </c>
      <c r="C621" s="8" t="str">
        <f t="shared" si="91"/>
        <v/>
      </c>
      <c r="D621" s="8" t="str">
        <f t="shared" si="92"/>
        <v/>
      </c>
      <c r="E621" s="9" t="str">
        <f t="shared" si="93"/>
        <v/>
      </c>
      <c r="F621" s="9" t="str">
        <f t="shared" si="94"/>
        <v/>
      </c>
      <c r="G621" s="9" t="str">
        <f t="shared" si="95"/>
        <v/>
      </c>
      <c r="H621" s="9" t="str">
        <f t="shared" si="96"/>
        <v/>
      </c>
      <c r="I621" s="10" t="str">
        <f t="shared" si="97"/>
        <v/>
      </c>
      <c r="J621" s="10" t="str">
        <f t="shared" si="99"/>
        <v/>
      </c>
      <c r="K621" s="11" t="str">
        <f t="shared" si="98"/>
        <v/>
      </c>
      <c r="M621" t="str">
        <f>IFERROR(MATCH($C$5&amp;"|"&amp;RIGHT("000000"&amp;605,6),CalcRankKeyA,0),"")</f>
        <v/>
      </c>
      <c r="N621" t="str">
        <f>IFERROR(MATCH($C$5&amp;"|"&amp;RIGHT("000000"&amp;605,6),CalcRankKeyB,0),"")</f>
        <v/>
      </c>
    </row>
    <row r="622" spans="1:14" x14ac:dyDescent="0.2">
      <c r="A622" s="12">
        <v>606</v>
      </c>
      <c r="B622" s="13" t="str">
        <f t="shared" si="90"/>
        <v/>
      </c>
      <c r="C622" s="13" t="str">
        <f t="shared" si="91"/>
        <v/>
      </c>
      <c r="D622" s="13" t="str">
        <f t="shared" si="92"/>
        <v/>
      </c>
      <c r="E622" s="14" t="str">
        <f t="shared" si="93"/>
        <v/>
      </c>
      <c r="F622" s="14" t="str">
        <f t="shared" si="94"/>
        <v/>
      </c>
      <c r="G622" s="14" t="str">
        <f t="shared" si="95"/>
        <v/>
      </c>
      <c r="H622" s="14" t="str">
        <f t="shared" si="96"/>
        <v/>
      </c>
      <c r="I622" s="15" t="str">
        <f t="shared" si="97"/>
        <v/>
      </c>
      <c r="J622" s="15" t="str">
        <f t="shared" si="99"/>
        <v/>
      </c>
      <c r="K622" s="16" t="str">
        <f t="shared" si="98"/>
        <v/>
      </c>
      <c r="M622" t="str">
        <f>IFERROR(MATCH($C$5&amp;"|"&amp;RIGHT("000000"&amp;606,6),CalcRankKeyA,0),"")</f>
        <v/>
      </c>
      <c r="N622" t="str">
        <f>IFERROR(MATCH($C$5&amp;"|"&amp;RIGHT("000000"&amp;606,6),CalcRankKeyB,0),"")</f>
        <v/>
      </c>
    </row>
    <row r="623" spans="1:14" x14ac:dyDescent="0.2">
      <c r="A623" s="7">
        <v>607</v>
      </c>
      <c r="B623" s="8" t="str">
        <f t="shared" si="90"/>
        <v/>
      </c>
      <c r="C623" s="8" t="str">
        <f t="shared" si="91"/>
        <v/>
      </c>
      <c r="D623" s="8" t="str">
        <f t="shared" si="92"/>
        <v/>
      </c>
      <c r="E623" s="9" t="str">
        <f t="shared" si="93"/>
        <v/>
      </c>
      <c r="F623" s="9" t="str">
        <f t="shared" si="94"/>
        <v/>
      </c>
      <c r="G623" s="9" t="str">
        <f t="shared" si="95"/>
        <v/>
      </c>
      <c r="H623" s="9" t="str">
        <f t="shared" si="96"/>
        <v/>
      </c>
      <c r="I623" s="10" t="str">
        <f t="shared" si="97"/>
        <v/>
      </c>
      <c r="J623" s="10" t="str">
        <f t="shared" si="99"/>
        <v/>
      </c>
      <c r="K623" s="11" t="str">
        <f t="shared" si="98"/>
        <v/>
      </c>
      <c r="M623" t="str">
        <f>IFERROR(MATCH($C$5&amp;"|"&amp;RIGHT("000000"&amp;607,6),CalcRankKeyA,0),"")</f>
        <v/>
      </c>
      <c r="N623" t="str">
        <f>IFERROR(MATCH($C$5&amp;"|"&amp;RIGHT("000000"&amp;607,6),CalcRankKeyB,0),"")</f>
        <v/>
      </c>
    </row>
    <row r="624" spans="1:14" x14ac:dyDescent="0.2">
      <c r="A624" s="12">
        <v>608</v>
      </c>
      <c r="B624" s="13" t="str">
        <f t="shared" si="90"/>
        <v/>
      </c>
      <c r="C624" s="13" t="str">
        <f t="shared" si="91"/>
        <v/>
      </c>
      <c r="D624" s="13" t="str">
        <f t="shared" si="92"/>
        <v/>
      </c>
      <c r="E624" s="14" t="str">
        <f t="shared" si="93"/>
        <v/>
      </c>
      <c r="F624" s="14" t="str">
        <f t="shared" si="94"/>
        <v/>
      </c>
      <c r="G624" s="14" t="str">
        <f t="shared" si="95"/>
        <v/>
      </c>
      <c r="H624" s="14" t="str">
        <f t="shared" si="96"/>
        <v/>
      </c>
      <c r="I624" s="15" t="str">
        <f t="shared" si="97"/>
        <v/>
      </c>
      <c r="J624" s="15" t="str">
        <f t="shared" si="99"/>
        <v/>
      </c>
      <c r="K624" s="16" t="str">
        <f t="shared" si="98"/>
        <v/>
      </c>
      <c r="M624" t="str">
        <f>IFERROR(MATCH($C$5&amp;"|"&amp;RIGHT("000000"&amp;608,6),CalcRankKeyA,0),"")</f>
        <v/>
      </c>
      <c r="N624" t="str">
        <f>IFERROR(MATCH($C$5&amp;"|"&amp;RIGHT("000000"&amp;608,6),CalcRankKeyB,0),"")</f>
        <v/>
      </c>
    </row>
    <row r="625" spans="1:14" x14ac:dyDescent="0.2">
      <c r="A625" s="7">
        <v>609</v>
      </c>
      <c r="B625" s="8" t="str">
        <f t="shared" si="90"/>
        <v/>
      </c>
      <c r="C625" s="8" t="str">
        <f t="shared" si="91"/>
        <v/>
      </c>
      <c r="D625" s="8" t="str">
        <f t="shared" si="92"/>
        <v/>
      </c>
      <c r="E625" s="9" t="str">
        <f t="shared" si="93"/>
        <v/>
      </c>
      <c r="F625" s="9" t="str">
        <f t="shared" si="94"/>
        <v/>
      </c>
      <c r="G625" s="9" t="str">
        <f t="shared" si="95"/>
        <v/>
      </c>
      <c r="H625" s="9" t="str">
        <f t="shared" si="96"/>
        <v/>
      </c>
      <c r="I625" s="10" t="str">
        <f t="shared" si="97"/>
        <v/>
      </c>
      <c r="J625" s="10" t="str">
        <f t="shared" si="99"/>
        <v/>
      </c>
      <c r="K625" s="11" t="str">
        <f t="shared" si="98"/>
        <v/>
      </c>
      <c r="M625" t="str">
        <f>IFERROR(MATCH($C$5&amp;"|"&amp;RIGHT("000000"&amp;609,6),CalcRankKeyA,0),"")</f>
        <v/>
      </c>
      <c r="N625" t="str">
        <f>IFERROR(MATCH($C$5&amp;"|"&amp;RIGHT("000000"&amp;609,6),CalcRankKeyB,0),"")</f>
        <v/>
      </c>
    </row>
    <row r="626" spans="1:14" x14ac:dyDescent="0.2">
      <c r="A626" s="12">
        <v>610</v>
      </c>
      <c r="B626" s="13" t="str">
        <f t="shared" si="90"/>
        <v/>
      </c>
      <c r="C626" s="13" t="str">
        <f t="shared" si="91"/>
        <v/>
      </c>
      <c r="D626" s="13" t="str">
        <f t="shared" si="92"/>
        <v/>
      </c>
      <c r="E626" s="14" t="str">
        <f t="shared" si="93"/>
        <v/>
      </c>
      <c r="F626" s="14" t="str">
        <f t="shared" si="94"/>
        <v/>
      </c>
      <c r="G626" s="14" t="str">
        <f t="shared" si="95"/>
        <v/>
      </c>
      <c r="H626" s="14" t="str">
        <f t="shared" si="96"/>
        <v/>
      </c>
      <c r="I626" s="15" t="str">
        <f t="shared" si="97"/>
        <v/>
      </c>
      <c r="J626" s="15" t="str">
        <f t="shared" si="99"/>
        <v/>
      </c>
      <c r="K626" s="16" t="str">
        <f t="shared" si="98"/>
        <v/>
      </c>
      <c r="M626" t="str">
        <f>IFERROR(MATCH($C$5&amp;"|"&amp;RIGHT("000000"&amp;610,6),CalcRankKeyA,0),"")</f>
        <v/>
      </c>
      <c r="N626" t="str">
        <f>IFERROR(MATCH($C$5&amp;"|"&amp;RIGHT("000000"&amp;610,6),CalcRankKeyB,0),"")</f>
        <v/>
      </c>
    </row>
    <row r="627" spans="1:14" x14ac:dyDescent="0.2">
      <c r="A627" s="7">
        <v>611</v>
      </c>
      <c r="B627" s="8" t="str">
        <f t="shared" si="90"/>
        <v/>
      </c>
      <c r="C627" s="8" t="str">
        <f t="shared" si="91"/>
        <v/>
      </c>
      <c r="D627" s="8" t="str">
        <f t="shared" si="92"/>
        <v/>
      </c>
      <c r="E627" s="9" t="str">
        <f t="shared" si="93"/>
        <v/>
      </c>
      <c r="F627" s="9" t="str">
        <f t="shared" si="94"/>
        <v/>
      </c>
      <c r="G627" s="9" t="str">
        <f t="shared" si="95"/>
        <v/>
      </c>
      <c r="H627" s="9" t="str">
        <f t="shared" si="96"/>
        <v/>
      </c>
      <c r="I627" s="10" t="str">
        <f t="shared" si="97"/>
        <v/>
      </c>
      <c r="J627" s="10" t="str">
        <f t="shared" si="99"/>
        <v/>
      </c>
      <c r="K627" s="11" t="str">
        <f t="shared" si="98"/>
        <v/>
      </c>
      <c r="M627" t="str">
        <f>IFERROR(MATCH($C$5&amp;"|"&amp;RIGHT("000000"&amp;611,6),CalcRankKeyA,0),"")</f>
        <v/>
      </c>
      <c r="N627" t="str">
        <f>IFERROR(MATCH($C$5&amp;"|"&amp;RIGHT("000000"&amp;611,6),CalcRankKeyB,0),"")</f>
        <v/>
      </c>
    </row>
    <row r="628" spans="1:14" x14ac:dyDescent="0.2">
      <c r="A628" s="12">
        <v>612</v>
      </c>
      <c r="B628" s="13" t="str">
        <f t="shared" si="90"/>
        <v/>
      </c>
      <c r="C628" s="13" t="str">
        <f t="shared" si="91"/>
        <v/>
      </c>
      <c r="D628" s="13" t="str">
        <f t="shared" si="92"/>
        <v/>
      </c>
      <c r="E628" s="14" t="str">
        <f t="shared" si="93"/>
        <v/>
      </c>
      <c r="F628" s="14" t="str">
        <f t="shared" si="94"/>
        <v/>
      </c>
      <c r="G628" s="14" t="str">
        <f t="shared" si="95"/>
        <v/>
      </c>
      <c r="H628" s="14" t="str">
        <f t="shared" si="96"/>
        <v/>
      </c>
      <c r="I628" s="15" t="str">
        <f t="shared" si="97"/>
        <v/>
      </c>
      <c r="J628" s="15" t="str">
        <f t="shared" si="99"/>
        <v/>
      </c>
      <c r="K628" s="16" t="str">
        <f t="shared" si="98"/>
        <v/>
      </c>
      <c r="M628" t="str">
        <f>IFERROR(MATCH($C$5&amp;"|"&amp;RIGHT("000000"&amp;612,6),CalcRankKeyA,0),"")</f>
        <v/>
      </c>
      <c r="N628" t="str">
        <f>IFERROR(MATCH($C$5&amp;"|"&amp;RIGHT("000000"&amp;612,6),CalcRankKeyB,0),"")</f>
        <v/>
      </c>
    </row>
    <row r="629" spans="1:14" x14ac:dyDescent="0.2">
      <c r="A629" s="7">
        <v>613</v>
      </c>
      <c r="B629" s="8" t="str">
        <f t="shared" si="90"/>
        <v/>
      </c>
      <c r="C629" s="8" t="str">
        <f t="shared" si="91"/>
        <v/>
      </c>
      <c r="D629" s="8" t="str">
        <f t="shared" si="92"/>
        <v/>
      </c>
      <c r="E629" s="9" t="str">
        <f t="shared" si="93"/>
        <v/>
      </c>
      <c r="F629" s="9" t="str">
        <f t="shared" si="94"/>
        <v/>
      </c>
      <c r="G629" s="9" t="str">
        <f t="shared" si="95"/>
        <v/>
      </c>
      <c r="H629" s="9" t="str">
        <f t="shared" si="96"/>
        <v/>
      </c>
      <c r="I629" s="10" t="str">
        <f t="shared" si="97"/>
        <v/>
      </c>
      <c r="J629" s="10" t="str">
        <f t="shared" si="99"/>
        <v/>
      </c>
      <c r="K629" s="11" t="str">
        <f t="shared" si="98"/>
        <v/>
      </c>
      <c r="M629" t="str">
        <f>IFERROR(MATCH($C$5&amp;"|"&amp;RIGHT("000000"&amp;613,6),CalcRankKeyA,0),"")</f>
        <v/>
      </c>
      <c r="N629" t="str">
        <f>IFERROR(MATCH($C$5&amp;"|"&amp;RIGHT("000000"&amp;613,6),CalcRankKeyB,0),"")</f>
        <v/>
      </c>
    </row>
    <row r="630" spans="1:14" x14ac:dyDescent="0.2">
      <c r="A630" s="12">
        <v>614</v>
      </c>
      <c r="B630" s="13" t="str">
        <f t="shared" si="90"/>
        <v/>
      </c>
      <c r="C630" s="13" t="str">
        <f t="shared" si="91"/>
        <v/>
      </c>
      <c r="D630" s="13" t="str">
        <f t="shared" si="92"/>
        <v/>
      </c>
      <c r="E630" s="14" t="str">
        <f t="shared" si="93"/>
        <v/>
      </c>
      <c r="F630" s="14" t="str">
        <f t="shared" si="94"/>
        <v/>
      </c>
      <c r="G630" s="14" t="str">
        <f t="shared" si="95"/>
        <v/>
      </c>
      <c r="H630" s="14" t="str">
        <f t="shared" si="96"/>
        <v/>
      </c>
      <c r="I630" s="15" t="str">
        <f t="shared" si="97"/>
        <v/>
      </c>
      <c r="J630" s="15" t="str">
        <f t="shared" si="99"/>
        <v/>
      </c>
      <c r="K630" s="16" t="str">
        <f t="shared" si="98"/>
        <v/>
      </c>
      <c r="M630" t="str">
        <f>IFERROR(MATCH($C$5&amp;"|"&amp;RIGHT("000000"&amp;614,6),CalcRankKeyA,0),"")</f>
        <v/>
      </c>
      <c r="N630" t="str">
        <f>IFERROR(MATCH($C$5&amp;"|"&amp;RIGHT("000000"&amp;614,6),CalcRankKeyB,0),"")</f>
        <v/>
      </c>
    </row>
    <row r="631" spans="1:14" x14ac:dyDescent="0.2">
      <c r="A631" s="7">
        <v>615</v>
      </c>
      <c r="B631" s="8" t="str">
        <f t="shared" si="90"/>
        <v/>
      </c>
      <c r="C631" s="8" t="str">
        <f t="shared" si="91"/>
        <v/>
      </c>
      <c r="D631" s="8" t="str">
        <f t="shared" si="92"/>
        <v/>
      </c>
      <c r="E631" s="9" t="str">
        <f t="shared" si="93"/>
        <v/>
      </c>
      <c r="F631" s="9" t="str">
        <f t="shared" si="94"/>
        <v/>
      </c>
      <c r="G631" s="9" t="str">
        <f t="shared" si="95"/>
        <v/>
      </c>
      <c r="H631" s="9" t="str">
        <f t="shared" si="96"/>
        <v/>
      </c>
      <c r="I631" s="10" t="str">
        <f t="shared" si="97"/>
        <v/>
      </c>
      <c r="J631" s="10" t="str">
        <f t="shared" si="99"/>
        <v/>
      </c>
      <c r="K631" s="11" t="str">
        <f t="shared" si="98"/>
        <v/>
      </c>
      <c r="M631" t="str">
        <f>IFERROR(MATCH($C$5&amp;"|"&amp;RIGHT("000000"&amp;615,6),CalcRankKeyA,0),"")</f>
        <v/>
      </c>
      <c r="N631" t="str">
        <f>IFERROR(MATCH($C$5&amp;"|"&amp;RIGHT("000000"&amp;615,6),CalcRankKeyB,0),"")</f>
        <v/>
      </c>
    </row>
    <row r="632" spans="1:14" x14ac:dyDescent="0.2">
      <c r="A632" s="12">
        <v>616</v>
      </c>
      <c r="B632" s="13" t="str">
        <f t="shared" si="90"/>
        <v/>
      </c>
      <c r="C632" s="13" t="str">
        <f t="shared" si="91"/>
        <v/>
      </c>
      <c r="D632" s="13" t="str">
        <f t="shared" si="92"/>
        <v/>
      </c>
      <c r="E632" s="14" t="str">
        <f t="shared" si="93"/>
        <v/>
      </c>
      <c r="F632" s="14" t="str">
        <f t="shared" si="94"/>
        <v/>
      </c>
      <c r="G632" s="14" t="str">
        <f t="shared" si="95"/>
        <v/>
      </c>
      <c r="H632" s="14" t="str">
        <f t="shared" si="96"/>
        <v/>
      </c>
      <c r="I632" s="15" t="str">
        <f t="shared" si="97"/>
        <v/>
      </c>
      <c r="J632" s="15" t="str">
        <f t="shared" si="99"/>
        <v/>
      </c>
      <c r="K632" s="16" t="str">
        <f t="shared" si="98"/>
        <v/>
      </c>
      <c r="M632" t="str">
        <f>IFERROR(MATCH($C$5&amp;"|"&amp;RIGHT("000000"&amp;616,6),CalcRankKeyA,0),"")</f>
        <v/>
      </c>
      <c r="N632" t="str">
        <f>IFERROR(MATCH($C$5&amp;"|"&amp;RIGHT("000000"&amp;616,6),CalcRankKeyB,0),"")</f>
        <v/>
      </c>
    </row>
    <row r="633" spans="1:14" x14ac:dyDescent="0.2">
      <c r="A633" s="7">
        <v>617</v>
      </c>
      <c r="B633" s="8" t="str">
        <f t="shared" si="90"/>
        <v/>
      </c>
      <c r="C633" s="8" t="str">
        <f t="shared" si="91"/>
        <v/>
      </c>
      <c r="D633" s="8" t="str">
        <f t="shared" si="92"/>
        <v/>
      </c>
      <c r="E633" s="9" t="str">
        <f t="shared" si="93"/>
        <v/>
      </c>
      <c r="F633" s="9" t="str">
        <f t="shared" si="94"/>
        <v/>
      </c>
      <c r="G633" s="9" t="str">
        <f t="shared" si="95"/>
        <v/>
      </c>
      <c r="H633" s="9" t="str">
        <f t="shared" si="96"/>
        <v/>
      </c>
      <c r="I633" s="10" t="str">
        <f t="shared" si="97"/>
        <v/>
      </c>
      <c r="J633" s="10" t="str">
        <f t="shared" si="99"/>
        <v/>
      </c>
      <c r="K633" s="11" t="str">
        <f t="shared" si="98"/>
        <v/>
      </c>
      <c r="M633" t="str">
        <f>IFERROR(MATCH($C$5&amp;"|"&amp;RIGHT("000000"&amp;617,6),CalcRankKeyA,0),"")</f>
        <v/>
      </c>
      <c r="N633" t="str">
        <f>IFERROR(MATCH($C$5&amp;"|"&amp;RIGHT("000000"&amp;617,6),CalcRankKeyB,0),"")</f>
        <v/>
      </c>
    </row>
    <row r="634" spans="1:14" x14ac:dyDescent="0.2">
      <c r="A634" s="12">
        <v>618</v>
      </c>
      <c r="B634" s="13" t="str">
        <f t="shared" si="90"/>
        <v/>
      </c>
      <c r="C634" s="13" t="str">
        <f t="shared" si="91"/>
        <v/>
      </c>
      <c r="D634" s="13" t="str">
        <f t="shared" si="92"/>
        <v/>
      </c>
      <c r="E634" s="14" t="str">
        <f t="shared" si="93"/>
        <v/>
      </c>
      <c r="F634" s="14" t="str">
        <f t="shared" si="94"/>
        <v/>
      </c>
      <c r="G634" s="14" t="str">
        <f t="shared" si="95"/>
        <v/>
      </c>
      <c r="H634" s="14" t="str">
        <f t="shared" si="96"/>
        <v/>
      </c>
      <c r="I634" s="15" t="str">
        <f t="shared" si="97"/>
        <v/>
      </c>
      <c r="J634" s="15" t="str">
        <f t="shared" si="99"/>
        <v/>
      </c>
      <c r="K634" s="16" t="str">
        <f t="shared" si="98"/>
        <v/>
      </c>
      <c r="M634" t="str">
        <f>IFERROR(MATCH($C$5&amp;"|"&amp;RIGHT("000000"&amp;618,6),CalcRankKeyA,0),"")</f>
        <v/>
      </c>
      <c r="N634" t="str">
        <f>IFERROR(MATCH($C$5&amp;"|"&amp;RIGHT("000000"&amp;618,6),CalcRankKeyB,0),"")</f>
        <v/>
      </c>
    </row>
    <row r="635" spans="1:14" x14ac:dyDescent="0.2">
      <c r="A635" s="7">
        <v>619</v>
      </c>
      <c r="B635" s="8" t="str">
        <f t="shared" si="90"/>
        <v/>
      </c>
      <c r="C635" s="8" t="str">
        <f t="shared" si="91"/>
        <v/>
      </c>
      <c r="D635" s="8" t="str">
        <f t="shared" si="92"/>
        <v/>
      </c>
      <c r="E635" s="9" t="str">
        <f t="shared" si="93"/>
        <v/>
      </c>
      <c r="F635" s="9" t="str">
        <f t="shared" si="94"/>
        <v/>
      </c>
      <c r="G635" s="9" t="str">
        <f t="shared" si="95"/>
        <v/>
      </c>
      <c r="H635" s="9" t="str">
        <f t="shared" si="96"/>
        <v/>
      </c>
      <c r="I635" s="10" t="str">
        <f t="shared" si="97"/>
        <v/>
      </c>
      <c r="J635" s="10" t="str">
        <f t="shared" si="99"/>
        <v/>
      </c>
      <c r="K635" s="11" t="str">
        <f t="shared" si="98"/>
        <v/>
      </c>
      <c r="M635" t="str">
        <f>IFERROR(MATCH($C$5&amp;"|"&amp;RIGHT("000000"&amp;619,6),CalcRankKeyA,0),"")</f>
        <v/>
      </c>
      <c r="N635" t="str">
        <f>IFERROR(MATCH($C$5&amp;"|"&amp;RIGHT("000000"&amp;619,6),CalcRankKeyB,0),"")</f>
        <v/>
      </c>
    </row>
    <row r="636" spans="1:14" x14ac:dyDescent="0.2">
      <c r="A636" s="12">
        <v>620</v>
      </c>
      <c r="B636" s="13" t="str">
        <f t="shared" si="90"/>
        <v/>
      </c>
      <c r="C636" s="13" t="str">
        <f t="shared" si="91"/>
        <v/>
      </c>
      <c r="D636" s="13" t="str">
        <f t="shared" si="92"/>
        <v/>
      </c>
      <c r="E636" s="14" t="str">
        <f t="shared" si="93"/>
        <v/>
      </c>
      <c r="F636" s="14" t="str">
        <f t="shared" si="94"/>
        <v/>
      </c>
      <c r="G636" s="14" t="str">
        <f t="shared" si="95"/>
        <v/>
      </c>
      <c r="H636" s="14" t="str">
        <f t="shared" si="96"/>
        <v/>
      </c>
      <c r="I636" s="15" t="str">
        <f t="shared" si="97"/>
        <v/>
      </c>
      <c r="J636" s="15" t="str">
        <f t="shared" si="99"/>
        <v/>
      </c>
      <c r="K636" s="16" t="str">
        <f t="shared" si="98"/>
        <v/>
      </c>
      <c r="M636" t="str">
        <f>IFERROR(MATCH($C$5&amp;"|"&amp;RIGHT("000000"&amp;620,6),CalcRankKeyA,0),"")</f>
        <v/>
      </c>
      <c r="N636" t="str">
        <f>IFERROR(MATCH($C$5&amp;"|"&amp;RIGHT("000000"&amp;620,6),CalcRankKeyB,0),"")</f>
        <v/>
      </c>
    </row>
    <row r="637" spans="1:14" x14ac:dyDescent="0.2">
      <c r="A637" s="7">
        <v>621</v>
      </c>
      <c r="B637" s="8" t="str">
        <f t="shared" si="90"/>
        <v/>
      </c>
      <c r="C637" s="8" t="str">
        <f t="shared" si="91"/>
        <v/>
      </c>
      <c r="D637" s="8" t="str">
        <f t="shared" si="92"/>
        <v/>
      </c>
      <c r="E637" s="9" t="str">
        <f t="shared" si="93"/>
        <v/>
      </c>
      <c r="F637" s="9" t="str">
        <f t="shared" si="94"/>
        <v/>
      </c>
      <c r="G637" s="9" t="str">
        <f t="shared" si="95"/>
        <v/>
      </c>
      <c r="H637" s="9" t="str">
        <f t="shared" si="96"/>
        <v/>
      </c>
      <c r="I637" s="10" t="str">
        <f t="shared" si="97"/>
        <v/>
      </c>
      <c r="J637" s="10" t="str">
        <f t="shared" si="99"/>
        <v/>
      </c>
      <c r="K637" s="11" t="str">
        <f t="shared" si="98"/>
        <v/>
      </c>
      <c r="M637" t="str">
        <f>IFERROR(MATCH($C$5&amp;"|"&amp;RIGHT("000000"&amp;621,6),CalcRankKeyA,0),"")</f>
        <v/>
      </c>
      <c r="N637" t="str">
        <f>IFERROR(MATCH($C$5&amp;"|"&amp;RIGHT("000000"&amp;621,6),CalcRankKeyB,0),"")</f>
        <v/>
      </c>
    </row>
    <row r="638" spans="1:14" x14ac:dyDescent="0.2">
      <c r="A638" s="12">
        <v>622</v>
      </c>
      <c r="B638" s="13" t="str">
        <f t="shared" si="90"/>
        <v/>
      </c>
      <c r="C638" s="13" t="str">
        <f t="shared" si="91"/>
        <v/>
      </c>
      <c r="D638" s="13" t="str">
        <f t="shared" si="92"/>
        <v/>
      </c>
      <c r="E638" s="14" t="str">
        <f t="shared" si="93"/>
        <v/>
      </c>
      <c r="F638" s="14" t="str">
        <f t="shared" si="94"/>
        <v/>
      </c>
      <c r="G638" s="14" t="str">
        <f t="shared" si="95"/>
        <v/>
      </c>
      <c r="H638" s="14" t="str">
        <f t="shared" si="96"/>
        <v/>
      </c>
      <c r="I638" s="15" t="str">
        <f t="shared" si="97"/>
        <v/>
      </c>
      <c r="J638" s="15" t="str">
        <f t="shared" si="99"/>
        <v/>
      </c>
      <c r="K638" s="16" t="str">
        <f t="shared" si="98"/>
        <v/>
      </c>
      <c r="M638" t="str">
        <f>IFERROR(MATCH($C$5&amp;"|"&amp;RIGHT("000000"&amp;622,6),CalcRankKeyA,0),"")</f>
        <v/>
      </c>
      <c r="N638" t="str">
        <f>IFERROR(MATCH($C$5&amp;"|"&amp;RIGHT("000000"&amp;622,6),CalcRankKeyB,0),"")</f>
        <v/>
      </c>
    </row>
    <row r="639" spans="1:14" x14ac:dyDescent="0.2">
      <c r="A639" s="7">
        <v>623</v>
      </c>
      <c r="B639" s="8" t="str">
        <f t="shared" si="90"/>
        <v/>
      </c>
      <c r="C639" s="8" t="str">
        <f t="shared" si="91"/>
        <v/>
      </c>
      <c r="D639" s="8" t="str">
        <f t="shared" si="92"/>
        <v/>
      </c>
      <c r="E639" s="9" t="str">
        <f t="shared" si="93"/>
        <v/>
      </c>
      <c r="F639" s="9" t="str">
        <f t="shared" si="94"/>
        <v/>
      </c>
      <c r="G639" s="9" t="str">
        <f t="shared" si="95"/>
        <v/>
      </c>
      <c r="H639" s="9" t="str">
        <f t="shared" si="96"/>
        <v/>
      </c>
      <c r="I639" s="10" t="str">
        <f t="shared" si="97"/>
        <v/>
      </c>
      <c r="J639" s="10" t="str">
        <f t="shared" si="99"/>
        <v/>
      </c>
      <c r="K639" s="11" t="str">
        <f t="shared" si="98"/>
        <v/>
      </c>
      <c r="M639" t="str">
        <f>IFERROR(MATCH($C$5&amp;"|"&amp;RIGHT("000000"&amp;623,6),CalcRankKeyA,0),"")</f>
        <v/>
      </c>
      <c r="N639" t="str">
        <f>IFERROR(MATCH($C$5&amp;"|"&amp;RIGHT("000000"&amp;623,6),CalcRankKeyB,0),"")</f>
        <v/>
      </c>
    </row>
    <row r="640" spans="1:14" x14ac:dyDescent="0.2">
      <c r="A640" s="12">
        <v>624</v>
      </c>
      <c r="B640" s="13" t="str">
        <f t="shared" si="90"/>
        <v/>
      </c>
      <c r="C640" s="13" t="str">
        <f t="shared" si="91"/>
        <v/>
      </c>
      <c r="D640" s="13" t="str">
        <f t="shared" si="92"/>
        <v/>
      </c>
      <c r="E640" s="14" t="str">
        <f t="shared" si="93"/>
        <v/>
      </c>
      <c r="F640" s="14" t="str">
        <f t="shared" si="94"/>
        <v/>
      </c>
      <c r="G640" s="14" t="str">
        <f t="shared" si="95"/>
        <v/>
      </c>
      <c r="H640" s="14" t="str">
        <f t="shared" si="96"/>
        <v/>
      </c>
      <c r="I640" s="15" t="str">
        <f t="shared" si="97"/>
        <v/>
      </c>
      <c r="J640" s="15" t="str">
        <f t="shared" si="99"/>
        <v/>
      </c>
      <c r="K640" s="16" t="str">
        <f t="shared" si="98"/>
        <v/>
      </c>
      <c r="M640" t="str">
        <f>IFERROR(MATCH($C$5&amp;"|"&amp;RIGHT("000000"&amp;624,6),CalcRankKeyA,0),"")</f>
        <v/>
      </c>
      <c r="N640" t="str">
        <f>IFERROR(MATCH($C$5&amp;"|"&amp;RIGHT("000000"&amp;624,6),CalcRankKeyB,0),"")</f>
        <v/>
      </c>
    </row>
    <row r="641" spans="1:14" x14ac:dyDescent="0.2">
      <c r="A641" s="7">
        <v>625</v>
      </c>
      <c r="B641" s="8" t="str">
        <f t="shared" si="90"/>
        <v/>
      </c>
      <c r="C641" s="8" t="str">
        <f t="shared" si="91"/>
        <v/>
      </c>
      <c r="D641" s="8" t="str">
        <f t="shared" si="92"/>
        <v/>
      </c>
      <c r="E641" s="9" t="str">
        <f t="shared" si="93"/>
        <v/>
      </c>
      <c r="F641" s="9" t="str">
        <f t="shared" si="94"/>
        <v/>
      </c>
      <c r="G641" s="9" t="str">
        <f t="shared" si="95"/>
        <v/>
      </c>
      <c r="H641" s="9" t="str">
        <f t="shared" si="96"/>
        <v/>
      </c>
      <c r="I641" s="10" t="str">
        <f t="shared" si="97"/>
        <v/>
      </c>
      <c r="J641" s="10" t="str">
        <f t="shared" si="99"/>
        <v/>
      </c>
      <c r="K641" s="11" t="str">
        <f t="shared" si="98"/>
        <v/>
      </c>
      <c r="M641" t="str">
        <f>IFERROR(MATCH($C$5&amp;"|"&amp;RIGHT("000000"&amp;625,6),CalcRankKeyA,0),"")</f>
        <v/>
      </c>
      <c r="N641" t="str">
        <f>IFERROR(MATCH($C$5&amp;"|"&amp;RIGHT("000000"&amp;625,6),CalcRankKeyB,0),"")</f>
        <v/>
      </c>
    </row>
    <row r="642" spans="1:14" x14ac:dyDescent="0.2">
      <c r="A642" s="12">
        <v>626</v>
      </c>
      <c r="B642" s="13" t="str">
        <f t="shared" si="90"/>
        <v/>
      </c>
      <c r="C642" s="13" t="str">
        <f t="shared" si="91"/>
        <v/>
      </c>
      <c r="D642" s="13" t="str">
        <f t="shared" si="92"/>
        <v/>
      </c>
      <c r="E642" s="14" t="str">
        <f t="shared" si="93"/>
        <v/>
      </c>
      <c r="F642" s="14" t="str">
        <f t="shared" si="94"/>
        <v/>
      </c>
      <c r="G642" s="14" t="str">
        <f t="shared" si="95"/>
        <v/>
      </c>
      <c r="H642" s="14" t="str">
        <f t="shared" si="96"/>
        <v/>
      </c>
      <c r="I642" s="15" t="str">
        <f t="shared" si="97"/>
        <v/>
      </c>
      <c r="J642" s="15" t="str">
        <f t="shared" si="99"/>
        <v/>
      </c>
      <c r="K642" s="16" t="str">
        <f t="shared" si="98"/>
        <v/>
      </c>
      <c r="M642" t="str">
        <f>IFERROR(MATCH($C$5&amp;"|"&amp;RIGHT("000000"&amp;626,6),CalcRankKeyA,0),"")</f>
        <v/>
      </c>
      <c r="N642" t="str">
        <f>IFERROR(MATCH($C$5&amp;"|"&amp;RIGHT("000000"&amp;626,6),CalcRankKeyB,0),"")</f>
        <v/>
      </c>
    </row>
    <row r="643" spans="1:14" x14ac:dyDescent="0.2">
      <c r="A643" s="7">
        <v>627</v>
      </c>
      <c r="B643" s="8" t="str">
        <f t="shared" si="90"/>
        <v/>
      </c>
      <c r="C643" s="8" t="str">
        <f t="shared" si="91"/>
        <v/>
      </c>
      <c r="D643" s="8" t="str">
        <f t="shared" si="92"/>
        <v/>
      </c>
      <c r="E643" s="9" t="str">
        <f t="shared" si="93"/>
        <v/>
      </c>
      <c r="F643" s="9" t="str">
        <f t="shared" si="94"/>
        <v/>
      </c>
      <c r="G643" s="9" t="str">
        <f t="shared" si="95"/>
        <v/>
      </c>
      <c r="H643" s="9" t="str">
        <f t="shared" si="96"/>
        <v/>
      </c>
      <c r="I643" s="10" t="str">
        <f t="shared" si="97"/>
        <v/>
      </c>
      <c r="J643" s="10" t="str">
        <f t="shared" si="99"/>
        <v/>
      </c>
      <c r="K643" s="11" t="str">
        <f t="shared" si="98"/>
        <v/>
      </c>
      <c r="M643" t="str">
        <f>IFERROR(MATCH($C$5&amp;"|"&amp;RIGHT("000000"&amp;627,6),CalcRankKeyA,0),"")</f>
        <v/>
      </c>
      <c r="N643" t="str">
        <f>IFERROR(MATCH($C$5&amp;"|"&amp;RIGHT("000000"&amp;627,6),CalcRankKeyB,0),"")</f>
        <v/>
      </c>
    </row>
    <row r="644" spans="1:14" x14ac:dyDescent="0.2">
      <c r="A644" s="12">
        <v>628</v>
      </c>
      <c r="B644" s="13" t="str">
        <f t="shared" si="90"/>
        <v/>
      </c>
      <c r="C644" s="13" t="str">
        <f t="shared" si="91"/>
        <v/>
      </c>
      <c r="D644" s="13" t="str">
        <f t="shared" si="92"/>
        <v/>
      </c>
      <c r="E644" s="14" t="str">
        <f t="shared" si="93"/>
        <v/>
      </c>
      <c r="F644" s="14" t="str">
        <f t="shared" si="94"/>
        <v/>
      </c>
      <c r="G644" s="14" t="str">
        <f t="shared" si="95"/>
        <v/>
      </c>
      <c r="H644" s="14" t="str">
        <f t="shared" si="96"/>
        <v/>
      </c>
      <c r="I644" s="15" t="str">
        <f t="shared" si="97"/>
        <v/>
      </c>
      <c r="J644" s="15" t="str">
        <f t="shared" si="99"/>
        <v/>
      </c>
      <c r="K644" s="16" t="str">
        <f t="shared" si="98"/>
        <v/>
      </c>
      <c r="M644" t="str">
        <f>IFERROR(MATCH($C$5&amp;"|"&amp;RIGHT("000000"&amp;628,6),CalcRankKeyA,0),"")</f>
        <v/>
      </c>
      <c r="N644" t="str">
        <f>IFERROR(MATCH($C$5&amp;"|"&amp;RIGHT("000000"&amp;628,6),CalcRankKeyB,0),"")</f>
        <v/>
      </c>
    </row>
    <row r="645" spans="1:14" x14ac:dyDescent="0.2">
      <c r="A645" s="7">
        <v>629</v>
      </c>
      <c r="B645" s="8" t="str">
        <f t="shared" si="90"/>
        <v/>
      </c>
      <c r="C645" s="8" t="str">
        <f t="shared" si="91"/>
        <v/>
      </c>
      <c r="D645" s="8" t="str">
        <f t="shared" si="92"/>
        <v/>
      </c>
      <c r="E645" s="9" t="str">
        <f t="shared" si="93"/>
        <v/>
      </c>
      <c r="F645" s="9" t="str">
        <f t="shared" si="94"/>
        <v/>
      </c>
      <c r="G645" s="9" t="str">
        <f t="shared" si="95"/>
        <v/>
      </c>
      <c r="H645" s="9" t="str">
        <f t="shared" si="96"/>
        <v/>
      </c>
      <c r="I645" s="10" t="str">
        <f t="shared" si="97"/>
        <v/>
      </c>
      <c r="J645" s="10" t="str">
        <f t="shared" si="99"/>
        <v/>
      </c>
      <c r="K645" s="11" t="str">
        <f t="shared" si="98"/>
        <v/>
      </c>
      <c r="M645" t="str">
        <f>IFERROR(MATCH($C$5&amp;"|"&amp;RIGHT("000000"&amp;629,6),CalcRankKeyA,0),"")</f>
        <v/>
      </c>
      <c r="N645" t="str">
        <f>IFERROR(MATCH($C$5&amp;"|"&amp;RIGHT("000000"&amp;629,6),CalcRankKeyB,0),"")</f>
        <v/>
      </c>
    </row>
    <row r="646" spans="1:14" x14ac:dyDescent="0.2">
      <c r="A646" s="12">
        <v>630</v>
      </c>
      <c r="B646" s="13" t="str">
        <f t="shared" si="90"/>
        <v/>
      </c>
      <c r="C646" s="13" t="str">
        <f t="shared" si="91"/>
        <v/>
      </c>
      <c r="D646" s="13" t="str">
        <f t="shared" si="92"/>
        <v/>
      </c>
      <c r="E646" s="14" t="str">
        <f t="shared" si="93"/>
        <v/>
      </c>
      <c r="F646" s="14" t="str">
        <f t="shared" si="94"/>
        <v/>
      </c>
      <c r="G646" s="14" t="str">
        <f t="shared" si="95"/>
        <v/>
      </c>
      <c r="H646" s="14" t="str">
        <f t="shared" si="96"/>
        <v/>
      </c>
      <c r="I646" s="15" t="str">
        <f t="shared" si="97"/>
        <v/>
      </c>
      <c r="J646" s="15" t="str">
        <f t="shared" si="99"/>
        <v/>
      </c>
      <c r="K646" s="16" t="str">
        <f t="shared" si="98"/>
        <v/>
      </c>
      <c r="M646" t="str">
        <f>IFERROR(MATCH($C$5&amp;"|"&amp;RIGHT("000000"&amp;630,6),CalcRankKeyA,0),"")</f>
        <v/>
      </c>
      <c r="N646" t="str">
        <f>IFERROR(MATCH($C$5&amp;"|"&amp;RIGHT("000000"&amp;630,6),CalcRankKeyB,0),"")</f>
        <v/>
      </c>
    </row>
    <row r="647" spans="1:14" x14ac:dyDescent="0.2">
      <c r="A647" s="7">
        <v>631</v>
      </c>
      <c r="B647" s="8" t="str">
        <f t="shared" si="90"/>
        <v/>
      </c>
      <c r="C647" s="8" t="str">
        <f t="shared" si="91"/>
        <v/>
      </c>
      <c r="D647" s="8" t="str">
        <f t="shared" si="92"/>
        <v/>
      </c>
      <c r="E647" s="9" t="str">
        <f t="shared" si="93"/>
        <v/>
      </c>
      <c r="F647" s="9" t="str">
        <f t="shared" si="94"/>
        <v/>
      </c>
      <c r="G647" s="9" t="str">
        <f t="shared" si="95"/>
        <v/>
      </c>
      <c r="H647" s="9" t="str">
        <f t="shared" si="96"/>
        <v/>
      </c>
      <c r="I647" s="10" t="str">
        <f t="shared" si="97"/>
        <v/>
      </c>
      <c r="J647" s="10" t="str">
        <f t="shared" si="99"/>
        <v/>
      </c>
      <c r="K647" s="11" t="str">
        <f t="shared" si="98"/>
        <v/>
      </c>
      <c r="M647" t="str">
        <f>IFERROR(MATCH($C$5&amp;"|"&amp;RIGHT("000000"&amp;631,6),CalcRankKeyA,0),"")</f>
        <v/>
      </c>
      <c r="N647" t="str">
        <f>IFERROR(MATCH($C$5&amp;"|"&amp;RIGHT("000000"&amp;631,6),CalcRankKeyB,0),"")</f>
        <v/>
      </c>
    </row>
    <row r="648" spans="1:14" x14ac:dyDescent="0.2">
      <c r="A648" s="12">
        <v>632</v>
      </c>
      <c r="B648" s="13" t="str">
        <f t="shared" si="90"/>
        <v/>
      </c>
      <c r="C648" s="13" t="str">
        <f t="shared" si="91"/>
        <v/>
      </c>
      <c r="D648" s="13" t="str">
        <f t="shared" si="92"/>
        <v/>
      </c>
      <c r="E648" s="14" t="str">
        <f t="shared" si="93"/>
        <v/>
      </c>
      <c r="F648" s="14" t="str">
        <f t="shared" si="94"/>
        <v/>
      </c>
      <c r="G648" s="14" t="str">
        <f t="shared" si="95"/>
        <v/>
      </c>
      <c r="H648" s="14" t="str">
        <f t="shared" si="96"/>
        <v/>
      </c>
      <c r="I648" s="15" t="str">
        <f t="shared" si="97"/>
        <v/>
      </c>
      <c r="J648" s="15" t="str">
        <f t="shared" si="99"/>
        <v/>
      </c>
      <c r="K648" s="16" t="str">
        <f t="shared" si="98"/>
        <v/>
      </c>
      <c r="M648" t="str">
        <f>IFERROR(MATCH($C$5&amp;"|"&amp;RIGHT("000000"&amp;632,6),CalcRankKeyA,0),"")</f>
        <v/>
      </c>
      <c r="N648" t="str">
        <f>IFERROR(MATCH($C$5&amp;"|"&amp;RIGHT("000000"&amp;632,6),CalcRankKeyB,0),"")</f>
        <v/>
      </c>
    </row>
    <row r="649" spans="1:14" x14ac:dyDescent="0.2">
      <c r="A649" s="7">
        <v>633</v>
      </c>
      <c r="B649" s="8" t="str">
        <f t="shared" si="90"/>
        <v/>
      </c>
      <c r="C649" s="8" t="str">
        <f t="shared" si="91"/>
        <v/>
      </c>
      <c r="D649" s="8" t="str">
        <f t="shared" si="92"/>
        <v/>
      </c>
      <c r="E649" s="9" t="str">
        <f t="shared" si="93"/>
        <v/>
      </c>
      <c r="F649" s="9" t="str">
        <f t="shared" si="94"/>
        <v/>
      </c>
      <c r="G649" s="9" t="str">
        <f t="shared" si="95"/>
        <v/>
      </c>
      <c r="H649" s="9" t="str">
        <f t="shared" si="96"/>
        <v/>
      </c>
      <c r="I649" s="10" t="str">
        <f t="shared" si="97"/>
        <v/>
      </c>
      <c r="J649" s="10" t="str">
        <f t="shared" si="99"/>
        <v/>
      </c>
      <c r="K649" s="11" t="str">
        <f t="shared" si="98"/>
        <v/>
      </c>
      <c r="M649" t="str">
        <f>IFERROR(MATCH($C$5&amp;"|"&amp;RIGHT("000000"&amp;633,6),CalcRankKeyA,0),"")</f>
        <v/>
      </c>
      <c r="N649" t="str">
        <f>IFERROR(MATCH($C$5&amp;"|"&amp;RIGHT("000000"&amp;633,6),CalcRankKeyB,0),"")</f>
        <v/>
      </c>
    </row>
    <row r="650" spans="1:14" x14ac:dyDescent="0.2">
      <c r="A650" s="12">
        <v>634</v>
      </c>
      <c r="B650" s="13" t="str">
        <f t="shared" si="90"/>
        <v/>
      </c>
      <c r="C650" s="13" t="str">
        <f t="shared" si="91"/>
        <v/>
      </c>
      <c r="D650" s="13" t="str">
        <f t="shared" si="92"/>
        <v/>
      </c>
      <c r="E650" s="14" t="str">
        <f t="shared" si="93"/>
        <v/>
      </c>
      <c r="F650" s="14" t="str">
        <f t="shared" si="94"/>
        <v/>
      </c>
      <c r="G650" s="14" t="str">
        <f t="shared" si="95"/>
        <v/>
      </c>
      <c r="H650" s="14" t="str">
        <f t="shared" si="96"/>
        <v/>
      </c>
      <c r="I650" s="15" t="str">
        <f t="shared" si="97"/>
        <v/>
      </c>
      <c r="J650" s="15" t="str">
        <f t="shared" si="99"/>
        <v/>
      </c>
      <c r="K650" s="16" t="str">
        <f t="shared" si="98"/>
        <v/>
      </c>
      <c r="M650" t="str">
        <f>IFERROR(MATCH($C$5&amp;"|"&amp;RIGHT("000000"&amp;634,6),CalcRankKeyA,0),"")</f>
        <v/>
      </c>
      <c r="N650" t="str">
        <f>IFERROR(MATCH($C$5&amp;"|"&amp;RIGHT("000000"&amp;634,6),CalcRankKeyB,0),"")</f>
        <v/>
      </c>
    </row>
    <row r="651" spans="1:14" x14ac:dyDescent="0.2">
      <c r="A651" s="7">
        <v>635</v>
      </c>
      <c r="B651" s="8" t="str">
        <f t="shared" si="90"/>
        <v/>
      </c>
      <c r="C651" s="8" t="str">
        <f t="shared" si="91"/>
        <v/>
      </c>
      <c r="D651" s="8" t="str">
        <f t="shared" si="92"/>
        <v/>
      </c>
      <c r="E651" s="9" t="str">
        <f t="shared" si="93"/>
        <v/>
      </c>
      <c r="F651" s="9" t="str">
        <f t="shared" si="94"/>
        <v/>
      </c>
      <c r="G651" s="9" t="str">
        <f t="shared" si="95"/>
        <v/>
      </c>
      <c r="H651" s="9" t="str">
        <f t="shared" si="96"/>
        <v/>
      </c>
      <c r="I651" s="10" t="str">
        <f t="shared" si="97"/>
        <v/>
      </c>
      <c r="J651" s="10" t="str">
        <f t="shared" si="99"/>
        <v/>
      </c>
      <c r="K651" s="11" t="str">
        <f t="shared" si="98"/>
        <v/>
      </c>
      <c r="M651" t="str">
        <f>IFERROR(MATCH($C$5&amp;"|"&amp;RIGHT("000000"&amp;635,6),CalcRankKeyA,0),"")</f>
        <v/>
      </c>
      <c r="N651" t="str">
        <f>IFERROR(MATCH($C$5&amp;"|"&amp;RIGHT("000000"&amp;635,6),CalcRankKeyB,0),"")</f>
        <v/>
      </c>
    </row>
    <row r="652" spans="1:14" x14ac:dyDescent="0.2">
      <c r="A652" s="12">
        <v>636</v>
      </c>
      <c r="B652" s="13" t="str">
        <f t="shared" si="90"/>
        <v/>
      </c>
      <c r="C652" s="13" t="str">
        <f t="shared" si="91"/>
        <v/>
      </c>
      <c r="D652" s="13" t="str">
        <f t="shared" si="92"/>
        <v/>
      </c>
      <c r="E652" s="14" t="str">
        <f t="shared" si="93"/>
        <v/>
      </c>
      <c r="F652" s="14" t="str">
        <f t="shared" si="94"/>
        <v/>
      </c>
      <c r="G652" s="14" t="str">
        <f t="shared" si="95"/>
        <v/>
      </c>
      <c r="H652" s="14" t="str">
        <f t="shared" si="96"/>
        <v/>
      </c>
      <c r="I652" s="15" t="str">
        <f t="shared" si="97"/>
        <v/>
      </c>
      <c r="J652" s="15" t="str">
        <f t="shared" si="99"/>
        <v/>
      </c>
      <c r="K652" s="16" t="str">
        <f t="shared" si="98"/>
        <v/>
      </c>
      <c r="M652" t="str">
        <f>IFERROR(MATCH($C$5&amp;"|"&amp;RIGHT("000000"&amp;636,6),CalcRankKeyA,0),"")</f>
        <v/>
      </c>
      <c r="N652" t="str">
        <f>IFERROR(MATCH($C$5&amp;"|"&amp;RIGHT("000000"&amp;636,6),CalcRankKeyB,0),"")</f>
        <v/>
      </c>
    </row>
    <row r="653" spans="1:14" x14ac:dyDescent="0.2">
      <c r="A653" s="7">
        <v>637</v>
      </c>
      <c r="B653" s="8" t="str">
        <f t="shared" si="90"/>
        <v/>
      </c>
      <c r="C653" s="8" t="str">
        <f t="shared" si="91"/>
        <v/>
      </c>
      <c r="D653" s="8" t="str">
        <f t="shared" si="92"/>
        <v/>
      </c>
      <c r="E653" s="9" t="str">
        <f t="shared" si="93"/>
        <v/>
      </c>
      <c r="F653" s="9" t="str">
        <f t="shared" si="94"/>
        <v/>
      </c>
      <c r="G653" s="9" t="str">
        <f t="shared" si="95"/>
        <v/>
      </c>
      <c r="H653" s="9" t="str">
        <f t="shared" si="96"/>
        <v/>
      </c>
      <c r="I653" s="10" t="str">
        <f t="shared" si="97"/>
        <v/>
      </c>
      <c r="J653" s="10" t="str">
        <f t="shared" si="99"/>
        <v/>
      </c>
      <c r="K653" s="11" t="str">
        <f t="shared" si="98"/>
        <v/>
      </c>
      <c r="M653" t="str">
        <f>IFERROR(MATCH($C$5&amp;"|"&amp;RIGHT("000000"&amp;637,6),CalcRankKeyA,0),"")</f>
        <v/>
      </c>
      <c r="N653" t="str">
        <f>IFERROR(MATCH($C$5&amp;"|"&amp;RIGHT("000000"&amp;637,6),CalcRankKeyB,0),"")</f>
        <v/>
      </c>
    </row>
    <row r="654" spans="1:14" x14ac:dyDescent="0.2">
      <c r="A654" s="12">
        <v>638</v>
      </c>
      <c r="B654" s="13" t="str">
        <f t="shared" si="90"/>
        <v/>
      </c>
      <c r="C654" s="13" t="str">
        <f t="shared" si="91"/>
        <v/>
      </c>
      <c r="D654" s="13" t="str">
        <f t="shared" si="92"/>
        <v/>
      </c>
      <c r="E654" s="14" t="str">
        <f t="shared" si="93"/>
        <v/>
      </c>
      <c r="F654" s="14" t="str">
        <f t="shared" si="94"/>
        <v/>
      </c>
      <c r="G654" s="14" t="str">
        <f t="shared" si="95"/>
        <v/>
      </c>
      <c r="H654" s="14" t="str">
        <f t="shared" si="96"/>
        <v/>
      </c>
      <c r="I654" s="15" t="str">
        <f t="shared" si="97"/>
        <v/>
      </c>
      <c r="J654" s="15" t="str">
        <f t="shared" si="99"/>
        <v/>
      </c>
      <c r="K654" s="16" t="str">
        <f t="shared" si="98"/>
        <v/>
      </c>
      <c r="M654" t="str">
        <f>IFERROR(MATCH($C$5&amp;"|"&amp;RIGHT("000000"&amp;638,6),CalcRankKeyA,0),"")</f>
        <v/>
      </c>
      <c r="N654" t="str">
        <f>IFERROR(MATCH($C$5&amp;"|"&amp;RIGHT("000000"&amp;638,6),CalcRankKeyB,0),"")</f>
        <v/>
      </c>
    </row>
    <row r="655" spans="1:14" x14ac:dyDescent="0.2">
      <c r="A655" s="7">
        <v>639</v>
      </c>
      <c r="B655" s="8" t="str">
        <f t="shared" si="90"/>
        <v/>
      </c>
      <c r="C655" s="8" t="str">
        <f t="shared" si="91"/>
        <v/>
      </c>
      <c r="D655" s="8" t="str">
        <f t="shared" si="92"/>
        <v/>
      </c>
      <c r="E655" s="9" t="str">
        <f t="shared" si="93"/>
        <v/>
      </c>
      <c r="F655" s="9" t="str">
        <f t="shared" si="94"/>
        <v/>
      </c>
      <c r="G655" s="9" t="str">
        <f t="shared" si="95"/>
        <v/>
      </c>
      <c r="H655" s="9" t="str">
        <f t="shared" si="96"/>
        <v/>
      </c>
      <c r="I655" s="10" t="str">
        <f t="shared" si="97"/>
        <v/>
      </c>
      <c r="J655" s="10" t="str">
        <f t="shared" si="99"/>
        <v/>
      </c>
      <c r="K655" s="11" t="str">
        <f t="shared" si="98"/>
        <v/>
      </c>
      <c r="M655" t="str">
        <f>IFERROR(MATCH($C$5&amp;"|"&amp;RIGHT("000000"&amp;639,6),CalcRankKeyA,0),"")</f>
        <v/>
      </c>
      <c r="N655" t="str">
        <f>IFERROR(MATCH($C$5&amp;"|"&amp;RIGHT("000000"&amp;639,6),CalcRankKeyB,0),"")</f>
        <v/>
      </c>
    </row>
    <row r="656" spans="1:14" x14ac:dyDescent="0.2">
      <c r="A656" s="12">
        <v>640</v>
      </c>
      <c r="B656" s="13" t="str">
        <f t="shared" si="90"/>
        <v/>
      </c>
      <c r="C656" s="13" t="str">
        <f t="shared" si="91"/>
        <v/>
      </c>
      <c r="D656" s="13" t="str">
        <f t="shared" si="92"/>
        <v/>
      </c>
      <c r="E656" s="14" t="str">
        <f t="shared" si="93"/>
        <v/>
      </c>
      <c r="F656" s="14" t="str">
        <f t="shared" si="94"/>
        <v/>
      </c>
      <c r="G656" s="14" t="str">
        <f t="shared" si="95"/>
        <v/>
      </c>
      <c r="H656" s="14" t="str">
        <f t="shared" si="96"/>
        <v/>
      </c>
      <c r="I656" s="15" t="str">
        <f t="shared" si="97"/>
        <v/>
      </c>
      <c r="J656" s="15" t="str">
        <f t="shared" si="99"/>
        <v/>
      </c>
      <c r="K656" s="16" t="str">
        <f t="shared" si="98"/>
        <v/>
      </c>
      <c r="M656" t="str">
        <f>IFERROR(MATCH($C$5&amp;"|"&amp;RIGHT("000000"&amp;640,6),CalcRankKeyA,0),"")</f>
        <v/>
      </c>
      <c r="N656" t="str">
        <f>IFERROR(MATCH($C$5&amp;"|"&amp;RIGHT("000000"&amp;640,6),CalcRankKeyB,0),"")</f>
        <v/>
      </c>
    </row>
    <row r="657" spans="1:14" x14ac:dyDescent="0.2">
      <c r="A657" s="7">
        <v>641</v>
      </c>
      <c r="B657" s="8" t="str">
        <f t="shared" ref="B657:B720" si="100">IF(AND($M657="",$N657=""),"",IF($M657&lt;&gt;"",INDEX(CalcDateA,$M657),INDEX(CalcDateB,$N657)))</f>
        <v/>
      </c>
      <c r="C657" s="8" t="str">
        <f t="shared" ref="C657:C720" si="101">IF($M657&lt;&gt;"","خرید سبد",IF($N657&lt;&gt;"",IF(N(INDEX(CalcDepB,$N657))&gt;0,"دریافت بانکی","پرداخت بانکی"),""))</f>
        <v/>
      </c>
      <c r="D657" s="8" t="str">
        <f t="shared" ref="D657:D720" si="102">IF($M657&lt;&gt;"",IF(INDEX(CalcDocA,$M657)="","—",INDEX(CalcDocA,$M657)),IF($N657&lt;&gt;"",INDEX(CalcBankB,$N657),""))</f>
        <v/>
      </c>
      <c r="E657" s="9" t="str">
        <f t="shared" ref="E657:E720" si="103">IF($N657&lt;&gt;"",IF(INDEX(CalcDepB,$N657)=0,"",INDEX(CalcDepB,$N657)),"")</f>
        <v/>
      </c>
      <c r="F657" s="9" t="str">
        <f t="shared" ref="F657:F720" si="104">IF($M657&lt;&gt;"",IF(INDEX(CalcQtyA,$M657)=0,"",INDEX(CalcQtyA,$M657)),"")</f>
        <v/>
      </c>
      <c r="G657" s="9" t="str">
        <f t="shared" ref="G657:G720" si="105">IF($M657&lt;&gt;"",IF(INDEX(CalcPriceA,$M657)=0,"",INDEX(CalcPriceA,$M657)),"")</f>
        <v/>
      </c>
      <c r="H657" s="9" t="str">
        <f t="shared" ref="H657:H720" si="106">IF($N657&lt;&gt;"",IF(INDEX(CalcWitB,$N657)=0,"",INDEX(CalcWitB,$N657)),"")</f>
        <v/>
      </c>
      <c r="I657" s="10" t="str">
        <f t="shared" ref="I657:I720" si="107">IF($M657&lt;&gt;"",INDEX(CalcAmtA,$M657),"")</f>
        <v/>
      </c>
      <c r="J657" s="10" t="str">
        <f t="shared" si="99"/>
        <v/>
      </c>
      <c r="K657" s="11" t="str">
        <f t="shared" ref="K657:K720" si="108">IF($M657&lt;&gt;"",IF(INDEX(CalcNoteA,$M657)="","—",INDEX(CalcNoteA,$M657)),IF($N657&lt;&gt;"",IF(INDEX(CalcNoteB,$N657)="","—",INDEX(CalcNoteB,$N657)),""))</f>
        <v/>
      </c>
      <c r="M657" t="str">
        <f>IFERROR(MATCH($C$5&amp;"|"&amp;RIGHT("000000"&amp;641,6),CalcRankKeyA,0),"")</f>
        <v/>
      </c>
      <c r="N657" t="str">
        <f>IFERROR(MATCH($C$5&amp;"|"&amp;RIGHT("000000"&amp;641,6),CalcRankKeyB,0),"")</f>
        <v/>
      </c>
    </row>
    <row r="658" spans="1:14" x14ac:dyDescent="0.2">
      <c r="A658" s="12">
        <v>642</v>
      </c>
      <c r="B658" s="13" t="str">
        <f t="shared" si="100"/>
        <v/>
      </c>
      <c r="C658" s="13" t="str">
        <f t="shared" si="101"/>
        <v/>
      </c>
      <c r="D658" s="13" t="str">
        <f t="shared" si="102"/>
        <v/>
      </c>
      <c r="E658" s="14" t="str">
        <f t="shared" si="103"/>
        <v/>
      </c>
      <c r="F658" s="14" t="str">
        <f t="shared" si="104"/>
        <v/>
      </c>
      <c r="G658" s="14" t="str">
        <f t="shared" si="105"/>
        <v/>
      </c>
      <c r="H658" s="14" t="str">
        <f t="shared" si="106"/>
        <v/>
      </c>
      <c r="I658" s="15" t="str">
        <f t="shared" si="107"/>
        <v/>
      </c>
      <c r="J658" s="15" t="str">
        <f t="shared" ref="J658:J721" si="109">IF($B658="","",IF($J657="",$C$8,$J657)+IF($I658="",0,$I658)+IF($E658="",0,$E658)-IF($H658="",0,$H658))</f>
        <v/>
      </c>
      <c r="K658" s="16" t="str">
        <f t="shared" si="108"/>
        <v/>
      </c>
      <c r="M658" t="str">
        <f>IFERROR(MATCH($C$5&amp;"|"&amp;RIGHT("000000"&amp;642,6),CalcRankKeyA,0),"")</f>
        <v/>
      </c>
      <c r="N658" t="str">
        <f>IFERROR(MATCH($C$5&amp;"|"&amp;RIGHT("000000"&amp;642,6),CalcRankKeyB,0),"")</f>
        <v/>
      </c>
    </row>
    <row r="659" spans="1:14" x14ac:dyDescent="0.2">
      <c r="A659" s="7">
        <v>643</v>
      </c>
      <c r="B659" s="8" t="str">
        <f t="shared" si="100"/>
        <v/>
      </c>
      <c r="C659" s="8" t="str">
        <f t="shared" si="101"/>
        <v/>
      </c>
      <c r="D659" s="8" t="str">
        <f t="shared" si="102"/>
        <v/>
      </c>
      <c r="E659" s="9" t="str">
        <f t="shared" si="103"/>
        <v/>
      </c>
      <c r="F659" s="9" t="str">
        <f t="shared" si="104"/>
        <v/>
      </c>
      <c r="G659" s="9" t="str">
        <f t="shared" si="105"/>
        <v/>
      </c>
      <c r="H659" s="9" t="str">
        <f t="shared" si="106"/>
        <v/>
      </c>
      <c r="I659" s="10" t="str">
        <f t="shared" si="107"/>
        <v/>
      </c>
      <c r="J659" s="10" t="str">
        <f t="shared" si="109"/>
        <v/>
      </c>
      <c r="K659" s="11" t="str">
        <f t="shared" si="108"/>
        <v/>
      </c>
      <c r="M659" t="str">
        <f>IFERROR(MATCH($C$5&amp;"|"&amp;RIGHT("000000"&amp;643,6),CalcRankKeyA,0),"")</f>
        <v/>
      </c>
      <c r="N659" t="str">
        <f>IFERROR(MATCH($C$5&amp;"|"&amp;RIGHT("000000"&amp;643,6),CalcRankKeyB,0),"")</f>
        <v/>
      </c>
    </row>
    <row r="660" spans="1:14" x14ac:dyDescent="0.2">
      <c r="A660" s="12">
        <v>644</v>
      </c>
      <c r="B660" s="13" t="str">
        <f t="shared" si="100"/>
        <v/>
      </c>
      <c r="C660" s="13" t="str">
        <f t="shared" si="101"/>
        <v/>
      </c>
      <c r="D660" s="13" t="str">
        <f t="shared" si="102"/>
        <v/>
      </c>
      <c r="E660" s="14" t="str">
        <f t="shared" si="103"/>
        <v/>
      </c>
      <c r="F660" s="14" t="str">
        <f t="shared" si="104"/>
        <v/>
      </c>
      <c r="G660" s="14" t="str">
        <f t="shared" si="105"/>
        <v/>
      </c>
      <c r="H660" s="14" t="str">
        <f t="shared" si="106"/>
        <v/>
      </c>
      <c r="I660" s="15" t="str">
        <f t="shared" si="107"/>
        <v/>
      </c>
      <c r="J660" s="15" t="str">
        <f t="shared" si="109"/>
        <v/>
      </c>
      <c r="K660" s="16" t="str">
        <f t="shared" si="108"/>
        <v/>
      </c>
      <c r="M660" t="str">
        <f>IFERROR(MATCH($C$5&amp;"|"&amp;RIGHT("000000"&amp;644,6),CalcRankKeyA,0),"")</f>
        <v/>
      </c>
      <c r="N660" t="str">
        <f>IFERROR(MATCH($C$5&amp;"|"&amp;RIGHT("000000"&amp;644,6),CalcRankKeyB,0),"")</f>
        <v/>
      </c>
    </row>
    <row r="661" spans="1:14" x14ac:dyDescent="0.2">
      <c r="A661" s="7">
        <v>645</v>
      </c>
      <c r="B661" s="8" t="str">
        <f t="shared" si="100"/>
        <v/>
      </c>
      <c r="C661" s="8" t="str">
        <f t="shared" si="101"/>
        <v/>
      </c>
      <c r="D661" s="8" t="str">
        <f t="shared" si="102"/>
        <v/>
      </c>
      <c r="E661" s="9" t="str">
        <f t="shared" si="103"/>
        <v/>
      </c>
      <c r="F661" s="9" t="str">
        <f t="shared" si="104"/>
        <v/>
      </c>
      <c r="G661" s="9" t="str">
        <f t="shared" si="105"/>
        <v/>
      </c>
      <c r="H661" s="9" t="str">
        <f t="shared" si="106"/>
        <v/>
      </c>
      <c r="I661" s="10" t="str">
        <f t="shared" si="107"/>
        <v/>
      </c>
      <c r="J661" s="10" t="str">
        <f t="shared" si="109"/>
        <v/>
      </c>
      <c r="K661" s="11" t="str">
        <f t="shared" si="108"/>
        <v/>
      </c>
      <c r="M661" t="str">
        <f>IFERROR(MATCH($C$5&amp;"|"&amp;RIGHT("000000"&amp;645,6),CalcRankKeyA,0),"")</f>
        <v/>
      </c>
      <c r="N661" t="str">
        <f>IFERROR(MATCH($C$5&amp;"|"&amp;RIGHT("000000"&amp;645,6),CalcRankKeyB,0),"")</f>
        <v/>
      </c>
    </row>
    <row r="662" spans="1:14" x14ac:dyDescent="0.2">
      <c r="A662" s="12">
        <v>646</v>
      </c>
      <c r="B662" s="13" t="str">
        <f t="shared" si="100"/>
        <v/>
      </c>
      <c r="C662" s="13" t="str">
        <f t="shared" si="101"/>
        <v/>
      </c>
      <c r="D662" s="13" t="str">
        <f t="shared" si="102"/>
        <v/>
      </c>
      <c r="E662" s="14" t="str">
        <f t="shared" si="103"/>
        <v/>
      </c>
      <c r="F662" s="14" t="str">
        <f t="shared" si="104"/>
        <v/>
      </c>
      <c r="G662" s="14" t="str">
        <f t="shared" si="105"/>
        <v/>
      </c>
      <c r="H662" s="14" t="str">
        <f t="shared" si="106"/>
        <v/>
      </c>
      <c r="I662" s="15" t="str">
        <f t="shared" si="107"/>
        <v/>
      </c>
      <c r="J662" s="15" t="str">
        <f t="shared" si="109"/>
        <v/>
      </c>
      <c r="K662" s="16" t="str">
        <f t="shared" si="108"/>
        <v/>
      </c>
      <c r="M662" t="str">
        <f>IFERROR(MATCH($C$5&amp;"|"&amp;RIGHT("000000"&amp;646,6),CalcRankKeyA,0),"")</f>
        <v/>
      </c>
      <c r="N662" t="str">
        <f>IFERROR(MATCH($C$5&amp;"|"&amp;RIGHT("000000"&amp;646,6),CalcRankKeyB,0),"")</f>
        <v/>
      </c>
    </row>
    <row r="663" spans="1:14" x14ac:dyDescent="0.2">
      <c r="A663" s="7">
        <v>647</v>
      </c>
      <c r="B663" s="8" t="str">
        <f t="shared" si="100"/>
        <v/>
      </c>
      <c r="C663" s="8" t="str">
        <f t="shared" si="101"/>
        <v/>
      </c>
      <c r="D663" s="8" t="str">
        <f t="shared" si="102"/>
        <v/>
      </c>
      <c r="E663" s="9" t="str">
        <f t="shared" si="103"/>
        <v/>
      </c>
      <c r="F663" s="9" t="str">
        <f t="shared" si="104"/>
        <v/>
      </c>
      <c r="G663" s="9" t="str">
        <f t="shared" si="105"/>
        <v/>
      </c>
      <c r="H663" s="9" t="str">
        <f t="shared" si="106"/>
        <v/>
      </c>
      <c r="I663" s="10" t="str">
        <f t="shared" si="107"/>
        <v/>
      </c>
      <c r="J663" s="10" t="str">
        <f t="shared" si="109"/>
        <v/>
      </c>
      <c r="K663" s="11" t="str">
        <f t="shared" si="108"/>
        <v/>
      </c>
      <c r="M663" t="str">
        <f>IFERROR(MATCH($C$5&amp;"|"&amp;RIGHT("000000"&amp;647,6),CalcRankKeyA,0),"")</f>
        <v/>
      </c>
      <c r="N663" t="str">
        <f>IFERROR(MATCH($C$5&amp;"|"&amp;RIGHT("000000"&amp;647,6),CalcRankKeyB,0),"")</f>
        <v/>
      </c>
    </row>
    <row r="664" spans="1:14" x14ac:dyDescent="0.2">
      <c r="A664" s="12">
        <v>648</v>
      </c>
      <c r="B664" s="13" t="str">
        <f t="shared" si="100"/>
        <v/>
      </c>
      <c r="C664" s="13" t="str">
        <f t="shared" si="101"/>
        <v/>
      </c>
      <c r="D664" s="13" t="str">
        <f t="shared" si="102"/>
        <v/>
      </c>
      <c r="E664" s="14" t="str">
        <f t="shared" si="103"/>
        <v/>
      </c>
      <c r="F664" s="14" t="str">
        <f t="shared" si="104"/>
        <v/>
      </c>
      <c r="G664" s="14" t="str">
        <f t="shared" si="105"/>
        <v/>
      </c>
      <c r="H664" s="14" t="str">
        <f t="shared" si="106"/>
        <v/>
      </c>
      <c r="I664" s="15" t="str">
        <f t="shared" si="107"/>
        <v/>
      </c>
      <c r="J664" s="15" t="str">
        <f t="shared" si="109"/>
        <v/>
      </c>
      <c r="K664" s="16" t="str">
        <f t="shared" si="108"/>
        <v/>
      </c>
      <c r="M664" t="str">
        <f>IFERROR(MATCH($C$5&amp;"|"&amp;RIGHT("000000"&amp;648,6),CalcRankKeyA,0),"")</f>
        <v/>
      </c>
      <c r="N664" t="str">
        <f>IFERROR(MATCH($C$5&amp;"|"&amp;RIGHT("000000"&amp;648,6),CalcRankKeyB,0),"")</f>
        <v/>
      </c>
    </row>
    <row r="665" spans="1:14" x14ac:dyDescent="0.2">
      <c r="A665" s="7">
        <v>649</v>
      </c>
      <c r="B665" s="8" t="str">
        <f t="shared" si="100"/>
        <v/>
      </c>
      <c r="C665" s="8" t="str">
        <f t="shared" si="101"/>
        <v/>
      </c>
      <c r="D665" s="8" t="str">
        <f t="shared" si="102"/>
        <v/>
      </c>
      <c r="E665" s="9" t="str">
        <f t="shared" si="103"/>
        <v/>
      </c>
      <c r="F665" s="9" t="str">
        <f t="shared" si="104"/>
        <v/>
      </c>
      <c r="G665" s="9" t="str">
        <f t="shared" si="105"/>
        <v/>
      </c>
      <c r="H665" s="9" t="str">
        <f t="shared" si="106"/>
        <v/>
      </c>
      <c r="I665" s="10" t="str">
        <f t="shared" si="107"/>
        <v/>
      </c>
      <c r="J665" s="10" t="str">
        <f t="shared" si="109"/>
        <v/>
      </c>
      <c r="K665" s="11" t="str">
        <f t="shared" si="108"/>
        <v/>
      </c>
      <c r="M665" t="str">
        <f>IFERROR(MATCH($C$5&amp;"|"&amp;RIGHT("000000"&amp;649,6),CalcRankKeyA,0),"")</f>
        <v/>
      </c>
      <c r="N665" t="str">
        <f>IFERROR(MATCH($C$5&amp;"|"&amp;RIGHT("000000"&amp;649,6),CalcRankKeyB,0),"")</f>
        <v/>
      </c>
    </row>
    <row r="666" spans="1:14" x14ac:dyDescent="0.2">
      <c r="A666" s="12">
        <v>650</v>
      </c>
      <c r="B666" s="13" t="str">
        <f t="shared" si="100"/>
        <v/>
      </c>
      <c r="C666" s="13" t="str">
        <f t="shared" si="101"/>
        <v/>
      </c>
      <c r="D666" s="13" t="str">
        <f t="shared" si="102"/>
        <v/>
      </c>
      <c r="E666" s="14" t="str">
        <f t="shared" si="103"/>
        <v/>
      </c>
      <c r="F666" s="14" t="str">
        <f t="shared" si="104"/>
        <v/>
      </c>
      <c r="G666" s="14" t="str">
        <f t="shared" si="105"/>
        <v/>
      </c>
      <c r="H666" s="14" t="str">
        <f t="shared" si="106"/>
        <v/>
      </c>
      <c r="I666" s="15" t="str">
        <f t="shared" si="107"/>
        <v/>
      </c>
      <c r="J666" s="15" t="str">
        <f t="shared" si="109"/>
        <v/>
      </c>
      <c r="K666" s="16" t="str">
        <f t="shared" si="108"/>
        <v/>
      </c>
      <c r="M666" t="str">
        <f>IFERROR(MATCH($C$5&amp;"|"&amp;RIGHT("000000"&amp;650,6),CalcRankKeyA,0),"")</f>
        <v/>
      </c>
      <c r="N666" t="str">
        <f>IFERROR(MATCH($C$5&amp;"|"&amp;RIGHT("000000"&amp;650,6),CalcRankKeyB,0),"")</f>
        <v/>
      </c>
    </row>
    <row r="667" spans="1:14" x14ac:dyDescent="0.2">
      <c r="A667" s="7">
        <v>651</v>
      </c>
      <c r="B667" s="8" t="str">
        <f t="shared" si="100"/>
        <v/>
      </c>
      <c r="C667" s="8" t="str">
        <f t="shared" si="101"/>
        <v/>
      </c>
      <c r="D667" s="8" t="str">
        <f t="shared" si="102"/>
        <v/>
      </c>
      <c r="E667" s="9" t="str">
        <f t="shared" si="103"/>
        <v/>
      </c>
      <c r="F667" s="9" t="str">
        <f t="shared" si="104"/>
        <v/>
      </c>
      <c r="G667" s="9" t="str">
        <f t="shared" si="105"/>
        <v/>
      </c>
      <c r="H667" s="9" t="str">
        <f t="shared" si="106"/>
        <v/>
      </c>
      <c r="I667" s="10" t="str">
        <f t="shared" si="107"/>
        <v/>
      </c>
      <c r="J667" s="10" t="str">
        <f t="shared" si="109"/>
        <v/>
      </c>
      <c r="K667" s="11" t="str">
        <f t="shared" si="108"/>
        <v/>
      </c>
      <c r="M667" t="str">
        <f>IFERROR(MATCH($C$5&amp;"|"&amp;RIGHT("000000"&amp;651,6),CalcRankKeyA,0),"")</f>
        <v/>
      </c>
      <c r="N667" t="str">
        <f>IFERROR(MATCH($C$5&amp;"|"&amp;RIGHT("000000"&amp;651,6),CalcRankKeyB,0),"")</f>
        <v/>
      </c>
    </row>
    <row r="668" spans="1:14" x14ac:dyDescent="0.2">
      <c r="A668" s="12">
        <v>652</v>
      </c>
      <c r="B668" s="13" t="str">
        <f t="shared" si="100"/>
        <v/>
      </c>
      <c r="C668" s="13" t="str">
        <f t="shared" si="101"/>
        <v/>
      </c>
      <c r="D668" s="13" t="str">
        <f t="shared" si="102"/>
        <v/>
      </c>
      <c r="E668" s="14" t="str">
        <f t="shared" si="103"/>
        <v/>
      </c>
      <c r="F668" s="14" t="str">
        <f t="shared" si="104"/>
        <v/>
      </c>
      <c r="G668" s="14" t="str">
        <f t="shared" si="105"/>
        <v/>
      </c>
      <c r="H668" s="14" t="str">
        <f t="shared" si="106"/>
        <v/>
      </c>
      <c r="I668" s="15" t="str">
        <f t="shared" si="107"/>
        <v/>
      </c>
      <c r="J668" s="15" t="str">
        <f t="shared" si="109"/>
        <v/>
      </c>
      <c r="K668" s="16" t="str">
        <f t="shared" si="108"/>
        <v/>
      </c>
      <c r="M668" t="str">
        <f>IFERROR(MATCH($C$5&amp;"|"&amp;RIGHT("000000"&amp;652,6),CalcRankKeyA,0),"")</f>
        <v/>
      </c>
      <c r="N668" t="str">
        <f>IFERROR(MATCH($C$5&amp;"|"&amp;RIGHT("000000"&amp;652,6),CalcRankKeyB,0),"")</f>
        <v/>
      </c>
    </row>
    <row r="669" spans="1:14" x14ac:dyDescent="0.2">
      <c r="A669" s="7">
        <v>653</v>
      </c>
      <c r="B669" s="8" t="str">
        <f t="shared" si="100"/>
        <v/>
      </c>
      <c r="C669" s="8" t="str">
        <f t="shared" si="101"/>
        <v/>
      </c>
      <c r="D669" s="8" t="str">
        <f t="shared" si="102"/>
        <v/>
      </c>
      <c r="E669" s="9" t="str">
        <f t="shared" si="103"/>
        <v/>
      </c>
      <c r="F669" s="9" t="str">
        <f t="shared" si="104"/>
        <v/>
      </c>
      <c r="G669" s="9" t="str">
        <f t="shared" si="105"/>
        <v/>
      </c>
      <c r="H669" s="9" t="str">
        <f t="shared" si="106"/>
        <v/>
      </c>
      <c r="I669" s="10" t="str">
        <f t="shared" si="107"/>
        <v/>
      </c>
      <c r="J669" s="10" t="str">
        <f t="shared" si="109"/>
        <v/>
      </c>
      <c r="K669" s="11" t="str">
        <f t="shared" si="108"/>
        <v/>
      </c>
      <c r="M669" t="str">
        <f>IFERROR(MATCH($C$5&amp;"|"&amp;RIGHT("000000"&amp;653,6),CalcRankKeyA,0),"")</f>
        <v/>
      </c>
      <c r="N669" t="str">
        <f>IFERROR(MATCH($C$5&amp;"|"&amp;RIGHT("000000"&amp;653,6),CalcRankKeyB,0),"")</f>
        <v/>
      </c>
    </row>
    <row r="670" spans="1:14" x14ac:dyDescent="0.2">
      <c r="A670" s="12">
        <v>654</v>
      </c>
      <c r="B670" s="13" t="str">
        <f t="shared" si="100"/>
        <v/>
      </c>
      <c r="C670" s="13" t="str">
        <f t="shared" si="101"/>
        <v/>
      </c>
      <c r="D670" s="13" t="str">
        <f t="shared" si="102"/>
        <v/>
      </c>
      <c r="E670" s="14" t="str">
        <f t="shared" si="103"/>
        <v/>
      </c>
      <c r="F670" s="14" t="str">
        <f t="shared" si="104"/>
        <v/>
      </c>
      <c r="G670" s="14" t="str">
        <f t="shared" si="105"/>
        <v/>
      </c>
      <c r="H670" s="14" t="str">
        <f t="shared" si="106"/>
        <v/>
      </c>
      <c r="I670" s="15" t="str">
        <f t="shared" si="107"/>
        <v/>
      </c>
      <c r="J670" s="15" t="str">
        <f t="shared" si="109"/>
        <v/>
      </c>
      <c r="K670" s="16" t="str">
        <f t="shared" si="108"/>
        <v/>
      </c>
      <c r="M670" t="str">
        <f>IFERROR(MATCH($C$5&amp;"|"&amp;RIGHT("000000"&amp;654,6),CalcRankKeyA,0),"")</f>
        <v/>
      </c>
      <c r="N670" t="str">
        <f>IFERROR(MATCH($C$5&amp;"|"&amp;RIGHT("000000"&amp;654,6),CalcRankKeyB,0),"")</f>
        <v/>
      </c>
    </row>
    <row r="671" spans="1:14" x14ac:dyDescent="0.2">
      <c r="A671" s="7">
        <v>655</v>
      </c>
      <c r="B671" s="8" t="str">
        <f t="shared" si="100"/>
        <v/>
      </c>
      <c r="C671" s="8" t="str">
        <f t="shared" si="101"/>
        <v/>
      </c>
      <c r="D671" s="8" t="str">
        <f t="shared" si="102"/>
        <v/>
      </c>
      <c r="E671" s="9" t="str">
        <f t="shared" si="103"/>
        <v/>
      </c>
      <c r="F671" s="9" t="str">
        <f t="shared" si="104"/>
        <v/>
      </c>
      <c r="G671" s="9" t="str">
        <f t="shared" si="105"/>
        <v/>
      </c>
      <c r="H671" s="9" t="str">
        <f t="shared" si="106"/>
        <v/>
      </c>
      <c r="I671" s="10" t="str">
        <f t="shared" si="107"/>
        <v/>
      </c>
      <c r="J671" s="10" t="str">
        <f t="shared" si="109"/>
        <v/>
      </c>
      <c r="K671" s="11" t="str">
        <f t="shared" si="108"/>
        <v/>
      </c>
      <c r="M671" t="str">
        <f>IFERROR(MATCH($C$5&amp;"|"&amp;RIGHT("000000"&amp;655,6),CalcRankKeyA,0),"")</f>
        <v/>
      </c>
      <c r="N671" t="str">
        <f>IFERROR(MATCH($C$5&amp;"|"&amp;RIGHT("000000"&amp;655,6),CalcRankKeyB,0),"")</f>
        <v/>
      </c>
    </row>
    <row r="672" spans="1:14" x14ac:dyDescent="0.2">
      <c r="A672" s="12">
        <v>656</v>
      </c>
      <c r="B672" s="13" t="str">
        <f t="shared" si="100"/>
        <v/>
      </c>
      <c r="C672" s="13" t="str">
        <f t="shared" si="101"/>
        <v/>
      </c>
      <c r="D672" s="13" t="str">
        <f t="shared" si="102"/>
        <v/>
      </c>
      <c r="E672" s="14" t="str">
        <f t="shared" si="103"/>
        <v/>
      </c>
      <c r="F672" s="14" t="str">
        <f t="shared" si="104"/>
        <v/>
      </c>
      <c r="G672" s="14" t="str">
        <f t="shared" si="105"/>
        <v/>
      </c>
      <c r="H672" s="14" t="str">
        <f t="shared" si="106"/>
        <v/>
      </c>
      <c r="I672" s="15" t="str">
        <f t="shared" si="107"/>
        <v/>
      </c>
      <c r="J672" s="15" t="str">
        <f t="shared" si="109"/>
        <v/>
      </c>
      <c r="K672" s="16" t="str">
        <f t="shared" si="108"/>
        <v/>
      </c>
      <c r="M672" t="str">
        <f>IFERROR(MATCH($C$5&amp;"|"&amp;RIGHT("000000"&amp;656,6),CalcRankKeyA,0),"")</f>
        <v/>
      </c>
      <c r="N672" t="str">
        <f>IFERROR(MATCH($C$5&amp;"|"&amp;RIGHT("000000"&amp;656,6),CalcRankKeyB,0),"")</f>
        <v/>
      </c>
    </row>
    <row r="673" spans="1:14" x14ac:dyDescent="0.2">
      <c r="A673" s="7">
        <v>657</v>
      </c>
      <c r="B673" s="8" t="str">
        <f t="shared" si="100"/>
        <v/>
      </c>
      <c r="C673" s="8" t="str">
        <f t="shared" si="101"/>
        <v/>
      </c>
      <c r="D673" s="8" t="str">
        <f t="shared" si="102"/>
        <v/>
      </c>
      <c r="E673" s="9" t="str">
        <f t="shared" si="103"/>
        <v/>
      </c>
      <c r="F673" s="9" t="str">
        <f t="shared" si="104"/>
        <v/>
      </c>
      <c r="G673" s="9" t="str">
        <f t="shared" si="105"/>
        <v/>
      </c>
      <c r="H673" s="9" t="str">
        <f t="shared" si="106"/>
        <v/>
      </c>
      <c r="I673" s="10" t="str">
        <f t="shared" si="107"/>
        <v/>
      </c>
      <c r="J673" s="10" t="str">
        <f t="shared" si="109"/>
        <v/>
      </c>
      <c r="K673" s="11" t="str">
        <f t="shared" si="108"/>
        <v/>
      </c>
      <c r="M673" t="str">
        <f>IFERROR(MATCH($C$5&amp;"|"&amp;RIGHT("000000"&amp;657,6),CalcRankKeyA,0),"")</f>
        <v/>
      </c>
      <c r="N673" t="str">
        <f>IFERROR(MATCH($C$5&amp;"|"&amp;RIGHT("000000"&amp;657,6),CalcRankKeyB,0),"")</f>
        <v/>
      </c>
    </row>
    <row r="674" spans="1:14" x14ac:dyDescent="0.2">
      <c r="A674" s="12">
        <v>658</v>
      </c>
      <c r="B674" s="13" t="str">
        <f t="shared" si="100"/>
        <v/>
      </c>
      <c r="C674" s="13" t="str">
        <f t="shared" si="101"/>
        <v/>
      </c>
      <c r="D674" s="13" t="str">
        <f t="shared" si="102"/>
        <v/>
      </c>
      <c r="E674" s="14" t="str">
        <f t="shared" si="103"/>
        <v/>
      </c>
      <c r="F674" s="14" t="str">
        <f t="shared" si="104"/>
        <v/>
      </c>
      <c r="G674" s="14" t="str">
        <f t="shared" si="105"/>
        <v/>
      </c>
      <c r="H674" s="14" t="str">
        <f t="shared" si="106"/>
        <v/>
      </c>
      <c r="I674" s="15" t="str">
        <f t="shared" si="107"/>
        <v/>
      </c>
      <c r="J674" s="15" t="str">
        <f t="shared" si="109"/>
        <v/>
      </c>
      <c r="K674" s="16" t="str">
        <f t="shared" si="108"/>
        <v/>
      </c>
      <c r="M674" t="str">
        <f>IFERROR(MATCH($C$5&amp;"|"&amp;RIGHT("000000"&amp;658,6),CalcRankKeyA,0),"")</f>
        <v/>
      </c>
      <c r="N674" t="str">
        <f>IFERROR(MATCH($C$5&amp;"|"&amp;RIGHT("000000"&amp;658,6),CalcRankKeyB,0),"")</f>
        <v/>
      </c>
    </row>
    <row r="675" spans="1:14" x14ac:dyDescent="0.2">
      <c r="A675" s="7">
        <v>659</v>
      </c>
      <c r="B675" s="8" t="str">
        <f t="shared" si="100"/>
        <v/>
      </c>
      <c r="C675" s="8" t="str">
        <f t="shared" si="101"/>
        <v/>
      </c>
      <c r="D675" s="8" t="str">
        <f t="shared" si="102"/>
        <v/>
      </c>
      <c r="E675" s="9" t="str">
        <f t="shared" si="103"/>
        <v/>
      </c>
      <c r="F675" s="9" t="str">
        <f t="shared" si="104"/>
        <v/>
      </c>
      <c r="G675" s="9" t="str">
        <f t="shared" si="105"/>
        <v/>
      </c>
      <c r="H675" s="9" t="str">
        <f t="shared" si="106"/>
        <v/>
      </c>
      <c r="I675" s="10" t="str">
        <f t="shared" si="107"/>
        <v/>
      </c>
      <c r="J675" s="10" t="str">
        <f t="shared" si="109"/>
        <v/>
      </c>
      <c r="K675" s="11" t="str">
        <f t="shared" si="108"/>
        <v/>
      </c>
      <c r="M675" t="str">
        <f>IFERROR(MATCH($C$5&amp;"|"&amp;RIGHT("000000"&amp;659,6),CalcRankKeyA,0),"")</f>
        <v/>
      </c>
      <c r="N675" t="str">
        <f>IFERROR(MATCH($C$5&amp;"|"&amp;RIGHT("000000"&amp;659,6),CalcRankKeyB,0),"")</f>
        <v/>
      </c>
    </row>
    <row r="676" spans="1:14" x14ac:dyDescent="0.2">
      <c r="A676" s="12">
        <v>660</v>
      </c>
      <c r="B676" s="13" t="str">
        <f t="shared" si="100"/>
        <v/>
      </c>
      <c r="C676" s="13" t="str">
        <f t="shared" si="101"/>
        <v/>
      </c>
      <c r="D676" s="13" t="str">
        <f t="shared" si="102"/>
        <v/>
      </c>
      <c r="E676" s="14" t="str">
        <f t="shared" si="103"/>
        <v/>
      </c>
      <c r="F676" s="14" t="str">
        <f t="shared" si="104"/>
        <v/>
      </c>
      <c r="G676" s="14" t="str">
        <f t="shared" si="105"/>
        <v/>
      </c>
      <c r="H676" s="14" t="str">
        <f t="shared" si="106"/>
        <v/>
      </c>
      <c r="I676" s="15" t="str">
        <f t="shared" si="107"/>
        <v/>
      </c>
      <c r="J676" s="15" t="str">
        <f t="shared" si="109"/>
        <v/>
      </c>
      <c r="K676" s="16" t="str">
        <f t="shared" si="108"/>
        <v/>
      </c>
      <c r="M676" t="str">
        <f>IFERROR(MATCH($C$5&amp;"|"&amp;RIGHT("000000"&amp;660,6),CalcRankKeyA,0),"")</f>
        <v/>
      </c>
      <c r="N676" t="str">
        <f>IFERROR(MATCH($C$5&amp;"|"&amp;RIGHT("000000"&amp;660,6),CalcRankKeyB,0),"")</f>
        <v/>
      </c>
    </row>
    <row r="677" spans="1:14" x14ac:dyDescent="0.2">
      <c r="A677" s="7">
        <v>661</v>
      </c>
      <c r="B677" s="8" t="str">
        <f t="shared" si="100"/>
        <v/>
      </c>
      <c r="C677" s="8" t="str">
        <f t="shared" si="101"/>
        <v/>
      </c>
      <c r="D677" s="8" t="str">
        <f t="shared" si="102"/>
        <v/>
      </c>
      <c r="E677" s="9" t="str">
        <f t="shared" si="103"/>
        <v/>
      </c>
      <c r="F677" s="9" t="str">
        <f t="shared" si="104"/>
        <v/>
      </c>
      <c r="G677" s="9" t="str">
        <f t="shared" si="105"/>
        <v/>
      </c>
      <c r="H677" s="9" t="str">
        <f t="shared" si="106"/>
        <v/>
      </c>
      <c r="I677" s="10" t="str">
        <f t="shared" si="107"/>
        <v/>
      </c>
      <c r="J677" s="10" t="str">
        <f t="shared" si="109"/>
        <v/>
      </c>
      <c r="K677" s="11" t="str">
        <f t="shared" si="108"/>
        <v/>
      </c>
      <c r="M677" t="str">
        <f>IFERROR(MATCH($C$5&amp;"|"&amp;RIGHT("000000"&amp;661,6),CalcRankKeyA,0),"")</f>
        <v/>
      </c>
      <c r="N677" t="str">
        <f>IFERROR(MATCH($C$5&amp;"|"&amp;RIGHT("000000"&amp;661,6),CalcRankKeyB,0),"")</f>
        <v/>
      </c>
    </row>
    <row r="678" spans="1:14" x14ac:dyDescent="0.2">
      <c r="A678" s="12">
        <v>662</v>
      </c>
      <c r="B678" s="13" t="str">
        <f t="shared" si="100"/>
        <v/>
      </c>
      <c r="C678" s="13" t="str">
        <f t="shared" si="101"/>
        <v/>
      </c>
      <c r="D678" s="13" t="str">
        <f t="shared" si="102"/>
        <v/>
      </c>
      <c r="E678" s="14" t="str">
        <f t="shared" si="103"/>
        <v/>
      </c>
      <c r="F678" s="14" t="str">
        <f t="shared" si="104"/>
        <v/>
      </c>
      <c r="G678" s="14" t="str">
        <f t="shared" si="105"/>
        <v/>
      </c>
      <c r="H678" s="14" t="str">
        <f t="shared" si="106"/>
        <v/>
      </c>
      <c r="I678" s="15" t="str">
        <f t="shared" si="107"/>
        <v/>
      </c>
      <c r="J678" s="15" t="str">
        <f t="shared" si="109"/>
        <v/>
      </c>
      <c r="K678" s="16" t="str">
        <f t="shared" si="108"/>
        <v/>
      </c>
      <c r="M678" t="str">
        <f>IFERROR(MATCH($C$5&amp;"|"&amp;RIGHT("000000"&amp;662,6),CalcRankKeyA,0),"")</f>
        <v/>
      </c>
      <c r="N678" t="str">
        <f>IFERROR(MATCH($C$5&amp;"|"&amp;RIGHT("000000"&amp;662,6),CalcRankKeyB,0),"")</f>
        <v/>
      </c>
    </row>
    <row r="679" spans="1:14" x14ac:dyDescent="0.2">
      <c r="A679" s="7">
        <v>663</v>
      </c>
      <c r="B679" s="8" t="str">
        <f t="shared" si="100"/>
        <v/>
      </c>
      <c r="C679" s="8" t="str">
        <f t="shared" si="101"/>
        <v/>
      </c>
      <c r="D679" s="8" t="str">
        <f t="shared" si="102"/>
        <v/>
      </c>
      <c r="E679" s="9" t="str">
        <f t="shared" si="103"/>
        <v/>
      </c>
      <c r="F679" s="9" t="str">
        <f t="shared" si="104"/>
        <v/>
      </c>
      <c r="G679" s="9" t="str">
        <f t="shared" si="105"/>
        <v/>
      </c>
      <c r="H679" s="9" t="str">
        <f t="shared" si="106"/>
        <v/>
      </c>
      <c r="I679" s="10" t="str">
        <f t="shared" si="107"/>
        <v/>
      </c>
      <c r="J679" s="10" t="str">
        <f t="shared" si="109"/>
        <v/>
      </c>
      <c r="K679" s="11" t="str">
        <f t="shared" si="108"/>
        <v/>
      </c>
      <c r="M679" t="str">
        <f>IFERROR(MATCH($C$5&amp;"|"&amp;RIGHT("000000"&amp;663,6),CalcRankKeyA,0),"")</f>
        <v/>
      </c>
      <c r="N679" t="str">
        <f>IFERROR(MATCH($C$5&amp;"|"&amp;RIGHT("000000"&amp;663,6),CalcRankKeyB,0),"")</f>
        <v/>
      </c>
    </row>
    <row r="680" spans="1:14" x14ac:dyDescent="0.2">
      <c r="A680" s="12">
        <v>664</v>
      </c>
      <c r="B680" s="13" t="str">
        <f t="shared" si="100"/>
        <v/>
      </c>
      <c r="C680" s="13" t="str">
        <f t="shared" si="101"/>
        <v/>
      </c>
      <c r="D680" s="13" t="str">
        <f t="shared" si="102"/>
        <v/>
      </c>
      <c r="E680" s="14" t="str">
        <f t="shared" si="103"/>
        <v/>
      </c>
      <c r="F680" s="14" t="str">
        <f t="shared" si="104"/>
        <v/>
      </c>
      <c r="G680" s="14" t="str">
        <f t="shared" si="105"/>
        <v/>
      </c>
      <c r="H680" s="14" t="str">
        <f t="shared" si="106"/>
        <v/>
      </c>
      <c r="I680" s="15" t="str">
        <f t="shared" si="107"/>
        <v/>
      </c>
      <c r="J680" s="15" t="str">
        <f t="shared" si="109"/>
        <v/>
      </c>
      <c r="K680" s="16" t="str">
        <f t="shared" si="108"/>
        <v/>
      </c>
      <c r="M680" t="str">
        <f>IFERROR(MATCH($C$5&amp;"|"&amp;RIGHT("000000"&amp;664,6),CalcRankKeyA,0),"")</f>
        <v/>
      </c>
      <c r="N680" t="str">
        <f>IFERROR(MATCH($C$5&amp;"|"&amp;RIGHT("000000"&amp;664,6),CalcRankKeyB,0),"")</f>
        <v/>
      </c>
    </row>
    <row r="681" spans="1:14" x14ac:dyDescent="0.2">
      <c r="A681" s="7">
        <v>665</v>
      </c>
      <c r="B681" s="8" t="str">
        <f t="shared" si="100"/>
        <v/>
      </c>
      <c r="C681" s="8" t="str">
        <f t="shared" si="101"/>
        <v/>
      </c>
      <c r="D681" s="8" t="str">
        <f t="shared" si="102"/>
        <v/>
      </c>
      <c r="E681" s="9" t="str">
        <f t="shared" si="103"/>
        <v/>
      </c>
      <c r="F681" s="9" t="str">
        <f t="shared" si="104"/>
        <v/>
      </c>
      <c r="G681" s="9" t="str">
        <f t="shared" si="105"/>
        <v/>
      </c>
      <c r="H681" s="9" t="str">
        <f t="shared" si="106"/>
        <v/>
      </c>
      <c r="I681" s="10" t="str">
        <f t="shared" si="107"/>
        <v/>
      </c>
      <c r="J681" s="10" t="str">
        <f t="shared" si="109"/>
        <v/>
      </c>
      <c r="K681" s="11" t="str">
        <f t="shared" si="108"/>
        <v/>
      </c>
      <c r="M681" t="str">
        <f>IFERROR(MATCH($C$5&amp;"|"&amp;RIGHT("000000"&amp;665,6),CalcRankKeyA,0),"")</f>
        <v/>
      </c>
      <c r="N681" t="str">
        <f>IFERROR(MATCH($C$5&amp;"|"&amp;RIGHT("000000"&amp;665,6),CalcRankKeyB,0),"")</f>
        <v/>
      </c>
    </row>
    <row r="682" spans="1:14" x14ac:dyDescent="0.2">
      <c r="A682" s="12">
        <v>666</v>
      </c>
      <c r="B682" s="13" t="str">
        <f t="shared" si="100"/>
        <v/>
      </c>
      <c r="C682" s="13" t="str">
        <f t="shared" si="101"/>
        <v/>
      </c>
      <c r="D682" s="13" t="str">
        <f t="shared" si="102"/>
        <v/>
      </c>
      <c r="E682" s="14" t="str">
        <f t="shared" si="103"/>
        <v/>
      </c>
      <c r="F682" s="14" t="str">
        <f t="shared" si="104"/>
        <v/>
      </c>
      <c r="G682" s="14" t="str">
        <f t="shared" si="105"/>
        <v/>
      </c>
      <c r="H682" s="14" t="str">
        <f t="shared" si="106"/>
        <v/>
      </c>
      <c r="I682" s="15" t="str">
        <f t="shared" si="107"/>
        <v/>
      </c>
      <c r="J682" s="15" t="str">
        <f t="shared" si="109"/>
        <v/>
      </c>
      <c r="K682" s="16" t="str">
        <f t="shared" si="108"/>
        <v/>
      </c>
      <c r="M682" t="str">
        <f>IFERROR(MATCH($C$5&amp;"|"&amp;RIGHT("000000"&amp;666,6),CalcRankKeyA,0),"")</f>
        <v/>
      </c>
      <c r="N682" t="str">
        <f>IFERROR(MATCH($C$5&amp;"|"&amp;RIGHT("000000"&amp;666,6),CalcRankKeyB,0),"")</f>
        <v/>
      </c>
    </row>
    <row r="683" spans="1:14" x14ac:dyDescent="0.2">
      <c r="A683" s="7">
        <v>667</v>
      </c>
      <c r="B683" s="8" t="str">
        <f t="shared" si="100"/>
        <v/>
      </c>
      <c r="C683" s="8" t="str">
        <f t="shared" si="101"/>
        <v/>
      </c>
      <c r="D683" s="8" t="str">
        <f t="shared" si="102"/>
        <v/>
      </c>
      <c r="E683" s="9" t="str">
        <f t="shared" si="103"/>
        <v/>
      </c>
      <c r="F683" s="9" t="str">
        <f t="shared" si="104"/>
        <v/>
      </c>
      <c r="G683" s="9" t="str">
        <f t="shared" si="105"/>
        <v/>
      </c>
      <c r="H683" s="9" t="str">
        <f t="shared" si="106"/>
        <v/>
      </c>
      <c r="I683" s="10" t="str">
        <f t="shared" si="107"/>
        <v/>
      </c>
      <c r="J683" s="10" t="str">
        <f t="shared" si="109"/>
        <v/>
      </c>
      <c r="K683" s="11" t="str">
        <f t="shared" si="108"/>
        <v/>
      </c>
      <c r="M683" t="str">
        <f>IFERROR(MATCH($C$5&amp;"|"&amp;RIGHT("000000"&amp;667,6),CalcRankKeyA,0),"")</f>
        <v/>
      </c>
      <c r="N683" t="str">
        <f>IFERROR(MATCH($C$5&amp;"|"&amp;RIGHT("000000"&amp;667,6),CalcRankKeyB,0),"")</f>
        <v/>
      </c>
    </row>
    <row r="684" spans="1:14" x14ac:dyDescent="0.2">
      <c r="A684" s="12">
        <v>668</v>
      </c>
      <c r="B684" s="13" t="str">
        <f t="shared" si="100"/>
        <v/>
      </c>
      <c r="C684" s="13" t="str">
        <f t="shared" si="101"/>
        <v/>
      </c>
      <c r="D684" s="13" t="str">
        <f t="shared" si="102"/>
        <v/>
      </c>
      <c r="E684" s="14" t="str">
        <f t="shared" si="103"/>
        <v/>
      </c>
      <c r="F684" s="14" t="str">
        <f t="shared" si="104"/>
        <v/>
      </c>
      <c r="G684" s="14" t="str">
        <f t="shared" si="105"/>
        <v/>
      </c>
      <c r="H684" s="14" t="str">
        <f t="shared" si="106"/>
        <v/>
      </c>
      <c r="I684" s="15" t="str">
        <f t="shared" si="107"/>
        <v/>
      </c>
      <c r="J684" s="15" t="str">
        <f t="shared" si="109"/>
        <v/>
      </c>
      <c r="K684" s="16" t="str">
        <f t="shared" si="108"/>
        <v/>
      </c>
      <c r="M684" t="str">
        <f>IFERROR(MATCH($C$5&amp;"|"&amp;RIGHT("000000"&amp;668,6),CalcRankKeyA,0),"")</f>
        <v/>
      </c>
      <c r="N684" t="str">
        <f>IFERROR(MATCH($C$5&amp;"|"&amp;RIGHT("000000"&amp;668,6),CalcRankKeyB,0),"")</f>
        <v/>
      </c>
    </row>
    <row r="685" spans="1:14" x14ac:dyDescent="0.2">
      <c r="A685" s="7">
        <v>669</v>
      </c>
      <c r="B685" s="8" t="str">
        <f t="shared" si="100"/>
        <v/>
      </c>
      <c r="C685" s="8" t="str">
        <f t="shared" si="101"/>
        <v/>
      </c>
      <c r="D685" s="8" t="str">
        <f t="shared" si="102"/>
        <v/>
      </c>
      <c r="E685" s="9" t="str">
        <f t="shared" si="103"/>
        <v/>
      </c>
      <c r="F685" s="9" t="str">
        <f t="shared" si="104"/>
        <v/>
      </c>
      <c r="G685" s="9" t="str">
        <f t="shared" si="105"/>
        <v/>
      </c>
      <c r="H685" s="9" t="str">
        <f t="shared" si="106"/>
        <v/>
      </c>
      <c r="I685" s="10" t="str">
        <f t="shared" si="107"/>
        <v/>
      </c>
      <c r="J685" s="10" t="str">
        <f t="shared" si="109"/>
        <v/>
      </c>
      <c r="K685" s="11" t="str">
        <f t="shared" si="108"/>
        <v/>
      </c>
      <c r="M685" t="str">
        <f>IFERROR(MATCH($C$5&amp;"|"&amp;RIGHT("000000"&amp;669,6),CalcRankKeyA,0),"")</f>
        <v/>
      </c>
      <c r="N685" t="str">
        <f>IFERROR(MATCH($C$5&amp;"|"&amp;RIGHT("000000"&amp;669,6),CalcRankKeyB,0),"")</f>
        <v/>
      </c>
    </row>
    <row r="686" spans="1:14" x14ac:dyDescent="0.2">
      <c r="A686" s="12">
        <v>670</v>
      </c>
      <c r="B686" s="13" t="str">
        <f t="shared" si="100"/>
        <v/>
      </c>
      <c r="C686" s="13" t="str">
        <f t="shared" si="101"/>
        <v/>
      </c>
      <c r="D686" s="13" t="str">
        <f t="shared" si="102"/>
        <v/>
      </c>
      <c r="E686" s="14" t="str">
        <f t="shared" si="103"/>
        <v/>
      </c>
      <c r="F686" s="14" t="str">
        <f t="shared" si="104"/>
        <v/>
      </c>
      <c r="G686" s="14" t="str">
        <f t="shared" si="105"/>
        <v/>
      </c>
      <c r="H686" s="14" t="str">
        <f t="shared" si="106"/>
        <v/>
      </c>
      <c r="I686" s="15" t="str">
        <f t="shared" si="107"/>
        <v/>
      </c>
      <c r="J686" s="15" t="str">
        <f t="shared" si="109"/>
        <v/>
      </c>
      <c r="K686" s="16" t="str">
        <f t="shared" si="108"/>
        <v/>
      </c>
      <c r="M686" t="str">
        <f>IFERROR(MATCH($C$5&amp;"|"&amp;RIGHT("000000"&amp;670,6),CalcRankKeyA,0),"")</f>
        <v/>
      </c>
      <c r="N686" t="str">
        <f>IFERROR(MATCH($C$5&amp;"|"&amp;RIGHT("000000"&amp;670,6),CalcRankKeyB,0),"")</f>
        <v/>
      </c>
    </row>
    <row r="687" spans="1:14" x14ac:dyDescent="0.2">
      <c r="A687" s="7">
        <v>671</v>
      </c>
      <c r="B687" s="8" t="str">
        <f t="shared" si="100"/>
        <v/>
      </c>
      <c r="C687" s="8" t="str">
        <f t="shared" si="101"/>
        <v/>
      </c>
      <c r="D687" s="8" t="str">
        <f t="shared" si="102"/>
        <v/>
      </c>
      <c r="E687" s="9" t="str">
        <f t="shared" si="103"/>
        <v/>
      </c>
      <c r="F687" s="9" t="str">
        <f t="shared" si="104"/>
        <v/>
      </c>
      <c r="G687" s="9" t="str">
        <f t="shared" si="105"/>
        <v/>
      </c>
      <c r="H687" s="9" t="str">
        <f t="shared" si="106"/>
        <v/>
      </c>
      <c r="I687" s="10" t="str">
        <f t="shared" si="107"/>
        <v/>
      </c>
      <c r="J687" s="10" t="str">
        <f t="shared" si="109"/>
        <v/>
      </c>
      <c r="K687" s="11" t="str">
        <f t="shared" si="108"/>
        <v/>
      </c>
      <c r="M687" t="str">
        <f>IFERROR(MATCH($C$5&amp;"|"&amp;RIGHT("000000"&amp;671,6),CalcRankKeyA,0),"")</f>
        <v/>
      </c>
      <c r="N687" t="str">
        <f>IFERROR(MATCH($C$5&amp;"|"&amp;RIGHT("000000"&amp;671,6),CalcRankKeyB,0),"")</f>
        <v/>
      </c>
    </row>
    <row r="688" spans="1:14" x14ac:dyDescent="0.2">
      <c r="A688" s="12">
        <v>672</v>
      </c>
      <c r="B688" s="13" t="str">
        <f t="shared" si="100"/>
        <v/>
      </c>
      <c r="C688" s="13" t="str">
        <f t="shared" si="101"/>
        <v/>
      </c>
      <c r="D688" s="13" t="str">
        <f t="shared" si="102"/>
        <v/>
      </c>
      <c r="E688" s="14" t="str">
        <f t="shared" si="103"/>
        <v/>
      </c>
      <c r="F688" s="14" t="str">
        <f t="shared" si="104"/>
        <v/>
      </c>
      <c r="G688" s="14" t="str">
        <f t="shared" si="105"/>
        <v/>
      </c>
      <c r="H688" s="14" t="str">
        <f t="shared" si="106"/>
        <v/>
      </c>
      <c r="I688" s="15" t="str">
        <f t="shared" si="107"/>
        <v/>
      </c>
      <c r="J688" s="15" t="str">
        <f t="shared" si="109"/>
        <v/>
      </c>
      <c r="K688" s="16" t="str">
        <f t="shared" si="108"/>
        <v/>
      </c>
      <c r="M688" t="str">
        <f>IFERROR(MATCH($C$5&amp;"|"&amp;RIGHT("000000"&amp;672,6),CalcRankKeyA,0),"")</f>
        <v/>
      </c>
      <c r="N688" t="str">
        <f>IFERROR(MATCH($C$5&amp;"|"&amp;RIGHT("000000"&amp;672,6),CalcRankKeyB,0),"")</f>
        <v/>
      </c>
    </row>
    <row r="689" spans="1:14" x14ac:dyDescent="0.2">
      <c r="A689" s="7">
        <v>673</v>
      </c>
      <c r="B689" s="8" t="str">
        <f t="shared" si="100"/>
        <v/>
      </c>
      <c r="C689" s="8" t="str">
        <f t="shared" si="101"/>
        <v/>
      </c>
      <c r="D689" s="8" t="str">
        <f t="shared" si="102"/>
        <v/>
      </c>
      <c r="E689" s="9" t="str">
        <f t="shared" si="103"/>
        <v/>
      </c>
      <c r="F689" s="9" t="str">
        <f t="shared" si="104"/>
        <v/>
      </c>
      <c r="G689" s="9" t="str">
        <f t="shared" si="105"/>
        <v/>
      </c>
      <c r="H689" s="9" t="str">
        <f t="shared" si="106"/>
        <v/>
      </c>
      <c r="I689" s="10" t="str">
        <f t="shared" si="107"/>
        <v/>
      </c>
      <c r="J689" s="10" t="str">
        <f t="shared" si="109"/>
        <v/>
      </c>
      <c r="K689" s="11" t="str">
        <f t="shared" si="108"/>
        <v/>
      </c>
      <c r="M689" t="str">
        <f>IFERROR(MATCH($C$5&amp;"|"&amp;RIGHT("000000"&amp;673,6),CalcRankKeyA,0),"")</f>
        <v/>
      </c>
      <c r="N689" t="str">
        <f>IFERROR(MATCH($C$5&amp;"|"&amp;RIGHT("000000"&amp;673,6),CalcRankKeyB,0),"")</f>
        <v/>
      </c>
    </row>
    <row r="690" spans="1:14" x14ac:dyDescent="0.2">
      <c r="A690" s="12">
        <v>674</v>
      </c>
      <c r="B690" s="13" t="str">
        <f t="shared" si="100"/>
        <v/>
      </c>
      <c r="C690" s="13" t="str">
        <f t="shared" si="101"/>
        <v/>
      </c>
      <c r="D690" s="13" t="str">
        <f t="shared" si="102"/>
        <v/>
      </c>
      <c r="E690" s="14" t="str">
        <f t="shared" si="103"/>
        <v/>
      </c>
      <c r="F690" s="14" t="str">
        <f t="shared" si="104"/>
        <v/>
      </c>
      <c r="G690" s="14" t="str">
        <f t="shared" si="105"/>
        <v/>
      </c>
      <c r="H690" s="14" t="str">
        <f t="shared" si="106"/>
        <v/>
      </c>
      <c r="I690" s="15" t="str">
        <f t="shared" si="107"/>
        <v/>
      </c>
      <c r="J690" s="15" t="str">
        <f t="shared" si="109"/>
        <v/>
      </c>
      <c r="K690" s="16" t="str">
        <f t="shared" si="108"/>
        <v/>
      </c>
      <c r="M690" t="str">
        <f>IFERROR(MATCH($C$5&amp;"|"&amp;RIGHT("000000"&amp;674,6),CalcRankKeyA,0),"")</f>
        <v/>
      </c>
      <c r="N690" t="str">
        <f>IFERROR(MATCH($C$5&amp;"|"&amp;RIGHT("000000"&amp;674,6),CalcRankKeyB,0),"")</f>
        <v/>
      </c>
    </row>
    <row r="691" spans="1:14" x14ac:dyDescent="0.2">
      <c r="A691" s="7">
        <v>675</v>
      </c>
      <c r="B691" s="8" t="str">
        <f t="shared" si="100"/>
        <v/>
      </c>
      <c r="C691" s="8" t="str">
        <f t="shared" si="101"/>
        <v/>
      </c>
      <c r="D691" s="8" t="str">
        <f t="shared" si="102"/>
        <v/>
      </c>
      <c r="E691" s="9" t="str">
        <f t="shared" si="103"/>
        <v/>
      </c>
      <c r="F691" s="9" t="str">
        <f t="shared" si="104"/>
        <v/>
      </c>
      <c r="G691" s="9" t="str">
        <f t="shared" si="105"/>
        <v/>
      </c>
      <c r="H691" s="9" t="str">
        <f t="shared" si="106"/>
        <v/>
      </c>
      <c r="I691" s="10" t="str">
        <f t="shared" si="107"/>
        <v/>
      </c>
      <c r="J691" s="10" t="str">
        <f t="shared" si="109"/>
        <v/>
      </c>
      <c r="K691" s="11" t="str">
        <f t="shared" si="108"/>
        <v/>
      </c>
      <c r="M691" t="str">
        <f>IFERROR(MATCH($C$5&amp;"|"&amp;RIGHT("000000"&amp;675,6),CalcRankKeyA,0),"")</f>
        <v/>
      </c>
      <c r="N691" t="str">
        <f>IFERROR(MATCH($C$5&amp;"|"&amp;RIGHT("000000"&amp;675,6),CalcRankKeyB,0),"")</f>
        <v/>
      </c>
    </row>
    <row r="692" spans="1:14" x14ac:dyDescent="0.2">
      <c r="A692" s="12">
        <v>676</v>
      </c>
      <c r="B692" s="13" t="str">
        <f t="shared" si="100"/>
        <v/>
      </c>
      <c r="C692" s="13" t="str">
        <f t="shared" si="101"/>
        <v/>
      </c>
      <c r="D692" s="13" t="str">
        <f t="shared" si="102"/>
        <v/>
      </c>
      <c r="E692" s="14" t="str">
        <f t="shared" si="103"/>
        <v/>
      </c>
      <c r="F692" s="14" t="str">
        <f t="shared" si="104"/>
        <v/>
      </c>
      <c r="G692" s="14" t="str">
        <f t="shared" si="105"/>
        <v/>
      </c>
      <c r="H692" s="14" t="str">
        <f t="shared" si="106"/>
        <v/>
      </c>
      <c r="I692" s="15" t="str">
        <f t="shared" si="107"/>
        <v/>
      </c>
      <c r="J692" s="15" t="str">
        <f t="shared" si="109"/>
        <v/>
      </c>
      <c r="K692" s="16" t="str">
        <f t="shared" si="108"/>
        <v/>
      </c>
      <c r="M692" t="str">
        <f>IFERROR(MATCH($C$5&amp;"|"&amp;RIGHT("000000"&amp;676,6),CalcRankKeyA,0),"")</f>
        <v/>
      </c>
      <c r="N692" t="str">
        <f>IFERROR(MATCH($C$5&amp;"|"&amp;RIGHT("000000"&amp;676,6),CalcRankKeyB,0),"")</f>
        <v/>
      </c>
    </row>
    <row r="693" spans="1:14" x14ac:dyDescent="0.2">
      <c r="A693" s="7">
        <v>677</v>
      </c>
      <c r="B693" s="8" t="str">
        <f t="shared" si="100"/>
        <v/>
      </c>
      <c r="C693" s="8" t="str">
        <f t="shared" si="101"/>
        <v/>
      </c>
      <c r="D693" s="8" t="str">
        <f t="shared" si="102"/>
        <v/>
      </c>
      <c r="E693" s="9" t="str">
        <f t="shared" si="103"/>
        <v/>
      </c>
      <c r="F693" s="9" t="str">
        <f t="shared" si="104"/>
        <v/>
      </c>
      <c r="G693" s="9" t="str">
        <f t="shared" si="105"/>
        <v/>
      </c>
      <c r="H693" s="9" t="str">
        <f t="shared" si="106"/>
        <v/>
      </c>
      <c r="I693" s="10" t="str">
        <f t="shared" si="107"/>
        <v/>
      </c>
      <c r="J693" s="10" t="str">
        <f t="shared" si="109"/>
        <v/>
      </c>
      <c r="K693" s="11" t="str">
        <f t="shared" si="108"/>
        <v/>
      </c>
      <c r="M693" t="str">
        <f>IFERROR(MATCH($C$5&amp;"|"&amp;RIGHT("000000"&amp;677,6),CalcRankKeyA,0),"")</f>
        <v/>
      </c>
      <c r="N693" t="str">
        <f>IFERROR(MATCH($C$5&amp;"|"&amp;RIGHT("000000"&amp;677,6),CalcRankKeyB,0),"")</f>
        <v/>
      </c>
    </row>
    <row r="694" spans="1:14" x14ac:dyDescent="0.2">
      <c r="A694" s="12">
        <v>678</v>
      </c>
      <c r="B694" s="13" t="str">
        <f t="shared" si="100"/>
        <v/>
      </c>
      <c r="C694" s="13" t="str">
        <f t="shared" si="101"/>
        <v/>
      </c>
      <c r="D694" s="13" t="str">
        <f t="shared" si="102"/>
        <v/>
      </c>
      <c r="E694" s="14" t="str">
        <f t="shared" si="103"/>
        <v/>
      </c>
      <c r="F694" s="14" t="str">
        <f t="shared" si="104"/>
        <v/>
      </c>
      <c r="G694" s="14" t="str">
        <f t="shared" si="105"/>
        <v/>
      </c>
      <c r="H694" s="14" t="str">
        <f t="shared" si="106"/>
        <v/>
      </c>
      <c r="I694" s="15" t="str">
        <f t="shared" si="107"/>
        <v/>
      </c>
      <c r="J694" s="15" t="str">
        <f t="shared" si="109"/>
        <v/>
      </c>
      <c r="K694" s="16" t="str">
        <f t="shared" si="108"/>
        <v/>
      </c>
      <c r="M694" t="str">
        <f>IFERROR(MATCH($C$5&amp;"|"&amp;RIGHT("000000"&amp;678,6),CalcRankKeyA,0),"")</f>
        <v/>
      </c>
      <c r="N694" t="str">
        <f>IFERROR(MATCH($C$5&amp;"|"&amp;RIGHT("000000"&amp;678,6),CalcRankKeyB,0),"")</f>
        <v/>
      </c>
    </row>
    <row r="695" spans="1:14" x14ac:dyDescent="0.2">
      <c r="A695" s="7">
        <v>679</v>
      </c>
      <c r="B695" s="8" t="str">
        <f t="shared" si="100"/>
        <v/>
      </c>
      <c r="C695" s="8" t="str">
        <f t="shared" si="101"/>
        <v/>
      </c>
      <c r="D695" s="8" t="str">
        <f t="shared" si="102"/>
        <v/>
      </c>
      <c r="E695" s="9" t="str">
        <f t="shared" si="103"/>
        <v/>
      </c>
      <c r="F695" s="9" t="str">
        <f t="shared" si="104"/>
        <v/>
      </c>
      <c r="G695" s="9" t="str">
        <f t="shared" si="105"/>
        <v/>
      </c>
      <c r="H695" s="9" t="str">
        <f t="shared" si="106"/>
        <v/>
      </c>
      <c r="I695" s="10" t="str">
        <f t="shared" si="107"/>
        <v/>
      </c>
      <c r="J695" s="10" t="str">
        <f t="shared" si="109"/>
        <v/>
      </c>
      <c r="K695" s="11" t="str">
        <f t="shared" si="108"/>
        <v/>
      </c>
      <c r="M695" t="str">
        <f>IFERROR(MATCH($C$5&amp;"|"&amp;RIGHT("000000"&amp;679,6),CalcRankKeyA,0),"")</f>
        <v/>
      </c>
      <c r="N695" t="str">
        <f>IFERROR(MATCH($C$5&amp;"|"&amp;RIGHT("000000"&amp;679,6),CalcRankKeyB,0),"")</f>
        <v/>
      </c>
    </row>
    <row r="696" spans="1:14" x14ac:dyDescent="0.2">
      <c r="A696" s="12">
        <v>680</v>
      </c>
      <c r="B696" s="13" t="str">
        <f t="shared" si="100"/>
        <v/>
      </c>
      <c r="C696" s="13" t="str">
        <f t="shared" si="101"/>
        <v/>
      </c>
      <c r="D696" s="13" t="str">
        <f t="shared" si="102"/>
        <v/>
      </c>
      <c r="E696" s="14" t="str">
        <f t="shared" si="103"/>
        <v/>
      </c>
      <c r="F696" s="14" t="str">
        <f t="shared" si="104"/>
        <v/>
      </c>
      <c r="G696" s="14" t="str">
        <f t="shared" si="105"/>
        <v/>
      </c>
      <c r="H696" s="14" t="str">
        <f t="shared" si="106"/>
        <v/>
      </c>
      <c r="I696" s="15" t="str">
        <f t="shared" si="107"/>
        <v/>
      </c>
      <c r="J696" s="15" t="str">
        <f t="shared" si="109"/>
        <v/>
      </c>
      <c r="K696" s="16" t="str">
        <f t="shared" si="108"/>
        <v/>
      </c>
      <c r="M696" t="str">
        <f>IFERROR(MATCH($C$5&amp;"|"&amp;RIGHT("000000"&amp;680,6),CalcRankKeyA,0),"")</f>
        <v/>
      </c>
      <c r="N696" t="str">
        <f>IFERROR(MATCH($C$5&amp;"|"&amp;RIGHT("000000"&amp;680,6),CalcRankKeyB,0),"")</f>
        <v/>
      </c>
    </row>
    <row r="697" spans="1:14" x14ac:dyDescent="0.2">
      <c r="A697" s="7">
        <v>681</v>
      </c>
      <c r="B697" s="8" t="str">
        <f t="shared" si="100"/>
        <v/>
      </c>
      <c r="C697" s="8" t="str">
        <f t="shared" si="101"/>
        <v/>
      </c>
      <c r="D697" s="8" t="str">
        <f t="shared" si="102"/>
        <v/>
      </c>
      <c r="E697" s="9" t="str">
        <f t="shared" si="103"/>
        <v/>
      </c>
      <c r="F697" s="9" t="str">
        <f t="shared" si="104"/>
        <v/>
      </c>
      <c r="G697" s="9" t="str">
        <f t="shared" si="105"/>
        <v/>
      </c>
      <c r="H697" s="9" t="str">
        <f t="shared" si="106"/>
        <v/>
      </c>
      <c r="I697" s="10" t="str">
        <f t="shared" si="107"/>
        <v/>
      </c>
      <c r="J697" s="10" t="str">
        <f t="shared" si="109"/>
        <v/>
      </c>
      <c r="K697" s="11" t="str">
        <f t="shared" si="108"/>
        <v/>
      </c>
      <c r="M697" t="str">
        <f>IFERROR(MATCH($C$5&amp;"|"&amp;RIGHT("000000"&amp;681,6),CalcRankKeyA,0),"")</f>
        <v/>
      </c>
      <c r="N697" t="str">
        <f>IFERROR(MATCH($C$5&amp;"|"&amp;RIGHT("000000"&amp;681,6),CalcRankKeyB,0),"")</f>
        <v/>
      </c>
    </row>
    <row r="698" spans="1:14" x14ac:dyDescent="0.2">
      <c r="A698" s="12">
        <v>682</v>
      </c>
      <c r="B698" s="13" t="str">
        <f t="shared" si="100"/>
        <v/>
      </c>
      <c r="C698" s="13" t="str">
        <f t="shared" si="101"/>
        <v/>
      </c>
      <c r="D698" s="13" t="str">
        <f t="shared" si="102"/>
        <v/>
      </c>
      <c r="E698" s="14" t="str">
        <f t="shared" si="103"/>
        <v/>
      </c>
      <c r="F698" s="14" t="str">
        <f t="shared" si="104"/>
        <v/>
      </c>
      <c r="G698" s="14" t="str">
        <f t="shared" si="105"/>
        <v/>
      </c>
      <c r="H698" s="14" t="str">
        <f t="shared" si="106"/>
        <v/>
      </c>
      <c r="I698" s="15" t="str">
        <f t="shared" si="107"/>
        <v/>
      </c>
      <c r="J698" s="15" t="str">
        <f t="shared" si="109"/>
        <v/>
      </c>
      <c r="K698" s="16" t="str">
        <f t="shared" si="108"/>
        <v/>
      </c>
      <c r="M698" t="str">
        <f>IFERROR(MATCH($C$5&amp;"|"&amp;RIGHT("000000"&amp;682,6),CalcRankKeyA,0),"")</f>
        <v/>
      </c>
      <c r="N698" t="str">
        <f>IFERROR(MATCH($C$5&amp;"|"&amp;RIGHT("000000"&amp;682,6),CalcRankKeyB,0),"")</f>
        <v/>
      </c>
    </row>
    <row r="699" spans="1:14" x14ac:dyDescent="0.2">
      <c r="A699" s="7">
        <v>683</v>
      </c>
      <c r="B699" s="8" t="str">
        <f t="shared" si="100"/>
        <v/>
      </c>
      <c r="C699" s="8" t="str">
        <f t="shared" si="101"/>
        <v/>
      </c>
      <c r="D699" s="8" t="str">
        <f t="shared" si="102"/>
        <v/>
      </c>
      <c r="E699" s="9" t="str">
        <f t="shared" si="103"/>
        <v/>
      </c>
      <c r="F699" s="9" t="str">
        <f t="shared" si="104"/>
        <v/>
      </c>
      <c r="G699" s="9" t="str">
        <f t="shared" si="105"/>
        <v/>
      </c>
      <c r="H699" s="9" t="str">
        <f t="shared" si="106"/>
        <v/>
      </c>
      <c r="I699" s="10" t="str">
        <f t="shared" si="107"/>
        <v/>
      </c>
      <c r="J699" s="10" t="str">
        <f t="shared" si="109"/>
        <v/>
      </c>
      <c r="K699" s="11" t="str">
        <f t="shared" si="108"/>
        <v/>
      </c>
      <c r="M699" t="str">
        <f>IFERROR(MATCH($C$5&amp;"|"&amp;RIGHT("000000"&amp;683,6),CalcRankKeyA,0),"")</f>
        <v/>
      </c>
      <c r="N699" t="str">
        <f>IFERROR(MATCH($C$5&amp;"|"&amp;RIGHT("000000"&amp;683,6),CalcRankKeyB,0),"")</f>
        <v/>
      </c>
    </row>
    <row r="700" spans="1:14" x14ac:dyDescent="0.2">
      <c r="A700" s="12">
        <v>684</v>
      </c>
      <c r="B700" s="13" t="str">
        <f t="shared" si="100"/>
        <v/>
      </c>
      <c r="C700" s="13" t="str">
        <f t="shared" si="101"/>
        <v/>
      </c>
      <c r="D700" s="13" t="str">
        <f t="shared" si="102"/>
        <v/>
      </c>
      <c r="E700" s="14" t="str">
        <f t="shared" si="103"/>
        <v/>
      </c>
      <c r="F700" s="14" t="str">
        <f t="shared" si="104"/>
        <v/>
      </c>
      <c r="G700" s="14" t="str">
        <f t="shared" si="105"/>
        <v/>
      </c>
      <c r="H700" s="14" t="str">
        <f t="shared" si="106"/>
        <v/>
      </c>
      <c r="I700" s="15" t="str">
        <f t="shared" si="107"/>
        <v/>
      </c>
      <c r="J700" s="15" t="str">
        <f t="shared" si="109"/>
        <v/>
      </c>
      <c r="K700" s="16" t="str">
        <f t="shared" si="108"/>
        <v/>
      </c>
      <c r="M700" t="str">
        <f>IFERROR(MATCH($C$5&amp;"|"&amp;RIGHT("000000"&amp;684,6),CalcRankKeyA,0),"")</f>
        <v/>
      </c>
      <c r="N700" t="str">
        <f>IFERROR(MATCH($C$5&amp;"|"&amp;RIGHT("000000"&amp;684,6),CalcRankKeyB,0),"")</f>
        <v/>
      </c>
    </row>
    <row r="701" spans="1:14" x14ac:dyDescent="0.2">
      <c r="A701" s="7">
        <v>685</v>
      </c>
      <c r="B701" s="8" t="str">
        <f t="shared" si="100"/>
        <v/>
      </c>
      <c r="C701" s="8" t="str">
        <f t="shared" si="101"/>
        <v/>
      </c>
      <c r="D701" s="8" t="str">
        <f t="shared" si="102"/>
        <v/>
      </c>
      <c r="E701" s="9" t="str">
        <f t="shared" si="103"/>
        <v/>
      </c>
      <c r="F701" s="9" t="str">
        <f t="shared" si="104"/>
        <v/>
      </c>
      <c r="G701" s="9" t="str">
        <f t="shared" si="105"/>
        <v/>
      </c>
      <c r="H701" s="9" t="str">
        <f t="shared" si="106"/>
        <v/>
      </c>
      <c r="I701" s="10" t="str">
        <f t="shared" si="107"/>
        <v/>
      </c>
      <c r="J701" s="10" t="str">
        <f t="shared" si="109"/>
        <v/>
      </c>
      <c r="K701" s="11" t="str">
        <f t="shared" si="108"/>
        <v/>
      </c>
      <c r="M701" t="str">
        <f>IFERROR(MATCH($C$5&amp;"|"&amp;RIGHT("000000"&amp;685,6),CalcRankKeyA,0),"")</f>
        <v/>
      </c>
      <c r="N701" t="str">
        <f>IFERROR(MATCH($C$5&amp;"|"&amp;RIGHT("000000"&amp;685,6),CalcRankKeyB,0),"")</f>
        <v/>
      </c>
    </row>
    <row r="702" spans="1:14" x14ac:dyDescent="0.2">
      <c r="A702" s="12">
        <v>686</v>
      </c>
      <c r="B702" s="13" t="str">
        <f t="shared" si="100"/>
        <v/>
      </c>
      <c r="C702" s="13" t="str">
        <f t="shared" si="101"/>
        <v/>
      </c>
      <c r="D702" s="13" t="str">
        <f t="shared" si="102"/>
        <v/>
      </c>
      <c r="E702" s="14" t="str">
        <f t="shared" si="103"/>
        <v/>
      </c>
      <c r="F702" s="14" t="str">
        <f t="shared" si="104"/>
        <v/>
      </c>
      <c r="G702" s="14" t="str">
        <f t="shared" si="105"/>
        <v/>
      </c>
      <c r="H702" s="14" t="str">
        <f t="shared" si="106"/>
        <v/>
      </c>
      <c r="I702" s="15" t="str">
        <f t="shared" si="107"/>
        <v/>
      </c>
      <c r="J702" s="15" t="str">
        <f t="shared" si="109"/>
        <v/>
      </c>
      <c r="K702" s="16" t="str">
        <f t="shared" si="108"/>
        <v/>
      </c>
      <c r="M702" t="str">
        <f>IFERROR(MATCH($C$5&amp;"|"&amp;RIGHT("000000"&amp;686,6),CalcRankKeyA,0),"")</f>
        <v/>
      </c>
      <c r="N702" t="str">
        <f>IFERROR(MATCH($C$5&amp;"|"&amp;RIGHT("000000"&amp;686,6),CalcRankKeyB,0),"")</f>
        <v/>
      </c>
    </row>
    <row r="703" spans="1:14" x14ac:dyDescent="0.2">
      <c r="A703" s="7">
        <v>687</v>
      </c>
      <c r="B703" s="8" t="str">
        <f t="shared" si="100"/>
        <v/>
      </c>
      <c r="C703" s="8" t="str">
        <f t="shared" si="101"/>
        <v/>
      </c>
      <c r="D703" s="8" t="str">
        <f t="shared" si="102"/>
        <v/>
      </c>
      <c r="E703" s="9" t="str">
        <f t="shared" si="103"/>
        <v/>
      </c>
      <c r="F703" s="9" t="str">
        <f t="shared" si="104"/>
        <v/>
      </c>
      <c r="G703" s="9" t="str">
        <f t="shared" si="105"/>
        <v/>
      </c>
      <c r="H703" s="9" t="str">
        <f t="shared" si="106"/>
        <v/>
      </c>
      <c r="I703" s="10" t="str">
        <f t="shared" si="107"/>
        <v/>
      </c>
      <c r="J703" s="10" t="str">
        <f t="shared" si="109"/>
        <v/>
      </c>
      <c r="K703" s="11" t="str">
        <f t="shared" si="108"/>
        <v/>
      </c>
      <c r="M703" t="str">
        <f>IFERROR(MATCH($C$5&amp;"|"&amp;RIGHT("000000"&amp;687,6),CalcRankKeyA,0),"")</f>
        <v/>
      </c>
      <c r="N703" t="str">
        <f>IFERROR(MATCH($C$5&amp;"|"&amp;RIGHT("000000"&amp;687,6),CalcRankKeyB,0),"")</f>
        <v/>
      </c>
    </row>
    <row r="704" spans="1:14" x14ac:dyDescent="0.2">
      <c r="A704" s="12">
        <v>688</v>
      </c>
      <c r="B704" s="13" t="str">
        <f t="shared" si="100"/>
        <v/>
      </c>
      <c r="C704" s="13" t="str">
        <f t="shared" si="101"/>
        <v/>
      </c>
      <c r="D704" s="13" t="str">
        <f t="shared" si="102"/>
        <v/>
      </c>
      <c r="E704" s="14" t="str">
        <f t="shared" si="103"/>
        <v/>
      </c>
      <c r="F704" s="14" t="str">
        <f t="shared" si="104"/>
        <v/>
      </c>
      <c r="G704" s="14" t="str">
        <f t="shared" si="105"/>
        <v/>
      </c>
      <c r="H704" s="14" t="str">
        <f t="shared" si="106"/>
        <v/>
      </c>
      <c r="I704" s="15" t="str">
        <f t="shared" si="107"/>
        <v/>
      </c>
      <c r="J704" s="15" t="str">
        <f t="shared" si="109"/>
        <v/>
      </c>
      <c r="K704" s="16" t="str">
        <f t="shared" si="108"/>
        <v/>
      </c>
      <c r="M704" t="str">
        <f>IFERROR(MATCH($C$5&amp;"|"&amp;RIGHT("000000"&amp;688,6),CalcRankKeyA,0),"")</f>
        <v/>
      </c>
      <c r="N704" t="str">
        <f>IFERROR(MATCH($C$5&amp;"|"&amp;RIGHT("000000"&amp;688,6),CalcRankKeyB,0),"")</f>
        <v/>
      </c>
    </row>
    <row r="705" spans="1:14" x14ac:dyDescent="0.2">
      <c r="A705" s="7">
        <v>689</v>
      </c>
      <c r="B705" s="8" t="str">
        <f t="shared" si="100"/>
        <v/>
      </c>
      <c r="C705" s="8" t="str">
        <f t="shared" si="101"/>
        <v/>
      </c>
      <c r="D705" s="8" t="str">
        <f t="shared" si="102"/>
        <v/>
      </c>
      <c r="E705" s="9" t="str">
        <f t="shared" si="103"/>
        <v/>
      </c>
      <c r="F705" s="9" t="str">
        <f t="shared" si="104"/>
        <v/>
      </c>
      <c r="G705" s="9" t="str">
        <f t="shared" si="105"/>
        <v/>
      </c>
      <c r="H705" s="9" t="str">
        <f t="shared" si="106"/>
        <v/>
      </c>
      <c r="I705" s="10" t="str">
        <f t="shared" si="107"/>
        <v/>
      </c>
      <c r="J705" s="10" t="str">
        <f t="shared" si="109"/>
        <v/>
      </c>
      <c r="K705" s="11" t="str">
        <f t="shared" si="108"/>
        <v/>
      </c>
      <c r="M705" t="str">
        <f>IFERROR(MATCH($C$5&amp;"|"&amp;RIGHT("000000"&amp;689,6),CalcRankKeyA,0),"")</f>
        <v/>
      </c>
      <c r="N705" t="str">
        <f>IFERROR(MATCH($C$5&amp;"|"&amp;RIGHT("000000"&amp;689,6),CalcRankKeyB,0),"")</f>
        <v/>
      </c>
    </row>
    <row r="706" spans="1:14" x14ac:dyDescent="0.2">
      <c r="A706" s="12">
        <v>690</v>
      </c>
      <c r="B706" s="13" t="str">
        <f t="shared" si="100"/>
        <v/>
      </c>
      <c r="C706" s="13" t="str">
        <f t="shared" si="101"/>
        <v/>
      </c>
      <c r="D706" s="13" t="str">
        <f t="shared" si="102"/>
        <v/>
      </c>
      <c r="E706" s="14" t="str">
        <f t="shared" si="103"/>
        <v/>
      </c>
      <c r="F706" s="14" t="str">
        <f t="shared" si="104"/>
        <v/>
      </c>
      <c r="G706" s="14" t="str">
        <f t="shared" si="105"/>
        <v/>
      </c>
      <c r="H706" s="14" t="str">
        <f t="shared" si="106"/>
        <v/>
      </c>
      <c r="I706" s="15" t="str">
        <f t="shared" si="107"/>
        <v/>
      </c>
      <c r="J706" s="15" t="str">
        <f t="shared" si="109"/>
        <v/>
      </c>
      <c r="K706" s="16" t="str">
        <f t="shared" si="108"/>
        <v/>
      </c>
      <c r="M706" t="str">
        <f>IFERROR(MATCH($C$5&amp;"|"&amp;RIGHT("000000"&amp;690,6),CalcRankKeyA,0),"")</f>
        <v/>
      </c>
      <c r="N706" t="str">
        <f>IFERROR(MATCH($C$5&amp;"|"&amp;RIGHT("000000"&amp;690,6),CalcRankKeyB,0),"")</f>
        <v/>
      </c>
    </row>
    <row r="707" spans="1:14" x14ac:dyDescent="0.2">
      <c r="A707" s="7">
        <v>691</v>
      </c>
      <c r="B707" s="8" t="str">
        <f t="shared" si="100"/>
        <v/>
      </c>
      <c r="C707" s="8" t="str">
        <f t="shared" si="101"/>
        <v/>
      </c>
      <c r="D707" s="8" t="str">
        <f t="shared" si="102"/>
        <v/>
      </c>
      <c r="E707" s="9" t="str">
        <f t="shared" si="103"/>
        <v/>
      </c>
      <c r="F707" s="9" t="str">
        <f t="shared" si="104"/>
        <v/>
      </c>
      <c r="G707" s="9" t="str">
        <f t="shared" si="105"/>
        <v/>
      </c>
      <c r="H707" s="9" t="str">
        <f t="shared" si="106"/>
        <v/>
      </c>
      <c r="I707" s="10" t="str">
        <f t="shared" si="107"/>
        <v/>
      </c>
      <c r="J707" s="10" t="str">
        <f t="shared" si="109"/>
        <v/>
      </c>
      <c r="K707" s="11" t="str">
        <f t="shared" si="108"/>
        <v/>
      </c>
      <c r="M707" t="str">
        <f>IFERROR(MATCH($C$5&amp;"|"&amp;RIGHT("000000"&amp;691,6),CalcRankKeyA,0),"")</f>
        <v/>
      </c>
      <c r="N707" t="str">
        <f>IFERROR(MATCH($C$5&amp;"|"&amp;RIGHT("000000"&amp;691,6),CalcRankKeyB,0),"")</f>
        <v/>
      </c>
    </row>
    <row r="708" spans="1:14" x14ac:dyDescent="0.2">
      <c r="A708" s="12">
        <v>692</v>
      </c>
      <c r="B708" s="13" t="str">
        <f t="shared" si="100"/>
        <v/>
      </c>
      <c r="C708" s="13" t="str">
        <f t="shared" si="101"/>
        <v/>
      </c>
      <c r="D708" s="13" t="str">
        <f t="shared" si="102"/>
        <v/>
      </c>
      <c r="E708" s="14" t="str">
        <f t="shared" si="103"/>
        <v/>
      </c>
      <c r="F708" s="14" t="str">
        <f t="shared" si="104"/>
        <v/>
      </c>
      <c r="G708" s="14" t="str">
        <f t="shared" si="105"/>
        <v/>
      </c>
      <c r="H708" s="14" t="str">
        <f t="shared" si="106"/>
        <v/>
      </c>
      <c r="I708" s="15" t="str">
        <f t="shared" si="107"/>
        <v/>
      </c>
      <c r="J708" s="15" t="str">
        <f t="shared" si="109"/>
        <v/>
      </c>
      <c r="K708" s="16" t="str">
        <f t="shared" si="108"/>
        <v/>
      </c>
      <c r="M708" t="str">
        <f>IFERROR(MATCH($C$5&amp;"|"&amp;RIGHT("000000"&amp;692,6),CalcRankKeyA,0),"")</f>
        <v/>
      </c>
      <c r="N708" t="str">
        <f>IFERROR(MATCH($C$5&amp;"|"&amp;RIGHT("000000"&amp;692,6),CalcRankKeyB,0),"")</f>
        <v/>
      </c>
    </row>
    <row r="709" spans="1:14" x14ac:dyDescent="0.2">
      <c r="A709" s="7">
        <v>693</v>
      </c>
      <c r="B709" s="8" t="str">
        <f t="shared" si="100"/>
        <v/>
      </c>
      <c r="C709" s="8" t="str">
        <f t="shared" si="101"/>
        <v/>
      </c>
      <c r="D709" s="8" t="str">
        <f t="shared" si="102"/>
        <v/>
      </c>
      <c r="E709" s="9" t="str">
        <f t="shared" si="103"/>
        <v/>
      </c>
      <c r="F709" s="9" t="str">
        <f t="shared" si="104"/>
        <v/>
      </c>
      <c r="G709" s="9" t="str">
        <f t="shared" si="105"/>
        <v/>
      </c>
      <c r="H709" s="9" t="str">
        <f t="shared" si="106"/>
        <v/>
      </c>
      <c r="I709" s="10" t="str">
        <f t="shared" si="107"/>
        <v/>
      </c>
      <c r="J709" s="10" t="str">
        <f t="shared" si="109"/>
        <v/>
      </c>
      <c r="K709" s="11" t="str">
        <f t="shared" si="108"/>
        <v/>
      </c>
      <c r="M709" t="str">
        <f>IFERROR(MATCH($C$5&amp;"|"&amp;RIGHT("000000"&amp;693,6),CalcRankKeyA,0),"")</f>
        <v/>
      </c>
      <c r="N709" t="str">
        <f>IFERROR(MATCH($C$5&amp;"|"&amp;RIGHT("000000"&amp;693,6),CalcRankKeyB,0),"")</f>
        <v/>
      </c>
    </row>
    <row r="710" spans="1:14" x14ac:dyDescent="0.2">
      <c r="A710" s="12">
        <v>694</v>
      </c>
      <c r="B710" s="13" t="str">
        <f t="shared" si="100"/>
        <v/>
      </c>
      <c r="C710" s="13" t="str">
        <f t="shared" si="101"/>
        <v/>
      </c>
      <c r="D710" s="13" t="str">
        <f t="shared" si="102"/>
        <v/>
      </c>
      <c r="E710" s="14" t="str">
        <f t="shared" si="103"/>
        <v/>
      </c>
      <c r="F710" s="14" t="str">
        <f t="shared" si="104"/>
        <v/>
      </c>
      <c r="G710" s="14" t="str">
        <f t="shared" si="105"/>
        <v/>
      </c>
      <c r="H710" s="14" t="str">
        <f t="shared" si="106"/>
        <v/>
      </c>
      <c r="I710" s="15" t="str">
        <f t="shared" si="107"/>
        <v/>
      </c>
      <c r="J710" s="15" t="str">
        <f t="shared" si="109"/>
        <v/>
      </c>
      <c r="K710" s="16" t="str">
        <f t="shared" si="108"/>
        <v/>
      </c>
      <c r="M710" t="str">
        <f>IFERROR(MATCH($C$5&amp;"|"&amp;RIGHT("000000"&amp;694,6),CalcRankKeyA,0),"")</f>
        <v/>
      </c>
      <c r="N710" t="str">
        <f>IFERROR(MATCH($C$5&amp;"|"&amp;RIGHT("000000"&amp;694,6),CalcRankKeyB,0),"")</f>
        <v/>
      </c>
    </row>
    <row r="711" spans="1:14" x14ac:dyDescent="0.2">
      <c r="A711" s="7">
        <v>695</v>
      </c>
      <c r="B711" s="8" t="str">
        <f t="shared" si="100"/>
        <v/>
      </c>
      <c r="C711" s="8" t="str">
        <f t="shared" si="101"/>
        <v/>
      </c>
      <c r="D711" s="8" t="str">
        <f t="shared" si="102"/>
        <v/>
      </c>
      <c r="E711" s="9" t="str">
        <f t="shared" si="103"/>
        <v/>
      </c>
      <c r="F711" s="9" t="str">
        <f t="shared" si="104"/>
        <v/>
      </c>
      <c r="G711" s="9" t="str">
        <f t="shared" si="105"/>
        <v/>
      </c>
      <c r="H711" s="9" t="str">
        <f t="shared" si="106"/>
        <v/>
      </c>
      <c r="I711" s="10" t="str">
        <f t="shared" si="107"/>
        <v/>
      </c>
      <c r="J711" s="10" t="str">
        <f t="shared" si="109"/>
        <v/>
      </c>
      <c r="K711" s="11" t="str">
        <f t="shared" si="108"/>
        <v/>
      </c>
      <c r="M711" t="str">
        <f>IFERROR(MATCH($C$5&amp;"|"&amp;RIGHT("000000"&amp;695,6),CalcRankKeyA,0),"")</f>
        <v/>
      </c>
      <c r="N711" t="str">
        <f>IFERROR(MATCH($C$5&amp;"|"&amp;RIGHT("000000"&amp;695,6),CalcRankKeyB,0),"")</f>
        <v/>
      </c>
    </row>
    <row r="712" spans="1:14" x14ac:dyDescent="0.2">
      <c r="A712" s="12">
        <v>696</v>
      </c>
      <c r="B712" s="13" t="str">
        <f t="shared" si="100"/>
        <v/>
      </c>
      <c r="C712" s="13" t="str">
        <f t="shared" si="101"/>
        <v/>
      </c>
      <c r="D712" s="13" t="str">
        <f t="shared" si="102"/>
        <v/>
      </c>
      <c r="E712" s="14" t="str">
        <f t="shared" si="103"/>
        <v/>
      </c>
      <c r="F712" s="14" t="str">
        <f t="shared" si="104"/>
        <v/>
      </c>
      <c r="G712" s="14" t="str">
        <f t="shared" si="105"/>
        <v/>
      </c>
      <c r="H712" s="14" t="str">
        <f t="shared" si="106"/>
        <v/>
      </c>
      <c r="I712" s="15" t="str">
        <f t="shared" si="107"/>
        <v/>
      </c>
      <c r="J712" s="15" t="str">
        <f t="shared" si="109"/>
        <v/>
      </c>
      <c r="K712" s="16" t="str">
        <f t="shared" si="108"/>
        <v/>
      </c>
      <c r="M712" t="str">
        <f>IFERROR(MATCH($C$5&amp;"|"&amp;RIGHT("000000"&amp;696,6),CalcRankKeyA,0),"")</f>
        <v/>
      </c>
      <c r="N712" t="str">
        <f>IFERROR(MATCH($C$5&amp;"|"&amp;RIGHT("000000"&amp;696,6),CalcRankKeyB,0),"")</f>
        <v/>
      </c>
    </row>
    <row r="713" spans="1:14" x14ac:dyDescent="0.2">
      <c r="A713" s="7">
        <v>697</v>
      </c>
      <c r="B713" s="8" t="str">
        <f t="shared" si="100"/>
        <v/>
      </c>
      <c r="C713" s="8" t="str">
        <f t="shared" si="101"/>
        <v/>
      </c>
      <c r="D713" s="8" t="str">
        <f t="shared" si="102"/>
        <v/>
      </c>
      <c r="E713" s="9" t="str">
        <f t="shared" si="103"/>
        <v/>
      </c>
      <c r="F713" s="9" t="str">
        <f t="shared" si="104"/>
        <v/>
      </c>
      <c r="G713" s="9" t="str">
        <f t="shared" si="105"/>
        <v/>
      </c>
      <c r="H713" s="9" t="str">
        <f t="shared" si="106"/>
        <v/>
      </c>
      <c r="I713" s="10" t="str">
        <f t="shared" si="107"/>
        <v/>
      </c>
      <c r="J713" s="10" t="str">
        <f t="shared" si="109"/>
        <v/>
      </c>
      <c r="K713" s="11" t="str">
        <f t="shared" si="108"/>
        <v/>
      </c>
      <c r="M713" t="str">
        <f>IFERROR(MATCH($C$5&amp;"|"&amp;RIGHT("000000"&amp;697,6),CalcRankKeyA,0),"")</f>
        <v/>
      </c>
      <c r="N713" t="str">
        <f>IFERROR(MATCH($C$5&amp;"|"&amp;RIGHT("000000"&amp;697,6),CalcRankKeyB,0),"")</f>
        <v/>
      </c>
    </row>
    <row r="714" spans="1:14" x14ac:dyDescent="0.2">
      <c r="A714" s="12">
        <v>698</v>
      </c>
      <c r="B714" s="13" t="str">
        <f t="shared" si="100"/>
        <v/>
      </c>
      <c r="C714" s="13" t="str">
        <f t="shared" si="101"/>
        <v/>
      </c>
      <c r="D714" s="13" t="str">
        <f t="shared" si="102"/>
        <v/>
      </c>
      <c r="E714" s="14" t="str">
        <f t="shared" si="103"/>
        <v/>
      </c>
      <c r="F714" s="14" t="str">
        <f t="shared" si="104"/>
        <v/>
      </c>
      <c r="G714" s="14" t="str">
        <f t="shared" si="105"/>
        <v/>
      </c>
      <c r="H714" s="14" t="str">
        <f t="shared" si="106"/>
        <v/>
      </c>
      <c r="I714" s="15" t="str">
        <f t="shared" si="107"/>
        <v/>
      </c>
      <c r="J714" s="15" t="str">
        <f t="shared" si="109"/>
        <v/>
      </c>
      <c r="K714" s="16" t="str">
        <f t="shared" si="108"/>
        <v/>
      </c>
      <c r="M714" t="str">
        <f>IFERROR(MATCH($C$5&amp;"|"&amp;RIGHT("000000"&amp;698,6),CalcRankKeyA,0),"")</f>
        <v/>
      </c>
      <c r="N714" t="str">
        <f>IFERROR(MATCH($C$5&amp;"|"&amp;RIGHT("000000"&amp;698,6),CalcRankKeyB,0),"")</f>
        <v/>
      </c>
    </row>
    <row r="715" spans="1:14" x14ac:dyDescent="0.2">
      <c r="A715" s="7">
        <v>699</v>
      </c>
      <c r="B715" s="8" t="str">
        <f t="shared" si="100"/>
        <v/>
      </c>
      <c r="C715" s="8" t="str">
        <f t="shared" si="101"/>
        <v/>
      </c>
      <c r="D715" s="8" t="str">
        <f t="shared" si="102"/>
        <v/>
      </c>
      <c r="E715" s="9" t="str">
        <f t="shared" si="103"/>
        <v/>
      </c>
      <c r="F715" s="9" t="str">
        <f t="shared" si="104"/>
        <v/>
      </c>
      <c r="G715" s="9" t="str">
        <f t="shared" si="105"/>
        <v/>
      </c>
      <c r="H715" s="9" t="str">
        <f t="shared" si="106"/>
        <v/>
      </c>
      <c r="I715" s="10" t="str">
        <f t="shared" si="107"/>
        <v/>
      </c>
      <c r="J715" s="10" t="str">
        <f t="shared" si="109"/>
        <v/>
      </c>
      <c r="K715" s="11" t="str">
        <f t="shared" si="108"/>
        <v/>
      </c>
      <c r="M715" t="str">
        <f>IFERROR(MATCH($C$5&amp;"|"&amp;RIGHT("000000"&amp;699,6),CalcRankKeyA,0),"")</f>
        <v/>
      </c>
      <c r="N715" t="str">
        <f>IFERROR(MATCH($C$5&amp;"|"&amp;RIGHT("000000"&amp;699,6),CalcRankKeyB,0),"")</f>
        <v/>
      </c>
    </row>
    <row r="716" spans="1:14" x14ac:dyDescent="0.2">
      <c r="A716" s="12">
        <v>700</v>
      </c>
      <c r="B716" s="13" t="str">
        <f t="shared" si="100"/>
        <v/>
      </c>
      <c r="C716" s="13" t="str">
        <f t="shared" si="101"/>
        <v/>
      </c>
      <c r="D716" s="13" t="str">
        <f t="shared" si="102"/>
        <v/>
      </c>
      <c r="E716" s="14" t="str">
        <f t="shared" si="103"/>
        <v/>
      </c>
      <c r="F716" s="14" t="str">
        <f t="shared" si="104"/>
        <v/>
      </c>
      <c r="G716" s="14" t="str">
        <f t="shared" si="105"/>
        <v/>
      </c>
      <c r="H716" s="14" t="str">
        <f t="shared" si="106"/>
        <v/>
      </c>
      <c r="I716" s="15" t="str">
        <f t="shared" si="107"/>
        <v/>
      </c>
      <c r="J716" s="15" t="str">
        <f t="shared" si="109"/>
        <v/>
      </c>
      <c r="K716" s="16" t="str">
        <f t="shared" si="108"/>
        <v/>
      </c>
      <c r="M716" t="str">
        <f>IFERROR(MATCH($C$5&amp;"|"&amp;RIGHT("000000"&amp;700,6),CalcRankKeyA,0),"")</f>
        <v/>
      </c>
      <c r="N716" t="str">
        <f>IFERROR(MATCH($C$5&amp;"|"&amp;RIGHT("000000"&amp;700,6),CalcRankKeyB,0),"")</f>
        <v/>
      </c>
    </row>
    <row r="717" spans="1:14" x14ac:dyDescent="0.2">
      <c r="A717" s="7">
        <v>701</v>
      </c>
      <c r="B717" s="8" t="str">
        <f t="shared" si="100"/>
        <v/>
      </c>
      <c r="C717" s="8" t="str">
        <f t="shared" si="101"/>
        <v/>
      </c>
      <c r="D717" s="8" t="str">
        <f t="shared" si="102"/>
        <v/>
      </c>
      <c r="E717" s="9" t="str">
        <f t="shared" si="103"/>
        <v/>
      </c>
      <c r="F717" s="9" t="str">
        <f t="shared" si="104"/>
        <v/>
      </c>
      <c r="G717" s="9" t="str">
        <f t="shared" si="105"/>
        <v/>
      </c>
      <c r="H717" s="9" t="str">
        <f t="shared" si="106"/>
        <v/>
      </c>
      <c r="I717" s="10" t="str">
        <f t="shared" si="107"/>
        <v/>
      </c>
      <c r="J717" s="10" t="str">
        <f t="shared" si="109"/>
        <v/>
      </c>
      <c r="K717" s="11" t="str">
        <f t="shared" si="108"/>
        <v/>
      </c>
      <c r="M717" t="str">
        <f>IFERROR(MATCH($C$5&amp;"|"&amp;RIGHT("000000"&amp;701,6),CalcRankKeyA,0),"")</f>
        <v/>
      </c>
      <c r="N717" t="str">
        <f>IFERROR(MATCH($C$5&amp;"|"&amp;RIGHT("000000"&amp;701,6),CalcRankKeyB,0),"")</f>
        <v/>
      </c>
    </row>
    <row r="718" spans="1:14" x14ac:dyDescent="0.2">
      <c r="A718" s="12">
        <v>702</v>
      </c>
      <c r="B718" s="13" t="str">
        <f t="shared" si="100"/>
        <v/>
      </c>
      <c r="C718" s="13" t="str">
        <f t="shared" si="101"/>
        <v/>
      </c>
      <c r="D718" s="13" t="str">
        <f t="shared" si="102"/>
        <v/>
      </c>
      <c r="E718" s="14" t="str">
        <f t="shared" si="103"/>
        <v/>
      </c>
      <c r="F718" s="14" t="str">
        <f t="shared" si="104"/>
        <v/>
      </c>
      <c r="G718" s="14" t="str">
        <f t="shared" si="105"/>
        <v/>
      </c>
      <c r="H718" s="14" t="str">
        <f t="shared" si="106"/>
        <v/>
      </c>
      <c r="I718" s="15" t="str">
        <f t="shared" si="107"/>
        <v/>
      </c>
      <c r="J718" s="15" t="str">
        <f t="shared" si="109"/>
        <v/>
      </c>
      <c r="K718" s="16" t="str">
        <f t="shared" si="108"/>
        <v/>
      </c>
      <c r="M718" t="str">
        <f>IFERROR(MATCH($C$5&amp;"|"&amp;RIGHT("000000"&amp;702,6),CalcRankKeyA,0),"")</f>
        <v/>
      </c>
      <c r="N718" t="str">
        <f>IFERROR(MATCH($C$5&amp;"|"&amp;RIGHT("000000"&amp;702,6),CalcRankKeyB,0),"")</f>
        <v/>
      </c>
    </row>
    <row r="719" spans="1:14" x14ac:dyDescent="0.2">
      <c r="A719" s="7">
        <v>703</v>
      </c>
      <c r="B719" s="8" t="str">
        <f t="shared" si="100"/>
        <v/>
      </c>
      <c r="C719" s="8" t="str">
        <f t="shared" si="101"/>
        <v/>
      </c>
      <c r="D719" s="8" t="str">
        <f t="shared" si="102"/>
        <v/>
      </c>
      <c r="E719" s="9" t="str">
        <f t="shared" si="103"/>
        <v/>
      </c>
      <c r="F719" s="9" t="str">
        <f t="shared" si="104"/>
        <v/>
      </c>
      <c r="G719" s="9" t="str">
        <f t="shared" si="105"/>
        <v/>
      </c>
      <c r="H719" s="9" t="str">
        <f t="shared" si="106"/>
        <v/>
      </c>
      <c r="I719" s="10" t="str">
        <f t="shared" si="107"/>
        <v/>
      </c>
      <c r="J719" s="10" t="str">
        <f t="shared" si="109"/>
        <v/>
      </c>
      <c r="K719" s="11" t="str">
        <f t="shared" si="108"/>
        <v/>
      </c>
      <c r="M719" t="str">
        <f>IFERROR(MATCH($C$5&amp;"|"&amp;RIGHT("000000"&amp;703,6),CalcRankKeyA,0),"")</f>
        <v/>
      </c>
      <c r="N719" t="str">
        <f>IFERROR(MATCH($C$5&amp;"|"&amp;RIGHT("000000"&amp;703,6),CalcRankKeyB,0),"")</f>
        <v/>
      </c>
    </row>
    <row r="720" spans="1:14" x14ac:dyDescent="0.2">
      <c r="A720" s="12">
        <v>704</v>
      </c>
      <c r="B720" s="13" t="str">
        <f t="shared" si="100"/>
        <v/>
      </c>
      <c r="C720" s="13" t="str">
        <f t="shared" si="101"/>
        <v/>
      </c>
      <c r="D720" s="13" t="str">
        <f t="shared" si="102"/>
        <v/>
      </c>
      <c r="E720" s="14" t="str">
        <f t="shared" si="103"/>
        <v/>
      </c>
      <c r="F720" s="14" t="str">
        <f t="shared" si="104"/>
        <v/>
      </c>
      <c r="G720" s="14" t="str">
        <f t="shared" si="105"/>
        <v/>
      </c>
      <c r="H720" s="14" t="str">
        <f t="shared" si="106"/>
        <v/>
      </c>
      <c r="I720" s="15" t="str">
        <f t="shared" si="107"/>
        <v/>
      </c>
      <c r="J720" s="15" t="str">
        <f t="shared" si="109"/>
        <v/>
      </c>
      <c r="K720" s="16" t="str">
        <f t="shared" si="108"/>
        <v/>
      </c>
      <c r="M720" t="str">
        <f>IFERROR(MATCH($C$5&amp;"|"&amp;RIGHT("000000"&amp;704,6),CalcRankKeyA,0),"")</f>
        <v/>
      </c>
      <c r="N720" t="str">
        <f>IFERROR(MATCH($C$5&amp;"|"&amp;RIGHT("000000"&amp;704,6),CalcRankKeyB,0),"")</f>
        <v/>
      </c>
    </row>
    <row r="721" spans="1:14" x14ac:dyDescent="0.2">
      <c r="A721" s="7">
        <v>705</v>
      </c>
      <c r="B721" s="8" t="str">
        <f t="shared" ref="B721:B784" si="110">IF(AND($M721="",$N721=""),"",IF($M721&lt;&gt;"",INDEX(CalcDateA,$M721),INDEX(CalcDateB,$N721)))</f>
        <v/>
      </c>
      <c r="C721" s="8" t="str">
        <f t="shared" ref="C721:C784" si="111">IF($M721&lt;&gt;"","خرید سبد",IF($N721&lt;&gt;"",IF(N(INDEX(CalcDepB,$N721))&gt;0,"دریافت بانکی","پرداخت بانکی"),""))</f>
        <v/>
      </c>
      <c r="D721" s="8" t="str">
        <f t="shared" ref="D721:D784" si="112">IF($M721&lt;&gt;"",IF(INDEX(CalcDocA,$M721)="","—",INDEX(CalcDocA,$M721)),IF($N721&lt;&gt;"",INDEX(CalcBankB,$N721),""))</f>
        <v/>
      </c>
      <c r="E721" s="9" t="str">
        <f t="shared" ref="E721:E784" si="113">IF($N721&lt;&gt;"",IF(INDEX(CalcDepB,$N721)=0,"",INDEX(CalcDepB,$N721)),"")</f>
        <v/>
      </c>
      <c r="F721" s="9" t="str">
        <f t="shared" ref="F721:F784" si="114">IF($M721&lt;&gt;"",IF(INDEX(CalcQtyA,$M721)=0,"",INDEX(CalcQtyA,$M721)),"")</f>
        <v/>
      </c>
      <c r="G721" s="9" t="str">
        <f t="shared" ref="G721:G784" si="115">IF($M721&lt;&gt;"",IF(INDEX(CalcPriceA,$M721)=0,"",INDEX(CalcPriceA,$M721)),"")</f>
        <v/>
      </c>
      <c r="H721" s="9" t="str">
        <f t="shared" ref="H721:H784" si="116">IF($N721&lt;&gt;"",IF(INDEX(CalcWitB,$N721)=0,"",INDEX(CalcWitB,$N721)),"")</f>
        <v/>
      </c>
      <c r="I721" s="10" t="str">
        <f t="shared" ref="I721:I784" si="117">IF($M721&lt;&gt;"",INDEX(CalcAmtA,$M721),"")</f>
        <v/>
      </c>
      <c r="J721" s="10" t="str">
        <f t="shared" si="109"/>
        <v/>
      </c>
      <c r="K721" s="11" t="str">
        <f t="shared" ref="K721:K784" si="118">IF($M721&lt;&gt;"",IF(INDEX(CalcNoteA,$M721)="","—",INDEX(CalcNoteA,$M721)),IF($N721&lt;&gt;"",IF(INDEX(CalcNoteB,$N721)="","—",INDEX(CalcNoteB,$N721)),""))</f>
        <v/>
      </c>
      <c r="M721" t="str">
        <f>IFERROR(MATCH($C$5&amp;"|"&amp;RIGHT("000000"&amp;705,6),CalcRankKeyA,0),"")</f>
        <v/>
      </c>
      <c r="N721" t="str">
        <f>IFERROR(MATCH($C$5&amp;"|"&amp;RIGHT("000000"&amp;705,6),CalcRankKeyB,0),"")</f>
        <v/>
      </c>
    </row>
    <row r="722" spans="1:14" x14ac:dyDescent="0.2">
      <c r="A722" s="12">
        <v>706</v>
      </c>
      <c r="B722" s="13" t="str">
        <f t="shared" si="110"/>
        <v/>
      </c>
      <c r="C722" s="13" t="str">
        <f t="shared" si="111"/>
        <v/>
      </c>
      <c r="D722" s="13" t="str">
        <f t="shared" si="112"/>
        <v/>
      </c>
      <c r="E722" s="14" t="str">
        <f t="shared" si="113"/>
        <v/>
      </c>
      <c r="F722" s="14" t="str">
        <f t="shared" si="114"/>
        <v/>
      </c>
      <c r="G722" s="14" t="str">
        <f t="shared" si="115"/>
        <v/>
      </c>
      <c r="H722" s="14" t="str">
        <f t="shared" si="116"/>
        <v/>
      </c>
      <c r="I722" s="15" t="str">
        <f t="shared" si="117"/>
        <v/>
      </c>
      <c r="J722" s="15" t="str">
        <f t="shared" ref="J722:J785" si="119">IF($B722="","",IF($J721="",$C$8,$J721)+IF($I722="",0,$I722)+IF($E722="",0,$E722)-IF($H722="",0,$H722))</f>
        <v/>
      </c>
      <c r="K722" s="16" t="str">
        <f t="shared" si="118"/>
        <v/>
      </c>
      <c r="M722" t="str">
        <f>IFERROR(MATCH($C$5&amp;"|"&amp;RIGHT("000000"&amp;706,6),CalcRankKeyA,0),"")</f>
        <v/>
      </c>
      <c r="N722" t="str">
        <f>IFERROR(MATCH($C$5&amp;"|"&amp;RIGHT("000000"&amp;706,6),CalcRankKeyB,0),"")</f>
        <v/>
      </c>
    </row>
    <row r="723" spans="1:14" x14ac:dyDescent="0.2">
      <c r="A723" s="7">
        <v>707</v>
      </c>
      <c r="B723" s="8" t="str">
        <f t="shared" si="110"/>
        <v/>
      </c>
      <c r="C723" s="8" t="str">
        <f t="shared" si="111"/>
        <v/>
      </c>
      <c r="D723" s="8" t="str">
        <f t="shared" si="112"/>
        <v/>
      </c>
      <c r="E723" s="9" t="str">
        <f t="shared" si="113"/>
        <v/>
      </c>
      <c r="F723" s="9" t="str">
        <f t="shared" si="114"/>
        <v/>
      </c>
      <c r="G723" s="9" t="str">
        <f t="shared" si="115"/>
        <v/>
      </c>
      <c r="H723" s="9" t="str">
        <f t="shared" si="116"/>
        <v/>
      </c>
      <c r="I723" s="10" t="str">
        <f t="shared" si="117"/>
        <v/>
      </c>
      <c r="J723" s="10" t="str">
        <f t="shared" si="119"/>
        <v/>
      </c>
      <c r="K723" s="11" t="str">
        <f t="shared" si="118"/>
        <v/>
      </c>
      <c r="M723" t="str">
        <f>IFERROR(MATCH($C$5&amp;"|"&amp;RIGHT("000000"&amp;707,6),CalcRankKeyA,0),"")</f>
        <v/>
      </c>
      <c r="N723" t="str">
        <f>IFERROR(MATCH($C$5&amp;"|"&amp;RIGHT("000000"&amp;707,6),CalcRankKeyB,0),"")</f>
        <v/>
      </c>
    </row>
    <row r="724" spans="1:14" x14ac:dyDescent="0.2">
      <c r="A724" s="12">
        <v>708</v>
      </c>
      <c r="B724" s="13" t="str">
        <f t="shared" si="110"/>
        <v/>
      </c>
      <c r="C724" s="13" t="str">
        <f t="shared" si="111"/>
        <v/>
      </c>
      <c r="D724" s="13" t="str">
        <f t="shared" si="112"/>
        <v/>
      </c>
      <c r="E724" s="14" t="str">
        <f t="shared" si="113"/>
        <v/>
      </c>
      <c r="F724" s="14" t="str">
        <f t="shared" si="114"/>
        <v/>
      </c>
      <c r="G724" s="14" t="str">
        <f t="shared" si="115"/>
        <v/>
      </c>
      <c r="H724" s="14" t="str">
        <f t="shared" si="116"/>
        <v/>
      </c>
      <c r="I724" s="15" t="str">
        <f t="shared" si="117"/>
        <v/>
      </c>
      <c r="J724" s="15" t="str">
        <f t="shared" si="119"/>
        <v/>
      </c>
      <c r="K724" s="16" t="str">
        <f t="shared" si="118"/>
        <v/>
      </c>
      <c r="M724" t="str">
        <f>IFERROR(MATCH($C$5&amp;"|"&amp;RIGHT("000000"&amp;708,6),CalcRankKeyA,0),"")</f>
        <v/>
      </c>
      <c r="N724" t="str">
        <f>IFERROR(MATCH($C$5&amp;"|"&amp;RIGHT("000000"&amp;708,6),CalcRankKeyB,0),"")</f>
        <v/>
      </c>
    </row>
    <row r="725" spans="1:14" x14ac:dyDescent="0.2">
      <c r="A725" s="7">
        <v>709</v>
      </c>
      <c r="B725" s="8" t="str">
        <f t="shared" si="110"/>
        <v/>
      </c>
      <c r="C725" s="8" t="str">
        <f t="shared" si="111"/>
        <v/>
      </c>
      <c r="D725" s="8" t="str">
        <f t="shared" si="112"/>
        <v/>
      </c>
      <c r="E725" s="9" t="str">
        <f t="shared" si="113"/>
        <v/>
      </c>
      <c r="F725" s="9" t="str">
        <f t="shared" si="114"/>
        <v/>
      </c>
      <c r="G725" s="9" t="str">
        <f t="shared" si="115"/>
        <v/>
      </c>
      <c r="H725" s="9" t="str">
        <f t="shared" si="116"/>
        <v/>
      </c>
      <c r="I725" s="10" t="str">
        <f t="shared" si="117"/>
        <v/>
      </c>
      <c r="J725" s="10" t="str">
        <f t="shared" si="119"/>
        <v/>
      </c>
      <c r="K725" s="11" t="str">
        <f t="shared" si="118"/>
        <v/>
      </c>
      <c r="M725" t="str">
        <f>IFERROR(MATCH($C$5&amp;"|"&amp;RIGHT("000000"&amp;709,6),CalcRankKeyA,0),"")</f>
        <v/>
      </c>
      <c r="N725" t="str">
        <f>IFERROR(MATCH($C$5&amp;"|"&amp;RIGHT("000000"&amp;709,6),CalcRankKeyB,0),"")</f>
        <v/>
      </c>
    </row>
    <row r="726" spans="1:14" x14ac:dyDescent="0.2">
      <c r="A726" s="12">
        <v>710</v>
      </c>
      <c r="B726" s="13" t="str">
        <f t="shared" si="110"/>
        <v/>
      </c>
      <c r="C726" s="13" t="str">
        <f t="shared" si="111"/>
        <v/>
      </c>
      <c r="D726" s="13" t="str">
        <f t="shared" si="112"/>
        <v/>
      </c>
      <c r="E726" s="14" t="str">
        <f t="shared" si="113"/>
        <v/>
      </c>
      <c r="F726" s="14" t="str">
        <f t="shared" si="114"/>
        <v/>
      </c>
      <c r="G726" s="14" t="str">
        <f t="shared" si="115"/>
        <v/>
      </c>
      <c r="H726" s="14" t="str">
        <f t="shared" si="116"/>
        <v/>
      </c>
      <c r="I726" s="15" t="str">
        <f t="shared" si="117"/>
        <v/>
      </c>
      <c r="J726" s="15" t="str">
        <f t="shared" si="119"/>
        <v/>
      </c>
      <c r="K726" s="16" t="str">
        <f t="shared" si="118"/>
        <v/>
      </c>
      <c r="M726" t="str">
        <f>IFERROR(MATCH($C$5&amp;"|"&amp;RIGHT("000000"&amp;710,6),CalcRankKeyA,0),"")</f>
        <v/>
      </c>
      <c r="N726" t="str">
        <f>IFERROR(MATCH($C$5&amp;"|"&amp;RIGHT("000000"&amp;710,6),CalcRankKeyB,0),"")</f>
        <v/>
      </c>
    </row>
    <row r="727" spans="1:14" x14ac:dyDescent="0.2">
      <c r="A727" s="7">
        <v>711</v>
      </c>
      <c r="B727" s="8" t="str">
        <f t="shared" si="110"/>
        <v/>
      </c>
      <c r="C727" s="8" t="str">
        <f t="shared" si="111"/>
        <v/>
      </c>
      <c r="D727" s="8" t="str">
        <f t="shared" si="112"/>
        <v/>
      </c>
      <c r="E727" s="9" t="str">
        <f t="shared" si="113"/>
        <v/>
      </c>
      <c r="F727" s="9" t="str">
        <f t="shared" si="114"/>
        <v/>
      </c>
      <c r="G727" s="9" t="str">
        <f t="shared" si="115"/>
        <v/>
      </c>
      <c r="H727" s="9" t="str">
        <f t="shared" si="116"/>
        <v/>
      </c>
      <c r="I727" s="10" t="str">
        <f t="shared" si="117"/>
        <v/>
      </c>
      <c r="J727" s="10" t="str">
        <f t="shared" si="119"/>
        <v/>
      </c>
      <c r="K727" s="11" t="str">
        <f t="shared" si="118"/>
        <v/>
      </c>
      <c r="M727" t="str">
        <f>IFERROR(MATCH($C$5&amp;"|"&amp;RIGHT("000000"&amp;711,6),CalcRankKeyA,0),"")</f>
        <v/>
      </c>
      <c r="N727" t="str">
        <f>IFERROR(MATCH($C$5&amp;"|"&amp;RIGHT("000000"&amp;711,6),CalcRankKeyB,0),"")</f>
        <v/>
      </c>
    </row>
    <row r="728" spans="1:14" x14ac:dyDescent="0.2">
      <c r="A728" s="12">
        <v>712</v>
      </c>
      <c r="B728" s="13" t="str">
        <f t="shared" si="110"/>
        <v/>
      </c>
      <c r="C728" s="13" t="str">
        <f t="shared" si="111"/>
        <v/>
      </c>
      <c r="D728" s="13" t="str">
        <f t="shared" si="112"/>
        <v/>
      </c>
      <c r="E728" s="14" t="str">
        <f t="shared" si="113"/>
        <v/>
      </c>
      <c r="F728" s="14" t="str">
        <f t="shared" si="114"/>
        <v/>
      </c>
      <c r="G728" s="14" t="str">
        <f t="shared" si="115"/>
        <v/>
      </c>
      <c r="H728" s="14" t="str">
        <f t="shared" si="116"/>
        <v/>
      </c>
      <c r="I728" s="15" t="str">
        <f t="shared" si="117"/>
        <v/>
      </c>
      <c r="J728" s="15" t="str">
        <f t="shared" si="119"/>
        <v/>
      </c>
      <c r="K728" s="16" t="str">
        <f t="shared" si="118"/>
        <v/>
      </c>
      <c r="M728" t="str">
        <f>IFERROR(MATCH($C$5&amp;"|"&amp;RIGHT("000000"&amp;712,6),CalcRankKeyA,0),"")</f>
        <v/>
      </c>
      <c r="N728" t="str">
        <f>IFERROR(MATCH($C$5&amp;"|"&amp;RIGHT("000000"&amp;712,6),CalcRankKeyB,0),"")</f>
        <v/>
      </c>
    </row>
    <row r="729" spans="1:14" x14ac:dyDescent="0.2">
      <c r="A729" s="7">
        <v>713</v>
      </c>
      <c r="B729" s="8" t="str">
        <f t="shared" si="110"/>
        <v/>
      </c>
      <c r="C729" s="8" t="str">
        <f t="shared" si="111"/>
        <v/>
      </c>
      <c r="D729" s="8" t="str">
        <f t="shared" si="112"/>
        <v/>
      </c>
      <c r="E729" s="9" t="str">
        <f t="shared" si="113"/>
        <v/>
      </c>
      <c r="F729" s="9" t="str">
        <f t="shared" si="114"/>
        <v/>
      </c>
      <c r="G729" s="9" t="str">
        <f t="shared" si="115"/>
        <v/>
      </c>
      <c r="H729" s="9" t="str">
        <f t="shared" si="116"/>
        <v/>
      </c>
      <c r="I729" s="10" t="str">
        <f t="shared" si="117"/>
        <v/>
      </c>
      <c r="J729" s="10" t="str">
        <f t="shared" si="119"/>
        <v/>
      </c>
      <c r="K729" s="11" t="str">
        <f t="shared" si="118"/>
        <v/>
      </c>
      <c r="M729" t="str">
        <f>IFERROR(MATCH($C$5&amp;"|"&amp;RIGHT("000000"&amp;713,6),CalcRankKeyA,0),"")</f>
        <v/>
      </c>
      <c r="N729" t="str">
        <f>IFERROR(MATCH($C$5&amp;"|"&amp;RIGHT("000000"&amp;713,6),CalcRankKeyB,0),"")</f>
        <v/>
      </c>
    </row>
    <row r="730" spans="1:14" x14ac:dyDescent="0.2">
      <c r="A730" s="12">
        <v>714</v>
      </c>
      <c r="B730" s="13" t="str">
        <f t="shared" si="110"/>
        <v/>
      </c>
      <c r="C730" s="13" t="str">
        <f t="shared" si="111"/>
        <v/>
      </c>
      <c r="D730" s="13" t="str">
        <f t="shared" si="112"/>
        <v/>
      </c>
      <c r="E730" s="14" t="str">
        <f t="shared" si="113"/>
        <v/>
      </c>
      <c r="F730" s="14" t="str">
        <f t="shared" si="114"/>
        <v/>
      </c>
      <c r="G730" s="14" t="str">
        <f t="shared" si="115"/>
        <v/>
      </c>
      <c r="H730" s="14" t="str">
        <f t="shared" si="116"/>
        <v/>
      </c>
      <c r="I730" s="15" t="str">
        <f t="shared" si="117"/>
        <v/>
      </c>
      <c r="J730" s="15" t="str">
        <f t="shared" si="119"/>
        <v/>
      </c>
      <c r="K730" s="16" t="str">
        <f t="shared" si="118"/>
        <v/>
      </c>
      <c r="M730" t="str">
        <f>IFERROR(MATCH($C$5&amp;"|"&amp;RIGHT("000000"&amp;714,6),CalcRankKeyA,0),"")</f>
        <v/>
      </c>
      <c r="N730" t="str">
        <f>IFERROR(MATCH($C$5&amp;"|"&amp;RIGHT("000000"&amp;714,6),CalcRankKeyB,0),"")</f>
        <v/>
      </c>
    </row>
    <row r="731" spans="1:14" x14ac:dyDescent="0.2">
      <c r="A731" s="7">
        <v>715</v>
      </c>
      <c r="B731" s="8" t="str">
        <f t="shared" si="110"/>
        <v/>
      </c>
      <c r="C731" s="8" t="str">
        <f t="shared" si="111"/>
        <v/>
      </c>
      <c r="D731" s="8" t="str">
        <f t="shared" si="112"/>
        <v/>
      </c>
      <c r="E731" s="9" t="str">
        <f t="shared" si="113"/>
        <v/>
      </c>
      <c r="F731" s="9" t="str">
        <f t="shared" si="114"/>
        <v/>
      </c>
      <c r="G731" s="9" t="str">
        <f t="shared" si="115"/>
        <v/>
      </c>
      <c r="H731" s="9" t="str">
        <f t="shared" si="116"/>
        <v/>
      </c>
      <c r="I731" s="10" t="str">
        <f t="shared" si="117"/>
        <v/>
      </c>
      <c r="J731" s="10" t="str">
        <f t="shared" si="119"/>
        <v/>
      </c>
      <c r="K731" s="11" t="str">
        <f t="shared" si="118"/>
        <v/>
      </c>
      <c r="M731" t="str">
        <f>IFERROR(MATCH($C$5&amp;"|"&amp;RIGHT("000000"&amp;715,6),CalcRankKeyA,0),"")</f>
        <v/>
      </c>
      <c r="N731" t="str">
        <f>IFERROR(MATCH($C$5&amp;"|"&amp;RIGHT("000000"&amp;715,6),CalcRankKeyB,0),"")</f>
        <v/>
      </c>
    </row>
    <row r="732" spans="1:14" x14ac:dyDescent="0.2">
      <c r="A732" s="12">
        <v>716</v>
      </c>
      <c r="B732" s="13" t="str">
        <f t="shared" si="110"/>
        <v/>
      </c>
      <c r="C732" s="13" t="str">
        <f t="shared" si="111"/>
        <v/>
      </c>
      <c r="D732" s="13" t="str">
        <f t="shared" si="112"/>
        <v/>
      </c>
      <c r="E732" s="14" t="str">
        <f t="shared" si="113"/>
        <v/>
      </c>
      <c r="F732" s="14" t="str">
        <f t="shared" si="114"/>
        <v/>
      </c>
      <c r="G732" s="14" t="str">
        <f t="shared" si="115"/>
        <v/>
      </c>
      <c r="H732" s="14" t="str">
        <f t="shared" si="116"/>
        <v/>
      </c>
      <c r="I732" s="15" t="str">
        <f t="shared" si="117"/>
        <v/>
      </c>
      <c r="J732" s="15" t="str">
        <f t="shared" si="119"/>
        <v/>
      </c>
      <c r="K732" s="16" t="str">
        <f t="shared" si="118"/>
        <v/>
      </c>
      <c r="M732" t="str">
        <f>IFERROR(MATCH($C$5&amp;"|"&amp;RIGHT("000000"&amp;716,6),CalcRankKeyA,0),"")</f>
        <v/>
      </c>
      <c r="N732" t="str">
        <f>IFERROR(MATCH($C$5&amp;"|"&amp;RIGHT("000000"&amp;716,6),CalcRankKeyB,0),"")</f>
        <v/>
      </c>
    </row>
    <row r="733" spans="1:14" x14ac:dyDescent="0.2">
      <c r="A733" s="7">
        <v>717</v>
      </c>
      <c r="B733" s="8" t="str">
        <f t="shared" si="110"/>
        <v/>
      </c>
      <c r="C733" s="8" t="str">
        <f t="shared" si="111"/>
        <v/>
      </c>
      <c r="D733" s="8" t="str">
        <f t="shared" si="112"/>
        <v/>
      </c>
      <c r="E733" s="9" t="str">
        <f t="shared" si="113"/>
        <v/>
      </c>
      <c r="F733" s="9" t="str">
        <f t="shared" si="114"/>
        <v/>
      </c>
      <c r="G733" s="9" t="str">
        <f t="shared" si="115"/>
        <v/>
      </c>
      <c r="H733" s="9" t="str">
        <f t="shared" si="116"/>
        <v/>
      </c>
      <c r="I733" s="10" t="str">
        <f t="shared" si="117"/>
        <v/>
      </c>
      <c r="J733" s="10" t="str">
        <f t="shared" si="119"/>
        <v/>
      </c>
      <c r="K733" s="11" t="str">
        <f t="shared" si="118"/>
        <v/>
      </c>
      <c r="M733" t="str">
        <f>IFERROR(MATCH($C$5&amp;"|"&amp;RIGHT("000000"&amp;717,6),CalcRankKeyA,0),"")</f>
        <v/>
      </c>
      <c r="N733" t="str">
        <f>IFERROR(MATCH($C$5&amp;"|"&amp;RIGHT("000000"&amp;717,6),CalcRankKeyB,0),"")</f>
        <v/>
      </c>
    </row>
    <row r="734" spans="1:14" x14ac:dyDescent="0.2">
      <c r="A734" s="12">
        <v>718</v>
      </c>
      <c r="B734" s="13" t="str">
        <f t="shared" si="110"/>
        <v/>
      </c>
      <c r="C734" s="13" t="str">
        <f t="shared" si="111"/>
        <v/>
      </c>
      <c r="D734" s="13" t="str">
        <f t="shared" si="112"/>
        <v/>
      </c>
      <c r="E734" s="14" t="str">
        <f t="shared" si="113"/>
        <v/>
      </c>
      <c r="F734" s="14" t="str">
        <f t="shared" si="114"/>
        <v/>
      </c>
      <c r="G734" s="14" t="str">
        <f t="shared" si="115"/>
        <v/>
      </c>
      <c r="H734" s="14" t="str">
        <f t="shared" si="116"/>
        <v/>
      </c>
      <c r="I734" s="15" t="str">
        <f t="shared" si="117"/>
        <v/>
      </c>
      <c r="J734" s="15" t="str">
        <f t="shared" si="119"/>
        <v/>
      </c>
      <c r="K734" s="16" t="str">
        <f t="shared" si="118"/>
        <v/>
      </c>
      <c r="M734" t="str">
        <f>IFERROR(MATCH($C$5&amp;"|"&amp;RIGHT("000000"&amp;718,6),CalcRankKeyA,0),"")</f>
        <v/>
      </c>
      <c r="N734" t="str">
        <f>IFERROR(MATCH($C$5&amp;"|"&amp;RIGHT("000000"&amp;718,6),CalcRankKeyB,0),"")</f>
        <v/>
      </c>
    </row>
    <row r="735" spans="1:14" x14ac:dyDescent="0.2">
      <c r="A735" s="7">
        <v>719</v>
      </c>
      <c r="B735" s="8" t="str">
        <f t="shared" si="110"/>
        <v/>
      </c>
      <c r="C735" s="8" t="str">
        <f t="shared" si="111"/>
        <v/>
      </c>
      <c r="D735" s="8" t="str">
        <f t="shared" si="112"/>
        <v/>
      </c>
      <c r="E735" s="9" t="str">
        <f t="shared" si="113"/>
        <v/>
      </c>
      <c r="F735" s="9" t="str">
        <f t="shared" si="114"/>
        <v/>
      </c>
      <c r="G735" s="9" t="str">
        <f t="shared" si="115"/>
        <v/>
      </c>
      <c r="H735" s="9" t="str">
        <f t="shared" si="116"/>
        <v/>
      </c>
      <c r="I735" s="10" t="str">
        <f t="shared" si="117"/>
        <v/>
      </c>
      <c r="J735" s="10" t="str">
        <f t="shared" si="119"/>
        <v/>
      </c>
      <c r="K735" s="11" t="str">
        <f t="shared" si="118"/>
        <v/>
      </c>
      <c r="M735" t="str">
        <f>IFERROR(MATCH($C$5&amp;"|"&amp;RIGHT("000000"&amp;719,6),CalcRankKeyA,0),"")</f>
        <v/>
      </c>
      <c r="N735" t="str">
        <f>IFERROR(MATCH($C$5&amp;"|"&amp;RIGHT("000000"&amp;719,6),CalcRankKeyB,0),"")</f>
        <v/>
      </c>
    </row>
    <row r="736" spans="1:14" x14ac:dyDescent="0.2">
      <c r="A736" s="12">
        <v>720</v>
      </c>
      <c r="B736" s="13" t="str">
        <f t="shared" si="110"/>
        <v/>
      </c>
      <c r="C736" s="13" t="str">
        <f t="shared" si="111"/>
        <v/>
      </c>
      <c r="D736" s="13" t="str">
        <f t="shared" si="112"/>
        <v/>
      </c>
      <c r="E736" s="14" t="str">
        <f t="shared" si="113"/>
        <v/>
      </c>
      <c r="F736" s="14" t="str">
        <f t="shared" si="114"/>
        <v/>
      </c>
      <c r="G736" s="14" t="str">
        <f t="shared" si="115"/>
        <v/>
      </c>
      <c r="H736" s="14" t="str">
        <f t="shared" si="116"/>
        <v/>
      </c>
      <c r="I736" s="15" t="str">
        <f t="shared" si="117"/>
        <v/>
      </c>
      <c r="J736" s="15" t="str">
        <f t="shared" si="119"/>
        <v/>
      </c>
      <c r="K736" s="16" t="str">
        <f t="shared" si="118"/>
        <v/>
      </c>
      <c r="M736" t="str">
        <f>IFERROR(MATCH($C$5&amp;"|"&amp;RIGHT("000000"&amp;720,6),CalcRankKeyA,0),"")</f>
        <v/>
      </c>
      <c r="N736" t="str">
        <f>IFERROR(MATCH($C$5&amp;"|"&amp;RIGHT("000000"&amp;720,6),CalcRankKeyB,0),"")</f>
        <v/>
      </c>
    </row>
    <row r="737" spans="1:14" x14ac:dyDescent="0.2">
      <c r="A737" s="7">
        <v>721</v>
      </c>
      <c r="B737" s="8" t="str">
        <f t="shared" si="110"/>
        <v/>
      </c>
      <c r="C737" s="8" t="str">
        <f t="shared" si="111"/>
        <v/>
      </c>
      <c r="D737" s="8" t="str">
        <f t="shared" si="112"/>
        <v/>
      </c>
      <c r="E737" s="9" t="str">
        <f t="shared" si="113"/>
        <v/>
      </c>
      <c r="F737" s="9" t="str">
        <f t="shared" si="114"/>
        <v/>
      </c>
      <c r="G737" s="9" t="str">
        <f t="shared" si="115"/>
        <v/>
      </c>
      <c r="H737" s="9" t="str">
        <f t="shared" si="116"/>
        <v/>
      </c>
      <c r="I737" s="10" t="str">
        <f t="shared" si="117"/>
        <v/>
      </c>
      <c r="J737" s="10" t="str">
        <f t="shared" si="119"/>
        <v/>
      </c>
      <c r="K737" s="11" t="str">
        <f t="shared" si="118"/>
        <v/>
      </c>
      <c r="M737" t="str">
        <f>IFERROR(MATCH($C$5&amp;"|"&amp;RIGHT("000000"&amp;721,6),CalcRankKeyA,0),"")</f>
        <v/>
      </c>
      <c r="N737" t="str">
        <f>IFERROR(MATCH($C$5&amp;"|"&amp;RIGHT("000000"&amp;721,6),CalcRankKeyB,0),"")</f>
        <v/>
      </c>
    </row>
    <row r="738" spans="1:14" x14ac:dyDescent="0.2">
      <c r="A738" s="12">
        <v>722</v>
      </c>
      <c r="B738" s="13" t="str">
        <f t="shared" si="110"/>
        <v/>
      </c>
      <c r="C738" s="13" t="str">
        <f t="shared" si="111"/>
        <v/>
      </c>
      <c r="D738" s="13" t="str">
        <f t="shared" si="112"/>
        <v/>
      </c>
      <c r="E738" s="14" t="str">
        <f t="shared" si="113"/>
        <v/>
      </c>
      <c r="F738" s="14" t="str">
        <f t="shared" si="114"/>
        <v/>
      </c>
      <c r="G738" s="14" t="str">
        <f t="shared" si="115"/>
        <v/>
      </c>
      <c r="H738" s="14" t="str">
        <f t="shared" si="116"/>
        <v/>
      </c>
      <c r="I738" s="15" t="str">
        <f t="shared" si="117"/>
        <v/>
      </c>
      <c r="J738" s="15" t="str">
        <f t="shared" si="119"/>
        <v/>
      </c>
      <c r="K738" s="16" t="str">
        <f t="shared" si="118"/>
        <v/>
      </c>
      <c r="M738" t="str">
        <f>IFERROR(MATCH($C$5&amp;"|"&amp;RIGHT("000000"&amp;722,6),CalcRankKeyA,0),"")</f>
        <v/>
      </c>
      <c r="N738" t="str">
        <f>IFERROR(MATCH($C$5&amp;"|"&amp;RIGHT("000000"&amp;722,6),CalcRankKeyB,0),"")</f>
        <v/>
      </c>
    </row>
    <row r="739" spans="1:14" x14ac:dyDescent="0.2">
      <c r="A739" s="7">
        <v>723</v>
      </c>
      <c r="B739" s="8" t="str">
        <f t="shared" si="110"/>
        <v/>
      </c>
      <c r="C739" s="8" t="str">
        <f t="shared" si="111"/>
        <v/>
      </c>
      <c r="D739" s="8" t="str">
        <f t="shared" si="112"/>
        <v/>
      </c>
      <c r="E739" s="9" t="str">
        <f t="shared" si="113"/>
        <v/>
      </c>
      <c r="F739" s="9" t="str">
        <f t="shared" si="114"/>
        <v/>
      </c>
      <c r="G739" s="9" t="str">
        <f t="shared" si="115"/>
        <v/>
      </c>
      <c r="H739" s="9" t="str">
        <f t="shared" si="116"/>
        <v/>
      </c>
      <c r="I739" s="10" t="str">
        <f t="shared" si="117"/>
        <v/>
      </c>
      <c r="J739" s="10" t="str">
        <f t="shared" si="119"/>
        <v/>
      </c>
      <c r="K739" s="11" t="str">
        <f t="shared" si="118"/>
        <v/>
      </c>
      <c r="M739" t="str">
        <f>IFERROR(MATCH($C$5&amp;"|"&amp;RIGHT("000000"&amp;723,6),CalcRankKeyA,0),"")</f>
        <v/>
      </c>
      <c r="N739" t="str">
        <f>IFERROR(MATCH($C$5&amp;"|"&amp;RIGHT("000000"&amp;723,6),CalcRankKeyB,0),"")</f>
        <v/>
      </c>
    </row>
    <row r="740" spans="1:14" x14ac:dyDescent="0.2">
      <c r="A740" s="12">
        <v>724</v>
      </c>
      <c r="B740" s="13" t="str">
        <f t="shared" si="110"/>
        <v/>
      </c>
      <c r="C740" s="13" t="str">
        <f t="shared" si="111"/>
        <v/>
      </c>
      <c r="D740" s="13" t="str">
        <f t="shared" si="112"/>
        <v/>
      </c>
      <c r="E740" s="14" t="str">
        <f t="shared" si="113"/>
        <v/>
      </c>
      <c r="F740" s="14" t="str">
        <f t="shared" si="114"/>
        <v/>
      </c>
      <c r="G740" s="14" t="str">
        <f t="shared" si="115"/>
        <v/>
      </c>
      <c r="H740" s="14" t="str">
        <f t="shared" si="116"/>
        <v/>
      </c>
      <c r="I740" s="15" t="str">
        <f t="shared" si="117"/>
        <v/>
      </c>
      <c r="J740" s="15" t="str">
        <f t="shared" si="119"/>
        <v/>
      </c>
      <c r="K740" s="16" t="str">
        <f t="shared" si="118"/>
        <v/>
      </c>
      <c r="M740" t="str">
        <f>IFERROR(MATCH($C$5&amp;"|"&amp;RIGHT("000000"&amp;724,6),CalcRankKeyA,0),"")</f>
        <v/>
      </c>
      <c r="N740" t="str">
        <f>IFERROR(MATCH($C$5&amp;"|"&amp;RIGHT("000000"&amp;724,6),CalcRankKeyB,0),"")</f>
        <v/>
      </c>
    </row>
    <row r="741" spans="1:14" x14ac:dyDescent="0.2">
      <c r="A741" s="7">
        <v>725</v>
      </c>
      <c r="B741" s="8" t="str">
        <f t="shared" si="110"/>
        <v/>
      </c>
      <c r="C741" s="8" t="str">
        <f t="shared" si="111"/>
        <v/>
      </c>
      <c r="D741" s="8" t="str">
        <f t="shared" si="112"/>
        <v/>
      </c>
      <c r="E741" s="9" t="str">
        <f t="shared" si="113"/>
        <v/>
      </c>
      <c r="F741" s="9" t="str">
        <f t="shared" si="114"/>
        <v/>
      </c>
      <c r="G741" s="9" t="str">
        <f t="shared" si="115"/>
        <v/>
      </c>
      <c r="H741" s="9" t="str">
        <f t="shared" si="116"/>
        <v/>
      </c>
      <c r="I741" s="10" t="str">
        <f t="shared" si="117"/>
        <v/>
      </c>
      <c r="J741" s="10" t="str">
        <f t="shared" si="119"/>
        <v/>
      </c>
      <c r="K741" s="11" t="str">
        <f t="shared" si="118"/>
        <v/>
      </c>
      <c r="M741" t="str">
        <f>IFERROR(MATCH($C$5&amp;"|"&amp;RIGHT("000000"&amp;725,6),CalcRankKeyA,0),"")</f>
        <v/>
      </c>
      <c r="N741" t="str">
        <f>IFERROR(MATCH($C$5&amp;"|"&amp;RIGHT("000000"&amp;725,6),CalcRankKeyB,0),"")</f>
        <v/>
      </c>
    </row>
    <row r="742" spans="1:14" x14ac:dyDescent="0.2">
      <c r="A742" s="12">
        <v>726</v>
      </c>
      <c r="B742" s="13" t="str">
        <f t="shared" si="110"/>
        <v/>
      </c>
      <c r="C742" s="13" t="str">
        <f t="shared" si="111"/>
        <v/>
      </c>
      <c r="D742" s="13" t="str">
        <f t="shared" si="112"/>
        <v/>
      </c>
      <c r="E742" s="14" t="str">
        <f t="shared" si="113"/>
        <v/>
      </c>
      <c r="F742" s="14" t="str">
        <f t="shared" si="114"/>
        <v/>
      </c>
      <c r="G742" s="14" t="str">
        <f t="shared" si="115"/>
        <v/>
      </c>
      <c r="H742" s="14" t="str">
        <f t="shared" si="116"/>
        <v/>
      </c>
      <c r="I742" s="15" t="str">
        <f t="shared" si="117"/>
        <v/>
      </c>
      <c r="J742" s="15" t="str">
        <f t="shared" si="119"/>
        <v/>
      </c>
      <c r="K742" s="16" t="str">
        <f t="shared" si="118"/>
        <v/>
      </c>
      <c r="M742" t="str">
        <f>IFERROR(MATCH($C$5&amp;"|"&amp;RIGHT("000000"&amp;726,6),CalcRankKeyA,0),"")</f>
        <v/>
      </c>
      <c r="N742" t="str">
        <f>IFERROR(MATCH($C$5&amp;"|"&amp;RIGHT("000000"&amp;726,6),CalcRankKeyB,0),"")</f>
        <v/>
      </c>
    </row>
    <row r="743" spans="1:14" x14ac:dyDescent="0.2">
      <c r="A743" s="7">
        <v>727</v>
      </c>
      <c r="B743" s="8" t="str">
        <f t="shared" si="110"/>
        <v/>
      </c>
      <c r="C743" s="8" t="str">
        <f t="shared" si="111"/>
        <v/>
      </c>
      <c r="D743" s="8" t="str">
        <f t="shared" si="112"/>
        <v/>
      </c>
      <c r="E743" s="9" t="str">
        <f t="shared" si="113"/>
        <v/>
      </c>
      <c r="F743" s="9" t="str">
        <f t="shared" si="114"/>
        <v/>
      </c>
      <c r="G743" s="9" t="str">
        <f t="shared" si="115"/>
        <v/>
      </c>
      <c r="H743" s="9" t="str">
        <f t="shared" si="116"/>
        <v/>
      </c>
      <c r="I743" s="10" t="str">
        <f t="shared" si="117"/>
        <v/>
      </c>
      <c r="J743" s="10" t="str">
        <f t="shared" si="119"/>
        <v/>
      </c>
      <c r="K743" s="11" t="str">
        <f t="shared" si="118"/>
        <v/>
      </c>
      <c r="M743" t="str">
        <f>IFERROR(MATCH($C$5&amp;"|"&amp;RIGHT("000000"&amp;727,6),CalcRankKeyA,0),"")</f>
        <v/>
      </c>
      <c r="N743" t="str">
        <f>IFERROR(MATCH($C$5&amp;"|"&amp;RIGHT("000000"&amp;727,6),CalcRankKeyB,0),"")</f>
        <v/>
      </c>
    </row>
    <row r="744" spans="1:14" x14ac:dyDescent="0.2">
      <c r="A744" s="12">
        <v>728</v>
      </c>
      <c r="B744" s="13" t="str">
        <f t="shared" si="110"/>
        <v/>
      </c>
      <c r="C744" s="13" t="str">
        <f t="shared" si="111"/>
        <v/>
      </c>
      <c r="D744" s="13" t="str">
        <f t="shared" si="112"/>
        <v/>
      </c>
      <c r="E744" s="14" t="str">
        <f t="shared" si="113"/>
        <v/>
      </c>
      <c r="F744" s="14" t="str">
        <f t="shared" si="114"/>
        <v/>
      </c>
      <c r="G744" s="14" t="str">
        <f t="shared" si="115"/>
        <v/>
      </c>
      <c r="H744" s="14" t="str">
        <f t="shared" si="116"/>
        <v/>
      </c>
      <c r="I744" s="15" t="str">
        <f t="shared" si="117"/>
        <v/>
      </c>
      <c r="J744" s="15" t="str">
        <f t="shared" si="119"/>
        <v/>
      </c>
      <c r="K744" s="16" t="str">
        <f t="shared" si="118"/>
        <v/>
      </c>
      <c r="M744" t="str">
        <f>IFERROR(MATCH($C$5&amp;"|"&amp;RIGHT("000000"&amp;728,6),CalcRankKeyA,0),"")</f>
        <v/>
      </c>
      <c r="N744" t="str">
        <f>IFERROR(MATCH($C$5&amp;"|"&amp;RIGHT("000000"&amp;728,6),CalcRankKeyB,0),"")</f>
        <v/>
      </c>
    </row>
    <row r="745" spans="1:14" x14ac:dyDescent="0.2">
      <c r="A745" s="7">
        <v>729</v>
      </c>
      <c r="B745" s="8" t="str">
        <f t="shared" si="110"/>
        <v/>
      </c>
      <c r="C745" s="8" t="str">
        <f t="shared" si="111"/>
        <v/>
      </c>
      <c r="D745" s="8" t="str">
        <f t="shared" si="112"/>
        <v/>
      </c>
      <c r="E745" s="9" t="str">
        <f t="shared" si="113"/>
        <v/>
      </c>
      <c r="F745" s="9" t="str">
        <f t="shared" si="114"/>
        <v/>
      </c>
      <c r="G745" s="9" t="str">
        <f t="shared" si="115"/>
        <v/>
      </c>
      <c r="H745" s="9" t="str">
        <f t="shared" si="116"/>
        <v/>
      </c>
      <c r="I745" s="10" t="str">
        <f t="shared" si="117"/>
        <v/>
      </c>
      <c r="J745" s="10" t="str">
        <f t="shared" si="119"/>
        <v/>
      </c>
      <c r="K745" s="11" t="str">
        <f t="shared" si="118"/>
        <v/>
      </c>
      <c r="M745" t="str">
        <f>IFERROR(MATCH($C$5&amp;"|"&amp;RIGHT("000000"&amp;729,6),CalcRankKeyA,0),"")</f>
        <v/>
      </c>
      <c r="N745" t="str">
        <f>IFERROR(MATCH($C$5&amp;"|"&amp;RIGHT("000000"&amp;729,6),CalcRankKeyB,0),"")</f>
        <v/>
      </c>
    </row>
    <row r="746" spans="1:14" x14ac:dyDescent="0.2">
      <c r="A746" s="12">
        <v>730</v>
      </c>
      <c r="B746" s="13" t="str">
        <f t="shared" si="110"/>
        <v/>
      </c>
      <c r="C746" s="13" t="str">
        <f t="shared" si="111"/>
        <v/>
      </c>
      <c r="D746" s="13" t="str">
        <f t="shared" si="112"/>
        <v/>
      </c>
      <c r="E746" s="14" t="str">
        <f t="shared" si="113"/>
        <v/>
      </c>
      <c r="F746" s="14" t="str">
        <f t="shared" si="114"/>
        <v/>
      </c>
      <c r="G746" s="14" t="str">
        <f t="shared" si="115"/>
        <v/>
      </c>
      <c r="H746" s="14" t="str">
        <f t="shared" si="116"/>
        <v/>
      </c>
      <c r="I746" s="15" t="str">
        <f t="shared" si="117"/>
        <v/>
      </c>
      <c r="J746" s="15" t="str">
        <f t="shared" si="119"/>
        <v/>
      </c>
      <c r="K746" s="16" t="str">
        <f t="shared" si="118"/>
        <v/>
      </c>
      <c r="M746" t="str">
        <f>IFERROR(MATCH($C$5&amp;"|"&amp;RIGHT("000000"&amp;730,6),CalcRankKeyA,0),"")</f>
        <v/>
      </c>
      <c r="N746" t="str">
        <f>IFERROR(MATCH($C$5&amp;"|"&amp;RIGHT("000000"&amp;730,6),CalcRankKeyB,0),"")</f>
        <v/>
      </c>
    </row>
    <row r="747" spans="1:14" x14ac:dyDescent="0.2">
      <c r="A747" s="7">
        <v>731</v>
      </c>
      <c r="B747" s="8" t="str">
        <f t="shared" si="110"/>
        <v/>
      </c>
      <c r="C747" s="8" t="str">
        <f t="shared" si="111"/>
        <v/>
      </c>
      <c r="D747" s="8" t="str">
        <f t="shared" si="112"/>
        <v/>
      </c>
      <c r="E747" s="9" t="str">
        <f t="shared" si="113"/>
        <v/>
      </c>
      <c r="F747" s="9" t="str">
        <f t="shared" si="114"/>
        <v/>
      </c>
      <c r="G747" s="9" t="str">
        <f t="shared" si="115"/>
        <v/>
      </c>
      <c r="H747" s="9" t="str">
        <f t="shared" si="116"/>
        <v/>
      </c>
      <c r="I747" s="10" t="str">
        <f t="shared" si="117"/>
        <v/>
      </c>
      <c r="J747" s="10" t="str">
        <f t="shared" si="119"/>
        <v/>
      </c>
      <c r="K747" s="11" t="str">
        <f t="shared" si="118"/>
        <v/>
      </c>
      <c r="M747" t="str">
        <f>IFERROR(MATCH($C$5&amp;"|"&amp;RIGHT("000000"&amp;731,6),CalcRankKeyA,0),"")</f>
        <v/>
      </c>
      <c r="N747" t="str">
        <f>IFERROR(MATCH($C$5&amp;"|"&amp;RIGHT("000000"&amp;731,6),CalcRankKeyB,0),"")</f>
        <v/>
      </c>
    </row>
    <row r="748" spans="1:14" x14ac:dyDescent="0.2">
      <c r="A748" s="12">
        <v>732</v>
      </c>
      <c r="B748" s="13" t="str">
        <f t="shared" si="110"/>
        <v/>
      </c>
      <c r="C748" s="13" t="str">
        <f t="shared" si="111"/>
        <v/>
      </c>
      <c r="D748" s="13" t="str">
        <f t="shared" si="112"/>
        <v/>
      </c>
      <c r="E748" s="14" t="str">
        <f t="shared" si="113"/>
        <v/>
      </c>
      <c r="F748" s="14" t="str">
        <f t="shared" si="114"/>
        <v/>
      </c>
      <c r="G748" s="14" t="str">
        <f t="shared" si="115"/>
        <v/>
      </c>
      <c r="H748" s="14" t="str">
        <f t="shared" si="116"/>
        <v/>
      </c>
      <c r="I748" s="15" t="str">
        <f t="shared" si="117"/>
        <v/>
      </c>
      <c r="J748" s="15" t="str">
        <f t="shared" si="119"/>
        <v/>
      </c>
      <c r="K748" s="16" t="str">
        <f t="shared" si="118"/>
        <v/>
      </c>
      <c r="M748" t="str">
        <f>IFERROR(MATCH($C$5&amp;"|"&amp;RIGHT("000000"&amp;732,6),CalcRankKeyA,0),"")</f>
        <v/>
      </c>
      <c r="N748" t="str">
        <f>IFERROR(MATCH($C$5&amp;"|"&amp;RIGHT("000000"&amp;732,6),CalcRankKeyB,0),"")</f>
        <v/>
      </c>
    </row>
    <row r="749" spans="1:14" x14ac:dyDescent="0.2">
      <c r="A749" s="7">
        <v>733</v>
      </c>
      <c r="B749" s="8" t="str">
        <f t="shared" si="110"/>
        <v/>
      </c>
      <c r="C749" s="8" t="str">
        <f t="shared" si="111"/>
        <v/>
      </c>
      <c r="D749" s="8" t="str">
        <f t="shared" si="112"/>
        <v/>
      </c>
      <c r="E749" s="9" t="str">
        <f t="shared" si="113"/>
        <v/>
      </c>
      <c r="F749" s="9" t="str">
        <f t="shared" si="114"/>
        <v/>
      </c>
      <c r="G749" s="9" t="str">
        <f t="shared" si="115"/>
        <v/>
      </c>
      <c r="H749" s="9" t="str">
        <f t="shared" si="116"/>
        <v/>
      </c>
      <c r="I749" s="10" t="str">
        <f t="shared" si="117"/>
        <v/>
      </c>
      <c r="J749" s="10" t="str">
        <f t="shared" si="119"/>
        <v/>
      </c>
      <c r="K749" s="11" t="str">
        <f t="shared" si="118"/>
        <v/>
      </c>
      <c r="M749" t="str">
        <f>IFERROR(MATCH($C$5&amp;"|"&amp;RIGHT("000000"&amp;733,6),CalcRankKeyA,0),"")</f>
        <v/>
      </c>
      <c r="N749" t="str">
        <f>IFERROR(MATCH($C$5&amp;"|"&amp;RIGHT("000000"&amp;733,6),CalcRankKeyB,0),"")</f>
        <v/>
      </c>
    </row>
    <row r="750" spans="1:14" x14ac:dyDescent="0.2">
      <c r="A750" s="12">
        <v>734</v>
      </c>
      <c r="B750" s="13" t="str">
        <f t="shared" si="110"/>
        <v/>
      </c>
      <c r="C750" s="13" t="str">
        <f t="shared" si="111"/>
        <v/>
      </c>
      <c r="D750" s="13" t="str">
        <f t="shared" si="112"/>
        <v/>
      </c>
      <c r="E750" s="14" t="str">
        <f t="shared" si="113"/>
        <v/>
      </c>
      <c r="F750" s="14" t="str">
        <f t="shared" si="114"/>
        <v/>
      </c>
      <c r="G750" s="14" t="str">
        <f t="shared" si="115"/>
        <v/>
      </c>
      <c r="H750" s="14" t="str">
        <f t="shared" si="116"/>
        <v/>
      </c>
      <c r="I750" s="15" t="str">
        <f t="shared" si="117"/>
        <v/>
      </c>
      <c r="J750" s="15" t="str">
        <f t="shared" si="119"/>
        <v/>
      </c>
      <c r="K750" s="16" t="str">
        <f t="shared" si="118"/>
        <v/>
      </c>
      <c r="M750" t="str">
        <f>IFERROR(MATCH($C$5&amp;"|"&amp;RIGHT("000000"&amp;734,6),CalcRankKeyA,0),"")</f>
        <v/>
      </c>
      <c r="N750" t="str">
        <f>IFERROR(MATCH($C$5&amp;"|"&amp;RIGHT("000000"&amp;734,6),CalcRankKeyB,0),"")</f>
        <v/>
      </c>
    </row>
    <row r="751" spans="1:14" x14ac:dyDescent="0.2">
      <c r="A751" s="7">
        <v>735</v>
      </c>
      <c r="B751" s="8" t="str">
        <f t="shared" si="110"/>
        <v/>
      </c>
      <c r="C751" s="8" t="str">
        <f t="shared" si="111"/>
        <v/>
      </c>
      <c r="D751" s="8" t="str">
        <f t="shared" si="112"/>
        <v/>
      </c>
      <c r="E751" s="9" t="str">
        <f t="shared" si="113"/>
        <v/>
      </c>
      <c r="F751" s="9" t="str">
        <f t="shared" si="114"/>
        <v/>
      </c>
      <c r="G751" s="9" t="str">
        <f t="shared" si="115"/>
        <v/>
      </c>
      <c r="H751" s="9" t="str">
        <f t="shared" si="116"/>
        <v/>
      </c>
      <c r="I751" s="10" t="str">
        <f t="shared" si="117"/>
        <v/>
      </c>
      <c r="J751" s="10" t="str">
        <f t="shared" si="119"/>
        <v/>
      </c>
      <c r="K751" s="11" t="str">
        <f t="shared" si="118"/>
        <v/>
      </c>
      <c r="M751" t="str">
        <f>IFERROR(MATCH($C$5&amp;"|"&amp;RIGHT("000000"&amp;735,6),CalcRankKeyA,0),"")</f>
        <v/>
      </c>
      <c r="N751" t="str">
        <f>IFERROR(MATCH($C$5&amp;"|"&amp;RIGHT("000000"&amp;735,6),CalcRankKeyB,0),"")</f>
        <v/>
      </c>
    </row>
    <row r="752" spans="1:14" x14ac:dyDescent="0.2">
      <c r="A752" s="12">
        <v>736</v>
      </c>
      <c r="B752" s="13" t="str">
        <f t="shared" si="110"/>
        <v/>
      </c>
      <c r="C752" s="13" t="str">
        <f t="shared" si="111"/>
        <v/>
      </c>
      <c r="D752" s="13" t="str">
        <f t="shared" si="112"/>
        <v/>
      </c>
      <c r="E752" s="14" t="str">
        <f t="shared" si="113"/>
        <v/>
      </c>
      <c r="F752" s="14" t="str">
        <f t="shared" si="114"/>
        <v/>
      </c>
      <c r="G752" s="14" t="str">
        <f t="shared" si="115"/>
        <v/>
      </c>
      <c r="H752" s="14" t="str">
        <f t="shared" si="116"/>
        <v/>
      </c>
      <c r="I752" s="15" t="str">
        <f t="shared" si="117"/>
        <v/>
      </c>
      <c r="J752" s="15" t="str">
        <f t="shared" si="119"/>
        <v/>
      </c>
      <c r="K752" s="16" t="str">
        <f t="shared" si="118"/>
        <v/>
      </c>
      <c r="M752" t="str">
        <f>IFERROR(MATCH($C$5&amp;"|"&amp;RIGHT("000000"&amp;736,6),CalcRankKeyA,0),"")</f>
        <v/>
      </c>
      <c r="N752" t="str">
        <f>IFERROR(MATCH($C$5&amp;"|"&amp;RIGHT("000000"&amp;736,6),CalcRankKeyB,0),"")</f>
        <v/>
      </c>
    </row>
    <row r="753" spans="1:14" x14ac:dyDescent="0.2">
      <c r="A753" s="7">
        <v>737</v>
      </c>
      <c r="B753" s="8" t="str">
        <f t="shared" si="110"/>
        <v/>
      </c>
      <c r="C753" s="8" t="str">
        <f t="shared" si="111"/>
        <v/>
      </c>
      <c r="D753" s="8" t="str">
        <f t="shared" si="112"/>
        <v/>
      </c>
      <c r="E753" s="9" t="str">
        <f t="shared" si="113"/>
        <v/>
      </c>
      <c r="F753" s="9" t="str">
        <f t="shared" si="114"/>
        <v/>
      </c>
      <c r="G753" s="9" t="str">
        <f t="shared" si="115"/>
        <v/>
      </c>
      <c r="H753" s="9" t="str">
        <f t="shared" si="116"/>
        <v/>
      </c>
      <c r="I753" s="10" t="str">
        <f t="shared" si="117"/>
        <v/>
      </c>
      <c r="J753" s="10" t="str">
        <f t="shared" si="119"/>
        <v/>
      </c>
      <c r="K753" s="11" t="str">
        <f t="shared" si="118"/>
        <v/>
      </c>
      <c r="M753" t="str">
        <f>IFERROR(MATCH($C$5&amp;"|"&amp;RIGHT("000000"&amp;737,6),CalcRankKeyA,0),"")</f>
        <v/>
      </c>
      <c r="N753" t="str">
        <f>IFERROR(MATCH($C$5&amp;"|"&amp;RIGHT("000000"&amp;737,6),CalcRankKeyB,0),"")</f>
        <v/>
      </c>
    </row>
    <row r="754" spans="1:14" x14ac:dyDescent="0.2">
      <c r="A754" s="12">
        <v>738</v>
      </c>
      <c r="B754" s="13" t="str">
        <f t="shared" si="110"/>
        <v/>
      </c>
      <c r="C754" s="13" t="str">
        <f t="shared" si="111"/>
        <v/>
      </c>
      <c r="D754" s="13" t="str">
        <f t="shared" si="112"/>
        <v/>
      </c>
      <c r="E754" s="14" t="str">
        <f t="shared" si="113"/>
        <v/>
      </c>
      <c r="F754" s="14" t="str">
        <f t="shared" si="114"/>
        <v/>
      </c>
      <c r="G754" s="14" t="str">
        <f t="shared" si="115"/>
        <v/>
      </c>
      <c r="H754" s="14" t="str">
        <f t="shared" si="116"/>
        <v/>
      </c>
      <c r="I754" s="15" t="str">
        <f t="shared" si="117"/>
        <v/>
      </c>
      <c r="J754" s="15" t="str">
        <f t="shared" si="119"/>
        <v/>
      </c>
      <c r="K754" s="16" t="str">
        <f t="shared" si="118"/>
        <v/>
      </c>
      <c r="M754" t="str">
        <f>IFERROR(MATCH($C$5&amp;"|"&amp;RIGHT("000000"&amp;738,6),CalcRankKeyA,0),"")</f>
        <v/>
      </c>
      <c r="N754" t="str">
        <f>IFERROR(MATCH($C$5&amp;"|"&amp;RIGHT("000000"&amp;738,6),CalcRankKeyB,0),"")</f>
        <v/>
      </c>
    </row>
    <row r="755" spans="1:14" x14ac:dyDescent="0.2">
      <c r="A755" s="7">
        <v>739</v>
      </c>
      <c r="B755" s="8" t="str">
        <f t="shared" si="110"/>
        <v/>
      </c>
      <c r="C755" s="8" t="str">
        <f t="shared" si="111"/>
        <v/>
      </c>
      <c r="D755" s="8" t="str">
        <f t="shared" si="112"/>
        <v/>
      </c>
      <c r="E755" s="9" t="str">
        <f t="shared" si="113"/>
        <v/>
      </c>
      <c r="F755" s="9" t="str">
        <f t="shared" si="114"/>
        <v/>
      </c>
      <c r="G755" s="9" t="str">
        <f t="shared" si="115"/>
        <v/>
      </c>
      <c r="H755" s="9" t="str">
        <f t="shared" si="116"/>
        <v/>
      </c>
      <c r="I755" s="10" t="str">
        <f t="shared" si="117"/>
        <v/>
      </c>
      <c r="J755" s="10" t="str">
        <f t="shared" si="119"/>
        <v/>
      </c>
      <c r="K755" s="11" t="str">
        <f t="shared" si="118"/>
        <v/>
      </c>
      <c r="M755" t="str">
        <f>IFERROR(MATCH($C$5&amp;"|"&amp;RIGHT("000000"&amp;739,6),CalcRankKeyA,0),"")</f>
        <v/>
      </c>
      <c r="N755" t="str">
        <f>IFERROR(MATCH($C$5&amp;"|"&amp;RIGHT("000000"&amp;739,6),CalcRankKeyB,0),"")</f>
        <v/>
      </c>
    </row>
    <row r="756" spans="1:14" x14ac:dyDescent="0.2">
      <c r="A756" s="12">
        <v>740</v>
      </c>
      <c r="B756" s="13" t="str">
        <f t="shared" si="110"/>
        <v/>
      </c>
      <c r="C756" s="13" t="str">
        <f t="shared" si="111"/>
        <v/>
      </c>
      <c r="D756" s="13" t="str">
        <f t="shared" si="112"/>
        <v/>
      </c>
      <c r="E756" s="14" t="str">
        <f t="shared" si="113"/>
        <v/>
      </c>
      <c r="F756" s="14" t="str">
        <f t="shared" si="114"/>
        <v/>
      </c>
      <c r="G756" s="14" t="str">
        <f t="shared" si="115"/>
        <v/>
      </c>
      <c r="H756" s="14" t="str">
        <f t="shared" si="116"/>
        <v/>
      </c>
      <c r="I756" s="15" t="str">
        <f t="shared" si="117"/>
        <v/>
      </c>
      <c r="J756" s="15" t="str">
        <f t="shared" si="119"/>
        <v/>
      </c>
      <c r="K756" s="16" t="str">
        <f t="shared" si="118"/>
        <v/>
      </c>
      <c r="M756" t="str">
        <f>IFERROR(MATCH($C$5&amp;"|"&amp;RIGHT("000000"&amp;740,6),CalcRankKeyA,0),"")</f>
        <v/>
      </c>
      <c r="N756" t="str">
        <f>IFERROR(MATCH($C$5&amp;"|"&amp;RIGHT("000000"&amp;740,6),CalcRankKeyB,0),"")</f>
        <v/>
      </c>
    </row>
    <row r="757" spans="1:14" x14ac:dyDescent="0.2">
      <c r="A757" s="7">
        <v>741</v>
      </c>
      <c r="B757" s="8" t="str">
        <f t="shared" si="110"/>
        <v/>
      </c>
      <c r="C757" s="8" t="str">
        <f t="shared" si="111"/>
        <v/>
      </c>
      <c r="D757" s="8" t="str">
        <f t="shared" si="112"/>
        <v/>
      </c>
      <c r="E757" s="9" t="str">
        <f t="shared" si="113"/>
        <v/>
      </c>
      <c r="F757" s="9" t="str">
        <f t="shared" si="114"/>
        <v/>
      </c>
      <c r="G757" s="9" t="str">
        <f t="shared" si="115"/>
        <v/>
      </c>
      <c r="H757" s="9" t="str">
        <f t="shared" si="116"/>
        <v/>
      </c>
      <c r="I757" s="10" t="str">
        <f t="shared" si="117"/>
        <v/>
      </c>
      <c r="J757" s="10" t="str">
        <f t="shared" si="119"/>
        <v/>
      </c>
      <c r="K757" s="11" t="str">
        <f t="shared" si="118"/>
        <v/>
      </c>
      <c r="M757" t="str">
        <f>IFERROR(MATCH($C$5&amp;"|"&amp;RIGHT("000000"&amp;741,6),CalcRankKeyA,0),"")</f>
        <v/>
      </c>
      <c r="N757" t="str">
        <f>IFERROR(MATCH($C$5&amp;"|"&amp;RIGHT("000000"&amp;741,6),CalcRankKeyB,0),"")</f>
        <v/>
      </c>
    </row>
    <row r="758" spans="1:14" x14ac:dyDescent="0.2">
      <c r="A758" s="12">
        <v>742</v>
      </c>
      <c r="B758" s="13" t="str">
        <f t="shared" si="110"/>
        <v/>
      </c>
      <c r="C758" s="13" t="str">
        <f t="shared" si="111"/>
        <v/>
      </c>
      <c r="D758" s="13" t="str">
        <f t="shared" si="112"/>
        <v/>
      </c>
      <c r="E758" s="14" t="str">
        <f t="shared" si="113"/>
        <v/>
      </c>
      <c r="F758" s="14" t="str">
        <f t="shared" si="114"/>
        <v/>
      </c>
      <c r="G758" s="14" t="str">
        <f t="shared" si="115"/>
        <v/>
      </c>
      <c r="H758" s="14" t="str">
        <f t="shared" si="116"/>
        <v/>
      </c>
      <c r="I758" s="15" t="str">
        <f t="shared" si="117"/>
        <v/>
      </c>
      <c r="J758" s="15" t="str">
        <f t="shared" si="119"/>
        <v/>
      </c>
      <c r="K758" s="16" t="str">
        <f t="shared" si="118"/>
        <v/>
      </c>
      <c r="M758" t="str">
        <f>IFERROR(MATCH($C$5&amp;"|"&amp;RIGHT("000000"&amp;742,6),CalcRankKeyA,0),"")</f>
        <v/>
      </c>
      <c r="N758" t="str">
        <f>IFERROR(MATCH($C$5&amp;"|"&amp;RIGHT("000000"&amp;742,6),CalcRankKeyB,0),"")</f>
        <v/>
      </c>
    </row>
    <row r="759" spans="1:14" x14ac:dyDescent="0.2">
      <c r="A759" s="7">
        <v>743</v>
      </c>
      <c r="B759" s="8" t="str">
        <f t="shared" si="110"/>
        <v/>
      </c>
      <c r="C759" s="8" t="str">
        <f t="shared" si="111"/>
        <v/>
      </c>
      <c r="D759" s="8" t="str">
        <f t="shared" si="112"/>
        <v/>
      </c>
      <c r="E759" s="9" t="str">
        <f t="shared" si="113"/>
        <v/>
      </c>
      <c r="F759" s="9" t="str">
        <f t="shared" si="114"/>
        <v/>
      </c>
      <c r="G759" s="9" t="str">
        <f t="shared" si="115"/>
        <v/>
      </c>
      <c r="H759" s="9" t="str">
        <f t="shared" si="116"/>
        <v/>
      </c>
      <c r="I759" s="10" t="str">
        <f t="shared" si="117"/>
        <v/>
      </c>
      <c r="J759" s="10" t="str">
        <f t="shared" si="119"/>
        <v/>
      </c>
      <c r="K759" s="11" t="str">
        <f t="shared" si="118"/>
        <v/>
      </c>
      <c r="M759" t="str">
        <f>IFERROR(MATCH($C$5&amp;"|"&amp;RIGHT("000000"&amp;743,6),CalcRankKeyA,0),"")</f>
        <v/>
      </c>
      <c r="N759" t="str">
        <f>IFERROR(MATCH($C$5&amp;"|"&amp;RIGHT("000000"&amp;743,6),CalcRankKeyB,0),"")</f>
        <v/>
      </c>
    </row>
    <row r="760" spans="1:14" x14ac:dyDescent="0.2">
      <c r="A760" s="12">
        <v>744</v>
      </c>
      <c r="B760" s="13" t="str">
        <f t="shared" si="110"/>
        <v/>
      </c>
      <c r="C760" s="13" t="str">
        <f t="shared" si="111"/>
        <v/>
      </c>
      <c r="D760" s="13" t="str">
        <f t="shared" si="112"/>
        <v/>
      </c>
      <c r="E760" s="14" t="str">
        <f t="shared" si="113"/>
        <v/>
      </c>
      <c r="F760" s="14" t="str">
        <f t="shared" si="114"/>
        <v/>
      </c>
      <c r="G760" s="14" t="str">
        <f t="shared" si="115"/>
        <v/>
      </c>
      <c r="H760" s="14" t="str">
        <f t="shared" si="116"/>
        <v/>
      </c>
      <c r="I760" s="15" t="str">
        <f t="shared" si="117"/>
        <v/>
      </c>
      <c r="J760" s="15" t="str">
        <f t="shared" si="119"/>
        <v/>
      </c>
      <c r="K760" s="16" t="str">
        <f t="shared" si="118"/>
        <v/>
      </c>
      <c r="M760" t="str">
        <f>IFERROR(MATCH($C$5&amp;"|"&amp;RIGHT("000000"&amp;744,6),CalcRankKeyA,0),"")</f>
        <v/>
      </c>
      <c r="N760" t="str">
        <f>IFERROR(MATCH($C$5&amp;"|"&amp;RIGHT("000000"&amp;744,6),CalcRankKeyB,0),"")</f>
        <v/>
      </c>
    </row>
    <row r="761" spans="1:14" x14ac:dyDescent="0.2">
      <c r="A761" s="7">
        <v>745</v>
      </c>
      <c r="B761" s="8" t="str">
        <f t="shared" si="110"/>
        <v/>
      </c>
      <c r="C761" s="8" t="str">
        <f t="shared" si="111"/>
        <v/>
      </c>
      <c r="D761" s="8" t="str">
        <f t="shared" si="112"/>
        <v/>
      </c>
      <c r="E761" s="9" t="str">
        <f t="shared" si="113"/>
        <v/>
      </c>
      <c r="F761" s="9" t="str">
        <f t="shared" si="114"/>
        <v/>
      </c>
      <c r="G761" s="9" t="str">
        <f t="shared" si="115"/>
        <v/>
      </c>
      <c r="H761" s="9" t="str">
        <f t="shared" si="116"/>
        <v/>
      </c>
      <c r="I761" s="10" t="str">
        <f t="shared" si="117"/>
        <v/>
      </c>
      <c r="J761" s="10" t="str">
        <f t="shared" si="119"/>
        <v/>
      </c>
      <c r="K761" s="11" t="str">
        <f t="shared" si="118"/>
        <v/>
      </c>
      <c r="M761" t="str">
        <f>IFERROR(MATCH($C$5&amp;"|"&amp;RIGHT("000000"&amp;745,6),CalcRankKeyA,0),"")</f>
        <v/>
      </c>
      <c r="N761" t="str">
        <f>IFERROR(MATCH($C$5&amp;"|"&amp;RIGHT("000000"&amp;745,6),CalcRankKeyB,0),"")</f>
        <v/>
      </c>
    </row>
    <row r="762" spans="1:14" x14ac:dyDescent="0.2">
      <c r="A762" s="12">
        <v>746</v>
      </c>
      <c r="B762" s="13" t="str">
        <f t="shared" si="110"/>
        <v/>
      </c>
      <c r="C762" s="13" t="str">
        <f t="shared" si="111"/>
        <v/>
      </c>
      <c r="D762" s="13" t="str">
        <f t="shared" si="112"/>
        <v/>
      </c>
      <c r="E762" s="14" t="str">
        <f t="shared" si="113"/>
        <v/>
      </c>
      <c r="F762" s="14" t="str">
        <f t="shared" si="114"/>
        <v/>
      </c>
      <c r="G762" s="14" t="str">
        <f t="shared" si="115"/>
        <v/>
      </c>
      <c r="H762" s="14" t="str">
        <f t="shared" si="116"/>
        <v/>
      </c>
      <c r="I762" s="15" t="str">
        <f t="shared" si="117"/>
        <v/>
      </c>
      <c r="J762" s="15" t="str">
        <f t="shared" si="119"/>
        <v/>
      </c>
      <c r="K762" s="16" t="str">
        <f t="shared" si="118"/>
        <v/>
      </c>
      <c r="M762" t="str">
        <f>IFERROR(MATCH($C$5&amp;"|"&amp;RIGHT("000000"&amp;746,6),CalcRankKeyA,0),"")</f>
        <v/>
      </c>
      <c r="N762" t="str">
        <f>IFERROR(MATCH($C$5&amp;"|"&amp;RIGHT("000000"&amp;746,6),CalcRankKeyB,0),"")</f>
        <v/>
      </c>
    </row>
    <row r="763" spans="1:14" x14ac:dyDescent="0.2">
      <c r="A763" s="7">
        <v>747</v>
      </c>
      <c r="B763" s="8" t="str">
        <f t="shared" si="110"/>
        <v/>
      </c>
      <c r="C763" s="8" t="str">
        <f t="shared" si="111"/>
        <v/>
      </c>
      <c r="D763" s="8" t="str">
        <f t="shared" si="112"/>
        <v/>
      </c>
      <c r="E763" s="9" t="str">
        <f t="shared" si="113"/>
        <v/>
      </c>
      <c r="F763" s="9" t="str">
        <f t="shared" si="114"/>
        <v/>
      </c>
      <c r="G763" s="9" t="str">
        <f t="shared" si="115"/>
        <v/>
      </c>
      <c r="H763" s="9" t="str">
        <f t="shared" si="116"/>
        <v/>
      </c>
      <c r="I763" s="10" t="str">
        <f t="shared" si="117"/>
        <v/>
      </c>
      <c r="J763" s="10" t="str">
        <f t="shared" si="119"/>
        <v/>
      </c>
      <c r="K763" s="11" t="str">
        <f t="shared" si="118"/>
        <v/>
      </c>
      <c r="M763" t="str">
        <f>IFERROR(MATCH($C$5&amp;"|"&amp;RIGHT("000000"&amp;747,6),CalcRankKeyA,0),"")</f>
        <v/>
      </c>
      <c r="N763" t="str">
        <f>IFERROR(MATCH($C$5&amp;"|"&amp;RIGHT("000000"&amp;747,6),CalcRankKeyB,0),"")</f>
        <v/>
      </c>
    </row>
    <row r="764" spans="1:14" x14ac:dyDescent="0.2">
      <c r="A764" s="12">
        <v>748</v>
      </c>
      <c r="B764" s="13" t="str">
        <f t="shared" si="110"/>
        <v/>
      </c>
      <c r="C764" s="13" t="str">
        <f t="shared" si="111"/>
        <v/>
      </c>
      <c r="D764" s="13" t="str">
        <f t="shared" si="112"/>
        <v/>
      </c>
      <c r="E764" s="14" t="str">
        <f t="shared" si="113"/>
        <v/>
      </c>
      <c r="F764" s="14" t="str">
        <f t="shared" si="114"/>
        <v/>
      </c>
      <c r="G764" s="14" t="str">
        <f t="shared" si="115"/>
        <v/>
      </c>
      <c r="H764" s="14" t="str">
        <f t="shared" si="116"/>
        <v/>
      </c>
      <c r="I764" s="15" t="str">
        <f t="shared" si="117"/>
        <v/>
      </c>
      <c r="J764" s="15" t="str">
        <f t="shared" si="119"/>
        <v/>
      </c>
      <c r="K764" s="16" t="str">
        <f t="shared" si="118"/>
        <v/>
      </c>
      <c r="M764" t="str">
        <f>IFERROR(MATCH($C$5&amp;"|"&amp;RIGHT("000000"&amp;748,6),CalcRankKeyA,0),"")</f>
        <v/>
      </c>
      <c r="N764" t="str">
        <f>IFERROR(MATCH($C$5&amp;"|"&amp;RIGHT("000000"&amp;748,6),CalcRankKeyB,0),"")</f>
        <v/>
      </c>
    </row>
    <row r="765" spans="1:14" x14ac:dyDescent="0.2">
      <c r="A765" s="7">
        <v>749</v>
      </c>
      <c r="B765" s="8" t="str">
        <f t="shared" si="110"/>
        <v/>
      </c>
      <c r="C765" s="8" t="str">
        <f t="shared" si="111"/>
        <v/>
      </c>
      <c r="D765" s="8" t="str">
        <f t="shared" si="112"/>
        <v/>
      </c>
      <c r="E765" s="9" t="str">
        <f t="shared" si="113"/>
        <v/>
      </c>
      <c r="F765" s="9" t="str">
        <f t="shared" si="114"/>
        <v/>
      </c>
      <c r="G765" s="9" t="str">
        <f t="shared" si="115"/>
        <v/>
      </c>
      <c r="H765" s="9" t="str">
        <f t="shared" si="116"/>
        <v/>
      </c>
      <c r="I765" s="10" t="str">
        <f t="shared" si="117"/>
        <v/>
      </c>
      <c r="J765" s="10" t="str">
        <f t="shared" si="119"/>
        <v/>
      </c>
      <c r="K765" s="11" t="str">
        <f t="shared" si="118"/>
        <v/>
      </c>
      <c r="M765" t="str">
        <f>IFERROR(MATCH($C$5&amp;"|"&amp;RIGHT("000000"&amp;749,6),CalcRankKeyA,0),"")</f>
        <v/>
      </c>
      <c r="N765" t="str">
        <f>IFERROR(MATCH($C$5&amp;"|"&amp;RIGHT("000000"&amp;749,6),CalcRankKeyB,0),"")</f>
        <v/>
      </c>
    </row>
    <row r="766" spans="1:14" x14ac:dyDescent="0.2">
      <c r="A766" s="12">
        <v>750</v>
      </c>
      <c r="B766" s="13" t="str">
        <f t="shared" si="110"/>
        <v/>
      </c>
      <c r="C766" s="13" t="str">
        <f t="shared" si="111"/>
        <v/>
      </c>
      <c r="D766" s="13" t="str">
        <f t="shared" si="112"/>
        <v/>
      </c>
      <c r="E766" s="14" t="str">
        <f t="shared" si="113"/>
        <v/>
      </c>
      <c r="F766" s="14" t="str">
        <f t="shared" si="114"/>
        <v/>
      </c>
      <c r="G766" s="14" t="str">
        <f t="shared" si="115"/>
        <v/>
      </c>
      <c r="H766" s="14" t="str">
        <f t="shared" si="116"/>
        <v/>
      </c>
      <c r="I766" s="15" t="str">
        <f t="shared" si="117"/>
        <v/>
      </c>
      <c r="J766" s="15" t="str">
        <f t="shared" si="119"/>
        <v/>
      </c>
      <c r="K766" s="16" t="str">
        <f t="shared" si="118"/>
        <v/>
      </c>
      <c r="M766" t="str">
        <f>IFERROR(MATCH($C$5&amp;"|"&amp;RIGHT("000000"&amp;750,6),CalcRankKeyA,0),"")</f>
        <v/>
      </c>
      <c r="N766" t="str">
        <f>IFERROR(MATCH($C$5&amp;"|"&amp;RIGHT("000000"&amp;750,6),CalcRankKeyB,0),"")</f>
        <v/>
      </c>
    </row>
    <row r="767" spans="1:14" x14ac:dyDescent="0.2">
      <c r="A767" s="7">
        <v>751</v>
      </c>
      <c r="B767" s="8" t="str">
        <f t="shared" si="110"/>
        <v/>
      </c>
      <c r="C767" s="8" t="str">
        <f t="shared" si="111"/>
        <v/>
      </c>
      <c r="D767" s="8" t="str">
        <f t="shared" si="112"/>
        <v/>
      </c>
      <c r="E767" s="9" t="str">
        <f t="shared" si="113"/>
        <v/>
      </c>
      <c r="F767" s="9" t="str">
        <f t="shared" si="114"/>
        <v/>
      </c>
      <c r="G767" s="9" t="str">
        <f t="shared" si="115"/>
        <v/>
      </c>
      <c r="H767" s="9" t="str">
        <f t="shared" si="116"/>
        <v/>
      </c>
      <c r="I767" s="10" t="str">
        <f t="shared" si="117"/>
        <v/>
      </c>
      <c r="J767" s="10" t="str">
        <f t="shared" si="119"/>
        <v/>
      </c>
      <c r="K767" s="11" t="str">
        <f t="shared" si="118"/>
        <v/>
      </c>
      <c r="M767" t="str">
        <f>IFERROR(MATCH($C$5&amp;"|"&amp;RIGHT("000000"&amp;751,6),CalcRankKeyA,0),"")</f>
        <v/>
      </c>
      <c r="N767" t="str">
        <f>IFERROR(MATCH($C$5&amp;"|"&amp;RIGHT("000000"&amp;751,6),CalcRankKeyB,0),"")</f>
        <v/>
      </c>
    </row>
    <row r="768" spans="1:14" x14ac:dyDescent="0.2">
      <c r="A768" s="12">
        <v>752</v>
      </c>
      <c r="B768" s="13" t="str">
        <f t="shared" si="110"/>
        <v/>
      </c>
      <c r="C768" s="13" t="str">
        <f t="shared" si="111"/>
        <v/>
      </c>
      <c r="D768" s="13" t="str">
        <f t="shared" si="112"/>
        <v/>
      </c>
      <c r="E768" s="14" t="str">
        <f t="shared" si="113"/>
        <v/>
      </c>
      <c r="F768" s="14" t="str">
        <f t="shared" si="114"/>
        <v/>
      </c>
      <c r="G768" s="14" t="str">
        <f t="shared" si="115"/>
        <v/>
      </c>
      <c r="H768" s="14" t="str">
        <f t="shared" si="116"/>
        <v/>
      </c>
      <c r="I768" s="15" t="str">
        <f t="shared" si="117"/>
        <v/>
      </c>
      <c r="J768" s="15" t="str">
        <f t="shared" si="119"/>
        <v/>
      </c>
      <c r="K768" s="16" t="str">
        <f t="shared" si="118"/>
        <v/>
      </c>
      <c r="M768" t="str">
        <f>IFERROR(MATCH($C$5&amp;"|"&amp;RIGHT("000000"&amp;752,6),CalcRankKeyA,0),"")</f>
        <v/>
      </c>
      <c r="N768" t="str">
        <f>IFERROR(MATCH($C$5&amp;"|"&amp;RIGHT("000000"&amp;752,6),CalcRankKeyB,0),"")</f>
        <v/>
      </c>
    </row>
    <row r="769" spans="1:14" x14ac:dyDescent="0.2">
      <c r="A769" s="7">
        <v>753</v>
      </c>
      <c r="B769" s="8" t="str">
        <f t="shared" si="110"/>
        <v/>
      </c>
      <c r="C769" s="8" t="str">
        <f t="shared" si="111"/>
        <v/>
      </c>
      <c r="D769" s="8" t="str">
        <f t="shared" si="112"/>
        <v/>
      </c>
      <c r="E769" s="9" t="str">
        <f t="shared" si="113"/>
        <v/>
      </c>
      <c r="F769" s="9" t="str">
        <f t="shared" si="114"/>
        <v/>
      </c>
      <c r="G769" s="9" t="str">
        <f t="shared" si="115"/>
        <v/>
      </c>
      <c r="H769" s="9" t="str">
        <f t="shared" si="116"/>
        <v/>
      </c>
      <c r="I769" s="10" t="str">
        <f t="shared" si="117"/>
        <v/>
      </c>
      <c r="J769" s="10" t="str">
        <f t="shared" si="119"/>
        <v/>
      </c>
      <c r="K769" s="11" t="str">
        <f t="shared" si="118"/>
        <v/>
      </c>
      <c r="M769" t="str">
        <f>IFERROR(MATCH($C$5&amp;"|"&amp;RIGHT("000000"&amp;753,6),CalcRankKeyA,0),"")</f>
        <v/>
      </c>
      <c r="N769" t="str">
        <f>IFERROR(MATCH($C$5&amp;"|"&amp;RIGHT("000000"&amp;753,6),CalcRankKeyB,0),"")</f>
        <v/>
      </c>
    </row>
    <row r="770" spans="1:14" x14ac:dyDescent="0.2">
      <c r="A770" s="12">
        <v>754</v>
      </c>
      <c r="B770" s="13" t="str">
        <f t="shared" si="110"/>
        <v/>
      </c>
      <c r="C770" s="13" t="str">
        <f t="shared" si="111"/>
        <v/>
      </c>
      <c r="D770" s="13" t="str">
        <f t="shared" si="112"/>
        <v/>
      </c>
      <c r="E770" s="14" t="str">
        <f t="shared" si="113"/>
        <v/>
      </c>
      <c r="F770" s="14" t="str">
        <f t="shared" si="114"/>
        <v/>
      </c>
      <c r="G770" s="14" t="str">
        <f t="shared" si="115"/>
        <v/>
      </c>
      <c r="H770" s="14" t="str">
        <f t="shared" si="116"/>
        <v/>
      </c>
      <c r="I770" s="15" t="str">
        <f t="shared" si="117"/>
        <v/>
      </c>
      <c r="J770" s="15" t="str">
        <f t="shared" si="119"/>
        <v/>
      </c>
      <c r="K770" s="16" t="str">
        <f t="shared" si="118"/>
        <v/>
      </c>
      <c r="M770" t="str">
        <f>IFERROR(MATCH($C$5&amp;"|"&amp;RIGHT("000000"&amp;754,6),CalcRankKeyA,0),"")</f>
        <v/>
      </c>
      <c r="N770" t="str">
        <f>IFERROR(MATCH($C$5&amp;"|"&amp;RIGHT("000000"&amp;754,6),CalcRankKeyB,0),"")</f>
        <v/>
      </c>
    </row>
    <row r="771" spans="1:14" x14ac:dyDescent="0.2">
      <c r="A771" s="7">
        <v>755</v>
      </c>
      <c r="B771" s="8" t="str">
        <f t="shared" si="110"/>
        <v/>
      </c>
      <c r="C771" s="8" t="str">
        <f t="shared" si="111"/>
        <v/>
      </c>
      <c r="D771" s="8" t="str">
        <f t="shared" si="112"/>
        <v/>
      </c>
      <c r="E771" s="9" t="str">
        <f t="shared" si="113"/>
        <v/>
      </c>
      <c r="F771" s="9" t="str">
        <f t="shared" si="114"/>
        <v/>
      </c>
      <c r="G771" s="9" t="str">
        <f t="shared" si="115"/>
        <v/>
      </c>
      <c r="H771" s="9" t="str">
        <f t="shared" si="116"/>
        <v/>
      </c>
      <c r="I771" s="10" t="str">
        <f t="shared" si="117"/>
        <v/>
      </c>
      <c r="J771" s="10" t="str">
        <f t="shared" si="119"/>
        <v/>
      </c>
      <c r="K771" s="11" t="str">
        <f t="shared" si="118"/>
        <v/>
      </c>
      <c r="M771" t="str">
        <f>IFERROR(MATCH($C$5&amp;"|"&amp;RIGHT("000000"&amp;755,6),CalcRankKeyA,0),"")</f>
        <v/>
      </c>
      <c r="N771" t="str">
        <f>IFERROR(MATCH($C$5&amp;"|"&amp;RIGHT("000000"&amp;755,6),CalcRankKeyB,0),"")</f>
        <v/>
      </c>
    </row>
    <row r="772" spans="1:14" x14ac:dyDescent="0.2">
      <c r="A772" s="12">
        <v>756</v>
      </c>
      <c r="B772" s="13" t="str">
        <f t="shared" si="110"/>
        <v/>
      </c>
      <c r="C772" s="13" t="str">
        <f t="shared" si="111"/>
        <v/>
      </c>
      <c r="D772" s="13" t="str">
        <f t="shared" si="112"/>
        <v/>
      </c>
      <c r="E772" s="14" t="str">
        <f t="shared" si="113"/>
        <v/>
      </c>
      <c r="F772" s="14" t="str">
        <f t="shared" si="114"/>
        <v/>
      </c>
      <c r="G772" s="14" t="str">
        <f t="shared" si="115"/>
        <v/>
      </c>
      <c r="H772" s="14" t="str">
        <f t="shared" si="116"/>
        <v/>
      </c>
      <c r="I772" s="15" t="str">
        <f t="shared" si="117"/>
        <v/>
      </c>
      <c r="J772" s="15" t="str">
        <f t="shared" si="119"/>
        <v/>
      </c>
      <c r="K772" s="16" t="str">
        <f t="shared" si="118"/>
        <v/>
      </c>
      <c r="M772" t="str">
        <f>IFERROR(MATCH($C$5&amp;"|"&amp;RIGHT("000000"&amp;756,6),CalcRankKeyA,0),"")</f>
        <v/>
      </c>
      <c r="N772" t="str">
        <f>IFERROR(MATCH($C$5&amp;"|"&amp;RIGHT("000000"&amp;756,6),CalcRankKeyB,0),"")</f>
        <v/>
      </c>
    </row>
    <row r="773" spans="1:14" x14ac:dyDescent="0.2">
      <c r="A773" s="7">
        <v>757</v>
      </c>
      <c r="B773" s="8" t="str">
        <f t="shared" si="110"/>
        <v/>
      </c>
      <c r="C773" s="8" t="str">
        <f t="shared" si="111"/>
        <v/>
      </c>
      <c r="D773" s="8" t="str">
        <f t="shared" si="112"/>
        <v/>
      </c>
      <c r="E773" s="9" t="str">
        <f t="shared" si="113"/>
        <v/>
      </c>
      <c r="F773" s="9" t="str">
        <f t="shared" si="114"/>
        <v/>
      </c>
      <c r="G773" s="9" t="str">
        <f t="shared" si="115"/>
        <v/>
      </c>
      <c r="H773" s="9" t="str">
        <f t="shared" si="116"/>
        <v/>
      </c>
      <c r="I773" s="10" t="str">
        <f t="shared" si="117"/>
        <v/>
      </c>
      <c r="J773" s="10" t="str">
        <f t="shared" si="119"/>
        <v/>
      </c>
      <c r="K773" s="11" t="str">
        <f t="shared" si="118"/>
        <v/>
      </c>
      <c r="M773" t="str">
        <f>IFERROR(MATCH($C$5&amp;"|"&amp;RIGHT("000000"&amp;757,6),CalcRankKeyA,0),"")</f>
        <v/>
      </c>
      <c r="N773" t="str">
        <f>IFERROR(MATCH($C$5&amp;"|"&amp;RIGHT("000000"&amp;757,6),CalcRankKeyB,0),"")</f>
        <v/>
      </c>
    </row>
    <row r="774" spans="1:14" x14ac:dyDescent="0.2">
      <c r="A774" s="12">
        <v>758</v>
      </c>
      <c r="B774" s="13" t="str">
        <f t="shared" si="110"/>
        <v/>
      </c>
      <c r="C774" s="13" t="str">
        <f t="shared" si="111"/>
        <v/>
      </c>
      <c r="D774" s="13" t="str">
        <f t="shared" si="112"/>
        <v/>
      </c>
      <c r="E774" s="14" t="str">
        <f t="shared" si="113"/>
        <v/>
      </c>
      <c r="F774" s="14" t="str">
        <f t="shared" si="114"/>
        <v/>
      </c>
      <c r="G774" s="14" t="str">
        <f t="shared" si="115"/>
        <v/>
      </c>
      <c r="H774" s="14" t="str">
        <f t="shared" si="116"/>
        <v/>
      </c>
      <c r="I774" s="15" t="str">
        <f t="shared" si="117"/>
        <v/>
      </c>
      <c r="J774" s="15" t="str">
        <f t="shared" si="119"/>
        <v/>
      </c>
      <c r="K774" s="16" t="str">
        <f t="shared" si="118"/>
        <v/>
      </c>
      <c r="M774" t="str">
        <f>IFERROR(MATCH($C$5&amp;"|"&amp;RIGHT("000000"&amp;758,6),CalcRankKeyA,0),"")</f>
        <v/>
      </c>
      <c r="N774" t="str">
        <f>IFERROR(MATCH($C$5&amp;"|"&amp;RIGHT("000000"&amp;758,6),CalcRankKeyB,0),"")</f>
        <v/>
      </c>
    </row>
    <row r="775" spans="1:14" x14ac:dyDescent="0.2">
      <c r="A775" s="7">
        <v>759</v>
      </c>
      <c r="B775" s="8" t="str">
        <f t="shared" si="110"/>
        <v/>
      </c>
      <c r="C775" s="8" t="str">
        <f t="shared" si="111"/>
        <v/>
      </c>
      <c r="D775" s="8" t="str">
        <f t="shared" si="112"/>
        <v/>
      </c>
      <c r="E775" s="9" t="str">
        <f t="shared" si="113"/>
        <v/>
      </c>
      <c r="F775" s="9" t="str">
        <f t="shared" si="114"/>
        <v/>
      </c>
      <c r="G775" s="9" t="str">
        <f t="shared" si="115"/>
        <v/>
      </c>
      <c r="H775" s="9" t="str">
        <f t="shared" si="116"/>
        <v/>
      </c>
      <c r="I775" s="10" t="str">
        <f t="shared" si="117"/>
        <v/>
      </c>
      <c r="J775" s="10" t="str">
        <f t="shared" si="119"/>
        <v/>
      </c>
      <c r="K775" s="11" t="str">
        <f t="shared" si="118"/>
        <v/>
      </c>
      <c r="M775" t="str">
        <f>IFERROR(MATCH($C$5&amp;"|"&amp;RIGHT("000000"&amp;759,6),CalcRankKeyA,0),"")</f>
        <v/>
      </c>
      <c r="N775" t="str">
        <f>IFERROR(MATCH($C$5&amp;"|"&amp;RIGHT("000000"&amp;759,6),CalcRankKeyB,0),"")</f>
        <v/>
      </c>
    </row>
    <row r="776" spans="1:14" x14ac:dyDescent="0.2">
      <c r="A776" s="12">
        <v>760</v>
      </c>
      <c r="B776" s="13" t="str">
        <f t="shared" si="110"/>
        <v/>
      </c>
      <c r="C776" s="13" t="str">
        <f t="shared" si="111"/>
        <v/>
      </c>
      <c r="D776" s="13" t="str">
        <f t="shared" si="112"/>
        <v/>
      </c>
      <c r="E776" s="14" t="str">
        <f t="shared" si="113"/>
        <v/>
      </c>
      <c r="F776" s="14" t="str">
        <f t="shared" si="114"/>
        <v/>
      </c>
      <c r="G776" s="14" t="str">
        <f t="shared" si="115"/>
        <v/>
      </c>
      <c r="H776" s="14" t="str">
        <f t="shared" si="116"/>
        <v/>
      </c>
      <c r="I776" s="15" t="str">
        <f t="shared" si="117"/>
        <v/>
      </c>
      <c r="J776" s="15" t="str">
        <f t="shared" si="119"/>
        <v/>
      </c>
      <c r="K776" s="16" t="str">
        <f t="shared" si="118"/>
        <v/>
      </c>
      <c r="M776" t="str">
        <f>IFERROR(MATCH($C$5&amp;"|"&amp;RIGHT("000000"&amp;760,6),CalcRankKeyA,0),"")</f>
        <v/>
      </c>
      <c r="N776" t="str">
        <f>IFERROR(MATCH($C$5&amp;"|"&amp;RIGHT("000000"&amp;760,6),CalcRankKeyB,0),"")</f>
        <v/>
      </c>
    </row>
    <row r="777" spans="1:14" x14ac:dyDescent="0.2">
      <c r="A777" s="7">
        <v>761</v>
      </c>
      <c r="B777" s="8" t="str">
        <f t="shared" si="110"/>
        <v/>
      </c>
      <c r="C777" s="8" t="str">
        <f t="shared" si="111"/>
        <v/>
      </c>
      <c r="D777" s="8" t="str">
        <f t="shared" si="112"/>
        <v/>
      </c>
      <c r="E777" s="9" t="str">
        <f t="shared" si="113"/>
        <v/>
      </c>
      <c r="F777" s="9" t="str">
        <f t="shared" si="114"/>
        <v/>
      </c>
      <c r="G777" s="9" t="str">
        <f t="shared" si="115"/>
        <v/>
      </c>
      <c r="H777" s="9" t="str">
        <f t="shared" si="116"/>
        <v/>
      </c>
      <c r="I777" s="10" t="str">
        <f t="shared" si="117"/>
        <v/>
      </c>
      <c r="J777" s="10" t="str">
        <f t="shared" si="119"/>
        <v/>
      </c>
      <c r="K777" s="11" t="str">
        <f t="shared" si="118"/>
        <v/>
      </c>
      <c r="M777" t="str">
        <f>IFERROR(MATCH($C$5&amp;"|"&amp;RIGHT("000000"&amp;761,6),CalcRankKeyA,0),"")</f>
        <v/>
      </c>
      <c r="N777" t="str">
        <f>IFERROR(MATCH($C$5&amp;"|"&amp;RIGHT("000000"&amp;761,6),CalcRankKeyB,0),"")</f>
        <v/>
      </c>
    </row>
    <row r="778" spans="1:14" x14ac:dyDescent="0.2">
      <c r="A778" s="12">
        <v>762</v>
      </c>
      <c r="B778" s="13" t="str">
        <f t="shared" si="110"/>
        <v/>
      </c>
      <c r="C778" s="13" t="str">
        <f t="shared" si="111"/>
        <v/>
      </c>
      <c r="D778" s="13" t="str">
        <f t="shared" si="112"/>
        <v/>
      </c>
      <c r="E778" s="14" t="str">
        <f t="shared" si="113"/>
        <v/>
      </c>
      <c r="F778" s="14" t="str">
        <f t="shared" si="114"/>
        <v/>
      </c>
      <c r="G778" s="14" t="str">
        <f t="shared" si="115"/>
        <v/>
      </c>
      <c r="H778" s="14" t="str">
        <f t="shared" si="116"/>
        <v/>
      </c>
      <c r="I778" s="15" t="str">
        <f t="shared" si="117"/>
        <v/>
      </c>
      <c r="J778" s="15" t="str">
        <f t="shared" si="119"/>
        <v/>
      </c>
      <c r="K778" s="16" t="str">
        <f t="shared" si="118"/>
        <v/>
      </c>
      <c r="M778" t="str">
        <f>IFERROR(MATCH($C$5&amp;"|"&amp;RIGHT("000000"&amp;762,6),CalcRankKeyA,0),"")</f>
        <v/>
      </c>
      <c r="N778" t="str">
        <f>IFERROR(MATCH($C$5&amp;"|"&amp;RIGHT("000000"&amp;762,6),CalcRankKeyB,0),"")</f>
        <v/>
      </c>
    </row>
    <row r="779" spans="1:14" x14ac:dyDescent="0.2">
      <c r="A779" s="7">
        <v>763</v>
      </c>
      <c r="B779" s="8" t="str">
        <f t="shared" si="110"/>
        <v/>
      </c>
      <c r="C779" s="8" t="str">
        <f t="shared" si="111"/>
        <v/>
      </c>
      <c r="D779" s="8" t="str">
        <f t="shared" si="112"/>
        <v/>
      </c>
      <c r="E779" s="9" t="str">
        <f t="shared" si="113"/>
        <v/>
      </c>
      <c r="F779" s="9" t="str">
        <f t="shared" si="114"/>
        <v/>
      </c>
      <c r="G779" s="9" t="str">
        <f t="shared" si="115"/>
        <v/>
      </c>
      <c r="H779" s="9" t="str">
        <f t="shared" si="116"/>
        <v/>
      </c>
      <c r="I779" s="10" t="str">
        <f t="shared" si="117"/>
        <v/>
      </c>
      <c r="J779" s="10" t="str">
        <f t="shared" si="119"/>
        <v/>
      </c>
      <c r="K779" s="11" t="str">
        <f t="shared" si="118"/>
        <v/>
      </c>
      <c r="M779" t="str">
        <f>IFERROR(MATCH($C$5&amp;"|"&amp;RIGHT("000000"&amp;763,6),CalcRankKeyA,0),"")</f>
        <v/>
      </c>
      <c r="N779" t="str">
        <f>IFERROR(MATCH($C$5&amp;"|"&amp;RIGHT("000000"&amp;763,6),CalcRankKeyB,0),"")</f>
        <v/>
      </c>
    </row>
    <row r="780" spans="1:14" x14ac:dyDescent="0.2">
      <c r="A780" s="12">
        <v>764</v>
      </c>
      <c r="B780" s="13" t="str">
        <f t="shared" si="110"/>
        <v/>
      </c>
      <c r="C780" s="13" t="str">
        <f t="shared" si="111"/>
        <v/>
      </c>
      <c r="D780" s="13" t="str">
        <f t="shared" si="112"/>
        <v/>
      </c>
      <c r="E780" s="14" t="str">
        <f t="shared" si="113"/>
        <v/>
      </c>
      <c r="F780" s="14" t="str">
        <f t="shared" si="114"/>
        <v/>
      </c>
      <c r="G780" s="14" t="str">
        <f t="shared" si="115"/>
        <v/>
      </c>
      <c r="H780" s="14" t="str">
        <f t="shared" si="116"/>
        <v/>
      </c>
      <c r="I780" s="15" t="str">
        <f t="shared" si="117"/>
        <v/>
      </c>
      <c r="J780" s="15" t="str">
        <f t="shared" si="119"/>
        <v/>
      </c>
      <c r="K780" s="16" t="str">
        <f t="shared" si="118"/>
        <v/>
      </c>
      <c r="M780" t="str">
        <f>IFERROR(MATCH($C$5&amp;"|"&amp;RIGHT("000000"&amp;764,6),CalcRankKeyA,0),"")</f>
        <v/>
      </c>
      <c r="N780" t="str">
        <f>IFERROR(MATCH($C$5&amp;"|"&amp;RIGHT("000000"&amp;764,6),CalcRankKeyB,0),"")</f>
        <v/>
      </c>
    </row>
    <row r="781" spans="1:14" x14ac:dyDescent="0.2">
      <c r="A781" s="7">
        <v>765</v>
      </c>
      <c r="B781" s="8" t="str">
        <f t="shared" si="110"/>
        <v/>
      </c>
      <c r="C781" s="8" t="str">
        <f t="shared" si="111"/>
        <v/>
      </c>
      <c r="D781" s="8" t="str">
        <f t="shared" si="112"/>
        <v/>
      </c>
      <c r="E781" s="9" t="str">
        <f t="shared" si="113"/>
        <v/>
      </c>
      <c r="F781" s="9" t="str">
        <f t="shared" si="114"/>
        <v/>
      </c>
      <c r="G781" s="9" t="str">
        <f t="shared" si="115"/>
        <v/>
      </c>
      <c r="H781" s="9" t="str">
        <f t="shared" si="116"/>
        <v/>
      </c>
      <c r="I781" s="10" t="str">
        <f t="shared" si="117"/>
        <v/>
      </c>
      <c r="J781" s="10" t="str">
        <f t="shared" si="119"/>
        <v/>
      </c>
      <c r="K781" s="11" t="str">
        <f t="shared" si="118"/>
        <v/>
      </c>
      <c r="M781" t="str">
        <f>IFERROR(MATCH($C$5&amp;"|"&amp;RIGHT("000000"&amp;765,6),CalcRankKeyA,0),"")</f>
        <v/>
      </c>
      <c r="N781" t="str">
        <f>IFERROR(MATCH($C$5&amp;"|"&amp;RIGHT("000000"&amp;765,6),CalcRankKeyB,0),"")</f>
        <v/>
      </c>
    </row>
    <row r="782" spans="1:14" x14ac:dyDescent="0.2">
      <c r="A782" s="12">
        <v>766</v>
      </c>
      <c r="B782" s="13" t="str">
        <f t="shared" si="110"/>
        <v/>
      </c>
      <c r="C782" s="13" t="str">
        <f t="shared" si="111"/>
        <v/>
      </c>
      <c r="D782" s="13" t="str">
        <f t="shared" si="112"/>
        <v/>
      </c>
      <c r="E782" s="14" t="str">
        <f t="shared" si="113"/>
        <v/>
      </c>
      <c r="F782" s="14" t="str">
        <f t="shared" si="114"/>
        <v/>
      </c>
      <c r="G782" s="14" t="str">
        <f t="shared" si="115"/>
        <v/>
      </c>
      <c r="H782" s="14" t="str">
        <f t="shared" si="116"/>
        <v/>
      </c>
      <c r="I782" s="15" t="str">
        <f t="shared" si="117"/>
        <v/>
      </c>
      <c r="J782" s="15" t="str">
        <f t="shared" si="119"/>
        <v/>
      </c>
      <c r="K782" s="16" t="str">
        <f t="shared" si="118"/>
        <v/>
      </c>
      <c r="M782" t="str">
        <f>IFERROR(MATCH($C$5&amp;"|"&amp;RIGHT("000000"&amp;766,6),CalcRankKeyA,0),"")</f>
        <v/>
      </c>
      <c r="N782" t="str">
        <f>IFERROR(MATCH($C$5&amp;"|"&amp;RIGHT("000000"&amp;766,6),CalcRankKeyB,0),"")</f>
        <v/>
      </c>
    </row>
    <row r="783" spans="1:14" x14ac:dyDescent="0.2">
      <c r="A783" s="7">
        <v>767</v>
      </c>
      <c r="B783" s="8" t="str">
        <f t="shared" si="110"/>
        <v/>
      </c>
      <c r="C783" s="8" t="str">
        <f t="shared" si="111"/>
        <v/>
      </c>
      <c r="D783" s="8" t="str">
        <f t="shared" si="112"/>
        <v/>
      </c>
      <c r="E783" s="9" t="str">
        <f t="shared" si="113"/>
        <v/>
      </c>
      <c r="F783" s="9" t="str">
        <f t="shared" si="114"/>
        <v/>
      </c>
      <c r="G783" s="9" t="str">
        <f t="shared" si="115"/>
        <v/>
      </c>
      <c r="H783" s="9" t="str">
        <f t="shared" si="116"/>
        <v/>
      </c>
      <c r="I783" s="10" t="str">
        <f t="shared" si="117"/>
        <v/>
      </c>
      <c r="J783" s="10" t="str">
        <f t="shared" si="119"/>
        <v/>
      </c>
      <c r="K783" s="11" t="str">
        <f t="shared" si="118"/>
        <v/>
      </c>
      <c r="M783" t="str">
        <f>IFERROR(MATCH($C$5&amp;"|"&amp;RIGHT("000000"&amp;767,6),CalcRankKeyA,0),"")</f>
        <v/>
      </c>
      <c r="N783" t="str">
        <f>IFERROR(MATCH($C$5&amp;"|"&amp;RIGHT("000000"&amp;767,6),CalcRankKeyB,0),"")</f>
        <v/>
      </c>
    </row>
    <row r="784" spans="1:14" x14ac:dyDescent="0.2">
      <c r="A784" s="12">
        <v>768</v>
      </c>
      <c r="B784" s="13" t="str">
        <f t="shared" si="110"/>
        <v/>
      </c>
      <c r="C784" s="13" t="str">
        <f t="shared" si="111"/>
        <v/>
      </c>
      <c r="D784" s="13" t="str">
        <f t="shared" si="112"/>
        <v/>
      </c>
      <c r="E784" s="14" t="str">
        <f t="shared" si="113"/>
        <v/>
      </c>
      <c r="F784" s="14" t="str">
        <f t="shared" si="114"/>
        <v/>
      </c>
      <c r="G784" s="14" t="str">
        <f t="shared" si="115"/>
        <v/>
      </c>
      <c r="H784" s="14" t="str">
        <f t="shared" si="116"/>
        <v/>
      </c>
      <c r="I784" s="15" t="str">
        <f t="shared" si="117"/>
        <v/>
      </c>
      <c r="J784" s="15" t="str">
        <f t="shared" si="119"/>
        <v/>
      </c>
      <c r="K784" s="16" t="str">
        <f t="shared" si="118"/>
        <v/>
      </c>
      <c r="M784" t="str">
        <f>IFERROR(MATCH($C$5&amp;"|"&amp;RIGHT("000000"&amp;768,6),CalcRankKeyA,0),"")</f>
        <v/>
      </c>
      <c r="N784" t="str">
        <f>IFERROR(MATCH($C$5&amp;"|"&amp;RIGHT("000000"&amp;768,6),CalcRankKeyB,0),"")</f>
        <v/>
      </c>
    </row>
    <row r="785" spans="1:14" x14ac:dyDescent="0.2">
      <c r="A785" s="7">
        <v>769</v>
      </c>
      <c r="B785" s="8" t="str">
        <f t="shared" ref="B785:B848" si="120">IF(AND($M785="",$N785=""),"",IF($M785&lt;&gt;"",INDEX(CalcDateA,$M785),INDEX(CalcDateB,$N785)))</f>
        <v/>
      </c>
      <c r="C785" s="8" t="str">
        <f t="shared" ref="C785:C848" si="121">IF($M785&lt;&gt;"","خرید سبد",IF($N785&lt;&gt;"",IF(N(INDEX(CalcDepB,$N785))&gt;0,"دریافت بانکی","پرداخت بانکی"),""))</f>
        <v/>
      </c>
      <c r="D785" s="8" t="str">
        <f t="shared" ref="D785:D848" si="122">IF($M785&lt;&gt;"",IF(INDEX(CalcDocA,$M785)="","—",INDEX(CalcDocA,$M785)),IF($N785&lt;&gt;"",INDEX(CalcBankB,$N785),""))</f>
        <v/>
      </c>
      <c r="E785" s="9" t="str">
        <f t="shared" ref="E785:E848" si="123">IF($N785&lt;&gt;"",IF(INDEX(CalcDepB,$N785)=0,"",INDEX(CalcDepB,$N785)),"")</f>
        <v/>
      </c>
      <c r="F785" s="9" t="str">
        <f t="shared" ref="F785:F848" si="124">IF($M785&lt;&gt;"",IF(INDEX(CalcQtyA,$M785)=0,"",INDEX(CalcQtyA,$M785)),"")</f>
        <v/>
      </c>
      <c r="G785" s="9" t="str">
        <f t="shared" ref="G785:G848" si="125">IF($M785&lt;&gt;"",IF(INDEX(CalcPriceA,$M785)=0,"",INDEX(CalcPriceA,$M785)),"")</f>
        <v/>
      </c>
      <c r="H785" s="9" t="str">
        <f t="shared" ref="H785:H848" si="126">IF($N785&lt;&gt;"",IF(INDEX(CalcWitB,$N785)=0,"",INDEX(CalcWitB,$N785)),"")</f>
        <v/>
      </c>
      <c r="I785" s="10" t="str">
        <f t="shared" ref="I785:I848" si="127">IF($M785&lt;&gt;"",INDEX(CalcAmtA,$M785),"")</f>
        <v/>
      </c>
      <c r="J785" s="10" t="str">
        <f t="shared" si="119"/>
        <v/>
      </c>
      <c r="K785" s="11" t="str">
        <f t="shared" ref="K785:K848" si="128">IF($M785&lt;&gt;"",IF(INDEX(CalcNoteA,$M785)="","—",INDEX(CalcNoteA,$M785)),IF($N785&lt;&gt;"",IF(INDEX(CalcNoteB,$N785)="","—",INDEX(CalcNoteB,$N785)),""))</f>
        <v/>
      </c>
      <c r="M785" t="str">
        <f>IFERROR(MATCH($C$5&amp;"|"&amp;RIGHT("000000"&amp;769,6),CalcRankKeyA,0),"")</f>
        <v/>
      </c>
      <c r="N785" t="str">
        <f>IFERROR(MATCH($C$5&amp;"|"&amp;RIGHT("000000"&amp;769,6),CalcRankKeyB,0),"")</f>
        <v/>
      </c>
    </row>
    <row r="786" spans="1:14" x14ac:dyDescent="0.2">
      <c r="A786" s="12">
        <v>770</v>
      </c>
      <c r="B786" s="13" t="str">
        <f t="shared" si="120"/>
        <v/>
      </c>
      <c r="C786" s="13" t="str">
        <f t="shared" si="121"/>
        <v/>
      </c>
      <c r="D786" s="13" t="str">
        <f t="shared" si="122"/>
        <v/>
      </c>
      <c r="E786" s="14" t="str">
        <f t="shared" si="123"/>
        <v/>
      </c>
      <c r="F786" s="14" t="str">
        <f t="shared" si="124"/>
        <v/>
      </c>
      <c r="G786" s="14" t="str">
        <f t="shared" si="125"/>
        <v/>
      </c>
      <c r="H786" s="14" t="str">
        <f t="shared" si="126"/>
        <v/>
      </c>
      <c r="I786" s="15" t="str">
        <f t="shared" si="127"/>
        <v/>
      </c>
      <c r="J786" s="15" t="str">
        <f t="shared" ref="J786:J849" si="129">IF($B786="","",IF($J785="",$C$8,$J785)+IF($I786="",0,$I786)+IF($E786="",0,$E786)-IF($H786="",0,$H786))</f>
        <v/>
      </c>
      <c r="K786" s="16" t="str">
        <f t="shared" si="128"/>
        <v/>
      </c>
      <c r="M786" t="str">
        <f>IFERROR(MATCH($C$5&amp;"|"&amp;RIGHT("000000"&amp;770,6),CalcRankKeyA,0),"")</f>
        <v/>
      </c>
      <c r="N786" t="str">
        <f>IFERROR(MATCH($C$5&amp;"|"&amp;RIGHT("000000"&amp;770,6),CalcRankKeyB,0),"")</f>
        <v/>
      </c>
    </row>
    <row r="787" spans="1:14" x14ac:dyDescent="0.2">
      <c r="A787" s="7">
        <v>771</v>
      </c>
      <c r="B787" s="8" t="str">
        <f t="shared" si="120"/>
        <v/>
      </c>
      <c r="C787" s="8" t="str">
        <f t="shared" si="121"/>
        <v/>
      </c>
      <c r="D787" s="8" t="str">
        <f t="shared" si="122"/>
        <v/>
      </c>
      <c r="E787" s="9" t="str">
        <f t="shared" si="123"/>
        <v/>
      </c>
      <c r="F787" s="9" t="str">
        <f t="shared" si="124"/>
        <v/>
      </c>
      <c r="G787" s="9" t="str">
        <f t="shared" si="125"/>
        <v/>
      </c>
      <c r="H787" s="9" t="str">
        <f t="shared" si="126"/>
        <v/>
      </c>
      <c r="I787" s="10" t="str">
        <f t="shared" si="127"/>
        <v/>
      </c>
      <c r="J787" s="10" t="str">
        <f t="shared" si="129"/>
        <v/>
      </c>
      <c r="K787" s="11" t="str">
        <f t="shared" si="128"/>
        <v/>
      </c>
      <c r="M787" t="str">
        <f>IFERROR(MATCH($C$5&amp;"|"&amp;RIGHT("000000"&amp;771,6),CalcRankKeyA,0),"")</f>
        <v/>
      </c>
      <c r="N787" t="str">
        <f>IFERROR(MATCH($C$5&amp;"|"&amp;RIGHT("000000"&amp;771,6),CalcRankKeyB,0),"")</f>
        <v/>
      </c>
    </row>
    <row r="788" spans="1:14" x14ac:dyDescent="0.2">
      <c r="A788" s="12">
        <v>772</v>
      </c>
      <c r="B788" s="13" t="str">
        <f t="shared" si="120"/>
        <v/>
      </c>
      <c r="C788" s="13" t="str">
        <f t="shared" si="121"/>
        <v/>
      </c>
      <c r="D788" s="13" t="str">
        <f t="shared" si="122"/>
        <v/>
      </c>
      <c r="E788" s="14" t="str">
        <f t="shared" si="123"/>
        <v/>
      </c>
      <c r="F788" s="14" t="str">
        <f t="shared" si="124"/>
        <v/>
      </c>
      <c r="G788" s="14" t="str">
        <f t="shared" si="125"/>
        <v/>
      </c>
      <c r="H788" s="14" t="str">
        <f t="shared" si="126"/>
        <v/>
      </c>
      <c r="I788" s="15" t="str">
        <f t="shared" si="127"/>
        <v/>
      </c>
      <c r="J788" s="15" t="str">
        <f t="shared" si="129"/>
        <v/>
      </c>
      <c r="K788" s="16" t="str">
        <f t="shared" si="128"/>
        <v/>
      </c>
      <c r="M788" t="str">
        <f>IFERROR(MATCH($C$5&amp;"|"&amp;RIGHT("000000"&amp;772,6),CalcRankKeyA,0),"")</f>
        <v/>
      </c>
      <c r="N788" t="str">
        <f>IFERROR(MATCH($C$5&amp;"|"&amp;RIGHT("000000"&amp;772,6),CalcRankKeyB,0),"")</f>
        <v/>
      </c>
    </row>
    <row r="789" spans="1:14" x14ac:dyDescent="0.2">
      <c r="A789" s="7">
        <v>773</v>
      </c>
      <c r="B789" s="8" t="str">
        <f t="shared" si="120"/>
        <v/>
      </c>
      <c r="C789" s="8" t="str">
        <f t="shared" si="121"/>
        <v/>
      </c>
      <c r="D789" s="8" t="str">
        <f t="shared" si="122"/>
        <v/>
      </c>
      <c r="E789" s="9" t="str">
        <f t="shared" si="123"/>
        <v/>
      </c>
      <c r="F789" s="9" t="str">
        <f t="shared" si="124"/>
        <v/>
      </c>
      <c r="G789" s="9" t="str">
        <f t="shared" si="125"/>
        <v/>
      </c>
      <c r="H789" s="9" t="str">
        <f t="shared" si="126"/>
        <v/>
      </c>
      <c r="I789" s="10" t="str">
        <f t="shared" si="127"/>
        <v/>
      </c>
      <c r="J789" s="10" t="str">
        <f t="shared" si="129"/>
        <v/>
      </c>
      <c r="K789" s="11" t="str">
        <f t="shared" si="128"/>
        <v/>
      </c>
      <c r="M789" t="str">
        <f>IFERROR(MATCH($C$5&amp;"|"&amp;RIGHT("000000"&amp;773,6),CalcRankKeyA,0),"")</f>
        <v/>
      </c>
      <c r="N789" t="str">
        <f>IFERROR(MATCH($C$5&amp;"|"&amp;RIGHT("000000"&amp;773,6),CalcRankKeyB,0),"")</f>
        <v/>
      </c>
    </row>
    <row r="790" spans="1:14" x14ac:dyDescent="0.2">
      <c r="A790" s="12">
        <v>774</v>
      </c>
      <c r="B790" s="13" t="str">
        <f t="shared" si="120"/>
        <v/>
      </c>
      <c r="C790" s="13" t="str">
        <f t="shared" si="121"/>
        <v/>
      </c>
      <c r="D790" s="13" t="str">
        <f t="shared" si="122"/>
        <v/>
      </c>
      <c r="E790" s="14" t="str">
        <f t="shared" si="123"/>
        <v/>
      </c>
      <c r="F790" s="14" t="str">
        <f t="shared" si="124"/>
        <v/>
      </c>
      <c r="G790" s="14" t="str">
        <f t="shared" si="125"/>
        <v/>
      </c>
      <c r="H790" s="14" t="str">
        <f t="shared" si="126"/>
        <v/>
      </c>
      <c r="I790" s="15" t="str">
        <f t="shared" si="127"/>
        <v/>
      </c>
      <c r="J790" s="15" t="str">
        <f t="shared" si="129"/>
        <v/>
      </c>
      <c r="K790" s="16" t="str">
        <f t="shared" si="128"/>
        <v/>
      </c>
      <c r="M790" t="str">
        <f>IFERROR(MATCH($C$5&amp;"|"&amp;RIGHT("000000"&amp;774,6),CalcRankKeyA,0),"")</f>
        <v/>
      </c>
      <c r="N790" t="str">
        <f>IFERROR(MATCH($C$5&amp;"|"&amp;RIGHT("000000"&amp;774,6),CalcRankKeyB,0),"")</f>
        <v/>
      </c>
    </row>
    <row r="791" spans="1:14" x14ac:dyDescent="0.2">
      <c r="A791" s="7">
        <v>775</v>
      </c>
      <c r="B791" s="8" t="str">
        <f t="shared" si="120"/>
        <v/>
      </c>
      <c r="C791" s="8" t="str">
        <f t="shared" si="121"/>
        <v/>
      </c>
      <c r="D791" s="8" t="str">
        <f t="shared" si="122"/>
        <v/>
      </c>
      <c r="E791" s="9" t="str">
        <f t="shared" si="123"/>
        <v/>
      </c>
      <c r="F791" s="9" t="str">
        <f t="shared" si="124"/>
        <v/>
      </c>
      <c r="G791" s="9" t="str">
        <f t="shared" si="125"/>
        <v/>
      </c>
      <c r="H791" s="9" t="str">
        <f t="shared" si="126"/>
        <v/>
      </c>
      <c r="I791" s="10" t="str">
        <f t="shared" si="127"/>
        <v/>
      </c>
      <c r="J791" s="10" t="str">
        <f t="shared" si="129"/>
        <v/>
      </c>
      <c r="K791" s="11" t="str">
        <f t="shared" si="128"/>
        <v/>
      </c>
      <c r="M791" t="str">
        <f>IFERROR(MATCH($C$5&amp;"|"&amp;RIGHT("000000"&amp;775,6),CalcRankKeyA,0),"")</f>
        <v/>
      </c>
      <c r="N791" t="str">
        <f>IFERROR(MATCH($C$5&amp;"|"&amp;RIGHT("000000"&amp;775,6),CalcRankKeyB,0),"")</f>
        <v/>
      </c>
    </row>
    <row r="792" spans="1:14" x14ac:dyDescent="0.2">
      <c r="A792" s="12">
        <v>776</v>
      </c>
      <c r="B792" s="13" t="str">
        <f t="shared" si="120"/>
        <v/>
      </c>
      <c r="C792" s="13" t="str">
        <f t="shared" si="121"/>
        <v/>
      </c>
      <c r="D792" s="13" t="str">
        <f t="shared" si="122"/>
        <v/>
      </c>
      <c r="E792" s="14" t="str">
        <f t="shared" si="123"/>
        <v/>
      </c>
      <c r="F792" s="14" t="str">
        <f t="shared" si="124"/>
        <v/>
      </c>
      <c r="G792" s="14" t="str">
        <f t="shared" si="125"/>
        <v/>
      </c>
      <c r="H792" s="14" t="str">
        <f t="shared" si="126"/>
        <v/>
      </c>
      <c r="I792" s="15" t="str">
        <f t="shared" si="127"/>
        <v/>
      </c>
      <c r="J792" s="15" t="str">
        <f t="shared" si="129"/>
        <v/>
      </c>
      <c r="K792" s="16" t="str">
        <f t="shared" si="128"/>
        <v/>
      </c>
      <c r="M792" t="str">
        <f>IFERROR(MATCH($C$5&amp;"|"&amp;RIGHT("000000"&amp;776,6),CalcRankKeyA,0),"")</f>
        <v/>
      </c>
      <c r="N792" t="str">
        <f>IFERROR(MATCH($C$5&amp;"|"&amp;RIGHT("000000"&amp;776,6),CalcRankKeyB,0),"")</f>
        <v/>
      </c>
    </row>
    <row r="793" spans="1:14" x14ac:dyDescent="0.2">
      <c r="A793" s="7">
        <v>777</v>
      </c>
      <c r="B793" s="8" t="str">
        <f t="shared" si="120"/>
        <v/>
      </c>
      <c r="C793" s="8" t="str">
        <f t="shared" si="121"/>
        <v/>
      </c>
      <c r="D793" s="8" t="str">
        <f t="shared" si="122"/>
        <v/>
      </c>
      <c r="E793" s="9" t="str">
        <f t="shared" si="123"/>
        <v/>
      </c>
      <c r="F793" s="9" t="str">
        <f t="shared" si="124"/>
        <v/>
      </c>
      <c r="G793" s="9" t="str">
        <f t="shared" si="125"/>
        <v/>
      </c>
      <c r="H793" s="9" t="str">
        <f t="shared" si="126"/>
        <v/>
      </c>
      <c r="I793" s="10" t="str">
        <f t="shared" si="127"/>
        <v/>
      </c>
      <c r="J793" s="10" t="str">
        <f t="shared" si="129"/>
        <v/>
      </c>
      <c r="K793" s="11" t="str">
        <f t="shared" si="128"/>
        <v/>
      </c>
      <c r="M793" t="str">
        <f>IFERROR(MATCH($C$5&amp;"|"&amp;RIGHT("000000"&amp;777,6),CalcRankKeyA,0),"")</f>
        <v/>
      </c>
      <c r="N793" t="str">
        <f>IFERROR(MATCH($C$5&amp;"|"&amp;RIGHT("000000"&amp;777,6),CalcRankKeyB,0),"")</f>
        <v/>
      </c>
    </row>
    <row r="794" spans="1:14" x14ac:dyDescent="0.2">
      <c r="A794" s="12">
        <v>778</v>
      </c>
      <c r="B794" s="13" t="str">
        <f t="shared" si="120"/>
        <v/>
      </c>
      <c r="C794" s="13" t="str">
        <f t="shared" si="121"/>
        <v/>
      </c>
      <c r="D794" s="13" t="str">
        <f t="shared" si="122"/>
        <v/>
      </c>
      <c r="E794" s="14" t="str">
        <f t="shared" si="123"/>
        <v/>
      </c>
      <c r="F794" s="14" t="str">
        <f t="shared" si="124"/>
        <v/>
      </c>
      <c r="G794" s="14" t="str">
        <f t="shared" si="125"/>
        <v/>
      </c>
      <c r="H794" s="14" t="str">
        <f t="shared" si="126"/>
        <v/>
      </c>
      <c r="I794" s="15" t="str">
        <f t="shared" si="127"/>
        <v/>
      </c>
      <c r="J794" s="15" t="str">
        <f t="shared" si="129"/>
        <v/>
      </c>
      <c r="K794" s="16" t="str">
        <f t="shared" si="128"/>
        <v/>
      </c>
      <c r="M794" t="str">
        <f>IFERROR(MATCH($C$5&amp;"|"&amp;RIGHT("000000"&amp;778,6),CalcRankKeyA,0),"")</f>
        <v/>
      </c>
      <c r="N794" t="str">
        <f>IFERROR(MATCH($C$5&amp;"|"&amp;RIGHT("000000"&amp;778,6),CalcRankKeyB,0),"")</f>
        <v/>
      </c>
    </row>
    <row r="795" spans="1:14" x14ac:dyDescent="0.2">
      <c r="A795" s="7">
        <v>779</v>
      </c>
      <c r="B795" s="8" t="str">
        <f t="shared" si="120"/>
        <v/>
      </c>
      <c r="C795" s="8" t="str">
        <f t="shared" si="121"/>
        <v/>
      </c>
      <c r="D795" s="8" t="str">
        <f t="shared" si="122"/>
        <v/>
      </c>
      <c r="E795" s="9" t="str">
        <f t="shared" si="123"/>
        <v/>
      </c>
      <c r="F795" s="9" t="str">
        <f t="shared" si="124"/>
        <v/>
      </c>
      <c r="G795" s="9" t="str">
        <f t="shared" si="125"/>
        <v/>
      </c>
      <c r="H795" s="9" t="str">
        <f t="shared" si="126"/>
        <v/>
      </c>
      <c r="I795" s="10" t="str">
        <f t="shared" si="127"/>
        <v/>
      </c>
      <c r="J795" s="10" t="str">
        <f t="shared" si="129"/>
        <v/>
      </c>
      <c r="K795" s="11" t="str">
        <f t="shared" si="128"/>
        <v/>
      </c>
      <c r="M795" t="str">
        <f>IFERROR(MATCH($C$5&amp;"|"&amp;RIGHT("000000"&amp;779,6),CalcRankKeyA,0),"")</f>
        <v/>
      </c>
      <c r="N795" t="str">
        <f>IFERROR(MATCH($C$5&amp;"|"&amp;RIGHT("000000"&amp;779,6),CalcRankKeyB,0),"")</f>
        <v/>
      </c>
    </row>
    <row r="796" spans="1:14" x14ac:dyDescent="0.2">
      <c r="A796" s="12">
        <v>780</v>
      </c>
      <c r="B796" s="13" t="str">
        <f t="shared" si="120"/>
        <v/>
      </c>
      <c r="C796" s="13" t="str">
        <f t="shared" si="121"/>
        <v/>
      </c>
      <c r="D796" s="13" t="str">
        <f t="shared" si="122"/>
        <v/>
      </c>
      <c r="E796" s="14" t="str">
        <f t="shared" si="123"/>
        <v/>
      </c>
      <c r="F796" s="14" t="str">
        <f t="shared" si="124"/>
        <v/>
      </c>
      <c r="G796" s="14" t="str">
        <f t="shared" si="125"/>
        <v/>
      </c>
      <c r="H796" s="14" t="str">
        <f t="shared" si="126"/>
        <v/>
      </c>
      <c r="I796" s="15" t="str">
        <f t="shared" si="127"/>
        <v/>
      </c>
      <c r="J796" s="15" t="str">
        <f t="shared" si="129"/>
        <v/>
      </c>
      <c r="K796" s="16" t="str">
        <f t="shared" si="128"/>
        <v/>
      </c>
      <c r="M796" t="str">
        <f>IFERROR(MATCH($C$5&amp;"|"&amp;RIGHT("000000"&amp;780,6),CalcRankKeyA,0),"")</f>
        <v/>
      </c>
      <c r="N796" t="str">
        <f>IFERROR(MATCH($C$5&amp;"|"&amp;RIGHT("000000"&amp;780,6),CalcRankKeyB,0),"")</f>
        <v/>
      </c>
    </row>
    <row r="797" spans="1:14" x14ac:dyDescent="0.2">
      <c r="A797" s="7">
        <v>781</v>
      </c>
      <c r="B797" s="8" t="str">
        <f t="shared" si="120"/>
        <v/>
      </c>
      <c r="C797" s="8" t="str">
        <f t="shared" si="121"/>
        <v/>
      </c>
      <c r="D797" s="8" t="str">
        <f t="shared" si="122"/>
        <v/>
      </c>
      <c r="E797" s="9" t="str">
        <f t="shared" si="123"/>
        <v/>
      </c>
      <c r="F797" s="9" t="str">
        <f t="shared" si="124"/>
        <v/>
      </c>
      <c r="G797" s="9" t="str">
        <f t="shared" si="125"/>
        <v/>
      </c>
      <c r="H797" s="9" t="str">
        <f t="shared" si="126"/>
        <v/>
      </c>
      <c r="I797" s="10" t="str">
        <f t="shared" si="127"/>
        <v/>
      </c>
      <c r="J797" s="10" t="str">
        <f t="shared" si="129"/>
        <v/>
      </c>
      <c r="K797" s="11" t="str">
        <f t="shared" si="128"/>
        <v/>
      </c>
      <c r="M797" t="str">
        <f>IFERROR(MATCH($C$5&amp;"|"&amp;RIGHT("000000"&amp;781,6),CalcRankKeyA,0),"")</f>
        <v/>
      </c>
      <c r="N797" t="str">
        <f>IFERROR(MATCH($C$5&amp;"|"&amp;RIGHT("000000"&amp;781,6),CalcRankKeyB,0),"")</f>
        <v/>
      </c>
    </row>
    <row r="798" spans="1:14" x14ac:dyDescent="0.2">
      <c r="A798" s="12">
        <v>782</v>
      </c>
      <c r="B798" s="13" t="str">
        <f t="shared" si="120"/>
        <v/>
      </c>
      <c r="C798" s="13" t="str">
        <f t="shared" si="121"/>
        <v/>
      </c>
      <c r="D798" s="13" t="str">
        <f t="shared" si="122"/>
        <v/>
      </c>
      <c r="E798" s="14" t="str">
        <f t="shared" si="123"/>
        <v/>
      </c>
      <c r="F798" s="14" t="str">
        <f t="shared" si="124"/>
        <v/>
      </c>
      <c r="G798" s="14" t="str">
        <f t="shared" si="125"/>
        <v/>
      </c>
      <c r="H798" s="14" t="str">
        <f t="shared" si="126"/>
        <v/>
      </c>
      <c r="I798" s="15" t="str">
        <f t="shared" si="127"/>
        <v/>
      </c>
      <c r="J798" s="15" t="str">
        <f t="shared" si="129"/>
        <v/>
      </c>
      <c r="K798" s="16" t="str">
        <f t="shared" si="128"/>
        <v/>
      </c>
      <c r="M798" t="str">
        <f>IFERROR(MATCH($C$5&amp;"|"&amp;RIGHT("000000"&amp;782,6),CalcRankKeyA,0),"")</f>
        <v/>
      </c>
      <c r="N798" t="str">
        <f>IFERROR(MATCH($C$5&amp;"|"&amp;RIGHT("000000"&amp;782,6),CalcRankKeyB,0),"")</f>
        <v/>
      </c>
    </row>
    <row r="799" spans="1:14" x14ac:dyDescent="0.2">
      <c r="A799" s="7">
        <v>783</v>
      </c>
      <c r="B799" s="8" t="str">
        <f t="shared" si="120"/>
        <v/>
      </c>
      <c r="C799" s="8" t="str">
        <f t="shared" si="121"/>
        <v/>
      </c>
      <c r="D799" s="8" t="str">
        <f t="shared" si="122"/>
        <v/>
      </c>
      <c r="E799" s="9" t="str">
        <f t="shared" si="123"/>
        <v/>
      </c>
      <c r="F799" s="9" t="str">
        <f t="shared" si="124"/>
        <v/>
      </c>
      <c r="G799" s="9" t="str">
        <f t="shared" si="125"/>
        <v/>
      </c>
      <c r="H799" s="9" t="str">
        <f t="shared" si="126"/>
        <v/>
      </c>
      <c r="I799" s="10" t="str">
        <f t="shared" si="127"/>
        <v/>
      </c>
      <c r="J799" s="10" t="str">
        <f t="shared" si="129"/>
        <v/>
      </c>
      <c r="K799" s="11" t="str">
        <f t="shared" si="128"/>
        <v/>
      </c>
      <c r="M799" t="str">
        <f>IFERROR(MATCH($C$5&amp;"|"&amp;RIGHT("000000"&amp;783,6),CalcRankKeyA,0),"")</f>
        <v/>
      </c>
      <c r="N799" t="str">
        <f>IFERROR(MATCH($C$5&amp;"|"&amp;RIGHT("000000"&amp;783,6),CalcRankKeyB,0),"")</f>
        <v/>
      </c>
    </row>
    <row r="800" spans="1:14" x14ac:dyDescent="0.2">
      <c r="A800" s="12">
        <v>784</v>
      </c>
      <c r="B800" s="13" t="str">
        <f t="shared" si="120"/>
        <v/>
      </c>
      <c r="C800" s="13" t="str">
        <f t="shared" si="121"/>
        <v/>
      </c>
      <c r="D800" s="13" t="str">
        <f t="shared" si="122"/>
        <v/>
      </c>
      <c r="E800" s="14" t="str">
        <f t="shared" si="123"/>
        <v/>
      </c>
      <c r="F800" s="14" t="str">
        <f t="shared" si="124"/>
        <v/>
      </c>
      <c r="G800" s="14" t="str">
        <f t="shared" si="125"/>
        <v/>
      </c>
      <c r="H800" s="14" t="str">
        <f t="shared" si="126"/>
        <v/>
      </c>
      <c r="I800" s="15" t="str">
        <f t="shared" si="127"/>
        <v/>
      </c>
      <c r="J800" s="15" t="str">
        <f t="shared" si="129"/>
        <v/>
      </c>
      <c r="K800" s="16" t="str">
        <f t="shared" si="128"/>
        <v/>
      </c>
      <c r="M800" t="str">
        <f>IFERROR(MATCH($C$5&amp;"|"&amp;RIGHT("000000"&amp;784,6),CalcRankKeyA,0),"")</f>
        <v/>
      </c>
      <c r="N800" t="str">
        <f>IFERROR(MATCH($C$5&amp;"|"&amp;RIGHT("000000"&amp;784,6),CalcRankKeyB,0),"")</f>
        <v/>
      </c>
    </row>
    <row r="801" spans="1:14" x14ac:dyDescent="0.2">
      <c r="A801" s="7">
        <v>785</v>
      </c>
      <c r="B801" s="8" t="str">
        <f t="shared" si="120"/>
        <v/>
      </c>
      <c r="C801" s="8" t="str">
        <f t="shared" si="121"/>
        <v/>
      </c>
      <c r="D801" s="8" t="str">
        <f t="shared" si="122"/>
        <v/>
      </c>
      <c r="E801" s="9" t="str">
        <f t="shared" si="123"/>
        <v/>
      </c>
      <c r="F801" s="9" t="str">
        <f t="shared" si="124"/>
        <v/>
      </c>
      <c r="G801" s="9" t="str">
        <f t="shared" si="125"/>
        <v/>
      </c>
      <c r="H801" s="9" t="str">
        <f t="shared" si="126"/>
        <v/>
      </c>
      <c r="I801" s="10" t="str">
        <f t="shared" si="127"/>
        <v/>
      </c>
      <c r="J801" s="10" t="str">
        <f t="shared" si="129"/>
        <v/>
      </c>
      <c r="K801" s="11" t="str">
        <f t="shared" si="128"/>
        <v/>
      </c>
      <c r="M801" t="str">
        <f>IFERROR(MATCH($C$5&amp;"|"&amp;RIGHT("000000"&amp;785,6),CalcRankKeyA,0),"")</f>
        <v/>
      </c>
      <c r="N801" t="str">
        <f>IFERROR(MATCH($C$5&amp;"|"&amp;RIGHT("000000"&amp;785,6),CalcRankKeyB,0),"")</f>
        <v/>
      </c>
    </row>
    <row r="802" spans="1:14" x14ac:dyDescent="0.2">
      <c r="A802" s="12">
        <v>786</v>
      </c>
      <c r="B802" s="13" t="str">
        <f t="shared" si="120"/>
        <v/>
      </c>
      <c r="C802" s="13" t="str">
        <f t="shared" si="121"/>
        <v/>
      </c>
      <c r="D802" s="13" t="str">
        <f t="shared" si="122"/>
        <v/>
      </c>
      <c r="E802" s="14" t="str">
        <f t="shared" si="123"/>
        <v/>
      </c>
      <c r="F802" s="14" t="str">
        <f t="shared" si="124"/>
        <v/>
      </c>
      <c r="G802" s="14" t="str">
        <f t="shared" si="125"/>
        <v/>
      </c>
      <c r="H802" s="14" t="str">
        <f t="shared" si="126"/>
        <v/>
      </c>
      <c r="I802" s="15" t="str">
        <f t="shared" si="127"/>
        <v/>
      </c>
      <c r="J802" s="15" t="str">
        <f t="shared" si="129"/>
        <v/>
      </c>
      <c r="K802" s="16" t="str">
        <f t="shared" si="128"/>
        <v/>
      </c>
      <c r="M802" t="str">
        <f>IFERROR(MATCH($C$5&amp;"|"&amp;RIGHT("000000"&amp;786,6),CalcRankKeyA,0),"")</f>
        <v/>
      </c>
      <c r="N802" t="str">
        <f>IFERROR(MATCH($C$5&amp;"|"&amp;RIGHT("000000"&amp;786,6),CalcRankKeyB,0),"")</f>
        <v/>
      </c>
    </row>
    <row r="803" spans="1:14" x14ac:dyDescent="0.2">
      <c r="A803" s="7">
        <v>787</v>
      </c>
      <c r="B803" s="8" t="str">
        <f t="shared" si="120"/>
        <v/>
      </c>
      <c r="C803" s="8" t="str">
        <f t="shared" si="121"/>
        <v/>
      </c>
      <c r="D803" s="8" t="str">
        <f t="shared" si="122"/>
        <v/>
      </c>
      <c r="E803" s="9" t="str">
        <f t="shared" si="123"/>
        <v/>
      </c>
      <c r="F803" s="9" t="str">
        <f t="shared" si="124"/>
        <v/>
      </c>
      <c r="G803" s="9" t="str">
        <f t="shared" si="125"/>
        <v/>
      </c>
      <c r="H803" s="9" t="str">
        <f t="shared" si="126"/>
        <v/>
      </c>
      <c r="I803" s="10" t="str">
        <f t="shared" si="127"/>
        <v/>
      </c>
      <c r="J803" s="10" t="str">
        <f t="shared" si="129"/>
        <v/>
      </c>
      <c r="K803" s="11" t="str">
        <f t="shared" si="128"/>
        <v/>
      </c>
      <c r="M803" t="str">
        <f>IFERROR(MATCH($C$5&amp;"|"&amp;RIGHT("000000"&amp;787,6),CalcRankKeyA,0),"")</f>
        <v/>
      </c>
      <c r="N803" t="str">
        <f>IFERROR(MATCH($C$5&amp;"|"&amp;RIGHT("000000"&amp;787,6),CalcRankKeyB,0),"")</f>
        <v/>
      </c>
    </row>
    <row r="804" spans="1:14" x14ac:dyDescent="0.2">
      <c r="A804" s="12">
        <v>788</v>
      </c>
      <c r="B804" s="13" t="str">
        <f t="shared" si="120"/>
        <v/>
      </c>
      <c r="C804" s="13" t="str">
        <f t="shared" si="121"/>
        <v/>
      </c>
      <c r="D804" s="13" t="str">
        <f t="shared" si="122"/>
        <v/>
      </c>
      <c r="E804" s="14" t="str">
        <f t="shared" si="123"/>
        <v/>
      </c>
      <c r="F804" s="14" t="str">
        <f t="shared" si="124"/>
        <v/>
      </c>
      <c r="G804" s="14" t="str">
        <f t="shared" si="125"/>
        <v/>
      </c>
      <c r="H804" s="14" t="str">
        <f t="shared" si="126"/>
        <v/>
      </c>
      <c r="I804" s="15" t="str">
        <f t="shared" si="127"/>
        <v/>
      </c>
      <c r="J804" s="15" t="str">
        <f t="shared" si="129"/>
        <v/>
      </c>
      <c r="K804" s="16" t="str">
        <f t="shared" si="128"/>
        <v/>
      </c>
      <c r="M804" t="str">
        <f>IFERROR(MATCH($C$5&amp;"|"&amp;RIGHT("000000"&amp;788,6),CalcRankKeyA,0),"")</f>
        <v/>
      </c>
      <c r="N804" t="str">
        <f>IFERROR(MATCH($C$5&amp;"|"&amp;RIGHT("000000"&amp;788,6),CalcRankKeyB,0),"")</f>
        <v/>
      </c>
    </row>
    <row r="805" spans="1:14" x14ac:dyDescent="0.2">
      <c r="A805" s="7">
        <v>789</v>
      </c>
      <c r="B805" s="8" t="str">
        <f t="shared" si="120"/>
        <v/>
      </c>
      <c r="C805" s="8" t="str">
        <f t="shared" si="121"/>
        <v/>
      </c>
      <c r="D805" s="8" t="str">
        <f t="shared" si="122"/>
        <v/>
      </c>
      <c r="E805" s="9" t="str">
        <f t="shared" si="123"/>
        <v/>
      </c>
      <c r="F805" s="9" t="str">
        <f t="shared" si="124"/>
        <v/>
      </c>
      <c r="G805" s="9" t="str">
        <f t="shared" si="125"/>
        <v/>
      </c>
      <c r="H805" s="9" t="str">
        <f t="shared" si="126"/>
        <v/>
      </c>
      <c r="I805" s="10" t="str">
        <f t="shared" si="127"/>
        <v/>
      </c>
      <c r="J805" s="10" t="str">
        <f t="shared" si="129"/>
        <v/>
      </c>
      <c r="K805" s="11" t="str">
        <f t="shared" si="128"/>
        <v/>
      </c>
      <c r="M805" t="str">
        <f>IFERROR(MATCH($C$5&amp;"|"&amp;RIGHT("000000"&amp;789,6),CalcRankKeyA,0),"")</f>
        <v/>
      </c>
      <c r="N805" t="str">
        <f>IFERROR(MATCH($C$5&amp;"|"&amp;RIGHT("000000"&amp;789,6),CalcRankKeyB,0),"")</f>
        <v/>
      </c>
    </row>
    <row r="806" spans="1:14" x14ac:dyDescent="0.2">
      <c r="A806" s="12">
        <v>790</v>
      </c>
      <c r="B806" s="13" t="str">
        <f t="shared" si="120"/>
        <v/>
      </c>
      <c r="C806" s="13" t="str">
        <f t="shared" si="121"/>
        <v/>
      </c>
      <c r="D806" s="13" t="str">
        <f t="shared" si="122"/>
        <v/>
      </c>
      <c r="E806" s="14" t="str">
        <f t="shared" si="123"/>
        <v/>
      </c>
      <c r="F806" s="14" t="str">
        <f t="shared" si="124"/>
        <v/>
      </c>
      <c r="G806" s="14" t="str">
        <f t="shared" si="125"/>
        <v/>
      </c>
      <c r="H806" s="14" t="str">
        <f t="shared" si="126"/>
        <v/>
      </c>
      <c r="I806" s="15" t="str">
        <f t="shared" si="127"/>
        <v/>
      </c>
      <c r="J806" s="15" t="str">
        <f t="shared" si="129"/>
        <v/>
      </c>
      <c r="K806" s="16" t="str">
        <f t="shared" si="128"/>
        <v/>
      </c>
      <c r="M806" t="str">
        <f>IFERROR(MATCH($C$5&amp;"|"&amp;RIGHT("000000"&amp;790,6),CalcRankKeyA,0),"")</f>
        <v/>
      </c>
      <c r="N806" t="str">
        <f>IFERROR(MATCH($C$5&amp;"|"&amp;RIGHT("000000"&amp;790,6),CalcRankKeyB,0),"")</f>
        <v/>
      </c>
    </row>
    <row r="807" spans="1:14" x14ac:dyDescent="0.2">
      <c r="A807" s="7">
        <v>791</v>
      </c>
      <c r="B807" s="8" t="str">
        <f t="shared" si="120"/>
        <v/>
      </c>
      <c r="C807" s="8" t="str">
        <f t="shared" si="121"/>
        <v/>
      </c>
      <c r="D807" s="8" t="str">
        <f t="shared" si="122"/>
        <v/>
      </c>
      <c r="E807" s="9" t="str">
        <f t="shared" si="123"/>
        <v/>
      </c>
      <c r="F807" s="9" t="str">
        <f t="shared" si="124"/>
        <v/>
      </c>
      <c r="G807" s="9" t="str">
        <f t="shared" si="125"/>
        <v/>
      </c>
      <c r="H807" s="9" t="str">
        <f t="shared" si="126"/>
        <v/>
      </c>
      <c r="I807" s="10" t="str">
        <f t="shared" si="127"/>
        <v/>
      </c>
      <c r="J807" s="10" t="str">
        <f t="shared" si="129"/>
        <v/>
      </c>
      <c r="K807" s="11" t="str">
        <f t="shared" si="128"/>
        <v/>
      </c>
      <c r="M807" t="str">
        <f>IFERROR(MATCH($C$5&amp;"|"&amp;RIGHT("000000"&amp;791,6),CalcRankKeyA,0),"")</f>
        <v/>
      </c>
      <c r="N807" t="str">
        <f>IFERROR(MATCH($C$5&amp;"|"&amp;RIGHT("000000"&amp;791,6),CalcRankKeyB,0),"")</f>
        <v/>
      </c>
    </row>
    <row r="808" spans="1:14" x14ac:dyDescent="0.2">
      <c r="A808" s="12">
        <v>792</v>
      </c>
      <c r="B808" s="13" t="str">
        <f t="shared" si="120"/>
        <v/>
      </c>
      <c r="C808" s="13" t="str">
        <f t="shared" si="121"/>
        <v/>
      </c>
      <c r="D808" s="13" t="str">
        <f t="shared" si="122"/>
        <v/>
      </c>
      <c r="E808" s="14" t="str">
        <f t="shared" si="123"/>
        <v/>
      </c>
      <c r="F808" s="14" t="str">
        <f t="shared" si="124"/>
        <v/>
      </c>
      <c r="G808" s="14" t="str">
        <f t="shared" si="125"/>
        <v/>
      </c>
      <c r="H808" s="14" t="str">
        <f t="shared" si="126"/>
        <v/>
      </c>
      <c r="I808" s="15" t="str">
        <f t="shared" si="127"/>
        <v/>
      </c>
      <c r="J808" s="15" t="str">
        <f t="shared" si="129"/>
        <v/>
      </c>
      <c r="K808" s="16" t="str">
        <f t="shared" si="128"/>
        <v/>
      </c>
      <c r="M808" t="str">
        <f>IFERROR(MATCH($C$5&amp;"|"&amp;RIGHT("000000"&amp;792,6),CalcRankKeyA,0),"")</f>
        <v/>
      </c>
      <c r="N808" t="str">
        <f>IFERROR(MATCH($C$5&amp;"|"&amp;RIGHT("000000"&amp;792,6),CalcRankKeyB,0),"")</f>
        <v/>
      </c>
    </row>
    <row r="809" spans="1:14" x14ac:dyDescent="0.2">
      <c r="A809" s="7">
        <v>793</v>
      </c>
      <c r="B809" s="8" t="str">
        <f t="shared" si="120"/>
        <v/>
      </c>
      <c r="C809" s="8" t="str">
        <f t="shared" si="121"/>
        <v/>
      </c>
      <c r="D809" s="8" t="str">
        <f t="shared" si="122"/>
        <v/>
      </c>
      <c r="E809" s="9" t="str">
        <f t="shared" si="123"/>
        <v/>
      </c>
      <c r="F809" s="9" t="str">
        <f t="shared" si="124"/>
        <v/>
      </c>
      <c r="G809" s="9" t="str">
        <f t="shared" si="125"/>
        <v/>
      </c>
      <c r="H809" s="9" t="str">
        <f t="shared" si="126"/>
        <v/>
      </c>
      <c r="I809" s="10" t="str">
        <f t="shared" si="127"/>
        <v/>
      </c>
      <c r="J809" s="10" t="str">
        <f t="shared" si="129"/>
        <v/>
      </c>
      <c r="K809" s="11" t="str">
        <f t="shared" si="128"/>
        <v/>
      </c>
      <c r="M809" t="str">
        <f>IFERROR(MATCH($C$5&amp;"|"&amp;RIGHT("000000"&amp;793,6),CalcRankKeyA,0),"")</f>
        <v/>
      </c>
      <c r="N809" t="str">
        <f>IFERROR(MATCH($C$5&amp;"|"&amp;RIGHT("000000"&amp;793,6),CalcRankKeyB,0),"")</f>
        <v/>
      </c>
    </row>
    <row r="810" spans="1:14" x14ac:dyDescent="0.2">
      <c r="A810" s="12">
        <v>794</v>
      </c>
      <c r="B810" s="13" t="str">
        <f t="shared" si="120"/>
        <v/>
      </c>
      <c r="C810" s="13" t="str">
        <f t="shared" si="121"/>
        <v/>
      </c>
      <c r="D810" s="13" t="str">
        <f t="shared" si="122"/>
        <v/>
      </c>
      <c r="E810" s="14" t="str">
        <f t="shared" si="123"/>
        <v/>
      </c>
      <c r="F810" s="14" t="str">
        <f t="shared" si="124"/>
        <v/>
      </c>
      <c r="G810" s="14" t="str">
        <f t="shared" si="125"/>
        <v/>
      </c>
      <c r="H810" s="14" t="str">
        <f t="shared" si="126"/>
        <v/>
      </c>
      <c r="I810" s="15" t="str">
        <f t="shared" si="127"/>
        <v/>
      </c>
      <c r="J810" s="15" t="str">
        <f t="shared" si="129"/>
        <v/>
      </c>
      <c r="K810" s="16" t="str">
        <f t="shared" si="128"/>
        <v/>
      </c>
      <c r="M810" t="str">
        <f>IFERROR(MATCH($C$5&amp;"|"&amp;RIGHT("000000"&amp;794,6),CalcRankKeyA,0),"")</f>
        <v/>
      </c>
      <c r="N810" t="str">
        <f>IFERROR(MATCH($C$5&amp;"|"&amp;RIGHT("000000"&amp;794,6),CalcRankKeyB,0),"")</f>
        <v/>
      </c>
    </row>
    <row r="811" spans="1:14" x14ac:dyDescent="0.2">
      <c r="A811" s="7">
        <v>795</v>
      </c>
      <c r="B811" s="8" t="str">
        <f t="shared" si="120"/>
        <v/>
      </c>
      <c r="C811" s="8" t="str">
        <f t="shared" si="121"/>
        <v/>
      </c>
      <c r="D811" s="8" t="str">
        <f t="shared" si="122"/>
        <v/>
      </c>
      <c r="E811" s="9" t="str">
        <f t="shared" si="123"/>
        <v/>
      </c>
      <c r="F811" s="9" t="str">
        <f t="shared" si="124"/>
        <v/>
      </c>
      <c r="G811" s="9" t="str">
        <f t="shared" si="125"/>
        <v/>
      </c>
      <c r="H811" s="9" t="str">
        <f t="shared" si="126"/>
        <v/>
      </c>
      <c r="I811" s="10" t="str">
        <f t="shared" si="127"/>
        <v/>
      </c>
      <c r="J811" s="10" t="str">
        <f t="shared" si="129"/>
        <v/>
      </c>
      <c r="K811" s="11" t="str">
        <f t="shared" si="128"/>
        <v/>
      </c>
      <c r="M811" t="str">
        <f>IFERROR(MATCH($C$5&amp;"|"&amp;RIGHT("000000"&amp;795,6),CalcRankKeyA,0),"")</f>
        <v/>
      </c>
      <c r="N811" t="str">
        <f>IFERROR(MATCH($C$5&amp;"|"&amp;RIGHT("000000"&amp;795,6),CalcRankKeyB,0),"")</f>
        <v/>
      </c>
    </row>
    <row r="812" spans="1:14" x14ac:dyDescent="0.2">
      <c r="A812" s="12">
        <v>796</v>
      </c>
      <c r="B812" s="13" t="str">
        <f t="shared" si="120"/>
        <v/>
      </c>
      <c r="C812" s="13" t="str">
        <f t="shared" si="121"/>
        <v/>
      </c>
      <c r="D812" s="13" t="str">
        <f t="shared" si="122"/>
        <v/>
      </c>
      <c r="E812" s="14" t="str">
        <f t="shared" si="123"/>
        <v/>
      </c>
      <c r="F812" s="14" t="str">
        <f t="shared" si="124"/>
        <v/>
      </c>
      <c r="G812" s="14" t="str">
        <f t="shared" si="125"/>
        <v/>
      </c>
      <c r="H812" s="14" t="str">
        <f t="shared" si="126"/>
        <v/>
      </c>
      <c r="I812" s="15" t="str">
        <f t="shared" si="127"/>
        <v/>
      </c>
      <c r="J812" s="15" t="str">
        <f t="shared" si="129"/>
        <v/>
      </c>
      <c r="K812" s="16" t="str">
        <f t="shared" si="128"/>
        <v/>
      </c>
      <c r="M812" t="str">
        <f>IFERROR(MATCH($C$5&amp;"|"&amp;RIGHT("000000"&amp;796,6),CalcRankKeyA,0),"")</f>
        <v/>
      </c>
      <c r="N812" t="str">
        <f>IFERROR(MATCH($C$5&amp;"|"&amp;RIGHT("000000"&amp;796,6),CalcRankKeyB,0),"")</f>
        <v/>
      </c>
    </row>
    <row r="813" spans="1:14" x14ac:dyDescent="0.2">
      <c r="A813" s="7">
        <v>797</v>
      </c>
      <c r="B813" s="8" t="str">
        <f t="shared" si="120"/>
        <v/>
      </c>
      <c r="C813" s="8" t="str">
        <f t="shared" si="121"/>
        <v/>
      </c>
      <c r="D813" s="8" t="str">
        <f t="shared" si="122"/>
        <v/>
      </c>
      <c r="E813" s="9" t="str">
        <f t="shared" si="123"/>
        <v/>
      </c>
      <c r="F813" s="9" t="str">
        <f t="shared" si="124"/>
        <v/>
      </c>
      <c r="G813" s="9" t="str">
        <f t="shared" si="125"/>
        <v/>
      </c>
      <c r="H813" s="9" t="str">
        <f t="shared" si="126"/>
        <v/>
      </c>
      <c r="I813" s="10" t="str">
        <f t="shared" si="127"/>
        <v/>
      </c>
      <c r="J813" s="10" t="str">
        <f t="shared" si="129"/>
        <v/>
      </c>
      <c r="K813" s="11" t="str">
        <f t="shared" si="128"/>
        <v/>
      </c>
      <c r="M813" t="str">
        <f>IFERROR(MATCH($C$5&amp;"|"&amp;RIGHT("000000"&amp;797,6),CalcRankKeyA,0),"")</f>
        <v/>
      </c>
      <c r="N813" t="str">
        <f>IFERROR(MATCH($C$5&amp;"|"&amp;RIGHT("000000"&amp;797,6),CalcRankKeyB,0),"")</f>
        <v/>
      </c>
    </row>
    <row r="814" spans="1:14" x14ac:dyDescent="0.2">
      <c r="A814" s="12">
        <v>798</v>
      </c>
      <c r="B814" s="13" t="str">
        <f t="shared" si="120"/>
        <v/>
      </c>
      <c r="C814" s="13" t="str">
        <f t="shared" si="121"/>
        <v/>
      </c>
      <c r="D814" s="13" t="str">
        <f t="shared" si="122"/>
        <v/>
      </c>
      <c r="E814" s="14" t="str">
        <f t="shared" si="123"/>
        <v/>
      </c>
      <c r="F814" s="14" t="str">
        <f t="shared" si="124"/>
        <v/>
      </c>
      <c r="G814" s="14" t="str">
        <f t="shared" si="125"/>
        <v/>
      </c>
      <c r="H814" s="14" t="str">
        <f t="shared" si="126"/>
        <v/>
      </c>
      <c r="I814" s="15" t="str">
        <f t="shared" si="127"/>
        <v/>
      </c>
      <c r="J814" s="15" t="str">
        <f t="shared" si="129"/>
        <v/>
      </c>
      <c r="K814" s="16" t="str">
        <f t="shared" si="128"/>
        <v/>
      </c>
      <c r="M814" t="str">
        <f>IFERROR(MATCH($C$5&amp;"|"&amp;RIGHT("000000"&amp;798,6),CalcRankKeyA,0),"")</f>
        <v/>
      </c>
      <c r="N814" t="str">
        <f>IFERROR(MATCH($C$5&amp;"|"&amp;RIGHT("000000"&amp;798,6),CalcRankKeyB,0),"")</f>
        <v/>
      </c>
    </row>
    <row r="815" spans="1:14" x14ac:dyDescent="0.2">
      <c r="A815" s="7">
        <v>799</v>
      </c>
      <c r="B815" s="8" t="str">
        <f t="shared" si="120"/>
        <v/>
      </c>
      <c r="C815" s="8" t="str">
        <f t="shared" si="121"/>
        <v/>
      </c>
      <c r="D815" s="8" t="str">
        <f t="shared" si="122"/>
        <v/>
      </c>
      <c r="E815" s="9" t="str">
        <f t="shared" si="123"/>
        <v/>
      </c>
      <c r="F815" s="9" t="str">
        <f t="shared" si="124"/>
        <v/>
      </c>
      <c r="G815" s="9" t="str">
        <f t="shared" si="125"/>
        <v/>
      </c>
      <c r="H815" s="9" t="str">
        <f t="shared" si="126"/>
        <v/>
      </c>
      <c r="I815" s="10" t="str">
        <f t="shared" si="127"/>
        <v/>
      </c>
      <c r="J815" s="10" t="str">
        <f t="shared" si="129"/>
        <v/>
      </c>
      <c r="K815" s="11" t="str">
        <f t="shared" si="128"/>
        <v/>
      </c>
      <c r="M815" t="str">
        <f>IFERROR(MATCH($C$5&amp;"|"&amp;RIGHT("000000"&amp;799,6),CalcRankKeyA,0),"")</f>
        <v/>
      </c>
      <c r="N815" t="str">
        <f>IFERROR(MATCH($C$5&amp;"|"&amp;RIGHT("000000"&amp;799,6),CalcRankKeyB,0),"")</f>
        <v/>
      </c>
    </row>
    <row r="816" spans="1:14" x14ac:dyDescent="0.2">
      <c r="A816" s="12">
        <v>800</v>
      </c>
      <c r="B816" s="13" t="str">
        <f t="shared" si="120"/>
        <v/>
      </c>
      <c r="C816" s="13" t="str">
        <f t="shared" si="121"/>
        <v/>
      </c>
      <c r="D816" s="13" t="str">
        <f t="shared" si="122"/>
        <v/>
      </c>
      <c r="E816" s="14" t="str">
        <f t="shared" si="123"/>
        <v/>
      </c>
      <c r="F816" s="14" t="str">
        <f t="shared" si="124"/>
        <v/>
      </c>
      <c r="G816" s="14" t="str">
        <f t="shared" si="125"/>
        <v/>
      </c>
      <c r="H816" s="14" t="str">
        <f t="shared" si="126"/>
        <v/>
      </c>
      <c r="I816" s="15" t="str">
        <f t="shared" si="127"/>
        <v/>
      </c>
      <c r="J816" s="15" t="str">
        <f t="shared" si="129"/>
        <v/>
      </c>
      <c r="K816" s="16" t="str">
        <f t="shared" si="128"/>
        <v/>
      </c>
      <c r="M816" t="str">
        <f>IFERROR(MATCH($C$5&amp;"|"&amp;RIGHT("000000"&amp;800,6),CalcRankKeyA,0),"")</f>
        <v/>
      </c>
      <c r="N816" t="str">
        <f>IFERROR(MATCH($C$5&amp;"|"&amp;RIGHT("000000"&amp;800,6),CalcRankKeyB,0),"")</f>
        <v/>
      </c>
    </row>
    <row r="817" spans="1:14" x14ac:dyDescent="0.2">
      <c r="A817" s="7">
        <v>801</v>
      </c>
      <c r="B817" s="8" t="str">
        <f t="shared" si="120"/>
        <v/>
      </c>
      <c r="C817" s="8" t="str">
        <f t="shared" si="121"/>
        <v/>
      </c>
      <c r="D817" s="8" t="str">
        <f t="shared" si="122"/>
        <v/>
      </c>
      <c r="E817" s="9" t="str">
        <f t="shared" si="123"/>
        <v/>
      </c>
      <c r="F817" s="9" t="str">
        <f t="shared" si="124"/>
        <v/>
      </c>
      <c r="G817" s="9" t="str">
        <f t="shared" si="125"/>
        <v/>
      </c>
      <c r="H817" s="9" t="str">
        <f t="shared" si="126"/>
        <v/>
      </c>
      <c r="I817" s="10" t="str">
        <f t="shared" si="127"/>
        <v/>
      </c>
      <c r="J817" s="10" t="str">
        <f t="shared" si="129"/>
        <v/>
      </c>
      <c r="K817" s="11" t="str">
        <f t="shared" si="128"/>
        <v/>
      </c>
      <c r="M817" t="str">
        <f>IFERROR(MATCH($C$5&amp;"|"&amp;RIGHT("000000"&amp;801,6),CalcRankKeyA,0),"")</f>
        <v/>
      </c>
      <c r="N817" t="str">
        <f>IFERROR(MATCH($C$5&amp;"|"&amp;RIGHT("000000"&amp;801,6),CalcRankKeyB,0),"")</f>
        <v/>
      </c>
    </row>
    <row r="818" spans="1:14" x14ac:dyDescent="0.2">
      <c r="A818" s="12">
        <v>802</v>
      </c>
      <c r="B818" s="13" t="str">
        <f t="shared" si="120"/>
        <v/>
      </c>
      <c r="C818" s="13" t="str">
        <f t="shared" si="121"/>
        <v/>
      </c>
      <c r="D818" s="13" t="str">
        <f t="shared" si="122"/>
        <v/>
      </c>
      <c r="E818" s="14" t="str">
        <f t="shared" si="123"/>
        <v/>
      </c>
      <c r="F818" s="14" t="str">
        <f t="shared" si="124"/>
        <v/>
      </c>
      <c r="G818" s="14" t="str">
        <f t="shared" si="125"/>
        <v/>
      </c>
      <c r="H818" s="14" t="str">
        <f t="shared" si="126"/>
        <v/>
      </c>
      <c r="I818" s="15" t="str">
        <f t="shared" si="127"/>
        <v/>
      </c>
      <c r="J818" s="15" t="str">
        <f t="shared" si="129"/>
        <v/>
      </c>
      <c r="K818" s="16" t="str">
        <f t="shared" si="128"/>
        <v/>
      </c>
      <c r="M818" t="str">
        <f>IFERROR(MATCH($C$5&amp;"|"&amp;RIGHT("000000"&amp;802,6),CalcRankKeyA,0),"")</f>
        <v/>
      </c>
      <c r="N818" t="str">
        <f>IFERROR(MATCH($C$5&amp;"|"&amp;RIGHT("000000"&amp;802,6),CalcRankKeyB,0),"")</f>
        <v/>
      </c>
    </row>
    <row r="819" spans="1:14" x14ac:dyDescent="0.2">
      <c r="A819" s="7">
        <v>803</v>
      </c>
      <c r="B819" s="8" t="str">
        <f t="shared" si="120"/>
        <v/>
      </c>
      <c r="C819" s="8" t="str">
        <f t="shared" si="121"/>
        <v/>
      </c>
      <c r="D819" s="8" t="str">
        <f t="shared" si="122"/>
        <v/>
      </c>
      <c r="E819" s="9" t="str">
        <f t="shared" si="123"/>
        <v/>
      </c>
      <c r="F819" s="9" t="str">
        <f t="shared" si="124"/>
        <v/>
      </c>
      <c r="G819" s="9" t="str">
        <f t="shared" si="125"/>
        <v/>
      </c>
      <c r="H819" s="9" t="str">
        <f t="shared" si="126"/>
        <v/>
      </c>
      <c r="I819" s="10" t="str">
        <f t="shared" si="127"/>
        <v/>
      </c>
      <c r="J819" s="10" t="str">
        <f t="shared" si="129"/>
        <v/>
      </c>
      <c r="K819" s="11" t="str">
        <f t="shared" si="128"/>
        <v/>
      </c>
      <c r="M819" t="str">
        <f>IFERROR(MATCH($C$5&amp;"|"&amp;RIGHT("000000"&amp;803,6),CalcRankKeyA,0),"")</f>
        <v/>
      </c>
      <c r="N819" t="str">
        <f>IFERROR(MATCH($C$5&amp;"|"&amp;RIGHT("000000"&amp;803,6),CalcRankKeyB,0),"")</f>
        <v/>
      </c>
    </row>
    <row r="820" spans="1:14" x14ac:dyDescent="0.2">
      <c r="A820" s="12">
        <v>804</v>
      </c>
      <c r="B820" s="13" t="str">
        <f t="shared" si="120"/>
        <v/>
      </c>
      <c r="C820" s="13" t="str">
        <f t="shared" si="121"/>
        <v/>
      </c>
      <c r="D820" s="13" t="str">
        <f t="shared" si="122"/>
        <v/>
      </c>
      <c r="E820" s="14" t="str">
        <f t="shared" si="123"/>
        <v/>
      </c>
      <c r="F820" s="14" t="str">
        <f t="shared" si="124"/>
        <v/>
      </c>
      <c r="G820" s="14" t="str">
        <f t="shared" si="125"/>
        <v/>
      </c>
      <c r="H820" s="14" t="str">
        <f t="shared" si="126"/>
        <v/>
      </c>
      <c r="I820" s="15" t="str">
        <f t="shared" si="127"/>
        <v/>
      </c>
      <c r="J820" s="15" t="str">
        <f t="shared" si="129"/>
        <v/>
      </c>
      <c r="K820" s="16" t="str">
        <f t="shared" si="128"/>
        <v/>
      </c>
      <c r="M820" t="str">
        <f>IFERROR(MATCH($C$5&amp;"|"&amp;RIGHT("000000"&amp;804,6),CalcRankKeyA,0),"")</f>
        <v/>
      </c>
      <c r="N820" t="str">
        <f>IFERROR(MATCH($C$5&amp;"|"&amp;RIGHT("000000"&amp;804,6),CalcRankKeyB,0),"")</f>
        <v/>
      </c>
    </row>
    <row r="821" spans="1:14" x14ac:dyDescent="0.2">
      <c r="A821" s="7">
        <v>805</v>
      </c>
      <c r="B821" s="8" t="str">
        <f t="shared" si="120"/>
        <v/>
      </c>
      <c r="C821" s="8" t="str">
        <f t="shared" si="121"/>
        <v/>
      </c>
      <c r="D821" s="8" t="str">
        <f t="shared" si="122"/>
        <v/>
      </c>
      <c r="E821" s="9" t="str">
        <f t="shared" si="123"/>
        <v/>
      </c>
      <c r="F821" s="9" t="str">
        <f t="shared" si="124"/>
        <v/>
      </c>
      <c r="G821" s="9" t="str">
        <f t="shared" si="125"/>
        <v/>
      </c>
      <c r="H821" s="9" t="str">
        <f t="shared" si="126"/>
        <v/>
      </c>
      <c r="I821" s="10" t="str">
        <f t="shared" si="127"/>
        <v/>
      </c>
      <c r="J821" s="10" t="str">
        <f t="shared" si="129"/>
        <v/>
      </c>
      <c r="K821" s="11" t="str">
        <f t="shared" si="128"/>
        <v/>
      </c>
      <c r="M821" t="str">
        <f>IFERROR(MATCH($C$5&amp;"|"&amp;RIGHT("000000"&amp;805,6),CalcRankKeyA,0),"")</f>
        <v/>
      </c>
      <c r="N821" t="str">
        <f>IFERROR(MATCH($C$5&amp;"|"&amp;RIGHT("000000"&amp;805,6),CalcRankKeyB,0),"")</f>
        <v/>
      </c>
    </row>
    <row r="822" spans="1:14" x14ac:dyDescent="0.2">
      <c r="A822" s="12">
        <v>806</v>
      </c>
      <c r="B822" s="13" t="str">
        <f t="shared" si="120"/>
        <v/>
      </c>
      <c r="C822" s="13" t="str">
        <f t="shared" si="121"/>
        <v/>
      </c>
      <c r="D822" s="13" t="str">
        <f t="shared" si="122"/>
        <v/>
      </c>
      <c r="E822" s="14" t="str">
        <f t="shared" si="123"/>
        <v/>
      </c>
      <c r="F822" s="14" t="str">
        <f t="shared" si="124"/>
        <v/>
      </c>
      <c r="G822" s="14" t="str">
        <f t="shared" si="125"/>
        <v/>
      </c>
      <c r="H822" s="14" t="str">
        <f t="shared" si="126"/>
        <v/>
      </c>
      <c r="I822" s="15" t="str">
        <f t="shared" si="127"/>
        <v/>
      </c>
      <c r="J822" s="15" t="str">
        <f t="shared" si="129"/>
        <v/>
      </c>
      <c r="K822" s="16" t="str">
        <f t="shared" si="128"/>
        <v/>
      </c>
      <c r="M822" t="str">
        <f>IFERROR(MATCH($C$5&amp;"|"&amp;RIGHT("000000"&amp;806,6),CalcRankKeyA,0),"")</f>
        <v/>
      </c>
      <c r="N822" t="str">
        <f>IFERROR(MATCH($C$5&amp;"|"&amp;RIGHT("000000"&amp;806,6),CalcRankKeyB,0),"")</f>
        <v/>
      </c>
    </row>
    <row r="823" spans="1:14" x14ac:dyDescent="0.2">
      <c r="A823" s="7">
        <v>807</v>
      </c>
      <c r="B823" s="8" t="str">
        <f t="shared" si="120"/>
        <v/>
      </c>
      <c r="C823" s="8" t="str">
        <f t="shared" si="121"/>
        <v/>
      </c>
      <c r="D823" s="8" t="str">
        <f t="shared" si="122"/>
        <v/>
      </c>
      <c r="E823" s="9" t="str">
        <f t="shared" si="123"/>
        <v/>
      </c>
      <c r="F823" s="9" t="str">
        <f t="shared" si="124"/>
        <v/>
      </c>
      <c r="G823" s="9" t="str">
        <f t="shared" si="125"/>
        <v/>
      </c>
      <c r="H823" s="9" t="str">
        <f t="shared" si="126"/>
        <v/>
      </c>
      <c r="I823" s="10" t="str">
        <f t="shared" si="127"/>
        <v/>
      </c>
      <c r="J823" s="10" t="str">
        <f t="shared" si="129"/>
        <v/>
      </c>
      <c r="K823" s="11" t="str">
        <f t="shared" si="128"/>
        <v/>
      </c>
      <c r="M823" t="str">
        <f>IFERROR(MATCH($C$5&amp;"|"&amp;RIGHT("000000"&amp;807,6),CalcRankKeyA,0),"")</f>
        <v/>
      </c>
      <c r="N823" t="str">
        <f>IFERROR(MATCH($C$5&amp;"|"&amp;RIGHT("000000"&amp;807,6),CalcRankKeyB,0),"")</f>
        <v/>
      </c>
    </row>
    <row r="824" spans="1:14" x14ac:dyDescent="0.2">
      <c r="A824" s="12">
        <v>808</v>
      </c>
      <c r="B824" s="13" t="str">
        <f t="shared" si="120"/>
        <v/>
      </c>
      <c r="C824" s="13" t="str">
        <f t="shared" si="121"/>
        <v/>
      </c>
      <c r="D824" s="13" t="str">
        <f t="shared" si="122"/>
        <v/>
      </c>
      <c r="E824" s="14" t="str">
        <f t="shared" si="123"/>
        <v/>
      </c>
      <c r="F824" s="14" t="str">
        <f t="shared" si="124"/>
        <v/>
      </c>
      <c r="G824" s="14" t="str">
        <f t="shared" si="125"/>
        <v/>
      </c>
      <c r="H824" s="14" t="str">
        <f t="shared" si="126"/>
        <v/>
      </c>
      <c r="I824" s="15" t="str">
        <f t="shared" si="127"/>
        <v/>
      </c>
      <c r="J824" s="15" t="str">
        <f t="shared" si="129"/>
        <v/>
      </c>
      <c r="K824" s="16" t="str">
        <f t="shared" si="128"/>
        <v/>
      </c>
      <c r="M824" t="str">
        <f>IFERROR(MATCH($C$5&amp;"|"&amp;RIGHT("000000"&amp;808,6),CalcRankKeyA,0),"")</f>
        <v/>
      </c>
      <c r="N824" t="str">
        <f>IFERROR(MATCH($C$5&amp;"|"&amp;RIGHT("000000"&amp;808,6),CalcRankKeyB,0),"")</f>
        <v/>
      </c>
    </row>
    <row r="825" spans="1:14" x14ac:dyDescent="0.2">
      <c r="A825" s="7">
        <v>809</v>
      </c>
      <c r="B825" s="8" t="str">
        <f t="shared" si="120"/>
        <v/>
      </c>
      <c r="C825" s="8" t="str">
        <f t="shared" si="121"/>
        <v/>
      </c>
      <c r="D825" s="8" t="str">
        <f t="shared" si="122"/>
        <v/>
      </c>
      <c r="E825" s="9" t="str">
        <f t="shared" si="123"/>
        <v/>
      </c>
      <c r="F825" s="9" t="str">
        <f t="shared" si="124"/>
        <v/>
      </c>
      <c r="G825" s="9" t="str">
        <f t="shared" si="125"/>
        <v/>
      </c>
      <c r="H825" s="9" t="str">
        <f t="shared" si="126"/>
        <v/>
      </c>
      <c r="I825" s="10" t="str">
        <f t="shared" si="127"/>
        <v/>
      </c>
      <c r="J825" s="10" t="str">
        <f t="shared" si="129"/>
        <v/>
      </c>
      <c r="K825" s="11" t="str">
        <f t="shared" si="128"/>
        <v/>
      </c>
      <c r="M825" t="str">
        <f>IFERROR(MATCH($C$5&amp;"|"&amp;RIGHT("000000"&amp;809,6),CalcRankKeyA,0),"")</f>
        <v/>
      </c>
      <c r="N825" t="str">
        <f>IFERROR(MATCH($C$5&amp;"|"&amp;RIGHT("000000"&amp;809,6),CalcRankKeyB,0),"")</f>
        <v/>
      </c>
    </row>
    <row r="826" spans="1:14" x14ac:dyDescent="0.2">
      <c r="A826" s="12">
        <v>810</v>
      </c>
      <c r="B826" s="13" t="str">
        <f t="shared" si="120"/>
        <v/>
      </c>
      <c r="C826" s="13" t="str">
        <f t="shared" si="121"/>
        <v/>
      </c>
      <c r="D826" s="13" t="str">
        <f t="shared" si="122"/>
        <v/>
      </c>
      <c r="E826" s="14" t="str">
        <f t="shared" si="123"/>
        <v/>
      </c>
      <c r="F826" s="14" t="str">
        <f t="shared" si="124"/>
        <v/>
      </c>
      <c r="G826" s="14" t="str">
        <f t="shared" si="125"/>
        <v/>
      </c>
      <c r="H826" s="14" t="str">
        <f t="shared" si="126"/>
        <v/>
      </c>
      <c r="I826" s="15" t="str">
        <f t="shared" si="127"/>
        <v/>
      </c>
      <c r="J826" s="15" t="str">
        <f t="shared" si="129"/>
        <v/>
      </c>
      <c r="K826" s="16" t="str">
        <f t="shared" si="128"/>
        <v/>
      </c>
      <c r="M826" t="str">
        <f>IFERROR(MATCH($C$5&amp;"|"&amp;RIGHT("000000"&amp;810,6),CalcRankKeyA,0),"")</f>
        <v/>
      </c>
      <c r="N826" t="str">
        <f>IFERROR(MATCH($C$5&amp;"|"&amp;RIGHT("000000"&amp;810,6),CalcRankKeyB,0),"")</f>
        <v/>
      </c>
    </row>
    <row r="827" spans="1:14" x14ac:dyDescent="0.2">
      <c r="A827" s="7">
        <v>811</v>
      </c>
      <c r="B827" s="8" t="str">
        <f t="shared" si="120"/>
        <v/>
      </c>
      <c r="C827" s="8" t="str">
        <f t="shared" si="121"/>
        <v/>
      </c>
      <c r="D827" s="8" t="str">
        <f t="shared" si="122"/>
        <v/>
      </c>
      <c r="E827" s="9" t="str">
        <f t="shared" si="123"/>
        <v/>
      </c>
      <c r="F827" s="9" t="str">
        <f t="shared" si="124"/>
        <v/>
      </c>
      <c r="G827" s="9" t="str">
        <f t="shared" si="125"/>
        <v/>
      </c>
      <c r="H827" s="9" t="str">
        <f t="shared" si="126"/>
        <v/>
      </c>
      <c r="I827" s="10" t="str">
        <f t="shared" si="127"/>
        <v/>
      </c>
      <c r="J827" s="10" t="str">
        <f t="shared" si="129"/>
        <v/>
      </c>
      <c r="K827" s="11" t="str">
        <f t="shared" si="128"/>
        <v/>
      </c>
      <c r="M827" t="str">
        <f>IFERROR(MATCH($C$5&amp;"|"&amp;RIGHT("000000"&amp;811,6),CalcRankKeyA,0),"")</f>
        <v/>
      </c>
      <c r="N827" t="str">
        <f>IFERROR(MATCH($C$5&amp;"|"&amp;RIGHT("000000"&amp;811,6),CalcRankKeyB,0),"")</f>
        <v/>
      </c>
    </row>
    <row r="828" spans="1:14" x14ac:dyDescent="0.2">
      <c r="A828" s="12">
        <v>812</v>
      </c>
      <c r="B828" s="13" t="str">
        <f t="shared" si="120"/>
        <v/>
      </c>
      <c r="C828" s="13" t="str">
        <f t="shared" si="121"/>
        <v/>
      </c>
      <c r="D828" s="13" t="str">
        <f t="shared" si="122"/>
        <v/>
      </c>
      <c r="E828" s="14" t="str">
        <f t="shared" si="123"/>
        <v/>
      </c>
      <c r="F828" s="14" t="str">
        <f t="shared" si="124"/>
        <v/>
      </c>
      <c r="G828" s="14" t="str">
        <f t="shared" si="125"/>
        <v/>
      </c>
      <c r="H828" s="14" t="str">
        <f t="shared" si="126"/>
        <v/>
      </c>
      <c r="I828" s="15" t="str">
        <f t="shared" si="127"/>
        <v/>
      </c>
      <c r="J828" s="15" t="str">
        <f t="shared" si="129"/>
        <v/>
      </c>
      <c r="K828" s="16" t="str">
        <f t="shared" si="128"/>
        <v/>
      </c>
      <c r="M828" t="str">
        <f>IFERROR(MATCH($C$5&amp;"|"&amp;RIGHT("000000"&amp;812,6),CalcRankKeyA,0),"")</f>
        <v/>
      </c>
      <c r="N828" t="str">
        <f>IFERROR(MATCH($C$5&amp;"|"&amp;RIGHT("000000"&amp;812,6),CalcRankKeyB,0),"")</f>
        <v/>
      </c>
    </row>
    <row r="829" spans="1:14" x14ac:dyDescent="0.2">
      <c r="A829" s="7">
        <v>813</v>
      </c>
      <c r="B829" s="8" t="str">
        <f t="shared" si="120"/>
        <v/>
      </c>
      <c r="C829" s="8" t="str">
        <f t="shared" si="121"/>
        <v/>
      </c>
      <c r="D829" s="8" t="str">
        <f t="shared" si="122"/>
        <v/>
      </c>
      <c r="E829" s="9" t="str">
        <f t="shared" si="123"/>
        <v/>
      </c>
      <c r="F829" s="9" t="str">
        <f t="shared" si="124"/>
        <v/>
      </c>
      <c r="G829" s="9" t="str">
        <f t="shared" si="125"/>
        <v/>
      </c>
      <c r="H829" s="9" t="str">
        <f t="shared" si="126"/>
        <v/>
      </c>
      <c r="I829" s="10" t="str">
        <f t="shared" si="127"/>
        <v/>
      </c>
      <c r="J829" s="10" t="str">
        <f t="shared" si="129"/>
        <v/>
      </c>
      <c r="K829" s="11" t="str">
        <f t="shared" si="128"/>
        <v/>
      </c>
      <c r="M829" t="str">
        <f>IFERROR(MATCH($C$5&amp;"|"&amp;RIGHT("000000"&amp;813,6),CalcRankKeyA,0),"")</f>
        <v/>
      </c>
      <c r="N829" t="str">
        <f>IFERROR(MATCH($C$5&amp;"|"&amp;RIGHT("000000"&amp;813,6),CalcRankKeyB,0),"")</f>
        <v/>
      </c>
    </row>
    <row r="830" spans="1:14" x14ac:dyDescent="0.2">
      <c r="A830" s="12">
        <v>814</v>
      </c>
      <c r="B830" s="13" t="str">
        <f t="shared" si="120"/>
        <v/>
      </c>
      <c r="C830" s="13" t="str">
        <f t="shared" si="121"/>
        <v/>
      </c>
      <c r="D830" s="13" t="str">
        <f t="shared" si="122"/>
        <v/>
      </c>
      <c r="E830" s="14" t="str">
        <f t="shared" si="123"/>
        <v/>
      </c>
      <c r="F830" s="14" t="str">
        <f t="shared" si="124"/>
        <v/>
      </c>
      <c r="G830" s="14" t="str">
        <f t="shared" si="125"/>
        <v/>
      </c>
      <c r="H830" s="14" t="str">
        <f t="shared" si="126"/>
        <v/>
      </c>
      <c r="I830" s="15" t="str">
        <f t="shared" si="127"/>
        <v/>
      </c>
      <c r="J830" s="15" t="str">
        <f t="shared" si="129"/>
        <v/>
      </c>
      <c r="K830" s="16" t="str">
        <f t="shared" si="128"/>
        <v/>
      </c>
      <c r="M830" t="str">
        <f>IFERROR(MATCH($C$5&amp;"|"&amp;RIGHT("000000"&amp;814,6),CalcRankKeyA,0),"")</f>
        <v/>
      </c>
      <c r="N830" t="str">
        <f>IFERROR(MATCH($C$5&amp;"|"&amp;RIGHT("000000"&amp;814,6),CalcRankKeyB,0),"")</f>
        <v/>
      </c>
    </row>
    <row r="831" spans="1:14" x14ac:dyDescent="0.2">
      <c r="A831" s="7">
        <v>815</v>
      </c>
      <c r="B831" s="8" t="str">
        <f t="shared" si="120"/>
        <v/>
      </c>
      <c r="C831" s="8" t="str">
        <f t="shared" si="121"/>
        <v/>
      </c>
      <c r="D831" s="8" t="str">
        <f t="shared" si="122"/>
        <v/>
      </c>
      <c r="E831" s="9" t="str">
        <f t="shared" si="123"/>
        <v/>
      </c>
      <c r="F831" s="9" t="str">
        <f t="shared" si="124"/>
        <v/>
      </c>
      <c r="G831" s="9" t="str">
        <f t="shared" si="125"/>
        <v/>
      </c>
      <c r="H831" s="9" t="str">
        <f t="shared" si="126"/>
        <v/>
      </c>
      <c r="I831" s="10" t="str">
        <f t="shared" si="127"/>
        <v/>
      </c>
      <c r="J831" s="10" t="str">
        <f t="shared" si="129"/>
        <v/>
      </c>
      <c r="K831" s="11" t="str">
        <f t="shared" si="128"/>
        <v/>
      </c>
      <c r="M831" t="str">
        <f>IFERROR(MATCH($C$5&amp;"|"&amp;RIGHT("000000"&amp;815,6),CalcRankKeyA,0),"")</f>
        <v/>
      </c>
      <c r="N831" t="str">
        <f>IFERROR(MATCH($C$5&amp;"|"&amp;RIGHT("000000"&amp;815,6),CalcRankKeyB,0),"")</f>
        <v/>
      </c>
    </row>
    <row r="832" spans="1:14" x14ac:dyDescent="0.2">
      <c r="A832" s="12">
        <v>816</v>
      </c>
      <c r="B832" s="13" t="str">
        <f t="shared" si="120"/>
        <v/>
      </c>
      <c r="C832" s="13" t="str">
        <f t="shared" si="121"/>
        <v/>
      </c>
      <c r="D832" s="13" t="str">
        <f t="shared" si="122"/>
        <v/>
      </c>
      <c r="E832" s="14" t="str">
        <f t="shared" si="123"/>
        <v/>
      </c>
      <c r="F832" s="14" t="str">
        <f t="shared" si="124"/>
        <v/>
      </c>
      <c r="G832" s="14" t="str">
        <f t="shared" si="125"/>
        <v/>
      </c>
      <c r="H832" s="14" t="str">
        <f t="shared" si="126"/>
        <v/>
      </c>
      <c r="I832" s="15" t="str">
        <f t="shared" si="127"/>
        <v/>
      </c>
      <c r="J832" s="15" t="str">
        <f t="shared" si="129"/>
        <v/>
      </c>
      <c r="K832" s="16" t="str">
        <f t="shared" si="128"/>
        <v/>
      </c>
      <c r="M832" t="str">
        <f>IFERROR(MATCH($C$5&amp;"|"&amp;RIGHT("000000"&amp;816,6),CalcRankKeyA,0),"")</f>
        <v/>
      </c>
      <c r="N832" t="str">
        <f>IFERROR(MATCH($C$5&amp;"|"&amp;RIGHT("000000"&amp;816,6),CalcRankKeyB,0),"")</f>
        <v/>
      </c>
    </row>
    <row r="833" spans="1:14" x14ac:dyDescent="0.2">
      <c r="A833" s="7">
        <v>817</v>
      </c>
      <c r="B833" s="8" t="str">
        <f t="shared" si="120"/>
        <v/>
      </c>
      <c r="C833" s="8" t="str">
        <f t="shared" si="121"/>
        <v/>
      </c>
      <c r="D833" s="8" t="str">
        <f t="shared" si="122"/>
        <v/>
      </c>
      <c r="E833" s="9" t="str">
        <f t="shared" si="123"/>
        <v/>
      </c>
      <c r="F833" s="9" t="str">
        <f t="shared" si="124"/>
        <v/>
      </c>
      <c r="G833" s="9" t="str">
        <f t="shared" si="125"/>
        <v/>
      </c>
      <c r="H833" s="9" t="str">
        <f t="shared" si="126"/>
        <v/>
      </c>
      <c r="I833" s="10" t="str">
        <f t="shared" si="127"/>
        <v/>
      </c>
      <c r="J833" s="10" t="str">
        <f t="shared" si="129"/>
        <v/>
      </c>
      <c r="K833" s="11" t="str">
        <f t="shared" si="128"/>
        <v/>
      </c>
      <c r="M833" t="str">
        <f>IFERROR(MATCH($C$5&amp;"|"&amp;RIGHT("000000"&amp;817,6),CalcRankKeyA,0),"")</f>
        <v/>
      </c>
      <c r="N833" t="str">
        <f>IFERROR(MATCH($C$5&amp;"|"&amp;RIGHT("000000"&amp;817,6),CalcRankKeyB,0),"")</f>
        <v/>
      </c>
    </row>
    <row r="834" spans="1:14" x14ac:dyDescent="0.2">
      <c r="A834" s="12">
        <v>818</v>
      </c>
      <c r="B834" s="13" t="str">
        <f t="shared" si="120"/>
        <v/>
      </c>
      <c r="C834" s="13" t="str">
        <f t="shared" si="121"/>
        <v/>
      </c>
      <c r="D834" s="13" t="str">
        <f t="shared" si="122"/>
        <v/>
      </c>
      <c r="E834" s="14" t="str">
        <f t="shared" si="123"/>
        <v/>
      </c>
      <c r="F834" s="14" t="str">
        <f t="shared" si="124"/>
        <v/>
      </c>
      <c r="G834" s="14" t="str">
        <f t="shared" si="125"/>
        <v/>
      </c>
      <c r="H834" s="14" t="str">
        <f t="shared" si="126"/>
        <v/>
      </c>
      <c r="I834" s="15" t="str">
        <f t="shared" si="127"/>
        <v/>
      </c>
      <c r="J834" s="15" t="str">
        <f t="shared" si="129"/>
        <v/>
      </c>
      <c r="K834" s="16" t="str">
        <f t="shared" si="128"/>
        <v/>
      </c>
      <c r="M834" t="str">
        <f>IFERROR(MATCH($C$5&amp;"|"&amp;RIGHT("000000"&amp;818,6),CalcRankKeyA,0),"")</f>
        <v/>
      </c>
      <c r="N834" t="str">
        <f>IFERROR(MATCH($C$5&amp;"|"&amp;RIGHT("000000"&amp;818,6),CalcRankKeyB,0),"")</f>
        <v/>
      </c>
    </row>
    <row r="835" spans="1:14" x14ac:dyDescent="0.2">
      <c r="A835" s="7">
        <v>819</v>
      </c>
      <c r="B835" s="8" t="str">
        <f t="shared" si="120"/>
        <v/>
      </c>
      <c r="C835" s="8" t="str">
        <f t="shared" si="121"/>
        <v/>
      </c>
      <c r="D835" s="8" t="str">
        <f t="shared" si="122"/>
        <v/>
      </c>
      <c r="E835" s="9" t="str">
        <f t="shared" si="123"/>
        <v/>
      </c>
      <c r="F835" s="9" t="str">
        <f t="shared" si="124"/>
        <v/>
      </c>
      <c r="G835" s="9" t="str">
        <f t="shared" si="125"/>
        <v/>
      </c>
      <c r="H835" s="9" t="str">
        <f t="shared" si="126"/>
        <v/>
      </c>
      <c r="I835" s="10" t="str">
        <f t="shared" si="127"/>
        <v/>
      </c>
      <c r="J835" s="10" t="str">
        <f t="shared" si="129"/>
        <v/>
      </c>
      <c r="K835" s="11" t="str">
        <f t="shared" si="128"/>
        <v/>
      </c>
      <c r="M835" t="str">
        <f>IFERROR(MATCH($C$5&amp;"|"&amp;RIGHT("000000"&amp;819,6),CalcRankKeyA,0),"")</f>
        <v/>
      </c>
      <c r="N835" t="str">
        <f>IFERROR(MATCH($C$5&amp;"|"&amp;RIGHT("000000"&amp;819,6),CalcRankKeyB,0),"")</f>
        <v/>
      </c>
    </row>
    <row r="836" spans="1:14" x14ac:dyDescent="0.2">
      <c r="A836" s="12">
        <v>820</v>
      </c>
      <c r="B836" s="13" t="str">
        <f t="shared" si="120"/>
        <v/>
      </c>
      <c r="C836" s="13" t="str">
        <f t="shared" si="121"/>
        <v/>
      </c>
      <c r="D836" s="13" t="str">
        <f t="shared" si="122"/>
        <v/>
      </c>
      <c r="E836" s="14" t="str">
        <f t="shared" si="123"/>
        <v/>
      </c>
      <c r="F836" s="14" t="str">
        <f t="shared" si="124"/>
        <v/>
      </c>
      <c r="G836" s="14" t="str">
        <f t="shared" si="125"/>
        <v/>
      </c>
      <c r="H836" s="14" t="str">
        <f t="shared" si="126"/>
        <v/>
      </c>
      <c r="I836" s="15" t="str">
        <f t="shared" si="127"/>
        <v/>
      </c>
      <c r="J836" s="15" t="str">
        <f t="shared" si="129"/>
        <v/>
      </c>
      <c r="K836" s="16" t="str">
        <f t="shared" si="128"/>
        <v/>
      </c>
      <c r="M836" t="str">
        <f>IFERROR(MATCH($C$5&amp;"|"&amp;RIGHT("000000"&amp;820,6),CalcRankKeyA,0),"")</f>
        <v/>
      </c>
      <c r="N836" t="str">
        <f>IFERROR(MATCH($C$5&amp;"|"&amp;RIGHT("000000"&amp;820,6),CalcRankKeyB,0),"")</f>
        <v/>
      </c>
    </row>
    <row r="837" spans="1:14" x14ac:dyDescent="0.2">
      <c r="A837" s="7">
        <v>821</v>
      </c>
      <c r="B837" s="8" t="str">
        <f t="shared" si="120"/>
        <v/>
      </c>
      <c r="C837" s="8" t="str">
        <f t="shared" si="121"/>
        <v/>
      </c>
      <c r="D837" s="8" t="str">
        <f t="shared" si="122"/>
        <v/>
      </c>
      <c r="E837" s="9" t="str">
        <f t="shared" si="123"/>
        <v/>
      </c>
      <c r="F837" s="9" t="str">
        <f t="shared" si="124"/>
        <v/>
      </c>
      <c r="G837" s="9" t="str">
        <f t="shared" si="125"/>
        <v/>
      </c>
      <c r="H837" s="9" t="str">
        <f t="shared" si="126"/>
        <v/>
      </c>
      <c r="I837" s="10" t="str">
        <f t="shared" si="127"/>
        <v/>
      </c>
      <c r="J837" s="10" t="str">
        <f t="shared" si="129"/>
        <v/>
      </c>
      <c r="K837" s="11" t="str">
        <f t="shared" si="128"/>
        <v/>
      </c>
      <c r="M837" t="str">
        <f>IFERROR(MATCH($C$5&amp;"|"&amp;RIGHT("000000"&amp;821,6),CalcRankKeyA,0),"")</f>
        <v/>
      </c>
      <c r="N837" t="str">
        <f>IFERROR(MATCH($C$5&amp;"|"&amp;RIGHT("000000"&amp;821,6),CalcRankKeyB,0),"")</f>
        <v/>
      </c>
    </row>
    <row r="838" spans="1:14" x14ac:dyDescent="0.2">
      <c r="A838" s="12">
        <v>822</v>
      </c>
      <c r="B838" s="13" t="str">
        <f t="shared" si="120"/>
        <v/>
      </c>
      <c r="C838" s="13" t="str">
        <f t="shared" si="121"/>
        <v/>
      </c>
      <c r="D838" s="13" t="str">
        <f t="shared" si="122"/>
        <v/>
      </c>
      <c r="E838" s="14" t="str">
        <f t="shared" si="123"/>
        <v/>
      </c>
      <c r="F838" s="14" t="str">
        <f t="shared" si="124"/>
        <v/>
      </c>
      <c r="G838" s="14" t="str">
        <f t="shared" si="125"/>
        <v/>
      </c>
      <c r="H838" s="14" t="str">
        <f t="shared" si="126"/>
        <v/>
      </c>
      <c r="I838" s="15" t="str">
        <f t="shared" si="127"/>
        <v/>
      </c>
      <c r="J838" s="15" t="str">
        <f t="shared" si="129"/>
        <v/>
      </c>
      <c r="K838" s="16" t="str">
        <f t="shared" si="128"/>
        <v/>
      </c>
      <c r="M838" t="str">
        <f>IFERROR(MATCH($C$5&amp;"|"&amp;RIGHT("000000"&amp;822,6),CalcRankKeyA,0),"")</f>
        <v/>
      </c>
      <c r="N838" t="str">
        <f>IFERROR(MATCH($C$5&amp;"|"&amp;RIGHT("000000"&amp;822,6),CalcRankKeyB,0),"")</f>
        <v/>
      </c>
    </row>
    <row r="839" spans="1:14" x14ac:dyDescent="0.2">
      <c r="A839" s="7">
        <v>823</v>
      </c>
      <c r="B839" s="8" t="str">
        <f t="shared" si="120"/>
        <v/>
      </c>
      <c r="C839" s="8" t="str">
        <f t="shared" si="121"/>
        <v/>
      </c>
      <c r="D839" s="8" t="str">
        <f t="shared" si="122"/>
        <v/>
      </c>
      <c r="E839" s="9" t="str">
        <f t="shared" si="123"/>
        <v/>
      </c>
      <c r="F839" s="9" t="str">
        <f t="shared" si="124"/>
        <v/>
      </c>
      <c r="G839" s="9" t="str">
        <f t="shared" si="125"/>
        <v/>
      </c>
      <c r="H839" s="9" t="str">
        <f t="shared" si="126"/>
        <v/>
      </c>
      <c r="I839" s="10" t="str">
        <f t="shared" si="127"/>
        <v/>
      </c>
      <c r="J839" s="10" t="str">
        <f t="shared" si="129"/>
        <v/>
      </c>
      <c r="K839" s="11" t="str">
        <f t="shared" si="128"/>
        <v/>
      </c>
      <c r="M839" t="str">
        <f>IFERROR(MATCH($C$5&amp;"|"&amp;RIGHT("000000"&amp;823,6),CalcRankKeyA,0),"")</f>
        <v/>
      </c>
      <c r="N839" t="str">
        <f>IFERROR(MATCH($C$5&amp;"|"&amp;RIGHT("000000"&amp;823,6),CalcRankKeyB,0),"")</f>
        <v/>
      </c>
    </row>
    <row r="840" spans="1:14" x14ac:dyDescent="0.2">
      <c r="A840" s="12">
        <v>824</v>
      </c>
      <c r="B840" s="13" t="str">
        <f t="shared" si="120"/>
        <v/>
      </c>
      <c r="C840" s="13" t="str">
        <f t="shared" si="121"/>
        <v/>
      </c>
      <c r="D840" s="13" t="str">
        <f t="shared" si="122"/>
        <v/>
      </c>
      <c r="E840" s="14" t="str">
        <f t="shared" si="123"/>
        <v/>
      </c>
      <c r="F840" s="14" t="str">
        <f t="shared" si="124"/>
        <v/>
      </c>
      <c r="G840" s="14" t="str">
        <f t="shared" si="125"/>
        <v/>
      </c>
      <c r="H840" s="14" t="str">
        <f t="shared" si="126"/>
        <v/>
      </c>
      <c r="I840" s="15" t="str">
        <f t="shared" si="127"/>
        <v/>
      </c>
      <c r="J840" s="15" t="str">
        <f t="shared" si="129"/>
        <v/>
      </c>
      <c r="K840" s="16" t="str">
        <f t="shared" si="128"/>
        <v/>
      </c>
      <c r="M840" t="str">
        <f>IFERROR(MATCH($C$5&amp;"|"&amp;RIGHT("000000"&amp;824,6),CalcRankKeyA,0),"")</f>
        <v/>
      </c>
      <c r="N840" t="str">
        <f>IFERROR(MATCH($C$5&amp;"|"&amp;RIGHT("000000"&amp;824,6),CalcRankKeyB,0),"")</f>
        <v/>
      </c>
    </row>
    <row r="841" spans="1:14" x14ac:dyDescent="0.2">
      <c r="A841" s="7">
        <v>825</v>
      </c>
      <c r="B841" s="8" t="str">
        <f t="shared" si="120"/>
        <v/>
      </c>
      <c r="C841" s="8" t="str">
        <f t="shared" si="121"/>
        <v/>
      </c>
      <c r="D841" s="8" t="str">
        <f t="shared" si="122"/>
        <v/>
      </c>
      <c r="E841" s="9" t="str">
        <f t="shared" si="123"/>
        <v/>
      </c>
      <c r="F841" s="9" t="str">
        <f t="shared" si="124"/>
        <v/>
      </c>
      <c r="G841" s="9" t="str">
        <f t="shared" si="125"/>
        <v/>
      </c>
      <c r="H841" s="9" t="str">
        <f t="shared" si="126"/>
        <v/>
      </c>
      <c r="I841" s="10" t="str">
        <f t="shared" si="127"/>
        <v/>
      </c>
      <c r="J841" s="10" t="str">
        <f t="shared" si="129"/>
        <v/>
      </c>
      <c r="K841" s="11" t="str">
        <f t="shared" si="128"/>
        <v/>
      </c>
      <c r="M841" t="str">
        <f>IFERROR(MATCH($C$5&amp;"|"&amp;RIGHT("000000"&amp;825,6),CalcRankKeyA,0),"")</f>
        <v/>
      </c>
      <c r="N841" t="str">
        <f>IFERROR(MATCH($C$5&amp;"|"&amp;RIGHT("000000"&amp;825,6),CalcRankKeyB,0),"")</f>
        <v/>
      </c>
    </row>
    <row r="842" spans="1:14" x14ac:dyDescent="0.2">
      <c r="A842" s="12">
        <v>826</v>
      </c>
      <c r="B842" s="13" t="str">
        <f t="shared" si="120"/>
        <v/>
      </c>
      <c r="C842" s="13" t="str">
        <f t="shared" si="121"/>
        <v/>
      </c>
      <c r="D842" s="13" t="str">
        <f t="shared" si="122"/>
        <v/>
      </c>
      <c r="E842" s="14" t="str">
        <f t="shared" si="123"/>
        <v/>
      </c>
      <c r="F842" s="14" t="str">
        <f t="shared" si="124"/>
        <v/>
      </c>
      <c r="G842" s="14" t="str">
        <f t="shared" si="125"/>
        <v/>
      </c>
      <c r="H842" s="14" t="str">
        <f t="shared" si="126"/>
        <v/>
      </c>
      <c r="I842" s="15" t="str">
        <f t="shared" si="127"/>
        <v/>
      </c>
      <c r="J842" s="15" t="str">
        <f t="shared" si="129"/>
        <v/>
      </c>
      <c r="K842" s="16" t="str">
        <f t="shared" si="128"/>
        <v/>
      </c>
      <c r="M842" t="str">
        <f>IFERROR(MATCH($C$5&amp;"|"&amp;RIGHT("000000"&amp;826,6),CalcRankKeyA,0),"")</f>
        <v/>
      </c>
      <c r="N842" t="str">
        <f>IFERROR(MATCH($C$5&amp;"|"&amp;RIGHT("000000"&amp;826,6),CalcRankKeyB,0),"")</f>
        <v/>
      </c>
    </row>
    <row r="843" spans="1:14" x14ac:dyDescent="0.2">
      <c r="A843" s="7">
        <v>827</v>
      </c>
      <c r="B843" s="8" t="str">
        <f t="shared" si="120"/>
        <v/>
      </c>
      <c r="C843" s="8" t="str">
        <f t="shared" si="121"/>
        <v/>
      </c>
      <c r="D843" s="8" t="str">
        <f t="shared" si="122"/>
        <v/>
      </c>
      <c r="E843" s="9" t="str">
        <f t="shared" si="123"/>
        <v/>
      </c>
      <c r="F843" s="9" t="str">
        <f t="shared" si="124"/>
        <v/>
      </c>
      <c r="G843" s="9" t="str">
        <f t="shared" si="125"/>
        <v/>
      </c>
      <c r="H843" s="9" t="str">
        <f t="shared" si="126"/>
        <v/>
      </c>
      <c r="I843" s="10" t="str">
        <f t="shared" si="127"/>
        <v/>
      </c>
      <c r="J843" s="10" t="str">
        <f t="shared" si="129"/>
        <v/>
      </c>
      <c r="K843" s="11" t="str">
        <f t="shared" si="128"/>
        <v/>
      </c>
      <c r="M843" t="str">
        <f>IFERROR(MATCH($C$5&amp;"|"&amp;RIGHT("000000"&amp;827,6),CalcRankKeyA,0),"")</f>
        <v/>
      </c>
      <c r="N843" t="str">
        <f>IFERROR(MATCH($C$5&amp;"|"&amp;RIGHT("000000"&amp;827,6),CalcRankKeyB,0),"")</f>
        <v/>
      </c>
    </row>
    <row r="844" spans="1:14" x14ac:dyDescent="0.2">
      <c r="A844" s="12">
        <v>828</v>
      </c>
      <c r="B844" s="13" t="str">
        <f t="shared" si="120"/>
        <v/>
      </c>
      <c r="C844" s="13" t="str">
        <f t="shared" si="121"/>
        <v/>
      </c>
      <c r="D844" s="13" t="str">
        <f t="shared" si="122"/>
        <v/>
      </c>
      <c r="E844" s="14" t="str">
        <f t="shared" si="123"/>
        <v/>
      </c>
      <c r="F844" s="14" t="str">
        <f t="shared" si="124"/>
        <v/>
      </c>
      <c r="G844" s="14" t="str">
        <f t="shared" si="125"/>
        <v/>
      </c>
      <c r="H844" s="14" t="str">
        <f t="shared" si="126"/>
        <v/>
      </c>
      <c r="I844" s="15" t="str">
        <f t="shared" si="127"/>
        <v/>
      </c>
      <c r="J844" s="15" t="str">
        <f t="shared" si="129"/>
        <v/>
      </c>
      <c r="K844" s="16" t="str">
        <f t="shared" si="128"/>
        <v/>
      </c>
      <c r="M844" t="str">
        <f>IFERROR(MATCH($C$5&amp;"|"&amp;RIGHT("000000"&amp;828,6),CalcRankKeyA,0),"")</f>
        <v/>
      </c>
      <c r="N844" t="str">
        <f>IFERROR(MATCH($C$5&amp;"|"&amp;RIGHT("000000"&amp;828,6),CalcRankKeyB,0),"")</f>
        <v/>
      </c>
    </row>
    <row r="845" spans="1:14" x14ac:dyDescent="0.2">
      <c r="A845" s="7">
        <v>829</v>
      </c>
      <c r="B845" s="8" t="str">
        <f t="shared" si="120"/>
        <v/>
      </c>
      <c r="C845" s="8" t="str">
        <f t="shared" si="121"/>
        <v/>
      </c>
      <c r="D845" s="8" t="str">
        <f t="shared" si="122"/>
        <v/>
      </c>
      <c r="E845" s="9" t="str">
        <f t="shared" si="123"/>
        <v/>
      </c>
      <c r="F845" s="9" t="str">
        <f t="shared" si="124"/>
        <v/>
      </c>
      <c r="G845" s="9" t="str">
        <f t="shared" si="125"/>
        <v/>
      </c>
      <c r="H845" s="9" t="str">
        <f t="shared" si="126"/>
        <v/>
      </c>
      <c r="I845" s="10" t="str">
        <f t="shared" si="127"/>
        <v/>
      </c>
      <c r="J845" s="10" t="str">
        <f t="shared" si="129"/>
        <v/>
      </c>
      <c r="K845" s="11" t="str">
        <f t="shared" si="128"/>
        <v/>
      </c>
      <c r="M845" t="str">
        <f>IFERROR(MATCH($C$5&amp;"|"&amp;RIGHT("000000"&amp;829,6),CalcRankKeyA,0),"")</f>
        <v/>
      </c>
      <c r="N845" t="str">
        <f>IFERROR(MATCH($C$5&amp;"|"&amp;RIGHT("000000"&amp;829,6),CalcRankKeyB,0),"")</f>
        <v/>
      </c>
    </row>
    <row r="846" spans="1:14" x14ac:dyDescent="0.2">
      <c r="A846" s="12">
        <v>830</v>
      </c>
      <c r="B846" s="13" t="str">
        <f t="shared" si="120"/>
        <v/>
      </c>
      <c r="C846" s="13" t="str">
        <f t="shared" si="121"/>
        <v/>
      </c>
      <c r="D846" s="13" t="str">
        <f t="shared" si="122"/>
        <v/>
      </c>
      <c r="E846" s="14" t="str">
        <f t="shared" si="123"/>
        <v/>
      </c>
      <c r="F846" s="14" t="str">
        <f t="shared" si="124"/>
        <v/>
      </c>
      <c r="G846" s="14" t="str">
        <f t="shared" si="125"/>
        <v/>
      </c>
      <c r="H846" s="14" t="str">
        <f t="shared" si="126"/>
        <v/>
      </c>
      <c r="I846" s="15" t="str">
        <f t="shared" si="127"/>
        <v/>
      </c>
      <c r="J846" s="15" t="str">
        <f t="shared" si="129"/>
        <v/>
      </c>
      <c r="K846" s="16" t="str">
        <f t="shared" si="128"/>
        <v/>
      </c>
      <c r="M846" t="str">
        <f>IFERROR(MATCH($C$5&amp;"|"&amp;RIGHT("000000"&amp;830,6),CalcRankKeyA,0),"")</f>
        <v/>
      </c>
      <c r="N846" t="str">
        <f>IFERROR(MATCH($C$5&amp;"|"&amp;RIGHT("000000"&amp;830,6),CalcRankKeyB,0),"")</f>
        <v/>
      </c>
    </row>
    <row r="847" spans="1:14" x14ac:dyDescent="0.2">
      <c r="A847" s="7">
        <v>831</v>
      </c>
      <c r="B847" s="8" t="str">
        <f t="shared" si="120"/>
        <v/>
      </c>
      <c r="C847" s="8" t="str">
        <f t="shared" si="121"/>
        <v/>
      </c>
      <c r="D847" s="8" t="str">
        <f t="shared" si="122"/>
        <v/>
      </c>
      <c r="E847" s="9" t="str">
        <f t="shared" si="123"/>
        <v/>
      </c>
      <c r="F847" s="9" t="str">
        <f t="shared" si="124"/>
        <v/>
      </c>
      <c r="G847" s="9" t="str">
        <f t="shared" si="125"/>
        <v/>
      </c>
      <c r="H847" s="9" t="str">
        <f t="shared" si="126"/>
        <v/>
      </c>
      <c r="I847" s="10" t="str">
        <f t="shared" si="127"/>
        <v/>
      </c>
      <c r="J847" s="10" t="str">
        <f t="shared" si="129"/>
        <v/>
      </c>
      <c r="K847" s="11" t="str">
        <f t="shared" si="128"/>
        <v/>
      </c>
      <c r="M847" t="str">
        <f>IFERROR(MATCH($C$5&amp;"|"&amp;RIGHT("000000"&amp;831,6),CalcRankKeyA,0),"")</f>
        <v/>
      </c>
      <c r="N847" t="str">
        <f>IFERROR(MATCH($C$5&amp;"|"&amp;RIGHT("000000"&amp;831,6),CalcRankKeyB,0),"")</f>
        <v/>
      </c>
    </row>
    <row r="848" spans="1:14" x14ac:dyDescent="0.2">
      <c r="A848" s="12">
        <v>832</v>
      </c>
      <c r="B848" s="13" t="str">
        <f t="shared" si="120"/>
        <v/>
      </c>
      <c r="C848" s="13" t="str">
        <f t="shared" si="121"/>
        <v/>
      </c>
      <c r="D848" s="13" t="str">
        <f t="shared" si="122"/>
        <v/>
      </c>
      <c r="E848" s="14" t="str">
        <f t="shared" si="123"/>
        <v/>
      </c>
      <c r="F848" s="14" t="str">
        <f t="shared" si="124"/>
        <v/>
      </c>
      <c r="G848" s="14" t="str">
        <f t="shared" si="125"/>
        <v/>
      </c>
      <c r="H848" s="14" t="str">
        <f t="shared" si="126"/>
        <v/>
      </c>
      <c r="I848" s="15" t="str">
        <f t="shared" si="127"/>
        <v/>
      </c>
      <c r="J848" s="15" t="str">
        <f t="shared" si="129"/>
        <v/>
      </c>
      <c r="K848" s="16" t="str">
        <f t="shared" si="128"/>
        <v/>
      </c>
      <c r="M848" t="str">
        <f>IFERROR(MATCH($C$5&amp;"|"&amp;RIGHT("000000"&amp;832,6),CalcRankKeyA,0),"")</f>
        <v/>
      </c>
      <c r="N848" t="str">
        <f>IFERROR(MATCH($C$5&amp;"|"&amp;RIGHT("000000"&amp;832,6),CalcRankKeyB,0),"")</f>
        <v/>
      </c>
    </row>
    <row r="849" spans="1:14" x14ac:dyDescent="0.2">
      <c r="A849" s="7">
        <v>833</v>
      </c>
      <c r="B849" s="8" t="str">
        <f t="shared" ref="B849:B912" si="130">IF(AND($M849="",$N849=""),"",IF($M849&lt;&gt;"",INDEX(CalcDateA,$M849),INDEX(CalcDateB,$N849)))</f>
        <v/>
      </c>
      <c r="C849" s="8" t="str">
        <f t="shared" ref="C849:C912" si="131">IF($M849&lt;&gt;"","خرید سبد",IF($N849&lt;&gt;"",IF(N(INDEX(CalcDepB,$N849))&gt;0,"دریافت بانکی","پرداخت بانکی"),""))</f>
        <v/>
      </c>
      <c r="D849" s="8" t="str">
        <f t="shared" ref="D849:D912" si="132">IF($M849&lt;&gt;"",IF(INDEX(CalcDocA,$M849)="","—",INDEX(CalcDocA,$M849)),IF($N849&lt;&gt;"",INDEX(CalcBankB,$N849),""))</f>
        <v/>
      </c>
      <c r="E849" s="9" t="str">
        <f t="shared" ref="E849:E912" si="133">IF($N849&lt;&gt;"",IF(INDEX(CalcDepB,$N849)=0,"",INDEX(CalcDepB,$N849)),"")</f>
        <v/>
      </c>
      <c r="F849" s="9" t="str">
        <f t="shared" ref="F849:F912" si="134">IF($M849&lt;&gt;"",IF(INDEX(CalcQtyA,$M849)=0,"",INDEX(CalcQtyA,$M849)),"")</f>
        <v/>
      </c>
      <c r="G849" s="9" t="str">
        <f t="shared" ref="G849:G912" si="135">IF($M849&lt;&gt;"",IF(INDEX(CalcPriceA,$M849)=0,"",INDEX(CalcPriceA,$M849)),"")</f>
        <v/>
      </c>
      <c r="H849" s="9" t="str">
        <f t="shared" ref="H849:H912" si="136">IF($N849&lt;&gt;"",IF(INDEX(CalcWitB,$N849)=0,"",INDEX(CalcWitB,$N849)),"")</f>
        <v/>
      </c>
      <c r="I849" s="10" t="str">
        <f t="shared" ref="I849:I912" si="137">IF($M849&lt;&gt;"",INDEX(CalcAmtA,$M849),"")</f>
        <v/>
      </c>
      <c r="J849" s="10" t="str">
        <f t="shared" si="129"/>
        <v/>
      </c>
      <c r="K849" s="11" t="str">
        <f t="shared" ref="K849:K912" si="138">IF($M849&lt;&gt;"",IF(INDEX(CalcNoteA,$M849)="","—",INDEX(CalcNoteA,$M849)),IF($N849&lt;&gt;"",IF(INDEX(CalcNoteB,$N849)="","—",INDEX(CalcNoteB,$N849)),""))</f>
        <v/>
      </c>
      <c r="M849" t="str">
        <f>IFERROR(MATCH($C$5&amp;"|"&amp;RIGHT("000000"&amp;833,6),CalcRankKeyA,0),"")</f>
        <v/>
      </c>
      <c r="N849" t="str">
        <f>IFERROR(MATCH($C$5&amp;"|"&amp;RIGHT("000000"&amp;833,6),CalcRankKeyB,0),"")</f>
        <v/>
      </c>
    </row>
    <row r="850" spans="1:14" x14ac:dyDescent="0.2">
      <c r="A850" s="12">
        <v>834</v>
      </c>
      <c r="B850" s="13" t="str">
        <f t="shared" si="130"/>
        <v/>
      </c>
      <c r="C850" s="13" t="str">
        <f t="shared" si="131"/>
        <v/>
      </c>
      <c r="D850" s="13" t="str">
        <f t="shared" si="132"/>
        <v/>
      </c>
      <c r="E850" s="14" t="str">
        <f t="shared" si="133"/>
        <v/>
      </c>
      <c r="F850" s="14" t="str">
        <f t="shared" si="134"/>
        <v/>
      </c>
      <c r="G850" s="14" t="str">
        <f t="shared" si="135"/>
        <v/>
      </c>
      <c r="H850" s="14" t="str">
        <f t="shared" si="136"/>
        <v/>
      </c>
      <c r="I850" s="15" t="str">
        <f t="shared" si="137"/>
        <v/>
      </c>
      <c r="J850" s="15" t="str">
        <f t="shared" ref="J850:J913" si="139">IF($B850="","",IF($J849="",$C$8,$J849)+IF($I850="",0,$I850)+IF($E850="",0,$E850)-IF($H850="",0,$H850))</f>
        <v/>
      </c>
      <c r="K850" s="16" t="str">
        <f t="shared" si="138"/>
        <v/>
      </c>
      <c r="M850" t="str">
        <f>IFERROR(MATCH($C$5&amp;"|"&amp;RIGHT("000000"&amp;834,6),CalcRankKeyA,0),"")</f>
        <v/>
      </c>
      <c r="N850" t="str">
        <f>IFERROR(MATCH($C$5&amp;"|"&amp;RIGHT("000000"&amp;834,6),CalcRankKeyB,0),"")</f>
        <v/>
      </c>
    </row>
    <row r="851" spans="1:14" x14ac:dyDescent="0.2">
      <c r="A851" s="7">
        <v>835</v>
      </c>
      <c r="B851" s="8" t="str">
        <f t="shared" si="130"/>
        <v/>
      </c>
      <c r="C851" s="8" t="str">
        <f t="shared" si="131"/>
        <v/>
      </c>
      <c r="D851" s="8" t="str">
        <f t="shared" si="132"/>
        <v/>
      </c>
      <c r="E851" s="9" t="str">
        <f t="shared" si="133"/>
        <v/>
      </c>
      <c r="F851" s="9" t="str">
        <f t="shared" si="134"/>
        <v/>
      </c>
      <c r="G851" s="9" t="str">
        <f t="shared" si="135"/>
        <v/>
      </c>
      <c r="H851" s="9" t="str">
        <f t="shared" si="136"/>
        <v/>
      </c>
      <c r="I851" s="10" t="str">
        <f t="shared" si="137"/>
        <v/>
      </c>
      <c r="J851" s="10" t="str">
        <f t="shared" si="139"/>
        <v/>
      </c>
      <c r="K851" s="11" t="str">
        <f t="shared" si="138"/>
        <v/>
      </c>
      <c r="M851" t="str">
        <f>IFERROR(MATCH($C$5&amp;"|"&amp;RIGHT("000000"&amp;835,6),CalcRankKeyA,0),"")</f>
        <v/>
      </c>
      <c r="N851" t="str">
        <f>IFERROR(MATCH($C$5&amp;"|"&amp;RIGHT("000000"&amp;835,6),CalcRankKeyB,0),"")</f>
        <v/>
      </c>
    </row>
    <row r="852" spans="1:14" x14ac:dyDescent="0.2">
      <c r="A852" s="12">
        <v>836</v>
      </c>
      <c r="B852" s="13" t="str">
        <f t="shared" si="130"/>
        <v/>
      </c>
      <c r="C852" s="13" t="str">
        <f t="shared" si="131"/>
        <v/>
      </c>
      <c r="D852" s="13" t="str">
        <f t="shared" si="132"/>
        <v/>
      </c>
      <c r="E852" s="14" t="str">
        <f t="shared" si="133"/>
        <v/>
      </c>
      <c r="F852" s="14" t="str">
        <f t="shared" si="134"/>
        <v/>
      </c>
      <c r="G852" s="14" t="str">
        <f t="shared" si="135"/>
        <v/>
      </c>
      <c r="H852" s="14" t="str">
        <f t="shared" si="136"/>
        <v/>
      </c>
      <c r="I852" s="15" t="str">
        <f t="shared" si="137"/>
        <v/>
      </c>
      <c r="J852" s="15" t="str">
        <f t="shared" si="139"/>
        <v/>
      </c>
      <c r="K852" s="16" t="str">
        <f t="shared" si="138"/>
        <v/>
      </c>
      <c r="M852" t="str">
        <f>IFERROR(MATCH($C$5&amp;"|"&amp;RIGHT("000000"&amp;836,6),CalcRankKeyA,0),"")</f>
        <v/>
      </c>
      <c r="N852" t="str">
        <f>IFERROR(MATCH($C$5&amp;"|"&amp;RIGHT("000000"&amp;836,6),CalcRankKeyB,0),"")</f>
        <v/>
      </c>
    </row>
    <row r="853" spans="1:14" x14ac:dyDescent="0.2">
      <c r="A853" s="7">
        <v>837</v>
      </c>
      <c r="B853" s="8" t="str">
        <f t="shared" si="130"/>
        <v/>
      </c>
      <c r="C853" s="8" t="str">
        <f t="shared" si="131"/>
        <v/>
      </c>
      <c r="D853" s="8" t="str">
        <f t="shared" si="132"/>
        <v/>
      </c>
      <c r="E853" s="9" t="str">
        <f t="shared" si="133"/>
        <v/>
      </c>
      <c r="F853" s="9" t="str">
        <f t="shared" si="134"/>
        <v/>
      </c>
      <c r="G853" s="9" t="str">
        <f t="shared" si="135"/>
        <v/>
      </c>
      <c r="H853" s="9" t="str">
        <f t="shared" si="136"/>
        <v/>
      </c>
      <c r="I853" s="10" t="str">
        <f t="shared" si="137"/>
        <v/>
      </c>
      <c r="J853" s="10" t="str">
        <f t="shared" si="139"/>
        <v/>
      </c>
      <c r="K853" s="11" t="str">
        <f t="shared" si="138"/>
        <v/>
      </c>
      <c r="M853" t="str">
        <f>IFERROR(MATCH($C$5&amp;"|"&amp;RIGHT("000000"&amp;837,6),CalcRankKeyA,0),"")</f>
        <v/>
      </c>
      <c r="N853" t="str">
        <f>IFERROR(MATCH($C$5&amp;"|"&amp;RIGHT("000000"&amp;837,6),CalcRankKeyB,0),"")</f>
        <v/>
      </c>
    </row>
    <row r="854" spans="1:14" x14ac:dyDescent="0.2">
      <c r="A854" s="12">
        <v>838</v>
      </c>
      <c r="B854" s="13" t="str">
        <f t="shared" si="130"/>
        <v/>
      </c>
      <c r="C854" s="13" t="str">
        <f t="shared" si="131"/>
        <v/>
      </c>
      <c r="D854" s="13" t="str">
        <f t="shared" si="132"/>
        <v/>
      </c>
      <c r="E854" s="14" t="str">
        <f t="shared" si="133"/>
        <v/>
      </c>
      <c r="F854" s="14" t="str">
        <f t="shared" si="134"/>
        <v/>
      </c>
      <c r="G854" s="14" t="str">
        <f t="shared" si="135"/>
        <v/>
      </c>
      <c r="H854" s="14" t="str">
        <f t="shared" si="136"/>
        <v/>
      </c>
      <c r="I854" s="15" t="str">
        <f t="shared" si="137"/>
        <v/>
      </c>
      <c r="J854" s="15" t="str">
        <f t="shared" si="139"/>
        <v/>
      </c>
      <c r="K854" s="16" t="str">
        <f t="shared" si="138"/>
        <v/>
      </c>
      <c r="M854" t="str">
        <f>IFERROR(MATCH($C$5&amp;"|"&amp;RIGHT("000000"&amp;838,6),CalcRankKeyA,0),"")</f>
        <v/>
      </c>
      <c r="N854" t="str">
        <f>IFERROR(MATCH($C$5&amp;"|"&amp;RIGHT("000000"&amp;838,6),CalcRankKeyB,0),"")</f>
        <v/>
      </c>
    </row>
    <row r="855" spans="1:14" x14ac:dyDescent="0.2">
      <c r="A855" s="7">
        <v>839</v>
      </c>
      <c r="B855" s="8" t="str">
        <f t="shared" si="130"/>
        <v/>
      </c>
      <c r="C855" s="8" t="str">
        <f t="shared" si="131"/>
        <v/>
      </c>
      <c r="D855" s="8" t="str">
        <f t="shared" si="132"/>
        <v/>
      </c>
      <c r="E855" s="9" t="str">
        <f t="shared" si="133"/>
        <v/>
      </c>
      <c r="F855" s="9" t="str">
        <f t="shared" si="134"/>
        <v/>
      </c>
      <c r="G855" s="9" t="str">
        <f t="shared" si="135"/>
        <v/>
      </c>
      <c r="H855" s="9" t="str">
        <f t="shared" si="136"/>
        <v/>
      </c>
      <c r="I855" s="10" t="str">
        <f t="shared" si="137"/>
        <v/>
      </c>
      <c r="J855" s="10" t="str">
        <f t="shared" si="139"/>
        <v/>
      </c>
      <c r="K855" s="11" t="str">
        <f t="shared" si="138"/>
        <v/>
      </c>
      <c r="M855" t="str">
        <f>IFERROR(MATCH($C$5&amp;"|"&amp;RIGHT("000000"&amp;839,6),CalcRankKeyA,0),"")</f>
        <v/>
      </c>
      <c r="N855" t="str">
        <f>IFERROR(MATCH($C$5&amp;"|"&amp;RIGHT("000000"&amp;839,6),CalcRankKeyB,0),"")</f>
        <v/>
      </c>
    </row>
    <row r="856" spans="1:14" x14ac:dyDescent="0.2">
      <c r="A856" s="12">
        <v>840</v>
      </c>
      <c r="B856" s="13" t="str">
        <f t="shared" si="130"/>
        <v/>
      </c>
      <c r="C856" s="13" t="str">
        <f t="shared" si="131"/>
        <v/>
      </c>
      <c r="D856" s="13" t="str">
        <f t="shared" si="132"/>
        <v/>
      </c>
      <c r="E856" s="14" t="str">
        <f t="shared" si="133"/>
        <v/>
      </c>
      <c r="F856" s="14" t="str">
        <f t="shared" si="134"/>
        <v/>
      </c>
      <c r="G856" s="14" t="str">
        <f t="shared" si="135"/>
        <v/>
      </c>
      <c r="H856" s="14" t="str">
        <f t="shared" si="136"/>
        <v/>
      </c>
      <c r="I856" s="15" t="str">
        <f t="shared" si="137"/>
        <v/>
      </c>
      <c r="J856" s="15" t="str">
        <f t="shared" si="139"/>
        <v/>
      </c>
      <c r="K856" s="16" t="str">
        <f t="shared" si="138"/>
        <v/>
      </c>
      <c r="M856" t="str">
        <f>IFERROR(MATCH($C$5&amp;"|"&amp;RIGHT("000000"&amp;840,6),CalcRankKeyA,0),"")</f>
        <v/>
      </c>
      <c r="N856" t="str">
        <f>IFERROR(MATCH($C$5&amp;"|"&amp;RIGHT("000000"&amp;840,6),CalcRankKeyB,0),"")</f>
        <v/>
      </c>
    </row>
    <row r="857" spans="1:14" x14ac:dyDescent="0.2">
      <c r="A857" s="7">
        <v>841</v>
      </c>
      <c r="B857" s="8" t="str">
        <f t="shared" si="130"/>
        <v/>
      </c>
      <c r="C857" s="8" t="str">
        <f t="shared" si="131"/>
        <v/>
      </c>
      <c r="D857" s="8" t="str">
        <f t="shared" si="132"/>
        <v/>
      </c>
      <c r="E857" s="9" t="str">
        <f t="shared" si="133"/>
        <v/>
      </c>
      <c r="F857" s="9" t="str">
        <f t="shared" si="134"/>
        <v/>
      </c>
      <c r="G857" s="9" t="str">
        <f t="shared" si="135"/>
        <v/>
      </c>
      <c r="H857" s="9" t="str">
        <f t="shared" si="136"/>
        <v/>
      </c>
      <c r="I857" s="10" t="str">
        <f t="shared" si="137"/>
        <v/>
      </c>
      <c r="J857" s="10" t="str">
        <f t="shared" si="139"/>
        <v/>
      </c>
      <c r="K857" s="11" t="str">
        <f t="shared" si="138"/>
        <v/>
      </c>
      <c r="M857" t="str">
        <f>IFERROR(MATCH($C$5&amp;"|"&amp;RIGHT("000000"&amp;841,6),CalcRankKeyA,0),"")</f>
        <v/>
      </c>
      <c r="N857" t="str">
        <f>IFERROR(MATCH($C$5&amp;"|"&amp;RIGHT("000000"&amp;841,6),CalcRankKeyB,0),"")</f>
        <v/>
      </c>
    </row>
    <row r="858" spans="1:14" x14ac:dyDescent="0.2">
      <c r="A858" s="12">
        <v>842</v>
      </c>
      <c r="B858" s="13" t="str">
        <f t="shared" si="130"/>
        <v/>
      </c>
      <c r="C858" s="13" t="str">
        <f t="shared" si="131"/>
        <v/>
      </c>
      <c r="D858" s="13" t="str">
        <f t="shared" si="132"/>
        <v/>
      </c>
      <c r="E858" s="14" t="str">
        <f t="shared" si="133"/>
        <v/>
      </c>
      <c r="F858" s="14" t="str">
        <f t="shared" si="134"/>
        <v/>
      </c>
      <c r="G858" s="14" t="str">
        <f t="shared" si="135"/>
        <v/>
      </c>
      <c r="H858" s="14" t="str">
        <f t="shared" si="136"/>
        <v/>
      </c>
      <c r="I858" s="15" t="str">
        <f t="shared" si="137"/>
        <v/>
      </c>
      <c r="J858" s="15" t="str">
        <f t="shared" si="139"/>
        <v/>
      </c>
      <c r="K858" s="16" t="str">
        <f t="shared" si="138"/>
        <v/>
      </c>
      <c r="M858" t="str">
        <f>IFERROR(MATCH($C$5&amp;"|"&amp;RIGHT("000000"&amp;842,6),CalcRankKeyA,0),"")</f>
        <v/>
      </c>
      <c r="N858" t="str">
        <f>IFERROR(MATCH($C$5&amp;"|"&amp;RIGHT("000000"&amp;842,6),CalcRankKeyB,0),"")</f>
        <v/>
      </c>
    </row>
    <row r="859" spans="1:14" x14ac:dyDescent="0.2">
      <c r="A859" s="7">
        <v>843</v>
      </c>
      <c r="B859" s="8" t="str">
        <f t="shared" si="130"/>
        <v/>
      </c>
      <c r="C859" s="8" t="str">
        <f t="shared" si="131"/>
        <v/>
      </c>
      <c r="D859" s="8" t="str">
        <f t="shared" si="132"/>
        <v/>
      </c>
      <c r="E859" s="9" t="str">
        <f t="shared" si="133"/>
        <v/>
      </c>
      <c r="F859" s="9" t="str">
        <f t="shared" si="134"/>
        <v/>
      </c>
      <c r="G859" s="9" t="str">
        <f t="shared" si="135"/>
        <v/>
      </c>
      <c r="H859" s="9" t="str">
        <f t="shared" si="136"/>
        <v/>
      </c>
      <c r="I859" s="10" t="str">
        <f t="shared" si="137"/>
        <v/>
      </c>
      <c r="J859" s="10" t="str">
        <f t="shared" si="139"/>
        <v/>
      </c>
      <c r="K859" s="11" t="str">
        <f t="shared" si="138"/>
        <v/>
      </c>
      <c r="M859" t="str">
        <f>IFERROR(MATCH($C$5&amp;"|"&amp;RIGHT("000000"&amp;843,6),CalcRankKeyA,0),"")</f>
        <v/>
      </c>
      <c r="N859" t="str">
        <f>IFERROR(MATCH($C$5&amp;"|"&amp;RIGHT("000000"&amp;843,6),CalcRankKeyB,0),"")</f>
        <v/>
      </c>
    </row>
    <row r="860" spans="1:14" x14ac:dyDescent="0.2">
      <c r="A860" s="12">
        <v>844</v>
      </c>
      <c r="B860" s="13" t="str">
        <f t="shared" si="130"/>
        <v/>
      </c>
      <c r="C860" s="13" t="str">
        <f t="shared" si="131"/>
        <v/>
      </c>
      <c r="D860" s="13" t="str">
        <f t="shared" si="132"/>
        <v/>
      </c>
      <c r="E860" s="14" t="str">
        <f t="shared" si="133"/>
        <v/>
      </c>
      <c r="F860" s="14" t="str">
        <f t="shared" si="134"/>
        <v/>
      </c>
      <c r="G860" s="14" t="str">
        <f t="shared" si="135"/>
        <v/>
      </c>
      <c r="H860" s="14" t="str">
        <f t="shared" si="136"/>
        <v/>
      </c>
      <c r="I860" s="15" t="str">
        <f t="shared" si="137"/>
        <v/>
      </c>
      <c r="J860" s="15" t="str">
        <f t="shared" si="139"/>
        <v/>
      </c>
      <c r="K860" s="16" t="str">
        <f t="shared" si="138"/>
        <v/>
      </c>
      <c r="M860" t="str">
        <f>IFERROR(MATCH($C$5&amp;"|"&amp;RIGHT("000000"&amp;844,6),CalcRankKeyA,0),"")</f>
        <v/>
      </c>
      <c r="N860" t="str">
        <f>IFERROR(MATCH($C$5&amp;"|"&amp;RIGHT("000000"&amp;844,6),CalcRankKeyB,0),"")</f>
        <v/>
      </c>
    </row>
    <row r="861" spans="1:14" x14ac:dyDescent="0.2">
      <c r="A861" s="7">
        <v>845</v>
      </c>
      <c r="B861" s="8" t="str">
        <f t="shared" si="130"/>
        <v/>
      </c>
      <c r="C861" s="8" t="str">
        <f t="shared" si="131"/>
        <v/>
      </c>
      <c r="D861" s="8" t="str">
        <f t="shared" si="132"/>
        <v/>
      </c>
      <c r="E861" s="9" t="str">
        <f t="shared" si="133"/>
        <v/>
      </c>
      <c r="F861" s="9" t="str">
        <f t="shared" si="134"/>
        <v/>
      </c>
      <c r="G861" s="9" t="str">
        <f t="shared" si="135"/>
        <v/>
      </c>
      <c r="H861" s="9" t="str">
        <f t="shared" si="136"/>
        <v/>
      </c>
      <c r="I861" s="10" t="str">
        <f t="shared" si="137"/>
        <v/>
      </c>
      <c r="J861" s="10" t="str">
        <f t="shared" si="139"/>
        <v/>
      </c>
      <c r="K861" s="11" t="str">
        <f t="shared" si="138"/>
        <v/>
      </c>
      <c r="M861" t="str">
        <f>IFERROR(MATCH($C$5&amp;"|"&amp;RIGHT("000000"&amp;845,6),CalcRankKeyA,0),"")</f>
        <v/>
      </c>
      <c r="N861" t="str">
        <f>IFERROR(MATCH($C$5&amp;"|"&amp;RIGHT("000000"&amp;845,6),CalcRankKeyB,0),"")</f>
        <v/>
      </c>
    </row>
    <row r="862" spans="1:14" x14ac:dyDescent="0.2">
      <c r="A862" s="12">
        <v>846</v>
      </c>
      <c r="B862" s="13" t="str">
        <f t="shared" si="130"/>
        <v/>
      </c>
      <c r="C862" s="13" t="str">
        <f t="shared" si="131"/>
        <v/>
      </c>
      <c r="D862" s="13" t="str">
        <f t="shared" si="132"/>
        <v/>
      </c>
      <c r="E862" s="14" t="str">
        <f t="shared" si="133"/>
        <v/>
      </c>
      <c r="F862" s="14" t="str">
        <f t="shared" si="134"/>
        <v/>
      </c>
      <c r="G862" s="14" t="str">
        <f t="shared" si="135"/>
        <v/>
      </c>
      <c r="H862" s="14" t="str">
        <f t="shared" si="136"/>
        <v/>
      </c>
      <c r="I862" s="15" t="str">
        <f t="shared" si="137"/>
        <v/>
      </c>
      <c r="J862" s="15" t="str">
        <f t="shared" si="139"/>
        <v/>
      </c>
      <c r="K862" s="16" t="str">
        <f t="shared" si="138"/>
        <v/>
      </c>
      <c r="M862" t="str">
        <f>IFERROR(MATCH($C$5&amp;"|"&amp;RIGHT("000000"&amp;846,6),CalcRankKeyA,0),"")</f>
        <v/>
      </c>
      <c r="N862" t="str">
        <f>IFERROR(MATCH($C$5&amp;"|"&amp;RIGHT("000000"&amp;846,6),CalcRankKeyB,0),"")</f>
        <v/>
      </c>
    </row>
    <row r="863" spans="1:14" x14ac:dyDescent="0.2">
      <c r="A863" s="7">
        <v>847</v>
      </c>
      <c r="B863" s="8" t="str">
        <f t="shared" si="130"/>
        <v/>
      </c>
      <c r="C863" s="8" t="str">
        <f t="shared" si="131"/>
        <v/>
      </c>
      <c r="D863" s="8" t="str">
        <f t="shared" si="132"/>
        <v/>
      </c>
      <c r="E863" s="9" t="str">
        <f t="shared" si="133"/>
        <v/>
      </c>
      <c r="F863" s="9" t="str">
        <f t="shared" si="134"/>
        <v/>
      </c>
      <c r="G863" s="9" t="str">
        <f t="shared" si="135"/>
        <v/>
      </c>
      <c r="H863" s="9" t="str">
        <f t="shared" si="136"/>
        <v/>
      </c>
      <c r="I863" s="10" t="str">
        <f t="shared" si="137"/>
        <v/>
      </c>
      <c r="J863" s="10" t="str">
        <f t="shared" si="139"/>
        <v/>
      </c>
      <c r="K863" s="11" t="str">
        <f t="shared" si="138"/>
        <v/>
      </c>
      <c r="M863" t="str">
        <f>IFERROR(MATCH($C$5&amp;"|"&amp;RIGHT("000000"&amp;847,6),CalcRankKeyA,0),"")</f>
        <v/>
      </c>
      <c r="N863" t="str">
        <f>IFERROR(MATCH($C$5&amp;"|"&amp;RIGHT("000000"&amp;847,6),CalcRankKeyB,0),"")</f>
        <v/>
      </c>
    </row>
    <row r="864" spans="1:14" x14ac:dyDescent="0.2">
      <c r="A864" s="12">
        <v>848</v>
      </c>
      <c r="B864" s="13" t="str">
        <f t="shared" si="130"/>
        <v/>
      </c>
      <c r="C864" s="13" t="str">
        <f t="shared" si="131"/>
        <v/>
      </c>
      <c r="D864" s="13" t="str">
        <f t="shared" si="132"/>
        <v/>
      </c>
      <c r="E864" s="14" t="str">
        <f t="shared" si="133"/>
        <v/>
      </c>
      <c r="F864" s="14" t="str">
        <f t="shared" si="134"/>
        <v/>
      </c>
      <c r="G864" s="14" t="str">
        <f t="shared" si="135"/>
        <v/>
      </c>
      <c r="H864" s="14" t="str">
        <f t="shared" si="136"/>
        <v/>
      </c>
      <c r="I864" s="15" t="str">
        <f t="shared" si="137"/>
        <v/>
      </c>
      <c r="J864" s="15" t="str">
        <f t="shared" si="139"/>
        <v/>
      </c>
      <c r="K864" s="16" t="str">
        <f t="shared" si="138"/>
        <v/>
      </c>
      <c r="M864" t="str">
        <f>IFERROR(MATCH($C$5&amp;"|"&amp;RIGHT("000000"&amp;848,6),CalcRankKeyA,0),"")</f>
        <v/>
      </c>
      <c r="N864" t="str">
        <f>IFERROR(MATCH($C$5&amp;"|"&amp;RIGHT("000000"&amp;848,6),CalcRankKeyB,0),"")</f>
        <v/>
      </c>
    </row>
    <row r="865" spans="1:14" x14ac:dyDescent="0.2">
      <c r="A865" s="7">
        <v>849</v>
      </c>
      <c r="B865" s="8" t="str">
        <f t="shared" si="130"/>
        <v/>
      </c>
      <c r="C865" s="8" t="str">
        <f t="shared" si="131"/>
        <v/>
      </c>
      <c r="D865" s="8" t="str">
        <f t="shared" si="132"/>
        <v/>
      </c>
      <c r="E865" s="9" t="str">
        <f t="shared" si="133"/>
        <v/>
      </c>
      <c r="F865" s="9" t="str">
        <f t="shared" si="134"/>
        <v/>
      </c>
      <c r="G865" s="9" t="str">
        <f t="shared" si="135"/>
        <v/>
      </c>
      <c r="H865" s="9" t="str">
        <f t="shared" si="136"/>
        <v/>
      </c>
      <c r="I865" s="10" t="str">
        <f t="shared" si="137"/>
        <v/>
      </c>
      <c r="J865" s="10" t="str">
        <f t="shared" si="139"/>
        <v/>
      </c>
      <c r="K865" s="11" t="str">
        <f t="shared" si="138"/>
        <v/>
      </c>
      <c r="M865" t="str">
        <f>IFERROR(MATCH($C$5&amp;"|"&amp;RIGHT("000000"&amp;849,6),CalcRankKeyA,0),"")</f>
        <v/>
      </c>
      <c r="N865" t="str">
        <f>IFERROR(MATCH($C$5&amp;"|"&amp;RIGHT("000000"&amp;849,6),CalcRankKeyB,0),"")</f>
        <v/>
      </c>
    </row>
    <row r="866" spans="1:14" x14ac:dyDescent="0.2">
      <c r="A866" s="12">
        <v>850</v>
      </c>
      <c r="B866" s="13" t="str">
        <f t="shared" si="130"/>
        <v/>
      </c>
      <c r="C866" s="13" t="str">
        <f t="shared" si="131"/>
        <v/>
      </c>
      <c r="D866" s="13" t="str">
        <f t="shared" si="132"/>
        <v/>
      </c>
      <c r="E866" s="14" t="str">
        <f t="shared" si="133"/>
        <v/>
      </c>
      <c r="F866" s="14" t="str">
        <f t="shared" si="134"/>
        <v/>
      </c>
      <c r="G866" s="14" t="str">
        <f t="shared" si="135"/>
        <v/>
      </c>
      <c r="H866" s="14" t="str">
        <f t="shared" si="136"/>
        <v/>
      </c>
      <c r="I866" s="15" t="str">
        <f t="shared" si="137"/>
        <v/>
      </c>
      <c r="J866" s="15" t="str">
        <f t="shared" si="139"/>
        <v/>
      </c>
      <c r="K866" s="16" t="str">
        <f t="shared" si="138"/>
        <v/>
      </c>
      <c r="M866" t="str">
        <f>IFERROR(MATCH($C$5&amp;"|"&amp;RIGHT("000000"&amp;850,6),CalcRankKeyA,0),"")</f>
        <v/>
      </c>
      <c r="N866" t="str">
        <f>IFERROR(MATCH($C$5&amp;"|"&amp;RIGHT("000000"&amp;850,6),CalcRankKeyB,0),"")</f>
        <v/>
      </c>
    </row>
    <row r="867" spans="1:14" x14ac:dyDescent="0.2">
      <c r="A867" s="7">
        <v>851</v>
      </c>
      <c r="B867" s="8" t="str">
        <f t="shared" si="130"/>
        <v/>
      </c>
      <c r="C867" s="8" t="str">
        <f t="shared" si="131"/>
        <v/>
      </c>
      <c r="D867" s="8" t="str">
        <f t="shared" si="132"/>
        <v/>
      </c>
      <c r="E867" s="9" t="str">
        <f t="shared" si="133"/>
        <v/>
      </c>
      <c r="F867" s="9" t="str">
        <f t="shared" si="134"/>
        <v/>
      </c>
      <c r="G867" s="9" t="str">
        <f t="shared" si="135"/>
        <v/>
      </c>
      <c r="H867" s="9" t="str">
        <f t="shared" si="136"/>
        <v/>
      </c>
      <c r="I867" s="10" t="str">
        <f t="shared" si="137"/>
        <v/>
      </c>
      <c r="J867" s="10" t="str">
        <f t="shared" si="139"/>
        <v/>
      </c>
      <c r="K867" s="11" t="str">
        <f t="shared" si="138"/>
        <v/>
      </c>
      <c r="M867" t="str">
        <f>IFERROR(MATCH($C$5&amp;"|"&amp;RIGHT("000000"&amp;851,6),CalcRankKeyA,0),"")</f>
        <v/>
      </c>
      <c r="N867" t="str">
        <f>IFERROR(MATCH($C$5&amp;"|"&amp;RIGHT("000000"&amp;851,6),CalcRankKeyB,0),"")</f>
        <v/>
      </c>
    </row>
    <row r="868" spans="1:14" x14ac:dyDescent="0.2">
      <c r="A868" s="12">
        <v>852</v>
      </c>
      <c r="B868" s="13" t="str">
        <f t="shared" si="130"/>
        <v/>
      </c>
      <c r="C868" s="13" t="str">
        <f t="shared" si="131"/>
        <v/>
      </c>
      <c r="D868" s="13" t="str">
        <f t="shared" si="132"/>
        <v/>
      </c>
      <c r="E868" s="14" t="str">
        <f t="shared" si="133"/>
        <v/>
      </c>
      <c r="F868" s="14" t="str">
        <f t="shared" si="134"/>
        <v/>
      </c>
      <c r="G868" s="14" t="str">
        <f t="shared" si="135"/>
        <v/>
      </c>
      <c r="H868" s="14" t="str">
        <f t="shared" si="136"/>
        <v/>
      </c>
      <c r="I868" s="15" t="str">
        <f t="shared" si="137"/>
        <v/>
      </c>
      <c r="J868" s="15" t="str">
        <f t="shared" si="139"/>
        <v/>
      </c>
      <c r="K868" s="16" t="str">
        <f t="shared" si="138"/>
        <v/>
      </c>
      <c r="M868" t="str">
        <f>IFERROR(MATCH($C$5&amp;"|"&amp;RIGHT("000000"&amp;852,6),CalcRankKeyA,0),"")</f>
        <v/>
      </c>
      <c r="N868" t="str">
        <f>IFERROR(MATCH($C$5&amp;"|"&amp;RIGHT("000000"&amp;852,6),CalcRankKeyB,0),"")</f>
        <v/>
      </c>
    </row>
    <row r="869" spans="1:14" x14ac:dyDescent="0.2">
      <c r="A869" s="7">
        <v>853</v>
      </c>
      <c r="B869" s="8" t="str">
        <f t="shared" si="130"/>
        <v/>
      </c>
      <c r="C869" s="8" t="str">
        <f t="shared" si="131"/>
        <v/>
      </c>
      <c r="D869" s="8" t="str">
        <f t="shared" si="132"/>
        <v/>
      </c>
      <c r="E869" s="9" t="str">
        <f t="shared" si="133"/>
        <v/>
      </c>
      <c r="F869" s="9" t="str">
        <f t="shared" si="134"/>
        <v/>
      </c>
      <c r="G869" s="9" t="str">
        <f t="shared" si="135"/>
        <v/>
      </c>
      <c r="H869" s="9" t="str">
        <f t="shared" si="136"/>
        <v/>
      </c>
      <c r="I869" s="10" t="str">
        <f t="shared" si="137"/>
        <v/>
      </c>
      <c r="J869" s="10" t="str">
        <f t="shared" si="139"/>
        <v/>
      </c>
      <c r="K869" s="11" t="str">
        <f t="shared" si="138"/>
        <v/>
      </c>
      <c r="M869" t="str">
        <f>IFERROR(MATCH($C$5&amp;"|"&amp;RIGHT("000000"&amp;853,6),CalcRankKeyA,0),"")</f>
        <v/>
      </c>
      <c r="N869" t="str">
        <f>IFERROR(MATCH($C$5&amp;"|"&amp;RIGHT("000000"&amp;853,6),CalcRankKeyB,0),"")</f>
        <v/>
      </c>
    </row>
    <row r="870" spans="1:14" x14ac:dyDescent="0.2">
      <c r="A870" s="12">
        <v>854</v>
      </c>
      <c r="B870" s="13" t="str">
        <f t="shared" si="130"/>
        <v/>
      </c>
      <c r="C870" s="13" t="str">
        <f t="shared" si="131"/>
        <v/>
      </c>
      <c r="D870" s="13" t="str">
        <f t="shared" si="132"/>
        <v/>
      </c>
      <c r="E870" s="14" t="str">
        <f t="shared" si="133"/>
        <v/>
      </c>
      <c r="F870" s="14" t="str">
        <f t="shared" si="134"/>
        <v/>
      </c>
      <c r="G870" s="14" t="str">
        <f t="shared" si="135"/>
        <v/>
      </c>
      <c r="H870" s="14" t="str">
        <f t="shared" si="136"/>
        <v/>
      </c>
      <c r="I870" s="15" t="str">
        <f t="shared" si="137"/>
        <v/>
      </c>
      <c r="J870" s="15" t="str">
        <f t="shared" si="139"/>
        <v/>
      </c>
      <c r="K870" s="16" t="str">
        <f t="shared" si="138"/>
        <v/>
      </c>
      <c r="M870" t="str">
        <f>IFERROR(MATCH($C$5&amp;"|"&amp;RIGHT("000000"&amp;854,6),CalcRankKeyA,0),"")</f>
        <v/>
      </c>
      <c r="N870" t="str">
        <f>IFERROR(MATCH($C$5&amp;"|"&amp;RIGHT("000000"&amp;854,6),CalcRankKeyB,0),"")</f>
        <v/>
      </c>
    </row>
    <row r="871" spans="1:14" x14ac:dyDescent="0.2">
      <c r="A871" s="7">
        <v>855</v>
      </c>
      <c r="B871" s="8" t="str">
        <f t="shared" si="130"/>
        <v/>
      </c>
      <c r="C871" s="8" t="str">
        <f t="shared" si="131"/>
        <v/>
      </c>
      <c r="D871" s="8" t="str">
        <f t="shared" si="132"/>
        <v/>
      </c>
      <c r="E871" s="9" t="str">
        <f t="shared" si="133"/>
        <v/>
      </c>
      <c r="F871" s="9" t="str">
        <f t="shared" si="134"/>
        <v/>
      </c>
      <c r="G871" s="9" t="str">
        <f t="shared" si="135"/>
        <v/>
      </c>
      <c r="H871" s="9" t="str">
        <f t="shared" si="136"/>
        <v/>
      </c>
      <c r="I871" s="10" t="str">
        <f t="shared" si="137"/>
        <v/>
      </c>
      <c r="J871" s="10" t="str">
        <f t="shared" si="139"/>
        <v/>
      </c>
      <c r="K871" s="11" t="str">
        <f t="shared" si="138"/>
        <v/>
      </c>
      <c r="M871" t="str">
        <f>IFERROR(MATCH($C$5&amp;"|"&amp;RIGHT("000000"&amp;855,6),CalcRankKeyA,0),"")</f>
        <v/>
      </c>
      <c r="N871" t="str">
        <f>IFERROR(MATCH($C$5&amp;"|"&amp;RIGHT("000000"&amp;855,6),CalcRankKeyB,0),"")</f>
        <v/>
      </c>
    </row>
    <row r="872" spans="1:14" x14ac:dyDescent="0.2">
      <c r="A872" s="12">
        <v>856</v>
      </c>
      <c r="B872" s="13" t="str">
        <f t="shared" si="130"/>
        <v/>
      </c>
      <c r="C872" s="13" t="str">
        <f t="shared" si="131"/>
        <v/>
      </c>
      <c r="D872" s="13" t="str">
        <f t="shared" si="132"/>
        <v/>
      </c>
      <c r="E872" s="14" t="str">
        <f t="shared" si="133"/>
        <v/>
      </c>
      <c r="F872" s="14" t="str">
        <f t="shared" si="134"/>
        <v/>
      </c>
      <c r="G872" s="14" t="str">
        <f t="shared" si="135"/>
        <v/>
      </c>
      <c r="H872" s="14" t="str">
        <f t="shared" si="136"/>
        <v/>
      </c>
      <c r="I872" s="15" t="str">
        <f t="shared" si="137"/>
        <v/>
      </c>
      <c r="J872" s="15" t="str">
        <f t="shared" si="139"/>
        <v/>
      </c>
      <c r="K872" s="16" t="str">
        <f t="shared" si="138"/>
        <v/>
      </c>
      <c r="M872" t="str">
        <f>IFERROR(MATCH($C$5&amp;"|"&amp;RIGHT("000000"&amp;856,6),CalcRankKeyA,0),"")</f>
        <v/>
      </c>
      <c r="N872" t="str">
        <f>IFERROR(MATCH($C$5&amp;"|"&amp;RIGHT("000000"&amp;856,6),CalcRankKeyB,0),"")</f>
        <v/>
      </c>
    </row>
    <row r="873" spans="1:14" x14ac:dyDescent="0.2">
      <c r="A873" s="7">
        <v>857</v>
      </c>
      <c r="B873" s="8" t="str">
        <f t="shared" si="130"/>
        <v/>
      </c>
      <c r="C873" s="8" t="str">
        <f t="shared" si="131"/>
        <v/>
      </c>
      <c r="D873" s="8" t="str">
        <f t="shared" si="132"/>
        <v/>
      </c>
      <c r="E873" s="9" t="str">
        <f t="shared" si="133"/>
        <v/>
      </c>
      <c r="F873" s="9" t="str">
        <f t="shared" si="134"/>
        <v/>
      </c>
      <c r="G873" s="9" t="str">
        <f t="shared" si="135"/>
        <v/>
      </c>
      <c r="H873" s="9" t="str">
        <f t="shared" si="136"/>
        <v/>
      </c>
      <c r="I873" s="10" t="str">
        <f t="shared" si="137"/>
        <v/>
      </c>
      <c r="J873" s="10" t="str">
        <f t="shared" si="139"/>
        <v/>
      </c>
      <c r="K873" s="11" t="str">
        <f t="shared" si="138"/>
        <v/>
      </c>
      <c r="M873" t="str">
        <f>IFERROR(MATCH($C$5&amp;"|"&amp;RIGHT("000000"&amp;857,6),CalcRankKeyA,0),"")</f>
        <v/>
      </c>
      <c r="N873" t="str">
        <f>IFERROR(MATCH($C$5&amp;"|"&amp;RIGHT("000000"&amp;857,6),CalcRankKeyB,0),"")</f>
        <v/>
      </c>
    </row>
    <row r="874" spans="1:14" x14ac:dyDescent="0.2">
      <c r="A874" s="12">
        <v>858</v>
      </c>
      <c r="B874" s="13" t="str">
        <f t="shared" si="130"/>
        <v/>
      </c>
      <c r="C874" s="13" t="str">
        <f t="shared" si="131"/>
        <v/>
      </c>
      <c r="D874" s="13" t="str">
        <f t="shared" si="132"/>
        <v/>
      </c>
      <c r="E874" s="14" t="str">
        <f t="shared" si="133"/>
        <v/>
      </c>
      <c r="F874" s="14" t="str">
        <f t="shared" si="134"/>
        <v/>
      </c>
      <c r="G874" s="14" t="str">
        <f t="shared" si="135"/>
        <v/>
      </c>
      <c r="H874" s="14" t="str">
        <f t="shared" si="136"/>
        <v/>
      </c>
      <c r="I874" s="15" t="str">
        <f t="shared" si="137"/>
        <v/>
      </c>
      <c r="J874" s="15" t="str">
        <f t="shared" si="139"/>
        <v/>
      </c>
      <c r="K874" s="16" t="str">
        <f t="shared" si="138"/>
        <v/>
      </c>
      <c r="M874" t="str">
        <f>IFERROR(MATCH($C$5&amp;"|"&amp;RIGHT("000000"&amp;858,6),CalcRankKeyA,0),"")</f>
        <v/>
      </c>
      <c r="N874" t="str">
        <f>IFERROR(MATCH($C$5&amp;"|"&amp;RIGHT("000000"&amp;858,6),CalcRankKeyB,0),"")</f>
        <v/>
      </c>
    </row>
    <row r="875" spans="1:14" x14ac:dyDescent="0.2">
      <c r="A875" s="7">
        <v>859</v>
      </c>
      <c r="B875" s="8" t="str">
        <f t="shared" si="130"/>
        <v/>
      </c>
      <c r="C875" s="8" t="str">
        <f t="shared" si="131"/>
        <v/>
      </c>
      <c r="D875" s="8" t="str">
        <f t="shared" si="132"/>
        <v/>
      </c>
      <c r="E875" s="9" t="str">
        <f t="shared" si="133"/>
        <v/>
      </c>
      <c r="F875" s="9" t="str">
        <f t="shared" si="134"/>
        <v/>
      </c>
      <c r="G875" s="9" t="str">
        <f t="shared" si="135"/>
        <v/>
      </c>
      <c r="H875" s="9" t="str">
        <f t="shared" si="136"/>
        <v/>
      </c>
      <c r="I875" s="10" t="str">
        <f t="shared" si="137"/>
        <v/>
      </c>
      <c r="J875" s="10" t="str">
        <f t="shared" si="139"/>
        <v/>
      </c>
      <c r="K875" s="11" t="str">
        <f t="shared" si="138"/>
        <v/>
      </c>
      <c r="M875" t="str">
        <f>IFERROR(MATCH($C$5&amp;"|"&amp;RIGHT("000000"&amp;859,6),CalcRankKeyA,0),"")</f>
        <v/>
      </c>
      <c r="N875" t="str">
        <f>IFERROR(MATCH($C$5&amp;"|"&amp;RIGHT("000000"&amp;859,6),CalcRankKeyB,0),"")</f>
        <v/>
      </c>
    </row>
    <row r="876" spans="1:14" x14ac:dyDescent="0.2">
      <c r="A876" s="12">
        <v>860</v>
      </c>
      <c r="B876" s="13" t="str">
        <f t="shared" si="130"/>
        <v/>
      </c>
      <c r="C876" s="13" t="str">
        <f t="shared" si="131"/>
        <v/>
      </c>
      <c r="D876" s="13" t="str">
        <f t="shared" si="132"/>
        <v/>
      </c>
      <c r="E876" s="14" t="str">
        <f t="shared" si="133"/>
        <v/>
      </c>
      <c r="F876" s="14" t="str">
        <f t="shared" si="134"/>
        <v/>
      </c>
      <c r="G876" s="14" t="str">
        <f t="shared" si="135"/>
        <v/>
      </c>
      <c r="H876" s="14" t="str">
        <f t="shared" si="136"/>
        <v/>
      </c>
      <c r="I876" s="15" t="str">
        <f t="shared" si="137"/>
        <v/>
      </c>
      <c r="J876" s="15" t="str">
        <f t="shared" si="139"/>
        <v/>
      </c>
      <c r="K876" s="16" t="str">
        <f t="shared" si="138"/>
        <v/>
      </c>
      <c r="M876" t="str">
        <f>IFERROR(MATCH($C$5&amp;"|"&amp;RIGHT("000000"&amp;860,6),CalcRankKeyA,0),"")</f>
        <v/>
      </c>
      <c r="N876" t="str">
        <f>IFERROR(MATCH($C$5&amp;"|"&amp;RIGHT("000000"&amp;860,6),CalcRankKeyB,0),"")</f>
        <v/>
      </c>
    </row>
    <row r="877" spans="1:14" x14ac:dyDescent="0.2">
      <c r="A877" s="7">
        <v>861</v>
      </c>
      <c r="B877" s="8" t="str">
        <f t="shared" si="130"/>
        <v/>
      </c>
      <c r="C877" s="8" t="str">
        <f t="shared" si="131"/>
        <v/>
      </c>
      <c r="D877" s="8" t="str">
        <f t="shared" si="132"/>
        <v/>
      </c>
      <c r="E877" s="9" t="str">
        <f t="shared" si="133"/>
        <v/>
      </c>
      <c r="F877" s="9" t="str">
        <f t="shared" si="134"/>
        <v/>
      </c>
      <c r="G877" s="9" t="str">
        <f t="shared" si="135"/>
        <v/>
      </c>
      <c r="H877" s="9" t="str">
        <f t="shared" si="136"/>
        <v/>
      </c>
      <c r="I877" s="10" t="str">
        <f t="shared" si="137"/>
        <v/>
      </c>
      <c r="J877" s="10" t="str">
        <f t="shared" si="139"/>
        <v/>
      </c>
      <c r="K877" s="11" t="str">
        <f t="shared" si="138"/>
        <v/>
      </c>
      <c r="M877" t="str">
        <f>IFERROR(MATCH($C$5&amp;"|"&amp;RIGHT("000000"&amp;861,6),CalcRankKeyA,0),"")</f>
        <v/>
      </c>
      <c r="N877" t="str">
        <f>IFERROR(MATCH($C$5&amp;"|"&amp;RIGHT("000000"&amp;861,6),CalcRankKeyB,0),"")</f>
        <v/>
      </c>
    </row>
    <row r="878" spans="1:14" x14ac:dyDescent="0.2">
      <c r="A878" s="12">
        <v>862</v>
      </c>
      <c r="B878" s="13" t="str">
        <f t="shared" si="130"/>
        <v/>
      </c>
      <c r="C878" s="13" t="str">
        <f t="shared" si="131"/>
        <v/>
      </c>
      <c r="D878" s="13" t="str">
        <f t="shared" si="132"/>
        <v/>
      </c>
      <c r="E878" s="14" t="str">
        <f t="shared" si="133"/>
        <v/>
      </c>
      <c r="F878" s="14" t="str">
        <f t="shared" si="134"/>
        <v/>
      </c>
      <c r="G878" s="14" t="str">
        <f t="shared" si="135"/>
        <v/>
      </c>
      <c r="H878" s="14" t="str">
        <f t="shared" si="136"/>
        <v/>
      </c>
      <c r="I878" s="15" t="str">
        <f t="shared" si="137"/>
        <v/>
      </c>
      <c r="J878" s="15" t="str">
        <f t="shared" si="139"/>
        <v/>
      </c>
      <c r="K878" s="16" t="str">
        <f t="shared" si="138"/>
        <v/>
      </c>
      <c r="M878" t="str">
        <f>IFERROR(MATCH($C$5&amp;"|"&amp;RIGHT("000000"&amp;862,6),CalcRankKeyA,0),"")</f>
        <v/>
      </c>
      <c r="N878" t="str">
        <f>IFERROR(MATCH($C$5&amp;"|"&amp;RIGHT("000000"&amp;862,6),CalcRankKeyB,0),"")</f>
        <v/>
      </c>
    </row>
    <row r="879" spans="1:14" x14ac:dyDescent="0.2">
      <c r="A879" s="7">
        <v>863</v>
      </c>
      <c r="B879" s="8" t="str">
        <f t="shared" si="130"/>
        <v/>
      </c>
      <c r="C879" s="8" t="str">
        <f t="shared" si="131"/>
        <v/>
      </c>
      <c r="D879" s="8" t="str">
        <f t="shared" si="132"/>
        <v/>
      </c>
      <c r="E879" s="9" t="str">
        <f t="shared" si="133"/>
        <v/>
      </c>
      <c r="F879" s="9" t="str">
        <f t="shared" si="134"/>
        <v/>
      </c>
      <c r="G879" s="9" t="str">
        <f t="shared" si="135"/>
        <v/>
      </c>
      <c r="H879" s="9" t="str">
        <f t="shared" si="136"/>
        <v/>
      </c>
      <c r="I879" s="10" t="str">
        <f t="shared" si="137"/>
        <v/>
      </c>
      <c r="J879" s="10" t="str">
        <f t="shared" si="139"/>
        <v/>
      </c>
      <c r="K879" s="11" t="str">
        <f t="shared" si="138"/>
        <v/>
      </c>
      <c r="M879" t="str">
        <f>IFERROR(MATCH($C$5&amp;"|"&amp;RIGHT("000000"&amp;863,6),CalcRankKeyA,0),"")</f>
        <v/>
      </c>
      <c r="N879" t="str">
        <f>IFERROR(MATCH($C$5&amp;"|"&amp;RIGHT("000000"&amp;863,6),CalcRankKeyB,0),"")</f>
        <v/>
      </c>
    </row>
    <row r="880" spans="1:14" x14ac:dyDescent="0.2">
      <c r="A880" s="12">
        <v>864</v>
      </c>
      <c r="B880" s="13" t="str">
        <f t="shared" si="130"/>
        <v/>
      </c>
      <c r="C880" s="13" t="str">
        <f t="shared" si="131"/>
        <v/>
      </c>
      <c r="D880" s="13" t="str">
        <f t="shared" si="132"/>
        <v/>
      </c>
      <c r="E880" s="14" t="str">
        <f t="shared" si="133"/>
        <v/>
      </c>
      <c r="F880" s="14" t="str">
        <f t="shared" si="134"/>
        <v/>
      </c>
      <c r="G880" s="14" t="str">
        <f t="shared" si="135"/>
        <v/>
      </c>
      <c r="H880" s="14" t="str">
        <f t="shared" si="136"/>
        <v/>
      </c>
      <c r="I880" s="15" t="str">
        <f t="shared" si="137"/>
        <v/>
      </c>
      <c r="J880" s="15" t="str">
        <f t="shared" si="139"/>
        <v/>
      </c>
      <c r="K880" s="16" t="str">
        <f t="shared" si="138"/>
        <v/>
      </c>
      <c r="M880" t="str">
        <f>IFERROR(MATCH($C$5&amp;"|"&amp;RIGHT("000000"&amp;864,6),CalcRankKeyA,0),"")</f>
        <v/>
      </c>
      <c r="N880" t="str">
        <f>IFERROR(MATCH($C$5&amp;"|"&amp;RIGHT("000000"&amp;864,6),CalcRankKeyB,0),"")</f>
        <v/>
      </c>
    </row>
    <row r="881" spans="1:14" x14ac:dyDescent="0.2">
      <c r="A881" s="7">
        <v>865</v>
      </c>
      <c r="B881" s="8" t="str">
        <f t="shared" si="130"/>
        <v/>
      </c>
      <c r="C881" s="8" t="str">
        <f t="shared" si="131"/>
        <v/>
      </c>
      <c r="D881" s="8" t="str">
        <f t="shared" si="132"/>
        <v/>
      </c>
      <c r="E881" s="9" t="str">
        <f t="shared" si="133"/>
        <v/>
      </c>
      <c r="F881" s="9" t="str">
        <f t="shared" si="134"/>
        <v/>
      </c>
      <c r="G881" s="9" t="str">
        <f t="shared" si="135"/>
        <v/>
      </c>
      <c r="H881" s="9" t="str">
        <f t="shared" si="136"/>
        <v/>
      </c>
      <c r="I881" s="10" t="str">
        <f t="shared" si="137"/>
        <v/>
      </c>
      <c r="J881" s="10" t="str">
        <f t="shared" si="139"/>
        <v/>
      </c>
      <c r="K881" s="11" t="str">
        <f t="shared" si="138"/>
        <v/>
      </c>
      <c r="M881" t="str">
        <f>IFERROR(MATCH($C$5&amp;"|"&amp;RIGHT("000000"&amp;865,6),CalcRankKeyA,0),"")</f>
        <v/>
      </c>
      <c r="N881" t="str">
        <f>IFERROR(MATCH($C$5&amp;"|"&amp;RIGHT("000000"&amp;865,6),CalcRankKeyB,0),"")</f>
        <v/>
      </c>
    </row>
    <row r="882" spans="1:14" x14ac:dyDescent="0.2">
      <c r="A882" s="12">
        <v>866</v>
      </c>
      <c r="B882" s="13" t="str">
        <f t="shared" si="130"/>
        <v/>
      </c>
      <c r="C882" s="13" t="str">
        <f t="shared" si="131"/>
        <v/>
      </c>
      <c r="D882" s="13" t="str">
        <f t="shared" si="132"/>
        <v/>
      </c>
      <c r="E882" s="14" t="str">
        <f t="shared" si="133"/>
        <v/>
      </c>
      <c r="F882" s="14" t="str">
        <f t="shared" si="134"/>
        <v/>
      </c>
      <c r="G882" s="14" t="str">
        <f t="shared" si="135"/>
        <v/>
      </c>
      <c r="H882" s="14" t="str">
        <f t="shared" si="136"/>
        <v/>
      </c>
      <c r="I882" s="15" t="str">
        <f t="shared" si="137"/>
        <v/>
      </c>
      <c r="J882" s="15" t="str">
        <f t="shared" si="139"/>
        <v/>
      </c>
      <c r="K882" s="16" t="str">
        <f t="shared" si="138"/>
        <v/>
      </c>
      <c r="M882" t="str">
        <f>IFERROR(MATCH($C$5&amp;"|"&amp;RIGHT("000000"&amp;866,6),CalcRankKeyA,0),"")</f>
        <v/>
      </c>
      <c r="N882" t="str">
        <f>IFERROR(MATCH($C$5&amp;"|"&amp;RIGHT("000000"&amp;866,6),CalcRankKeyB,0),"")</f>
        <v/>
      </c>
    </row>
    <row r="883" spans="1:14" x14ac:dyDescent="0.2">
      <c r="A883" s="7">
        <v>867</v>
      </c>
      <c r="B883" s="8" t="str">
        <f t="shared" si="130"/>
        <v/>
      </c>
      <c r="C883" s="8" t="str">
        <f t="shared" si="131"/>
        <v/>
      </c>
      <c r="D883" s="8" t="str">
        <f t="shared" si="132"/>
        <v/>
      </c>
      <c r="E883" s="9" t="str">
        <f t="shared" si="133"/>
        <v/>
      </c>
      <c r="F883" s="9" t="str">
        <f t="shared" si="134"/>
        <v/>
      </c>
      <c r="G883" s="9" t="str">
        <f t="shared" si="135"/>
        <v/>
      </c>
      <c r="H883" s="9" t="str">
        <f t="shared" si="136"/>
        <v/>
      </c>
      <c r="I883" s="10" t="str">
        <f t="shared" si="137"/>
        <v/>
      </c>
      <c r="J883" s="10" t="str">
        <f t="shared" si="139"/>
        <v/>
      </c>
      <c r="K883" s="11" t="str">
        <f t="shared" si="138"/>
        <v/>
      </c>
      <c r="M883" t="str">
        <f>IFERROR(MATCH($C$5&amp;"|"&amp;RIGHT("000000"&amp;867,6),CalcRankKeyA,0),"")</f>
        <v/>
      </c>
      <c r="N883" t="str">
        <f>IFERROR(MATCH($C$5&amp;"|"&amp;RIGHT("000000"&amp;867,6),CalcRankKeyB,0),"")</f>
        <v/>
      </c>
    </row>
    <row r="884" spans="1:14" x14ac:dyDescent="0.2">
      <c r="A884" s="12">
        <v>868</v>
      </c>
      <c r="B884" s="13" t="str">
        <f t="shared" si="130"/>
        <v/>
      </c>
      <c r="C884" s="13" t="str">
        <f t="shared" si="131"/>
        <v/>
      </c>
      <c r="D884" s="13" t="str">
        <f t="shared" si="132"/>
        <v/>
      </c>
      <c r="E884" s="14" t="str">
        <f t="shared" si="133"/>
        <v/>
      </c>
      <c r="F884" s="14" t="str">
        <f t="shared" si="134"/>
        <v/>
      </c>
      <c r="G884" s="14" t="str">
        <f t="shared" si="135"/>
        <v/>
      </c>
      <c r="H884" s="14" t="str">
        <f t="shared" si="136"/>
        <v/>
      </c>
      <c r="I884" s="15" t="str">
        <f t="shared" si="137"/>
        <v/>
      </c>
      <c r="J884" s="15" t="str">
        <f t="shared" si="139"/>
        <v/>
      </c>
      <c r="K884" s="16" t="str">
        <f t="shared" si="138"/>
        <v/>
      </c>
      <c r="M884" t="str">
        <f>IFERROR(MATCH($C$5&amp;"|"&amp;RIGHT("000000"&amp;868,6),CalcRankKeyA,0),"")</f>
        <v/>
      </c>
      <c r="N884" t="str">
        <f>IFERROR(MATCH($C$5&amp;"|"&amp;RIGHT("000000"&amp;868,6),CalcRankKeyB,0),"")</f>
        <v/>
      </c>
    </row>
    <row r="885" spans="1:14" x14ac:dyDescent="0.2">
      <c r="A885" s="7">
        <v>869</v>
      </c>
      <c r="B885" s="8" t="str">
        <f t="shared" si="130"/>
        <v/>
      </c>
      <c r="C885" s="8" t="str">
        <f t="shared" si="131"/>
        <v/>
      </c>
      <c r="D885" s="8" t="str">
        <f t="shared" si="132"/>
        <v/>
      </c>
      <c r="E885" s="9" t="str">
        <f t="shared" si="133"/>
        <v/>
      </c>
      <c r="F885" s="9" t="str">
        <f t="shared" si="134"/>
        <v/>
      </c>
      <c r="G885" s="9" t="str">
        <f t="shared" si="135"/>
        <v/>
      </c>
      <c r="H885" s="9" t="str">
        <f t="shared" si="136"/>
        <v/>
      </c>
      <c r="I885" s="10" t="str">
        <f t="shared" si="137"/>
        <v/>
      </c>
      <c r="J885" s="10" t="str">
        <f t="shared" si="139"/>
        <v/>
      </c>
      <c r="K885" s="11" t="str">
        <f t="shared" si="138"/>
        <v/>
      </c>
      <c r="M885" t="str">
        <f>IFERROR(MATCH($C$5&amp;"|"&amp;RIGHT("000000"&amp;869,6),CalcRankKeyA,0),"")</f>
        <v/>
      </c>
      <c r="N885" t="str">
        <f>IFERROR(MATCH($C$5&amp;"|"&amp;RIGHT("000000"&amp;869,6),CalcRankKeyB,0),"")</f>
        <v/>
      </c>
    </row>
    <row r="886" spans="1:14" x14ac:dyDescent="0.2">
      <c r="A886" s="12">
        <v>870</v>
      </c>
      <c r="B886" s="13" t="str">
        <f t="shared" si="130"/>
        <v/>
      </c>
      <c r="C886" s="13" t="str">
        <f t="shared" si="131"/>
        <v/>
      </c>
      <c r="D886" s="13" t="str">
        <f t="shared" si="132"/>
        <v/>
      </c>
      <c r="E886" s="14" t="str">
        <f t="shared" si="133"/>
        <v/>
      </c>
      <c r="F886" s="14" t="str">
        <f t="shared" si="134"/>
        <v/>
      </c>
      <c r="G886" s="14" t="str">
        <f t="shared" si="135"/>
        <v/>
      </c>
      <c r="H886" s="14" t="str">
        <f t="shared" si="136"/>
        <v/>
      </c>
      <c r="I886" s="15" t="str">
        <f t="shared" si="137"/>
        <v/>
      </c>
      <c r="J886" s="15" t="str">
        <f t="shared" si="139"/>
        <v/>
      </c>
      <c r="K886" s="16" t="str">
        <f t="shared" si="138"/>
        <v/>
      </c>
      <c r="M886" t="str">
        <f>IFERROR(MATCH($C$5&amp;"|"&amp;RIGHT("000000"&amp;870,6),CalcRankKeyA,0),"")</f>
        <v/>
      </c>
      <c r="N886" t="str">
        <f>IFERROR(MATCH($C$5&amp;"|"&amp;RIGHT("000000"&amp;870,6),CalcRankKeyB,0),"")</f>
        <v/>
      </c>
    </row>
    <row r="887" spans="1:14" x14ac:dyDescent="0.2">
      <c r="A887" s="7">
        <v>871</v>
      </c>
      <c r="B887" s="8" t="str">
        <f t="shared" si="130"/>
        <v/>
      </c>
      <c r="C887" s="8" t="str">
        <f t="shared" si="131"/>
        <v/>
      </c>
      <c r="D887" s="8" t="str">
        <f t="shared" si="132"/>
        <v/>
      </c>
      <c r="E887" s="9" t="str">
        <f t="shared" si="133"/>
        <v/>
      </c>
      <c r="F887" s="9" t="str">
        <f t="shared" si="134"/>
        <v/>
      </c>
      <c r="G887" s="9" t="str">
        <f t="shared" si="135"/>
        <v/>
      </c>
      <c r="H887" s="9" t="str">
        <f t="shared" si="136"/>
        <v/>
      </c>
      <c r="I887" s="10" t="str">
        <f t="shared" si="137"/>
        <v/>
      </c>
      <c r="J887" s="10" t="str">
        <f t="shared" si="139"/>
        <v/>
      </c>
      <c r="K887" s="11" t="str">
        <f t="shared" si="138"/>
        <v/>
      </c>
      <c r="M887" t="str">
        <f>IFERROR(MATCH($C$5&amp;"|"&amp;RIGHT("000000"&amp;871,6),CalcRankKeyA,0),"")</f>
        <v/>
      </c>
      <c r="N887" t="str">
        <f>IFERROR(MATCH($C$5&amp;"|"&amp;RIGHT("000000"&amp;871,6),CalcRankKeyB,0),"")</f>
        <v/>
      </c>
    </row>
    <row r="888" spans="1:14" x14ac:dyDescent="0.2">
      <c r="A888" s="12">
        <v>872</v>
      </c>
      <c r="B888" s="13" t="str">
        <f t="shared" si="130"/>
        <v/>
      </c>
      <c r="C888" s="13" t="str">
        <f t="shared" si="131"/>
        <v/>
      </c>
      <c r="D888" s="13" t="str">
        <f t="shared" si="132"/>
        <v/>
      </c>
      <c r="E888" s="14" t="str">
        <f t="shared" si="133"/>
        <v/>
      </c>
      <c r="F888" s="14" t="str">
        <f t="shared" si="134"/>
        <v/>
      </c>
      <c r="G888" s="14" t="str">
        <f t="shared" si="135"/>
        <v/>
      </c>
      <c r="H888" s="14" t="str">
        <f t="shared" si="136"/>
        <v/>
      </c>
      <c r="I888" s="15" t="str">
        <f t="shared" si="137"/>
        <v/>
      </c>
      <c r="J888" s="15" t="str">
        <f t="shared" si="139"/>
        <v/>
      </c>
      <c r="K888" s="16" t="str">
        <f t="shared" si="138"/>
        <v/>
      </c>
      <c r="M888" t="str">
        <f>IFERROR(MATCH($C$5&amp;"|"&amp;RIGHT("000000"&amp;872,6),CalcRankKeyA,0),"")</f>
        <v/>
      </c>
      <c r="N888" t="str">
        <f>IFERROR(MATCH($C$5&amp;"|"&amp;RIGHT("000000"&amp;872,6),CalcRankKeyB,0),"")</f>
        <v/>
      </c>
    </row>
    <row r="889" spans="1:14" x14ac:dyDescent="0.2">
      <c r="A889" s="7">
        <v>873</v>
      </c>
      <c r="B889" s="8" t="str">
        <f t="shared" si="130"/>
        <v/>
      </c>
      <c r="C889" s="8" t="str">
        <f t="shared" si="131"/>
        <v/>
      </c>
      <c r="D889" s="8" t="str">
        <f t="shared" si="132"/>
        <v/>
      </c>
      <c r="E889" s="9" t="str">
        <f t="shared" si="133"/>
        <v/>
      </c>
      <c r="F889" s="9" t="str">
        <f t="shared" si="134"/>
        <v/>
      </c>
      <c r="G889" s="9" t="str">
        <f t="shared" si="135"/>
        <v/>
      </c>
      <c r="H889" s="9" t="str">
        <f t="shared" si="136"/>
        <v/>
      </c>
      <c r="I889" s="10" t="str">
        <f t="shared" si="137"/>
        <v/>
      </c>
      <c r="J889" s="10" t="str">
        <f t="shared" si="139"/>
        <v/>
      </c>
      <c r="K889" s="11" t="str">
        <f t="shared" si="138"/>
        <v/>
      </c>
      <c r="M889" t="str">
        <f>IFERROR(MATCH($C$5&amp;"|"&amp;RIGHT("000000"&amp;873,6),CalcRankKeyA,0),"")</f>
        <v/>
      </c>
      <c r="N889" t="str">
        <f>IFERROR(MATCH($C$5&amp;"|"&amp;RIGHT("000000"&amp;873,6),CalcRankKeyB,0),"")</f>
        <v/>
      </c>
    </row>
    <row r="890" spans="1:14" x14ac:dyDescent="0.2">
      <c r="A890" s="12">
        <v>874</v>
      </c>
      <c r="B890" s="13" t="str">
        <f t="shared" si="130"/>
        <v/>
      </c>
      <c r="C890" s="13" t="str">
        <f t="shared" si="131"/>
        <v/>
      </c>
      <c r="D890" s="13" t="str">
        <f t="shared" si="132"/>
        <v/>
      </c>
      <c r="E890" s="14" t="str">
        <f t="shared" si="133"/>
        <v/>
      </c>
      <c r="F890" s="14" t="str">
        <f t="shared" si="134"/>
        <v/>
      </c>
      <c r="G890" s="14" t="str">
        <f t="shared" si="135"/>
        <v/>
      </c>
      <c r="H890" s="14" t="str">
        <f t="shared" si="136"/>
        <v/>
      </c>
      <c r="I890" s="15" t="str">
        <f t="shared" si="137"/>
        <v/>
      </c>
      <c r="J890" s="15" t="str">
        <f t="shared" si="139"/>
        <v/>
      </c>
      <c r="K890" s="16" t="str">
        <f t="shared" si="138"/>
        <v/>
      </c>
      <c r="M890" t="str">
        <f>IFERROR(MATCH($C$5&amp;"|"&amp;RIGHT("000000"&amp;874,6),CalcRankKeyA,0),"")</f>
        <v/>
      </c>
      <c r="N890" t="str">
        <f>IFERROR(MATCH($C$5&amp;"|"&amp;RIGHT("000000"&amp;874,6),CalcRankKeyB,0),"")</f>
        <v/>
      </c>
    </row>
    <row r="891" spans="1:14" x14ac:dyDescent="0.2">
      <c r="A891" s="7">
        <v>875</v>
      </c>
      <c r="B891" s="8" t="str">
        <f t="shared" si="130"/>
        <v/>
      </c>
      <c r="C891" s="8" t="str">
        <f t="shared" si="131"/>
        <v/>
      </c>
      <c r="D891" s="8" t="str">
        <f t="shared" si="132"/>
        <v/>
      </c>
      <c r="E891" s="9" t="str">
        <f t="shared" si="133"/>
        <v/>
      </c>
      <c r="F891" s="9" t="str">
        <f t="shared" si="134"/>
        <v/>
      </c>
      <c r="G891" s="9" t="str">
        <f t="shared" si="135"/>
        <v/>
      </c>
      <c r="H891" s="9" t="str">
        <f t="shared" si="136"/>
        <v/>
      </c>
      <c r="I891" s="10" t="str">
        <f t="shared" si="137"/>
        <v/>
      </c>
      <c r="J891" s="10" t="str">
        <f t="shared" si="139"/>
        <v/>
      </c>
      <c r="K891" s="11" t="str">
        <f t="shared" si="138"/>
        <v/>
      </c>
      <c r="M891" t="str">
        <f>IFERROR(MATCH($C$5&amp;"|"&amp;RIGHT("000000"&amp;875,6),CalcRankKeyA,0),"")</f>
        <v/>
      </c>
      <c r="N891" t="str">
        <f>IFERROR(MATCH($C$5&amp;"|"&amp;RIGHT("000000"&amp;875,6),CalcRankKeyB,0),"")</f>
        <v/>
      </c>
    </row>
    <row r="892" spans="1:14" x14ac:dyDescent="0.2">
      <c r="A892" s="12">
        <v>876</v>
      </c>
      <c r="B892" s="13" t="str">
        <f t="shared" si="130"/>
        <v/>
      </c>
      <c r="C892" s="13" t="str">
        <f t="shared" si="131"/>
        <v/>
      </c>
      <c r="D892" s="13" t="str">
        <f t="shared" si="132"/>
        <v/>
      </c>
      <c r="E892" s="14" t="str">
        <f t="shared" si="133"/>
        <v/>
      </c>
      <c r="F892" s="14" t="str">
        <f t="shared" si="134"/>
        <v/>
      </c>
      <c r="G892" s="14" t="str">
        <f t="shared" si="135"/>
        <v/>
      </c>
      <c r="H892" s="14" t="str">
        <f t="shared" si="136"/>
        <v/>
      </c>
      <c r="I892" s="15" t="str">
        <f t="shared" si="137"/>
        <v/>
      </c>
      <c r="J892" s="15" t="str">
        <f t="shared" si="139"/>
        <v/>
      </c>
      <c r="K892" s="16" t="str">
        <f t="shared" si="138"/>
        <v/>
      </c>
      <c r="M892" t="str">
        <f>IFERROR(MATCH($C$5&amp;"|"&amp;RIGHT("000000"&amp;876,6),CalcRankKeyA,0),"")</f>
        <v/>
      </c>
      <c r="N892" t="str">
        <f>IFERROR(MATCH($C$5&amp;"|"&amp;RIGHT("000000"&amp;876,6),CalcRankKeyB,0),"")</f>
        <v/>
      </c>
    </row>
    <row r="893" spans="1:14" x14ac:dyDescent="0.2">
      <c r="A893" s="7">
        <v>877</v>
      </c>
      <c r="B893" s="8" t="str">
        <f t="shared" si="130"/>
        <v/>
      </c>
      <c r="C893" s="8" t="str">
        <f t="shared" si="131"/>
        <v/>
      </c>
      <c r="D893" s="8" t="str">
        <f t="shared" si="132"/>
        <v/>
      </c>
      <c r="E893" s="9" t="str">
        <f t="shared" si="133"/>
        <v/>
      </c>
      <c r="F893" s="9" t="str">
        <f t="shared" si="134"/>
        <v/>
      </c>
      <c r="G893" s="9" t="str">
        <f t="shared" si="135"/>
        <v/>
      </c>
      <c r="H893" s="9" t="str">
        <f t="shared" si="136"/>
        <v/>
      </c>
      <c r="I893" s="10" t="str">
        <f t="shared" si="137"/>
        <v/>
      </c>
      <c r="J893" s="10" t="str">
        <f t="shared" si="139"/>
        <v/>
      </c>
      <c r="K893" s="11" t="str">
        <f t="shared" si="138"/>
        <v/>
      </c>
      <c r="M893" t="str">
        <f>IFERROR(MATCH($C$5&amp;"|"&amp;RIGHT("000000"&amp;877,6),CalcRankKeyA,0),"")</f>
        <v/>
      </c>
      <c r="N893" t="str">
        <f>IFERROR(MATCH($C$5&amp;"|"&amp;RIGHT("000000"&amp;877,6),CalcRankKeyB,0),"")</f>
        <v/>
      </c>
    </row>
    <row r="894" spans="1:14" x14ac:dyDescent="0.2">
      <c r="A894" s="12">
        <v>878</v>
      </c>
      <c r="B894" s="13" t="str">
        <f t="shared" si="130"/>
        <v/>
      </c>
      <c r="C894" s="13" t="str">
        <f t="shared" si="131"/>
        <v/>
      </c>
      <c r="D894" s="13" t="str">
        <f t="shared" si="132"/>
        <v/>
      </c>
      <c r="E894" s="14" t="str">
        <f t="shared" si="133"/>
        <v/>
      </c>
      <c r="F894" s="14" t="str">
        <f t="shared" si="134"/>
        <v/>
      </c>
      <c r="G894" s="14" t="str">
        <f t="shared" si="135"/>
        <v/>
      </c>
      <c r="H894" s="14" t="str">
        <f t="shared" si="136"/>
        <v/>
      </c>
      <c r="I894" s="15" t="str">
        <f t="shared" si="137"/>
        <v/>
      </c>
      <c r="J894" s="15" t="str">
        <f t="shared" si="139"/>
        <v/>
      </c>
      <c r="K894" s="16" t="str">
        <f t="shared" si="138"/>
        <v/>
      </c>
      <c r="M894" t="str">
        <f>IFERROR(MATCH($C$5&amp;"|"&amp;RIGHT("000000"&amp;878,6),CalcRankKeyA,0),"")</f>
        <v/>
      </c>
      <c r="N894" t="str">
        <f>IFERROR(MATCH($C$5&amp;"|"&amp;RIGHT("000000"&amp;878,6),CalcRankKeyB,0),"")</f>
        <v/>
      </c>
    </row>
    <row r="895" spans="1:14" x14ac:dyDescent="0.2">
      <c r="A895" s="7">
        <v>879</v>
      </c>
      <c r="B895" s="8" t="str">
        <f t="shared" si="130"/>
        <v/>
      </c>
      <c r="C895" s="8" t="str">
        <f t="shared" si="131"/>
        <v/>
      </c>
      <c r="D895" s="8" t="str">
        <f t="shared" si="132"/>
        <v/>
      </c>
      <c r="E895" s="9" t="str">
        <f t="shared" si="133"/>
        <v/>
      </c>
      <c r="F895" s="9" t="str">
        <f t="shared" si="134"/>
        <v/>
      </c>
      <c r="G895" s="9" t="str">
        <f t="shared" si="135"/>
        <v/>
      </c>
      <c r="H895" s="9" t="str">
        <f t="shared" si="136"/>
        <v/>
      </c>
      <c r="I895" s="10" t="str">
        <f t="shared" si="137"/>
        <v/>
      </c>
      <c r="J895" s="10" t="str">
        <f t="shared" si="139"/>
        <v/>
      </c>
      <c r="K895" s="11" t="str">
        <f t="shared" si="138"/>
        <v/>
      </c>
      <c r="M895" t="str">
        <f>IFERROR(MATCH($C$5&amp;"|"&amp;RIGHT("000000"&amp;879,6),CalcRankKeyA,0),"")</f>
        <v/>
      </c>
      <c r="N895" t="str">
        <f>IFERROR(MATCH($C$5&amp;"|"&amp;RIGHT("000000"&amp;879,6),CalcRankKeyB,0),"")</f>
        <v/>
      </c>
    </row>
    <row r="896" spans="1:14" x14ac:dyDescent="0.2">
      <c r="A896" s="12">
        <v>880</v>
      </c>
      <c r="B896" s="13" t="str">
        <f t="shared" si="130"/>
        <v/>
      </c>
      <c r="C896" s="13" t="str">
        <f t="shared" si="131"/>
        <v/>
      </c>
      <c r="D896" s="13" t="str">
        <f t="shared" si="132"/>
        <v/>
      </c>
      <c r="E896" s="14" t="str">
        <f t="shared" si="133"/>
        <v/>
      </c>
      <c r="F896" s="14" t="str">
        <f t="shared" si="134"/>
        <v/>
      </c>
      <c r="G896" s="14" t="str">
        <f t="shared" si="135"/>
        <v/>
      </c>
      <c r="H896" s="14" t="str">
        <f t="shared" si="136"/>
        <v/>
      </c>
      <c r="I896" s="15" t="str">
        <f t="shared" si="137"/>
        <v/>
      </c>
      <c r="J896" s="15" t="str">
        <f t="shared" si="139"/>
        <v/>
      </c>
      <c r="K896" s="16" t="str">
        <f t="shared" si="138"/>
        <v/>
      </c>
      <c r="M896" t="str">
        <f>IFERROR(MATCH($C$5&amp;"|"&amp;RIGHT("000000"&amp;880,6),CalcRankKeyA,0),"")</f>
        <v/>
      </c>
      <c r="N896" t="str">
        <f>IFERROR(MATCH($C$5&amp;"|"&amp;RIGHT("000000"&amp;880,6),CalcRankKeyB,0),"")</f>
        <v/>
      </c>
    </row>
    <row r="897" spans="1:14" x14ac:dyDescent="0.2">
      <c r="A897" s="7">
        <v>881</v>
      </c>
      <c r="B897" s="8" t="str">
        <f t="shared" si="130"/>
        <v/>
      </c>
      <c r="C897" s="8" t="str">
        <f t="shared" si="131"/>
        <v/>
      </c>
      <c r="D897" s="8" t="str">
        <f t="shared" si="132"/>
        <v/>
      </c>
      <c r="E897" s="9" t="str">
        <f t="shared" si="133"/>
        <v/>
      </c>
      <c r="F897" s="9" t="str">
        <f t="shared" si="134"/>
        <v/>
      </c>
      <c r="G897" s="9" t="str">
        <f t="shared" si="135"/>
        <v/>
      </c>
      <c r="H897" s="9" t="str">
        <f t="shared" si="136"/>
        <v/>
      </c>
      <c r="I897" s="10" t="str">
        <f t="shared" si="137"/>
        <v/>
      </c>
      <c r="J897" s="10" t="str">
        <f t="shared" si="139"/>
        <v/>
      </c>
      <c r="K897" s="11" t="str">
        <f t="shared" si="138"/>
        <v/>
      </c>
      <c r="M897" t="str">
        <f>IFERROR(MATCH($C$5&amp;"|"&amp;RIGHT("000000"&amp;881,6),CalcRankKeyA,0),"")</f>
        <v/>
      </c>
      <c r="N897" t="str">
        <f>IFERROR(MATCH($C$5&amp;"|"&amp;RIGHT("000000"&amp;881,6),CalcRankKeyB,0),"")</f>
        <v/>
      </c>
    </row>
    <row r="898" spans="1:14" x14ac:dyDescent="0.2">
      <c r="A898" s="12">
        <v>882</v>
      </c>
      <c r="B898" s="13" t="str">
        <f t="shared" si="130"/>
        <v/>
      </c>
      <c r="C898" s="13" t="str">
        <f t="shared" si="131"/>
        <v/>
      </c>
      <c r="D898" s="13" t="str">
        <f t="shared" si="132"/>
        <v/>
      </c>
      <c r="E898" s="14" t="str">
        <f t="shared" si="133"/>
        <v/>
      </c>
      <c r="F898" s="14" t="str">
        <f t="shared" si="134"/>
        <v/>
      </c>
      <c r="G898" s="14" t="str">
        <f t="shared" si="135"/>
        <v/>
      </c>
      <c r="H898" s="14" t="str">
        <f t="shared" si="136"/>
        <v/>
      </c>
      <c r="I898" s="15" t="str">
        <f t="shared" si="137"/>
        <v/>
      </c>
      <c r="J898" s="15" t="str">
        <f t="shared" si="139"/>
        <v/>
      </c>
      <c r="K898" s="16" t="str">
        <f t="shared" si="138"/>
        <v/>
      </c>
      <c r="M898" t="str">
        <f>IFERROR(MATCH($C$5&amp;"|"&amp;RIGHT("000000"&amp;882,6),CalcRankKeyA,0),"")</f>
        <v/>
      </c>
      <c r="N898" t="str">
        <f>IFERROR(MATCH($C$5&amp;"|"&amp;RIGHT("000000"&amp;882,6),CalcRankKeyB,0),"")</f>
        <v/>
      </c>
    </row>
    <row r="899" spans="1:14" x14ac:dyDescent="0.2">
      <c r="A899" s="7">
        <v>883</v>
      </c>
      <c r="B899" s="8" t="str">
        <f t="shared" si="130"/>
        <v/>
      </c>
      <c r="C899" s="8" t="str">
        <f t="shared" si="131"/>
        <v/>
      </c>
      <c r="D899" s="8" t="str">
        <f t="shared" si="132"/>
        <v/>
      </c>
      <c r="E899" s="9" t="str">
        <f t="shared" si="133"/>
        <v/>
      </c>
      <c r="F899" s="9" t="str">
        <f t="shared" si="134"/>
        <v/>
      </c>
      <c r="G899" s="9" t="str">
        <f t="shared" si="135"/>
        <v/>
      </c>
      <c r="H899" s="9" t="str">
        <f t="shared" si="136"/>
        <v/>
      </c>
      <c r="I899" s="10" t="str">
        <f t="shared" si="137"/>
        <v/>
      </c>
      <c r="J899" s="10" t="str">
        <f t="shared" si="139"/>
        <v/>
      </c>
      <c r="K899" s="11" t="str">
        <f t="shared" si="138"/>
        <v/>
      </c>
      <c r="M899" t="str">
        <f>IFERROR(MATCH($C$5&amp;"|"&amp;RIGHT("000000"&amp;883,6),CalcRankKeyA,0),"")</f>
        <v/>
      </c>
      <c r="N899" t="str">
        <f>IFERROR(MATCH($C$5&amp;"|"&amp;RIGHT("000000"&amp;883,6),CalcRankKeyB,0),"")</f>
        <v/>
      </c>
    </row>
    <row r="900" spans="1:14" x14ac:dyDescent="0.2">
      <c r="A900" s="12">
        <v>884</v>
      </c>
      <c r="B900" s="13" t="str">
        <f t="shared" si="130"/>
        <v/>
      </c>
      <c r="C900" s="13" t="str">
        <f t="shared" si="131"/>
        <v/>
      </c>
      <c r="D900" s="13" t="str">
        <f t="shared" si="132"/>
        <v/>
      </c>
      <c r="E900" s="14" t="str">
        <f t="shared" si="133"/>
        <v/>
      </c>
      <c r="F900" s="14" t="str">
        <f t="shared" si="134"/>
        <v/>
      </c>
      <c r="G900" s="14" t="str">
        <f t="shared" si="135"/>
        <v/>
      </c>
      <c r="H900" s="14" t="str">
        <f t="shared" si="136"/>
        <v/>
      </c>
      <c r="I900" s="15" t="str">
        <f t="shared" si="137"/>
        <v/>
      </c>
      <c r="J900" s="15" t="str">
        <f t="shared" si="139"/>
        <v/>
      </c>
      <c r="K900" s="16" t="str">
        <f t="shared" si="138"/>
        <v/>
      </c>
      <c r="M900" t="str">
        <f>IFERROR(MATCH($C$5&amp;"|"&amp;RIGHT("000000"&amp;884,6),CalcRankKeyA,0),"")</f>
        <v/>
      </c>
      <c r="N900" t="str">
        <f>IFERROR(MATCH($C$5&amp;"|"&amp;RIGHT("000000"&amp;884,6),CalcRankKeyB,0),"")</f>
        <v/>
      </c>
    </row>
    <row r="901" spans="1:14" x14ac:dyDescent="0.2">
      <c r="A901" s="7">
        <v>885</v>
      </c>
      <c r="B901" s="8" t="str">
        <f t="shared" si="130"/>
        <v/>
      </c>
      <c r="C901" s="8" t="str">
        <f t="shared" si="131"/>
        <v/>
      </c>
      <c r="D901" s="8" t="str">
        <f t="shared" si="132"/>
        <v/>
      </c>
      <c r="E901" s="9" t="str">
        <f t="shared" si="133"/>
        <v/>
      </c>
      <c r="F901" s="9" t="str">
        <f t="shared" si="134"/>
        <v/>
      </c>
      <c r="G901" s="9" t="str">
        <f t="shared" si="135"/>
        <v/>
      </c>
      <c r="H901" s="9" t="str">
        <f t="shared" si="136"/>
        <v/>
      </c>
      <c r="I901" s="10" t="str">
        <f t="shared" si="137"/>
        <v/>
      </c>
      <c r="J901" s="10" t="str">
        <f t="shared" si="139"/>
        <v/>
      </c>
      <c r="K901" s="11" t="str">
        <f t="shared" si="138"/>
        <v/>
      </c>
      <c r="M901" t="str">
        <f>IFERROR(MATCH($C$5&amp;"|"&amp;RIGHT("000000"&amp;885,6),CalcRankKeyA,0),"")</f>
        <v/>
      </c>
      <c r="N901" t="str">
        <f>IFERROR(MATCH($C$5&amp;"|"&amp;RIGHT("000000"&amp;885,6),CalcRankKeyB,0),"")</f>
        <v/>
      </c>
    </row>
    <row r="902" spans="1:14" x14ac:dyDescent="0.2">
      <c r="A902" s="12">
        <v>886</v>
      </c>
      <c r="B902" s="13" t="str">
        <f t="shared" si="130"/>
        <v/>
      </c>
      <c r="C902" s="13" t="str">
        <f t="shared" si="131"/>
        <v/>
      </c>
      <c r="D902" s="13" t="str">
        <f t="shared" si="132"/>
        <v/>
      </c>
      <c r="E902" s="14" t="str">
        <f t="shared" si="133"/>
        <v/>
      </c>
      <c r="F902" s="14" t="str">
        <f t="shared" si="134"/>
        <v/>
      </c>
      <c r="G902" s="14" t="str">
        <f t="shared" si="135"/>
        <v/>
      </c>
      <c r="H902" s="14" t="str">
        <f t="shared" si="136"/>
        <v/>
      </c>
      <c r="I902" s="15" t="str">
        <f t="shared" si="137"/>
        <v/>
      </c>
      <c r="J902" s="15" t="str">
        <f t="shared" si="139"/>
        <v/>
      </c>
      <c r="K902" s="16" t="str">
        <f t="shared" si="138"/>
        <v/>
      </c>
      <c r="M902" t="str">
        <f>IFERROR(MATCH($C$5&amp;"|"&amp;RIGHT("000000"&amp;886,6),CalcRankKeyA,0),"")</f>
        <v/>
      </c>
      <c r="N902" t="str">
        <f>IFERROR(MATCH($C$5&amp;"|"&amp;RIGHT("000000"&amp;886,6),CalcRankKeyB,0),"")</f>
        <v/>
      </c>
    </row>
    <row r="903" spans="1:14" x14ac:dyDescent="0.2">
      <c r="A903" s="7">
        <v>887</v>
      </c>
      <c r="B903" s="8" t="str">
        <f t="shared" si="130"/>
        <v/>
      </c>
      <c r="C903" s="8" t="str">
        <f t="shared" si="131"/>
        <v/>
      </c>
      <c r="D903" s="8" t="str">
        <f t="shared" si="132"/>
        <v/>
      </c>
      <c r="E903" s="9" t="str">
        <f t="shared" si="133"/>
        <v/>
      </c>
      <c r="F903" s="9" t="str">
        <f t="shared" si="134"/>
        <v/>
      </c>
      <c r="G903" s="9" t="str">
        <f t="shared" si="135"/>
        <v/>
      </c>
      <c r="H903" s="9" t="str">
        <f t="shared" si="136"/>
        <v/>
      </c>
      <c r="I903" s="10" t="str">
        <f t="shared" si="137"/>
        <v/>
      </c>
      <c r="J903" s="10" t="str">
        <f t="shared" si="139"/>
        <v/>
      </c>
      <c r="K903" s="11" t="str">
        <f t="shared" si="138"/>
        <v/>
      </c>
      <c r="M903" t="str">
        <f>IFERROR(MATCH($C$5&amp;"|"&amp;RIGHT("000000"&amp;887,6),CalcRankKeyA,0),"")</f>
        <v/>
      </c>
      <c r="N903" t="str">
        <f>IFERROR(MATCH($C$5&amp;"|"&amp;RIGHT("000000"&amp;887,6),CalcRankKeyB,0),"")</f>
        <v/>
      </c>
    </row>
    <row r="904" spans="1:14" x14ac:dyDescent="0.2">
      <c r="A904" s="12">
        <v>888</v>
      </c>
      <c r="B904" s="13" t="str">
        <f t="shared" si="130"/>
        <v/>
      </c>
      <c r="C904" s="13" t="str">
        <f t="shared" si="131"/>
        <v/>
      </c>
      <c r="D904" s="13" t="str">
        <f t="shared" si="132"/>
        <v/>
      </c>
      <c r="E904" s="14" t="str">
        <f t="shared" si="133"/>
        <v/>
      </c>
      <c r="F904" s="14" t="str">
        <f t="shared" si="134"/>
        <v/>
      </c>
      <c r="G904" s="14" t="str">
        <f t="shared" si="135"/>
        <v/>
      </c>
      <c r="H904" s="14" t="str">
        <f t="shared" si="136"/>
        <v/>
      </c>
      <c r="I904" s="15" t="str">
        <f t="shared" si="137"/>
        <v/>
      </c>
      <c r="J904" s="15" t="str">
        <f t="shared" si="139"/>
        <v/>
      </c>
      <c r="K904" s="16" t="str">
        <f t="shared" si="138"/>
        <v/>
      </c>
      <c r="M904" t="str">
        <f>IFERROR(MATCH($C$5&amp;"|"&amp;RIGHT("000000"&amp;888,6),CalcRankKeyA,0),"")</f>
        <v/>
      </c>
      <c r="N904" t="str">
        <f>IFERROR(MATCH($C$5&amp;"|"&amp;RIGHT("000000"&amp;888,6),CalcRankKeyB,0),"")</f>
        <v/>
      </c>
    </row>
    <row r="905" spans="1:14" x14ac:dyDescent="0.2">
      <c r="A905" s="7">
        <v>889</v>
      </c>
      <c r="B905" s="8" t="str">
        <f t="shared" si="130"/>
        <v/>
      </c>
      <c r="C905" s="8" t="str">
        <f t="shared" si="131"/>
        <v/>
      </c>
      <c r="D905" s="8" t="str">
        <f t="shared" si="132"/>
        <v/>
      </c>
      <c r="E905" s="9" t="str">
        <f t="shared" si="133"/>
        <v/>
      </c>
      <c r="F905" s="9" t="str">
        <f t="shared" si="134"/>
        <v/>
      </c>
      <c r="G905" s="9" t="str">
        <f t="shared" si="135"/>
        <v/>
      </c>
      <c r="H905" s="9" t="str">
        <f t="shared" si="136"/>
        <v/>
      </c>
      <c r="I905" s="10" t="str">
        <f t="shared" si="137"/>
        <v/>
      </c>
      <c r="J905" s="10" t="str">
        <f t="shared" si="139"/>
        <v/>
      </c>
      <c r="K905" s="11" t="str">
        <f t="shared" si="138"/>
        <v/>
      </c>
      <c r="M905" t="str">
        <f>IFERROR(MATCH($C$5&amp;"|"&amp;RIGHT("000000"&amp;889,6),CalcRankKeyA,0),"")</f>
        <v/>
      </c>
      <c r="N905" t="str">
        <f>IFERROR(MATCH($C$5&amp;"|"&amp;RIGHT("000000"&amp;889,6),CalcRankKeyB,0),"")</f>
        <v/>
      </c>
    </row>
    <row r="906" spans="1:14" x14ac:dyDescent="0.2">
      <c r="A906" s="12">
        <v>890</v>
      </c>
      <c r="B906" s="13" t="str">
        <f t="shared" si="130"/>
        <v/>
      </c>
      <c r="C906" s="13" t="str">
        <f t="shared" si="131"/>
        <v/>
      </c>
      <c r="D906" s="13" t="str">
        <f t="shared" si="132"/>
        <v/>
      </c>
      <c r="E906" s="14" t="str">
        <f t="shared" si="133"/>
        <v/>
      </c>
      <c r="F906" s="14" t="str">
        <f t="shared" si="134"/>
        <v/>
      </c>
      <c r="G906" s="14" t="str">
        <f t="shared" si="135"/>
        <v/>
      </c>
      <c r="H906" s="14" t="str">
        <f t="shared" si="136"/>
        <v/>
      </c>
      <c r="I906" s="15" t="str">
        <f t="shared" si="137"/>
        <v/>
      </c>
      <c r="J906" s="15" t="str">
        <f t="shared" si="139"/>
        <v/>
      </c>
      <c r="K906" s="16" t="str">
        <f t="shared" si="138"/>
        <v/>
      </c>
      <c r="M906" t="str">
        <f>IFERROR(MATCH($C$5&amp;"|"&amp;RIGHT("000000"&amp;890,6),CalcRankKeyA,0),"")</f>
        <v/>
      </c>
      <c r="N906" t="str">
        <f>IFERROR(MATCH($C$5&amp;"|"&amp;RIGHT("000000"&amp;890,6),CalcRankKeyB,0),"")</f>
        <v/>
      </c>
    </row>
    <row r="907" spans="1:14" x14ac:dyDescent="0.2">
      <c r="A907" s="7">
        <v>891</v>
      </c>
      <c r="B907" s="8" t="str">
        <f t="shared" si="130"/>
        <v/>
      </c>
      <c r="C907" s="8" t="str">
        <f t="shared" si="131"/>
        <v/>
      </c>
      <c r="D907" s="8" t="str">
        <f t="shared" si="132"/>
        <v/>
      </c>
      <c r="E907" s="9" t="str">
        <f t="shared" si="133"/>
        <v/>
      </c>
      <c r="F907" s="9" t="str">
        <f t="shared" si="134"/>
        <v/>
      </c>
      <c r="G907" s="9" t="str">
        <f t="shared" si="135"/>
        <v/>
      </c>
      <c r="H907" s="9" t="str">
        <f t="shared" si="136"/>
        <v/>
      </c>
      <c r="I907" s="10" t="str">
        <f t="shared" si="137"/>
        <v/>
      </c>
      <c r="J907" s="10" t="str">
        <f t="shared" si="139"/>
        <v/>
      </c>
      <c r="K907" s="11" t="str">
        <f t="shared" si="138"/>
        <v/>
      </c>
      <c r="M907" t="str">
        <f>IFERROR(MATCH($C$5&amp;"|"&amp;RIGHT("000000"&amp;891,6),CalcRankKeyA,0),"")</f>
        <v/>
      </c>
      <c r="N907" t="str">
        <f>IFERROR(MATCH($C$5&amp;"|"&amp;RIGHT("000000"&amp;891,6),CalcRankKeyB,0),"")</f>
        <v/>
      </c>
    </row>
    <row r="908" spans="1:14" x14ac:dyDescent="0.2">
      <c r="A908" s="12">
        <v>892</v>
      </c>
      <c r="B908" s="13" t="str">
        <f t="shared" si="130"/>
        <v/>
      </c>
      <c r="C908" s="13" t="str">
        <f t="shared" si="131"/>
        <v/>
      </c>
      <c r="D908" s="13" t="str">
        <f t="shared" si="132"/>
        <v/>
      </c>
      <c r="E908" s="14" t="str">
        <f t="shared" si="133"/>
        <v/>
      </c>
      <c r="F908" s="14" t="str">
        <f t="shared" si="134"/>
        <v/>
      </c>
      <c r="G908" s="14" t="str">
        <f t="shared" si="135"/>
        <v/>
      </c>
      <c r="H908" s="14" t="str">
        <f t="shared" si="136"/>
        <v/>
      </c>
      <c r="I908" s="15" t="str">
        <f t="shared" si="137"/>
        <v/>
      </c>
      <c r="J908" s="15" t="str">
        <f t="shared" si="139"/>
        <v/>
      </c>
      <c r="K908" s="16" t="str">
        <f t="shared" si="138"/>
        <v/>
      </c>
      <c r="M908" t="str">
        <f>IFERROR(MATCH($C$5&amp;"|"&amp;RIGHT("000000"&amp;892,6),CalcRankKeyA,0),"")</f>
        <v/>
      </c>
      <c r="N908" t="str">
        <f>IFERROR(MATCH($C$5&amp;"|"&amp;RIGHT("000000"&amp;892,6),CalcRankKeyB,0),"")</f>
        <v/>
      </c>
    </row>
    <row r="909" spans="1:14" x14ac:dyDescent="0.2">
      <c r="A909" s="7">
        <v>893</v>
      </c>
      <c r="B909" s="8" t="str">
        <f t="shared" si="130"/>
        <v/>
      </c>
      <c r="C909" s="8" t="str">
        <f t="shared" si="131"/>
        <v/>
      </c>
      <c r="D909" s="8" t="str">
        <f t="shared" si="132"/>
        <v/>
      </c>
      <c r="E909" s="9" t="str">
        <f t="shared" si="133"/>
        <v/>
      </c>
      <c r="F909" s="9" t="str">
        <f t="shared" si="134"/>
        <v/>
      </c>
      <c r="G909" s="9" t="str">
        <f t="shared" si="135"/>
        <v/>
      </c>
      <c r="H909" s="9" t="str">
        <f t="shared" si="136"/>
        <v/>
      </c>
      <c r="I909" s="10" t="str">
        <f t="shared" si="137"/>
        <v/>
      </c>
      <c r="J909" s="10" t="str">
        <f t="shared" si="139"/>
        <v/>
      </c>
      <c r="K909" s="11" t="str">
        <f t="shared" si="138"/>
        <v/>
      </c>
      <c r="M909" t="str">
        <f>IFERROR(MATCH($C$5&amp;"|"&amp;RIGHT("000000"&amp;893,6),CalcRankKeyA,0),"")</f>
        <v/>
      </c>
      <c r="N909" t="str">
        <f>IFERROR(MATCH($C$5&amp;"|"&amp;RIGHT("000000"&amp;893,6),CalcRankKeyB,0),"")</f>
        <v/>
      </c>
    </row>
    <row r="910" spans="1:14" x14ac:dyDescent="0.2">
      <c r="A910" s="12">
        <v>894</v>
      </c>
      <c r="B910" s="13" t="str">
        <f t="shared" si="130"/>
        <v/>
      </c>
      <c r="C910" s="13" t="str">
        <f t="shared" si="131"/>
        <v/>
      </c>
      <c r="D910" s="13" t="str">
        <f t="shared" si="132"/>
        <v/>
      </c>
      <c r="E910" s="14" t="str">
        <f t="shared" si="133"/>
        <v/>
      </c>
      <c r="F910" s="14" t="str">
        <f t="shared" si="134"/>
        <v/>
      </c>
      <c r="G910" s="14" t="str">
        <f t="shared" si="135"/>
        <v/>
      </c>
      <c r="H910" s="14" t="str">
        <f t="shared" si="136"/>
        <v/>
      </c>
      <c r="I910" s="15" t="str">
        <f t="shared" si="137"/>
        <v/>
      </c>
      <c r="J910" s="15" t="str">
        <f t="shared" si="139"/>
        <v/>
      </c>
      <c r="K910" s="16" t="str">
        <f t="shared" si="138"/>
        <v/>
      </c>
      <c r="M910" t="str">
        <f>IFERROR(MATCH($C$5&amp;"|"&amp;RIGHT("000000"&amp;894,6),CalcRankKeyA,0),"")</f>
        <v/>
      </c>
      <c r="N910" t="str">
        <f>IFERROR(MATCH($C$5&amp;"|"&amp;RIGHT("000000"&amp;894,6),CalcRankKeyB,0),"")</f>
        <v/>
      </c>
    </row>
    <row r="911" spans="1:14" x14ac:dyDescent="0.2">
      <c r="A911" s="7">
        <v>895</v>
      </c>
      <c r="B911" s="8" t="str">
        <f t="shared" si="130"/>
        <v/>
      </c>
      <c r="C911" s="8" t="str">
        <f t="shared" si="131"/>
        <v/>
      </c>
      <c r="D911" s="8" t="str">
        <f t="shared" si="132"/>
        <v/>
      </c>
      <c r="E911" s="9" t="str">
        <f t="shared" si="133"/>
        <v/>
      </c>
      <c r="F911" s="9" t="str">
        <f t="shared" si="134"/>
        <v/>
      </c>
      <c r="G911" s="9" t="str">
        <f t="shared" si="135"/>
        <v/>
      </c>
      <c r="H911" s="9" t="str">
        <f t="shared" si="136"/>
        <v/>
      </c>
      <c r="I911" s="10" t="str">
        <f t="shared" si="137"/>
        <v/>
      </c>
      <c r="J911" s="10" t="str">
        <f t="shared" si="139"/>
        <v/>
      </c>
      <c r="K911" s="11" t="str">
        <f t="shared" si="138"/>
        <v/>
      </c>
      <c r="M911" t="str">
        <f>IFERROR(MATCH($C$5&amp;"|"&amp;RIGHT("000000"&amp;895,6),CalcRankKeyA,0),"")</f>
        <v/>
      </c>
      <c r="N911" t="str">
        <f>IFERROR(MATCH($C$5&amp;"|"&amp;RIGHT("000000"&amp;895,6),CalcRankKeyB,0),"")</f>
        <v/>
      </c>
    </row>
    <row r="912" spans="1:14" x14ac:dyDescent="0.2">
      <c r="A912" s="12">
        <v>896</v>
      </c>
      <c r="B912" s="13" t="str">
        <f t="shared" si="130"/>
        <v/>
      </c>
      <c r="C912" s="13" t="str">
        <f t="shared" si="131"/>
        <v/>
      </c>
      <c r="D912" s="13" t="str">
        <f t="shared" si="132"/>
        <v/>
      </c>
      <c r="E912" s="14" t="str">
        <f t="shared" si="133"/>
        <v/>
      </c>
      <c r="F912" s="14" t="str">
        <f t="shared" si="134"/>
        <v/>
      </c>
      <c r="G912" s="14" t="str">
        <f t="shared" si="135"/>
        <v/>
      </c>
      <c r="H912" s="14" t="str">
        <f t="shared" si="136"/>
        <v/>
      </c>
      <c r="I912" s="15" t="str">
        <f t="shared" si="137"/>
        <v/>
      </c>
      <c r="J912" s="15" t="str">
        <f t="shared" si="139"/>
        <v/>
      </c>
      <c r="K912" s="16" t="str">
        <f t="shared" si="138"/>
        <v/>
      </c>
      <c r="M912" t="str">
        <f>IFERROR(MATCH($C$5&amp;"|"&amp;RIGHT("000000"&amp;896,6),CalcRankKeyA,0),"")</f>
        <v/>
      </c>
      <c r="N912" t="str">
        <f>IFERROR(MATCH($C$5&amp;"|"&amp;RIGHT("000000"&amp;896,6),CalcRankKeyB,0),"")</f>
        <v/>
      </c>
    </row>
    <row r="913" spans="1:14" x14ac:dyDescent="0.2">
      <c r="A913" s="7">
        <v>897</v>
      </c>
      <c r="B913" s="8" t="str">
        <f t="shared" ref="B913:B976" si="140">IF(AND($M913="",$N913=""),"",IF($M913&lt;&gt;"",INDEX(CalcDateA,$M913),INDEX(CalcDateB,$N913)))</f>
        <v/>
      </c>
      <c r="C913" s="8" t="str">
        <f t="shared" ref="C913:C976" si="141">IF($M913&lt;&gt;"","خرید سبد",IF($N913&lt;&gt;"",IF(N(INDEX(CalcDepB,$N913))&gt;0,"دریافت بانکی","پرداخت بانکی"),""))</f>
        <v/>
      </c>
      <c r="D913" s="8" t="str">
        <f t="shared" ref="D913:D976" si="142">IF($M913&lt;&gt;"",IF(INDEX(CalcDocA,$M913)="","—",INDEX(CalcDocA,$M913)),IF($N913&lt;&gt;"",INDEX(CalcBankB,$N913),""))</f>
        <v/>
      </c>
      <c r="E913" s="9" t="str">
        <f t="shared" ref="E913:E976" si="143">IF($N913&lt;&gt;"",IF(INDEX(CalcDepB,$N913)=0,"",INDEX(CalcDepB,$N913)),"")</f>
        <v/>
      </c>
      <c r="F913" s="9" t="str">
        <f t="shared" ref="F913:F976" si="144">IF($M913&lt;&gt;"",IF(INDEX(CalcQtyA,$M913)=0,"",INDEX(CalcQtyA,$M913)),"")</f>
        <v/>
      </c>
      <c r="G913" s="9" t="str">
        <f t="shared" ref="G913:G976" si="145">IF($M913&lt;&gt;"",IF(INDEX(CalcPriceA,$M913)=0,"",INDEX(CalcPriceA,$M913)),"")</f>
        <v/>
      </c>
      <c r="H913" s="9" t="str">
        <f t="shared" ref="H913:H976" si="146">IF($N913&lt;&gt;"",IF(INDEX(CalcWitB,$N913)=0,"",INDEX(CalcWitB,$N913)),"")</f>
        <v/>
      </c>
      <c r="I913" s="10" t="str">
        <f t="shared" ref="I913:I976" si="147">IF($M913&lt;&gt;"",INDEX(CalcAmtA,$M913),"")</f>
        <v/>
      </c>
      <c r="J913" s="10" t="str">
        <f t="shared" si="139"/>
        <v/>
      </c>
      <c r="K913" s="11" t="str">
        <f t="shared" ref="K913:K976" si="148">IF($M913&lt;&gt;"",IF(INDEX(CalcNoteA,$M913)="","—",INDEX(CalcNoteA,$M913)),IF($N913&lt;&gt;"",IF(INDEX(CalcNoteB,$N913)="","—",INDEX(CalcNoteB,$N913)),""))</f>
        <v/>
      </c>
      <c r="M913" t="str">
        <f>IFERROR(MATCH($C$5&amp;"|"&amp;RIGHT("000000"&amp;897,6),CalcRankKeyA,0),"")</f>
        <v/>
      </c>
      <c r="N913" t="str">
        <f>IFERROR(MATCH($C$5&amp;"|"&amp;RIGHT("000000"&amp;897,6),CalcRankKeyB,0),"")</f>
        <v/>
      </c>
    </row>
    <row r="914" spans="1:14" x14ac:dyDescent="0.2">
      <c r="A914" s="12">
        <v>898</v>
      </c>
      <c r="B914" s="13" t="str">
        <f t="shared" si="140"/>
        <v/>
      </c>
      <c r="C914" s="13" t="str">
        <f t="shared" si="141"/>
        <v/>
      </c>
      <c r="D914" s="13" t="str">
        <f t="shared" si="142"/>
        <v/>
      </c>
      <c r="E914" s="14" t="str">
        <f t="shared" si="143"/>
        <v/>
      </c>
      <c r="F914" s="14" t="str">
        <f t="shared" si="144"/>
        <v/>
      </c>
      <c r="G914" s="14" t="str">
        <f t="shared" si="145"/>
        <v/>
      </c>
      <c r="H914" s="14" t="str">
        <f t="shared" si="146"/>
        <v/>
      </c>
      <c r="I914" s="15" t="str">
        <f t="shared" si="147"/>
        <v/>
      </c>
      <c r="J914" s="15" t="str">
        <f t="shared" ref="J914:J977" si="149">IF($B914="","",IF($J913="",$C$8,$J913)+IF($I914="",0,$I914)+IF($E914="",0,$E914)-IF($H914="",0,$H914))</f>
        <v/>
      </c>
      <c r="K914" s="16" t="str">
        <f t="shared" si="148"/>
        <v/>
      </c>
      <c r="M914" t="str">
        <f>IFERROR(MATCH($C$5&amp;"|"&amp;RIGHT("000000"&amp;898,6),CalcRankKeyA,0),"")</f>
        <v/>
      </c>
      <c r="N914" t="str">
        <f>IFERROR(MATCH($C$5&amp;"|"&amp;RIGHT("000000"&amp;898,6),CalcRankKeyB,0),"")</f>
        <v/>
      </c>
    </row>
    <row r="915" spans="1:14" x14ac:dyDescent="0.2">
      <c r="A915" s="7">
        <v>899</v>
      </c>
      <c r="B915" s="8" t="str">
        <f t="shared" si="140"/>
        <v/>
      </c>
      <c r="C915" s="8" t="str">
        <f t="shared" si="141"/>
        <v/>
      </c>
      <c r="D915" s="8" t="str">
        <f t="shared" si="142"/>
        <v/>
      </c>
      <c r="E915" s="9" t="str">
        <f t="shared" si="143"/>
        <v/>
      </c>
      <c r="F915" s="9" t="str">
        <f t="shared" si="144"/>
        <v/>
      </c>
      <c r="G915" s="9" t="str">
        <f t="shared" si="145"/>
        <v/>
      </c>
      <c r="H915" s="9" t="str">
        <f t="shared" si="146"/>
        <v/>
      </c>
      <c r="I915" s="10" t="str">
        <f t="shared" si="147"/>
        <v/>
      </c>
      <c r="J915" s="10" t="str">
        <f t="shared" si="149"/>
        <v/>
      </c>
      <c r="K915" s="11" t="str">
        <f t="shared" si="148"/>
        <v/>
      </c>
      <c r="M915" t="str">
        <f>IFERROR(MATCH($C$5&amp;"|"&amp;RIGHT("000000"&amp;899,6),CalcRankKeyA,0),"")</f>
        <v/>
      </c>
      <c r="N915" t="str">
        <f>IFERROR(MATCH($C$5&amp;"|"&amp;RIGHT("000000"&amp;899,6),CalcRankKeyB,0),"")</f>
        <v/>
      </c>
    </row>
    <row r="916" spans="1:14" x14ac:dyDescent="0.2">
      <c r="A916" s="12">
        <v>900</v>
      </c>
      <c r="B916" s="13" t="str">
        <f t="shared" si="140"/>
        <v/>
      </c>
      <c r="C916" s="13" t="str">
        <f t="shared" si="141"/>
        <v/>
      </c>
      <c r="D916" s="13" t="str">
        <f t="shared" si="142"/>
        <v/>
      </c>
      <c r="E916" s="14" t="str">
        <f t="shared" si="143"/>
        <v/>
      </c>
      <c r="F916" s="14" t="str">
        <f t="shared" si="144"/>
        <v/>
      </c>
      <c r="G916" s="14" t="str">
        <f t="shared" si="145"/>
        <v/>
      </c>
      <c r="H916" s="14" t="str">
        <f t="shared" si="146"/>
        <v/>
      </c>
      <c r="I916" s="15" t="str">
        <f t="shared" si="147"/>
        <v/>
      </c>
      <c r="J916" s="15" t="str">
        <f t="shared" si="149"/>
        <v/>
      </c>
      <c r="K916" s="16" t="str">
        <f t="shared" si="148"/>
        <v/>
      </c>
      <c r="M916" t="str">
        <f>IFERROR(MATCH($C$5&amp;"|"&amp;RIGHT("000000"&amp;900,6),CalcRankKeyA,0),"")</f>
        <v/>
      </c>
      <c r="N916" t="str">
        <f>IFERROR(MATCH($C$5&amp;"|"&amp;RIGHT("000000"&amp;900,6),CalcRankKeyB,0),"")</f>
        <v/>
      </c>
    </row>
    <row r="917" spans="1:14" x14ac:dyDescent="0.2">
      <c r="A917" s="7">
        <v>901</v>
      </c>
      <c r="B917" s="8" t="str">
        <f t="shared" si="140"/>
        <v/>
      </c>
      <c r="C917" s="8" t="str">
        <f t="shared" si="141"/>
        <v/>
      </c>
      <c r="D917" s="8" t="str">
        <f t="shared" si="142"/>
        <v/>
      </c>
      <c r="E917" s="9" t="str">
        <f t="shared" si="143"/>
        <v/>
      </c>
      <c r="F917" s="9" t="str">
        <f t="shared" si="144"/>
        <v/>
      </c>
      <c r="G917" s="9" t="str">
        <f t="shared" si="145"/>
        <v/>
      </c>
      <c r="H917" s="9" t="str">
        <f t="shared" si="146"/>
        <v/>
      </c>
      <c r="I917" s="10" t="str">
        <f t="shared" si="147"/>
        <v/>
      </c>
      <c r="J917" s="10" t="str">
        <f t="shared" si="149"/>
        <v/>
      </c>
      <c r="K917" s="11" t="str">
        <f t="shared" si="148"/>
        <v/>
      </c>
      <c r="M917" t="str">
        <f>IFERROR(MATCH($C$5&amp;"|"&amp;RIGHT("000000"&amp;901,6),CalcRankKeyA,0),"")</f>
        <v/>
      </c>
      <c r="N917" t="str">
        <f>IFERROR(MATCH($C$5&amp;"|"&amp;RIGHT("000000"&amp;901,6),CalcRankKeyB,0),"")</f>
        <v/>
      </c>
    </row>
    <row r="918" spans="1:14" x14ac:dyDescent="0.2">
      <c r="A918" s="12">
        <v>902</v>
      </c>
      <c r="B918" s="13" t="str">
        <f t="shared" si="140"/>
        <v/>
      </c>
      <c r="C918" s="13" t="str">
        <f t="shared" si="141"/>
        <v/>
      </c>
      <c r="D918" s="13" t="str">
        <f t="shared" si="142"/>
        <v/>
      </c>
      <c r="E918" s="14" t="str">
        <f t="shared" si="143"/>
        <v/>
      </c>
      <c r="F918" s="14" t="str">
        <f t="shared" si="144"/>
        <v/>
      </c>
      <c r="G918" s="14" t="str">
        <f t="shared" si="145"/>
        <v/>
      </c>
      <c r="H918" s="14" t="str">
        <f t="shared" si="146"/>
        <v/>
      </c>
      <c r="I918" s="15" t="str">
        <f t="shared" si="147"/>
        <v/>
      </c>
      <c r="J918" s="15" t="str">
        <f t="shared" si="149"/>
        <v/>
      </c>
      <c r="K918" s="16" t="str">
        <f t="shared" si="148"/>
        <v/>
      </c>
      <c r="M918" t="str">
        <f>IFERROR(MATCH($C$5&amp;"|"&amp;RIGHT("000000"&amp;902,6),CalcRankKeyA,0),"")</f>
        <v/>
      </c>
      <c r="N918" t="str">
        <f>IFERROR(MATCH($C$5&amp;"|"&amp;RIGHT("000000"&amp;902,6),CalcRankKeyB,0),"")</f>
        <v/>
      </c>
    </row>
    <row r="919" spans="1:14" x14ac:dyDescent="0.2">
      <c r="A919" s="7">
        <v>903</v>
      </c>
      <c r="B919" s="8" t="str">
        <f t="shared" si="140"/>
        <v/>
      </c>
      <c r="C919" s="8" t="str">
        <f t="shared" si="141"/>
        <v/>
      </c>
      <c r="D919" s="8" t="str">
        <f t="shared" si="142"/>
        <v/>
      </c>
      <c r="E919" s="9" t="str">
        <f t="shared" si="143"/>
        <v/>
      </c>
      <c r="F919" s="9" t="str">
        <f t="shared" si="144"/>
        <v/>
      </c>
      <c r="G919" s="9" t="str">
        <f t="shared" si="145"/>
        <v/>
      </c>
      <c r="H919" s="9" t="str">
        <f t="shared" si="146"/>
        <v/>
      </c>
      <c r="I919" s="10" t="str">
        <f t="shared" si="147"/>
        <v/>
      </c>
      <c r="J919" s="10" t="str">
        <f t="shared" si="149"/>
        <v/>
      </c>
      <c r="K919" s="11" t="str">
        <f t="shared" si="148"/>
        <v/>
      </c>
      <c r="M919" t="str">
        <f>IFERROR(MATCH($C$5&amp;"|"&amp;RIGHT("000000"&amp;903,6),CalcRankKeyA,0),"")</f>
        <v/>
      </c>
      <c r="N919" t="str">
        <f>IFERROR(MATCH($C$5&amp;"|"&amp;RIGHT("000000"&amp;903,6),CalcRankKeyB,0),"")</f>
        <v/>
      </c>
    </row>
    <row r="920" spans="1:14" x14ac:dyDescent="0.2">
      <c r="A920" s="12">
        <v>904</v>
      </c>
      <c r="B920" s="13" t="str">
        <f t="shared" si="140"/>
        <v/>
      </c>
      <c r="C920" s="13" t="str">
        <f t="shared" si="141"/>
        <v/>
      </c>
      <c r="D920" s="13" t="str">
        <f t="shared" si="142"/>
        <v/>
      </c>
      <c r="E920" s="14" t="str">
        <f t="shared" si="143"/>
        <v/>
      </c>
      <c r="F920" s="14" t="str">
        <f t="shared" si="144"/>
        <v/>
      </c>
      <c r="G920" s="14" t="str">
        <f t="shared" si="145"/>
        <v/>
      </c>
      <c r="H920" s="14" t="str">
        <f t="shared" si="146"/>
        <v/>
      </c>
      <c r="I920" s="15" t="str">
        <f t="shared" si="147"/>
        <v/>
      </c>
      <c r="J920" s="15" t="str">
        <f t="shared" si="149"/>
        <v/>
      </c>
      <c r="K920" s="16" t="str">
        <f t="shared" si="148"/>
        <v/>
      </c>
      <c r="M920" t="str">
        <f>IFERROR(MATCH($C$5&amp;"|"&amp;RIGHT("000000"&amp;904,6),CalcRankKeyA,0),"")</f>
        <v/>
      </c>
      <c r="N920" t="str">
        <f>IFERROR(MATCH($C$5&amp;"|"&amp;RIGHT("000000"&amp;904,6),CalcRankKeyB,0),"")</f>
        <v/>
      </c>
    </row>
    <row r="921" spans="1:14" x14ac:dyDescent="0.2">
      <c r="A921" s="7">
        <v>905</v>
      </c>
      <c r="B921" s="8" t="str">
        <f t="shared" si="140"/>
        <v/>
      </c>
      <c r="C921" s="8" t="str">
        <f t="shared" si="141"/>
        <v/>
      </c>
      <c r="D921" s="8" t="str">
        <f t="shared" si="142"/>
        <v/>
      </c>
      <c r="E921" s="9" t="str">
        <f t="shared" si="143"/>
        <v/>
      </c>
      <c r="F921" s="9" t="str">
        <f t="shared" si="144"/>
        <v/>
      </c>
      <c r="G921" s="9" t="str">
        <f t="shared" si="145"/>
        <v/>
      </c>
      <c r="H921" s="9" t="str">
        <f t="shared" si="146"/>
        <v/>
      </c>
      <c r="I921" s="10" t="str">
        <f t="shared" si="147"/>
        <v/>
      </c>
      <c r="J921" s="10" t="str">
        <f t="shared" si="149"/>
        <v/>
      </c>
      <c r="K921" s="11" t="str">
        <f t="shared" si="148"/>
        <v/>
      </c>
      <c r="M921" t="str">
        <f>IFERROR(MATCH($C$5&amp;"|"&amp;RIGHT("000000"&amp;905,6),CalcRankKeyA,0),"")</f>
        <v/>
      </c>
      <c r="N921" t="str">
        <f>IFERROR(MATCH($C$5&amp;"|"&amp;RIGHT("000000"&amp;905,6),CalcRankKeyB,0),"")</f>
        <v/>
      </c>
    </row>
    <row r="922" spans="1:14" x14ac:dyDescent="0.2">
      <c r="A922" s="12">
        <v>906</v>
      </c>
      <c r="B922" s="13" t="str">
        <f t="shared" si="140"/>
        <v/>
      </c>
      <c r="C922" s="13" t="str">
        <f t="shared" si="141"/>
        <v/>
      </c>
      <c r="D922" s="13" t="str">
        <f t="shared" si="142"/>
        <v/>
      </c>
      <c r="E922" s="14" t="str">
        <f t="shared" si="143"/>
        <v/>
      </c>
      <c r="F922" s="14" t="str">
        <f t="shared" si="144"/>
        <v/>
      </c>
      <c r="G922" s="14" t="str">
        <f t="shared" si="145"/>
        <v/>
      </c>
      <c r="H922" s="14" t="str">
        <f t="shared" si="146"/>
        <v/>
      </c>
      <c r="I922" s="15" t="str">
        <f t="shared" si="147"/>
        <v/>
      </c>
      <c r="J922" s="15" t="str">
        <f t="shared" si="149"/>
        <v/>
      </c>
      <c r="K922" s="16" t="str">
        <f t="shared" si="148"/>
        <v/>
      </c>
      <c r="M922" t="str">
        <f>IFERROR(MATCH($C$5&amp;"|"&amp;RIGHT("000000"&amp;906,6),CalcRankKeyA,0),"")</f>
        <v/>
      </c>
      <c r="N922" t="str">
        <f>IFERROR(MATCH($C$5&amp;"|"&amp;RIGHT("000000"&amp;906,6),CalcRankKeyB,0),"")</f>
        <v/>
      </c>
    </row>
    <row r="923" spans="1:14" x14ac:dyDescent="0.2">
      <c r="A923" s="7">
        <v>907</v>
      </c>
      <c r="B923" s="8" t="str">
        <f t="shared" si="140"/>
        <v/>
      </c>
      <c r="C923" s="8" t="str">
        <f t="shared" si="141"/>
        <v/>
      </c>
      <c r="D923" s="8" t="str">
        <f t="shared" si="142"/>
        <v/>
      </c>
      <c r="E923" s="9" t="str">
        <f t="shared" si="143"/>
        <v/>
      </c>
      <c r="F923" s="9" t="str">
        <f t="shared" si="144"/>
        <v/>
      </c>
      <c r="G923" s="9" t="str">
        <f t="shared" si="145"/>
        <v/>
      </c>
      <c r="H923" s="9" t="str">
        <f t="shared" si="146"/>
        <v/>
      </c>
      <c r="I923" s="10" t="str">
        <f t="shared" si="147"/>
        <v/>
      </c>
      <c r="J923" s="10" t="str">
        <f t="shared" si="149"/>
        <v/>
      </c>
      <c r="K923" s="11" t="str">
        <f t="shared" si="148"/>
        <v/>
      </c>
      <c r="M923" t="str">
        <f>IFERROR(MATCH($C$5&amp;"|"&amp;RIGHT("000000"&amp;907,6),CalcRankKeyA,0),"")</f>
        <v/>
      </c>
      <c r="N923" t="str">
        <f>IFERROR(MATCH($C$5&amp;"|"&amp;RIGHT("000000"&amp;907,6),CalcRankKeyB,0),"")</f>
        <v/>
      </c>
    </row>
    <row r="924" spans="1:14" x14ac:dyDescent="0.2">
      <c r="A924" s="12">
        <v>908</v>
      </c>
      <c r="B924" s="13" t="str">
        <f t="shared" si="140"/>
        <v/>
      </c>
      <c r="C924" s="13" t="str">
        <f t="shared" si="141"/>
        <v/>
      </c>
      <c r="D924" s="13" t="str">
        <f t="shared" si="142"/>
        <v/>
      </c>
      <c r="E924" s="14" t="str">
        <f t="shared" si="143"/>
        <v/>
      </c>
      <c r="F924" s="14" t="str">
        <f t="shared" si="144"/>
        <v/>
      </c>
      <c r="G924" s="14" t="str">
        <f t="shared" si="145"/>
        <v/>
      </c>
      <c r="H924" s="14" t="str">
        <f t="shared" si="146"/>
        <v/>
      </c>
      <c r="I924" s="15" t="str">
        <f t="shared" si="147"/>
        <v/>
      </c>
      <c r="J924" s="15" t="str">
        <f t="shared" si="149"/>
        <v/>
      </c>
      <c r="K924" s="16" t="str">
        <f t="shared" si="148"/>
        <v/>
      </c>
      <c r="M924" t="str">
        <f>IFERROR(MATCH($C$5&amp;"|"&amp;RIGHT("000000"&amp;908,6),CalcRankKeyA,0),"")</f>
        <v/>
      </c>
      <c r="N924" t="str">
        <f>IFERROR(MATCH($C$5&amp;"|"&amp;RIGHT("000000"&amp;908,6),CalcRankKeyB,0),"")</f>
        <v/>
      </c>
    </row>
    <row r="925" spans="1:14" x14ac:dyDescent="0.2">
      <c r="A925" s="7">
        <v>909</v>
      </c>
      <c r="B925" s="8" t="str">
        <f t="shared" si="140"/>
        <v/>
      </c>
      <c r="C925" s="8" t="str">
        <f t="shared" si="141"/>
        <v/>
      </c>
      <c r="D925" s="8" t="str">
        <f t="shared" si="142"/>
        <v/>
      </c>
      <c r="E925" s="9" t="str">
        <f t="shared" si="143"/>
        <v/>
      </c>
      <c r="F925" s="9" t="str">
        <f t="shared" si="144"/>
        <v/>
      </c>
      <c r="G925" s="9" t="str">
        <f t="shared" si="145"/>
        <v/>
      </c>
      <c r="H925" s="9" t="str">
        <f t="shared" si="146"/>
        <v/>
      </c>
      <c r="I925" s="10" t="str">
        <f t="shared" si="147"/>
        <v/>
      </c>
      <c r="J925" s="10" t="str">
        <f t="shared" si="149"/>
        <v/>
      </c>
      <c r="K925" s="11" t="str">
        <f t="shared" si="148"/>
        <v/>
      </c>
      <c r="M925" t="str">
        <f>IFERROR(MATCH($C$5&amp;"|"&amp;RIGHT("000000"&amp;909,6),CalcRankKeyA,0),"")</f>
        <v/>
      </c>
      <c r="N925" t="str">
        <f>IFERROR(MATCH($C$5&amp;"|"&amp;RIGHT("000000"&amp;909,6),CalcRankKeyB,0),"")</f>
        <v/>
      </c>
    </row>
    <row r="926" spans="1:14" x14ac:dyDescent="0.2">
      <c r="A926" s="12">
        <v>910</v>
      </c>
      <c r="B926" s="13" t="str">
        <f t="shared" si="140"/>
        <v/>
      </c>
      <c r="C926" s="13" t="str">
        <f t="shared" si="141"/>
        <v/>
      </c>
      <c r="D926" s="13" t="str">
        <f t="shared" si="142"/>
        <v/>
      </c>
      <c r="E926" s="14" t="str">
        <f t="shared" si="143"/>
        <v/>
      </c>
      <c r="F926" s="14" t="str">
        <f t="shared" si="144"/>
        <v/>
      </c>
      <c r="G926" s="14" t="str">
        <f t="shared" si="145"/>
        <v/>
      </c>
      <c r="H926" s="14" t="str">
        <f t="shared" si="146"/>
        <v/>
      </c>
      <c r="I926" s="15" t="str">
        <f t="shared" si="147"/>
        <v/>
      </c>
      <c r="J926" s="15" t="str">
        <f t="shared" si="149"/>
        <v/>
      </c>
      <c r="K926" s="16" t="str">
        <f t="shared" si="148"/>
        <v/>
      </c>
      <c r="M926" t="str">
        <f>IFERROR(MATCH($C$5&amp;"|"&amp;RIGHT("000000"&amp;910,6),CalcRankKeyA,0),"")</f>
        <v/>
      </c>
      <c r="N926" t="str">
        <f>IFERROR(MATCH($C$5&amp;"|"&amp;RIGHT("000000"&amp;910,6),CalcRankKeyB,0),"")</f>
        <v/>
      </c>
    </row>
    <row r="927" spans="1:14" x14ac:dyDescent="0.2">
      <c r="A927" s="7">
        <v>911</v>
      </c>
      <c r="B927" s="8" t="str">
        <f t="shared" si="140"/>
        <v/>
      </c>
      <c r="C927" s="8" t="str">
        <f t="shared" si="141"/>
        <v/>
      </c>
      <c r="D927" s="8" t="str">
        <f t="shared" si="142"/>
        <v/>
      </c>
      <c r="E927" s="9" t="str">
        <f t="shared" si="143"/>
        <v/>
      </c>
      <c r="F927" s="9" t="str">
        <f t="shared" si="144"/>
        <v/>
      </c>
      <c r="G927" s="9" t="str">
        <f t="shared" si="145"/>
        <v/>
      </c>
      <c r="H927" s="9" t="str">
        <f t="shared" si="146"/>
        <v/>
      </c>
      <c r="I927" s="10" t="str">
        <f t="shared" si="147"/>
        <v/>
      </c>
      <c r="J927" s="10" t="str">
        <f t="shared" si="149"/>
        <v/>
      </c>
      <c r="K927" s="11" t="str">
        <f t="shared" si="148"/>
        <v/>
      </c>
      <c r="M927" t="str">
        <f>IFERROR(MATCH($C$5&amp;"|"&amp;RIGHT("000000"&amp;911,6),CalcRankKeyA,0),"")</f>
        <v/>
      </c>
      <c r="N927" t="str">
        <f>IFERROR(MATCH($C$5&amp;"|"&amp;RIGHT("000000"&amp;911,6),CalcRankKeyB,0),"")</f>
        <v/>
      </c>
    </row>
    <row r="928" spans="1:14" x14ac:dyDescent="0.2">
      <c r="A928" s="12">
        <v>912</v>
      </c>
      <c r="B928" s="13" t="str">
        <f t="shared" si="140"/>
        <v/>
      </c>
      <c r="C928" s="13" t="str">
        <f t="shared" si="141"/>
        <v/>
      </c>
      <c r="D928" s="13" t="str">
        <f t="shared" si="142"/>
        <v/>
      </c>
      <c r="E928" s="14" t="str">
        <f t="shared" si="143"/>
        <v/>
      </c>
      <c r="F928" s="14" t="str">
        <f t="shared" si="144"/>
        <v/>
      </c>
      <c r="G928" s="14" t="str">
        <f t="shared" si="145"/>
        <v/>
      </c>
      <c r="H928" s="14" t="str">
        <f t="shared" si="146"/>
        <v/>
      </c>
      <c r="I928" s="15" t="str">
        <f t="shared" si="147"/>
        <v/>
      </c>
      <c r="J928" s="15" t="str">
        <f t="shared" si="149"/>
        <v/>
      </c>
      <c r="K928" s="16" t="str">
        <f t="shared" si="148"/>
        <v/>
      </c>
      <c r="M928" t="str">
        <f>IFERROR(MATCH($C$5&amp;"|"&amp;RIGHT("000000"&amp;912,6),CalcRankKeyA,0),"")</f>
        <v/>
      </c>
      <c r="N928" t="str">
        <f>IFERROR(MATCH($C$5&amp;"|"&amp;RIGHT("000000"&amp;912,6),CalcRankKeyB,0),"")</f>
        <v/>
      </c>
    </row>
    <row r="929" spans="1:14" x14ac:dyDescent="0.2">
      <c r="A929" s="7">
        <v>913</v>
      </c>
      <c r="B929" s="8" t="str">
        <f t="shared" si="140"/>
        <v/>
      </c>
      <c r="C929" s="8" t="str">
        <f t="shared" si="141"/>
        <v/>
      </c>
      <c r="D929" s="8" t="str">
        <f t="shared" si="142"/>
        <v/>
      </c>
      <c r="E929" s="9" t="str">
        <f t="shared" si="143"/>
        <v/>
      </c>
      <c r="F929" s="9" t="str">
        <f t="shared" si="144"/>
        <v/>
      </c>
      <c r="G929" s="9" t="str">
        <f t="shared" si="145"/>
        <v/>
      </c>
      <c r="H929" s="9" t="str">
        <f t="shared" si="146"/>
        <v/>
      </c>
      <c r="I929" s="10" t="str">
        <f t="shared" si="147"/>
        <v/>
      </c>
      <c r="J929" s="10" t="str">
        <f t="shared" si="149"/>
        <v/>
      </c>
      <c r="K929" s="11" t="str">
        <f t="shared" si="148"/>
        <v/>
      </c>
      <c r="M929" t="str">
        <f>IFERROR(MATCH($C$5&amp;"|"&amp;RIGHT("000000"&amp;913,6),CalcRankKeyA,0),"")</f>
        <v/>
      </c>
      <c r="N929" t="str">
        <f>IFERROR(MATCH($C$5&amp;"|"&amp;RIGHT("000000"&amp;913,6),CalcRankKeyB,0),"")</f>
        <v/>
      </c>
    </row>
    <row r="930" spans="1:14" x14ac:dyDescent="0.2">
      <c r="A930" s="12">
        <v>914</v>
      </c>
      <c r="B930" s="13" t="str">
        <f t="shared" si="140"/>
        <v/>
      </c>
      <c r="C930" s="13" t="str">
        <f t="shared" si="141"/>
        <v/>
      </c>
      <c r="D930" s="13" t="str">
        <f t="shared" si="142"/>
        <v/>
      </c>
      <c r="E930" s="14" t="str">
        <f t="shared" si="143"/>
        <v/>
      </c>
      <c r="F930" s="14" t="str">
        <f t="shared" si="144"/>
        <v/>
      </c>
      <c r="G930" s="14" t="str">
        <f t="shared" si="145"/>
        <v/>
      </c>
      <c r="H930" s="14" t="str">
        <f t="shared" si="146"/>
        <v/>
      </c>
      <c r="I930" s="15" t="str">
        <f t="shared" si="147"/>
        <v/>
      </c>
      <c r="J930" s="15" t="str">
        <f t="shared" si="149"/>
        <v/>
      </c>
      <c r="K930" s="16" t="str">
        <f t="shared" si="148"/>
        <v/>
      </c>
      <c r="M930" t="str">
        <f>IFERROR(MATCH($C$5&amp;"|"&amp;RIGHT("000000"&amp;914,6),CalcRankKeyA,0),"")</f>
        <v/>
      </c>
      <c r="N930" t="str">
        <f>IFERROR(MATCH($C$5&amp;"|"&amp;RIGHT("000000"&amp;914,6),CalcRankKeyB,0),"")</f>
        <v/>
      </c>
    </row>
    <row r="931" spans="1:14" x14ac:dyDescent="0.2">
      <c r="A931" s="7">
        <v>915</v>
      </c>
      <c r="B931" s="8" t="str">
        <f t="shared" si="140"/>
        <v/>
      </c>
      <c r="C931" s="8" t="str">
        <f t="shared" si="141"/>
        <v/>
      </c>
      <c r="D931" s="8" t="str">
        <f t="shared" si="142"/>
        <v/>
      </c>
      <c r="E931" s="9" t="str">
        <f t="shared" si="143"/>
        <v/>
      </c>
      <c r="F931" s="9" t="str">
        <f t="shared" si="144"/>
        <v/>
      </c>
      <c r="G931" s="9" t="str">
        <f t="shared" si="145"/>
        <v/>
      </c>
      <c r="H931" s="9" t="str">
        <f t="shared" si="146"/>
        <v/>
      </c>
      <c r="I931" s="10" t="str">
        <f t="shared" si="147"/>
        <v/>
      </c>
      <c r="J931" s="10" t="str">
        <f t="shared" si="149"/>
        <v/>
      </c>
      <c r="K931" s="11" t="str">
        <f t="shared" si="148"/>
        <v/>
      </c>
      <c r="M931" t="str">
        <f>IFERROR(MATCH($C$5&amp;"|"&amp;RIGHT("000000"&amp;915,6),CalcRankKeyA,0),"")</f>
        <v/>
      </c>
      <c r="N931" t="str">
        <f>IFERROR(MATCH($C$5&amp;"|"&amp;RIGHT("000000"&amp;915,6),CalcRankKeyB,0),"")</f>
        <v/>
      </c>
    </row>
    <row r="932" spans="1:14" x14ac:dyDescent="0.2">
      <c r="A932" s="12">
        <v>916</v>
      </c>
      <c r="B932" s="13" t="str">
        <f t="shared" si="140"/>
        <v/>
      </c>
      <c r="C932" s="13" t="str">
        <f t="shared" si="141"/>
        <v/>
      </c>
      <c r="D932" s="13" t="str">
        <f t="shared" si="142"/>
        <v/>
      </c>
      <c r="E932" s="14" t="str">
        <f t="shared" si="143"/>
        <v/>
      </c>
      <c r="F932" s="14" t="str">
        <f t="shared" si="144"/>
        <v/>
      </c>
      <c r="G932" s="14" t="str">
        <f t="shared" si="145"/>
        <v/>
      </c>
      <c r="H932" s="14" t="str">
        <f t="shared" si="146"/>
        <v/>
      </c>
      <c r="I932" s="15" t="str">
        <f t="shared" si="147"/>
        <v/>
      </c>
      <c r="J932" s="15" t="str">
        <f t="shared" si="149"/>
        <v/>
      </c>
      <c r="K932" s="16" t="str">
        <f t="shared" si="148"/>
        <v/>
      </c>
      <c r="M932" t="str">
        <f>IFERROR(MATCH($C$5&amp;"|"&amp;RIGHT("000000"&amp;916,6),CalcRankKeyA,0),"")</f>
        <v/>
      </c>
      <c r="N932" t="str">
        <f>IFERROR(MATCH($C$5&amp;"|"&amp;RIGHT("000000"&amp;916,6),CalcRankKeyB,0),"")</f>
        <v/>
      </c>
    </row>
    <row r="933" spans="1:14" x14ac:dyDescent="0.2">
      <c r="A933" s="7">
        <v>917</v>
      </c>
      <c r="B933" s="8" t="str">
        <f t="shared" si="140"/>
        <v/>
      </c>
      <c r="C933" s="8" t="str">
        <f t="shared" si="141"/>
        <v/>
      </c>
      <c r="D933" s="8" t="str">
        <f t="shared" si="142"/>
        <v/>
      </c>
      <c r="E933" s="9" t="str">
        <f t="shared" si="143"/>
        <v/>
      </c>
      <c r="F933" s="9" t="str">
        <f t="shared" si="144"/>
        <v/>
      </c>
      <c r="G933" s="9" t="str">
        <f t="shared" si="145"/>
        <v/>
      </c>
      <c r="H933" s="9" t="str">
        <f t="shared" si="146"/>
        <v/>
      </c>
      <c r="I933" s="10" t="str">
        <f t="shared" si="147"/>
        <v/>
      </c>
      <c r="J933" s="10" t="str">
        <f t="shared" si="149"/>
        <v/>
      </c>
      <c r="K933" s="11" t="str">
        <f t="shared" si="148"/>
        <v/>
      </c>
      <c r="M933" t="str">
        <f>IFERROR(MATCH($C$5&amp;"|"&amp;RIGHT("000000"&amp;917,6),CalcRankKeyA,0),"")</f>
        <v/>
      </c>
      <c r="N933" t="str">
        <f>IFERROR(MATCH($C$5&amp;"|"&amp;RIGHT("000000"&amp;917,6),CalcRankKeyB,0),"")</f>
        <v/>
      </c>
    </row>
    <row r="934" spans="1:14" x14ac:dyDescent="0.2">
      <c r="A934" s="12">
        <v>918</v>
      </c>
      <c r="B934" s="13" t="str">
        <f t="shared" si="140"/>
        <v/>
      </c>
      <c r="C934" s="13" t="str">
        <f t="shared" si="141"/>
        <v/>
      </c>
      <c r="D934" s="13" t="str">
        <f t="shared" si="142"/>
        <v/>
      </c>
      <c r="E934" s="14" t="str">
        <f t="shared" si="143"/>
        <v/>
      </c>
      <c r="F934" s="14" t="str">
        <f t="shared" si="144"/>
        <v/>
      </c>
      <c r="G934" s="14" t="str">
        <f t="shared" si="145"/>
        <v/>
      </c>
      <c r="H934" s="14" t="str">
        <f t="shared" si="146"/>
        <v/>
      </c>
      <c r="I934" s="15" t="str">
        <f t="shared" si="147"/>
        <v/>
      </c>
      <c r="J934" s="15" t="str">
        <f t="shared" si="149"/>
        <v/>
      </c>
      <c r="K934" s="16" t="str">
        <f t="shared" si="148"/>
        <v/>
      </c>
      <c r="M934" t="str">
        <f>IFERROR(MATCH($C$5&amp;"|"&amp;RIGHT("000000"&amp;918,6),CalcRankKeyA,0),"")</f>
        <v/>
      </c>
      <c r="N934" t="str">
        <f>IFERROR(MATCH($C$5&amp;"|"&amp;RIGHT("000000"&amp;918,6),CalcRankKeyB,0),"")</f>
        <v/>
      </c>
    </row>
    <row r="935" spans="1:14" x14ac:dyDescent="0.2">
      <c r="A935" s="7">
        <v>919</v>
      </c>
      <c r="B935" s="8" t="str">
        <f t="shared" si="140"/>
        <v/>
      </c>
      <c r="C935" s="8" t="str">
        <f t="shared" si="141"/>
        <v/>
      </c>
      <c r="D935" s="8" t="str">
        <f t="shared" si="142"/>
        <v/>
      </c>
      <c r="E935" s="9" t="str">
        <f t="shared" si="143"/>
        <v/>
      </c>
      <c r="F935" s="9" t="str">
        <f t="shared" si="144"/>
        <v/>
      </c>
      <c r="G935" s="9" t="str">
        <f t="shared" si="145"/>
        <v/>
      </c>
      <c r="H935" s="9" t="str">
        <f t="shared" si="146"/>
        <v/>
      </c>
      <c r="I935" s="10" t="str">
        <f t="shared" si="147"/>
        <v/>
      </c>
      <c r="J935" s="10" t="str">
        <f t="shared" si="149"/>
        <v/>
      </c>
      <c r="K935" s="11" t="str">
        <f t="shared" si="148"/>
        <v/>
      </c>
      <c r="M935" t="str">
        <f>IFERROR(MATCH($C$5&amp;"|"&amp;RIGHT("000000"&amp;919,6),CalcRankKeyA,0),"")</f>
        <v/>
      </c>
      <c r="N935" t="str">
        <f>IFERROR(MATCH($C$5&amp;"|"&amp;RIGHT("000000"&amp;919,6),CalcRankKeyB,0),"")</f>
        <v/>
      </c>
    </row>
    <row r="936" spans="1:14" x14ac:dyDescent="0.2">
      <c r="A936" s="12">
        <v>920</v>
      </c>
      <c r="B936" s="13" t="str">
        <f t="shared" si="140"/>
        <v/>
      </c>
      <c r="C936" s="13" t="str">
        <f t="shared" si="141"/>
        <v/>
      </c>
      <c r="D936" s="13" t="str">
        <f t="shared" si="142"/>
        <v/>
      </c>
      <c r="E936" s="14" t="str">
        <f t="shared" si="143"/>
        <v/>
      </c>
      <c r="F936" s="14" t="str">
        <f t="shared" si="144"/>
        <v/>
      </c>
      <c r="G936" s="14" t="str">
        <f t="shared" si="145"/>
        <v/>
      </c>
      <c r="H936" s="14" t="str">
        <f t="shared" si="146"/>
        <v/>
      </c>
      <c r="I936" s="15" t="str">
        <f t="shared" si="147"/>
        <v/>
      </c>
      <c r="J936" s="15" t="str">
        <f t="shared" si="149"/>
        <v/>
      </c>
      <c r="K936" s="16" t="str">
        <f t="shared" si="148"/>
        <v/>
      </c>
      <c r="M936" t="str">
        <f>IFERROR(MATCH($C$5&amp;"|"&amp;RIGHT("000000"&amp;920,6),CalcRankKeyA,0),"")</f>
        <v/>
      </c>
      <c r="N936" t="str">
        <f>IFERROR(MATCH($C$5&amp;"|"&amp;RIGHT("000000"&amp;920,6),CalcRankKeyB,0),"")</f>
        <v/>
      </c>
    </row>
    <row r="937" spans="1:14" x14ac:dyDescent="0.2">
      <c r="A937" s="7">
        <v>921</v>
      </c>
      <c r="B937" s="8" t="str">
        <f t="shared" si="140"/>
        <v/>
      </c>
      <c r="C937" s="8" t="str">
        <f t="shared" si="141"/>
        <v/>
      </c>
      <c r="D937" s="8" t="str">
        <f t="shared" si="142"/>
        <v/>
      </c>
      <c r="E937" s="9" t="str">
        <f t="shared" si="143"/>
        <v/>
      </c>
      <c r="F937" s="9" t="str">
        <f t="shared" si="144"/>
        <v/>
      </c>
      <c r="G937" s="9" t="str">
        <f t="shared" si="145"/>
        <v/>
      </c>
      <c r="H937" s="9" t="str">
        <f t="shared" si="146"/>
        <v/>
      </c>
      <c r="I937" s="10" t="str">
        <f t="shared" si="147"/>
        <v/>
      </c>
      <c r="J937" s="10" t="str">
        <f t="shared" si="149"/>
        <v/>
      </c>
      <c r="K937" s="11" t="str">
        <f t="shared" si="148"/>
        <v/>
      </c>
      <c r="M937" t="str">
        <f>IFERROR(MATCH($C$5&amp;"|"&amp;RIGHT("000000"&amp;921,6),CalcRankKeyA,0),"")</f>
        <v/>
      </c>
      <c r="N937" t="str">
        <f>IFERROR(MATCH($C$5&amp;"|"&amp;RIGHT("000000"&amp;921,6),CalcRankKeyB,0),"")</f>
        <v/>
      </c>
    </row>
    <row r="938" spans="1:14" x14ac:dyDescent="0.2">
      <c r="A938" s="12">
        <v>922</v>
      </c>
      <c r="B938" s="13" t="str">
        <f t="shared" si="140"/>
        <v/>
      </c>
      <c r="C938" s="13" t="str">
        <f t="shared" si="141"/>
        <v/>
      </c>
      <c r="D938" s="13" t="str">
        <f t="shared" si="142"/>
        <v/>
      </c>
      <c r="E938" s="14" t="str">
        <f t="shared" si="143"/>
        <v/>
      </c>
      <c r="F938" s="14" t="str">
        <f t="shared" si="144"/>
        <v/>
      </c>
      <c r="G938" s="14" t="str">
        <f t="shared" si="145"/>
        <v/>
      </c>
      <c r="H938" s="14" t="str">
        <f t="shared" si="146"/>
        <v/>
      </c>
      <c r="I938" s="15" t="str">
        <f t="shared" si="147"/>
        <v/>
      </c>
      <c r="J938" s="15" t="str">
        <f t="shared" si="149"/>
        <v/>
      </c>
      <c r="K938" s="16" t="str">
        <f t="shared" si="148"/>
        <v/>
      </c>
      <c r="M938" t="str">
        <f>IFERROR(MATCH($C$5&amp;"|"&amp;RIGHT("000000"&amp;922,6),CalcRankKeyA,0),"")</f>
        <v/>
      </c>
      <c r="N938" t="str">
        <f>IFERROR(MATCH($C$5&amp;"|"&amp;RIGHT("000000"&amp;922,6),CalcRankKeyB,0),"")</f>
        <v/>
      </c>
    </row>
    <row r="939" spans="1:14" x14ac:dyDescent="0.2">
      <c r="A939" s="7">
        <v>923</v>
      </c>
      <c r="B939" s="8" t="str">
        <f t="shared" si="140"/>
        <v/>
      </c>
      <c r="C939" s="8" t="str">
        <f t="shared" si="141"/>
        <v/>
      </c>
      <c r="D939" s="8" t="str">
        <f t="shared" si="142"/>
        <v/>
      </c>
      <c r="E939" s="9" t="str">
        <f t="shared" si="143"/>
        <v/>
      </c>
      <c r="F939" s="9" t="str">
        <f t="shared" si="144"/>
        <v/>
      </c>
      <c r="G939" s="9" t="str">
        <f t="shared" si="145"/>
        <v/>
      </c>
      <c r="H939" s="9" t="str">
        <f t="shared" si="146"/>
        <v/>
      </c>
      <c r="I939" s="10" t="str">
        <f t="shared" si="147"/>
        <v/>
      </c>
      <c r="J939" s="10" t="str">
        <f t="shared" si="149"/>
        <v/>
      </c>
      <c r="K939" s="11" t="str">
        <f t="shared" si="148"/>
        <v/>
      </c>
      <c r="M939" t="str">
        <f>IFERROR(MATCH($C$5&amp;"|"&amp;RIGHT("000000"&amp;923,6),CalcRankKeyA,0),"")</f>
        <v/>
      </c>
      <c r="N939" t="str">
        <f>IFERROR(MATCH($C$5&amp;"|"&amp;RIGHT("000000"&amp;923,6),CalcRankKeyB,0),"")</f>
        <v/>
      </c>
    </row>
    <row r="940" spans="1:14" x14ac:dyDescent="0.2">
      <c r="A940" s="12">
        <v>924</v>
      </c>
      <c r="B940" s="13" t="str">
        <f t="shared" si="140"/>
        <v/>
      </c>
      <c r="C940" s="13" t="str">
        <f t="shared" si="141"/>
        <v/>
      </c>
      <c r="D940" s="13" t="str">
        <f t="shared" si="142"/>
        <v/>
      </c>
      <c r="E940" s="14" t="str">
        <f t="shared" si="143"/>
        <v/>
      </c>
      <c r="F940" s="14" t="str">
        <f t="shared" si="144"/>
        <v/>
      </c>
      <c r="G940" s="14" t="str">
        <f t="shared" si="145"/>
        <v/>
      </c>
      <c r="H940" s="14" t="str">
        <f t="shared" si="146"/>
        <v/>
      </c>
      <c r="I940" s="15" t="str">
        <f t="shared" si="147"/>
        <v/>
      </c>
      <c r="J940" s="15" t="str">
        <f t="shared" si="149"/>
        <v/>
      </c>
      <c r="K940" s="16" t="str">
        <f t="shared" si="148"/>
        <v/>
      </c>
      <c r="M940" t="str">
        <f>IFERROR(MATCH($C$5&amp;"|"&amp;RIGHT("000000"&amp;924,6),CalcRankKeyA,0),"")</f>
        <v/>
      </c>
      <c r="N940" t="str">
        <f>IFERROR(MATCH($C$5&amp;"|"&amp;RIGHT("000000"&amp;924,6),CalcRankKeyB,0),"")</f>
        <v/>
      </c>
    </row>
    <row r="941" spans="1:14" x14ac:dyDescent="0.2">
      <c r="A941" s="7">
        <v>925</v>
      </c>
      <c r="B941" s="8" t="str">
        <f t="shared" si="140"/>
        <v/>
      </c>
      <c r="C941" s="8" t="str">
        <f t="shared" si="141"/>
        <v/>
      </c>
      <c r="D941" s="8" t="str">
        <f t="shared" si="142"/>
        <v/>
      </c>
      <c r="E941" s="9" t="str">
        <f t="shared" si="143"/>
        <v/>
      </c>
      <c r="F941" s="9" t="str">
        <f t="shared" si="144"/>
        <v/>
      </c>
      <c r="G941" s="9" t="str">
        <f t="shared" si="145"/>
        <v/>
      </c>
      <c r="H941" s="9" t="str">
        <f t="shared" si="146"/>
        <v/>
      </c>
      <c r="I941" s="10" t="str">
        <f t="shared" si="147"/>
        <v/>
      </c>
      <c r="J941" s="10" t="str">
        <f t="shared" si="149"/>
        <v/>
      </c>
      <c r="K941" s="11" t="str">
        <f t="shared" si="148"/>
        <v/>
      </c>
      <c r="M941" t="str">
        <f>IFERROR(MATCH($C$5&amp;"|"&amp;RIGHT("000000"&amp;925,6),CalcRankKeyA,0),"")</f>
        <v/>
      </c>
      <c r="N941" t="str">
        <f>IFERROR(MATCH($C$5&amp;"|"&amp;RIGHT("000000"&amp;925,6),CalcRankKeyB,0),"")</f>
        <v/>
      </c>
    </row>
    <row r="942" spans="1:14" x14ac:dyDescent="0.2">
      <c r="A942" s="12">
        <v>926</v>
      </c>
      <c r="B942" s="13" t="str">
        <f t="shared" si="140"/>
        <v/>
      </c>
      <c r="C942" s="13" t="str">
        <f t="shared" si="141"/>
        <v/>
      </c>
      <c r="D942" s="13" t="str">
        <f t="shared" si="142"/>
        <v/>
      </c>
      <c r="E942" s="14" t="str">
        <f t="shared" si="143"/>
        <v/>
      </c>
      <c r="F942" s="14" t="str">
        <f t="shared" si="144"/>
        <v/>
      </c>
      <c r="G942" s="14" t="str">
        <f t="shared" si="145"/>
        <v/>
      </c>
      <c r="H942" s="14" t="str">
        <f t="shared" si="146"/>
        <v/>
      </c>
      <c r="I942" s="15" t="str">
        <f t="shared" si="147"/>
        <v/>
      </c>
      <c r="J942" s="15" t="str">
        <f t="shared" si="149"/>
        <v/>
      </c>
      <c r="K942" s="16" t="str">
        <f t="shared" si="148"/>
        <v/>
      </c>
      <c r="M942" t="str">
        <f>IFERROR(MATCH($C$5&amp;"|"&amp;RIGHT("000000"&amp;926,6),CalcRankKeyA,0),"")</f>
        <v/>
      </c>
      <c r="N942" t="str">
        <f>IFERROR(MATCH($C$5&amp;"|"&amp;RIGHT("000000"&amp;926,6),CalcRankKeyB,0),"")</f>
        <v/>
      </c>
    </row>
    <row r="943" spans="1:14" x14ac:dyDescent="0.2">
      <c r="A943" s="7">
        <v>927</v>
      </c>
      <c r="B943" s="8" t="str">
        <f t="shared" si="140"/>
        <v/>
      </c>
      <c r="C943" s="8" t="str">
        <f t="shared" si="141"/>
        <v/>
      </c>
      <c r="D943" s="8" t="str">
        <f t="shared" si="142"/>
        <v/>
      </c>
      <c r="E943" s="9" t="str">
        <f t="shared" si="143"/>
        <v/>
      </c>
      <c r="F943" s="9" t="str">
        <f t="shared" si="144"/>
        <v/>
      </c>
      <c r="G943" s="9" t="str">
        <f t="shared" si="145"/>
        <v/>
      </c>
      <c r="H943" s="9" t="str">
        <f t="shared" si="146"/>
        <v/>
      </c>
      <c r="I943" s="10" t="str">
        <f t="shared" si="147"/>
        <v/>
      </c>
      <c r="J943" s="10" t="str">
        <f t="shared" si="149"/>
        <v/>
      </c>
      <c r="K943" s="11" t="str">
        <f t="shared" si="148"/>
        <v/>
      </c>
      <c r="M943" t="str">
        <f>IFERROR(MATCH($C$5&amp;"|"&amp;RIGHT("000000"&amp;927,6),CalcRankKeyA,0),"")</f>
        <v/>
      </c>
      <c r="N943" t="str">
        <f>IFERROR(MATCH($C$5&amp;"|"&amp;RIGHT("000000"&amp;927,6),CalcRankKeyB,0),"")</f>
        <v/>
      </c>
    </row>
    <row r="944" spans="1:14" x14ac:dyDescent="0.2">
      <c r="A944" s="12">
        <v>928</v>
      </c>
      <c r="B944" s="13" t="str">
        <f t="shared" si="140"/>
        <v/>
      </c>
      <c r="C944" s="13" t="str">
        <f t="shared" si="141"/>
        <v/>
      </c>
      <c r="D944" s="13" t="str">
        <f t="shared" si="142"/>
        <v/>
      </c>
      <c r="E944" s="14" t="str">
        <f t="shared" si="143"/>
        <v/>
      </c>
      <c r="F944" s="14" t="str">
        <f t="shared" si="144"/>
        <v/>
      </c>
      <c r="G944" s="14" t="str">
        <f t="shared" si="145"/>
        <v/>
      </c>
      <c r="H944" s="14" t="str">
        <f t="shared" si="146"/>
        <v/>
      </c>
      <c r="I944" s="15" t="str">
        <f t="shared" si="147"/>
        <v/>
      </c>
      <c r="J944" s="15" t="str">
        <f t="shared" si="149"/>
        <v/>
      </c>
      <c r="K944" s="16" t="str">
        <f t="shared" si="148"/>
        <v/>
      </c>
      <c r="M944" t="str">
        <f>IFERROR(MATCH($C$5&amp;"|"&amp;RIGHT("000000"&amp;928,6),CalcRankKeyA,0),"")</f>
        <v/>
      </c>
      <c r="N944" t="str">
        <f>IFERROR(MATCH($C$5&amp;"|"&amp;RIGHT("000000"&amp;928,6),CalcRankKeyB,0),"")</f>
        <v/>
      </c>
    </row>
    <row r="945" spans="1:14" x14ac:dyDescent="0.2">
      <c r="A945" s="7">
        <v>929</v>
      </c>
      <c r="B945" s="8" t="str">
        <f t="shared" si="140"/>
        <v/>
      </c>
      <c r="C945" s="8" t="str">
        <f t="shared" si="141"/>
        <v/>
      </c>
      <c r="D945" s="8" t="str">
        <f t="shared" si="142"/>
        <v/>
      </c>
      <c r="E945" s="9" t="str">
        <f t="shared" si="143"/>
        <v/>
      </c>
      <c r="F945" s="9" t="str">
        <f t="shared" si="144"/>
        <v/>
      </c>
      <c r="G945" s="9" t="str">
        <f t="shared" si="145"/>
        <v/>
      </c>
      <c r="H945" s="9" t="str">
        <f t="shared" si="146"/>
        <v/>
      </c>
      <c r="I945" s="10" t="str">
        <f t="shared" si="147"/>
        <v/>
      </c>
      <c r="J945" s="10" t="str">
        <f t="shared" si="149"/>
        <v/>
      </c>
      <c r="K945" s="11" t="str">
        <f t="shared" si="148"/>
        <v/>
      </c>
      <c r="M945" t="str">
        <f>IFERROR(MATCH($C$5&amp;"|"&amp;RIGHT("000000"&amp;929,6),CalcRankKeyA,0),"")</f>
        <v/>
      </c>
      <c r="N945" t="str">
        <f>IFERROR(MATCH($C$5&amp;"|"&amp;RIGHT("000000"&amp;929,6),CalcRankKeyB,0),"")</f>
        <v/>
      </c>
    </row>
    <row r="946" spans="1:14" x14ac:dyDescent="0.2">
      <c r="A946" s="12">
        <v>930</v>
      </c>
      <c r="B946" s="13" t="str">
        <f t="shared" si="140"/>
        <v/>
      </c>
      <c r="C946" s="13" t="str">
        <f t="shared" si="141"/>
        <v/>
      </c>
      <c r="D946" s="13" t="str">
        <f t="shared" si="142"/>
        <v/>
      </c>
      <c r="E946" s="14" t="str">
        <f t="shared" si="143"/>
        <v/>
      </c>
      <c r="F946" s="14" t="str">
        <f t="shared" si="144"/>
        <v/>
      </c>
      <c r="G946" s="14" t="str">
        <f t="shared" si="145"/>
        <v/>
      </c>
      <c r="H946" s="14" t="str">
        <f t="shared" si="146"/>
        <v/>
      </c>
      <c r="I946" s="15" t="str">
        <f t="shared" si="147"/>
        <v/>
      </c>
      <c r="J946" s="15" t="str">
        <f t="shared" si="149"/>
        <v/>
      </c>
      <c r="K946" s="16" t="str">
        <f t="shared" si="148"/>
        <v/>
      </c>
      <c r="M946" t="str">
        <f>IFERROR(MATCH($C$5&amp;"|"&amp;RIGHT("000000"&amp;930,6),CalcRankKeyA,0),"")</f>
        <v/>
      </c>
      <c r="N946" t="str">
        <f>IFERROR(MATCH($C$5&amp;"|"&amp;RIGHT("000000"&amp;930,6),CalcRankKeyB,0),"")</f>
        <v/>
      </c>
    </row>
    <row r="947" spans="1:14" x14ac:dyDescent="0.2">
      <c r="A947" s="7">
        <v>931</v>
      </c>
      <c r="B947" s="8" t="str">
        <f t="shared" si="140"/>
        <v/>
      </c>
      <c r="C947" s="8" t="str">
        <f t="shared" si="141"/>
        <v/>
      </c>
      <c r="D947" s="8" t="str">
        <f t="shared" si="142"/>
        <v/>
      </c>
      <c r="E947" s="9" t="str">
        <f t="shared" si="143"/>
        <v/>
      </c>
      <c r="F947" s="9" t="str">
        <f t="shared" si="144"/>
        <v/>
      </c>
      <c r="G947" s="9" t="str">
        <f t="shared" si="145"/>
        <v/>
      </c>
      <c r="H947" s="9" t="str">
        <f t="shared" si="146"/>
        <v/>
      </c>
      <c r="I947" s="10" t="str">
        <f t="shared" si="147"/>
        <v/>
      </c>
      <c r="J947" s="10" t="str">
        <f t="shared" si="149"/>
        <v/>
      </c>
      <c r="K947" s="11" t="str">
        <f t="shared" si="148"/>
        <v/>
      </c>
      <c r="M947" t="str">
        <f>IFERROR(MATCH($C$5&amp;"|"&amp;RIGHT("000000"&amp;931,6),CalcRankKeyA,0),"")</f>
        <v/>
      </c>
      <c r="N947" t="str">
        <f>IFERROR(MATCH($C$5&amp;"|"&amp;RIGHT("000000"&amp;931,6),CalcRankKeyB,0),"")</f>
        <v/>
      </c>
    </row>
    <row r="948" spans="1:14" x14ac:dyDescent="0.2">
      <c r="A948" s="12">
        <v>932</v>
      </c>
      <c r="B948" s="13" t="str">
        <f t="shared" si="140"/>
        <v/>
      </c>
      <c r="C948" s="13" t="str">
        <f t="shared" si="141"/>
        <v/>
      </c>
      <c r="D948" s="13" t="str">
        <f t="shared" si="142"/>
        <v/>
      </c>
      <c r="E948" s="14" t="str">
        <f t="shared" si="143"/>
        <v/>
      </c>
      <c r="F948" s="14" t="str">
        <f t="shared" si="144"/>
        <v/>
      </c>
      <c r="G948" s="14" t="str">
        <f t="shared" si="145"/>
        <v/>
      </c>
      <c r="H948" s="14" t="str">
        <f t="shared" si="146"/>
        <v/>
      </c>
      <c r="I948" s="15" t="str">
        <f t="shared" si="147"/>
        <v/>
      </c>
      <c r="J948" s="15" t="str">
        <f t="shared" si="149"/>
        <v/>
      </c>
      <c r="K948" s="16" t="str">
        <f t="shared" si="148"/>
        <v/>
      </c>
      <c r="M948" t="str">
        <f>IFERROR(MATCH($C$5&amp;"|"&amp;RIGHT("000000"&amp;932,6),CalcRankKeyA,0),"")</f>
        <v/>
      </c>
      <c r="N948" t="str">
        <f>IFERROR(MATCH($C$5&amp;"|"&amp;RIGHT("000000"&amp;932,6),CalcRankKeyB,0),"")</f>
        <v/>
      </c>
    </row>
    <row r="949" spans="1:14" x14ac:dyDescent="0.2">
      <c r="A949" s="7">
        <v>933</v>
      </c>
      <c r="B949" s="8" t="str">
        <f t="shared" si="140"/>
        <v/>
      </c>
      <c r="C949" s="8" t="str">
        <f t="shared" si="141"/>
        <v/>
      </c>
      <c r="D949" s="8" t="str">
        <f t="shared" si="142"/>
        <v/>
      </c>
      <c r="E949" s="9" t="str">
        <f t="shared" si="143"/>
        <v/>
      </c>
      <c r="F949" s="9" t="str">
        <f t="shared" si="144"/>
        <v/>
      </c>
      <c r="G949" s="9" t="str">
        <f t="shared" si="145"/>
        <v/>
      </c>
      <c r="H949" s="9" t="str">
        <f t="shared" si="146"/>
        <v/>
      </c>
      <c r="I949" s="10" t="str">
        <f t="shared" si="147"/>
        <v/>
      </c>
      <c r="J949" s="10" t="str">
        <f t="shared" si="149"/>
        <v/>
      </c>
      <c r="K949" s="11" t="str">
        <f t="shared" si="148"/>
        <v/>
      </c>
      <c r="M949" t="str">
        <f>IFERROR(MATCH($C$5&amp;"|"&amp;RIGHT("000000"&amp;933,6),CalcRankKeyA,0),"")</f>
        <v/>
      </c>
      <c r="N949" t="str">
        <f>IFERROR(MATCH($C$5&amp;"|"&amp;RIGHT("000000"&amp;933,6),CalcRankKeyB,0),"")</f>
        <v/>
      </c>
    </row>
    <row r="950" spans="1:14" x14ac:dyDescent="0.2">
      <c r="A950" s="12">
        <v>934</v>
      </c>
      <c r="B950" s="13" t="str">
        <f t="shared" si="140"/>
        <v/>
      </c>
      <c r="C950" s="13" t="str">
        <f t="shared" si="141"/>
        <v/>
      </c>
      <c r="D950" s="13" t="str">
        <f t="shared" si="142"/>
        <v/>
      </c>
      <c r="E950" s="14" t="str">
        <f t="shared" si="143"/>
        <v/>
      </c>
      <c r="F950" s="14" t="str">
        <f t="shared" si="144"/>
        <v/>
      </c>
      <c r="G950" s="14" t="str">
        <f t="shared" si="145"/>
        <v/>
      </c>
      <c r="H950" s="14" t="str">
        <f t="shared" si="146"/>
        <v/>
      </c>
      <c r="I950" s="15" t="str">
        <f t="shared" si="147"/>
        <v/>
      </c>
      <c r="J950" s="15" t="str">
        <f t="shared" si="149"/>
        <v/>
      </c>
      <c r="K950" s="16" t="str">
        <f t="shared" si="148"/>
        <v/>
      </c>
      <c r="M950" t="str">
        <f>IFERROR(MATCH($C$5&amp;"|"&amp;RIGHT("000000"&amp;934,6),CalcRankKeyA,0),"")</f>
        <v/>
      </c>
      <c r="N950" t="str">
        <f>IFERROR(MATCH($C$5&amp;"|"&amp;RIGHT("000000"&amp;934,6),CalcRankKeyB,0),"")</f>
        <v/>
      </c>
    </row>
    <row r="951" spans="1:14" x14ac:dyDescent="0.2">
      <c r="A951" s="7">
        <v>935</v>
      </c>
      <c r="B951" s="8" t="str">
        <f t="shared" si="140"/>
        <v/>
      </c>
      <c r="C951" s="8" t="str">
        <f t="shared" si="141"/>
        <v/>
      </c>
      <c r="D951" s="8" t="str">
        <f t="shared" si="142"/>
        <v/>
      </c>
      <c r="E951" s="9" t="str">
        <f t="shared" si="143"/>
        <v/>
      </c>
      <c r="F951" s="9" t="str">
        <f t="shared" si="144"/>
        <v/>
      </c>
      <c r="G951" s="9" t="str">
        <f t="shared" si="145"/>
        <v/>
      </c>
      <c r="H951" s="9" t="str">
        <f t="shared" si="146"/>
        <v/>
      </c>
      <c r="I951" s="10" t="str">
        <f t="shared" si="147"/>
        <v/>
      </c>
      <c r="J951" s="10" t="str">
        <f t="shared" si="149"/>
        <v/>
      </c>
      <c r="K951" s="11" t="str">
        <f t="shared" si="148"/>
        <v/>
      </c>
      <c r="M951" t="str">
        <f>IFERROR(MATCH($C$5&amp;"|"&amp;RIGHT("000000"&amp;935,6),CalcRankKeyA,0),"")</f>
        <v/>
      </c>
      <c r="N951" t="str">
        <f>IFERROR(MATCH($C$5&amp;"|"&amp;RIGHT("000000"&amp;935,6),CalcRankKeyB,0),"")</f>
        <v/>
      </c>
    </row>
    <row r="952" spans="1:14" x14ac:dyDescent="0.2">
      <c r="A952" s="12">
        <v>936</v>
      </c>
      <c r="B952" s="13" t="str">
        <f t="shared" si="140"/>
        <v/>
      </c>
      <c r="C952" s="13" t="str">
        <f t="shared" si="141"/>
        <v/>
      </c>
      <c r="D952" s="13" t="str">
        <f t="shared" si="142"/>
        <v/>
      </c>
      <c r="E952" s="14" t="str">
        <f t="shared" si="143"/>
        <v/>
      </c>
      <c r="F952" s="14" t="str">
        <f t="shared" si="144"/>
        <v/>
      </c>
      <c r="G952" s="14" t="str">
        <f t="shared" si="145"/>
        <v/>
      </c>
      <c r="H952" s="14" t="str">
        <f t="shared" si="146"/>
        <v/>
      </c>
      <c r="I952" s="15" t="str">
        <f t="shared" si="147"/>
        <v/>
      </c>
      <c r="J952" s="15" t="str">
        <f t="shared" si="149"/>
        <v/>
      </c>
      <c r="K952" s="16" t="str">
        <f t="shared" si="148"/>
        <v/>
      </c>
      <c r="M952" t="str">
        <f>IFERROR(MATCH($C$5&amp;"|"&amp;RIGHT("000000"&amp;936,6),CalcRankKeyA,0),"")</f>
        <v/>
      </c>
      <c r="N952" t="str">
        <f>IFERROR(MATCH($C$5&amp;"|"&amp;RIGHT("000000"&amp;936,6),CalcRankKeyB,0),"")</f>
        <v/>
      </c>
    </row>
    <row r="953" spans="1:14" x14ac:dyDescent="0.2">
      <c r="A953" s="7">
        <v>937</v>
      </c>
      <c r="B953" s="8" t="str">
        <f t="shared" si="140"/>
        <v/>
      </c>
      <c r="C953" s="8" t="str">
        <f t="shared" si="141"/>
        <v/>
      </c>
      <c r="D953" s="8" t="str">
        <f t="shared" si="142"/>
        <v/>
      </c>
      <c r="E953" s="9" t="str">
        <f t="shared" si="143"/>
        <v/>
      </c>
      <c r="F953" s="9" t="str">
        <f t="shared" si="144"/>
        <v/>
      </c>
      <c r="G953" s="9" t="str">
        <f t="shared" si="145"/>
        <v/>
      </c>
      <c r="H953" s="9" t="str">
        <f t="shared" si="146"/>
        <v/>
      </c>
      <c r="I953" s="10" t="str">
        <f t="shared" si="147"/>
        <v/>
      </c>
      <c r="J953" s="10" t="str">
        <f t="shared" si="149"/>
        <v/>
      </c>
      <c r="K953" s="11" t="str">
        <f t="shared" si="148"/>
        <v/>
      </c>
      <c r="M953" t="str">
        <f>IFERROR(MATCH($C$5&amp;"|"&amp;RIGHT("000000"&amp;937,6),CalcRankKeyA,0),"")</f>
        <v/>
      </c>
      <c r="N953" t="str">
        <f>IFERROR(MATCH($C$5&amp;"|"&amp;RIGHT("000000"&amp;937,6),CalcRankKeyB,0),"")</f>
        <v/>
      </c>
    </row>
    <row r="954" spans="1:14" x14ac:dyDescent="0.2">
      <c r="A954" s="12">
        <v>938</v>
      </c>
      <c r="B954" s="13" t="str">
        <f t="shared" si="140"/>
        <v/>
      </c>
      <c r="C954" s="13" t="str">
        <f t="shared" si="141"/>
        <v/>
      </c>
      <c r="D954" s="13" t="str">
        <f t="shared" si="142"/>
        <v/>
      </c>
      <c r="E954" s="14" t="str">
        <f t="shared" si="143"/>
        <v/>
      </c>
      <c r="F954" s="14" t="str">
        <f t="shared" si="144"/>
        <v/>
      </c>
      <c r="G954" s="14" t="str">
        <f t="shared" si="145"/>
        <v/>
      </c>
      <c r="H954" s="14" t="str">
        <f t="shared" si="146"/>
        <v/>
      </c>
      <c r="I954" s="15" t="str">
        <f t="shared" si="147"/>
        <v/>
      </c>
      <c r="J954" s="15" t="str">
        <f t="shared" si="149"/>
        <v/>
      </c>
      <c r="K954" s="16" t="str">
        <f t="shared" si="148"/>
        <v/>
      </c>
      <c r="M954" t="str">
        <f>IFERROR(MATCH($C$5&amp;"|"&amp;RIGHT("000000"&amp;938,6),CalcRankKeyA,0),"")</f>
        <v/>
      </c>
      <c r="N954" t="str">
        <f>IFERROR(MATCH($C$5&amp;"|"&amp;RIGHT("000000"&amp;938,6),CalcRankKeyB,0),"")</f>
        <v/>
      </c>
    </row>
    <row r="955" spans="1:14" x14ac:dyDescent="0.2">
      <c r="A955" s="7">
        <v>939</v>
      </c>
      <c r="B955" s="8" t="str">
        <f t="shared" si="140"/>
        <v/>
      </c>
      <c r="C955" s="8" t="str">
        <f t="shared" si="141"/>
        <v/>
      </c>
      <c r="D955" s="8" t="str">
        <f t="shared" si="142"/>
        <v/>
      </c>
      <c r="E955" s="9" t="str">
        <f t="shared" si="143"/>
        <v/>
      </c>
      <c r="F955" s="9" t="str">
        <f t="shared" si="144"/>
        <v/>
      </c>
      <c r="G955" s="9" t="str">
        <f t="shared" si="145"/>
        <v/>
      </c>
      <c r="H955" s="9" t="str">
        <f t="shared" si="146"/>
        <v/>
      </c>
      <c r="I955" s="10" t="str">
        <f t="shared" si="147"/>
        <v/>
      </c>
      <c r="J955" s="10" t="str">
        <f t="shared" si="149"/>
        <v/>
      </c>
      <c r="K955" s="11" t="str">
        <f t="shared" si="148"/>
        <v/>
      </c>
      <c r="M955" t="str">
        <f>IFERROR(MATCH($C$5&amp;"|"&amp;RIGHT("000000"&amp;939,6),CalcRankKeyA,0),"")</f>
        <v/>
      </c>
      <c r="N955" t="str">
        <f>IFERROR(MATCH($C$5&amp;"|"&amp;RIGHT("000000"&amp;939,6),CalcRankKeyB,0),"")</f>
        <v/>
      </c>
    </row>
    <row r="956" spans="1:14" x14ac:dyDescent="0.2">
      <c r="A956" s="12">
        <v>940</v>
      </c>
      <c r="B956" s="13" t="str">
        <f t="shared" si="140"/>
        <v/>
      </c>
      <c r="C956" s="13" t="str">
        <f t="shared" si="141"/>
        <v/>
      </c>
      <c r="D956" s="13" t="str">
        <f t="shared" si="142"/>
        <v/>
      </c>
      <c r="E956" s="14" t="str">
        <f t="shared" si="143"/>
        <v/>
      </c>
      <c r="F956" s="14" t="str">
        <f t="shared" si="144"/>
        <v/>
      </c>
      <c r="G956" s="14" t="str">
        <f t="shared" si="145"/>
        <v/>
      </c>
      <c r="H956" s="14" t="str">
        <f t="shared" si="146"/>
        <v/>
      </c>
      <c r="I956" s="15" t="str">
        <f t="shared" si="147"/>
        <v/>
      </c>
      <c r="J956" s="15" t="str">
        <f t="shared" si="149"/>
        <v/>
      </c>
      <c r="K956" s="16" t="str">
        <f t="shared" si="148"/>
        <v/>
      </c>
      <c r="M956" t="str">
        <f>IFERROR(MATCH($C$5&amp;"|"&amp;RIGHT("000000"&amp;940,6),CalcRankKeyA,0),"")</f>
        <v/>
      </c>
      <c r="N956" t="str">
        <f>IFERROR(MATCH($C$5&amp;"|"&amp;RIGHT("000000"&amp;940,6),CalcRankKeyB,0),"")</f>
        <v/>
      </c>
    </row>
    <row r="957" spans="1:14" x14ac:dyDescent="0.2">
      <c r="A957" s="7">
        <v>941</v>
      </c>
      <c r="B957" s="8" t="str">
        <f t="shared" si="140"/>
        <v/>
      </c>
      <c r="C957" s="8" t="str">
        <f t="shared" si="141"/>
        <v/>
      </c>
      <c r="D957" s="8" t="str">
        <f t="shared" si="142"/>
        <v/>
      </c>
      <c r="E957" s="9" t="str">
        <f t="shared" si="143"/>
        <v/>
      </c>
      <c r="F957" s="9" t="str">
        <f t="shared" si="144"/>
        <v/>
      </c>
      <c r="G957" s="9" t="str">
        <f t="shared" si="145"/>
        <v/>
      </c>
      <c r="H957" s="9" t="str">
        <f t="shared" si="146"/>
        <v/>
      </c>
      <c r="I957" s="10" t="str">
        <f t="shared" si="147"/>
        <v/>
      </c>
      <c r="J957" s="10" t="str">
        <f t="shared" si="149"/>
        <v/>
      </c>
      <c r="K957" s="11" t="str">
        <f t="shared" si="148"/>
        <v/>
      </c>
      <c r="M957" t="str">
        <f>IFERROR(MATCH($C$5&amp;"|"&amp;RIGHT("000000"&amp;941,6),CalcRankKeyA,0),"")</f>
        <v/>
      </c>
      <c r="N957" t="str">
        <f>IFERROR(MATCH($C$5&amp;"|"&amp;RIGHT("000000"&amp;941,6),CalcRankKeyB,0),"")</f>
        <v/>
      </c>
    </row>
    <row r="958" spans="1:14" x14ac:dyDescent="0.2">
      <c r="A958" s="12">
        <v>942</v>
      </c>
      <c r="B958" s="13" t="str">
        <f t="shared" si="140"/>
        <v/>
      </c>
      <c r="C958" s="13" t="str">
        <f t="shared" si="141"/>
        <v/>
      </c>
      <c r="D958" s="13" t="str">
        <f t="shared" si="142"/>
        <v/>
      </c>
      <c r="E958" s="14" t="str">
        <f t="shared" si="143"/>
        <v/>
      </c>
      <c r="F958" s="14" t="str">
        <f t="shared" si="144"/>
        <v/>
      </c>
      <c r="G958" s="14" t="str">
        <f t="shared" si="145"/>
        <v/>
      </c>
      <c r="H958" s="14" t="str">
        <f t="shared" si="146"/>
        <v/>
      </c>
      <c r="I958" s="15" t="str">
        <f t="shared" si="147"/>
        <v/>
      </c>
      <c r="J958" s="15" t="str">
        <f t="shared" si="149"/>
        <v/>
      </c>
      <c r="K958" s="16" t="str">
        <f t="shared" si="148"/>
        <v/>
      </c>
      <c r="M958" t="str">
        <f>IFERROR(MATCH($C$5&amp;"|"&amp;RIGHT("000000"&amp;942,6),CalcRankKeyA,0),"")</f>
        <v/>
      </c>
      <c r="N958" t="str">
        <f>IFERROR(MATCH($C$5&amp;"|"&amp;RIGHT("000000"&amp;942,6),CalcRankKeyB,0),"")</f>
        <v/>
      </c>
    </row>
    <row r="959" spans="1:14" x14ac:dyDescent="0.2">
      <c r="A959" s="7">
        <v>943</v>
      </c>
      <c r="B959" s="8" t="str">
        <f t="shared" si="140"/>
        <v/>
      </c>
      <c r="C959" s="8" t="str">
        <f t="shared" si="141"/>
        <v/>
      </c>
      <c r="D959" s="8" t="str">
        <f t="shared" si="142"/>
        <v/>
      </c>
      <c r="E959" s="9" t="str">
        <f t="shared" si="143"/>
        <v/>
      </c>
      <c r="F959" s="9" t="str">
        <f t="shared" si="144"/>
        <v/>
      </c>
      <c r="G959" s="9" t="str">
        <f t="shared" si="145"/>
        <v/>
      </c>
      <c r="H959" s="9" t="str">
        <f t="shared" si="146"/>
        <v/>
      </c>
      <c r="I959" s="10" t="str">
        <f t="shared" si="147"/>
        <v/>
      </c>
      <c r="J959" s="10" t="str">
        <f t="shared" si="149"/>
        <v/>
      </c>
      <c r="K959" s="11" t="str">
        <f t="shared" si="148"/>
        <v/>
      </c>
      <c r="M959" t="str">
        <f>IFERROR(MATCH($C$5&amp;"|"&amp;RIGHT("000000"&amp;943,6),CalcRankKeyA,0),"")</f>
        <v/>
      </c>
      <c r="N959" t="str">
        <f>IFERROR(MATCH($C$5&amp;"|"&amp;RIGHT("000000"&amp;943,6),CalcRankKeyB,0),"")</f>
        <v/>
      </c>
    </row>
    <row r="960" spans="1:14" x14ac:dyDescent="0.2">
      <c r="A960" s="12">
        <v>944</v>
      </c>
      <c r="B960" s="13" t="str">
        <f t="shared" si="140"/>
        <v/>
      </c>
      <c r="C960" s="13" t="str">
        <f t="shared" si="141"/>
        <v/>
      </c>
      <c r="D960" s="13" t="str">
        <f t="shared" si="142"/>
        <v/>
      </c>
      <c r="E960" s="14" t="str">
        <f t="shared" si="143"/>
        <v/>
      </c>
      <c r="F960" s="14" t="str">
        <f t="shared" si="144"/>
        <v/>
      </c>
      <c r="G960" s="14" t="str">
        <f t="shared" si="145"/>
        <v/>
      </c>
      <c r="H960" s="14" t="str">
        <f t="shared" si="146"/>
        <v/>
      </c>
      <c r="I960" s="15" t="str">
        <f t="shared" si="147"/>
        <v/>
      </c>
      <c r="J960" s="15" t="str">
        <f t="shared" si="149"/>
        <v/>
      </c>
      <c r="K960" s="16" t="str">
        <f t="shared" si="148"/>
        <v/>
      </c>
      <c r="M960" t="str">
        <f>IFERROR(MATCH($C$5&amp;"|"&amp;RIGHT("000000"&amp;944,6),CalcRankKeyA,0),"")</f>
        <v/>
      </c>
      <c r="N960" t="str">
        <f>IFERROR(MATCH($C$5&amp;"|"&amp;RIGHT("000000"&amp;944,6),CalcRankKeyB,0),"")</f>
        <v/>
      </c>
    </row>
    <row r="961" spans="1:14" x14ac:dyDescent="0.2">
      <c r="A961" s="7">
        <v>945</v>
      </c>
      <c r="B961" s="8" t="str">
        <f t="shared" si="140"/>
        <v/>
      </c>
      <c r="C961" s="8" t="str">
        <f t="shared" si="141"/>
        <v/>
      </c>
      <c r="D961" s="8" t="str">
        <f t="shared" si="142"/>
        <v/>
      </c>
      <c r="E961" s="9" t="str">
        <f t="shared" si="143"/>
        <v/>
      </c>
      <c r="F961" s="9" t="str">
        <f t="shared" si="144"/>
        <v/>
      </c>
      <c r="G961" s="9" t="str">
        <f t="shared" si="145"/>
        <v/>
      </c>
      <c r="H961" s="9" t="str">
        <f t="shared" si="146"/>
        <v/>
      </c>
      <c r="I961" s="10" t="str">
        <f t="shared" si="147"/>
        <v/>
      </c>
      <c r="J961" s="10" t="str">
        <f t="shared" si="149"/>
        <v/>
      </c>
      <c r="K961" s="11" t="str">
        <f t="shared" si="148"/>
        <v/>
      </c>
      <c r="M961" t="str">
        <f>IFERROR(MATCH($C$5&amp;"|"&amp;RIGHT("000000"&amp;945,6),CalcRankKeyA,0),"")</f>
        <v/>
      </c>
      <c r="N961" t="str">
        <f>IFERROR(MATCH($C$5&amp;"|"&amp;RIGHT("000000"&amp;945,6),CalcRankKeyB,0),"")</f>
        <v/>
      </c>
    </row>
    <row r="962" spans="1:14" x14ac:dyDescent="0.2">
      <c r="A962" s="12">
        <v>946</v>
      </c>
      <c r="B962" s="13" t="str">
        <f t="shared" si="140"/>
        <v/>
      </c>
      <c r="C962" s="13" t="str">
        <f t="shared" si="141"/>
        <v/>
      </c>
      <c r="D962" s="13" t="str">
        <f t="shared" si="142"/>
        <v/>
      </c>
      <c r="E962" s="14" t="str">
        <f t="shared" si="143"/>
        <v/>
      </c>
      <c r="F962" s="14" t="str">
        <f t="shared" si="144"/>
        <v/>
      </c>
      <c r="G962" s="14" t="str">
        <f t="shared" si="145"/>
        <v/>
      </c>
      <c r="H962" s="14" t="str">
        <f t="shared" si="146"/>
        <v/>
      </c>
      <c r="I962" s="15" t="str">
        <f t="shared" si="147"/>
        <v/>
      </c>
      <c r="J962" s="15" t="str">
        <f t="shared" si="149"/>
        <v/>
      </c>
      <c r="K962" s="16" t="str">
        <f t="shared" si="148"/>
        <v/>
      </c>
      <c r="M962" t="str">
        <f>IFERROR(MATCH($C$5&amp;"|"&amp;RIGHT("000000"&amp;946,6),CalcRankKeyA,0),"")</f>
        <v/>
      </c>
      <c r="N962" t="str">
        <f>IFERROR(MATCH($C$5&amp;"|"&amp;RIGHT("000000"&amp;946,6),CalcRankKeyB,0),"")</f>
        <v/>
      </c>
    </row>
    <row r="963" spans="1:14" x14ac:dyDescent="0.2">
      <c r="A963" s="7">
        <v>947</v>
      </c>
      <c r="B963" s="8" t="str">
        <f t="shared" si="140"/>
        <v/>
      </c>
      <c r="C963" s="8" t="str">
        <f t="shared" si="141"/>
        <v/>
      </c>
      <c r="D963" s="8" t="str">
        <f t="shared" si="142"/>
        <v/>
      </c>
      <c r="E963" s="9" t="str">
        <f t="shared" si="143"/>
        <v/>
      </c>
      <c r="F963" s="9" t="str">
        <f t="shared" si="144"/>
        <v/>
      </c>
      <c r="G963" s="9" t="str">
        <f t="shared" si="145"/>
        <v/>
      </c>
      <c r="H963" s="9" t="str">
        <f t="shared" si="146"/>
        <v/>
      </c>
      <c r="I963" s="10" t="str">
        <f t="shared" si="147"/>
        <v/>
      </c>
      <c r="J963" s="10" t="str">
        <f t="shared" si="149"/>
        <v/>
      </c>
      <c r="K963" s="11" t="str">
        <f t="shared" si="148"/>
        <v/>
      </c>
      <c r="M963" t="str">
        <f>IFERROR(MATCH($C$5&amp;"|"&amp;RIGHT("000000"&amp;947,6),CalcRankKeyA,0),"")</f>
        <v/>
      </c>
      <c r="N963" t="str">
        <f>IFERROR(MATCH($C$5&amp;"|"&amp;RIGHT("000000"&amp;947,6),CalcRankKeyB,0),"")</f>
        <v/>
      </c>
    </row>
    <row r="964" spans="1:14" x14ac:dyDescent="0.2">
      <c r="A964" s="12">
        <v>948</v>
      </c>
      <c r="B964" s="13" t="str">
        <f t="shared" si="140"/>
        <v/>
      </c>
      <c r="C964" s="13" t="str">
        <f t="shared" si="141"/>
        <v/>
      </c>
      <c r="D964" s="13" t="str">
        <f t="shared" si="142"/>
        <v/>
      </c>
      <c r="E964" s="14" t="str">
        <f t="shared" si="143"/>
        <v/>
      </c>
      <c r="F964" s="14" t="str">
        <f t="shared" si="144"/>
        <v/>
      </c>
      <c r="G964" s="14" t="str">
        <f t="shared" si="145"/>
        <v/>
      </c>
      <c r="H964" s="14" t="str">
        <f t="shared" si="146"/>
        <v/>
      </c>
      <c r="I964" s="15" t="str">
        <f t="shared" si="147"/>
        <v/>
      </c>
      <c r="J964" s="15" t="str">
        <f t="shared" si="149"/>
        <v/>
      </c>
      <c r="K964" s="16" t="str">
        <f t="shared" si="148"/>
        <v/>
      </c>
      <c r="M964" t="str">
        <f>IFERROR(MATCH($C$5&amp;"|"&amp;RIGHT("000000"&amp;948,6),CalcRankKeyA,0),"")</f>
        <v/>
      </c>
      <c r="N964" t="str">
        <f>IFERROR(MATCH($C$5&amp;"|"&amp;RIGHT("000000"&amp;948,6),CalcRankKeyB,0),"")</f>
        <v/>
      </c>
    </row>
    <row r="965" spans="1:14" x14ac:dyDescent="0.2">
      <c r="A965" s="7">
        <v>949</v>
      </c>
      <c r="B965" s="8" t="str">
        <f t="shared" si="140"/>
        <v/>
      </c>
      <c r="C965" s="8" t="str">
        <f t="shared" si="141"/>
        <v/>
      </c>
      <c r="D965" s="8" t="str">
        <f t="shared" si="142"/>
        <v/>
      </c>
      <c r="E965" s="9" t="str">
        <f t="shared" si="143"/>
        <v/>
      </c>
      <c r="F965" s="9" t="str">
        <f t="shared" si="144"/>
        <v/>
      </c>
      <c r="G965" s="9" t="str">
        <f t="shared" si="145"/>
        <v/>
      </c>
      <c r="H965" s="9" t="str">
        <f t="shared" si="146"/>
        <v/>
      </c>
      <c r="I965" s="10" t="str">
        <f t="shared" si="147"/>
        <v/>
      </c>
      <c r="J965" s="10" t="str">
        <f t="shared" si="149"/>
        <v/>
      </c>
      <c r="K965" s="11" t="str">
        <f t="shared" si="148"/>
        <v/>
      </c>
      <c r="M965" t="str">
        <f>IFERROR(MATCH($C$5&amp;"|"&amp;RIGHT("000000"&amp;949,6),CalcRankKeyA,0),"")</f>
        <v/>
      </c>
      <c r="N965" t="str">
        <f>IFERROR(MATCH($C$5&amp;"|"&amp;RIGHT("000000"&amp;949,6),CalcRankKeyB,0),"")</f>
        <v/>
      </c>
    </row>
    <row r="966" spans="1:14" x14ac:dyDescent="0.2">
      <c r="A966" s="12">
        <v>950</v>
      </c>
      <c r="B966" s="13" t="str">
        <f t="shared" si="140"/>
        <v/>
      </c>
      <c r="C966" s="13" t="str">
        <f t="shared" si="141"/>
        <v/>
      </c>
      <c r="D966" s="13" t="str">
        <f t="shared" si="142"/>
        <v/>
      </c>
      <c r="E966" s="14" t="str">
        <f t="shared" si="143"/>
        <v/>
      </c>
      <c r="F966" s="14" t="str">
        <f t="shared" si="144"/>
        <v/>
      </c>
      <c r="G966" s="14" t="str">
        <f t="shared" si="145"/>
        <v/>
      </c>
      <c r="H966" s="14" t="str">
        <f t="shared" si="146"/>
        <v/>
      </c>
      <c r="I966" s="15" t="str">
        <f t="shared" si="147"/>
        <v/>
      </c>
      <c r="J966" s="15" t="str">
        <f t="shared" si="149"/>
        <v/>
      </c>
      <c r="K966" s="16" t="str">
        <f t="shared" si="148"/>
        <v/>
      </c>
      <c r="M966" t="str">
        <f>IFERROR(MATCH($C$5&amp;"|"&amp;RIGHT("000000"&amp;950,6),CalcRankKeyA,0),"")</f>
        <v/>
      </c>
      <c r="N966" t="str">
        <f>IFERROR(MATCH($C$5&amp;"|"&amp;RIGHT("000000"&amp;950,6),CalcRankKeyB,0),"")</f>
        <v/>
      </c>
    </row>
    <row r="967" spans="1:14" x14ac:dyDescent="0.2">
      <c r="A967" s="7">
        <v>951</v>
      </c>
      <c r="B967" s="8" t="str">
        <f t="shared" si="140"/>
        <v/>
      </c>
      <c r="C967" s="8" t="str">
        <f t="shared" si="141"/>
        <v/>
      </c>
      <c r="D967" s="8" t="str">
        <f t="shared" si="142"/>
        <v/>
      </c>
      <c r="E967" s="9" t="str">
        <f t="shared" si="143"/>
        <v/>
      </c>
      <c r="F967" s="9" t="str">
        <f t="shared" si="144"/>
        <v/>
      </c>
      <c r="G967" s="9" t="str">
        <f t="shared" si="145"/>
        <v/>
      </c>
      <c r="H967" s="9" t="str">
        <f t="shared" si="146"/>
        <v/>
      </c>
      <c r="I967" s="10" t="str">
        <f t="shared" si="147"/>
        <v/>
      </c>
      <c r="J967" s="10" t="str">
        <f t="shared" si="149"/>
        <v/>
      </c>
      <c r="K967" s="11" t="str">
        <f t="shared" si="148"/>
        <v/>
      </c>
      <c r="M967" t="str">
        <f>IFERROR(MATCH($C$5&amp;"|"&amp;RIGHT("000000"&amp;951,6),CalcRankKeyA,0),"")</f>
        <v/>
      </c>
      <c r="N967" t="str">
        <f>IFERROR(MATCH($C$5&amp;"|"&amp;RIGHT("000000"&amp;951,6),CalcRankKeyB,0),"")</f>
        <v/>
      </c>
    </row>
    <row r="968" spans="1:14" x14ac:dyDescent="0.2">
      <c r="A968" s="12">
        <v>952</v>
      </c>
      <c r="B968" s="13" t="str">
        <f t="shared" si="140"/>
        <v/>
      </c>
      <c r="C968" s="13" t="str">
        <f t="shared" si="141"/>
        <v/>
      </c>
      <c r="D968" s="13" t="str">
        <f t="shared" si="142"/>
        <v/>
      </c>
      <c r="E968" s="14" t="str">
        <f t="shared" si="143"/>
        <v/>
      </c>
      <c r="F968" s="14" t="str">
        <f t="shared" si="144"/>
        <v/>
      </c>
      <c r="G968" s="14" t="str">
        <f t="shared" si="145"/>
        <v/>
      </c>
      <c r="H968" s="14" t="str">
        <f t="shared" si="146"/>
        <v/>
      </c>
      <c r="I968" s="15" t="str">
        <f t="shared" si="147"/>
        <v/>
      </c>
      <c r="J968" s="15" t="str">
        <f t="shared" si="149"/>
        <v/>
      </c>
      <c r="K968" s="16" t="str">
        <f t="shared" si="148"/>
        <v/>
      </c>
      <c r="M968" t="str">
        <f>IFERROR(MATCH($C$5&amp;"|"&amp;RIGHT("000000"&amp;952,6),CalcRankKeyA,0),"")</f>
        <v/>
      </c>
      <c r="N968" t="str">
        <f>IFERROR(MATCH($C$5&amp;"|"&amp;RIGHT("000000"&amp;952,6),CalcRankKeyB,0),"")</f>
        <v/>
      </c>
    </row>
    <row r="969" spans="1:14" x14ac:dyDescent="0.2">
      <c r="A969" s="7">
        <v>953</v>
      </c>
      <c r="B969" s="8" t="str">
        <f t="shared" si="140"/>
        <v/>
      </c>
      <c r="C969" s="8" t="str">
        <f t="shared" si="141"/>
        <v/>
      </c>
      <c r="D969" s="8" t="str">
        <f t="shared" si="142"/>
        <v/>
      </c>
      <c r="E969" s="9" t="str">
        <f t="shared" si="143"/>
        <v/>
      </c>
      <c r="F969" s="9" t="str">
        <f t="shared" si="144"/>
        <v/>
      </c>
      <c r="G969" s="9" t="str">
        <f t="shared" si="145"/>
        <v/>
      </c>
      <c r="H969" s="9" t="str">
        <f t="shared" si="146"/>
        <v/>
      </c>
      <c r="I969" s="10" t="str">
        <f t="shared" si="147"/>
        <v/>
      </c>
      <c r="J969" s="10" t="str">
        <f t="shared" si="149"/>
        <v/>
      </c>
      <c r="K969" s="11" t="str">
        <f t="shared" si="148"/>
        <v/>
      </c>
      <c r="M969" t="str">
        <f>IFERROR(MATCH($C$5&amp;"|"&amp;RIGHT("000000"&amp;953,6),CalcRankKeyA,0),"")</f>
        <v/>
      </c>
      <c r="N969" t="str">
        <f>IFERROR(MATCH($C$5&amp;"|"&amp;RIGHT("000000"&amp;953,6),CalcRankKeyB,0),"")</f>
        <v/>
      </c>
    </row>
    <row r="970" spans="1:14" x14ac:dyDescent="0.2">
      <c r="A970" s="12">
        <v>954</v>
      </c>
      <c r="B970" s="13" t="str">
        <f t="shared" si="140"/>
        <v/>
      </c>
      <c r="C970" s="13" t="str">
        <f t="shared" si="141"/>
        <v/>
      </c>
      <c r="D970" s="13" t="str">
        <f t="shared" si="142"/>
        <v/>
      </c>
      <c r="E970" s="14" t="str">
        <f t="shared" si="143"/>
        <v/>
      </c>
      <c r="F970" s="14" t="str">
        <f t="shared" si="144"/>
        <v/>
      </c>
      <c r="G970" s="14" t="str">
        <f t="shared" si="145"/>
        <v/>
      </c>
      <c r="H970" s="14" t="str">
        <f t="shared" si="146"/>
        <v/>
      </c>
      <c r="I970" s="15" t="str">
        <f t="shared" si="147"/>
        <v/>
      </c>
      <c r="J970" s="15" t="str">
        <f t="shared" si="149"/>
        <v/>
      </c>
      <c r="K970" s="16" t="str">
        <f t="shared" si="148"/>
        <v/>
      </c>
      <c r="M970" t="str">
        <f>IFERROR(MATCH($C$5&amp;"|"&amp;RIGHT("000000"&amp;954,6),CalcRankKeyA,0),"")</f>
        <v/>
      </c>
      <c r="N970" t="str">
        <f>IFERROR(MATCH($C$5&amp;"|"&amp;RIGHT("000000"&amp;954,6),CalcRankKeyB,0),"")</f>
        <v/>
      </c>
    </row>
    <row r="971" spans="1:14" x14ac:dyDescent="0.2">
      <c r="A971" s="7">
        <v>955</v>
      </c>
      <c r="B971" s="8" t="str">
        <f t="shared" si="140"/>
        <v/>
      </c>
      <c r="C971" s="8" t="str">
        <f t="shared" si="141"/>
        <v/>
      </c>
      <c r="D971" s="8" t="str">
        <f t="shared" si="142"/>
        <v/>
      </c>
      <c r="E971" s="9" t="str">
        <f t="shared" si="143"/>
        <v/>
      </c>
      <c r="F971" s="9" t="str">
        <f t="shared" si="144"/>
        <v/>
      </c>
      <c r="G971" s="9" t="str">
        <f t="shared" si="145"/>
        <v/>
      </c>
      <c r="H971" s="9" t="str">
        <f t="shared" si="146"/>
        <v/>
      </c>
      <c r="I971" s="10" t="str">
        <f t="shared" si="147"/>
        <v/>
      </c>
      <c r="J971" s="10" t="str">
        <f t="shared" si="149"/>
        <v/>
      </c>
      <c r="K971" s="11" t="str">
        <f t="shared" si="148"/>
        <v/>
      </c>
      <c r="M971" t="str">
        <f>IFERROR(MATCH($C$5&amp;"|"&amp;RIGHT("000000"&amp;955,6),CalcRankKeyA,0),"")</f>
        <v/>
      </c>
      <c r="N971" t="str">
        <f>IFERROR(MATCH($C$5&amp;"|"&amp;RIGHT("000000"&amp;955,6),CalcRankKeyB,0),"")</f>
        <v/>
      </c>
    </row>
    <row r="972" spans="1:14" x14ac:dyDescent="0.2">
      <c r="A972" s="12">
        <v>956</v>
      </c>
      <c r="B972" s="13" t="str">
        <f t="shared" si="140"/>
        <v/>
      </c>
      <c r="C972" s="13" t="str">
        <f t="shared" si="141"/>
        <v/>
      </c>
      <c r="D972" s="13" t="str">
        <f t="shared" si="142"/>
        <v/>
      </c>
      <c r="E972" s="14" t="str">
        <f t="shared" si="143"/>
        <v/>
      </c>
      <c r="F972" s="14" t="str">
        <f t="shared" si="144"/>
        <v/>
      </c>
      <c r="G972" s="14" t="str">
        <f t="shared" si="145"/>
        <v/>
      </c>
      <c r="H972" s="14" t="str">
        <f t="shared" si="146"/>
        <v/>
      </c>
      <c r="I972" s="15" t="str">
        <f t="shared" si="147"/>
        <v/>
      </c>
      <c r="J972" s="15" t="str">
        <f t="shared" si="149"/>
        <v/>
      </c>
      <c r="K972" s="16" t="str">
        <f t="shared" si="148"/>
        <v/>
      </c>
      <c r="M972" t="str">
        <f>IFERROR(MATCH($C$5&amp;"|"&amp;RIGHT("000000"&amp;956,6),CalcRankKeyA,0),"")</f>
        <v/>
      </c>
      <c r="N972" t="str">
        <f>IFERROR(MATCH($C$5&amp;"|"&amp;RIGHT("000000"&amp;956,6),CalcRankKeyB,0),"")</f>
        <v/>
      </c>
    </row>
    <row r="973" spans="1:14" x14ac:dyDescent="0.2">
      <c r="A973" s="7">
        <v>957</v>
      </c>
      <c r="B973" s="8" t="str">
        <f t="shared" si="140"/>
        <v/>
      </c>
      <c r="C973" s="8" t="str">
        <f t="shared" si="141"/>
        <v/>
      </c>
      <c r="D973" s="8" t="str">
        <f t="shared" si="142"/>
        <v/>
      </c>
      <c r="E973" s="9" t="str">
        <f t="shared" si="143"/>
        <v/>
      </c>
      <c r="F973" s="9" t="str">
        <f t="shared" si="144"/>
        <v/>
      </c>
      <c r="G973" s="9" t="str">
        <f t="shared" si="145"/>
        <v/>
      </c>
      <c r="H973" s="9" t="str">
        <f t="shared" si="146"/>
        <v/>
      </c>
      <c r="I973" s="10" t="str">
        <f t="shared" si="147"/>
        <v/>
      </c>
      <c r="J973" s="10" t="str">
        <f t="shared" si="149"/>
        <v/>
      </c>
      <c r="K973" s="11" t="str">
        <f t="shared" si="148"/>
        <v/>
      </c>
      <c r="M973" t="str">
        <f>IFERROR(MATCH($C$5&amp;"|"&amp;RIGHT("000000"&amp;957,6),CalcRankKeyA,0),"")</f>
        <v/>
      </c>
      <c r="N973" t="str">
        <f>IFERROR(MATCH($C$5&amp;"|"&amp;RIGHT("000000"&amp;957,6),CalcRankKeyB,0),"")</f>
        <v/>
      </c>
    </row>
    <row r="974" spans="1:14" x14ac:dyDescent="0.2">
      <c r="A974" s="12">
        <v>958</v>
      </c>
      <c r="B974" s="13" t="str">
        <f t="shared" si="140"/>
        <v/>
      </c>
      <c r="C974" s="13" t="str">
        <f t="shared" si="141"/>
        <v/>
      </c>
      <c r="D974" s="13" t="str">
        <f t="shared" si="142"/>
        <v/>
      </c>
      <c r="E974" s="14" t="str">
        <f t="shared" si="143"/>
        <v/>
      </c>
      <c r="F974" s="14" t="str">
        <f t="shared" si="144"/>
        <v/>
      </c>
      <c r="G974" s="14" t="str">
        <f t="shared" si="145"/>
        <v/>
      </c>
      <c r="H974" s="14" t="str">
        <f t="shared" si="146"/>
        <v/>
      </c>
      <c r="I974" s="15" t="str">
        <f t="shared" si="147"/>
        <v/>
      </c>
      <c r="J974" s="15" t="str">
        <f t="shared" si="149"/>
        <v/>
      </c>
      <c r="K974" s="16" t="str">
        <f t="shared" si="148"/>
        <v/>
      </c>
      <c r="M974" t="str">
        <f>IFERROR(MATCH($C$5&amp;"|"&amp;RIGHT("000000"&amp;958,6),CalcRankKeyA,0),"")</f>
        <v/>
      </c>
      <c r="N974" t="str">
        <f>IFERROR(MATCH($C$5&amp;"|"&amp;RIGHT("000000"&amp;958,6),CalcRankKeyB,0),"")</f>
        <v/>
      </c>
    </row>
    <row r="975" spans="1:14" x14ac:dyDescent="0.2">
      <c r="A975" s="7">
        <v>959</v>
      </c>
      <c r="B975" s="8" t="str">
        <f t="shared" si="140"/>
        <v/>
      </c>
      <c r="C975" s="8" t="str">
        <f t="shared" si="141"/>
        <v/>
      </c>
      <c r="D975" s="8" t="str">
        <f t="shared" si="142"/>
        <v/>
      </c>
      <c r="E975" s="9" t="str">
        <f t="shared" si="143"/>
        <v/>
      </c>
      <c r="F975" s="9" t="str">
        <f t="shared" si="144"/>
        <v/>
      </c>
      <c r="G975" s="9" t="str">
        <f t="shared" si="145"/>
        <v/>
      </c>
      <c r="H975" s="9" t="str">
        <f t="shared" si="146"/>
        <v/>
      </c>
      <c r="I975" s="10" t="str">
        <f t="shared" si="147"/>
        <v/>
      </c>
      <c r="J975" s="10" t="str">
        <f t="shared" si="149"/>
        <v/>
      </c>
      <c r="K975" s="11" t="str">
        <f t="shared" si="148"/>
        <v/>
      </c>
      <c r="M975" t="str">
        <f>IFERROR(MATCH($C$5&amp;"|"&amp;RIGHT("000000"&amp;959,6),CalcRankKeyA,0),"")</f>
        <v/>
      </c>
      <c r="N975" t="str">
        <f>IFERROR(MATCH($C$5&amp;"|"&amp;RIGHT("000000"&amp;959,6),CalcRankKeyB,0),"")</f>
        <v/>
      </c>
    </row>
    <row r="976" spans="1:14" x14ac:dyDescent="0.2">
      <c r="A976" s="12">
        <v>960</v>
      </c>
      <c r="B976" s="13" t="str">
        <f t="shared" si="140"/>
        <v/>
      </c>
      <c r="C976" s="13" t="str">
        <f t="shared" si="141"/>
        <v/>
      </c>
      <c r="D976" s="13" t="str">
        <f t="shared" si="142"/>
        <v/>
      </c>
      <c r="E976" s="14" t="str">
        <f t="shared" si="143"/>
        <v/>
      </c>
      <c r="F976" s="14" t="str">
        <f t="shared" si="144"/>
        <v/>
      </c>
      <c r="G976" s="14" t="str">
        <f t="shared" si="145"/>
        <v/>
      </c>
      <c r="H976" s="14" t="str">
        <f t="shared" si="146"/>
        <v/>
      </c>
      <c r="I976" s="15" t="str">
        <f t="shared" si="147"/>
        <v/>
      </c>
      <c r="J976" s="15" t="str">
        <f t="shared" si="149"/>
        <v/>
      </c>
      <c r="K976" s="16" t="str">
        <f t="shared" si="148"/>
        <v/>
      </c>
      <c r="M976" t="str">
        <f>IFERROR(MATCH($C$5&amp;"|"&amp;RIGHT("000000"&amp;960,6),CalcRankKeyA,0),"")</f>
        <v/>
      </c>
      <c r="N976" t="str">
        <f>IFERROR(MATCH($C$5&amp;"|"&amp;RIGHT("000000"&amp;960,6),CalcRankKeyB,0),"")</f>
        <v/>
      </c>
    </row>
    <row r="977" spans="1:14" x14ac:dyDescent="0.2">
      <c r="A977" s="7">
        <v>961</v>
      </c>
      <c r="B977" s="8" t="str">
        <f t="shared" ref="B977:B1040" si="150">IF(AND($M977="",$N977=""),"",IF($M977&lt;&gt;"",INDEX(CalcDateA,$M977),INDEX(CalcDateB,$N977)))</f>
        <v/>
      </c>
      <c r="C977" s="8" t="str">
        <f t="shared" ref="C977:C1040" si="151">IF($M977&lt;&gt;"","خرید سبد",IF($N977&lt;&gt;"",IF(N(INDEX(CalcDepB,$N977))&gt;0,"دریافت بانکی","پرداخت بانکی"),""))</f>
        <v/>
      </c>
      <c r="D977" s="8" t="str">
        <f t="shared" ref="D977:D1040" si="152">IF($M977&lt;&gt;"",IF(INDEX(CalcDocA,$M977)="","—",INDEX(CalcDocA,$M977)),IF($N977&lt;&gt;"",INDEX(CalcBankB,$N977),""))</f>
        <v/>
      </c>
      <c r="E977" s="9" t="str">
        <f t="shared" ref="E977:E1040" si="153">IF($N977&lt;&gt;"",IF(INDEX(CalcDepB,$N977)=0,"",INDEX(CalcDepB,$N977)),"")</f>
        <v/>
      </c>
      <c r="F977" s="9" t="str">
        <f t="shared" ref="F977:F1040" si="154">IF($M977&lt;&gt;"",IF(INDEX(CalcQtyA,$M977)=0,"",INDEX(CalcQtyA,$M977)),"")</f>
        <v/>
      </c>
      <c r="G977" s="9" t="str">
        <f t="shared" ref="G977:G1040" si="155">IF($M977&lt;&gt;"",IF(INDEX(CalcPriceA,$M977)=0,"",INDEX(CalcPriceA,$M977)),"")</f>
        <v/>
      </c>
      <c r="H977" s="9" t="str">
        <f t="shared" ref="H977:H1040" si="156">IF($N977&lt;&gt;"",IF(INDEX(CalcWitB,$N977)=0,"",INDEX(CalcWitB,$N977)),"")</f>
        <v/>
      </c>
      <c r="I977" s="10" t="str">
        <f t="shared" ref="I977:I1040" si="157">IF($M977&lt;&gt;"",INDEX(CalcAmtA,$M977),"")</f>
        <v/>
      </c>
      <c r="J977" s="10" t="str">
        <f t="shared" si="149"/>
        <v/>
      </c>
      <c r="K977" s="11" t="str">
        <f t="shared" ref="K977:K1040" si="158">IF($M977&lt;&gt;"",IF(INDEX(CalcNoteA,$M977)="","—",INDEX(CalcNoteA,$M977)),IF($N977&lt;&gt;"",IF(INDEX(CalcNoteB,$N977)="","—",INDEX(CalcNoteB,$N977)),""))</f>
        <v/>
      </c>
      <c r="M977" t="str">
        <f>IFERROR(MATCH($C$5&amp;"|"&amp;RIGHT("000000"&amp;961,6),CalcRankKeyA,0),"")</f>
        <v/>
      </c>
      <c r="N977" t="str">
        <f>IFERROR(MATCH($C$5&amp;"|"&amp;RIGHT("000000"&amp;961,6),CalcRankKeyB,0),"")</f>
        <v/>
      </c>
    </row>
    <row r="978" spans="1:14" x14ac:dyDescent="0.2">
      <c r="A978" s="12">
        <v>962</v>
      </c>
      <c r="B978" s="13" t="str">
        <f t="shared" si="150"/>
        <v/>
      </c>
      <c r="C978" s="13" t="str">
        <f t="shared" si="151"/>
        <v/>
      </c>
      <c r="D978" s="13" t="str">
        <f t="shared" si="152"/>
        <v/>
      </c>
      <c r="E978" s="14" t="str">
        <f t="shared" si="153"/>
        <v/>
      </c>
      <c r="F978" s="14" t="str">
        <f t="shared" si="154"/>
        <v/>
      </c>
      <c r="G978" s="14" t="str">
        <f t="shared" si="155"/>
        <v/>
      </c>
      <c r="H978" s="14" t="str">
        <f t="shared" si="156"/>
        <v/>
      </c>
      <c r="I978" s="15" t="str">
        <f t="shared" si="157"/>
        <v/>
      </c>
      <c r="J978" s="15" t="str">
        <f t="shared" ref="J978:J1041" si="159">IF($B978="","",IF($J977="",$C$8,$J977)+IF($I978="",0,$I978)+IF($E978="",0,$E978)-IF($H978="",0,$H978))</f>
        <v/>
      </c>
      <c r="K978" s="16" t="str">
        <f t="shared" si="158"/>
        <v/>
      </c>
      <c r="M978" t="str">
        <f>IFERROR(MATCH($C$5&amp;"|"&amp;RIGHT("000000"&amp;962,6),CalcRankKeyA,0),"")</f>
        <v/>
      </c>
      <c r="N978" t="str">
        <f>IFERROR(MATCH($C$5&amp;"|"&amp;RIGHT("000000"&amp;962,6),CalcRankKeyB,0),"")</f>
        <v/>
      </c>
    </row>
    <row r="979" spans="1:14" x14ac:dyDescent="0.2">
      <c r="A979" s="7">
        <v>963</v>
      </c>
      <c r="B979" s="8" t="str">
        <f t="shared" si="150"/>
        <v/>
      </c>
      <c r="C979" s="8" t="str">
        <f t="shared" si="151"/>
        <v/>
      </c>
      <c r="D979" s="8" t="str">
        <f t="shared" si="152"/>
        <v/>
      </c>
      <c r="E979" s="9" t="str">
        <f t="shared" si="153"/>
        <v/>
      </c>
      <c r="F979" s="9" t="str">
        <f t="shared" si="154"/>
        <v/>
      </c>
      <c r="G979" s="9" t="str">
        <f t="shared" si="155"/>
        <v/>
      </c>
      <c r="H979" s="9" t="str">
        <f t="shared" si="156"/>
        <v/>
      </c>
      <c r="I979" s="10" t="str">
        <f t="shared" si="157"/>
        <v/>
      </c>
      <c r="J979" s="10" t="str">
        <f t="shared" si="159"/>
        <v/>
      </c>
      <c r="K979" s="11" t="str">
        <f t="shared" si="158"/>
        <v/>
      </c>
      <c r="M979" t="str">
        <f>IFERROR(MATCH($C$5&amp;"|"&amp;RIGHT("000000"&amp;963,6),CalcRankKeyA,0),"")</f>
        <v/>
      </c>
      <c r="N979" t="str">
        <f>IFERROR(MATCH($C$5&amp;"|"&amp;RIGHT("000000"&amp;963,6),CalcRankKeyB,0),"")</f>
        <v/>
      </c>
    </row>
    <row r="980" spans="1:14" x14ac:dyDescent="0.2">
      <c r="A980" s="12">
        <v>964</v>
      </c>
      <c r="B980" s="13" t="str">
        <f t="shared" si="150"/>
        <v/>
      </c>
      <c r="C980" s="13" t="str">
        <f t="shared" si="151"/>
        <v/>
      </c>
      <c r="D980" s="13" t="str">
        <f t="shared" si="152"/>
        <v/>
      </c>
      <c r="E980" s="14" t="str">
        <f t="shared" si="153"/>
        <v/>
      </c>
      <c r="F980" s="14" t="str">
        <f t="shared" si="154"/>
        <v/>
      </c>
      <c r="G980" s="14" t="str">
        <f t="shared" si="155"/>
        <v/>
      </c>
      <c r="H980" s="14" t="str">
        <f t="shared" si="156"/>
        <v/>
      </c>
      <c r="I980" s="15" t="str">
        <f t="shared" si="157"/>
        <v/>
      </c>
      <c r="J980" s="15" t="str">
        <f t="shared" si="159"/>
        <v/>
      </c>
      <c r="K980" s="16" t="str">
        <f t="shared" si="158"/>
        <v/>
      </c>
      <c r="M980" t="str">
        <f>IFERROR(MATCH($C$5&amp;"|"&amp;RIGHT("000000"&amp;964,6),CalcRankKeyA,0),"")</f>
        <v/>
      </c>
      <c r="N980" t="str">
        <f>IFERROR(MATCH($C$5&amp;"|"&amp;RIGHT("000000"&amp;964,6),CalcRankKeyB,0),"")</f>
        <v/>
      </c>
    </row>
    <row r="981" spans="1:14" x14ac:dyDescent="0.2">
      <c r="A981" s="7">
        <v>965</v>
      </c>
      <c r="B981" s="8" t="str">
        <f t="shared" si="150"/>
        <v/>
      </c>
      <c r="C981" s="8" t="str">
        <f t="shared" si="151"/>
        <v/>
      </c>
      <c r="D981" s="8" t="str">
        <f t="shared" si="152"/>
        <v/>
      </c>
      <c r="E981" s="9" t="str">
        <f t="shared" si="153"/>
        <v/>
      </c>
      <c r="F981" s="9" t="str">
        <f t="shared" si="154"/>
        <v/>
      </c>
      <c r="G981" s="9" t="str">
        <f t="shared" si="155"/>
        <v/>
      </c>
      <c r="H981" s="9" t="str">
        <f t="shared" si="156"/>
        <v/>
      </c>
      <c r="I981" s="10" t="str">
        <f t="shared" si="157"/>
        <v/>
      </c>
      <c r="J981" s="10" t="str">
        <f t="shared" si="159"/>
        <v/>
      </c>
      <c r="K981" s="11" t="str">
        <f t="shared" si="158"/>
        <v/>
      </c>
      <c r="M981" t="str">
        <f>IFERROR(MATCH($C$5&amp;"|"&amp;RIGHT("000000"&amp;965,6),CalcRankKeyA,0),"")</f>
        <v/>
      </c>
      <c r="N981" t="str">
        <f>IFERROR(MATCH($C$5&amp;"|"&amp;RIGHT("000000"&amp;965,6),CalcRankKeyB,0),"")</f>
        <v/>
      </c>
    </row>
    <row r="982" spans="1:14" x14ac:dyDescent="0.2">
      <c r="A982" s="12">
        <v>966</v>
      </c>
      <c r="B982" s="13" t="str">
        <f t="shared" si="150"/>
        <v/>
      </c>
      <c r="C982" s="13" t="str">
        <f t="shared" si="151"/>
        <v/>
      </c>
      <c r="D982" s="13" t="str">
        <f t="shared" si="152"/>
        <v/>
      </c>
      <c r="E982" s="14" t="str">
        <f t="shared" si="153"/>
        <v/>
      </c>
      <c r="F982" s="14" t="str">
        <f t="shared" si="154"/>
        <v/>
      </c>
      <c r="G982" s="14" t="str">
        <f t="shared" si="155"/>
        <v/>
      </c>
      <c r="H982" s="14" t="str">
        <f t="shared" si="156"/>
        <v/>
      </c>
      <c r="I982" s="15" t="str">
        <f t="shared" si="157"/>
        <v/>
      </c>
      <c r="J982" s="15" t="str">
        <f t="shared" si="159"/>
        <v/>
      </c>
      <c r="K982" s="16" t="str">
        <f t="shared" si="158"/>
        <v/>
      </c>
      <c r="M982" t="str">
        <f>IFERROR(MATCH($C$5&amp;"|"&amp;RIGHT("000000"&amp;966,6),CalcRankKeyA,0),"")</f>
        <v/>
      </c>
      <c r="N982" t="str">
        <f>IFERROR(MATCH($C$5&amp;"|"&amp;RIGHT("000000"&amp;966,6),CalcRankKeyB,0),"")</f>
        <v/>
      </c>
    </row>
    <row r="983" spans="1:14" x14ac:dyDescent="0.2">
      <c r="A983" s="7">
        <v>967</v>
      </c>
      <c r="B983" s="8" t="str">
        <f t="shared" si="150"/>
        <v/>
      </c>
      <c r="C983" s="8" t="str">
        <f t="shared" si="151"/>
        <v/>
      </c>
      <c r="D983" s="8" t="str">
        <f t="shared" si="152"/>
        <v/>
      </c>
      <c r="E983" s="9" t="str">
        <f t="shared" si="153"/>
        <v/>
      </c>
      <c r="F983" s="9" t="str">
        <f t="shared" si="154"/>
        <v/>
      </c>
      <c r="G983" s="9" t="str">
        <f t="shared" si="155"/>
        <v/>
      </c>
      <c r="H983" s="9" t="str">
        <f t="shared" si="156"/>
        <v/>
      </c>
      <c r="I983" s="10" t="str">
        <f t="shared" si="157"/>
        <v/>
      </c>
      <c r="J983" s="10" t="str">
        <f t="shared" si="159"/>
        <v/>
      </c>
      <c r="K983" s="11" t="str">
        <f t="shared" si="158"/>
        <v/>
      </c>
      <c r="M983" t="str">
        <f>IFERROR(MATCH($C$5&amp;"|"&amp;RIGHT("000000"&amp;967,6),CalcRankKeyA,0),"")</f>
        <v/>
      </c>
      <c r="N983" t="str">
        <f>IFERROR(MATCH($C$5&amp;"|"&amp;RIGHT("000000"&amp;967,6),CalcRankKeyB,0),"")</f>
        <v/>
      </c>
    </row>
    <row r="984" spans="1:14" x14ac:dyDescent="0.2">
      <c r="A984" s="12">
        <v>968</v>
      </c>
      <c r="B984" s="13" t="str">
        <f t="shared" si="150"/>
        <v/>
      </c>
      <c r="C984" s="13" t="str">
        <f t="shared" si="151"/>
        <v/>
      </c>
      <c r="D984" s="13" t="str">
        <f t="shared" si="152"/>
        <v/>
      </c>
      <c r="E984" s="14" t="str">
        <f t="shared" si="153"/>
        <v/>
      </c>
      <c r="F984" s="14" t="str">
        <f t="shared" si="154"/>
        <v/>
      </c>
      <c r="G984" s="14" t="str">
        <f t="shared" si="155"/>
        <v/>
      </c>
      <c r="H984" s="14" t="str">
        <f t="shared" si="156"/>
        <v/>
      </c>
      <c r="I984" s="15" t="str">
        <f t="shared" si="157"/>
        <v/>
      </c>
      <c r="J984" s="15" t="str">
        <f t="shared" si="159"/>
        <v/>
      </c>
      <c r="K984" s="16" t="str">
        <f t="shared" si="158"/>
        <v/>
      </c>
      <c r="M984" t="str">
        <f>IFERROR(MATCH($C$5&amp;"|"&amp;RIGHT("000000"&amp;968,6),CalcRankKeyA,0),"")</f>
        <v/>
      </c>
      <c r="N984" t="str">
        <f>IFERROR(MATCH($C$5&amp;"|"&amp;RIGHT("000000"&amp;968,6),CalcRankKeyB,0),"")</f>
        <v/>
      </c>
    </row>
    <row r="985" spans="1:14" x14ac:dyDescent="0.2">
      <c r="A985" s="7">
        <v>969</v>
      </c>
      <c r="B985" s="8" t="str">
        <f t="shared" si="150"/>
        <v/>
      </c>
      <c r="C985" s="8" t="str">
        <f t="shared" si="151"/>
        <v/>
      </c>
      <c r="D985" s="8" t="str">
        <f t="shared" si="152"/>
        <v/>
      </c>
      <c r="E985" s="9" t="str">
        <f t="shared" si="153"/>
        <v/>
      </c>
      <c r="F985" s="9" t="str">
        <f t="shared" si="154"/>
        <v/>
      </c>
      <c r="G985" s="9" t="str">
        <f t="shared" si="155"/>
        <v/>
      </c>
      <c r="H985" s="9" t="str">
        <f t="shared" si="156"/>
        <v/>
      </c>
      <c r="I985" s="10" t="str">
        <f t="shared" si="157"/>
        <v/>
      </c>
      <c r="J985" s="10" t="str">
        <f t="shared" si="159"/>
        <v/>
      </c>
      <c r="K985" s="11" t="str">
        <f t="shared" si="158"/>
        <v/>
      </c>
      <c r="M985" t="str">
        <f>IFERROR(MATCH($C$5&amp;"|"&amp;RIGHT("000000"&amp;969,6),CalcRankKeyA,0),"")</f>
        <v/>
      </c>
      <c r="N985" t="str">
        <f>IFERROR(MATCH($C$5&amp;"|"&amp;RIGHT("000000"&amp;969,6),CalcRankKeyB,0),"")</f>
        <v/>
      </c>
    </row>
    <row r="986" spans="1:14" x14ac:dyDescent="0.2">
      <c r="A986" s="12">
        <v>970</v>
      </c>
      <c r="B986" s="13" t="str">
        <f t="shared" si="150"/>
        <v/>
      </c>
      <c r="C986" s="13" t="str">
        <f t="shared" si="151"/>
        <v/>
      </c>
      <c r="D986" s="13" t="str">
        <f t="shared" si="152"/>
        <v/>
      </c>
      <c r="E986" s="14" t="str">
        <f t="shared" si="153"/>
        <v/>
      </c>
      <c r="F986" s="14" t="str">
        <f t="shared" si="154"/>
        <v/>
      </c>
      <c r="G986" s="14" t="str">
        <f t="shared" si="155"/>
        <v/>
      </c>
      <c r="H986" s="14" t="str">
        <f t="shared" si="156"/>
        <v/>
      </c>
      <c r="I986" s="15" t="str">
        <f t="shared" si="157"/>
        <v/>
      </c>
      <c r="J986" s="15" t="str">
        <f t="shared" si="159"/>
        <v/>
      </c>
      <c r="K986" s="16" t="str">
        <f t="shared" si="158"/>
        <v/>
      </c>
      <c r="M986" t="str">
        <f>IFERROR(MATCH($C$5&amp;"|"&amp;RIGHT("000000"&amp;970,6),CalcRankKeyA,0),"")</f>
        <v/>
      </c>
      <c r="N986" t="str">
        <f>IFERROR(MATCH($C$5&amp;"|"&amp;RIGHT("000000"&amp;970,6),CalcRankKeyB,0),"")</f>
        <v/>
      </c>
    </row>
    <row r="987" spans="1:14" x14ac:dyDescent="0.2">
      <c r="A987" s="7">
        <v>971</v>
      </c>
      <c r="B987" s="8" t="str">
        <f t="shared" si="150"/>
        <v/>
      </c>
      <c r="C987" s="8" t="str">
        <f t="shared" si="151"/>
        <v/>
      </c>
      <c r="D987" s="8" t="str">
        <f t="shared" si="152"/>
        <v/>
      </c>
      <c r="E987" s="9" t="str">
        <f t="shared" si="153"/>
        <v/>
      </c>
      <c r="F987" s="9" t="str">
        <f t="shared" si="154"/>
        <v/>
      </c>
      <c r="G987" s="9" t="str">
        <f t="shared" si="155"/>
        <v/>
      </c>
      <c r="H987" s="9" t="str">
        <f t="shared" si="156"/>
        <v/>
      </c>
      <c r="I987" s="10" t="str">
        <f t="shared" si="157"/>
        <v/>
      </c>
      <c r="J987" s="10" t="str">
        <f t="shared" si="159"/>
        <v/>
      </c>
      <c r="K987" s="11" t="str">
        <f t="shared" si="158"/>
        <v/>
      </c>
      <c r="M987" t="str">
        <f>IFERROR(MATCH($C$5&amp;"|"&amp;RIGHT("000000"&amp;971,6),CalcRankKeyA,0),"")</f>
        <v/>
      </c>
      <c r="N987" t="str">
        <f>IFERROR(MATCH($C$5&amp;"|"&amp;RIGHT("000000"&amp;971,6),CalcRankKeyB,0),"")</f>
        <v/>
      </c>
    </row>
    <row r="988" spans="1:14" x14ac:dyDescent="0.2">
      <c r="A988" s="12">
        <v>972</v>
      </c>
      <c r="B988" s="13" t="str">
        <f t="shared" si="150"/>
        <v/>
      </c>
      <c r="C988" s="13" t="str">
        <f t="shared" si="151"/>
        <v/>
      </c>
      <c r="D988" s="13" t="str">
        <f t="shared" si="152"/>
        <v/>
      </c>
      <c r="E988" s="14" t="str">
        <f t="shared" si="153"/>
        <v/>
      </c>
      <c r="F988" s="14" t="str">
        <f t="shared" si="154"/>
        <v/>
      </c>
      <c r="G988" s="14" t="str">
        <f t="shared" si="155"/>
        <v/>
      </c>
      <c r="H988" s="14" t="str">
        <f t="shared" si="156"/>
        <v/>
      </c>
      <c r="I988" s="15" t="str">
        <f t="shared" si="157"/>
        <v/>
      </c>
      <c r="J988" s="15" t="str">
        <f t="shared" si="159"/>
        <v/>
      </c>
      <c r="K988" s="16" t="str">
        <f t="shared" si="158"/>
        <v/>
      </c>
      <c r="M988" t="str">
        <f>IFERROR(MATCH($C$5&amp;"|"&amp;RIGHT("000000"&amp;972,6),CalcRankKeyA,0),"")</f>
        <v/>
      </c>
      <c r="N988" t="str">
        <f>IFERROR(MATCH($C$5&amp;"|"&amp;RIGHT("000000"&amp;972,6),CalcRankKeyB,0),"")</f>
        <v/>
      </c>
    </row>
    <row r="989" spans="1:14" x14ac:dyDescent="0.2">
      <c r="A989" s="7">
        <v>973</v>
      </c>
      <c r="B989" s="8" t="str">
        <f t="shared" si="150"/>
        <v/>
      </c>
      <c r="C989" s="8" t="str">
        <f t="shared" si="151"/>
        <v/>
      </c>
      <c r="D989" s="8" t="str">
        <f t="shared" si="152"/>
        <v/>
      </c>
      <c r="E989" s="9" t="str">
        <f t="shared" si="153"/>
        <v/>
      </c>
      <c r="F989" s="9" t="str">
        <f t="shared" si="154"/>
        <v/>
      </c>
      <c r="G989" s="9" t="str">
        <f t="shared" si="155"/>
        <v/>
      </c>
      <c r="H989" s="9" t="str">
        <f t="shared" si="156"/>
        <v/>
      </c>
      <c r="I989" s="10" t="str">
        <f t="shared" si="157"/>
        <v/>
      </c>
      <c r="J989" s="10" t="str">
        <f t="shared" si="159"/>
        <v/>
      </c>
      <c r="K989" s="11" t="str">
        <f t="shared" si="158"/>
        <v/>
      </c>
      <c r="M989" t="str">
        <f>IFERROR(MATCH($C$5&amp;"|"&amp;RIGHT("000000"&amp;973,6),CalcRankKeyA,0),"")</f>
        <v/>
      </c>
      <c r="N989" t="str">
        <f>IFERROR(MATCH($C$5&amp;"|"&amp;RIGHT("000000"&amp;973,6),CalcRankKeyB,0),"")</f>
        <v/>
      </c>
    </row>
    <row r="990" spans="1:14" x14ac:dyDescent="0.2">
      <c r="A990" s="12">
        <v>974</v>
      </c>
      <c r="B990" s="13" t="str">
        <f t="shared" si="150"/>
        <v/>
      </c>
      <c r="C990" s="13" t="str">
        <f t="shared" si="151"/>
        <v/>
      </c>
      <c r="D990" s="13" t="str">
        <f t="shared" si="152"/>
        <v/>
      </c>
      <c r="E990" s="14" t="str">
        <f t="shared" si="153"/>
        <v/>
      </c>
      <c r="F990" s="14" t="str">
        <f t="shared" si="154"/>
        <v/>
      </c>
      <c r="G990" s="14" t="str">
        <f t="shared" si="155"/>
        <v/>
      </c>
      <c r="H990" s="14" t="str">
        <f t="shared" si="156"/>
        <v/>
      </c>
      <c r="I990" s="15" t="str">
        <f t="shared" si="157"/>
        <v/>
      </c>
      <c r="J990" s="15" t="str">
        <f t="shared" si="159"/>
        <v/>
      </c>
      <c r="K990" s="16" t="str">
        <f t="shared" si="158"/>
        <v/>
      </c>
      <c r="M990" t="str">
        <f>IFERROR(MATCH($C$5&amp;"|"&amp;RIGHT("000000"&amp;974,6),CalcRankKeyA,0),"")</f>
        <v/>
      </c>
      <c r="N990" t="str">
        <f>IFERROR(MATCH($C$5&amp;"|"&amp;RIGHT("000000"&amp;974,6),CalcRankKeyB,0),"")</f>
        <v/>
      </c>
    </row>
    <row r="991" spans="1:14" x14ac:dyDescent="0.2">
      <c r="A991" s="7">
        <v>975</v>
      </c>
      <c r="B991" s="8" t="str">
        <f t="shared" si="150"/>
        <v/>
      </c>
      <c r="C991" s="8" t="str">
        <f t="shared" si="151"/>
        <v/>
      </c>
      <c r="D991" s="8" t="str">
        <f t="shared" si="152"/>
        <v/>
      </c>
      <c r="E991" s="9" t="str">
        <f t="shared" si="153"/>
        <v/>
      </c>
      <c r="F991" s="9" t="str">
        <f t="shared" si="154"/>
        <v/>
      </c>
      <c r="G991" s="9" t="str">
        <f t="shared" si="155"/>
        <v/>
      </c>
      <c r="H991" s="9" t="str">
        <f t="shared" si="156"/>
        <v/>
      </c>
      <c r="I991" s="10" t="str">
        <f t="shared" si="157"/>
        <v/>
      </c>
      <c r="J991" s="10" t="str">
        <f t="shared" si="159"/>
        <v/>
      </c>
      <c r="K991" s="11" t="str">
        <f t="shared" si="158"/>
        <v/>
      </c>
      <c r="M991" t="str">
        <f>IFERROR(MATCH($C$5&amp;"|"&amp;RIGHT("000000"&amp;975,6),CalcRankKeyA,0),"")</f>
        <v/>
      </c>
      <c r="N991" t="str">
        <f>IFERROR(MATCH($C$5&amp;"|"&amp;RIGHT("000000"&amp;975,6),CalcRankKeyB,0),"")</f>
        <v/>
      </c>
    </row>
    <row r="992" spans="1:14" x14ac:dyDescent="0.2">
      <c r="A992" s="12">
        <v>976</v>
      </c>
      <c r="B992" s="13" t="str">
        <f t="shared" si="150"/>
        <v/>
      </c>
      <c r="C992" s="13" t="str">
        <f t="shared" si="151"/>
        <v/>
      </c>
      <c r="D992" s="13" t="str">
        <f t="shared" si="152"/>
        <v/>
      </c>
      <c r="E992" s="14" t="str">
        <f t="shared" si="153"/>
        <v/>
      </c>
      <c r="F992" s="14" t="str">
        <f t="shared" si="154"/>
        <v/>
      </c>
      <c r="G992" s="14" t="str">
        <f t="shared" si="155"/>
        <v/>
      </c>
      <c r="H992" s="14" t="str">
        <f t="shared" si="156"/>
        <v/>
      </c>
      <c r="I992" s="15" t="str">
        <f t="shared" si="157"/>
        <v/>
      </c>
      <c r="J992" s="15" t="str">
        <f t="shared" si="159"/>
        <v/>
      </c>
      <c r="K992" s="16" t="str">
        <f t="shared" si="158"/>
        <v/>
      </c>
      <c r="M992" t="str">
        <f>IFERROR(MATCH($C$5&amp;"|"&amp;RIGHT("000000"&amp;976,6),CalcRankKeyA,0),"")</f>
        <v/>
      </c>
      <c r="N992" t="str">
        <f>IFERROR(MATCH($C$5&amp;"|"&amp;RIGHT("000000"&amp;976,6),CalcRankKeyB,0),"")</f>
        <v/>
      </c>
    </row>
    <row r="993" spans="1:14" x14ac:dyDescent="0.2">
      <c r="A993" s="7">
        <v>977</v>
      </c>
      <c r="B993" s="8" t="str">
        <f t="shared" si="150"/>
        <v/>
      </c>
      <c r="C993" s="8" t="str">
        <f t="shared" si="151"/>
        <v/>
      </c>
      <c r="D993" s="8" t="str">
        <f t="shared" si="152"/>
        <v/>
      </c>
      <c r="E993" s="9" t="str">
        <f t="shared" si="153"/>
        <v/>
      </c>
      <c r="F993" s="9" t="str">
        <f t="shared" si="154"/>
        <v/>
      </c>
      <c r="G993" s="9" t="str">
        <f t="shared" si="155"/>
        <v/>
      </c>
      <c r="H993" s="9" t="str">
        <f t="shared" si="156"/>
        <v/>
      </c>
      <c r="I993" s="10" t="str">
        <f t="shared" si="157"/>
        <v/>
      </c>
      <c r="J993" s="10" t="str">
        <f t="shared" si="159"/>
        <v/>
      </c>
      <c r="K993" s="11" t="str">
        <f t="shared" si="158"/>
        <v/>
      </c>
      <c r="M993" t="str">
        <f>IFERROR(MATCH($C$5&amp;"|"&amp;RIGHT("000000"&amp;977,6),CalcRankKeyA,0),"")</f>
        <v/>
      </c>
      <c r="N993" t="str">
        <f>IFERROR(MATCH($C$5&amp;"|"&amp;RIGHT("000000"&amp;977,6),CalcRankKeyB,0),"")</f>
        <v/>
      </c>
    </row>
    <row r="994" spans="1:14" x14ac:dyDescent="0.2">
      <c r="A994" s="12">
        <v>978</v>
      </c>
      <c r="B994" s="13" t="str">
        <f t="shared" si="150"/>
        <v/>
      </c>
      <c r="C994" s="13" t="str">
        <f t="shared" si="151"/>
        <v/>
      </c>
      <c r="D994" s="13" t="str">
        <f t="shared" si="152"/>
        <v/>
      </c>
      <c r="E994" s="14" t="str">
        <f t="shared" si="153"/>
        <v/>
      </c>
      <c r="F994" s="14" t="str">
        <f t="shared" si="154"/>
        <v/>
      </c>
      <c r="G994" s="14" t="str">
        <f t="shared" si="155"/>
        <v/>
      </c>
      <c r="H994" s="14" t="str">
        <f t="shared" si="156"/>
        <v/>
      </c>
      <c r="I994" s="15" t="str">
        <f t="shared" si="157"/>
        <v/>
      </c>
      <c r="J994" s="15" t="str">
        <f t="shared" si="159"/>
        <v/>
      </c>
      <c r="K994" s="16" t="str">
        <f t="shared" si="158"/>
        <v/>
      </c>
      <c r="M994" t="str">
        <f>IFERROR(MATCH($C$5&amp;"|"&amp;RIGHT("000000"&amp;978,6),CalcRankKeyA,0),"")</f>
        <v/>
      </c>
      <c r="N994" t="str">
        <f>IFERROR(MATCH($C$5&amp;"|"&amp;RIGHT("000000"&amp;978,6),CalcRankKeyB,0),"")</f>
        <v/>
      </c>
    </row>
    <row r="995" spans="1:14" x14ac:dyDescent="0.2">
      <c r="A995" s="7">
        <v>979</v>
      </c>
      <c r="B995" s="8" t="str">
        <f t="shared" si="150"/>
        <v/>
      </c>
      <c r="C995" s="8" t="str">
        <f t="shared" si="151"/>
        <v/>
      </c>
      <c r="D995" s="8" t="str">
        <f t="shared" si="152"/>
        <v/>
      </c>
      <c r="E995" s="9" t="str">
        <f t="shared" si="153"/>
        <v/>
      </c>
      <c r="F995" s="9" t="str">
        <f t="shared" si="154"/>
        <v/>
      </c>
      <c r="G995" s="9" t="str">
        <f t="shared" si="155"/>
        <v/>
      </c>
      <c r="H995" s="9" t="str">
        <f t="shared" si="156"/>
        <v/>
      </c>
      <c r="I995" s="10" t="str">
        <f t="shared" si="157"/>
        <v/>
      </c>
      <c r="J995" s="10" t="str">
        <f t="shared" si="159"/>
        <v/>
      </c>
      <c r="K995" s="11" t="str">
        <f t="shared" si="158"/>
        <v/>
      </c>
      <c r="M995" t="str">
        <f>IFERROR(MATCH($C$5&amp;"|"&amp;RIGHT("000000"&amp;979,6),CalcRankKeyA,0),"")</f>
        <v/>
      </c>
      <c r="N995" t="str">
        <f>IFERROR(MATCH($C$5&amp;"|"&amp;RIGHT("000000"&amp;979,6),CalcRankKeyB,0),"")</f>
        <v/>
      </c>
    </row>
    <row r="996" spans="1:14" x14ac:dyDescent="0.2">
      <c r="A996" s="12">
        <v>980</v>
      </c>
      <c r="B996" s="13" t="str">
        <f t="shared" si="150"/>
        <v/>
      </c>
      <c r="C996" s="13" t="str">
        <f t="shared" si="151"/>
        <v/>
      </c>
      <c r="D996" s="13" t="str">
        <f t="shared" si="152"/>
        <v/>
      </c>
      <c r="E996" s="14" t="str">
        <f t="shared" si="153"/>
        <v/>
      </c>
      <c r="F996" s="14" t="str">
        <f t="shared" si="154"/>
        <v/>
      </c>
      <c r="G996" s="14" t="str">
        <f t="shared" si="155"/>
        <v/>
      </c>
      <c r="H996" s="14" t="str">
        <f t="shared" si="156"/>
        <v/>
      </c>
      <c r="I996" s="15" t="str">
        <f t="shared" si="157"/>
        <v/>
      </c>
      <c r="J996" s="15" t="str">
        <f t="shared" si="159"/>
        <v/>
      </c>
      <c r="K996" s="16" t="str">
        <f t="shared" si="158"/>
        <v/>
      </c>
      <c r="M996" t="str">
        <f>IFERROR(MATCH($C$5&amp;"|"&amp;RIGHT("000000"&amp;980,6),CalcRankKeyA,0),"")</f>
        <v/>
      </c>
      <c r="N996" t="str">
        <f>IFERROR(MATCH($C$5&amp;"|"&amp;RIGHT("000000"&amp;980,6),CalcRankKeyB,0),"")</f>
        <v/>
      </c>
    </row>
    <row r="997" spans="1:14" x14ac:dyDescent="0.2">
      <c r="A997" s="7">
        <v>981</v>
      </c>
      <c r="B997" s="8" t="str">
        <f t="shared" si="150"/>
        <v/>
      </c>
      <c r="C997" s="8" t="str">
        <f t="shared" si="151"/>
        <v/>
      </c>
      <c r="D997" s="8" t="str">
        <f t="shared" si="152"/>
        <v/>
      </c>
      <c r="E997" s="9" t="str">
        <f t="shared" si="153"/>
        <v/>
      </c>
      <c r="F997" s="9" t="str">
        <f t="shared" si="154"/>
        <v/>
      </c>
      <c r="G997" s="9" t="str">
        <f t="shared" si="155"/>
        <v/>
      </c>
      <c r="H997" s="9" t="str">
        <f t="shared" si="156"/>
        <v/>
      </c>
      <c r="I997" s="10" t="str">
        <f t="shared" si="157"/>
        <v/>
      </c>
      <c r="J997" s="10" t="str">
        <f t="shared" si="159"/>
        <v/>
      </c>
      <c r="K997" s="11" t="str">
        <f t="shared" si="158"/>
        <v/>
      </c>
      <c r="M997" t="str">
        <f>IFERROR(MATCH($C$5&amp;"|"&amp;RIGHT("000000"&amp;981,6),CalcRankKeyA,0),"")</f>
        <v/>
      </c>
      <c r="N997" t="str">
        <f>IFERROR(MATCH($C$5&amp;"|"&amp;RIGHT("000000"&amp;981,6),CalcRankKeyB,0),"")</f>
        <v/>
      </c>
    </row>
    <row r="998" spans="1:14" x14ac:dyDescent="0.2">
      <c r="A998" s="12">
        <v>982</v>
      </c>
      <c r="B998" s="13" t="str">
        <f t="shared" si="150"/>
        <v/>
      </c>
      <c r="C998" s="13" t="str">
        <f t="shared" si="151"/>
        <v/>
      </c>
      <c r="D998" s="13" t="str">
        <f t="shared" si="152"/>
        <v/>
      </c>
      <c r="E998" s="14" t="str">
        <f t="shared" si="153"/>
        <v/>
      </c>
      <c r="F998" s="14" t="str">
        <f t="shared" si="154"/>
        <v/>
      </c>
      <c r="G998" s="14" t="str">
        <f t="shared" si="155"/>
        <v/>
      </c>
      <c r="H998" s="14" t="str">
        <f t="shared" si="156"/>
        <v/>
      </c>
      <c r="I998" s="15" t="str">
        <f t="shared" si="157"/>
        <v/>
      </c>
      <c r="J998" s="15" t="str">
        <f t="shared" si="159"/>
        <v/>
      </c>
      <c r="K998" s="16" t="str">
        <f t="shared" si="158"/>
        <v/>
      </c>
      <c r="M998" t="str">
        <f>IFERROR(MATCH($C$5&amp;"|"&amp;RIGHT("000000"&amp;982,6),CalcRankKeyA,0),"")</f>
        <v/>
      </c>
      <c r="N998" t="str">
        <f>IFERROR(MATCH($C$5&amp;"|"&amp;RIGHT("000000"&amp;982,6),CalcRankKeyB,0),"")</f>
        <v/>
      </c>
    </row>
    <row r="999" spans="1:14" x14ac:dyDescent="0.2">
      <c r="A999" s="7">
        <v>983</v>
      </c>
      <c r="B999" s="8" t="str">
        <f t="shared" si="150"/>
        <v/>
      </c>
      <c r="C999" s="8" t="str">
        <f t="shared" si="151"/>
        <v/>
      </c>
      <c r="D999" s="8" t="str">
        <f t="shared" si="152"/>
        <v/>
      </c>
      <c r="E999" s="9" t="str">
        <f t="shared" si="153"/>
        <v/>
      </c>
      <c r="F999" s="9" t="str">
        <f t="shared" si="154"/>
        <v/>
      </c>
      <c r="G999" s="9" t="str">
        <f t="shared" si="155"/>
        <v/>
      </c>
      <c r="H999" s="9" t="str">
        <f t="shared" si="156"/>
        <v/>
      </c>
      <c r="I999" s="10" t="str">
        <f t="shared" si="157"/>
        <v/>
      </c>
      <c r="J999" s="10" t="str">
        <f t="shared" si="159"/>
        <v/>
      </c>
      <c r="K999" s="11" t="str">
        <f t="shared" si="158"/>
        <v/>
      </c>
      <c r="M999" t="str">
        <f>IFERROR(MATCH($C$5&amp;"|"&amp;RIGHT("000000"&amp;983,6),CalcRankKeyA,0),"")</f>
        <v/>
      </c>
      <c r="N999" t="str">
        <f>IFERROR(MATCH($C$5&amp;"|"&amp;RIGHT("000000"&amp;983,6),CalcRankKeyB,0),"")</f>
        <v/>
      </c>
    </row>
    <row r="1000" spans="1:14" x14ac:dyDescent="0.2">
      <c r="A1000" s="12">
        <v>984</v>
      </c>
      <c r="B1000" s="13" t="str">
        <f t="shared" si="150"/>
        <v/>
      </c>
      <c r="C1000" s="13" t="str">
        <f t="shared" si="151"/>
        <v/>
      </c>
      <c r="D1000" s="13" t="str">
        <f t="shared" si="152"/>
        <v/>
      </c>
      <c r="E1000" s="14" t="str">
        <f t="shared" si="153"/>
        <v/>
      </c>
      <c r="F1000" s="14" t="str">
        <f t="shared" si="154"/>
        <v/>
      </c>
      <c r="G1000" s="14" t="str">
        <f t="shared" si="155"/>
        <v/>
      </c>
      <c r="H1000" s="14" t="str">
        <f t="shared" si="156"/>
        <v/>
      </c>
      <c r="I1000" s="15" t="str">
        <f t="shared" si="157"/>
        <v/>
      </c>
      <c r="J1000" s="15" t="str">
        <f t="shared" si="159"/>
        <v/>
      </c>
      <c r="K1000" s="16" t="str">
        <f t="shared" si="158"/>
        <v/>
      </c>
      <c r="M1000" t="str">
        <f>IFERROR(MATCH($C$5&amp;"|"&amp;RIGHT("000000"&amp;984,6),CalcRankKeyA,0),"")</f>
        <v/>
      </c>
      <c r="N1000" t="str">
        <f>IFERROR(MATCH($C$5&amp;"|"&amp;RIGHT("000000"&amp;984,6),CalcRankKeyB,0),"")</f>
        <v/>
      </c>
    </row>
    <row r="1001" spans="1:14" x14ac:dyDescent="0.2">
      <c r="A1001" s="7">
        <v>985</v>
      </c>
      <c r="B1001" s="8" t="str">
        <f t="shared" si="150"/>
        <v/>
      </c>
      <c r="C1001" s="8" t="str">
        <f t="shared" si="151"/>
        <v/>
      </c>
      <c r="D1001" s="8" t="str">
        <f t="shared" si="152"/>
        <v/>
      </c>
      <c r="E1001" s="9" t="str">
        <f t="shared" si="153"/>
        <v/>
      </c>
      <c r="F1001" s="9" t="str">
        <f t="shared" si="154"/>
        <v/>
      </c>
      <c r="G1001" s="9" t="str">
        <f t="shared" si="155"/>
        <v/>
      </c>
      <c r="H1001" s="9" t="str">
        <f t="shared" si="156"/>
        <v/>
      </c>
      <c r="I1001" s="10" t="str">
        <f t="shared" si="157"/>
        <v/>
      </c>
      <c r="J1001" s="10" t="str">
        <f t="shared" si="159"/>
        <v/>
      </c>
      <c r="K1001" s="11" t="str">
        <f t="shared" si="158"/>
        <v/>
      </c>
      <c r="M1001" t="str">
        <f>IFERROR(MATCH($C$5&amp;"|"&amp;RIGHT("000000"&amp;985,6),CalcRankKeyA,0),"")</f>
        <v/>
      </c>
      <c r="N1001" t="str">
        <f>IFERROR(MATCH($C$5&amp;"|"&amp;RIGHT("000000"&amp;985,6),CalcRankKeyB,0),"")</f>
        <v/>
      </c>
    </row>
    <row r="1002" spans="1:14" x14ac:dyDescent="0.2">
      <c r="A1002" s="12">
        <v>986</v>
      </c>
      <c r="B1002" s="13" t="str">
        <f t="shared" si="150"/>
        <v/>
      </c>
      <c r="C1002" s="13" t="str">
        <f t="shared" si="151"/>
        <v/>
      </c>
      <c r="D1002" s="13" t="str">
        <f t="shared" si="152"/>
        <v/>
      </c>
      <c r="E1002" s="14" t="str">
        <f t="shared" si="153"/>
        <v/>
      </c>
      <c r="F1002" s="14" t="str">
        <f t="shared" si="154"/>
        <v/>
      </c>
      <c r="G1002" s="14" t="str">
        <f t="shared" si="155"/>
        <v/>
      </c>
      <c r="H1002" s="14" t="str">
        <f t="shared" si="156"/>
        <v/>
      </c>
      <c r="I1002" s="15" t="str">
        <f t="shared" si="157"/>
        <v/>
      </c>
      <c r="J1002" s="15" t="str">
        <f t="shared" si="159"/>
        <v/>
      </c>
      <c r="K1002" s="16" t="str">
        <f t="shared" si="158"/>
        <v/>
      </c>
      <c r="M1002" t="str">
        <f>IFERROR(MATCH($C$5&amp;"|"&amp;RIGHT("000000"&amp;986,6),CalcRankKeyA,0),"")</f>
        <v/>
      </c>
      <c r="N1002" t="str">
        <f>IFERROR(MATCH($C$5&amp;"|"&amp;RIGHT("000000"&amp;986,6),CalcRankKeyB,0),"")</f>
        <v/>
      </c>
    </row>
    <row r="1003" spans="1:14" x14ac:dyDescent="0.2">
      <c r="A1003" s="7">
        <v>987</v>
      </c>
      <c r="B1003" s="8" t="str">
        <f t="shared" si="150"/>
        <v/>
      </c>
      <c r="C1003" s="8" t="str">
        <f t="shared" si="151"/>
        <v/>
      </c>
      <c r="D1003" s="8" t="str">
        <f t="shared" si="152"/>
        <v/>
      </c>
      <c r="E1003" s="9" t="str">
        <f t="shared" si="153"/>
        <v/>
      </c>
      <c r="F1003" s="9" t="str">
        <f t="shared" si="154"/>
        <v/>
      </c>
      <c r="G1003" s="9" t="str">
        <f t="shared" si="155"/>
        <v/>
      </c>
      <c r="H1003" s="9" t="str">
        <f t="shared" si="156"/>
        <v/>
      </c>
      <c r="I1003" s="10" t="str">
        <f t="shared" si="157"/>
        <v/>
      </c>
      <c r="J1003" s="10" t="str">
        <f t="shared" si="159"/>
        <v/>
      </c>
      <c r="K1003" s="11" t="str">
        <f t="shared" si="158"/>
        <v/>
      </c>
      <c r="M1003" t="str">
        <f>IFERROR(MATCH($C$5&amp;"|"&amp;RIGHT("000000"&amp;987,6),CalcRankKeyA,0),"")</f>
        <v/>
      </c>
      <c r="N1003" t="str">
        <f>IFERROR(MATCH($C$5&amp;"|"&amp;RIGHT("000000"&amp;987,6),CalcRankKeyB,0),"")</f>
        <v/>
      </c>
    </row>
    <row r="1004" spans="1:14" x14ac:dyDescent="0.2">
      <c r="A1004" s="12">
        <v>988</v>
      </c>
      <c r="B1004" s="13" t="str">
        <f t="shared" si="150"/>
        <v/>
      </c>
      <c r="C1004" s="13" t="str">
        <f t="shared" si="151"/>
        <v/>
      </c>
      <c r="D1004" s="13" t="str">
        <f t="shared" si="152"/>
        <v/>
      </c>
      <c r="E1004" s="14" t="str">
        <f t="shared" si="153"/>
        <v/>
      </c>
      <c r="F1004" s="14" t="str">
        <f t="shared" si="154"/>
        <v/>
      </c>
      <c r="G1004" s="14" t="str">
        <f t="shared" si="155"/>
        <v/>
      </c>
      <c r="H1004" s="14" t="str">
        <f t="shared" si="156"/>
        <v/>
      </c>
      <c r="I1004" s="15" t="str">
        <f t="shared" si="157"/>
        <v/>
      </c>
      <c r="J1004" s="15" t="str">
        <f t="shared" si="159"/>
        <v/>
      </c>
      <c r="K1004" s="16" t="str">
        <f t="shared" si="158"/>
        <v/>
      </c>
      <c r="M1004" t="str">
        <f>IFERROR(MATCH($C$5&amp;"|"&amp;RIGHT("000000"&amp;988,6),CalcRankKeyA,0),"")</f>
        <v/>
      </c>
      <c r="N1004" t="str">
        <f>IFERROR(MATCH($C$5&amp;"|"&amp;RIGHT("000000"&amp;988,6),CalcRankKeyB,0),"")</f>
        <v/>
      </c>
    </row>
    <row r="1005" spans="1:14" x14ac:dyDescent="0.2">
      <c r="A1005" s="7">
        <v>989</v>
      </c>
      <c r="B1005" s="8" t="str">
        <f t="shared" si="150"/>
        <v/>
      </c>
      <c r="C1005" s="8" t="str">
        <f t="shared" si="151"/>
        <v/>
      </c>
      <c r="D1005" s="8" t="str">
        <f t="shared" si="152"/>
        <v/>
      </c>
      <c r="E1005" s="9" t="str">
        <f t="shared" si="153"/>
        <v/>
      </c>
      <c r="F1005" s="9" t="str">
        <f t="shared" si="154"/>
        <v/>
      </c>
      <c r="G1005" s="9" t="str">
        <f t="shared" si="155"/>
        <v/>
      </c>
      <c r="H1005" s="9" t="str">
        <f t="shared" si="156"/>
        <v/>
      </c>
      <c r="I1005" s="10" t="str">
        <f t="shared" si="157"/>
        <v/>
      </c>
      <c r="J1005" s="10" t="str">
        <f t="shared" si="159"/>
        <v/>
      </c>
      <c r="K1005" s="11" t="str">
        <f t="shared" si="158"/>
        <v/>
      </c>
      <c r="M1005" t="str">
        <f>IFERROR(MATCH($C$5&amp;"|"&amp;RIGHT("000000"&amp;989,6),CalcRankKeyA,0),"")</f>
        <v/>
      </c>
      <c r="N1005" t="str">
        <f>IFERROR(MATCH($C$5&amp;"|"&amp;RIGHT("000000"&amp;989,6),CalcRankKeyB,0),"")</f>
        <v/>
      </c>
    </row>
    <row r="1006" spans="1:14" x14ac:dyDescent="0.2">
      <c r="A1006" s="12">
        <v>990</v>
      </c>
      <c r="B1006" s="13" t="str">
        <f t="shared" si="150"/>
        <v/>
      </c>
      <c r="C1006" s="13" t="str">
        <f t="shared" si="151"/>
        <v/>
      </c>
      <c r="D1006" s="13" t="str">
        <f t="shared" si="152"/>
        <v/>
      </c>
      <c r="E1006" s="14" t="str">
        <f t="shared" si="153"/>
        <v/>
      </c>
      <c r="F1006" s="14" t="str">
        <f t="shared" si="154"/>
        <v/>
      </c>
      <c r="G1006" s="14" t="str">
        <f t="shared" si="155"/>
        <v/>
      </c>
      <c r="H1006" s="14" t="str">
        <f t="shared" si="156"/>
        <v/>
      </c>
      <c r="I1006" s="15" t="str">
        <f t="shared" si="157"/>
        <v/>
      </c>
      <c r="J1006" s="15" t="str">
        <f t="shared" si="159"/>
        <v/>
      </c>
      <c r="K1006" s="16" t="str">
        <f t="shared" si="158"/>
        <v/>
      </c>
      <c r="M1006" t="str">
        <f>IFERROR(MATCH($C$5&amp;"|"&amp;RIGHT("000000"&amp;990,6),CalcRankKeyA,0),"")</f>
        <v/>
      </c>
      <c r="N1006" t="str">
        <f>IFERROR(MATCH($C$5&amp;"|"&amp;RIGHT("000000"&amp;990,6),CalcRankKeyB,0),"")</f>
        <v/>
      </c>
    </row>
    <row r="1007" spans="1:14" x14ac:dyDescent="0.2">
      <c r="A1007" s="7">
        <v>991</v>
      </c>
      <c r="B1007" s="8" t="str">
        <f t="shared" si="150"/>
        <v/>
      </c>
      <c r="C1007" s="8" t="str">
        <f t="shared" si="151"/>
        <v/>
      </c>
      <c r="D1007" s="8" t="str">
        <f t="shared" si="152"/>
        <v/>
      </c>
      <c r="E1007" s="9" t="str">
        <f t="shared" si="153"/>
        <v/>
      </c>
      <c r="F1007" s="9" t="str">
        <f t="shared" si="154"/>
        <v/>
      </c>
      <c r="G1007" s="9" t="str">
        <f t="shared" si="155"/>
        <v/>
      </c>
      <c r="H1007" s="9" t="str">
        <f t="shared" si="156"/>
        <v/>
      </c>
      <c r="I1007" s="10" t="str">
        <f t="shared" si="157"/>
        <v/>
      </c>
      <c r="J1007" s="10" t="str">
        <f t="shared" si="159"/>
        <v/>
      </c>
      <c r="K1007" s="11" t="str">
        <f t="shared" si="158"/>
        <v/>
      </c>
      <c r="M1007" t="str">
        <f>IFERROR(MATCH($C$5&amp;"|"&amp;RIGHT("000000"&amp;991,6),CalcRankKeyA,0),"")</f>
        <v/>
      </c>
      <c r="N1007" t="str">
        <f>IFERROR(MATCH($C$5&amp;"|"&amp;RIGHT("000000"&amp;991,6),CalcRankKeyB,0),"")</f>
        <v/>
      </c>
    </row>
    <row r="1008" spans="1:14" x14ac:dyDescent="0.2">
      <c r="A1008" s="12">
        <v>992</v>
      </c>
      <c r="B1008" s="13" t="str">
        <f t="shared" si="150"/>
        <v/>
      </c>
      <c r="C1008" s="13" t="str">
        <f t="shared" si="151"/>
        <v/>
      </c>
      <c r="D1008" s="13" t="str">
        <f t="shared" si="152"/>
        <v/>
      </c>
      <c r="E1008" s="14" t="str">
        <f t="shared" si="153"/>
        <v/>
      </c>
      <c r="F1008" s="14" t="str">
        <f t="shared" si="154"/>
        <v/>
      </c>
      <c r="G1008" s="14" t="str">
        <f t="shared" si="155"/>
        <v/>
      </c>
      <c r="H1008" s="14" t="str">
        <f t="shared" si="156"/>
        <v/>
      </c>
      <c r="I1008" s="15" t="str">
        <f t="shared" si="157"/>
        <v/>
      </c>
      <c r="J1008" s="15" t="str">
        <f t="shared" si="159"/>
        <v/>
      </c>
      <c r="K1008" s="16" t="str">
        <f t="shared" si="158"/>
        <v/>
      </c>
      <c r="M1008" t="str">
        <f>IFERROR(MATCH($C$5&amp;"|"&amp;RIGHT("000000"&amp;992,6),CalcRankKeyA,0),"")</f>
        <v/>
      </c>
      <c r="N1008" t="str">
        <f>IFERROR(MATCH($C$5&amp;"|"&amp;RIGHT("000000"&amp;992,6),CalcRankKeyB,0),"")</f>
        <v/>
      </c>
    </row>
    <row r="1009" spans="1:14" x14ac:dyDescent="0.2">
      <c r="A1009" s="7">
        <v>993</v>
      </c>
      <c r="B1009" s="8" t="str">
        <f t="shared" si="150"/>
        <v/>
      </c>
      <c r="C1009" s="8" t="str">
        <f t="shared" si="151"/>
        <v/>
      </c>
      <c r="D1009" s="8" t="str">
        <f t="shared" si="152"/>
        <v/>
      </c>
      <c r="E1009" s="9" t="str">
        <f t="shared" si="153"/>
        <v/>
      </c>
      <c r="F1009" s="9" t="str">
        <f t="shared" si="154"/>
        <v/>
      </c>
      <c r="G1009" s="9" t="str">
        <f t="shared" si="155"/>
        <v/>
      </c>
      <c r="H1009" s="9" t="str">
        <f t="shared" si="156"/>
        <v/>
      </c>
      <c r="I1009" s="10" t="str">
        <f t="shared" si="157"/>
        <v/>
      </c>
      <c r="J1009" s="10" t="str">
        <f t="shared" si="159"/>
        <v/>
      </c>
      <c r="K1009" s="11" t="str">
        <f t="shared" si="158"/>
        <v/>
      </c>
      <c r="M1009" t="str">
        <f>IFERROR(MATCH($C$5&amp;"|"&amp;RIGHT("000000"&amp;993,6),CalcRankKeyA,0),"")</f>
        <v/>
      </c>
      <c r="N1009" t="str">
        <f>IFERROR(MATCH($C$5&amp;"|"&amp;RIGHT("000000"&amp;993,6),CalcRankKeyB,0),"")</f>
        <v/>
      </c>
    </row>
    <row r="1010" spans="1:14" x14ac:dyDescent="0.2">
      <c r="A1010" s="12">
        <v>994</v>
      </c>
      <c r="B1010" s="13" t="str">
        <f t="shared" si="150"/>
        <v/>
      </c>
      <c r="C1010" s="13" t="str">
        <f t="shared" si="151"/>
        <v/>
      </c>
      <c r="D1010" s="13" t="str">
        <f t="shared" si="152"/>
        <v/>
      </c>
      <c r="E1010" s="14" t="str">
        <f t="shared" si="153"/>
        <v/>
      </c>
      <c r="F1010" s="14" t="str">
        <f t="shared" si="154"/>
        <v/>
      </c>
      <c r="G1010" s="14" t="str">
        <f t="shared" si="155"/>
        <v/>
      </c>
      <c r="H1010" s="14" t="str">
        <f t="shared" si="156"/>
        <v/>
      </c>
      <c r="I1010" s="15" t="str">
        <f t="shared" si="157"/>
        <v/>
      </c>
      <c r="J1010" s="15" t="str">
        <f t="shared" si="159"/>
        <v/>
      </c>
      <c r="K1010" s="16" t="str">
        <f t="shared" si="158"/>
        <v/>
      </c>
      <c r="M1010" t="str">
        <f>IFERROR(MATCH($C$5&amp;"|"&amp;RIGHT("000000"&amp;994,6),CalcRankKeyA,0),"")</f>
        <v/>
      </c>
      <c r="N1010" t="str">
        <f>IFERROR(MATCH($C$5&amp;"|"&amp;RIGHT("000000"&amp;994,6),CalcRankKeyB,0),"")</f>
        <v/>
      </c>
    </row>
    <row r="1011" spans="1:14" x14ac:dyDescent="0.2">
      <c r="A1011" s="7">
        <v>995</v>
      </c>
      <c r="B1011" s="8" t="str">
        <f t="shared" si="150"/>
        <v/>
      </c>
      <c r="C1011" s="8" t="str">
        <f t="shared" si="151"/>
        <v/>
      </c>
      <c r="D1011" s="8" t="str">
        <f t="shared" si="152"/>
        <v/>
      </c>
      <c r="E1011" s="9" t="str">
        <f t="shared" si="153"/>
        <v/>
      </c>
      <c r="F1011" s="9" t="str">
        <f t="shared" si="154"/>
        <v/>
      </c>
      <c r="G1011" s="9" t="str">
        <f t="shared" si="155"/>
        <v/>
      </c>
      <c r="H1011" s="9" t="str">
        <f t="shared" si="156"/>
        <v/>
      </c>
      <c r="I1011" s="10" t="str">
        <f t="shared" si="157"/>
        <v/>
      </c>
      <c r="J1011" s="10" t="str">
        <f t="shared" si="159"/>
        <v/>
      </c>
      <c r="K1011" s="11" t="str">
        <f t="shared" si="158"/>
        <v/>
      </c>
      <c r="M1011" t="str">
        <f>IFERROR(MATCH($C$5&amp;"|"&amp;RIGHT("000000"&amp;995,6),CalcRankKeyA,0),"")</f>
        <v/>
      </c>
      <c r="N1011" t="str">
        <f>IFERROR(MATCH($C$5&amp;"|"&amp;RIGHT("000000"&amp;995,6),CalcRankKeyB,0),"")</f>
        <v/>
      </c>
    </row>
    <row r="1012" spans="1:14" x14ac:dyDescent="0.2">
      <c r="A1012" s="12">
        <v>996</v>
      </c>
      <c r="B1012" s="13" t="str">
        <f t="shared" si="150"/>
        <v/>
      </c>
      <c r="C1012" s="13" t="str">
        <f t="shared" si="151"/>
        <v/>
      </c>
      <c r="D1012" s="13" t="str">
        <f t="shared" si="152"/>
        <v/>
      </c>
      <c r="E1012" s="14" t="str">
        <f t="shared" si="153"/>
        <v/>
      </c>
      <c r="F1012" s="14" t="str">
        <f t="shared" si="154"/>
        <v/>
      </c>
      <c r="G1012" s="14" t="str">
        <f t="shared" si="155"/>
        <v/>
      </c>
      <c r="H1012" s="14" t="str">
        <f t="shared" si="156"/>
        <v/>
      </c>
      <c r="I1012" s="15" t="str">
        <f t="shared" si="157"/>
        <v/>
      </c>
      <c r="J1012" s="15" t="str">
        <f t="shared" si="159"/>
        <v/>
      </c>
      <c r="K1012" s="16" t="str">
        <f t="shared" si="158"/>
        <v/>
      </c>
      <c r="M1012" t="str">
        <f>IFERROR(MATCH($C$5&amp;"|"&amp;RIGHT("000000"&amp;996,6),CalcRankKeyA,0),"")</f>
        <v/>
      </c>
      <c r="N1012" t="str">
        <f>IFERROR(MATCH($C$5&amp;"|"&amp;RIGHT("000000"&amp;996,6),CalcRankKeyB,0),"")</f>
        <v/>
      </c>
    </row>
    <row r="1013" spans="1:14" x14ac:dyDescent="0.2">
      <c r="A1013" s="7">
        <v>997</v>
      </c>
      <c r="B1013" s="8" t="str">
        <f t="shared" si="150"/>
        <v/>
      </c>
      <c r="C1013" s="8" t="str">
        <f t="shared" si="151"/>
        <v/>
      </c>
      <c r="D1013" s="8" t="str">
        <f t="shared" si="152"/>
        <v/>
      </c>
      <c r="E1013" s="9" t="str">
        <f t="shared" si="153"/>
        <v/>
      </c>
      <c r="F1013" s="9" t="str">
        <f t="shared" si="154"/>
        <v/>
      </c>
      <c r="G1013" s="9" t="str">
        <f t="shared" si="155"/>
        <v/>
      </c>
      <c r="H1013" s="9" t="str">
        <f t="shared" si="156"/>
        <v/>
      </c>
      <c r="I1013" s="10" t="str">
        <f t="shared" si="157"/>
        <v/>
      </c>
      <c r="J1013" s="10" t="str">
        <f t="shared" si="159"/>
        <v/>
      </c>
      <c r="K1013" s="11" t="str">
        <f t="shared" si="158"/>
        <v/>
      </c>
      <c r="M1013" t="str">
        <f>IFERROR(MATCH($C$5&amp;"|"&amp;RIGHT("000000"&amp;997,6),CalcRankKeyA,0),"")</f>
        <v/>
      </c>
      <c r="N1013" t="str">
        <f>IFERROR(MATCH($C$5&amp;"|"&amp;RIGHT("000000"&amp;997,6),CalcRankKeyB,0),"")</f>
        <v/>
      </c>
    </row>
    <row r="1014" spans="1:14" x14ac:dyDescent="0.2">
      <c r="A1014" s="12">
        <v>998</v>
      </c>
      <c r="B1014" s="13" t="str">
        <f t="shared" si="150"/>
        <v/>
      </c>
      <c r="C1014" s="13" t="str">
        <f t="shared" si="151"/>
        <v/>
      </c>
      <c r="D1014" s="13" t="str">
        <f t="shared" si="152"/>
        <v/>
      </c>
      <c r="E1014" s="14" t="str">
        <f t="shared" si="153"/>
        <v/>
      </c>
      <c r="F1014" s="14" t="str">
        <f t="shared" si="154"/>
        <v/>
      </c>
      <c r="G1014" s="14" t="str">
        <f t="shared" si="155"/>
        <v/>
      </c>
      <c r="H1014" s="14" t="str">
        <f t="shared" si="156"/>
        <v/>
      </c>
      <c r="I1014" s="15" t="str">
        <f t="shared" si="157"/>
        <v/>
      </c>
      <c r="J1014" s="15" t="str">
        <f t="shared" si="159"/>
        <v/>
      </c>
      <c r="K1014" s="16" t="str">
        <f t="shared" si="158"/>
        <v/>
      </c>
      <c r="M1014" t="str">
        <f>IFERROR(MATCH($C$5&amp;"|"&amp;RIGHT("000000"&amp;998,6),CalcRankKeyA,0),"")</f>
        <v/>
      </c>
      <c r="N1014" t="str">
        <f>IFERROR(MATCH($C$5&amp;"|"&amp;RIGHT("000000"&amp;998,6),CalcRankKeyB,0),"")</f>
        <v/>
      </c>
    </row>
    <row r="1015" spans="1:14" x14ac:dyDescent="0.2">
      <c r="A1015" s="7">
        <v>999</v>
      </c>
      <c r="B1015" s="8" t="str">
        <f t="shared" si="150"/>
        <v/>
      </c>
      <c r="C1015" s="8" t="str">
        <f t="shared" si="151"/>
        <v/>
      </c>
      <c r="D1015" s="8" t="str">
        <f t="shared" si="152"/>
        <v/>
      </c>
      <c r="E1015" s="9" t="str">
        <f t="shared" si="153"/>
        <v/>
      </c>
      <c r="F1015" s="9" t="str">
        <f t="shared" si="154"/>
        <v/>
      </c>
      <c r="G1015" s="9" t="str">
        <f t="shared" si="155"/>
        <v/>
      </c>
      <c r="H1015" s="9" t="str">
        <f t="shared" si="156"/>
        <v/>
      </c>
      <c r="I1015" s="10" t="str">
        <f t="shared" si="157"/>
        <v/>
      </c>
      <c r="J1015" s="10" t="str">
        <f t="shared" si="159"/>
        <v/>
      </c>
      <c r="K1015" s="11" t="str">
        <f t="shared" si="158"/>
        <v/>
      </c>
      <c r="M1015" t="str">
        <f>IFERROR(MATCH($C$5&amp;"|"&amp;RIGHT("000000"&amp;999,6),CalcRankKeyA,0),"")</f>
        <v/>
      </c>
      <c r="N1015" t="str">
        <f>IFERROR(MATCH($C$5&amp;"|"&amp;RIGHT("000000"&amp;999,6),CalcRankKeyB,0),"")</f>
        <v/>
      </c>
    </row>
    <row r="1016" spans="1:14" x14ac:dyDescent="0.2">
      <c r="A1016" s="12">
        <v>1000</v>
      </c>
      <c r="B1016" s="13" t="str">
        <f t="shared" si="150"/>
        <v/>
      </c>
      <c r="C1016" s="13" t="str">
        <f t="shared" si="151"/>
        <v/>
      </c>
      <c r="D1016" s="13" t="str">
        <f t="shared" si="152"/>
        <v/>
      </c>
      <c r="E1016" s="14" t="str">
        <f t="shared" si="153"/>
        <v/>
      </c>
      <c r="F1016" s="14" t="str">
        <f t="shared" si="154"/>
        <v/>
      </c>
      <c r="G1016" s="14" t="str">
        <f t="shared" si="155"/>
        <v/>
      </c>
      <c r="H1016" s="14" t="str">
        <f t="shared" si="156"/>
        <v/>
      </c>
      <c r="I1016" s="15" t="str">
        <f t="shared" si="157"/>
        <v/>
      </c>
      <c r="J1016" s="15" t="str">
        <f t="shared" si="159"/>
        <v/>
      </c>
      <c r="K1016" s="16" t="str">
        <f t="shared" si="158"/>
        <v/>
      </c>
      <c r="M1016" t="str">
        <f>IFERROR(MATCH($C$5&amp;"|"&amp;RIGHT("000000"&amp;1000,6),CalcRankKeyA,0),"")</f>
        <v/>
      </c>
      <c r="N1016" t="str">
        <f>IFERROR(MATCH($C$5&amp;"|"&amp;RIGHT("000000"&amp;1000,6),CalcRankKeyB,0),"")</f>
        <v/>
      </c>
    </row>
    <row r="1017" spans="1:14" x14ac:dyDescent="0.2">
      <c r="A1017" s="7">
        <v>1001</v>
      </c>
      <c r="B1017" s="8" t="str">
        <f t="shared" si="150"/>
        <v/>
      </c>
      <c r="C1017" s="8" t="str">
        <f t="shared" si="151"/>
        <v/>
      </c>
      <c r="D1017" s="8" t="str">
        <f t="shared" si="152"/>
        <v/>
      </c>
      <c r="E1017" s="9" t="str">
        <f t="shared" si="153"/>
        <v/>
      </c>
      <c r="F1017" s="9" t="str">
        <f t="shared" si="154"/>
        <v/>
      </c>
      <c r="G1017" s="9" t="str">
        <f t="shared" si="155"/>
        <v/>
      </c>
      <c r="H1017" s="9" t="str">
        <f t="shared" si="156"/>
        <v/>
      </c>
      <c r="I1017" s="10" t="str">
        <f t="shared" si="157"/>
        <v/>
      </c>
      <c r="J1017" s="10" t="str">
        <f t="shared" si="159"/>
        <v/>
      </c>
      <c r="K1017" s="11" t="str">
        <f t="shared" si="158"/>
        <v/>
      </c>
      <c r="M1017" t="str">
        <f>IFERROR(MATCH($C$5&amp;"|"&amp;RIGHT("000000"&amp;1001,6),CalcRankKeyA,0),"")</f>
        <v/>
      </c>
      <c r="N1017" t="str">
        <f>IFERROR(MATCH($C$5&amp;"|"&amp;RIGHT("000000"&amp;1001,6),CalcRankKeyB,0),"")</f>
        <v/>
      </c>
    </row>
    <row r="1018" spans="1:14" x14ac:dyDescent="0.2">
      <c r="A1018" s="12">
        <v>1002</v>
      </c>
      <c r="B1018" s="13" t="str">
        <f t="shared" si="150"/>
        <v/>
      </c>
      <c r="C1018" s="13" t="str">
        <f t="shared" si="151"/>
        <v/>
      </c>
      <c r="D1018" s="13" t="str">
        <f t="shared" si="152"/>
        <v/>
      </c>
      <c r="E1018" s="14" t="str">
        <f t="shared" si="153"/>
        <v/>
      </c>
      <c r="F1018" s="14" t="str">
        <f t="shared" si="154"/>
        <v/>
      </c>
      <c r="G1018" s="14" t="str">
        <f t="shared" si="155"/>
        <v/>
      </c>
      <c r="H1018" s="14" t="str">
        <f t="shared" si="156"/>
        <v/>
      </c>
      <c r="I1018" s="15" t="str">
        <f t="shared" si="157"/>
        <v/>
      </c>
      <c r="J1018" s="15" t="str">
        <f t="shared" si="159"/>
        <v/>
      </c>
      <c r="K1018" s="16" t="str">
        <f t="shared" si="158"/>
        <v/>
      </c>
      <c r="M1018" t="str">
        <f>IFERROR(MATCH($C$5&amp;"|"&amp;RIGHT("000000"&amp;1002,6),CalcRankKeyA,0),"")</f>
        <v/>
      </c>
      <c r="N1018" t="str">
        <f>IFERROR(MATCH($C$5&amp;"|"&amp;RIGHT("000000"&amp;1002,6),CalcRankKeyB,0),"")</f>
        <v/>
      </c>
    </row>
    <row r="1019" spans="1:14" x14ac:dyDescent="0.2">
      <c r="A1019" s="7">
        <v>1003</v>
      </c>
      <c r="B1019" s="8" t="str">
        <f t="shared" si="150"/>
        <v/>
      </c>
      <c r="C1019" s="8" t="str">
        <f t="shared" si="151"/>
        <v/>
      </c>
      <c r="D1019" s="8" t="str">
        <f t="shared" si="152"/>
        <v/>
      </c>
      <c r="E1019" s="9" t="str">
        <f t="shared" si="153"/>
        <v/>
      </c>
      <c r="F1019" s="9" t="str">
        <f t="shared" si="154"/>
        <v/>
      </c>
      <c r="G1019" s="9" t="str">
        <f t="shared" si="155"/>
        <v/>
      </c>
      <c r="H1019" s="9" t="str">
        <f t="shared" si="156"/>
        <v/>
      </c>
      <c r="I1019" s="10" t="str">
        <f t="shared" si="157"/>
        <v/>
      </c>
      <c r="J1019" s="10" t="str">
        <f t="shared" si="159"/>
        <v/>
      </c>
      <c r="K1019" s="11" t="str">
        <f t="shared" si="158"/>
        <v/>
      </c>
      <c r="M1019" t="str">
        <f>IFERROR(MATCH($C$5&amp;"|"&amp;RIGHT("000000"&amp;1003,6),CalcRankKeyA,0),"")</f>
        <v/>
      </c>
      <c r="N1019" t="str">
        <f>IFERROR(MATCH($C$5&amp;"|"&amp;RIGHT("000000"&amp;1003,6),CalcRankKeyB,0),"")</f>
        <v/>
      </c>
    </row>
    <row r="1020" spans="1:14" x14ac:dyDescent="0.2">
      <c r="A1020" s="12">
        <v>1004</v>
      </c>
      <c r="B1020" s="13" t="str">
        <f t="shared" si="150"/>
        <v/>
      </c>
      <c r="C1020" s="13" t="str">
        <f t="shared" si="151"/>
        <v/>
      </c>
      <c r="D1020" s="13" t="str">
        <f t="shared" si="152"/>
        <v/>
      </c>
      <c r="E1020" s="14" t="str">
        <f t="shared" si="153"/>
        <v/>
      </c>
      <c r="F1020" s="14" t="str">
        <f t="shared" si="154"/>
        <v/>
      </c>
      <c r="G1020" s="14" t="str">
        <f t="shared" si="155"/>
        <v/>
      </c>
      <c r="H1020" s="14" t="str">
        <f t="shared" si="156"/>
        <v/>
      </c>
      <c r="I1020" s="15" t="str">
        <f t="shared" si="157"/>
        <v/>
      </c>
      <c r="J1020" s="15" t="str">
        <f t="shared" si="159"/>
        <v/>
      </c>
      <c r="K1020" s="16" t="str">
        <f t="shared" si="158"/>
        <v/>
      </c>
      <c r="M1020" t="str">
        <f>IFERROR(MATCH($C$5&amp;"|"&amp;RIGHT("000000"&amp;1004,6),CalcRankKeyA,0),"")</f>
        <v/>
      </c>
      <c r="N1020" t="str">
        <f>IFERROR(MATCH($C$5&amp;"|"&amp;RIGHT("000000"&amp;1004,6),CalcRankKeyB,0),"")</f>
        <v/>
      </c>
    </row>
    <row r="1021" spans="1:14" x14ac:dyDescent="0.2">
      <c r="A1021" s="7">
        <v>1005</v>
      </c>
      <c r="B1021" s="8" t="str">
        <f t="shared" si="150"/>
        <v/>
      </c>
      <c r="C1021" s="8" t="str">
        <f t="shared" si="151"/>
        <v/>
      </c>
      <c r="D1021" s="8" t="str">
        <f t="shared" si="152"/>
        <v/>
      </c>
      <c r="E1021" s="9" t="str">
        <f t="shared" si="153"/>
        <v/>
      </c>
      <c r="F1021" s="9" t="str">
        <f t="shared" si="154"/>
        <v/>
      </c>
      <c r="G1021" s="9" t="str">
        <f t="shared" si="155"/>
        <v/>
      </c>
      <c r="H1021" s="9" t="str">
        <f t="shared" si="156"/>
        <v/>
      </c>
      <c r="I1021" s="10" t="str">
        <f t="shared" si="157"/>
        <v/>
      </c>
      <c r="J1021" s="10" t="str">
        <f t="shared" si="159"/>
        <v/>
      </c>
      <c r="K1021" s="11" t="str">
        <f t="shared" si="158"/>
        <v/>
      </c>
      <c r="M1021" t="str">
        <f>IFERROR(MATCH($C$5&amp;"|"&amp;RIGHT("000000"&amp;1005,6),CalcRankKeyA,0),"")</f>
        <v/>
      </c>
      <c r="N1021" t="str">
        <f>IFERROR(MATCH($C$5&amp;"|"&amp;RIGHT("000000"&amp;1005,6),CalcRankKeyB,0),"")</f>
        <v/>
      </c>
    </row>
    <row r="1022" spans="1:14" x14ac:dyDescent="0.2">
      <c r="A1022" s="12">
        <v>1006</v>
      </c>
      <c r="B1022" s="13" t="str">
        <f t="shared" si="150"/>
        <v/>
      </c>
      <c r="C1022" s="13" t="str">
        <f t="shared" si="151"/>
        <v/>
      </c>
      <c r="D1022" s="13" t="str">
        <f t="shared" si="152"/>
        <v/>
      </c>
      <c r="E1022" s="14" t="str">
        <f t="shared" si="153"/>
        <v/>
      </c>
      <c r="F1022" s="14" t="str">
        <f t="shared" si="154"/>
        <v/>
      </c>
      <c r="G1022" s="14" t="str">
        <f t="shared" si="155"/>
        <v/>
      </c>
      <c r="H1022" s="14" t="str">
        <f t="shared" si="156"/>
        <v/>
      </c>
      <c r="I1022" s="15" t="str">
        <f t="shared" si="157"/>
        <v/>
      </c>
      <c r="J1022" s="15" t="str">
        <f t="shared" si="159"/>
        <v/>
      </c>
      <c r="K1022" s="16" t="str">
        <f t="shared" si="158"/>
        <v/>
      </c>
      <c r="M1022" t="str">
        <f>IFERROR(MATCH($C$5&amp;"|"&amp;RIGHT("000000"&amp;1006,6),CalcRankKeyA,0),"")</f>
        <v/>
      </c>
      <c r="N1022" t="str">
        <f>IFERROR(MATCH($C$5&amp;"|"&amp;RIGHT("000000"&amp;1006,6),CalcRankKeyB,0),"")</f>
        <v/>
      </c>
    </row>
    <row r="1023" spans="1:14" x14ac:dyDescent="0.2">
      <c r="A1023" s="7">
        <v>1007</v>
      </c>
      <c r="B1023" s="8" t="str">
        <f t="shared" si="150"/>
        <v/>
      </c>
      <c r="C1023" s="8" t="str">
        <f t="shared" si="151"/>
        <v/>
      </c>
      <c r="D1023" s="8" t="str">
        <f t="shared" si="152"/>
        <v/>
      </c>
      <c r="E1023" s="9" t="str">
        <f t="shared" si="153"/>
        <v/>
      </c>
      <c r="F1023" s="9" t="str">
        <f t="shared" si="154"/>
        <v/>
      </c>
      <c r="G1023" s="9" t="str">
        <f t="shared" si="155"/>
        <v/>
      </c>
      <c r="H1023" s="9" t="str">
        <f t="shared" si="156"/>
        <v/>
      </c>
      <c r="I1023" s="10" t="str">
        <f t="shared" si="157"/>
        <v/>
      </c>
      <c r="J1023" s="10" t="str">
        <f t="shared" si="159"/>
        <v/>
      </c>
      <c r="K1023" s="11" t="str">
        <f t="shared" si="158"/>
        <v/>
      </c>
      <c r="M1023" t="str">
        <f>IFERROR(MATCH($C$5&amp;"|"&amp;RIGHT("000000"&amp;1007,6),CalcRankKeyA,0),"")</f>
        <v/>
      </c>
      <c r="N1023" t="str">
        <f>IFERROR(MATCH($C$5&amp;"|"&amp;RIGHT("000000"&amp;1007,6),CalcRankKeyB,0),"")</f>
        <v/>
      </c>
    </row>
    <row r="1024" spans="1:14" x14ac:dyDescent="0.2">
      <c r="A1024" s="12">
        <v>1008</v>
      </c>
      <c r="B1024" s="13" t="str">
        <f t="shared" si="150"/>
        <v/>
      </c>
      <c r="C1024" s="13" t="str">
        <f t="shared" si="151"/>
        <v/>
      </c>
      <c r="D1024" s="13" t="str">
        <f t="shared" si="152"/>
        <v/>
      </c>
      <c r="E1024" s="14" t="str">
        <f t="shared" si="153"/>
        <v/>
      </c>
      <c r="F1024" s="14" t="str">
        <f t="shared" si="154"/>
        <v/>
      </c>
      <c r="G1024" s="14" t="str">
        <f t="shared" si="155"/>
        <v/>
      </c>
      <c r="H1024" s="14" t="str">
        <f t="shared" si="156"/>
        <v/>
      </c>
      <c r="I1024" s="15" t="str">
        <f t="shared" si="157"/>
        <v/>
      </c>
      <c r="J1024" s="15" t="str">
        <f t="shared" si="159"/>
        <v/>
      </c>
      <c r="K1024" s="16" t="str">
        <f t="shared" si="158"/>
        <v/>
      </c>
      <c r="M1024" t="str">
        <f>IFERROR(MATCH($C$5&amp;"|"&amp;RIGHT("000000"&amp;1008,6),CalcRankKeyA,0),"")</f>
        <v/>
      </c>
      <c r="N1024" t="str">
        <f>IFERROR(MATCH($C$5&amp;"|"&amp;RIGHT("000000"&amp;1008,6),CalcRankKeyB,0),"")</f>
        <v/>
      </c>
    </row>
    <row r="1025" spans="1:14" x14ac:dyDescent="0.2">
      <c r="A1025" s="7">
        <v>1009</v>
      </c>
      <c r="B1025" s="8" t="str">
        <f t="shared" si="150"/>
        <v/>
      </c>
      <c r="C1025" s="8" t="str">
        <f t="shared" si="151"/>
        <v/>
      </c>
      <c r="D1025" s="8" t="str">
        <f t="shared" si="152"/>
        <v/>
      </c>
      <c r="E1025" s="9" t="str">
        <f t="shared" si="153"/>
        <v/>
      </c>
      <c r="F1025" s="9" t="str">
        <f t="shared" si="154"/>
        <v/>
      </c>
      <c r="G1025" s="9" t="str">
        <f t="shared" si="155"/>
        <v/>
      </c>
      <c r="H1025" s="9" t="str">
        <f t="shared" si="156"/>
        <v/>
      </c>
      <c r="I1025" s="10" t="str">
        <f t="shared" si="157"/>
        <v/>
      </c>
      <c r="J1025" s="10" t="str">
        <f t="shared" si="159"/>
        <v/>
      </c>
      <c r="K1025" s="11" t="str">
        <f t="shared" si="158"/>
        <v/>
      </c>
      <c r="M1025" t="str">
        <f>IFERROR(MATCH($C$5&amp;"|"&amp;RIGHT("000000"&amp;1009,6),CalcRankKeyA,0),"")</f>
        <v/>
      </c>
      <c r="N1025" t="str">
        <f>IFERROR(MATCH($C$5&amp;"|"&amp;RIGHT("000000"&amp;1009,6),CalcRankKeyB,0),"")</f>
        <v/>
      </c>
    </row>
    <row r="1026" spans="1:14" x14ac:dyDescent="0.2">
      <c r="A1026" s="12">
        <v>1010</v>
      </c>
      <c r="B1026" s="13" t="str">
        <f t="shared" si="150"/>
        <v/>
      </c>
      <c r="C1026" s="13" t="str">
        <f t="shared" si="151"/>
        <v/>
      </c>
      <c r="D1026" s="13" t="str">
        <f t="shared" si="152"/>
        <v/>
      </c>
      <c r="E1026" s="14" t="str">
        <f t="shared" si="153"/>
        <v/>
      </c>
      <c r="F1026" s="14" t="str">
        <f t="shared" si="154"/>
        <v/>
      </c>
      <c r="G1026" s="14" t="str">
        <f t="shared" si="155"/>
        <v/>
      </c>
      <c r="H1026" s="14" t="str">
        <f t="shared" si="156"/>
        <v/>
      </c>
      <c r="I1026" s="15" t="str">
        <f t="shared" si="157"/>
        <v/>
      </c>
      <c r="J1026" s="15" t="str">
        <f t="shared" si="159"/>
        <v/>
      </c>
      <c r="K1026" s="16" t="str">
        <f t="shared" si="158"/>
        <v/>
      </c>
      <c r="M1026" t="str">
        <f>IFERROR(MATCH($C$5&amp;"|"&amp;RIGHT("000000"&amp;1010,6),CalcRankKeyA,0),"")</f>
        <v/>
      </c>
      <c r="N1026" t="str">
        <f>IFERROR(MATCH($C$5&amp;"|"&amp;RIGHT("000000"&amp;1010,6),CalcRankKeyB,0),"")</f>
        <v/>
      </c>
    </row>
    <row r="1027" spans="1:14" x14ac:dyDescent="0.2">
      <c r="A1027" s="7">
        <v>1011</v>
      </c>
      <c r="B1027" s="8" t="str">
        <f t="shared" si="150"/>
        <v/>
      </c>
      <c r="C1027" s="8" t="str">
        <f t="shared" si="151"/>
        <v/>
      </c>
      <c r="D1027" s="8" t="str">
        <f t="shared" si="152"/>
        <v/>
      </c>
      <c r="E1027" s="9" t="str">
        <f t="shared" si="153"/>
        <v/>
      </c>
      <c r="F1027" s="9" t="str">
        <f t="shared" si="154"/>
        <v/>
      </c>
      <c r="G1027" s="9" t="str">
        <f t="shared" si="155"/>
        <v/>
      </c>
      <c r="H1027" s="9" t="str">
        <f t="shared" si="156"/>
        <v/>
      </c>
      <c r="I1027" s="10" t="str">
        <f t="shared" si="157"/>
        <v/>
      </c>
      <c r="J1027" s="10" t="str">
        <f t="shared" si="159"/>
        <v/>
      </c>
      <c r="K1027" s="11" t="str">
        <f t="shared" si="158"/>
        <v/>
      </c>
      <c r="M1027" t="str">
        <f>IFERROR(MATCH($C$5&amp;"|"&amp;RIGHT("000000"&amp;1011,6),CalcRankKeyA,0),"")</f>
        <v/>
      </c>
      <c r="N1027" t="str">
        <f>IFERROR(MATCH($C$5&amp;"|"&amp;RIGHT("000000"&amp;1011,6),CalcRankKeyB,0),"")</f>
        <v/>
      </c>
    </row>
    <row r="1028" spans="1:14" x14ac:dyDescent="0.2">
      <c r="A1028" s="12">
        <v>1012</v>
      </c>
      <c r="B1028" s="13" t="str">
        <f t="shared" si="150"/>
        <v/>
      </c>
      <c r="C1028" s="13" t="str">
        <f t="shared" si="151"/>
        <v/>
      </c>
      <c r="D1028" s="13" t="str">
        <f t="shared" si="152"/>
        <v/>
      </c>
      <c r="E1028" s="14" t="str">
        <f t="shared" si="153"/>
        <v/>
      </c>
      <c r="F1028" s="14" t="str">
        <f t="shared" si="154"/>
        <v/>
      </c>
      <c r="G1028" s="14" t="str">
        <f t="shared" si="155"/>
        <v/>
      </c>
      <c r="H1028" s="14" t="str">
        <f t="shared" si="156"/>
        <v/>
      </c>
      <c r="I1028" s="15" t="str">
        <f t="shared" si="157"/>
        <v/>
      </c>
      <c r="J1028" s="15" t="str">
        <f t="shared" si="159"/>
        <v/>
      </c>
      <c r="K1028" s="16" t="str">
        <f t="shared" si="158"/>
        <v/>
      </c>
      <c r="M1028" t="str">
        <f>IFERROR(MATCH($C$5&amp;"|"&amp;RIGHT("000000"&amp;1012,6),CalcRankKeyA,0),"")</f>
        <v/>
      </c>
      <c r="N1028" t="str">
        <f>IFERROR(MATCH($C$5&amp;"|"&amp;RIGHT("000000"&amp;1012,6),CalcRankKeyB,0),"")</f>
        <v/>
      </c>
    </row>
    <row r="1029" spans="1:14" x14ac:dyDescent="0.2">
      <c r="A1029" s="7">
        <v>1013</v>
      </c>
      <c r="B1029" s="8" t="str">
        <f t="shared" si="150"/>
        <v/>
      </c>
      <c r="C1029" s="8" t="str">
        <f t="shared" si="151"/>
        <v/>
      </c>
      <c r="D1029" s="8" t="str">
        <f t="shared" si="152"/>
        <v/>
      </c>
      <c r="E1029" s="9" t="str">
        <f t="shared" si="153"/>
        <v/>
      </c>
      <c r="F1029" s="9" t="str">
        <f t="shared" si="154"/>
        <v/>
      </c>
      <c r="G1029" s="9" t="str">
        <f t="shared" si="155"/>
        <v/>
      </c>
      <c r="H1029" s="9" t="str">
        <f t="shared" si="156"/>
        <v/>
      </c>
      <c r="I1029" s="10" t="str">
        <f t="shared" si="157"/>
        <v/>
      </c>
      <c r="J1029" s="10" t="str">
        <f t="shared" si="159"/>
        <v/>
      </c>
      <c r="K1029" s="11" t="str">
        <f t="shared" si="158"/>
        <v/>
      </c>
      <c r="M1029" t="str">
        <f>IFERROR(MATCH($C$5&amp;"|"&amp;RIGHT("000000"&amp;1013,6),CalcRankKeyA,0),"")</f>
        <v/>
      </c>
      <c r="N1029" t="str">
        <f>IFERROR(MATCH($C$5&amp;"|"&amp;RIGHT("000000"&amp;1013,6),CalcRankKeyB,0),"")</f>
        <v/>
      </c>
    </row>
    <row r="1030" spans="1:14" x14ac:dyDescent="0.2">
      <c r="A1030" s="12">
        <v>1014</v>
      </c>
      <c r="B1030" s="13" t="str">
        <f t="shared" si="150"/>
        <v/>
      </c>
      <c r="C1030" s="13" t="str">
        <f t="shared" si="151"/>
        <v/>
      </c>
      <c r="D1030" s="13" t="str">
        <f t="shared" si="152"/>
        <v/>
      </c>
      <c r="E1030" s="14" t="str">
        <f t="shared" si="153"/>
        <v/>
      </c>
      <c r="F1030" s="14" t="str">
        <f t="shared" si="154"/>
        <v/>
      </c>
      <c r="G1030" s="14" t="str">
        <f t="shared" si="155"/>
        <v/>
      </c>
      <c r="H1030" s="14" t="str">
        <f t="shared" si="156"/>
        <v/>
      </c>
      <c r="I1030" s="15" t="str">
        <f t="shared" si="157"/>
        <v/>
      </c>
      <c r="J1030" s="15" t="str">
        <f t="shared" si="159"/>
        <v/>
      </c>
      <c r="K1030" s="16" t="str">
        <f t="shared" si="158"/>
        <v/>
      </c>
      <c r="M1030" t="str">
        <f>IFERROR(MATCH($C$5&amp;"|"&amp;RIGHT("000000"&amp;1014,6),CalcRankKeyA,0),"")</f>
        <v/>
      </c>
      <c r="N1030" t="str">
        <f>IFERROR(MATCH($C$5&amp;"|"&amp;RIGHT("000000"&amp;1014,6),CalcRankKeyB,0),"")</f>
        <v/>
      </c>
    </row>
    <row r="1031" spans="1:14" x14ac:dyDescent="0.2">
      <c r="A1031" s="7">
        <v>1015</v>
      </c>
      <c r="B1031" s="8" t="str">
        <f t="shared" si="150"/>
        <v/>
      </c>
      <c r="C1031" s="8" t="str">
        <f t="shared" si="151"/>
        <v/>
      </c>
      <c r="D1031" s="8" t="str">
        <f t="shared" si="152"/>
        <v/>
      </c>
      <c r="E1031" s="9" t="str">
        <f t="shared" si="153"/>
        <v/>
      </c>
      <c r="F1031" s="9" t="str">
        <f t="shared" si="154"/>
        <v/>
      </c>
      <c r="G1031" s="9" t="str">
        <f t="shared" si="155"/>
        <v/>
      </c>
      <c r="H1031" s="9" t="str">
        <f t="shared" si="156"/>
        <v/>
      </c>
      <c r="I1031" s="10" t="str">
        <f t="shared" si="157"/>
        <v/>
      </c>
      <c r="J1031" s="10" t="str">
        <f t="shared" si="159"/>
        <v/>
      </c>
      <c r="K1031" s="11" t="str">
        <f t="shared" si="158"/>
        <v/>
      </c>
      <c r="M1031" t="str">
        <f>IFERROR(MATCH($C$5&amp;"|"&amp;RIGHT("000000"&amp;1015,6),CalcRankKeyA,0),"")</f>
        <v/>
      </c>
      <c r="N1031" t="str">
        <f>IFERROR(MATCH($C$5&amp;"|"&amp;RIGHT("000000"&amp;1015,6),CalcRankKeyB,0),"")</f>
        <v/>
      </c>
    </row>
    <row r="1032" spans="1:14" x14ac:dyDescent="0.2">
      <c r="A1032" s="12">
        <v>1016</v>
      </c>
      <c r="B1032" s="13" t="str">
        <f t="shared" si="150"/>
        <v/>
      </c>
      <c r="C1032" s="13" t="str">
        <f t="shared" si="151"/>
        <v/>
      </c>
      <c r="D1032" s="13" t="str">
        <f t="shared" si="152"/>
        <v/>
      </c>
      <c r="E1032" s="14" t="str">
        <f t="shared" si="153"/>
        <v/>
      </c>
      <c r="F1032" s="14" t="str">
        <f t="shared" si="154"/>
        <v/>
      </c>
      <c r="G1032" s="14" t="str">
        <f t="shared" si="155"/>
        <v/>
      </c>
      <c r="H1032" s="14" t="str">
        <f t="shared" si="156"/>
        <v/>
      </c>
      <c r="I1032" s="15" t="str">
        <f t="shared" si="157"/>
        <v/>
      </c>
      <c r="J1032" s="15" t="str">
        <f t="shared" si="159"/>
        <v/>
      </c>
      <c r="K1032" s="16" t="str">
        <f t="shared" si="158"/>
        <v/>
      </c>
      <c r="M1032" t="str">
        <f>IFERROR(MATCH($C$5&amp;"|"&amp;RIGHT("000000"&amp;1016,6),CalcRankKeyA,0),"")</f>
        <v/>
      </c>
      <c r="N1032" t="str">
        <f>IFERROR(MATCH($C$5&amp;"|"&amp;RIGHT("000000"&amp;1016,6),CalcRankKeyB,0),"")</f>
        <v/>
      </c>
    </row>
    <row r="1033" spans="1:14" x14ac:dyDescent="0.2">
      <c r="A1033" s="7">
        <v>1017</v>
      </c>
      <c r="B1033" s="8" t="str">
        <f t="shared" si="150"/>
        <v/>
      </c>
      <c r="C1033" s="8" t="str">
        <f t="shared" si="151"/>
        <v/>
      </c>
      <c r="D1033" s="8" t="str">
        <f t="shared" si="152"/>
        <v/>
      </c>
      <c r="E1033" s="9" t="str">
        <f t="shared" si="153"/>
        <v/>
      </c>
      <c r="F1033" s="9" t="str">
        <f t="shared" si="154"/>
        <v/>
      </c>
      <c r="G1033" s="9" t="str">
        <f t="shared" si="155"/>
        <v/>
      </c>
      <c r="H1033" s="9" t="str">
        <f t="shared" si="156"/>
        <v/>
      </c>
      <c r="I1033" s="10" t="str">
        <f t="shared" si="157"/>
        <v/>
      </c>
      <c r="J1033" s="10" t="str">
        <f t="shared" si="159"/>
        <v/>
      </c>
      <c r="K1033" s="11" t="str">
        <f t="shared" si="158"/>
        <v/>
      </c>
      <c r="M1033" t="str">
        <f>IFERROR(MATCH($C$5&amp;"|"&amp;RIGHT("000000"&amp;1017,6),CalcRankKeyA,0),"")</f>
        <v/>
      </c>
      <c r="N1033" t="str">
        <f>IFERROR(MATCH($C$5&amp;"|"&amp;RIGHT("000000"&amp;1017,6),CalcRankKeyB,0),"")</f>
        <v/>
      </c>
    </row>
    <row r="1034" spans="1:14" x14ac:dyDescent="0.2">
      <c r="A1034" s="12">
        <v>1018</v>
      </c>
      <c r="B1034" s="13" t="str">
        <f t="shared" si="150"/>
        <v/>
      </c>
      <c r="C1034" s="13" t="str">
        <f t="shared" si="151"/>
        <v/>
      </c>
      <c r="D1034" s="13" t="str">
        <f t="shared" si="152"/>
        <v/>
      </c>
      <c r="E1034" s="14" t="str">
        <f t="shared" si="153"/>
        <v/>
      </c>
      <c r="F1034" s="14" t="str">
        <f t="shared" si="154"/>
        <v/>
      </c>
      <c r="G1034" s="14" t="str">
        <f t="shared" si="155"/>
        <v/>
      </c>
      <c r="H1034" s="14" t="str">
        <f t="shared" si="156"/>
        <v/>
      </c>
      <c r="I1034" s="15" t="str">
        <f t="shared" si="157"/>
        <v/>
      </c>
      <c r="J1034" s="15" t="str">
        <f t="shared" si="159"/>
        <v/>
      </c>
      <c r="K1034" s="16" t="str">
        <f t="shared" si="158"/>
        <v/>
      </c>
      <c r="M1034" t="str">
        <f>IFERROR(MATCH($C$5&amp;"|"&amp;RIGHT("000000"&amp;1018,6),CalcRankKeyA,0),"")</f>
        <v/>
      </c>
      <c r="N1034" t="str">
        <f>IFERROR(MATCH($C$5&amp;"|"&amp;RIGHT("000000"&amp;1018,6),CalcRankKeyB,0),"")</f>
        <v/>
      </c>
    </row>
    <row r="1035" spans="1:14" x14ac:dyDescent="0.2">
      <c r="A1035" s="7">
        <v>1019</v>
      </c>
      <c r="B1035" s="8" t="str">
        <f t="shared" si="150"/>
        <v/>
      </c>
      <c r="C1035" s="8" t="str">
        <f t="shared" si="151"/>
        <v/>
      </c>
      <c r="D1035" s="8" t="str">
        <f t="shared" si="152"/>
        <v/>
      </c>
      <c r="E1035" s="9" t="str">
        <f t="shared" si="153"/>
        <v/>
      </c>
      <c r="F1035" s="9" t="str">
        <f t="shared" si="154"/>
        <v/>
      </c>
      <c r="G1035" s="9" t="str">
        <f t="shared" si="155"/>
        <v/>
      </c>
      <c r="H1035" s="9" t="str">
        <f t="shared" si="156"/>
        <v/>
      </c>
      <c r="I1035" s="10" t="str">
        <f t="shared" si="157"/>
        <v/>
      </c>
      <c r="J1035" s="10" t="str">
        <f t="shared" si="159"/>
        <v/>
      </c>
      <c r="K1035" s="11" t="str">
        <f t="shared" si="158"/>
        <v/>
      </c>
      <c r="M1035" t="str">
        <f>IFERROR(MATCH($C$5&amp;"|"&amp;RIGHT("000000"&amp;1019,6),CalcRankKeyA,0),"")</f>
        <v/>
      </c>
      <c r="N1035" t="str">
        <f>IFERROR(MATCH($C$5&amp;"|"&amp;RIGHT("000000"&amp;1019,6),CalcRankKeyB,0),"")</f>
        <v/>
      </c>
    </row>
    <row r="1036" spans="1:14" x14ac:dyDescent="0.2">
      <c r="A1036" s="12">
        <v>1020</v>
      </c>
      <c r="B1036" s="13" t="str">
        <f t="shared" si="150"/>
        <v/>
      </c>
      <c r="C1036" s="13" t="str">
        <f t="shared" si="151"/>
        <v/>
      </c>
      <c r="D1036" s="13" t="str">
        <f t="shared" si="152"/>
        <v/>
      </c>
      <c r="E1036" s="14" t="str">
        <f t="shared" si="153"/>
        <v/>
      </c>
      <c r="F1036" s="14" t="str">
        <f t="shared" si="154"/>
        <v/>
      </c>
      <c r="G1036" s="14" t="str">
        <f t="shared" si="155"/>
        <v/>
      </c>
      <c r="H1036" s="14" t="str">
        <f t="shared" si="156"/>
        <v/>
      </c>
      <c r="I1036" s="15" t="str">
        <f t="shared" si="157"/>
        <v/>
      </c>
      <c r="J1036" s="15" t="str">
        <f t="shared" si="159"/>
        <v/>
      </c>
      <c r="K1036" s="16" t="str">
        <f t="shared" si="158"/>
        <v/>
      </c>
      <c r="M1036" t="str">
        <f>IFERROR(MATCH($C$5&amp;"|"&amp;RIGHT("000000"&amp;1020,6),CalcRankKeyA,0),"")</f>
        <v/>
      </c>
      <c r="N1036" t="str">
        <f>IFERROR(MATCH($C$5&amp;"|"&amp;RIGHT("000000"&amp;1020,6),CalcRankKeyB,0),"")</f>
        <v/>
      </c>
    </row>
    <row r="1037" spans="1:14" x14ac:dyDescent="0.2">
      <c r="A1037" s="7">
        <v>1021</v>
      </c>
      <c r="B1037" s="8" t="str">
        <f t="shared" si="150"/>
        <v/>
      </c>
      <c r="C1037" s="8" t="str">
        <f t="shared" si="151"/>
        <v/>
      </c>
      <c r="D1037" s="8" t="str">
        <f t="shared" si="152"/>
        <v/>
      </c>
      <c r="E1037" s="9" t="str">
        <f t="shared" si="153"/>
        <v/>
      </c>
      <c r="F1037" s="9" t="str">
        <f t="shared" si="154"/>
        <v/>
      </c>
      <c r="G1037" s="9" t="str">
        <f t="shared" si="155"/>
        <v/>
      </c>
      <c r="H1037" s="9" t="str">
        <f t="shared" si="156"/>
        <v/>
      </c>
      <c r="I1037" s="10" t="str">
        <f t="shared" si="157"/>
        <v/>
      </c>
      <c r="J1037" s="10" t="str">
        <f t="shared" si="159"/>
        <v/>
      </c>
      <c r="K1037" s="11" t="str">
        <f t="shared" si="158"/>
        <v/>
      </c>
      <c r="M1037" t="str">
        <f>IFERROR(MATCH($C$5&amp;"|"&amp;RIGHT("000000"&amp;1021,6),CalcRankKeyA,0),"")</f>
        <v/>
      </c>
      <c r="N1037" t="str">
        <f>IFERROR(MATCH($C$5&amp;"|"&amp;RIGHT("000000"&amp;1021,6),CalcRankKeyB,0),"")</f>
        <v/>
      </c>
    </row>
    <row r="1038" spans="1:14" x14ac:dyDescent="0.2">
      <c r="A1038" s="12">
        <v>1022</v>
      </c>
      <c r="B1038" s="13" t="str">
        <f t="shared" si="150"/>
        <v/>
      </c>
      <c r="C1038" s="13" t="str">
        <f t="shared" si="151"/>
        <v/>
      </c>
      <c r="D1038" s="13" t="str">
        <f t="shared" si="152"/>
        <v/>
      </c>
      <c r="E1038" s="14" t="str">
        <f t="shared" si="153"/>
        <v/>
      </c>
      <c r="F1038" s="14" t="str">
        <f t="shared" si="154"/>
        <v/>
      </c>
      <c r="G1038" s="14" t="str">
        <f t="shared" si="155"/>
        <v/>
      </c>
      <c r="H1038" s="14" t="str">
        <f t="shared" si="156"/>
        <v/>
      </c>
      <c r="I1038" s="15" t="str">
        <f t="shared" si="157"/>
        <v/>
      </c>
      <c r="J1038" s="15" t="str">
        <f t="shared" si="159"/>
        <v/>
      </c>
      <c r="K1038" s="16" t="str">
        <f t="shared" si="158"/>
        <v/>
      </c>
      <c r="M1038" t="str">
        <f>IFERROR(MATCH($C$5&amp;"|"&amp;RIGHT("000000"&amp;1022,6),CalcRankKeyA,0),"")</f>
        <v/>
      </c>
      <c r="N1038" t="str">
        <f>IFERROR(MATCH($C$5&amp;"|"&amp;RIGHT("000000"&amp;1022,6),CalcRankKeyB,0),"")</f>
        <v/>
      </c>
    </row>
    <row r="1039" spans="1:14" x14ac:dyDescent="0.2">
      <c r="A1039" s="7">
        <v>1023</v>
      </c>
      <c r="B1039" s="8" t="str">
        <f t="shared" si="150"/>
        <v/>
      </c>
      <c r="C1039" s="8" t="str">
        <f t="shared" si="151"/>
        <v/>
      </c>
      <c r="D1039" s="8" t="str">
        <f t="shared" si="152"/>
        <v/>
      </c>
      <c r="E1039" s="9" t="str">
        <f t="shared" si="153"/>
        <v/>
      </c>
      <c r="F1039" s="9" t="str">
        <f t="shared" si="154"/>
        <v/>
      </c>
      <c r="G1039" s="9" t="str">
        <f t="shared" si="155"/>
        <v/>
      </c>
      <c r="H1039" s="9" t="str">
        <f t="shared" si="156"/>
        <v/>
      </c>
      <c r="I1039" s="10" t="str">
        <f t="shared" si="157"/>
        <v/>
      </c>
      <c r="J1039" s="10" t="str">
        <f t="shared" si="159"/>
        <v/>
      </c>
      <c r="K1039" s="11" t="str">
        <f t="shared" si="158"/>
        <v/>
      </c>
      <c r="M1039" t="str">
        <f>IFERROR(MATCH($C$5&amp;"|"&amp;RIGHT("000000"&amp;1023,6),CalcRankKeyA,0),"")</f>
        <v/>
      </c>
      <c r="N1039" t="str">
        <f>IFERROR(MATCH($C$5&amp;"|"&amp;RIGHT("000000"&amp;1023,6),CalcRankKeyB,0),"")</f>
        <v/>
      </c>
    </row>
    <row r="1040" spans="1:14" x14ac:dyDescent="0.2">
      <c r="A1040" s="12">
        <v>1024</v>
      </c>
      <c r="B1040" s="13" t="str">
        <f t="shared" si="150"/>
        <v/>
      </c>
      <c r="C1040" s="13" t="str">
        <f t="shared" si="151"/>
        <v/>
      </c>
      <c r="D1040" s="13" t="str">
        <f t="shared" si="152"/>
        <v/>
      </c>
      <c r="E1040" s="14" t="str">
        <f t="shared" si="153"/>
        <v/>
      </c>
      <c r="F1040" s="14" t="str">
        <f t="shared" si="154"/>
        <v/>
      </c>
      <c r="G1040" s="14" t="str">
        <f t="shared" si="155"/>
        <v/>
      </c>
      <c r="H1040" s="14" t="str">
        <f t="shared" si="156"/>
        <v/>
      </c>
      <c r="I1040" s="15" t="str">
        <f t="shared" si="157"/>
        <v/>
      </c>
      <c r="J1040" s="15" t="str">
        <f t="shared" si="159"/>
        <v/>
      </c>
      <c r="K1040" s="16" t="str">
        <f t="shared" si="158"/>
        <v/>
      </c>
      <c r="M1040" t="str">
        <f>IFERROR(MATCH($C$5&amp;"|"&amp;RIGHT("000000"&amp;1024,6),CalcRankKeyA,0),"")</f>
        <v/>
      </c>
      <c r="N1040" t="str">
        <f>IFERROR(MATCH($C$5&amp;"|"&amp;RIGHT("000000"&amp;1024,6),CalcRankKeyB,0),"")</f>
        <v/>
      </c>
    </row>
    <row r="1041" spans="1:14" x14ac:dyDescent="0.2">
      <c r="A1041" s="7">
        <v>1025</v>
      </c>
      <c r="B1041" s="8" t="str">
        <f t="shared" ref="B1041:B1104" si="160">IF(AND($M1041="",$N1041=""),"",IF($M1041&lt;&gt;"",INDEX(CalcDateA,$M1041),INDEX(CalcDateB,$N1041)))</f>
        <v/>
      </c>
      <c r="C1041" s="8" t="str">
        <f t="shared" ref="C1041:C1104" si="161">IF($M1041&lt;&gt;"","خرید سبد",IF($N1041&lt;&gt;"",IF(N(INDEX(CalcDepB,$N1041))&gt;0,"دریافت بانکی","پرداخت بانکی"),""))</f>
        <v/>
      </c>
      <c r="D1041" s="8" t="str">
        <f t="shared" ref="D1041:D1104" si="162">IF($M1041&lt;&gt;"",IF(INDEX(CalcDocA,$M1041)="","—",INDEX(CalcDocA,$M1041)),IF($N1041&lt;&gt;"",INDEX(CalcBankB,$N1041),""))</f>
        <v/>
      </c>
      <c r="E1041" s="9" t="str">
        <f t="shared" ref="E1041:E1104" si="163">IF($N1041&lt;&gt;"",IF(INDEX(CalcDepB,$N1041)=0,"",INDEX(CalcDepB,$N1041)),"")</f>
        <v/>
      </c>
      <c r="F1041" s="9" t="str">
        <f t="shared" ref="F1041:F1104" si="164">IF($M1041&lt;&gt;"",IF(INDEX(CalcQtyA,$M1041)=0,"",INDEX(CalcQtyA,$M1041)),"")</f>
        <v/>
      </c>
      <c r="G1041" s="9" t="str">
        <f t="shared" ref="G1041:G1104" si="165">IF($M1041&lt;&gt;"",IF(INDEX(CalcPriceA,$M1041)=0,"",INDEX(CalcPriceA,$M1041)),"")</f>
        <v/>
      </c>
      <c r="H1041" s="9" t="str">
        <f t="shared" ref="H1041:H1104" si="166">IF($N1041&lt;&gt;"",IF(INDEX(CalcWitB,$N1041)=0,"",INDEX(CalcWitB,$N1041)),"")</f>
        <v/>
      </c>
      <c r="I1041" s="10" t="str">
        <f t="shared" ref="I1041:I1104" si="167">IF($M1041&lt;&gt;"",INDEX(CalcAmtA,$M1041),"")</f>
        <v/>
      </c>
      <c r="J1041" s="10" t="str">
        <f t="shared" si="159"/>
        <v/>
      </c>
      <c r="K1041" s="11" t="str">
        <f t="shared" ref="K1041:K1104" si="168">IF($M1041&lt;&gt;"",IF(INDEX(CalcNoteA,$M1041)="","—",INDEX(CalcNoteA,$M1041)),IF($N1041&lt;&gt;"",IF(INDEX(CalcNoteB,$N1041)="","—",INDEX(CalcNoteB,$N1041)),""))</f>
        <v/>
      </c>
      <c r="M1041" t="str">
        <f>IFERROR(MATCH($C$5&amp;"|"&amp;RIGHT("000000"&amp;1025,6),CalcRankKeyA,0),"")</f>
        <v/>
      </c>
      <c r="N1041" t="str">
        <f>IFERROR(MATCH($C$5&amp;"|"&amp;RIGHT("000000"&amp;1025,6),CalcRankKeyB,0),"")</f>
        <v/>
      </c>
    </row>
    <row r="1042" spans="1:14" x14ac:dyDescent="0.2">
      <c r="A1042" s="12">
        <v>1026</v>
      </c>
      <c r="B1042" s="13" t="str">
        <f t="shared" si="160"/>
        <v/>
      </c>
      <c r="C1042" s="13" t="str">
        <f t="shared" si="161"/>
        <v/>
      </c>
      <c r="D1042" s="13" t="str">
        <f t="shared" si="162"/>
        <v/>
      </c>
      <c r="E1042" s="14" t="str">
        <f t="shared" si="163"/>
        <v/>
      </c>
      <c r="F1042" s="14" t="str">
        <f t="shared" si="164"/>
        <v/>
      </c>
      <c r="G1042" s="14" t="str">
        <f t="shared" si="165"/>
        <v/>
      </c>
      <c r="H1042" s="14" t="str">
        <f t="shared" si="166"/>
        <v/>
      </c>
      <c r="I1042" s="15" t="str">
        <f t="shared" si="167"/>
        <v/>
      </c>
      <c r="J1042" s="15" t="str">
        <f t="shared" ref="J1042:J1105" si="169">IF($B1042="","",IF($J1041="",$C$8,$J1041)+IF($I1042="",0,$I1042)+IF($E1042="",0,$E1042)-IF($H1042="",0,$H1042))</f>
        <v/>
      </c>
      <c r="K1042" s="16" t="str">
        <f t="shared" si="168"/>
        <v/>
      </c>
      <c r="M1042" t="str">
        <f>IFERROR(MATCH($C$5&amp;"|"&amp;RIGHT("000000"&amp;1026,6),CalcRankKeyA,0),"")</f>
        <v/>
      </c>
      <c r="N1042" t="str">
        <f>IFERROR(MATCH($C$5&amp;"|"&amp;RIGHT("000000"&amp;1026,6),CalcRankKeyB,0),"")</f>
        <v/>
      </c>
    </row>
    <row r="1043" spans="1:14" x14ac:dyDescent="0.2">
      <c r="A1043" s="7">
        <v>1027</v>
      </c>
      <c r="B1043" s="8" t="str">
        <f t="shared" si="160"/>
        <v/>
      </c>
      <c r="C1043" s="8" t="str">
        <f t="shared" si="161"/>
        <v/>
      </c>
      <c r="D1043" s="8" t="str">
        <f t="shared" si="162"/>
        <v/>
      </c>
      <c r="E1043" s="9" t="str">
        <f t="shared" si="163"/>
        <v/>
      </c>
      <c r="F1043" s="9" t="str">
        <f t="shared" si="164"/>
        <v/>
      </c>
      <c r="G1043" s="9" t="str">
        <f t="shared" si="165"/>
        <v/>
      </c>
      <c r="H1043" s="9" t="str">
        <f t="shared" si="166"/>
        <v/>
      </c>
      <c r="I1043" s="10" t="str">
        <f t="shared" si="167"/>
        <v/>
      </c>
      <c r="J1043" s="10" t="str">
        <f t="shared" si="169"/>
        <v/>
      </c>
      <c r="K1043" s="11" t="str">
        <f t="shared" si="168"/>
        <v/>
      </c>
      <c r="M1043" t="str">
        <f>IFERROR(MATCH($C$5&amp;"|"&amp;RIGHT("000000"&amp;1027,6),CalcRankKeyA,0),"")</f>
        <v/>
      </c>
      <c r="N1043" t="str">
        <f>IFERROR(MATCH($C$5&amp;"|"&amp;RIGHT("000000"&amp;1027,6),CalcRankKeyB,0),"")</f>
        <v/>
      </c>
    </row>
    <row r="1044" spans="1:14" x14ac:dyDescent="0.2">
      <c r="A1044" s="12">
        <v>1028</v>
      </c>
      <c r="B1044" s="13" t="str">
        <f t="shared" si="160"/>
        <v/>
      </c>
      <c r="C1044" s="13" t="str">
        <f t="shared" si="161"/>
        <v/>
      </c>
      <c r="D1044" s="13" t="str">
        <f t="shared" si="162"/>
        <v/>
      </c>
      <c r="E1044" s="14" t="str">
        <f t="shared" si="163"/>
        <v/>
      </c>
      <c r="F1044" s="14" t="str">
        <f t="shared" si="164"/>
        <v/>
      </c>
      <c r="G1044" s="14" t="str">
        <f t="shared" si="165"/>
        <v/>
      </c>
      <c r="H1044" s="14" t="str">
        <f t="shared" si="166"/>
        <v/>
      </c>
      <c r="I1044" s="15" t="str">
        <f t="shared" si="167"/>
        <v/>
      </c>
      <c r="J1044" s="15" t="str">
        <f t="shared" si="169"/>
        <v/>
      </c>
      <c r="K1044" s="16" t="str">
        <f t="shared" si="168"/>
        <v/>
      </c>
      <c r="M1044" t="str">
        <f>IFERROR(MATCH($C$5&amp;"|"&amp;RIGHT("000000"&amp;1028,6),CalcRankKeyA,0),"")</f>
        <v/>
      </c>
      <c r="N1044" t="str">
        <f>IFERROR(MATCH($C$5&amp;"|"&amp;RIGHT("000000"&amp;1028,6),CalcRankKeyB,0),"")</f>
        <v/>
      </c>
    </row>
    <row r="1045" spans="1:14" x14ac:dyDescent="0.2">
      <c r="A1045" s="7">
        <v>1029</v>
      </c>
      <c r="B1045" s="8" t="str">
        <f t="shared" si="160"/>
        <v/>
      </c>
      <c r="C1045" s="8" t="str">
        <f t="shared" si="161"/>
        <v/>
      </c>
      <c r="D1045" s="8" t="str">
        <f t="shared" si="162"/>
        <v/>
      </c>
      <c r="E1045" s="9" t="str">
        <f t="shared" si="163"/>
        <v/>
      </c>
      <c r="F1045" s="9" t="str">
        <f t="shared" si="164"/>
        <v/>
      </c>
      <c r="G1045" s="9" t="str">
        <f t="shared" si="165"/>
        <v/>
      </c>
      <c r="H1045" s="9" t="str">
        <f t="shared" si="166"/>
        <v/>
      </c>
      <c r="I1045" s="10" t="str">
        <f t="shared" si="167"/>
        <v/>
      </c>
      <c r="J1045" s="10" t="str">
        <f t="shared" si="169"/>
        <v/>
      </c>
      <c r="K1045" s="11" t="str">
        <f t="shared" si="168"/>
        <v/>
      </c>
      <c r="M1045" t="str">
        <f>IFERROR(MATCH($C$5&amp;"|"&amp;RIGHT("000000"&amp;1029,6),CalcRankKeyA,0),"")</f>
        <v/>
      </c>
      <c r="N1045" t="str">
        <f>IFERROR(MATCH($C$5&amp;"|"&amp;RIGHT("000000"&amp;1029,6),CalcRankKeyB,0),"")</f>
        <v/>
      </c>
    </row>
    <row r="1046" spans="1:14" x14ac:dyDescent="0.2">
      <c r="A1046" s="12">
        <v>1030</v>
      </c>
      <c r="B1046" s="13" t="str">
        <f t="shared" si="160"/>
        <v/>
      </c>
      <c r="C1046" s="13" t="str">
        <f t="shared" si="161"/>
        <v/>
      </c>
      <c r="D1046" s="13" t="str">
        <f t="shared" si="162"/>
        <v/>
      </c>
      <c r="E1046" s="14" t="str">
        <f t="shared" si="163"/>
        <v/>
      </c>
      <c r="F1046" s="14" t="str">
        <f t="shared" si="164"/>
        <v/>
      </c>
      <c r="G1046" s="14" t="str">
        <f t="shared" si="165"/>
        <v/>
      </c>
      <c r="H1046" s="14" t="str">
        <f t="shared" si="166"/>
        <v/>
      </c>
      <c r="I1046" s="15" t="str">
        <f t="shared" si="167"/>
        <v/>
      </c>
      <c r="J1046" s="15" t="str">
        <f t="shared" si="169"/>
        <v/>
      </c>
      <c r="K1046" s="16" t="str">
        <f t="shared" si="168"/>
        <v/>
      </c>
      <c r="M1046" t="str">
        <f>IFERROR(MATCH($C$5&amp;"|"&amp;RIGHT("000000"&amp;1030,6),CalcRankKeyA,0),"")</f>
        <v/>
      </c>
      <c r="N1046" t="str">
        <f>IFERROR(MATCH($C$5&amp;"|"&amp;RIGHT("000000"&amp;1030,6),CalcRankKeyB,0),"")</f>
        <v/>
      </c>
    </row>
    <row r="1047" spans="1:14" x14ac:dyDescent="0.2">
      <c r="A1047" s="7">
        <v>1031</v>
      </c>
      <c r="B1047" s="8" t="str">
        <f t="shared" si="160"/>
        <v/>
      </c>
      <c r="C1047" s="8" t="str">
        <f t="shared" si="161"/>
        <v/>
      </c>
      <c r="D1047" s="8" t="str">
        <f t="shared" si="162"/>
        <v/>
      </c>
      <c r="E1047" s="9" t="str">
        <f t="shared" si="163"/>
        <v/>
      </c>
      <c r="F1047" s="9" t="str">
        <f t="shared" si="164"/>
        <v/>
      </c>
      <c r="G1047" s="9" t="str">
        <f t="shared" si="165"/>
        <v/>
      </c>
      <c r="H1047" s="9" t="str">
        <f t="shared" si="166"/>
        <v/>
      </c>
      <c r="I1047" s="10" t="str">
        <f t="shared" si="167"/>
        <v/>
      </c>
      <c r="J1047" s="10" t="str">
        <f t="shared" si="169"/>
        <v/>
      </c>
      <c r="K1047" s="11" t="str">
        <f t="shared" si="168"/>
        <v/>
      </c>
      <c r="M1047" t="str">
        <f>IFERROR(MATCH($C$5&amp;"|"&amp;RIGHT("000000"&amp;1031,6),CalcRankKeyA,0),"")</f>
        <v/>
      </c>
      <c r="N1047" t="str">
        <f>IFERROR(MATCH($C$5&amp;"|"&amp;RIGHT("000000"&amp;1031,6),CalcRankKeyB,0),"")</f>
        <v/>
      </c>
    </row>
    <row r="1048" spans="1:14" x14ac:dyDescent="0.2">
      <c r="A1048" s="12">
        <v>1032</v>
      </c>
      <c r="B1048" s="13" t="str">
        <f t="shared" si="160"/>
        <v/>
      </c>
      <c r="C1048" s="13" t="str">
        <f t="shared" si="161"/>
        <v/>
      </c>
      <c r="D1048" s="13" t="str">
        <f t="shared" si="162"/>
        <v/>
      </c>
      <c r="E1048" s="14" t="str">
        <f t="shared" si="163"/>
        <v/>
      </c>
      <c r="F1048" s="14" t="str">
        <f t="shared" si="164"/>
        <v/>
      </c>
      <c r="G1048" s="14" t="str">
        <f t="shared" si="165"/>
        <v/>
      </c>
      <c r="H1048" s="14" t="str">
        <f t="shared" si="166"/>
        <v/>
      </c>
      <c r="I1048" s="15" t="str">
        <f t="shared" si="167"/>
        <v/>
      </c>
      <c r="J1048" s="15" t="str">
        <f t="shared" si="169"/>
        <v/>
      </c>
      <c r="K1048" s="16" t="str">
        <f t="shared" si="168"/>
        <v/>
      </c>
      <c r="M1048" t="str">
        <f>IFERROR(MATCH($C$5&amp;"|"&amp;RIGHT("000000"&amp;1032,6),CalcRankKeyA,0),"")</f>
        <v/>
      </c>
      <c r="N1048" t="str">
        <f>IFERROR(MATCH($C$5&amp;"|"&amp;RIGHT("000000"&amp;1032,6),CalcRankKeyB,0),"")</f>
        <v/>
      </c>
    </row>
    <row r="1049" spans="1:14" x14ac:dyDescent="0.2">
      <c r="A1049" s="7">
        <v>1033</v>
      </c>
      <c r="B1049" s="8" t="str">
        <f t="shared" si="160"/>
        <v/>
      </c>
      <c r="C1049" s="8" t="str">
        <f t="shared" si="161"/>
        <v/>
      </c>
      <c r="D1049" s="8" t="str">
        <f t="shared" si="162"/>
        <v/>
      </c>
      <c r="E1049" s="9" t="str">
        <f t="shared" si="163"/>
        <v/>
      </c>
      <c r="F1049" s="9" t="str">
        <f t="shared" si="164"/>
        <v/>
      </c>
      <c r="G1049" s="9" t="str">
        <f t="shared" si="165"/>
        <v/>
      </c>
      <c r="H1049" s="9" t="str">
        <f t="shared" si="166"/>
        <v/>
      </c>
      <c r="I1049" s="10" t="str">
        <f t="shared" si="167"/>
        <v/>
      </c>
      <c r="J1049" s="10" t="str">
        <f t="shared" si="169"/>
        <v/>
      </c>
      <c r="K1049" s="11" t="str">
        <f t="shared" si="168"/>
        <v/>
      </c>
      <c r="M1049" t="str">
        <f>IFERROR(MATCH($C$5&amp;"|"&amp;RIGHT("000000"&amp;1033,6),CalcRankKeyA,0),"")</f>
        <v/>
      </c>
      <c r="N1049" t="str">
        <f>IFERROR(MATCH($C$5&amp;"|"&amp;RIGHT("000000"&amp;1033,6),CalcRankKeyB,0),"")</f>
        <v/>
      </c>
    </row>
    <row r="1050" spans="1:14" x14ac:dyDescent="0.2">
      <c r="A1050" s="12">
        <v>1034</v>
      </c>
      <c r="B1050" s="13" t="str">
        <f t="shared" si="160"/>
        <v/>
      </c>
      <c r="C1050" s="13" t="str">
        <f t="shared" si="161"/>
        <v/>
      </c>
      <c r="D1050" s="13" t="str">
        <f t="shared" si="162"/>
        <v/>
      </c>
      <c r="E1050" s="14" t="str">
        <f t="shared" si="163"/>
        <v/>
      </c>
      <c r="F1050" s="14" t="str">
        <f t="shared" si="164"/>
        <v/>
      </c>
      <c r="G1050" s="14" t="str">
        <f t="shared" si="165"/>
        <v/>
      </c>
      <c r="H1050" s="14" t="str">
        <f t="shared" si="166"/>
        <v/>
      </c>
      <c r="I1050" s="15" t="str">
        <f t="shared" si="167"/>
        <v/>
      </c>
      <c r="J1050" s="15" t="str">
        <f t="shared" si="169"/>
        <v/>
      </c>
      <c r="K1050" s="16" t="str">
        <f t="shared" si="168"/>
        <v/>
      </c>
      <c r="M1050" t="str">
        <f>IFERROR(MATCH($C$5&amp;"|"&amp;RIGHT("000000"&amp;1034,6),CalcRankKeyA,0),"")</f>
        <v/>
      </c>
      <c r="N1050" t="str">
        <f>IFERROR(MATCH($C$5&amp;"|"&amp;RIGHT("000000"&amp;1034,6),CalcRankKeyB,0),"")</f>
        <v/>
      </c>
    </row>
    <row r="1051" spans="1:14" x14ac:dyDescent="0.2">
      <c r="A1051" s="7">
        <v>1035</v>
      </c>
      <c r="B1051" s="8" t="str">
        <f t="shared" si="160"/>
        <v/>
      </c>
      <c r="C1051" s="8" t="str">
        <f t="shared" si="161"/>
        <v/>
      </c>
      <c r="D1051" s="8" t="str">
        <f t="shared" si="162"/>
        <v/>
      </c>
      <c r="E1051" s="9" t="str">
        <f t="shared" si="163"/>
        <v/>
      </c>
      <c r="F1051" s="9" t="str">
        <f t="shared" si="164"/>
        <v/>
      </c>
      <c r="G1051" s="9" t="str">
        <f t="shared" si="165"/>
        <v/>
      </c>
      <c r="H1051" s="9" t="str">
        <f t="shared" si="166"/>
        <v/>
      </c>
      <c r="I1051" s="10" t="str">
        <f t="shared" si="167"/>
        <v/>
      </c>
      <c r="J1051" s="10" t="str">
        <f t="shared" si="169"/>
        <v/>
      </c>
      <c r="K1051" s="11" t="str">
        <f t="shared" si="168"/>
        <v/>
      </c>
      <c r="M1051" t="str">
        <f>IFERROR(MATCH($C$5&amp;"|"&amp;RIGHT("000000"&amp;1035,6),CalcRankKeyA,0),"")</f>
        <v/>
      </c>
      <c r="N1051" t="str">
        <f>IFERROR(MATCH($C$5&amp;"|"&amp;RIGHT("000000"&amp;1035,6),CalcRankKeyB,0),"")</f>
        <v/>
      </c>
    </row>
    <row r="1052" spans="1:14" x14ac:dyDescent="0.2">
      <c r="A1052" s="12">
        <v>1036</v>
      </c>
      <c r="B1052" s="13" t="str">
        <f t="shared" si="160"/>
        <v/>
      </c>
      <c r="C1052" s="13" t="str">
        <f t="shared" si="161"/>
        <v/>
      </c>
      <c r="D1052" s="13" t="str">
        <f t="shared" si="162"/>
        <v/>
      </c>
      <c r="E1052" s="14" t="str">
        <f t="shared" si="163"/>
        <v/>
      </c>
      <c r="F1052" s="14" t="str">
        <f t="shared" si="164"/>
        <v/>
      </c>
      <c r="G1052" s="14" t="str">
        <f t="shared" si="165"/>
        <v/>
      </c>
      <c r="H1052" s="14" t="str">
        <f t="shared" si="166"/>
        <v/>
      </c>
      <c r="I1052" s="15" t="str">
        <f t="shared" si="167"/>
        <v/>
      </c>
      <c r="J1052" s="15" t="str">
        <f t="shared" si="169"/>
        <v/>
      </c>
      <c r="K1052" s="16" t="str">
        <f t="shared" si="168"/>
        <v/>
      </c>
      <c r="M1052" t="str">
        <f>IFERROR(MATCH($C$5&amp;"|"&amp;RIGHT("000000"&amp;1036,6),CalcRankKeyA,0),"")</f>
        <v/>
      </c>
      <c r="N1052" t="str">
        <f>IFERROR(MATCH($C$5&amp;"|"&amp;RIGHT("000000"&amp;1036,6),CalcRankKeyB,0),"")</f>
        <v/>
      </c>
    </row>
    <row r="1053" spans="1:14" x14ac:dyDescent="0.2">
      <c r="A1053" s="7">
        <v>1037</v>
      </c>
      <c r="B1053" s="8" t="str">
        <f t="shared" si="160"/>
        <v/>
      </c>
      <c r="C1053" s="8" t="str">
        <f t="shared" si="161"/>
        <v/>
      </c>
      <c r="D1053" s="8" t="str">
        <f t="shared" si="162"/>
        <v/>
      </c>
      <c r="E1053" s="9" t="str">
        <f t="shared" si="163"/>
        <v/>
      </c>
      <c r="F1053" s="9" t="str">
        <f t="shared" si="164"/>
        <v/>
      </c>
      <c r="G1053" s="9" t="str">
        <f t="shared" si="165"/>
        <v/>
      </c>
      <c r="H1053" s="9" t="str">
        <f t="shared" si="166"/>
        <v/>
      </c>
      <c r="I1053" s="10" t="str">
        <f t="shared" si="167"/>
        <v/>
      </c>
      <c r="J1053" s="10" t="str">
        <f t="shared" si="169"/>
        <v/>
      </c>
      <c r="K1053" s="11" t="str">
        <f t="shared" si="168"/>
        <v/>
      </c>
      <c r="M1053" t="str">
        <f>IFERROR(MATCH($C$5&amp;"|"&amp;RIGHT("000000"&amp;1037,6),CalcRankKeyA,0),"")</f>
        <v/>
      </c>
      <c r="N1053" t="str">
        <f>IFERROR(MATCH($C$5&amp;"|"&amp;RIGHT("000000"&amp;1037,6),CalcRankKeyB,0),"")</f>
        <v/>
      </c>
    </row>
    <row r="1054" spans="1:14" x14ac:dyDescent="0.2">
      <c r="A1054" s="12">
        <v>1038</v>
      </c>
      <c r="B1054" s="13" t="str">
        <f t="shared" si="160"/>
        <v/>
      </c>
      <c r="C1054" s="13" t="str">
        <f t="shared" si="161"/>
        <v/>
      </c>
      <c r="D1054" s="13" t="str">
        <f t="shared" si="162"/>
        <v/>
      </c>
      <c r="E1054" s="14" t="str">
        <f t="shared" si="163"/>
        <v/>
      </c>
      <c r="F1054" s="14" t="str">
        <f t="shared" si="164"/>
        <v/>
      </c>
      <c r="G1054" s="14" t="str">
        <f t="shared" si="165"/>
        <v/>
      </c>
      <c r="H1054" s="14" t="str">
        <f t="shared" si="166"/>
        <v/>
      </c>
      <c r="I1054" s="15" t="str">
        <f t="shared" si="167"/>
        <v/>
      </c>
      <c r="J1054" s="15" t="str">
        <f t="shared" si="169"/>
        <v/>
      </c>
      <c r="K1054" s="16" t="str">
        <f t="shared" si="168"/>
        <v/>
      </c>
      <c r="M1054" t="str">
        <f>IFERROR(MATCH($C$5&amp;"|"&amp;RIGHT("000000"&amp;1038,6),CalcRankKeyA,0),"")</f>
        <v/>
      </c>
      <c r="N1054" t="str">
        <f>IFERROR(MATCH($C$5&amp;"|"&amp;RIGHT("000000"&amp;1038,6),CalcRankKeyB,0),"")</f>
        <v/>
      </c>
    </row>
    <row r="1055" spans="1:14" x14ac:dyDescent="0.2">
      <c r="A1055" s="7">
        <v>1039</v>
      </c>
      <c r="B1055" s="8" t="str">
        <f t="shared" si="160"/>
        <v/>
      </c>
      <c r="C1055" s="8" t="str">
        <f t="shared" si="161"/>
        <v/>
      </c>
      <c r="D1055" s="8" t="str">
        <f t="shared" si="162"/>
        <v/>
      </c>
      <c r="E1055" s="9" t="str">
        <f t="shared" si="163"/>
        <v/>
      </c>
      <c r="F1055" s="9" t="str">
        <f t="shared" si="164"/>
        <v/>
      </c>
      <c r="G1055" s="9" t="str">
        <f t="shared" si="165"/>
        <v/>
      </c>
      <c r="H1055" s="9" t="str">
        <f t="shared" si="166"/>
        <v/>
      </c>
      <c r="I1055" s="10" t="str">
        <f t="shared" si="167"/>
        <v/>
      </c>
      <c r="J1055" s="10" t="str">
        <f t="shared" si="169"/>
        <v/>
      </c>
      <c r="K1055" s="11" t="str">
        <f t="shared" si="168"/>
        <v/>
      </c>
      <c r="M1055" t="str">
        <f>IFERROR(MATCH($C$5&amp;"|"&amp;RIGHT("000000"&amp;1039,6),CalcRankKeyA,0),"")</f>
        <v/>
      </c>
      <c r="N1055" t="str">
        <f>IFERROR(MATCH($C$5&amp;"|"&amp;RIGHT("000000"&amp;1039,6),CalcRankKeyB,0),"")</f>
        <v/>
      </c>
    </row>
    <row r="1056" spans="1:14" x14ac:dyDescent="0.2">
      <c r="A1056" s="12">
        <v>1040</v>
      </c>
      <c r="B1056" s="13" t="str">
        <f t="shared" si="160"/>
        <v/>
      </c>
      <c r="C1056" s="13" t="str">
        <f t="shared" si="161"/>
        <v/>
      </c>
      <c r="D1056" s="13" t="str">
        <f t="shared" si="162"/>
        <v/>
      </c>
      <c r="E1056" s="14" t="str">
        <f t="shared" si="163"/>
        <v/>
      </c>
      <c r="F1056" s="14" t="str">
        <f t="shared" si="164"/>
        <v/>
      </c>
      <c r="G1056" s="14" t="str">
        <f t="shared" si="165"/>
        <v/>
      </c>
      <c r="H1056" s="14" t="str">
        <f t="shared" si="166"/>
        <v/>
      </c>
      <c r="I1056" s="15" t="str">
        <f t="shared" si="167"/>
        <v/>
      </c>
      <c r="J1056" s="15" t="str">
        <f t="shared" si="169"/>
        <v/>
      </c>
      <c r="K1056" s="16" t="str">
        <f t="shared" si="168"/>
        <v/>
      </c>
      <c r="M1056" t="str">
        <f>IFERROR(MATCH($C$5&amp;"|"&amp;RIGHT("000000"&amp;1040,6),CalcRankKeyA,0),"")</f>
        <v/>
      </c>
      <c r="N1056" t="str">
        <f>IFERROR(MATCH($C$5&amp;"|"&amp;RIGHT("000000"&amp;1040,6),CalcRankKeyB,0),"")</f>
        <v/>
      </c>
    </row>
    <row r="1057" spans="1:14" x14ac:dyDescent="0.2">
      <c r="A1057" s="7">
        <v>1041</v>
      </c>
      <c r="B1057" s="8" t="str">
        <f t="shared" si="160"/>
        <v/>
      </c>
      <c r="C1057" s="8" t="str">
        <f t="shared" si="161"/>
        <v/>
      </c>
      <c r="D1057" s="8" t="str">
        <f t="shared" si="162"/>
        <v/>
      </c>
      <c r="E1057" s="9" t="str">
        <f t="shared" si="163"/>
        <v/>
      </c>
      <c r="F1057" s="9" t="str">
        <f t="shared" si="164"/>
        <v/>
      </c>
      <c r="G1057" s="9" t="str">
        <f t="shared" si="165"/>
        <v/>
      </c>
      <c r="H1057" s="9" t="str">
        <f t="shared" si="166"/>
        <v/>
      </c>
      <c r="I1057" s="10" t="str">
        <f t="shared" si="167"/>
        <v/>
      </c>
      <c r="J1057" s="10" t="str">
        <f t="shared" si="169"/>
        <v/>
      </c>
      <c r="K1057" s="11" t="str">
        <f t="shared" si="168"/>
        <v/>
      </c>
      <c r="M1057" t="str">
        <f>IFERROR(MATCH($C$5&amp;"|"&amp;RIGHT("000000"&amp;1041,6),CalcRankKeyA,0),"")</f>
        <v/>
      </c>
      <c r="N1057" t="str">
        <f>IFERROR(MATCH($C$5&amp;"|"&amp;RIGHT("000000"&amp;1041,6),CalcRankKeyB,0),"")</f>
        <v/>
      </c>
    </row>
    <row r="1058" spans="1:14" x14ac:dyDescent="0.2">
      <c r="A1058" s="12">
        <v>1042</v>
      </c>
      <c r="B1058" s="13" t="str">
        <f t="shared" si="160"/>
        <v/>
      </c>
      <c r="C1058" s="13" t="str">
        <f t="shared" si="161"/>
        <v/>
      </c>
      <c r="D1058" s="13" t="str">
        <f t="shared" si="162"/>
        <v/>
      </c>
      <c r="E1058" s="14" t="str">
        <f t="shared" si="163"/>
        <v/>
      </c>
      <c r="F1058" s="14" t="str">
        <f t="shared" si="164"/>
        <v/>
      </c>
      <c r="G1058" s="14" t="str">
        <f t="shared" si="165"/>
        <v/>
      </c>
      <c r="H1058" s="14" t="str">
        <f t="shared" si="166"/>
        <v/>
      </c>
      <c r="I1058" s="15" t="str">
        <f t="shared" si="167"/>
        <v/>
      </c>
      <c r="J1058" s="15" t="str">
        <f t="shared" si="169"/>
        <v/>
      </c>
      <c r="K1058" s="16" t="str">
        <f t="shared" si="168"/>
        <v/>
      </c>
      <c r="M1058" t="str">
        <f>IFERROR(MATCH($C$5&amp;"|"&amp;RIGHT("000000"&amp;1042,6),CalcRankKeyA,0),"")</f>
        <v/>
      </c>
      <c r="N1058" t="str">
        <f>IFERROR(MATCH($C$5&amp;"|"&amp;RIGHT("000000"&amp;1042,6),CalcRankKeyB,0),"")</f>
        <v/>
      </c>
    </row>
    <row r="1059" spans="1:14" x14ac:dyDescent="0.2">
      <c r="A1059" s="7">
        <v>1043</v>
      </c>
      <c r="B1059" s="8" t="str">
        <f t="shared" si="160"/>
        <v/>
      </c>
      <c r="C1059" s="8" t="str">
        <f t="shared" si="161"/>
        <v/>
      </c>
      <c r="D1059" s="8" t="str">
        <f t="shared" si="162"/>
        <v/>
      </c>
      <c r="E1059" s="9" t="str">
        <f t="shared" si="163"/>
        <v/>
      </c>
      <c r="F1059" s="9" t="str">
        <f t="shared" si="164"/>
        <v/>
      </c>
      <c r="G1059" s="9" t="str">
        <f t="shared" si="165"/>
        <v/>
      </c>
      <c r="H1059" s="9" t="str">
        <f t="shared" si="166"/>
        <v/>
      </c>
      <c r="I1059" s="10" t="str">
        <f t="shared" si="167"/>
        <v/>
      </c>
      <c r="J1059" s="10" t="str">
        <f t="shared" si="169"/>
        <v/>
      </c>
      <c r="K1059" s="11" t="str">
        <f t="shared" si="168"/>
        <v/>
      </c>
      <c r="M1059" t="str">
        <f>IFERROR(MATCH($C$5&amp;"|"&amp;RIGHT("000000"&amp;1043,6),CalcRankKeyA,0),"")</f>
        <v/>
      </c>
      <c r="N1059" t="str">
        <f>IFERROR(MATCH($C$5&amp;"|"&amp;RIGHT("000000"&amp;1043,6),CalcRankKeyB,0),"")</f>
        <v/>
      </c>
    </row>
    <row r="1060" spans="1:14" x14ac:dyDescent="0.2">
      <c r="A1060" s="12">
        <v>1044</v>
      </c>
      <c r="B1060" s="13" t="str">
        <f t="shared" si="160"/>
        <v/>
      </c>
      <c r="C1060" s="13" t="str">
        <f t="shared" si="161"/>
        <v/>
      </c>
      <c r="D1060" s="13" t="str">
        <f t="shared" si="162"/>
        <v/>
      </c>
      <c r="E1060" s="14" t="str">
        <f t="shared" si="163"/>
        <v/>
      </c>
      <c r="F1060" s="14" t="str">
        <f t="shared" si="164"/>
        <v/>
      </c>
      <c r="G1060" s="14" t="str">
        <f t="shared" si="165"/>
        <v/>
      </c>
      <c r="H1060" s="14" t="str">
        <f t="shared" si="166"/>
        <v/>
      </c>
      <c r="I1060" s="15" t="str">
        <f t="shared" si="167"/>
        <v/>
      </c>
      <c r="J1060" s="15" t="str">
        <f t="shared" si="169"/>
        <v/>
      </c>
      <c r="K1060" s="16" t="str">
        <f t="shared" si="168"/>
        <v/>
      </c>
      <c r="M1060" t="str">
        <f>IFERROR(MATCH($C$5&amp;"|"&amp;RIGHT("000000"&amp;1044,6),CalcRankKeyA,0),"")</f>
        <v/>
      </c>
      <c r="N1060" t="str">
        <f>IFERROR(MATCH($C$5&amp;"|"&amp;RIGHT("000000"&amp;1044,6),CalcRankKeyB,0),"")</f>
        <v/>
      </c>
    </row>
    <row r="1061" spans="1:14" x14ac:dyDescent="0.2">
      <c r="A1061" s="7">
        <v>1045</v>
      </c>
      <c r="B1061" s="8" t="str">
        <f t="shared" si="160"/>
        <v/>
      </c>
      <c r="C1061" s="8" t="str">
        <f t="shared" si="161"/>
        <v/>
      </c>
      <c r="D1061" s="8" t="str">
        <f t="shared" si="162"/>
        <v/>
      </c>
      <c r="E1061" s="9" t="str">
        <f t="shared" si="163"/>
        <v/>
      </c>
      <c r="F1061" s="9" t="str">
        <f t="shared" si="164"/>
        <v/>
      </c>
      <c r="G1061" s="9" t="str">
        <f t="shared" si="165"/>
        <v/>
      </c>
      <c r="H1061" s="9" t="str">
        <f t="shared" si="166"/>
        <v/>
      </c>
      <c r="I1061" s="10" t="str">
        <f t="shared" si="167"/>
        <v/>
      </c>
      <c r="J1061" s="10" t="str">
        <f t="shared" si="169"/>
        <v/>
      </c>
      <c r="K1061" s="11" t="str">
        <f t="shared" si="168"/>
        <v/>
      </c>
      <c r="M1061" t="str">
        <f>IFERROR(MATCH($C$5&amp;"|"&amp;RIGHT("000000"&amp;1045,6),CalcRankKeyA,0),"")</f>
        <v/>
      </c>
      <c r="N1061" t="str">
        <f>IFERROR(MATCH($C$5&amp;"|"&amp;RIGHT("000000"&amp;1045,6),CalcRankKeyB,0),"")</f>
        <v/>
      </c>
    </row>
    <row r="1062" spans="1:14" x14ac:dyDescent="0.2">
      <c r="A1062" s="12">
        <v>1046</v>
      </c>
      <c r="B1062" s="13" t="str">
        <f t="shared" si="160"/>
        <v/>
      </c>
      <c r="C1062" s="13" t="str">
        <f t="shared" si="161"/>
        <v/>
      </c>
      <c r="D1062" s="13" t="str">
        <f t="shared" si="162"/>
        <v/>
      </c>
      <c r="E1062" s="14" t="str">
        <f t="shared" si="163"/>
        <v/>
      </c>
      <c r="F1062" s="14" t="str">
        <f t="shared" si="164"/>
        <v/>
      </c>
      <c r="G1062" s="14" t="str">
        <f t="shared" si="165"/>
        <v/>
      </c>
      <c r="H1062" s="14" t="str">
        <f t="shared" si="166"/>
        <v/>
      </c>
      <c r="I1062" s="15" t="str">
        <f t="shared" si="167"/>
        <v/>
      </c>
      <c r="J1062" s="15" t="str">
        <f t="shared" si="169"/>
        <v/>
      </c>
      <c r="K1062" s="16" t="str">
        <f t="shared" si="168"/>
        <v/>
      </c>
      <c r="M1062" t="str">
        <f>IFERROR(MATCH($C$5&amp;"|"&amp;RIGHT("000000"&amp;1046,6),CalcRankKeyA,0),"")</f>
        <v/>
      </c>
      <c r="N1062" t="str">
        <f>IFERROR(MATCH($C$5&amp;"|"&amp;RIGHT("000000"&amp;1046,6),CalcRankKeyB,0),"")</f>
        <v/>
      </c>
    </row>
    <row r="1063" spans="1:14" x14ac:dyDescent="0.2">
      <c r="A1063" s="7">
        <v>1047</v>
      </c>
      <c r="B1063" s="8" t="str">
        <f t="shared" si="160"/>
        <v/>
      </c>
      <c r="C1063" s="8" t="str">
        <f t="shared" si="161"/>
        <v/>
      </c>
      <c r="D1063" s="8" t="str">
        <f t="shared" si="162"/>
        <v/>
      </c>
      <c r="E1063" s="9" t="str">
        <f t="shared" si="163"/>
        <v/>
      </c>
      <c r="F1063" s="9" t="str">
        <f t="shared" si="164"/>
        <v/>
      </c>
      <c r="G1063" s="9" t="str">
        <f t="shared" si="165"/>
        <v/>
      </c>
      <c r="H1063" s="9" t="str">
        <f t="shared" si="166"/>
        <v/>
      </c>
      <c r="I1063" s="10" t="str">
        <f t="shared" si="167"/>
        <v/>
      </c>
      <c r="J1063" s="10" t="str">
        <f t="shared" si="169"/>
        <v/>
      </c>
      <c r="K1063" s="11" t="str">
        <f t="shared" si="168"/>
        <v/>
      </c>
      <c r="M1063" t="str">
        <f>IFERROR(MATCH($C$5&amp;"|"&amp;RIGHT("000000"&amp;1047,6),CalcRankKeyA,0),"")</f>
        <v/>
      </c>
      <c r="N1063" t="str">
        <f>IFERROR(MATCH($C$5&amp;"|"&amp;RIGHT("000000"&amp;1047,6),CalcRankKeyB,0),"")</f>
        <v/>
      </c>
    </row>
    <row r="1064" spans="1:14" x14ac:dyDescent="0.2">
      <c r="A1064" s="12">
        <v>1048</v>
      </c>
      <c r="B1064" s="13" t="str">
        <f t="shared" si="160"/>
        <v/>
      </c>
      <c r="C1064" s="13" t="str">
        <f t="shared" si="161"/>
        <v/>
      </c>
      <c r="D1064" s="13" t="str">
        <f t="shared" si="162"/>
        <v/>
      </c>
      <c r="E1064" s="14" t="str">
        <f t="shared" si="163"/>
        <v/>
      </c>
      <c r="F1064" s="14" t="str">
        <f t="shared" si="164"/>
        <v/>
      </c>
      <c r="G1064" s="14" t="str">
        <f t="shared" si="165"/>
        <v/>
      </c>
      <c r="H1064" s="14" t="str">
        <f t="shared" si="166"/>
        <v/>
      </c>
      <c r="I1064" s="15" t="str">
        <f t="shared" si="167"/>
        <v/>
      </c>
      <c r="J1064" s="15" t="str">
        <f t="shared" si="169"/>
        <v/>
      </c>
      <c r="K1064" s="16" t="str">
        <f t="shared" si="168"/>
        <v/>
      </c>
      <c r="M1064" t="str">
        <f>IFERROR(MATCH($C$5&amp;"|"&amp;RIGHT("000000"&amp;1048,6),CalcRankKeyA,0),"")</f>
        <v/>
      </c>
      <c r="N1064" t="str">
        <f>IFERROR(MATCH($C$5&amp;"|"&amp;RIGHT("000000"&amp;1048,6),CalcRankKeyB,0),"")</f>
        <v/>
      </c>
    </row>
    <row r="1065" spans="1:14" x14ac:dyDescent="0.2">
      <c r="A1065" s="7">
        <v>1049</v>
      </c>
      <c r="B1065" s="8" t="str">
        <f t="shared" si="160"/>
        <v/>
      </c>
      <c r="C1065" s="8" t="str">
        <f t="shared" si="161"/>
        <v/>
      </c>
      <c r="D1065" s="8" t="str">
        <f t="shared" si="162"/>
        <v/>
      </c>
      <c r="E1065" s="9" t="str">
        <f t="shared" si="163"/>
        <v/>
      </c>
      <c r="F1065" s="9" t="str">
        <f t="shared" si="164"/>
        <v/>
      </c>
      <c r="G1065" s="9" t="str">
        <f t="shared" si="165"/>
        <v/>
      </c>
      <c r="H1065" s="9" t="str">
        <f t="shared" si="166"/>
        <v/>
      </c>
      <c r="I1065" s="10" t="str">
        <f t="shared" si="167"/>
        <v/>
      </c>
      <c r="J1065" s="10" t="str">
        <f t="shared" si="169"/>
        <v/>
      </c>
      <c r="K1065" s="11" t="str">
        <f t="shared" si="168"/>
        <v/>
      </c>
      <c r="M1065" t="str">
        <f>IFERROR(MATCH($C$5&amp;"|"&amp;RIGHT("000000"&amp;1049,6),CalcRankKeyA,0),"")</f>
        <v/>
      </c>
      <c r="N1065" t="str">
        <f>IFERROR(MATCH($C$5&amp;"|"&amp;RIGHT("000000"&amp;1049,6),CalcRankKeyB,0),"")</f>
        <v/>
      </c>
    </row>
    <row r="1066" spans="1:14" x14ac:dyDescent="0.2">
      <c r="A1066" s="12">
        <v>1050</v>
      </c>
      <c r="B1066" s="13" t="str">
        <f t="shared" si="160"/>
        <v/>
      </c>
      <c r="C1066" s="13" t="str">
        <f t="shared" si="161"/>
        <v/>
      </c>
      <c r="D1066" s="13" t="str">
        <f t="shared" si="162"/>
        <v/>
      </c>
      <c r="E1066" s="14" t="str">
        <f t="shared" si="163"/>
        <v/>
      </c>
      <c r="F1066" s="14" t="str">
        <f t="shared" si="164"/>
        <v/>
      </c>
      <c r="G1066" s="14" t="str">
        <f t="shared" si="165"/>
        <v/>
      </c>
      <c r="H1066" s="14" t="str">
        <f t="shared" si="166"/>
        <v/>
      </c>
      <c r="I1066" s="15" t="str">
        <f t="shared" si="167"/>
        <v/>
      </c>
      <c r="J1066" s="15" t="str">
        <f t="shared" si="169"/>
        <v/>
      </c>
      <c r="K1066" s="16" t="str">
        <f t="shared" si="168"/>
        <v/>
      </c>
      <c r="M1066" t="str">
        <f>IFERROR(MATCH($C$5&amp;"|"&amp;RIGHT("000000"&amp;1050,6),CalcRankKeyA,0),"")</f>
        <v/>
      </c>
      <c r="N1066" t="str">
        <f>IFERROR(MATCH($C$5&amp;"|"&amp;RIGHT("000000"&amp;1050,6),CalcRankKeyB,0),"")</f>
        <v/>
      </c>
    </row>
    <row r="1067" spans="1:14" x14ac:dyDescent="0.2">
      <c r="A1067" s="7">
        <v>1051</v>
      </c>
      <c r="B1067" s="8" t="str">
        <f t="shared" si="160"/>
        <v/>
      </c>
      <c r="C1067" s="8" t="str">
        <f t="shared" si="161"/>
        <v/>
      </c>
      <c r="D1067" s="8" t="str">
        <f t="shared" si="162"/>
        <v/>
      </c>
      <c r="E1067" s="9" t="str">
        <f t="shared" si="163"/>
        <v/>
      </c>
      <c r="F1067" s="9" t="str">
        <f t="shared" si="164"/>
        <v/>
      </c>
      <c r="G1067" s="9" t="str">
        <f t="shared" si="165"/>
        <v/>
      </c>
      <c r="H1067" s="9" t="str">
        <f t="shared" si="166"/>
        <v/>
      </c>
      <c r="I1067" s="10" t="str">
        <f t="shared" si="167"/>
        <v/>
      </c>
      <c r="J1067" s="10" t="str">
        <f t="shared" si="169"/>
        <v/>
      </c>
      <c r="K1067" s="11" t="str">
        <f t="shared" si="168"/>
        <v/>
      </c>
      <c r="M1067" t="str">
        <f>IFERROR(MATCH($C$5&amp;"|"&amp;RIGHT("000000"&amp;1051,6),CalcRankKeyA,0),"")</f>
        <v/>
      </c>
      <c r="N1067" t="str">
        <f>IFERROR(MATCH($C$5&amp;"|"&amp;RIGHT("000000"&amp;1051,6),CalcRankKeyB,0),"")</f>
        <v/>
      </c>
    </row>
    <row r="1068" spans="1:14" x14ac:dyDescent="0.2">
      <c r="A1068" s="12">
        <v>1052</v>
      </c>
      <c r="B1068" s="13" t="str">
        <f t="shared" si="160"/>
        <v/>
      </c>
      <c r="C1068" s="13" t="str">
        <f t="shared" si="161"/>
        <v/>
      </c>
      <c r="D1068" s="13" t="str">
        <f t="shared" si="162"/>
        <v/>
      </c>
      <c r="E1068" s="14" t="str">
        <f t="shared" si="163"/>
        <v/>
      </c>
      <c r="F1068" s="14" t="str">
        <f t="shared" si="164"/>
        <v/>
      </c>
      <c r="G1068" s="14" t="str">
        <f t="shared" si="165"/>
        <v/>
      </c>
      <c r="H1068" s="14" t="str">
        <f t="shared" si="166"/>
        <v/>
      </c>
      <c r="I1068" s="15" t="str">
        <f t="shared" si="167"/>
        <v/>
      </c>
      <c r="J1068" s="15" t="str">
        <f t="shared" si="169"/>
        <v/>
      </c>
      <c r="K1068" s="16" t="str">
        <f t="shared" si="168"/>
        <v/>
      </c>
      <c r="M1068" t="str">
        <f>IFERROR(MATCH($C$5&amp;"|"&amp;RIGHT("000000"&amp;1052,6),CalcRankKeyA,0),"")</f>
        <v/>
      </c>
      <c r="N1068" t="str">
        <f>IFERROR(MATCH($C$5&amp;"|"&amp;RIGHT("000000"&amp;1052,6),CalcRankKeyB,0),"")</f>
        <v/>
      </c>
    </row>
    <row r="1069" spans="1:14" x14ac:dyDescent="0.2">
      <c r="A1069" s="7">
        <v>1053</v>
      </c>
      <c r="B1069" s="8" t="str">
        <f t="shared" si="160"/>
        <v/>
      </c>
      <c r="C1069" s="8" t="str">
        <f t="shared" si="161"/>
        <v/>
      </c>
      <c r="D1069" s="8" t="str">
        <f t="shared" si="162"/>
        <v/>
      </c>
      <c r="E1069" s="9" t="str">
        <f t="shared" si="163"/>
        <v/>
      </c>
      <c r="F1069" s="9" t="str">
        <f t="shared" si="164"/>
        <v/>
      </c>
      <c r="G1069" s="9" t="str">
        <f t="shared" si="165"/>
        <v/>
      </c>
      <c r="H1069" s="9" t="str">
        <f t="shared" si="166"/>
        <v/>
      </c>
      <c r="I1069" s="10" t="str">
        <f t="shared" si="167"/>
        <v/>
      </c>
      <c r="J1069" s="10" t="str">
        <f t="shared" si="169"/>
        <v/>
      </c>
      <c r="K1069" s="11" t="str">
        <f t="shared" si="168"/>
        <v/>
      </c>
      <c r="M1069" t="str">
        <f>IFERROR(MATCH($C$5&amp;"|"&amp;RIGHT("000000"&amp;1053,6),CalcRankKeyA,0),"")</f>
        <v/>
      </c>
      <c r="N1069" t="str">
        <f>IFERROR(MATCH($C$5&amp;"|"&amp;RIGHT("000000"&amp;1053,6),CalcRankKeyB,0),"")</f>
        <v/>
      </c>
    </row>
    <row r="1070" spans="1:14" x14ac:dyDescent="0.2">
      <c r="A1070" s="12">
        <v>1054</v>
      </c>
      <c r="B1070" s="13" t="str">
        <f t="shared" si="160"/>
        <v/>
      </c>
      <c r="C1070" s="13" t="str">
        <f t="shared" si="161"/>
        <v/>
      </c>
      <c r="D1070" s="13" t="str">
        <f t="shared" si="162"/>
        <v/>
      </c>
      <c r="E1070" s="14" t="str">
        <f t="shared" si="163"/>
        <v/>
      </c>
      <c r="F1070" s="14" t="str">
        <f t="shared" si="164"/>
        <v/>
      </c>
      <c r="G1070" s="14" t="str">
        <f t="shared" si="165"/>
        <v/>
      </c>
      <c r="H1070" s="14" t="str">
        <f t="shared" si="166"/>
        <v/>
      </c>
      <c r="I1070" s="15" t="str">
        <f t="shared" si="167"/>
        <v/>
      </c>
      <c r="J1070" s="15" t="str">
        <f t="shared" si="169"/>
        <v/>
      </c>
      <c r="K1070" s="16" t="str">
        <f t="shared" si="168"/>
        <v/>
      </c>
      <c r="M1070" t="str">
        <f>IFERROR(MATCH($C$5&amp;"|"&amp;RIGHT("000000"&amp;1054,6),CalcRankKeyA,0),"")</f>
        <v/>
      </c>
      <c r="N1070" t="str">
        <f>IFERROR(MATCH($C$5&amp;"|"&amp;RIGHT("000000"&amp;1054,6),CalcRankKeyB,0),"")</f>
        <v/>
      </c>
    </row>
    <row r="1071" spans="1:14" x14ac:dyDescent="0.2">
      <c r="A1071" s="7">
        <v>1055</v>
      </c>
      <c r="B1071" s="8" t="str">
        <f t="shared" si="160"/>
        <v/>
      </c>
      <c r="C1071" s="8" t="str">
        <f t="shared" si="161"/>
        <v/>
      </c>
      <c r="D1071" s="8" t="str">
        <f t="shared" si="162"/>
        <v/>
      </c>
      <c r="E1071" s="9" t="str">
        <f t="shared" si="163"/>
        <v/>
      </c>
      <c r="F1071" s="9" t="str">
        <f t="shared" si="164"/>
        <v/>
      </c>
      <c r="G1071" s="9" t="str">
        <f t="shared" si="165"/>
        <v/>
      </c>
      <c r="H1071" s="9" t="str">
        <f t="shared" si="166"/>
        <v/>
      </c>
      <c r="I1071" s="10" t="str">
        <f t="shared" si="167"/>
        <v/>
      </c>
      <c r="J1071" s="10" t="str">
        <f t="shared" si="169"/>
        <v/>
      </c>
      <c r="K1071" s="11" t="str">
        <f t="shared" si="168"/>
        <v/>
      </c>
      <c r="M1071" t="str">
        <f>IFERROR(MATCH($C$5&amp;"|"&amp;RIGHT("000000"&amp;1055,6),CalcRankKeyA,0),"")</f>
        <v/>
      </c>
      <c r="N1071" t="str">
        <f>IFERROR(MATCH($C$5&amp;"|"&amp;RIGHT("000000"&amp;1055,6),CalcRankKeyB,0),"")</f>
        <v/>
      </c>
    </row>
    <row r="1072" spans="1:14" x14ac:dyDescent="0.2">
      <c r="A1072" s="12">
        <v>1056</v>
      </c>
      <c r="B1072" s="13" t="str">
        <f t="shared" si="160"/>
        <v/>
      </c>
      <c r="C1072" s="13" t="str">
        <f t="shared" si="161"/>
        <v/>
      </c>
      <c r="D1072" s="13" t="str">
        <f t="shared" si="162"/>
        <v/>
      </c>
      <c r="E1072" s="14" t="str">
        <f t="shared" si="163"/>
        <v/>
      </c>
      <c r="F1072" s="14" t="str">
        <f t="shared" si="164"/>
        <v/>
      </c>
      <c r="G1072" s="14" t="str">
        <f t="shared" si="165"/>
        <v/>
      </c>
      <c r="H1072" s="14" t="str">
        <f t="shared" si="166"/>
        <v/>
      </c>
      <c r="I1072" s="15" t="str">
        <f t="shared" si="167"/>
        <v/>
      </c>
      <c r="J1072" s="15" t="str">
        <f t="shared" si="169"/>
        <v/>
      </c>
      <c r="K1072" s="16" t="str">
        <f t="shared" si="168"/>
        <v/>
      </c>
      <c r="M1072" t="str">
        <f>IFERROR(MATCH($C$5&amp;"|"&amp;RIGHT("000000"&amp;1056,6),CalcRankKeyA,0),"")</f>
        <v/>
      </c>
      <c r="N1072" t="str">
        <f>IFERROR(MATCH($C$5&amp;"|"&amp;RIGHT("000000"&amp;1056,6),CalcRankKeyB,0),"")</f>
        <v/>
      </c>
    </row>
    <row r="1073" spans="1:14" x14ac:dyDescent="0.2">
      <c r="A1073" s="7">
        <v>1057</v>
      </c>
      <c r="B1073" s="8" t="str">
        <f t="shared" si="160"/>
        <v/>
      </c>
      <c r="C1073" s="8" t="str">
        <f t="shared" si="161"/>
        <v/>
      </c>
      <c r="D1073" s="8" t="str">
        <f t="shared" si="162"/>
        <v/>
      </c>
      <c r="E1073" s="9" t="str">
        <f t="shared" si="163"/>
        <v/>
      </c>
      <c r="F1073" s="9" t="str">
        <f t="shared" si="164"/>
        <v/>
      </c>
      <c r="G1073" s="9" t="str">
        <f t="shared" si="165"/>
        <v/>
      </c>
      <c r="H1073" s="9" t="str">
        <f t="shared" si="166"/>
        <v/>
      </c>
      <c r="I1073" s="10" t="str">
        <f t="shared" si="167"/>
        <v/>
      </c>
      <c r="J1073" s="10" t="str">
        <f t="shared" si="169"/>
        <v/>
      </c>
      <c r="K1073" s="11" t="str">
        <f t="shared" si="168"/>
        <v/>
      </c>
      <c r="M1073" t="str">
        <f>IFERROR(MATCH($C$5&amp;"|"&amp;RIGHT("000000"&amp;1057,6),CalcRankKeyA,0),"")</f>
        <v/>
      </c>
      <c r="N1073" t="str">
        <f>IFERROR(MATCH($C$5&amp;"|"&amp;RIGHT("000000"&amp;1057,6),CalcRankKeyB,0),"")</f>
        <v/>
      </c>
    </row>
    <row r="1074" spans="1:14" x14ac:dyDescent="0.2">
      <c r="A1074" s="12">
        <v>1058</v>
      </c>
      <c r="B1074" s="13" t="str">
        <f t="shared" si="160"/>
        <v/>
      </c>
      <c r="C1074" s="13" t="str">
        <f t="shared" si="161"/>
        <v/>
      </c>
      <c r="D1074" s="13" t="str">
        <f t="shared" si="162"/>
        <v/>
      </c>
      <c r="E1074" s="14" t="str">
        <f t="shared" si="163"/>
        <v/>
      </c>
      <c r="F1074" s="14" t="str">
        <f t="shared" si="164"/>
        <v/>
      </c>
      <c r="G1074" s="14" t="str">
        <f t="shared" si="165"/>
        <v/>
      </c>
      <c r="H1074" s="14" t="str">
        <f t="shared" si="166"/>
        <v/>
      </c>
      <c r="I1074" s="15" t="str">
        <f t="shared" si="167"/>
        <v/>
      </c>
      <c r="J1074" s="15" t="str">
        <f t="shared" si="169"/>
        <v/>
      </c>
      <c r="K1074" s="16" t="str">
        <f t="shared" si="168"/>
        <v/>
      </c>
      <c r="M1074" t="str">
        <f>IFERROR(MATCH($C$5&amp;"|"&amp;RIGHT("000000"&amp;1058,6),CalcRankKeyA,0),"")</f>
        <v/>
      </c>
      <c r="N1074" t="str">
        <f>IFERROR(MATCH($C$5&amp;"|"&amp;RIGHT("000000"&amp;1058,6),CalcRankKeyB,0),"")</f>
        <v/>
      </c>
    </row>
    <row r="1075" spans="1:14" x14ac:dyDescent="0.2">
      <c r="A1075" s="7">
        <v>1059</v>
      </c>
      <c r="B1075" s="8" t="str">
        <f t="shared" si="160"/>
        <v/>
      </c>
      <c r="C1075" s="8" t="str">
        <f t="shared" si="161"/>
        <v/>
      </c>
      <c r="D1075" s="8" t="str">
        <f t="shared" si="162"/>
        <v/>
      </c>
      <c r="E1075" s="9" t="str">
        <f t="shared" si="163"/>
        <v/>
      </c>
      <c r="F1075" s="9" t="str">
        <f t="shared" si="164"/>
        <v/>
      </c>
      <c r="G1075" s="9" t="str">
        <f t="shared" si="165"/>
        <v/>
      </c>
      <c r="H1075" s="9" t="str">
        <f t="shared" si="166"/>
        <v/>
      </c>
      <c r="I1075" s="10" t="str">
        <f t="shared" si="167"/>
        <v/>
      </c>
      <c r="J1075" s="10" t="str">
        <f t="shared" si="169"/>
        <v/>
      </c>
      <c r="K1075" s="11" t="str">
        <f t="shared" si="168"/>
        <v/>
      </c>
      <c r="M1075" t="str">
        <f>IFERROR(MATCH($C$5&amp;"|"&amp;RIGHT("000000"&amp;1059,6),CalcRankKeyA,0),"")</f>
        <v/>
      </c>
      <c r="N1075" t="str">
        <f>IFERROR(MATCH($C$5&amp;"|"&amp;RIGHT("000000"&amp;1059,6),CalcRankKeyB,0),"")</f>
        <v/>
      </c>
    </row>
    <row r="1076" spans="1:14" x14ac:dyDescent="0.2">
      <c r="A1076" s="12">
        <v>1060</v>
      </c>
      <c r="B1076" s="13" t="str">
        <f t="shared" si="160"/>
        <v/>
      </c>
      <c r="C1076" s="13" t="str">
        <f t="shared" si="161"/>
        <v/>
      </c>
      <c r="D1076" s="13" t="str">
        <f t="shared" si="162"/>
        <v/>
      </c>
      <c r="E1076" s="14" t="str">
        <f t="shared" si="163"/>
        <v/>
      </c>
      <c r="F1076" s="14" t="str">
        <f t="shared" si="164"/>
        <v/>
      </c>
      <c r="G1076" s="14" t="str">
        <f t="shared" si="165"/>
        <v/>
      </c>
      <c r="H1076" s="14" t="str">
        <f t="shared" si="166"/>
        <v/>
      </c>
      <c r="I1076" s="15" t="str">
        <f t="shared" si="167"/>
        <v/>
      </c>
      <c r="J1076" s="15" t="str">
        <f t="shared" si="169"/>
        <v/>
      </c>
      <c r="K1076" s="16" t="str">
        <f t="shared" si="168"/>
        <v/>
      </c>
      <c r="M1076" t="str">
        <f>IFERROR(MATCH($C$5&amp;"|"&amp;RIGHT("000000"&amp;1060,6),CalcRankKeyA,0),"")</f>
        <v/>
      </c>
      <c r="N1076" t="str">
        <f>IFERROR(MATCH($C$5&amp;"|"&amp;RIGHT("000000"&amp;1060,6),CalcRankKeyB,0),"")</f>
        <v/>
      </c>
    </row>
    <row r="1077" spans="1:14" x14ac:dyDescent="0.2">
      <c r="A1077" s="7">
        <v>1061</v>
      </c>
      <c r="B1077" s="8" t="str">
        <f t="shared" si="160"/>
        <v/>
      </c>
      <c r="C1077" s="8" t="str">
        <f t="shared" si="161"/>
        <v/>
      </c>
      <c r="D1077" s="8" t="str">
        <f t="shared" si="162"/>
        <v/>
      </c>
      <c r="E1077" s="9" t="str">
        <f t="shared" si="163"/>
        <v/>
      </c>
      <c r="F1077" s="9" t="str">
        <f t="shared" si="164"/>
        <v/>
      </c>
      <c r="G1077" s="9" t="str">
        <f t="shared" si="165"/>
        <v/>
      </c>
      <c r="H1077" s="9" t="str">
        <f t="shared" si="166"/>
        <v/>
      </c>
      <c r="I1077" s="10" t="str">
        <f t="shared" si="167"/>
        <v/>
      </c>
      <c r="J1077" s="10" t="str">
        <f t="shared" si="169"/>
        <v/>
      </c>
      <c r="K1077" s="11" t="str">
        <f t="shared" si="168"/>
        <v/>
      </c>
      <c r="M1077" t="str">
        <f>IFERROR(MATCH($C$5&amp;"|"&amp;RIGHT("000000"&amp;1061,6),CalcRankKeyA,0),"")</f>
        <v/>
      </c>
      <c r="N1077" t="str">
        <f>IFERROR(MATCH($C$5&amp;"|"&amp;RIGHT("000000"&amp;1061,6),CalcRankKeyB,0),"")</f>
        <v/>
      </c>
    </row>
    <row r="1078" spans="1:14" x14ac:dyDescent="0.2">
      <c r="A1078" s="12">
        <v>1062</v>
      </c>
      <c r="B1078" s="13" t="str">
        <f t="shared" si="160"/>
        <v/>
      </c>
      <c r="C1078" s="13" t="str">
        <f t="shared" si="161"/>
        <v/>
      </c>
      <c r="D1078" s="13" t="str">
        <f t="shared" si="162"/>
        <v/>
      </c>
      <c r="E1078" s="14" t="str">
        <f t="shared" si="163"/>
        <v/>
      </c>
      <c r="F1078" s="14" t="str">
        <f t="shared" si="164"/>
        <v/>
      </c>
      <c r="G1078" s="14" t="str">
        <f t="shared" si="165"/>
        <v/>
      </c>
      <c r="H1078" s="14" t="str">
        <f t="shared" si="166"/>
        <v/>
      </c>
      <c r="I1078" s="15" t="str">
        <f t="shared" si="167"/>
        <v/>
      </c>
      <c r="J1078" s="15" t="str">
        <f t="shared" si="169"/>
        <v/>
      </c>
      <c r="K1078" s="16" t="str">
        <f t="shared" si="168"/>
        <v/>
      </c>
      <c r="M1078" t="str">
        <f>IFERROR(MATCH($C$5&amp;"|"&amp;RIGHT("000000"&amp;1062,6),CalcRankKeyA,0),"")</f>
        <v/>
      </c>
      <c r="N1078" t="str">
        <f>IFERROR(MATCH($C$5&amp;"|"&amp;RIGHT("000000"&amp;1062,6),CalcRankKeyB,0),"")</f>
        <v/>
      </c>
    </row>
    <row r="1079" spans="1:14" x14ac:dyDescent="0.2">
      <c r="A1079" s="7">
        <v>1063</v>
      </c>
      <c r="B1079" s="8" t="str">
        <f t="shared" si="160"/>
        <v/>
      </c>
      <c r="C1079" s="8" t="str">
        <f t="shared" si="161"/>
        <v/>
      </c>
      <c r="D1079" s="8" t="str">
        <f t="shared" si="162"/>
        <v/>
      </c>
      <c r="E1079" s="9" t="str">
        <f t="shared" si="163"/>
        <v/>
      </c>
      <c r="F1079" s="9" t="str">
        <f t="shared" si="164"/>
        <v/>
      </c>
      <c r="G1079" s="9" t="str">
        <f t="shared" si="165"/>
        <v/>
      </c>
      <c r="H1079" s="9" t="str">
        <f t="shared" si="166"/>
        <v/>
      </c>
      <c r="I1079" s="10" t="str">
        <f t="shared" si="167"/>
        <v/>
      </c>
      <c r="J1079" s="10" t="str">
        <f t="shared" si="169"/>
        <v/>
      </c>
      <c r="K1079" s="11" t="str">
        <f t="shared" si="168"/>
        <v/>
      </c>
      <c r="M1079" t="str">
        <f>IFERROR(MATCH($C$5&amp;"|"&amp;RIGHT("000000"&amp;1063,6),CalcRankKeyA,0),"")</f>
        <v/>
      </c>
      <c r="N1079" t="str">
        <f>IFERROR(MATCH($C$5&amp;"|"&amp;RIGHT("000000"&amp;1063,6),CalcRankKeyB,0),"")</f>
        <v/>
      </c>
    </row>
    <row r="1080" spans="1:14" x14ac:dyDescent="0.2">
      <c r="A1080" s="12">
        <v>1064</v>
      </c>
      <c r="B1080" s="13" t="str">
        <f t="shared" si="160"/>
        <v/>
      </c>
      <c r="C1080" s="13" t="str">
        <f t="shared" si="161"/>
        <v/>
      </c>
      <c r="D1080" s="13" t="str">
        <f t="shared" si="162"/>
        <v/>
      </c>
      <c r="E1080" s="14" t="str">
        <f t="shared" si="163"/>
        <v/>
      </c>
      <c r="F1080" s="14" t="str">
        <f t="shared" si="164"/>
        <v/>
      </c>
      <c r="G1080" s="14" t="str">
        <f t="shared" si="165"/>
        <v/>
      </c>
      <c r="H1080" s="14" t="str">
        <f t="shared" si="166"/>
        <v/>
      </c>
      <c r="I1080" s="15" t="str">
        <f t="shared" si="167"/>
        <v/>
      </c>
      <c r="J1080" s="15" t="str">
        <f t="shared" si="169"/>
        <v/>
      </c>
      <c r="K1080" s="16" t="str">
        <f t="shared" si="168"/>
        <v/>
      </c>
      <c r="M1080" t="str">
        <f>IFERROR(MATCH($C$5&amp;"|"&amp;RIGHT("000000"&amp;1064,6),CalcRankKeyA,0),"")</f>
        <v/>
      </c>
      <c r="N1080" t="str">
        <f>IFERROR(MATCH($C$5&amp;"|"&amp;RIGHT("000000"&amp;1064,6),CalcRankKeyB,0),"")</f>
        <v/>
      </c>
    </row>
    <row r="1081" spans="1:14" x14ac:dyDescent="0.2">
      <c r="A1081" s="7">
        <v>1065</v>
      </c>
      <c r="B1081" s="8" t="str">
        <f t="shared" si="160"/>
        <v/>
      </c>
      <c r="C1081" s="8" t="str">
        <f t="shared" si="161"/>
        <v/>
      </c>
      <c r="D1081" s="8" t="str">
        <f t="shared" si="162"/>
        <v/>
      </c>
      <c r="E1081" s="9" t="str">
        <f t="shared" si="163"/>
        <v/>
      </c>
      <c r="F1081" s="9" t="str">
        <f t="shared" si="164"/>
        <v/>
      </c>
      <c r="G1081" s="9" t="str">
        <f t="shared" si="165"/>
        <v/>
      </c>
      <c r="H1081" s="9" t="str">
        <f t="shared" si="166"/>
        <v/>
      </c>
      <c r="I1081" s="10" t="str">
        <f t="shared" si="167"/>
        <v/>
      </c>
      <c r="J1081" s="10" t="str">
        <f t="shared" si="169"/>
        <v/>
      </c>
      <c r="K1081" s="11" t="str">
        <f t="shared" si="168"/>
        <v/>
      </c>
      <c r="M1081" t="str">
        <f>IFERROR(MATCH($C$5&amp;"|"&amp;RIGHT("000000"&amp;1065,6),CalcRankKeyA,0),"")</f>
        <v/>
      </c>
      <c r="N1081" t="str">
        <f>IFERROR(MATCH($C$5&amp;"|"&amp;RIGHT("000000"&amp;1065,6),CalcRankKeyB,0),"")</f>
        <v/>
      </c>
    </row>
    <row r="1082" spans="1:14" x14ac:dyDescent="0.2">
      <c r="A1082" s="12">
        <v>1066</v>
      </c>
      <c r="B1082" s="13" t="str">
        <f t="shared" si="160"/>
        <v/>
      </c>
      <c r="C1082" s="13" t="str">
        <f t="shared" si="161"/>
        <v/>
      </c>
      <c r="D1082" s="13" t="str">
        <f t="shared" si="162"/>
        <v/>
      </c>
      <c r="E1082" s="14" t="str">
        <f t="shared" si="163"/>
        <v/>
      </c>
      <c r="F1082" s="14" t="str">
        <f t="shared" si="164"/>
        <v/>
      </c>
      <c r="G1082" s="14" t="str">
        <f t="shared" si="165"/>
        <v/>
      </c>
      <c r="H1082" s="14" t="str">
        <f t="shared" si="166"/>
        <v/>
      </c>
      <c r="I1082" s="15" t="str">
        <f t="shared" si="167"/>
        <v/>
      </c>
      <c r="J1082" s="15" t="str">
        <f t="shared" si="169"/>
        <v/>
      </c>
      <c r="K1082" s="16" t="str">
        <f t="shared" si="168"/>
        <v/>
      </c>
      <c r="M1082" t="str">
        <f>IFERROR(MATCH($C$5&amp;"|"&amp;RIGHT("000000"&amp;1066,6),CalcRankKeyA,0),"")</f>
        <v/>
      </c>
      <c r="N1082" t="str">
        <f>IFERROR(MATCH($C$5&amp;"|"&amp;RIGHT("000000"&amp;1066,6),CalcRankKeyB,0),"")</f>
        <v/>
      </c>
    </row>
    <row r="1083" spans="1:14" x14ac:dyDescent="0.2">
      <c r="A1083" s="7">
        <v>1067</v>
      </c>
      <c r="B1083" s="8" t="str">
        <f t="shared" si="160"/>
        <v/>
      </c>
      <c r="C1083" s="8" t="str">
        <f t="shared" si="161"/>
        <v/>
      </c>
      <c r="D1083" s="8" t="str">
        <f t="shared" si="162"/>
        <v/>
      </c>
      <c r="E1083" s="9" t="str">
        <f t="shared" si="163"/>
        <v/>
      </c>
      <c r="F1083" s="9" t="str">
        <f t="shared" si="164"/>
        <v/>
      </c>
      <c r="G1083" s="9" t="str">
        <f t="shared" si="165"/>
        <v/>
      </c>
      <c r="H1083" s="9" t="str">
        <f t="shared" si="166"/>
        <v/>
      </c>
      <c r="I1083" s="10" t="str">
        <f t="shared" si="167"/>
        <v/>
      </c>
      <c r="J1083" s="10" t="str">
        <f t="shared" si="169"/>
        <v/>
      </c>
      <c r="K1083" s="11" t="str">
        <f t="shared" si="168"/>
        <v/>
      </c>
      <c r="M1083" t="str">
        <f>IFERROR(MATCH($C$5&amp;"|"&amp;RIGHT("000000"&amp;1067,6),CalcRankKeyA,0),"")</f>
        <v/>
      </c>
      <c r="N1083" t="str">
        <f>IFERROR(MATCH($C$5&amp;"|"&amp;RIGHT("000000"&amp;1067,6),CalcRankKeyB,0),"")</f>
        <v/>
      </c>
    </row>
    <row r="1084" spans="1:14" x14ac:dyDescent="0.2">
      <c r="A1084" s="12">
        <v>1068</v>
      </c>
      <c r="B1084" s="13" t="str">
        <f t="shared" si="160"/>
        <v/>
      </c>
      <c r="C1084" s="13" t="str">
        <f t="shared" si="161"/>
        <v/>
      </c>
      <c r="D1084" s="13" t="str">
        <f t="shared" si="162"/>
        <v/>
      </c>
      <c r="E1084" s="14" t="str">
        <f t="shared" si="163"/>
        <v/>
      </c>
      <c r="F1084" s="14" t="str">
        <f t="shared" si="164"/>
        <v/>
      </c>
      <c r="G1084" s="14" t="str">
        <f t="shared" si="165"/>
        <v/>
      </c>
      <c r="H1084" s="14" t="str">
        <f t="shared" si="166"/>
        <v/>
      </c>
      <c r="I1084" s="15" t="str">
        <f t="shared" si="167"/>
        <v/>
      </c>
      <c r="J1084" s="15" t="str">
        <f t="shared" si="169"/>
        <v/>
      </c>
      <c r="K1084" s="16" t="str">
        <f t="shared" si="168"/>
        <v/>
      </c>
      <c r="M1084" t="str">
        <f>IFERROR(MATCH($C$5&amp;"|"&amp;RIGHT("000000"&amp;1068,6),CalcRankKeyA,0),"")</f>
        <v/>
      </c>
      <c r="N1084" t="str">
        <f>IFERROR(MATCH($C$5&amp;"|"&amp;RIGHT("000000"&amp;1068,6),CalcRankKeyB,0),"")</f>
        <v/>
      </c>
    </row>
    <row r="1085" spans="1:14" x14ac:dyDescent="0.2">
      <c r="A1085" s="7">
        <v>1069</v>
      </c>
      <c r="B1085" s="8" t="str">
        <f t="shared" si="160"/>
        <v/>
      </c>
      <c r="C1085" s="8" t="str">
        <f t="shared" si="161"/>
        <v/>
      </c>
      <c r="D1085" s="8" t="str">
        <f t="shared" si="162"/>
        <v/>
      </c>
      <c r="E1085" s="9" t="str">
        <f t="shared" si="163"/>
        <v/>
      </c>
      <c r="F1085" s="9" t="str">
        <f t="shared" si="164"/>
        <v/>
      </c>
      <c r="G1085" s="9" t="str">
        <f t="shared" si="165"/>
        <v/>
      </c>
      <c r="H1085" s="9" t="str">
        <f t="shared" si="166"/>
        <v/>
      </c>
      <c r="I1085" s="10" t="str">
        <f t="shared" si="167"/>
        <v/>
      </c>
      <c r="J1085" s="10" t="str">
        <f t="shared" si="169"/>
        <v/>
      </c>
      <c r="K1085" s="11" t="str">
        <f t="shared" si="168"/>
        <v/>
      </c>
      <c r="M1085" t="str">
        <f>IFERROR(MATCH($C$5&amp;"|"&amp;RIGHT("000000"&amp;1069,6),CalcRankKeyA,0),"")</f>
        <v/>
      </c>
      <c r="N1085" t="str">
        <f>IFERROR(MATCH($C$5&amp;"|"&amp;RIGHT("000000"&amp;1069,6),CalcRankKeyB,0),"")</f>
        <v/>
      </c>
    </row>
    <row r="1086" spans="1:14" x14ac:dyDescent="0.2">
      <c r="A1086" s="12">
        <v>1070</v>
      </c>
      <c r="B1086" s="13" t="str">
        <f t="shared" si="160"/>
        <v/>
      </c>
      <c r="C1086" s="13" t="str">
        <f t="shared" si="161"/>
        <v/>
      </c>
      <c r="D1086" s="13" t="str">
        <f t="shared" si="162"/>
        <v/>
      </c>
      <c r="E1086" s="14" t="str">
        <f t="shared" si="163"/>
        <v/>
      </c>
      <c r="F1086" s="14" t="str">
        <f t="shared" si="164"/>
        <v/>
      </c>
      <c r="G1086" s="14" t="str">
        <f t="shared" si="165"/>
        <v/>
      </c>
      <c r="H1086" s="14" t="str">
        <f t="shared" si="166"/>
        <v/>
      </c>
      <c r="I1086" s="15" t="str">
        <f t="shared" si="167"/>
        <v/>
      </c>
      <c r="J1086" s="15" t="str">
        <f t="shared" si="169"/>
        <v/>
      </c>
      <c r="K1086" s="16" t="str">
        <f t="shared" si="168"/>
        <v/>
      </c>
      <c r="M1086" t="str">
        <f>IFERROR(MATCH($C$5&amp;"|"&amp;RIGHT("000000"&amp;1070,6),CalcRankKeyA,0),"")</f>
        <v/>
      </c>
      <c r="N1086" t="str">
        <f>IFERROR(MATCH($C$5&amp;"|"&amp;RIGHT("000000"&amp;1070,6),CalcRankKeyB,0),"")</f>
        <v/>
      </c>
    </row>
    <row r="1087" spans="1:14" x14ac:dyDescent="0.2">
      <c r="A1087" s="7">
        <v>1071</v>
      </c>
      <c r="B1087" s="8" t="str">
        <f t="shared" si="160"/>
        <v/>
      </c>
      <c r="C1087" s="8" t="str">
        <f t="shared" si="161"/>
        <v/>
      </c>
      <c r="D1087" s="8" t="str">
        <f t="shared" si="162"/>
        <v/>
      </c>
      <c r="E1087" s="9" t="str">
        <f t="shared" si="163"/>
        <v/>
      </c>
      <c r="F1087" s="9" t="str">
        <f t="shared" si="164"/>
        <v/>
      </c>
      <c r="G1087" s="9" t="str">
        <f t="shared" si="165"/>
        <v/>
      </c>
      <c r="H1087" s="9" t="str">
        <f t="shared" si="166"/>
        <v/>
      </c>
      <c r="I1087" s="10" t="str">
        <f t="shared" si="167"/>
        <v/>
      </c>
      <c r="J1087" s="10" t="str">
        <f t="shared" si="169"/>
        <v/>
      </c>
      <c r="K1087" s="11" t="str">
        <f t="shared" si="168"/>
        <v/>
      </c>
      <c r="M1087" t="str">
        <f>IFERROR(MATCH($C$5&amp;"|"&amp;RIGHT("000000"&amp;1071,6),CalcRankKeyA,0),"")</f>
        <v/>
      </c>
      <c r="N1087" t="str">
        <f>IFERROR(MATCH($C$5&amp;"|"&amp;RIGHT("000000"&amp;1071,6),CalcRankKeyB,0),"")</f>
        <v/>
      </c>
    </row>
    <row r="1088" spans="1:14" x14ac:dyDescent="0.2">
      <c r="A1088" s="12">
        <v>1072</v>
      </c>
      <c r="B1088" s="13" t="str">
        <f t="shared" si="160"/>
        <v/>
      </c>
      <c r="C1088" s="13" t="str">
        <f t="shared" si="161"/>
        <v/>
      </c>
      <c r="D1088" s="13" t="str">
        <f t="shared" si="162"/>
        <v/>
      </c>
      <c r="E1088" s="14" t="str">
        <f t="shared" si="163"/>
        <v/>
      </c>
      <c r="F1088" s="14" t="str">
        <f t="shared" si="164"/>
        <v/>
      </c>
      <c r="G1088" s="14" t="str">
        <f t="shared" si="165"/>
        <v/>
      </c>
      <c r="H1088" s="14" t="str">
        <f t="shared" si="166"/>
        <v/>
      </c>
      <c r="I1088" s="15" t="str">
        <f t="shared" si="167"/>
        <v/>
      </c>
      <c r="J1088" s="15" t="str">
        <f t="shared" si="169"/>
        <v/>
      </c>
      <c r="K1088" s="16" t="str">
        <f t="shared" si="168"/>
        <v/>
      </c>
      <c r="M1088" t="str">
        <f>IFERROR(MATCH($C$5&amp;"|"&amp;RIGHT("000000"&amp;1072,6),CalcRankKeyA,0),"")</f>
        <v/>
      </c>
      <c r="N1088" t="str">
        <f>IFERROR(MATCH($C$5&amp;"|"&amp;RIGHT("000000"&amp;1072,6),CalcRankKeyB,0),"")</f>
        <v/>
      </c>
    </row>
    <row r="1089" spans="1:14" x14ac:dyDescent="0.2">
      <c r="A1089" s="7">
        <v>1073</v>
      </c>
      <c r="B1089" s="8" t="str">
        <f t="shared" si="160"/>
        <v/>
      </c>
      <c r="C1089" s="8" t="str">
        <f t="shared" si="161"/>
        <v/>
      </c>
      <c r="D1089" s="8" t="str">
        <f t="shared" si="162"/>
        <v/>
      </c>
      <c r="E1089" s="9" t="str">
        <f t="shared" si="163"/>
        <v/>
      </c>
      <c r="F1089" s="9" t="str">
        <f t="shared" si="164"/>
        <v/>
      </c>
      <c r="G1089" s="9" t="str">
        <f t="shared" si="165"/>
        <v/>
      </c>
      <c r="H1089" s="9" t="str">
        <f t="shared" si="166"/>
        <v/>
      </c>
      <c r="I1089" s="10" t="str">
        <f t="shared" si="167"/>
        <v/>
      </c>
      <c r="J1089" s="10" t="str">
        <f t="shared" si="169"/>
        <v/>
      </c>
      <c r="K1089" s="11" t="str">
        <f t="shared" si="168"/>
        <v/>
      </c>
      <c r="M1089" t="str">
        <f>IFERROR(MATCH($C$5&amp;"|"&amp;RIGHT("000000"&amp;1073,6),CalcRankKeyA,0),"")</f>
        <v/>
      </c>
      <c r="N1089" t="str">
        <f>IFERROR(MATCH($C$5&amp;"|"&amp;RIGHT("000000"&amp;1073,6),CalcRankKeyB,0),"")</f>
        <v/>
      </c>
    </row>
    <row r="1090" spans="1:14" x14ac:dyDescent="0.2">
      <c r="A1090" s="12">
        <v>1074</v>
      </c>
      <c r="B1090" s="13" t="str">
        <f t="shared" si="160"/>
        <v/>
      </c>
      <c r="C1090" s="13" t="str">
        <f t="shared" si="161"/>
        <v/>
      </c>
      <c r="D1090" s="13" t="str">
        <f t="shared" si="162"/>
        <v/>
      </c>
      <c r="E1090" s="14" t="str">
        <f t="shared" si="163"/>
        <v/>
      </c>
      <c r="F1090" s="14" t="str">
        <f t="shared" si="164"/>
        <v/>
      </c>
      <c r="G1090" s="14" t="str">
        <f t="shared" si="165"/>
        <v/>
      </c>
      <c r="H1090" s="14" t="str">
        <f t="shared" si="166"/>
        <v/>
      </c>
      <c r="I1090" s="15" t="str">
        <f t="shared" si="167"/>
        <v/>
      </c>
      <c r="J1090" s="15" t="str">
        <f t="shared" si="169"/>
        <v/>
      </c>
      <c r="K1090" s="16" t="str">
        <f t="shared" si="168"/>
        <v/>
      </c>
      <c r="M1090" t="str">
        <f>IFERROR(MATCH($C$5&amp;"|"&amp;RIGHT("000000"&amp;1074,6),CalcRankKeyA,0),"")</f>
        <v/>
      </c>
      <c r="N1090" t="str">
        <f>IFERROR(MATCH($C$5&amp;"|"&amp;RIGHT("000000"&amp;1074,6),CalcRankKeyB,0),"")</f>
        <v/>
      </c>
    </row>
    <row r="1091" spans="1:14" x14ac:dyDescent="0.2">
      <c r="A1091" s="7">
        <v>1075</v>
      </c>
      <c r="B1091" s="8" t="str">
        <f t="shared" si="160"/>
        <v/>
      </c>
      <c r="C1091" s="8" t="str">
        <f t="shared" si="161"/>
        <v/>
      </c>
      <c r="D1091" s="8" t="str">
        <f t="shared" si="162"/>
        <v/>
      </c>
      <c r="E1091" s="9" t="str">
        <f t="shared" si="163"/>
        <v/>
      </c>
      <c r="F1091" s="9" t="str">
        <f t="shared" si="164"/>
        <v/>
      </c>
      <c r="G1091" s="9" t="str">
        <f t="shared" si="165"/>
        <v/>
      </c>
      <c r="H1091" s="9" t="str">
        <f t="shared" si="166"/>
        <v/>
      </c>
      <c r="I1091" s="10" t="str">
        <f t="shared" si="167"/>
        <v/>
      </c>
      <c r="J1091" s="10" t="str">
        <f t="shared" si="169"/>
        <v/>
      </c>
      <c r="K1091" s="11" t="str">
        <f t="shared" si="168"/>
        <v/>
      </c>
      <c r="M1091" t="str">
        <f>IFERROR(MATCH($C$5&amp;"|"&amp;RIGHT("000000"&amp;1075,6),CalcRankKeyA,0),"")</f>
        <v/>
      </c>
      <c r="N1091" t="str">
        <f>IFERROR(MATCH($C$5&amp;"|"&amp;RIGHT("000000"&amp;1075,6),CalcRankKeyB,0),"")</f>
        <v/>
      </c>
    </row>
    <row r="1092" spans="1:14" x14ac:dyDescent="0.2">
      <c r="A1092" s="12">
        <v>1076</v>
      </c>
      <c r="B1092" s="13" t="str">
        <f t="shared" si="160"/>
        <v/>
      </c>
      <c r="C1092" s="13" t="str">
        <f t="shared" si="161"/>
        <v/>
      </c>
      <c r="D1092" s="13" t="str">
        <f t="shared" si="162"/>
        <v/>
      </c>
      <c r="E1092" s="14" t="str">
        <f t="shared" si="163"/>
        <v/>
      </c>
      <c r="F1092" s="14" t="str">
        <f t="shared" si="164"/>
        <v/>
      </c>
      <c r="G1092" s="14" t="str">
        <f t="shared" si="165"/>
        <v/>
      </c>
      <c r="H1092" s="14" t="str">
        <f t="shared" si="166"/>
        <v/>
      </c>
      <c r="I1092" s="15" t="str">
        <f t="shared" si="167"/>
        <v/>
      </c>
      <c r="J1092" s="15" t="str">
        <f t="shared" si="169"/>
        <v/>
      </c>
      <c r="K1092" s="16" t="str">
        <f t="shared" si="168"/>
        <v/>
      </c>
      <c r="M1092" t="str">
        <f>IFERROR(MATCH($C$5&amp;"|"&amp;RIGHT("000000"&amp;1076,6),CalcRankKeyA,0),"")</f>
        <v/>
      </c>
      <c r="N1092" t="str">
        <f>IFERROR(MATCH($C$5&amp;"|"&amp;RIGHT("000000"&amp;1076,6),CalcRankKeyB,0),"")</f>
        <v/>
      </c>
    </row>
    <row r="1093" spans="1:14" x14ac:dyDescent="0.2">
      <c r="A1093" s="7">
        <v>1077</v>
      </c>
      <c r="B1093" s="8" t="str">
        <f t="shared" si="160"/>
        <v/>
      </c>
      <c r="C1093" s="8" t="str">
        <f t="shared" si="161"/>
        <v/>
      </c>
      <c r="D1093" s="8" t="str">
        <f t="shared" si="162"/>
        <v/>
      </c>
      <c r="E1093" s="9" t="str">
        <f t="shared" si="163"/>
        <v/>
      </c>
      <c r="F1093" s="9" t="str">
        <f t="shared" si="164"/>
        <v/>
      </c>
      <c r="G1093" s="9" t="str">
        <f t="shared" si="165"/>
        <v/>
      </c>
      <c r="H1093" s="9" t="str">
        <f t="shared" si="166"/>
        <v/>
      </c>
      <c r="I1093" s="10" t="str">
        <f t="shared" si="167"/>
        <v/>
      </c>
      <c r="J1093" s="10" t="str">
        <f t="shared" si="169"/>
        <v/>
      </c>
      <c r="K1093" s="11" t="str">
        <f t="shared" si="168"/>
        <v/>
      </c>
      <c r="M1093" t="str">
        <f>IFERROR(MATCH($C$5&amp;"|"&amp;RIGHT("000000"&amp;1077,6),CalcRankKeyA,0),"")</f>
        <v/>
      </c>
      <c r="N1093" t="str">
        <f>IFERROR(MATCH($C$5&amp;"|"&amp;RIGHT("000000"&amp;1077,6),CalcRankKeyB,0),"")</f>
        <v/>
      </c>
    </row>
    <row r="1094" spans="1:14" x14ac:dyDescent="0.2">
      <c r="A1094" s="12">
        <v>1078</v>
      </c>
      <c r="B1094" s="13" t="str">
        <f t="shared" si="160"/>
        <v/>
      </c>
      <c r="C1094" s="13" t="str">
        <f t="shared" si="161"/>
        <v/>
      </c>
      <c r="D1094" s="13" t="str">
        <f t="shared" si="162"/>
        <v/>
      </c>
      <c r="E1094" s="14" t="str">
        <f t="shared" si="163"/>
        <v/>
      </c>
      <c r="F1094" s="14" t="str">
        <f t="shared" si="164"/>
        <v/>
      </c>
      <c r="G1094" s="14" t="str">
        <f t="shared" si="165"/>
        <v/>
      </c>
      <c r="H1094" s="14" t="str">
        <f t="shared" si="166"/>
        <v/>
      </c>
      <c r="I1094" s="15" t="str">
        <f t="shared" si="167"/>
        <v/>
      </c>
      <c r="J1094" s="15" t="str">
        <f t="shared" si="169"/>
        <v/>
      </c>
      <c r="K1094" s="16" t="str">
        <f t="shared" si="168"/>
        <v/>
      </c>
      <c r="M1094" t="str">
        <f>IFERROR(MATCH($C$5&amp;"|"&amp;RIGHT("000000"&amp;1078,6),CalcRankKeyA,0),"")</f>
        <v/>
      </c>
      <c r="N1094" t="str">
        <f>IFERROR(MATCH($C$5&amp;"|"&amp;RIGHT("000000"&amp;1078,6),CalcRankKeyB,0),"")</f>
        <v/>
      </c>
    </row>
    <row r="1095" spans="1:14" x14ac:dyDescent="0.2">
      <c r="A1095" s="7">
        <v>1079</v>
      </c>
      <c r="B1095" s="8" t="str">
        <f t="shared" si="160"/>
        <v/>
      </c>
      <c r="C1095" s="8" t="str">
        <f t="shared" si="161"/>
        <v/>
      </c>
      <c r="D1095" s="8" t="str">
        <f t="shared" si="162"/>
        <v/>
      </c>
      <c r="E1095" s="9" t="str">
        <f t="shared" si="163"/>
        <v/>
      </c>
      <c r="F1095" s="9" t="str">
        <f t="shared" si="164"/>
        <v/>
      </c>
      <c r="G1095" s="9" t="str">
        <f t="shared" si="165"/>
        <v/>
      </c>
      <c r="H1095" s="9" t="str">
        <f t="shared" si="166"/>
        <v/>
      </c>
      <c r="I1095" s="10" t="str">
        <f t="shared" si="167"/>
        <v/>
      </c>
      <c r="J1095" s="10" t="str">
        <f t="shared" si="169"/>
        <v/>
      </c>
      <c r="K1095" s="11" t="str">
        <f t="shared" si="168"/>
        <v/>
      </c>
      <c r="M1095" t="str">
        <f>IFERROR(MATCH($C$5&amp;"|"&amp;RIGHT("000000"&amp;1079,6),CalcRankKeyA,0),"")</f>
        <v/>
      </c>
      <c r="N1095" t="str">
        <f>IFERROR(MATCH($C$5&amp;"|"&amp;RIGHT("000000"&amp;1079,6),CalcRankKeyB,0),"")</f>
        <v/>
      </c>
    </row>
    <row r="1096" spans="1:14" x14ac:dyDescent="0.2">
      <c r="A1096" s="12">
        <v>1080</v>
      </c>
      <c r="B1096" s="13" t="str">
        <f t="shared" si="160"/>
        <v/>
      </c>
      <c r="C1096" s="13" t="str">
        <f t="shared" si="161"/>
        <v/>
      </c>
      <c r="D1096" s="13" t="str">
        <f t="shared" si="162"/>
        <v/>
      </c>
      <c r="E1096" s="14" t="str">
        <f t="shared" si="163"/>
        <v/>
      </c>
      <c r="F1096" s="14" t="str">
        <f t="shared" si="164"/>
        <v/>
      </c>
      <c r="G1096" s="14" t="str">
        <f t="shared" si="165"/>
        <v/>
      </c>
      <c r="H1096" s="14" t="str">
        <f t="shared" si="166"/>
        <v/>
      </c>
      <c r="I1096" s="15" t="str">
        <f t="shared" si="167"/>
        <v/>
      </c>
      <c r="J1096" s="15" t="str">
        <f t="shared" si="169"/>
        <v/>
      </c>
      <c r="K1096" s="16" t="str">
        <f t="shared" si="168"/>
        <v/>
      </c>
      <c r="M1096" t="str">
        <f>IFERROR(MATCH($C$5&amp;"|"&amp;RIGHT("000000"&amp;1080,6),CalcRankKeyA,0),"")</f>
        <v/>
      </c>
      <c r="N1096" t="str">
        <f>IFERROR(MATCH($C$5&amp;"|"&amp;RIGHT("000000"&amp;1080,6),CalcRankKeyB,0),"")</f>
        <v/>
      </c>
    </row>
    <row r="1097" spans="1:14" x14ac:dyDescent="0.2">
      <c r="A1097" s="7">
        <v>1081</v>
      </c>
      <c r="B1097" s="8" t="str">
        <f t="shared" si="160"/>
        <v/>
      </c>
      <c r="C1097" s="8" t="str">
        <f t="shared" si="161"/>
        <v/>
      </c>
      <c r="D1097" s="8" t="str">
        <f t="shared" si="162"/>
        <v/>
      </c>
      <c r="E1097" s="9" t="str">
        <f t="shared" si="163"/>
        <v/>
      </c>
      <c r="F1097" s="9" t="str">
        <f t="shared" si="164"/>
        <v/>
      </c>
      <c r="G1097" s="9" t="str">
        <f t="shared" si="165"/>
        <v/>
      </c>
      <c r="H1097" s="9" t="str">
        <f t="shared" si="166"/>
        <v/>
      </c>
      <c r="I1097" s="10" t="str">
        <f t="shared" si="167"/>
        <v/>
      </c>
      <c r="J1097" s="10" t="str">
        <f t="shared" si="169"/>
        <v/>
      </c>
      <c r="K1097" s="11" t="str">
        <f t="shared" si="168"/>
        <v/>
      </c>
      <c r="M1097" t="str">
        <f>IFERROR(MATCH($C$5&amp;"|"&amp;RIGHT("000000"&amp;1081,6),CalcRankKeyA,0),"")</f>
        <v/>
      </c>
      <c r="N1097" t="str">
        <f>IFERROR(MATCH($C$5&amp;"|"&amp;RIGHT("000000"&amp;1081,6),CalcRankKeyB,0),"")</f>
        <v/>
      </c>
    </row>
    <row r="1098" spans="1:14" x14ac:dyDescent="0.2">
      <c r="A1098" s="12">
        <v>1082</v>
      </c>
      <c r="B1098" s="13" t="str">
        <f t="shared" si="160"/>
        <v/>
      </c>
      <c r="C1098" s="13" t="str">
        <f t="shared" si="161"/>
        <v/>
      </c>
      <c r="D1098" s="13" t="str">
        <f t="shared" si="162"/>
        <v/>
      </c>
      <c r="E1098" s="14" t="str">
        <f t="shared" si="163"/>
        <v/>
      </c>
      <c r="F1098" s="14" t="str">
        <f t="shared" si="164"/>
        <v/>
      </c>
      <c r="G1098" s="14" t="str">
        <f t="shared" si="165"/>
        <v/>
      </c>
      <c r="H1098" s="14" t="str">
        <f t="shared" si="166"/>
        <v/>
      </c>
      <c r="I1098" s="15" t="str">
        <f t="shared" si="167"/>
        <v/>
      </c>
      <c r="J1098" s="15" t="str">
        <f t="shared" si="169"/>
        <v/>
      </c>
      <c r="K1098" s="16" t="str">
        <f t="shared" si="168"/>
        <v/>
      </c>
      <c r="M1098" t="str">
        <f>IFERROR(MATCH($C$5&amp;"|"&amp;RIGHT("000000"&amp;1082,6),CalcRankKeyA,0),"")</f>
        <v/>
      </c>
      <c r="N1098" t="str">
        <f>IFERROR(MATCH($C$5&amp;"|"&amp;RIGHT("000000"&amp;1082,6),CalcRankKeyB,0),"")</f>
        <v/>
      </c>
    </row>
    <row r="1099" spans="1:14" x14ac:dyDescent="0.2">
      <c r="A1099" s="7">
        <v>1083</v>
      </c>
      <c r="B1099" s="8" t="str">
        <f t="shared" si="160"/>
        <v/>
      </c>
      <c r="C1099" s="8" t="str">
        <f t="shared" si="161"/>
        <v/>
      </c>
      <c r="D1099" s="8" t="str">
        <f t="shared" si="162"/>
        <v/>
      </c>
      <c r="E1099" s="9" t="str">
        <f t="shared" si="163"/>
        <v/>
      </c>
      <c r="F1099" s="9" t="str">
        <f t="shared" si="164"/>
        <v/>
      </c>
      <c r="G1099" s="9" t="str">
        <f t="shared" si="165"/>
        <v/>
      </c>
      <c r="H1099" s="9" t="str">
        <f t="shared" si="166"/>
        <v/>
      </c>
      <c r="I1099" s="10" t="str">
        <f t="shared" si="167"/>
        <v/>
      </c>
      <c r="J1099" s="10" t="str">
        <f t="shared" si="169"/>
        <v/>
      </c>
      <c r="K1099" s="11" t="str">
        <f t="shared" si="168"/>
        <v/>
      </c>
      <c r="M1099" t="str">
        <f>IFERROR(MATCH($C$5&amp;"|"&amp;RIGHT("000000"&amp;1083,6),CalcRankKeyA,0),"")</f>
        <v/>
      </c>
      <c r="N1099" t="str">
        <f>IFERROR(MATCH($C$5&amp;"|"&amp;RIGHT("000000"&amp;1083,6),CalcRankKeyB,0),"")</f>
        <v/>
      </c>
    </row>
    <row r="1100" spans="1:14" x14ac:dyDescent="0.2">
      <c r="A1100" s="12">
        <v>1084</v>
      </c>
      <c r="B1100" s="13" t="str">
        <f t="shared" si="160"/>
        <v/>
      </c>
      <c r="C1100" s="13" t="str">
        <f t="shared" si="161"/>
        <v/>
      </c>
      <c r="D1100" s="13" t="str">
        <f t="shared" si="162"/>
        <v/>
      </c>
      <c r="E1100" s="14" t="str">
        <f t="shared" si="163"/>
        <v/>
      </c>
      <c r="F1100" s="14" t="str">
        <f t="shared" si="164"/>
        <v/>
      </c>
      <c r="G1100" s="14" t="str">
        <f t="shared" si="165"/>
        <v/>
      </c>
      <c r="H1100" s="14" t="str">
        <f t="shared" si="166"/>
        <v/>
      </c>
      <c r="I1100" s="15" t="str">
        <f t="shared" si="167"/>
        <v/>
      </c>
      <c r="J1100" s="15" t="str">
        <f t="shared" si="169"/>
        <v/>
      </c>
      <c r="K1100" s="16" t="str">
        <f t="shared" si="168"/>
        <v/>
      </c>
      <c r="M1100" t="str">
        <f>IFERROR(MATCH($C$5&amp;"|"&amp;RIGHT("000000"&amp;1084,6),CalcRankKeyA,0),"")</f>
        <v/>
      </c>
      <c r="N1100" t="str">
        <f>IFERROR(MATCH($C$5&amp;"|"&amp;RIGHT("000000"&amp;1084,6),CalcRankKeyB,0),"")</f>
        <v/>
      </c>
    </row>
    <row r="1101" spans="1:14" x14ac:dyDescent="0.2">
      <c r="A1101" s="7">
        <v>1085</v>
      </c>
      <c r="B1101" s="8" t="str">
        <f t="shared" si="160"/>
        <v/>
      </c>
      <c r="C1101" s="8" t="str">
        <f t="shared" si="161"/>
        <v/>
      </c>
      <c r="D1101" s="8" t="str">
        <f t="shared" si="162"/>
        <v/>
      </c>
      <c r="E1101" s="9" t="str">
        <f t="shared" si="163"/>
        <v/>
      </c>
      <c r="F1101" s="9" t="str">
        <f t="shared" si="164"/>
        <v/>
      </c>
      <c r="G1101" s="9" t="str">
        <f t="shared" si="165"/>
        <v/>
      </c>
      <c r="H1101" s="9" t="str">
        <f t="shared" si="166"/>
        <v/>
      </c>
      <c r="I1101" s="10" t="str">
        <f t="shared" si="167"/>
        <v/>
      </c>
      <c r="J1101" s="10" t="str">
        <f t="shared" si="169"/>
        <v/>
      </c>
      <c r="K1101" s="11" t="str">
        <f t="shared" si="168"/>
        <v/>
      </c>
      <c r="M1101" t="str">
        <f>IFERROR(MATCH($C$5&amp;"|"&amp;RIGHT("000000"&amp;1085,6),CalcRankKeyA,0),"")</f>
        <v/>
      </c>
      <c r="N1101" t="str">
        <f>IFERROR(MATCH($C$5&amp;"|"&amp;RIGHT("000000"&amp;1085,6),CalcRankKeyB,0),"")</f>
        <v/>
      </c>
    </row>
    <row r="1102" spans="1:14" x14ac:dyDescent="0.2">
      <c r="A1102" s="12">
        <v>1086</v>
      </c>
      <c r="B1102" s="13" t="str">
        <f t="shared" si="160"/>
        <v/>
      </c>
      <c r="C1102" s="13" t="str">
        <f t="shared" si="161"/>
        <v/>
      </c>
      <c r="D1102" s="13" t="str">
        <f t="shared" si="162"/>
        <v/>
      </c>
      <c r="E1102" s="14" t="str">
        <f t="shared" si="163"/>
        <v/>
      </c>
      <c r="F1102" s="14" t="str">
        <f t="shared" si="164"/>
        <v/>
      </c>
      <c r="G1102" s="14" t="str">
        <f t="shared" si="165"/>
        <v/>
      </c>
      <c r="H1102" s="14" t="str">
        <f t="shared" si="166"/>
        <v/>
      </c>
      <c r="I1102" s="15" t="str">
        <f t="shared" si="167"/>
        <v/>
      </c>
      <c r="J1102" s="15" t="str">
        <f t="shared" si="169"/>
        <v/>
      </c>
      <c r="K1102" s="16" t="str">
        <f t="shared" si="168"/>
        <v/>
      </c>
      <c r="M1102" t="str">
        <f>IFERROR(MATCH($C$5&amp;"|"&amp;RIGHT("000000"&amp;1086,6),CalcRankKeyA,0),"")</f>
        <v/>
      </c>
      <c r="N1102" t="str">
        <f>IFERROR(MATCH($C$5&amp;"|"&amp;RIGHT("000000"&amp;1086,6),CalcRankKeyB,0),"")</f>
        <v/>
      </c>
    </row>
    <row r="1103" spans="1:14" x14ac:dyDescent="0.2">
      <c r="A1103" s="7">
        <v>1087</v>
      </c>
      <c r="B1103" s="8" t="str">
        <f t="shared" si="160"/>
        <v/>
      </c>
      <c r="C1103" s="8" t="str">
        <f t="shared" si="161"/>
        <v/>
      </c>
      <c r="D1103" s="8" t="str">
        <f t="shared" si="162"/>
        <v/>
      </c>
      <c r="E1103" s="9" t="str">
        <f t="shared" si="163"/>
        <v/>
      </c>
      <c r="F1103" s="9" t="str">
        <f t="shared" si="164"/>
        <v/>
      </c>
      <c r="G1103" s="9" t="str">
        <f t="shared" si="165"/>
        <v/>
      </c>
      <c r="H1103" s="9" t="str">
        <f t="shared" si="166"/>
        <v/>
      </c>
      <c r="I1103" s="10" t="str">
        <f t="shared" si="167"/>
        <v/>
      </c>
      <c r="J1103" s="10" t="str">
        <f t="shared" si="169"/>
        <v/>
      </c>
      <c r="K1103" s="11" t="str">
        <f t="shared" si="168"/>
        <v/>
      </c>
      <c r="M1103" t="str">
        <f>IFERROR(MATCH($C$5&amp;"|"&amp;RIGHT("000000"&amp;1087,6),CalcRankKeyA,0),"")</f>
        <v/>
      </c>
      <c r="N1103" t="str">
        <f>IFERROR(MATCH($C$5&amp;"|"&amp;RIGHT("000000"&amp;1087,6),CalcRankKeyB,0),"")</f>
        <v/>
      </c>
    </row>
    <row r="1104" spans="1:14" x14ac:dyDescent="0.2">
      <c r="A1104" s="12">
        <v>1088</v>
      </c>
      <c r="B1104" s="13" t="str">
        <f t="shared" si="160"/>
        <v/>
      </c>
      <c r="C1104" s="13" t="str">
        <f t="shared" si="161"/>
        <v/>
      </c>
      <c r="D1104" s="13" t="str">
        <f t="shared" si="162"/>
        <v/>
      </c>
      <c r="E1104" s="14" t="str">
        <f t="shared" si="163"/>
        <v/>
      </c>
      <c r="F1104" s="14" t="str">
        <f t="shared" si="164"/>
        <v/>
      </c>
      <c r="G1104" s="14" t="str">
        <f t="shared" si="165"/>
        <v/>
      </c>
      <c r="H1104" s="14" t="str">
        <f t="shared" si="166"/>
        <v/>
      </c>
      <c r="I1104" s="15" t="str">
        <f t="shared" si="167"/>
        <v/>
      </c>
      <c r="J1104" s="15" t="str">
        <f t="shared" si="169"/>
        <v/>
      </c>
      <c r="K1104" s="16" t="str">
        <f t="shared" si="168"/>
        <v/>
      </c>
      <c r="M1104" t="str">
        <f>IFERROR(MATCH($C$5&amp;"|"&amp;RIGHT("000000"&amp;1088,6),CalcRankKeyA,0),"")</f>
        <v/>
      </c>
      <c r="N1104" t="str">
        <f>IFERROR(MATCH($C$5&amp;"|"&amp;RIGHT("000000"&amp;1088,6),CalcRankKeyB,0),"")</f>
        <v/>
      </c>
    </row>
    <row r="1105" spans="1:14" x14ac:dyDescent="0.2">
      <c r="A1105" s="7">
        <v>1089</v>
      </c>
      <c r="B1105" s="8" t="str">
        <f t="shared" ref="B1105:B1168" si="170">IF(AND($M1105="",$N1105=""),"",IF($M1105&lt;&gt;"",INDEX(CalcDateA,$M1105),INDEX(CalcDateB,$N1105)))</f>
        <v/>
      </c>
      <c r="C1105" s="8" t="str">
        <f t="shared" ref="C1105:C1168" si="171">IF($M1105&lt;&gt;"","خرید سبد",IF($N1105&lt;&gt;"",IF(N(INDEX(CalcDepB,$N1105))&gt;0,"دریافت بانکی","پرداخت بانکی"),""))</f>
        <v/>
      </c>
      <c r="D1105" s="8" t="str">
        <f t="shared" ref="D1105:D1168" si="172">IF($M1105&lt;&gt;"",IF(INDEX(CalcDocA,$M1105)="","—",INDEX(CalcDocA,$M1105)),IF($N1105&lt;&gt;"",INDEX(CalcBankB,$N1105),""))</f>
        <v/>
      </c>
      <c r="E1105" s="9" t="str">
        <f t="shared" ref="E1105:E1168" si="173">IF($N1105&lt;&gt;"",IF(INDEX(CalcDepB,$N1105)=0,"",INDEX(CalcDepB,$N1105)),"")</f>
        <v/>
      </c>
      <c r="F1105" s="9" t="str">
        <f t="shared" ref="F1105:F1168" si="174">IF($M1105&lt;&gt;"",IF(INDEX(CalcQtyA,$M1105)=0,"",INDEX(CalcQtyA,$M1105)),"")</f>
        <v/>
      </c>
      <c r="G1105" s="9" t="str">
        <f t="shared" ref="G1105:G1168" si="175">IF($M1105&lt;&gt;"",IF(INDEX(CalcPriceA,$M1105)=0,"",INDEX(CalcPriceA,$M1105)),"")</f>
        <v/>
      </c>
      <c r="H1105" s="9" t="str">
        <f t="shared" ref="H1105:H1168" si="176">IF($N1105&lt;&gt;"",IF(INDEX(CalcWitB,$N1105)=0,"",INDEX(CalcWitB,$N1105)),"")</f>
        <v/>
      </c>
      <c r="I1105" s="10" t="str">
        <f t="shared" ref="I1105:I1168" si="177">IF($M1105&lt;&gt;"",INDEX(CalcAmtA,$M1105),"")</f>
        <v/>
      </c>
      <c r="J1105" s="10" t="str">
        <f t="shared" si="169"/>
        <v/>
      </c>
      <c r="K1105" s="11" t="str">
        <f t="shared" ref="K1105:K1168" si="178">IF($M1105&lt;&gt;"",IF(INDEX(CalcNoteA,$M1105)="","—",INDEX(CalcNoteA,$M1105)),IF($N1105&lt;&gt;"",IF(INDEX(CalcNoteB,$N1105)="","—",INDEX(CalcNoteB,$N1105)),""))</f>
        <v/>
      </c>
      <c r="M1105" t="str">
        <f>IFERROR(MATCH($C$5&amp;"|"&amp;RIGHT("000000"&amp;1089,6),CalcRankKeyA,0),"")</f>
        <v/>
      </c>
      <c r="N1105" t="str">
        <f>IFERROR(MATCH($C$5&amp;"|"&amp;RIGHT("000000"&amp;1089,6),CalcRankKeyB,0),"")</f>
        <v/>
      </c>
    </row>
    <row r="1106" spans="1:14" x14ac:dyDescent="0.2">
      <c r="A1106" s="12">
        <v>1090</v>
      </c>
      <c r="B1106" s="13" t="str">
        <f t="shared" si="170"/>
        <v/>
      </c>
      <c r="C1106" s="13" t="str">
        <f t="shared" si="171"/>
        <v/>
      </c>
      <c r="D1106" s="13" t="str">
        <f t="shared" si="172"/>
        <v/>
      </c>
      <c r="E1106" s="14" t="str">
        <f t="shared" si="173"/>
        <v/>
      </c>
      <c r="F1106" s="14" t="str">
        <f t="shared" si="174"/>
        <v/>
      </c>
      <c r="G1106" s="14" t="str">
        <f t="shared" si="175"/>
        <v/>
      </c>
      <c r="H1106" s="14" t="str">
        <f t="shared" si="176"/>
        <v/>
      </c>
      <c r="I1106" s="15" t="str">
        <f t="shared" si="177"/>
        <v/>
      </c>
      <c r="J1106" s="15" t="str">
        <f t="shared" ref="J1106:J1169" si="179">IF($B1106="","",IF($J1105="",$C$8,$J1105)+IF($I1106="",0,$I1106)+IF($E1106="",0,$E1106)-IF($H1106="",0,$H1106))</f>
        <v/>
      </c>
      <c r="K1106" s="16" t="str">
        <f t="shared" si="178"/>
        <v/>
      </c>
      <c r="M1106" t="str">
        <f>IFERROR(MATCH($C$5&amp;"|"&amp;RIGHT("000000"&amp;1090,6),CalcRankKeyA,0),"")</f>
        <v/>
      </c>
      <c r="N1106" t="str">
        <f>IFERROR(MATCH($C$5&amp;"|"&amp;RIGHT("000000"&amp;1090,6),CalcRankKeyB,0),"")</f>
        <v/>
      </c>
    </row>
    <row r="1107" spans="1:14" x14ac:dyDescent="0.2">
      <c r="A1107" s="7">
        <v>1091</v>
      </c>
      <c r="B1107" s="8" t="str">
        <f t="shared" si="170"/>
        <v/>
      </c>
      <c r="C1107" s="8" t="str">
        <f t="shared" si="171"/>
        <v/>
      </c>
      <c r="D1107" s="8" t="str">
        <f t="shared" si="172"/>
        <v/>
      </c>
      <c r="E1107" s="9" t="str">
        <f t="shared" si="173"/>
        <v/>
      </c>
      <c r="F1107" s="9" t="str">
        <f t="shared" si="174"/>
        <v/>
      </c>
      <c r="G1107" s="9" t="str">
        <f t="shared" si="175"/>
        <v/>
      </c>
      <c r="H1107" s="9" t="str">
        <f t="shared" si="176"/>
        <v/>
      </c>
      <c r="I1107" s="10" t="str">
        <f t="shared" si="177"/>
        <v/>
      </c>
      <c r="J1107" s="10" t="str">
        <f t="shared" si="179"/>
        <v/>
      </c>
      <c r="K1107" s="11" t="str">
        <f t="shared" si="178"/>
        <v/>
      </c>
      <c r="M1107" t="str">
        <f>IFERROR(MATCH($C$5&amp;"|"&amp;RIGHT("000000"&amp;1091,6),CalcRankKeyA,0),"")</f>
        <v/>
      </c>
      <c r="N1107" t="str">
        <f>IFERROR(MATCH($C$5&amp;"|"&amp;RIGHT("000000"&amp;1091,6),CalcRankKeyB,0),"")</f>
        <v/>
      </c>
    </row>
    <row r="1108" spans="1:14" x14ac:dyDescent="0.2">
      <c r="A1108" s="12">
        <v>1092</v>
      </c>
      <c r="B1108" s="13" t="str">
        <f t="shared" si="170"/>
        <v/>
      </c>
      <c r="C1108" s="13" t="str">
        <f t="shared" si="171"/>
        <v/>
      </c>
      <c r="D1108" s="13" t="str">
        <f t="shared" si="172"/>
        <v/>
      </c>
      <c r="E1108" s="14" t="str">
        <f t="shared" si="173"/>
        <v/>
      </c>
      <c r="F1108" s="14" t="str">
        <f t="shared" si="174"/>
        <v/>
      </c>
      <c r="G1108" s="14" t="str">
        <f t="shared" si="175"/>
        <v/>
      </c>
      <c r="H1108" s="14" t="str">
        <f t="shared" si="176"/>
        <v/>
      </c>
      <c r="I1108" s="15" t="str">
        <f t="shared" si="177"/>
        <v/>
      </c>
      <c r="J1108" s="15" t="str">
        <f t="shared" si="179"/>
        <v/>
      </c>
      <c r="K1108" s="16" t="str">
        <f t="shared" si="178"/>
        <v/>
      </c>
      <c r="M1108" t="str">
        <f>IFERROR(MATCH($C$5&amp;"|"&amp;RIGHT("000000"&amp;1092,6),CalcRankKeyA,0),"")</f>
        <v/>
      </c>
      <c r="N1108" t="str">
        <f>IFERROR(MATCH($C$5&amp;"|"&amp;RIGHT("000000"&amp;1092,6),CalcRankKeyB,0),"")</f>
        <v/>
      </c>
    </row>
    <row r="1109" spans="1:14" x14ac:dyDescent="0.2">
      <c r="A1109" s="7">
        <v>1093</v>
      </c>
      <c r="B1109" s="8" t="str">
        <f t="shared" si="170"/>
        <v/>
      </c>
      <c r="C1109" s="8" t="str">
        <f t="shared" si="171"/>
        <v/>
      </c>
      <c r="D1109" s="8" t="str">
        <f t="shared" si="172"/>
        <v/>
      </c>
      <c r="E1109" s="9" t="str">
        <f t="shared" si="173"/>
        <v/>
      </c>
      <c r="F1109" s="9" t="str">
        <f t="shared" si="174"/>
        <v/>
      </c>
      <c r="G1109" s="9" t="str">
        <f t="shared" si="175"/>
        <v/>
      </c>
      <c r="H1109" s="9" t="str">
        <f t="shared" si="176"/>
        <v/>
      </c>
      <c r="I1109" s="10" t="str">
        <f t="shared" si="177"/>
        <v/>
      </c>
      <c r="J1109" s="10" t="str">
        <f t="shared" si="179"/>
        <v/>
      </c>
      <c r="K1109" s="11" t="str">
        <f t="shared" si="178"/>
        <v/>
      </c>
      <c r="M1109" t="str">
        <f>IFERROR(MATCH($C$5&amp;"|"&amp;RIGHT("000000"&amp;1093,6),CalcRankKeyA,0),"")</f>
        <v/>
      </c>
      <c r="N1109" t="str">
        <f>IFERROR(MATCH($C$5&amp;"|"&amp;RIGHT("000000"&amp;1093,6),CalcRankKeyB,0),"")</f>
        <v/>
      </c>
    </row>
    <row r="1110" spans="1:14" x14ac:dyDescent="0.2">
      <c r="A1110" s="12">
        <v>1094</v>
      </c>
      <c r="B1110" s="13" t="str">
        <f t="shared" si="170"/>
        <v/>
      </c>
      <c r="C1110" s="13" t="str">
        <f t="shared" si="171"/>
        <v/>
      </c>
      <c r="D1110" s="13" t="str">
        <f t="shared" si="172"/>
        <v/>
      </c>
      <c r="E1110" s="14" t="str">
        <f t="shared" si="173"/>
        <v/>
      </c>
      <c r="F1110" s="14" t="str">
        <f t="shared" si="174"/>
        <v/>
      </c>
      <c r="G1110" s="14" t="str">
        <f t="shared" si="175"/>
        <v/>
      </c>
      <c r="H1110" s="14" t="str">
        <f t="shared" si="176"/>
        <v/>
      </c>
      <c r="I1110" s="15" t="str">
        <f t="shared" si="177"/>
        <v/>
      </c>
      <c r="J1110" s="15" t="str">
        <f t="shared" si="179"/>
        <v/>
      </c>
      <c r="K1110" s="16" t="str">
        <f t="shared" si="178"/>
        <v/>
      </c>
      <c r="M1110" t="str">
        <f>IFERROR(MATCH($C$5&amp;"|"&amp;RIGHT("000000"&amp;1094,6),CalcRankKeyA,0),"")</f>
        <v/>
      </c>
      <c r="N1110" t="str">
        <f>IFERROR(MATCH($C$5&amp;"|"&amp;RIGHT("000000"&amp;1094,6),CalcRankKeyB,0),"")</f>
        <v/>
      </c>
    </row>
    <row r="1111" spans="1:14" x14ac:dyDescent="0.2">
      <c r="A1111" s="7">
        <v>1095</v>
      </c>
      <c r="B1111" s="8" t="str">
        <f t="shared" si="170"/>
        <v/>
      </c>
      <c r="C1111" s="8" t="str">
        <f t="shared" si="171"/>
        <v/>
      </c>
      <c r="D1111" s="8" t="str">
        <f t="shared" si="172"/>
        <v/>
      </c>
      <c r="E1111" s="9" t="str">
        <f t="shared" si="173"/>
        <v/>
      </c>
      <c r="F1111" s="9" t="str">
        <f t="shared" si="174"/>
        <v/>
      </c>
      <c r="G1111" s="9" t="str">
        <f t="shared" si="175"/>
        <v/>
      </c>
      <c r="H1111" s="9" t="str">
        <f t="shared" si="176"/>
        <v/>
      </c>
      <c r="I1111" s="10" t="str">
        <f t="shared" si="177"/>
        <v/>
      </c>
      <c r="J1111" s="10" t="str">
        <f t="shared" si="179"/>
        <v/>
      </c>
      <c r="K1111" s="11" t="str">
        <f t="shared" si="178"/>
        <v/>
      </c>
      <c r="M1111" t="str">
        <f>IFERROR(MATCH($C$5&amp;"|"&amp;RIGHT("000000"&amp;1095,6),CalcRankKeyA,0),"")</f>
        <v/>
      </c>
      <c r="N1111" t="str">
        <f>IFERROR(MATCH($C$5&amp;"|"&amp;RIGHT("000000"&amp;1095,6),CalcRankKeyB,0),"")</f>
        <v/>
      </c>
    </row>
    <row r="1112" spans="1:14" x14ac:dyDescent="0.2">
      <c r="A1112" s="12">
        <v>1096</v>
      </c>
      <c r="B1112" s="13" t="str">
        <f t="shared" si="170"/>
        <v/>
      </c>
      <c r="C1112" s="13" t="str">
        <f t="shared" si="171"/>
        <v/>
      </c>
      <c r="D1112" s="13" t="str">
        <f t="shared" si="172"/>
        <v/>
      </c>
      <c r="E1112" s="14" t="str">
        <f t="shared" si="173"/>
        <v/>
      </c>
      <c r="F1112" s="14" t="str">
        <f t="shared" si="174"/>
        <v/>
      </c>
      <c r="G1112" s="14" t="str">
        <f t="shared" si="175"/>
        <v/>
      </c>
      <c r="H1112" s="14" t="str">
        <f t="shared" si="176"/>
        <v/>
      </c>
      <c r="I1112" s="15" t="str">
        <f t="shared" si="177"/>
        <v/>
      </c>
      <c r="J1112" s="15" t="str">
        <f t="shared" si="179"/>
        <v/>
      </c>
      <c r="K1112" s="16" t="str">
        <f t="shared" si="178"/>
        <v/>
      </c>
      <c r="M1112" t="str">
        <f>IFERROR(MATCH($C$5&amp;"|"&amp;RIGHT("000000"&amp;1096,6),CalcRankKeyA,0),"")</f>
        <v/>
      </c>
      <c r="N1112" t="str">
        <f>IFERROR(MATCH($C$5&amp;"|"&amp;RIGHT("000000"&amp;1096,6),CalcRankKeyB,0),"")</f>
        <v/>
      </c>
    </row>
    <row r="1113" spans="1:14" x14ac:dyDescent="0.2">
      <c r="A1113" s="7">
        <v>1097</v>
      </c>
      <c r="B1113" s="8" t="str">
        <f t="shared" si="170"/>
        <v/>
      </c>
      <c r="C1113" s="8" t="str">
        <f t="shared" si="171"/>
        <v/>
      </c>
      <c r="D1113" s="8" t="str">
        <f t="shared" si="172"/>
        <v/>
      </c>
      <c r="E1113" s="9" t="str">
        <f t="shared" si="173"/>
        <v/>
      </c>
      <c r="F1113" s="9" t="str">
        <f t="shared" si="174"/>
        <v/>
      </c>
      <c r="G1113" s="9" t="str">
        <f t="shared" si="175"/>
        <v/>
      </c>
      <c r="H1113" s="9" t="str">
        <f t="shared" si="176"/>
        <v/>
      </c>
      <c r="I1113" s="10" t="str">
        <f t="shared" si="177"/>
        <v/>
      </c>
      <c r="J1113" s="10" t="str">
        <f t="shared" si="179"/>
        <v/>
      </c>
      <c r="K1113" s="11" t="str">
        <f t="shared" si="178"/>
        <v/>
      </c>
      <c r="M1113" t="str">
        <f>IFERROR(MATCH($C$5&amp;"|"&amp;RIGHT("000000"&amp;1097,6),CalcRankKeyA,0),"")</f>
        <v/>
      </c>
      <c r="N1113" t="str">
        <f>IFERROR(MATCH($C$5&amp;"|"&amp;RIGHT("000000"&amp;1097,6),CalcRankKeyB,0),"")</f>
        <v/>
      </c>
    </row>
    <row r="1114" spans="1:14" x14ac:dyDescent="0.2">
      <c r="A1114" s="12">
        <v>1098</v>
      </c>
      <c r="B1114" s="13" t="str">
        <f t="shared" si="170"/>
        <v/>
      </c>
      <c r="C1114" s="13" t="str">
        <f t="shared" si="171"/>
        <v/>
      </c>
      <c r="D1114" s="13" t="str">
        <f t="shared" si="172"/>
        <v/>
      </c>
      <c r="E1114" s="14" t="str">
        <f t="shared" si="173"/>
        <v/>
      </c>
      <c r="F1114" s="14" t="str">
        <f t="shared" si="174"/>
        <v/>
      </c>
      <c r="G1114" s="14" t="str">
        <f t="shared" si="175"/>
        <v/>
      </c>
      <c r="H1114" s="14" t="str">
        <f t="shared" si="176"/>
        <v/>
      </c>
      <c r="I1114" s="15" t="str">
        <f t="shared" si="177"/>
        <v/>
      </c>
      <c r="J1114" s="15" t="str">
        <f t="shared" si="179"/>
        <v/>
      </c>
      <c r="K1114" s="16" t="str">
        <f t="shared" si="178"/>
        <v/>
      </c>
      <c r="M1114" t="str">
        <f>IFERROR(MATCH($C$5&amp;"|"&amp;RIGHT("000000"&amp;1098,6),CalcRankKeyA,0),"")</f>
        <v/>
      </c>
      <c r="N1114" t="str">
        <f>IFERROR(MATCH($C$5&amp;"|"&amp;RIGHT("000000"&amp;1098,6),CalcRankKeyB,0),"")</f>
        <v/>
      </c>
    </row>
    <row r="1115" spans="1:14" x14ac:dyDescent="0.2">
      <c r="A1115" s="7">
        <v>1099</v>
      </c>
      <c r="B1115" s="8" t="str">
        <f t="shared" si="170"/>
        <v/>
      </c>
      <c r="C1115" s="8" t="str">
        <f t="shared" si="171"/>
        <v/>
      </c>
      <c r="D1115" s="8" t="str">
        <f t="shared" si="172"/>
        <v/>
      </c>
      <c r="E1115" s="9" t="str">
        <f t="shared" si="173"/>
        <v/>
      </c>
      <c r="F1115" s="9" t="str">
        <f t="shared" si="174"/>
        <v/>
      </c>
      <c r="G1115" s="9" t="str">
        <f t="shared" si="175"/>
        <v/>
      </c>
      <c r="H1115" s="9" t="str">
        <f t="shared" si="176"/>
        <v/>
      </c>
      <c r="I1115" s="10" t="str">
        <f t="shared" si="177"/>
        <v/>
      </c>
      <c r="J1115" s="10" t="str">
        <f t="shared" si="179"/>
        <v/>
      </c>
      <c r="K1115" s="11" t="str">
        <f t="shared" si="178"/>
        <v/>
      </c>
      <c r="M1115" t="str">
        <f>IFERROR(MATCH($C$5&amp;"|"&amp;RIGHT("000000"&amp;1099,6),CalcRankKeyA,0),"")</f>
        <v/>
      </c>
      <c r="N1115" t="str">
        <f>IFERROR(MATCH($C$5&amp;"|"&amp;RIGHT("000000"&amp;1099,6),CalcRankKeyB,0),"")</f>
        <v/>
      </c>
    </row>
    <row r="1116" spans="1:14" x14ac:dyDescent="0.2">
      <c r="A1116" s="12">
        <v>1100</v>
      </c>
      <c r="B1116" s="13" t="str">
        <f t="shared" si="170"/>
        <v/>
      </c>
      <c r="C1116" s="13" t="str">
        <f t="shared" si="171"/>
        <v/>
      </c>
      <c r="D1116" s="13" t="str">
        <f t="shared" si="172"/>
        <v/>
      </c>
      <c r="E1116" s="14" t="str">
        <f t="shared" si="173"/>
        <v/>
      </c>
      <c r="F1116" s="14" t="str">
        <f t="shared" si="174"/>
        <v/>
      </c>
      <c r="G1116" s="14" t="str">
        <f t="shared" si="175"/>
        <v/>
      </c>
      <c r="H1116" s="14" t="str">
        <f t="shared" si="176"/>
        <v/>
      </c>
      <c r="I1116" s="15" t="str">
        <f t="shared" si="177"/>
        <v/>
      </c>
      <c r="J1116" s="15" t="str">
        <f t="shared" si="179"/>
        <v/>
      </c>
      <c r="K1116" s="16" t="str">
        <f t="shared" si="178"/>
        <v/>
      </c>
      <c r="M1116" t="str">
        <f>IFERROR(MATCH($C$5&amp;"|"&amp;RIGHT("000000"&amp;1100,6),CalcRankKeyA,0),"")</f>
        <v/>
      </c>
      <c r="N1116" t="str">
        <f>IFERROR(MATCH($C$5&amp;"|"&amp;RIGHT("000000"&amp;1100,6),CalcRankKeyB,0),"")</f>
        <v/>
      </c>
    </row>
    <row r="1117" spans="1:14" x14ac:dyDescent="0.2">
      <c r="A1117" s="7">
        <v>1101</v>
      </c>
      <c r="B1117" s="8" t="str">
        <f t="shared" si="170"/>
        <v/>
      </c>
      <c r="C1117" s="8" t="str">
        <f t="shared" si="171"/>
        <v/>
      </c>
      <c r="D1117" s="8" t="str">
        <f t="shared" si="172"/>
        <v/>
      </c>
      <c r="E1117" s="9" t="str">
        <f t="shared" si="173"/>
        <v/>
      </c>
      <c r="F1117" s="9" t="str">
        <f t="shared" si="174"/>
        <v/>
      </c>
      <c r="G1117" s="9" t="str">
        <f t="shared" si="175"/>
        <v/>
      </c>
      <c r="H1117" s="9" t="str">
        <f t="shared" si="176"/>
        <v/>
      </c>
      <c r="I1117" s="10" t="str">
        <f t="shared" si="177"/>
        <v/>
      </c>
      <c r="J1117" s="10" t="str">
        <f t="shared" si="179"/>
        <v/>
      </c>
      <c r="K1117" s="11" t="str">
        <f t="shared" si="178"/>
        <v/>
      </c>
      <c r="M1117" t="str">
        <f>IFERROR(MATCH($C$5&amp;"|"&amp;RIGHT("000000"&amp;1101,6),CalcRankKeyA,0),"")</f>
        <v/>
      </c>
      <c r="N1117" t="str">
        <f>IFERROR(MATCH($C$5&amp;"|"&amp;RIGHT("000000"&amp;1101,6),CalcRankKeyB,0),"")</f>
        <v/>
      </c>
    </row>
    <row r="1118" spans="1:14" x14ac:dyDescent="0.2">
      <c r="A1118" s="12">
        <v>1102</v>
      </c>
      <c r="B1118" s="13" t="str">
        <f t="shared" si="170"/>
        <v/>
      </c>
      <c r="C1118" s="13" t="str">
        <f t="shared" si="171"/>
        <v/>
      </c>
      <c r="D1118" s="13" t="str">
        <f t="shared" si="172"/>
        <v/>
      </c>
      <c r="E1118" s="14" t="str">
        <f t="shared" si="173"/>
        <v/>
      </c>
      <c r="F1118" s="14" t="str">
        <f t="shared" si="174"/>
        <v/>
      </c>
      <c r="G1118" s="14" t="str">
        <f t="shared" si="175"/>
        <v/>
      </c>
      <c r="H1118" s="14" t="str">
        <f t="shared" si="176"/>
        <v/>
      </c>
      <c r="I1118" s="15" t="str">
        <f t="shared" si="177"/>
        <v/>
      </c>
      <c r="J1118" s="15" t="str">
        <f t="shared" si="179"/>
        <v/>
      </c>
      <c r="K1118" s="16" t="str">
        <f t="shared" si="178"/>
        <v/>
      </c>
      <c r="M1118" t="str">
        <f>IFERROR(MATCH($C$5&amp;"|"&amp;RIGHT("000000"&amp;1102,6),CalcRankKeyA,0),"")</f>
        <v/>
      </c>
      <c r="N1118" t="str">
        <f>IFERROR(MATCH($C$5&amp;"|"&amp;RIGHT("000000"&amp;1102,6),CalcRankKeyB,0),"")</f>
        <v/>
      </c>
    </row>
    <row r="1119" spans="1:14" x14ac:dyDescent="0.2">
      <c r="A1119" s="7">
        <v>1103</v>
      </c>
      <c r="B1119" s="8" t="str">
        <f t="shared" si="170"/>
        <v/>
      </c>
      <c r="C1119" s="8" t="str">
        <f t="shared" si="171"/>
        <v/>
      </c>
      <c r="D1119" s="8" t="str">
        <f t="shared" si="172"/>
        <v/>
      </c>
      <c r="E1119" s="9" t="str">
        <f t="shared" si="173"/>
        <v/>
      </c>
      <c r="F1119" s="9" t="str">
        <f t="shared" si="174"/>
        <v/>
      </c>
      <c r="G1119" s="9" t="str">
        <f t="shared" si="175"/>
        <v/>
      </c>
      <c r="H1119" s="9" t="str">
        <f t="shared" si="176"/>
        <v/>
      </c>
      <c r="I1119" s="10" t="str">
        <f t="shared" si="177"/>
        <v/>
      </c>
      <c r="J1119" s="10" t="str">
        <f t="shared" si="179"/>
        <v/>
      </c>
      <c r="K1119" s="11" t="str">
        <f t="shared" si="178"/>
        <v/>
      </c>
      <c r="M1119" t="str">
        <f>IFERROR(MATCH($C$5&amp;"|"&amp;RIGHT("000000"&amp;1103,6),CalcRankKeyA,0),"")</f>
        <v/>
      </c>
      <c r="N1119" t="str">
        <f>IFERROR(MATCH($C$5&amp;"|"&amp;RIGHT("000000"&amp;1103,6),CalcRankKeyB,0),"")</f>
        <v/>
      </c>
    </row>
    <row r="1120" spans="1:14" x14ac:dyDescent="0.2">
      <c r="A1120" s="12">
        <v>1104</v>
      </c>
      <c r="B1120" s="13" t="str">
        <f t="shared" si="170"/>
        <v/>
      </c>
      <c r="C1120" s="13" t="str">
        <f t="shared" si="171"/>
        <v/>
      </c>
      <c r="D1120" s="13" t="str">
        <f t="shared" si="172"/>
        <v/>
      </c>
      <c r="E1120" s="14" t="str">
        <f t="shared" si="173"/>
        <v/>
      </c>
      <c r="F1120" s="14" t="str">
        <f t="shared" si="174"/>
        <v/>
      </c>
      <c r="G1120" s="14" t="str">
        <f t="shared" si="175"/>
        <v/>
      </c>
      <c r="H1120" s="14" t="str">
        <f t="shared" si="176"/>
        <v/>
      </c>
      <c r="I1120" s="15" t="str">
        <f t="shared" si="177"/>
        <v/>
      </c>
      <c r="J1120" s="15" t="str">
        <f t="shared" si="179"/>
        <v/>
      </c>
      <c r="K1120" s="16" t="str">
        <f t="shared" si="178"/>
        <v/>
      </c>
      <c r="M1120" t="str">
        <f>IFERROR(MATCH($C$5&amp;"|"&amp;RIGHT("000000"&amp;1104,6),CalcRankKeyA,0),"")</f>
        <v/>
      </c>
      <c r="N1120" t="str">
        <f>IFERROR(MATCH($C$5&amp;"|"&amp;RIGHT("000000"&amp;1104,6),CalcRankKeyB,0),"")</f>
        <v/>
      </c>
    </row>
    <row r="1121" spans="1:14" x14ac:dyDescent="0.2">
      <c r="A1121" s="7">
        <v>1105</v>
      </c>
      <c r="B1121" s="8" t="str">
        <f t="shared" si="170"/>
        <v/>
      </c>
      <c r="C1121" s="8" t="str">
        <f t="shared" si="171"/>
        <v/>
      </c>
      <c r="D1121" s="8" t="str">
        <f t="shared" si="172"/>
        <v/>
      </c>
      <c r="E1121" s="9" t="str">
        <f t="shared" si="173"/>
        <v/>
      </c>
      <c r="F1121" s="9" t="str">
        <f t="shared" si="174"/>
        <v/>
      </c>
      <c r="G1121" s="9" t="str">
        <f t="shared" si="175"/>
        <v/>
      </c>
      <c r="H1121" s="9" t="str">
        <f t="shared" si="176"/>
        <v/>
      </c>
      <c r="I1121" s="10" t="str">
        <f t="shared" si="177"/>
        <v/>
      </c>
      <c r="J1121" s="10" t="str">
        <f t="shared" si="179"/>
        <v/>
      </c>
      <c r="K1121" s="11" t="str">
        <f t="shared" si="178"/>
        <v/>
      </c>
      <c r="M1121" t="str">
        <f>IFERROR(MATCH($C$5&amp;"|"&amp;RIGHT("000000"&amp;1105,6),CalcRankKeyA,0),"")</f>
        <v/>
      </c>
      <c r="N1121" t="str">
        <f>IFERROR(MATCH($C$5&amp;"|"&amp;RIGHT("000000"&amp;1105,6),CalcRankKeyB,0),"")</f>
        <v/>
      </c>
    </row>
    <row r="1122" spans="1:14" x14ac:dyDescent="0.2">
      <c r="A1122" s="12">
        <v>1106</v>
      </c>
      <c r="B1122" s="13" t="str">
        <f t="shared" si="170"/>
        <v/>
      </c>
      <c r="C1122" s="13" t="str">
        <f t="shared" si="171"/>
        <v/>
      </c>
      <c r="D1122" s="13" t="str">
        <f t="shared" si="172"/>
        <v/>
      </c>
      <c r="E1122" s="14" t="str">
        <f t="shared" si="173"/>
        <v/>
      </c>
      <c r="F1122" s="14" t="str">
        <f t="shared" si="174"/>
        <v/>
      </c>
      <c r="G1122" s="14" t="str">
        <f t="shared" si="175"/>
        <v/>
      </c>
      <c r="H1122" s="14" t="str">
        <f t="shared" si="176"/>
        <v/>
      </c>
      <c r="I1122" s="15" t="str">
        <f t="shared" si="177"/>
        <v/>
      </c>
      <c r="J1122" s="15" t="str">
        <f t="shared" si="179"/>
        <v/>
      </c>
      <c r="K1122" s="16" t="str">
        <f t="shared" si="178"/>
        <v/>
      </c>
      <c r="M1122" t="str">
        <f>IFERROR(MATCH($C$5&amp;"|"&amp;RIGHT("000000"&amp;1106,6),CalcRankKeyA,0),"")</f>
        <v/>
      </c>
      <c r="N1122" t="str">
        <f>IFERROR(MATCH($C$5&amp;"|"&amp;RIGHT("000000"&amp;1106,6),CalcRankKeyB,0),"")</f>
        <v/>
      </c>
    </row>
    <row r="1123" spans="1:14" x14ac:dyDescent="0.2">
      <c r="A1123" s="7">
        <v>1107</v>
      </c>
      <c r="B1123" s="8" t="str">
        <f t="shared" si="170"/>
        <v/>
      </c>
      <c r="C1123" s="8" t="str">
        <f t="shared" si="171"/>
        <v/>
      </c>
      <c r="D1123" s="8" t="str">
        <f t="shared" si="172"/>
        <v/>
      </c>
      <c r="E1123" s="9" t="str">
        <f t="shared" si="173"/>
        <v/>
      </c>
      <c r="F1123" s="9" t="str">
        <f t="shared" si="174"/>
        <v/>
      </c>
      <c r="G1123" s="9" t="str">
        <f t="shared" si="175"/>
        <v/>
      </c>
      <c r="H1123" s="9" t="str">
        <f t="shared" si="176"/>
        <v/>
      </c>
      <c r="I1123" s="10" t="str">
        <f t="shared" si="177"/>
        <v/>
      </c>
      <c r="J1123" s="10" t="str">
        <f t="shared" si="179"/>
        <v/>
      </c>
      <c r="K1123" s="11" t="str">
        <f t="shared" si="178"/>
        <v/>
      </c>
      <c r="M1123" t="str">
        <f>IFERROR(MATCH($C$5&amp;"|"&amp;RIGHT("000000"&amp;1107,6),CalcRankKeyA,0),"")</f>
        <v/>
      </c>
      <c r="N1123" t="str">
        <f>IFERROR(MATCH($C$5&amp;"|"&amp;RIGHT("000000"&amp;1107,6),CalcRankKeyB,0),"")</f>
        <v/>
      </c>
    </row>
    <row r="1124" spans="1:14" x14ac:dyDescent="0.2">
      <c r="A1124" s="12">
        <v>1108</v>
      </c>
      <c r="B1124" s="13" t="str">
        <f t="shared" si="170"/>
        <v/>
      </c>
      <c r="C1124" s="13" t="str">
        <f t="shared" si="171"/>
        <v/>
      </c>
      <c r="D1124" s="13" t="str">
        <f t="shared" si="172"/>
        <v/>
      </c>
      <c r="E1124" s="14" t="str">
        <f t="shared" si="173"/>
        <v/>
      </c>
      <c r="F1124" s="14" t="str">
        <f t="shared" si="174"/>
        <v/>
      </c>
      <c r="G1124" s="14" t="str">
        <f t="shared" si="175"/>
        <v/>
      </c>
      <c r="H1124" s="14" t="str">
        <f t="shared" si="176"/>
        <v/>
      </c>
      <c r="I1124" s="15" t="str">
        <f t="shared" si="177"/>
        <v/>
      </c>
      <c r="J1124" s="15" t="str">
        <f t="shared" si="179"/>
        <v/>
      </c>
      <c r="K1124" s="16" t="str">
        <f t="shared" si="178"/>
        <v/>
      </c>
      <c r="M1124" t="str">
        <f>IFERROR(MATCH($C$5&amp;"|"&amp;RIGHT("000000"&amp;1108,6),CalcRankKeyA,0),"")</f>
        <v/>
      </c>
      <c r="N1124" t="str">
        <f>IFERROR(MATCH($C$5&amp;"|"&amp;RIGHT("000000"&amp;1108,6),CalcRankKeyB,0),"")</f>
        <v/>
      </c>
    </row>
    <row r="1125" spans="1:14" x14ac:dyDescent="0.2">
      <c r="A1125" s="7">
        <v>1109</v>
      </c>
      <c r="B1125" s="8" t="str">
        <f t="shared" si="170"/>
        <v/>
      </c>
      <c r="C1125" s="8" t="str">
        <f t="shared" si="171"/>
        <v/>
      </c>
      <c r="D1125" s="8" t="str">
        <f t="shared" si="172"/>
        <v/>
      </c>
      <c r="E1125" s="9" t="str">
        <f t="shared" si="173"/>
        <v/>
      </c>
      <c r="F1125" s="9" t="str">
        <f t="shared" si="174"/>
        <v/>
      </c>
      <c r="G1125" s="9" t="str">
        <f t="shared" si="175"/>
        <v/>
      </c>
      <c r="H1125" s="9" t="str">
        <f t="shared" si="176"/>
        <v/>
      </c>
      <c r="I1125" s="10" t="str">
        <f t="shared" si="177"/>
        <v/>
      </c>
      <c r="J1125" s="10" t="str">
        <f t="shared" si="179"/>
        <v/>
      </c>
      <c r="K1125" s="11" t="str">
        <f t="shared" si="178"/>
        <v/>
      </c>
      <c r="M1125" t="str">
        <f>IFERROR(MATCH($C$5&amp;"|"&amp;RIGHT("000000"&amp;1109,6),CalcRankKeyA,0),"")</f>
        <v/>
      </c>
      <c r="N1125" t="str">
        <f>IFERROR(MATCH($C$5&amp;"|"&amp;RIGHT("000000"&amp;1109,6),CalcRankKeyB,0),"")</f>
        <v/>
      </c>
    </row>
    <row r="1126" spans="1:14" x14ac:dyDescent="0.2">
      <c r="A1126" s="12">
        <v>1110</v>
      </c>
      <c r="B1126" s="13" t="str">
        <f t="shared" si="170"/>
        <v/>
      </c>
      <c r="C1126" s="13" t="str">
        <f t="shared" si="171"/>
        <v/>
      </c>
      <c r="D1126" s="13" t="str">
        <f t="shared" si="172"/>
        <v/>
      </c>
      <c r="E1126" s="14" t="str">
        <f t="shared" si="173"/>
        <v/>
      </c>
      <c r="F1126" s="14" t="str">
        <f t="shared" si="174"/>
        <v/>
      </c>
      <c r="G1126" s="14" t="str">
        <f t="shared" si="175"/>
        <v/>
      </c>
      <c r="H1126" s="14" t="str">
        <f t="shared" si="176"/>
        <v/>
      </c>
      <c r="I1126" s="15" t="str">
        <f t="shared" si="177"/>
        <v/>
      </c>
      <c r="J1126" s="15" t="str">
        <f t="shared" si="179"/>
        <v/>
      </c>
      <c r="K1126" s="16" t="str">
        <f t="shared" si="178"/>
        <v/>
      </c>
      <c r="M1126" t="str">
        <f>IFERROR(MATCH($C$5&amp;"|"&amp;RIGHT("000000"&amp;1110,6),CalcRankKeyA,0),"")</f>
        <v/>
      </c>
      <c r="N1126" t="str">
        <f>IFERROR(MATCH($C$5&amp;"|"&amp;RIGHT("000000"&amp;1110,6),CalcRankKeyB,0),"")</f>
        <v/>
      </c>
    </row>
    <row r="1127" spans="1:14" x14ac:dyDescent="0.2">
      <c r="A1127" s="7">
        <v>1111</v>
      </c>
      <c r="B1127" s="8" t="str">
        <f t="shared" si="170"/>
        <v/>
      </c>
      <c r="C1127" s="8" t="str">
        <f t="shared" si="171"/>
        <v/>
      </c>
      <c r="D1127" s="8" t="str">
        <f t="shared" si="172"/>
        <v/>
      </c>
      <c r="E1127" s="9" t="str">
        <f t="shared" si="173"/>
        <v/>
      </c>
      <c r="F1127" s="9" t="str">
        <f t="shared" si="174"/>
        <v/>
      </c>
      <c r="G1127" s="9" t="str">
        <f t="shared" si="175"/>
        <v/>
      </c>
      <c r="H1127" s="9" t="str">
        <f t="shared" si="176"/>
        <v/>
      </c>
      <c r="I1127" s="10" t="str">
        <f t="shared" si="177"/>
        <v/>
      </c>
      <c r="J1127" s="10" t="str">
        <f t="shared" si="179"/>
        <v/>
      </c>
      <c r="K1127" s="11" t="str">
        <f t="shared" si="178"/>
        <v/>
      </c>
      <c r="M1127" t="str">
        <f>IFERROR(MATCH($C$5&amp;"|"&amp;RIGHT("000000"&amp;1111,6),CalcRankKeyA,0),"")</f>
        <v/>
      </c>
      <c r="N1127" t="str">
        <f>IFERROR(MATCH($C$5&amp;"|"&amp;RIGHT("000000"&amp;1111,6),CalcRankKeyB,0),"")</f>
        <v/>
      </c>
    </row>
    <row r="1128" spans="1:14" x14ac:dyDescent="0.2">
      <c r="A1128" s="12">
        <v>1112</v>
      </c>
      <c r="B1128" s="13" t="str">
        <f t="shared" si="170"/>
        <v/>
      </c>
      <c r="C1128" s="13" t="str">
        <f t="shared" si="171"/>
        <v/>
      </c>
      <c r="D1128" s="13" t="str">
        <f t="shared" si="172"/>
        <v/>
      </c>
      <c r="E1128" s="14" t="str">
        <f t="shared" si="173"/>
        <v/>
      </c>
      <c r="F1128" s="14" t="str">
        <f t="shared" si="174"/>
        <v/>
      </c>
      <c r="G1128" s="14" t="str">
        <f t="shared" si="175"/>
        <v/>
      </c>
      <c r="H1128" s="14" t="str">
        <f t="shared" si="176"/>
        <v/>
      </c>
      <c r="I1128" s="15" t="str">
        <f t="shared" si="177"/>
        <v/>
      </c>
      <c r="J1128" s="15" t="str">
        <f t="shared" si="179"/>
        <v/>
      </c>
      <c r="K1128" s="16" t="str">
        <f t="shared" si="178"/>
        <v/>
      </c>
      <c r="M1128" t="str">
        <f>IFERROR(MATCH($C$5&amp;"|"&amp;RIGHT("000000"&amp;1112,6),CalcRankKeyA,0),"")</f>
        <v/>
      </c>
      <c r="N1128" t="str">
        <f>IFERROR(MATCH($C$5&amp;"|"&amp;RIGHT("000000"&amp;1112,6),CalcRankKeyB,0),"")</f>
        <v/>
      </c>
    </row>
    <row r="1129" spans="1:14" x14ac:dyDescent="0.2">
      <c r="A1129" s="7">
        <v>1113</v>
      </c>
      <c r="B1129" s="8" t="str">
        <f t="shared" si="170"/>
        <v/>
      </c>
      <c r="C1129" s="8" t="str">
        <f t="shared" si="171"/>
        <v/>
      </c>
      <c r="D1129" s="8" t="str">
        <f t="shared" si="172"/>
        <v/>
      </c>
      <c r="E1129" s="9" t="str">
        <f t="shared" si="173"/>
        <v/>
      </c>
      <c r="F1129" s="9" t="str">
        <f t="shared" si="174"/>
        <v/>
      </c>
      <c r="G1129" s="9" t="str">
        <f t="shared" si="175"/>
        <v/>
      </c>
      <c r="H1129" s="9" t="str">
        <f t="shared" si="176"/>
        <v/>
      </c>
      <c r="I1129" s="10" t="str">
        <f t="shared" si="177"/>
        <v/>
      </c>
      <c r="J1129" s="10" t="str">
        <f t="shared" si="179"/>
        <v/>
      </c>
      <c r="K1129" s="11" t="str">
        <f t="shared" si="178"/>
        <v/>
      </c>
      <c r="M1129" t="str">
        <f>IFERROR(MATCH($C$5&amp;"|"&amp;RIGHT("000000"&amp;1113,6),CalcRankKeyA,0),"")</f>
        <v/>
      </c>
      <c r="N1129" t="str">
        <f>IFERROR(MATCH($C$5&amp;"|"&amp;RIGHT("000000"&amp;1113,6),CalcRankKeyB,0),"")</f>
        <v/>
      </c>
    </row>
    <row r="1130" spans="1:14" x14ac:dyDescent="0.2">
      <c r="A1130" s="12">
        <v>1114</v>
      </c>
      <c r="B1130" s="13" t="str">
        <f t="shared" si="170"/>
        <v/>
      </c>
      <c r="C1130" s="13" t="str">
        <f t="shared" si="171"/>
        <v/>
      </c>
      <c r="D1130" s="13" t="str">
        <f t="shared" si="172"/>
        <v/>
      </c>
      <c r="E1130" s="14" t="str">
        <f t="shared" si="173"/>
        <v/>
      </c>
      <c r="F1130" s="14" t="str">
        <f t="shared" si="174"/>
        <v/>
      </c>
      <c r="G1130" s="14" t="str">
        <f t="shared" si="175"/>
        <v/>
      </c>
      <c r="H1130" s="14" t="str">
        <f t="shared" si="176"/>
        <v/>
      </c>
      <c r="I1130" s="15" t="str">
        <f t="shared" si="177"/>
        <v/>
      </c>
      <c r="J1130" s="15" t="str">
        <f t="shared" si="179"/>
        <v/>
      </c>
      <c r="K1130" s="16" t="str">
        <f t="shared" si="178"/>
        <v/>
      </c>
      <c r="M1130" t="str">
        <f>IFERROR(MATCH($C$5&amp;"|"&amp;RIGHT("000000"&amp;1114,6),CalcRankKeyA,0),"")</f>
        <v/>
      </c>
      <c r="N1130" t="str">
        <f>IFERROR(MATCH($C$5&amp;"|"&amp;RIGHT("000000"&amp;1114,6),CalcRankKeyB,0),"")</f>
        <v/>
      </c>
    </row>
    <row r="1131" spans="1:14" x14ac:dyDescent="0.2">
      <c r="A1131" s="7">
        <v>1115</v>
      </c>
      <c r="B1131" s="8" t="str">
        <f t="shared" si="170"/>
        <v/>
      </c>
      <c r="C1131" s="8" t="str">
        <f t="shared" si="171"/>
        <v/>
      </c>
      <c r="D1131" s="8" t="str">
        <f t="shared" si="172"/>
        <v/>
      </c>
      <c r="E1131" s="9" t="str">
        <f t="shared" si="173"/>
        <v/>
      </c>
      <c r="F1131" s="9" t="str">
        <f t="shared" si="174"/>
        <v/>
      </c>
      <c r="G1131" s="9" t="str">
        <f t="shared" si="175"/>
        <v/>
      </c>
      <c r="H1131" s="9" t="str">
        <f t="shared" si="176"/>
        <v/>
      </c>
      <c r="I1131" s="10" t="str">
        <f t="shared" si="177"/>
        <v/>
      </c>
      <c r="J1131" s="10" t="str">
        <f t="shared" si="179"/>
        <v/>
      </c>
      <c r="K1131" s="11" t="str">
        <f t="shared" si="178"/>
        <v/>
      </c>
      <c r="M1131" t="str">
        <f>IFERROR(MATCH($C$5&amp;"|"&amp;RIGHT("000000"&amp;1115,6),CalcRankKeyA,0),"")</f>
        <v/>
      </c>
      <c r="N1131" t="str">
        <f>IFERROR(MATCH($C$5&amp;"|"&amp;RIGHT("000000"&amp;1115,6),CalcRankKeyB,0),"")</f>
        <v/>
      </c>
    </row>
    <row r="1132" spans="1:14" x14ac:dyDescent="0.2">
      <c r="A1132" s="12">
        <v>1116</v>
      </c>
      <c r="B1132" s="13" t="str">
        <f t="shared" si="170"/>
        <v/>
      </c>
      <c r="C1132" s="13" t="str">
        <f t="shared" si="171"/>
        <v/>
      </c>
      <c r="D1132" s="13" t="str">
        <f t="shared" si="172"/>
        <v/>
      </c>
      <c r="E1132" s="14" t="str">
        <f t="shared" si="173"/>
        <v/>
      </c>
      <c r="F1132" s="14" t="str">
        <f t="shared" si="174"/>
        <v/>
      </c>
      <c r="G1132" s="14" t="str">
        <f t="shared" si="175"/>
        <v/>
      </c>
      <c r="H1132" s="14" t="str">
        <f t="shared" si="176"/>
        <v/>
      </c>
      <c r="I1132" s="15" t="str">
        <f t="shared" si="177"/>
        <v/>
      </c>
      <c r="J1132" s="15" t="str">
        <f t="shared" si="179"/>
        <v/>
      </c>
      <c r="K1132" s="16" t="str">
        <f t="shared" si="178"/>
        <v/>
      </c>
      <c r="M1132" t="str">
        <f>IFERROR(MATCH($C$5&amp;"|"&amp;RIGHT("000000"&amp;1116,6),CalcRankKeyA,0),"")</f>
        <v/>
      </c>
      <c r="N1132" t="str">
        <f>IFERROR(MATCH($C$5&amp;"|"&amp;RIGHT("000000"&amp;1116,6),CalcRankKeyB,0),"")</f>
        <v/>
      </c>
    </row>
    <row r="1133" spans="1:14" x14ac:dyDescent="0.2">
      <c r="A1133" s="7">
        <v>1117</v>
      </c>
      <c r="B1133" s="8" t="str">
        <f t="shared" si="170"/>
        <v/>
      </c>
      <c r="C1133" s="8" t="str">
        <f t="shared" si="171"/>
        <v/>
      </c>
      <c r="D1133" s="8" t="str">
        <f t="shared" si="172"/>
        <v/>
      </c>
      <c r="E1133" s="9" t="str">
        <f t="shared" si="173"/>
        <v/>
      </c>
      <c r="F1133" s="9" t="str">
        <f t="shared" si="174"/>
        <v/>
      </c>
      <c r="G1133" s="9" t="str">
        <f t="shared" si="175"/>
        <v/>
      </c>
      <c r="H1133" s="9" t="str">
        <f t="shared" si="176"/>
        <v/>
      </c>
      <c r="I1133" s="10" t="str">
        <f t="shared" si="177"/>
        <v/>
      </c>
      <c r="J1133" s="10" t="str">
        <f t="shared" si="179"/>
        <v/>
      </c>
      <c r="K1133" s="11" t="str">
        <f t="shared" si="178"/>
        <v/>
      </c>
      <c r="M1133" t="str">
        <f>IFERROR(MATCH($C$5&amp;"|"&amp;RIGHT("000000"&amp;1117,6),CalcRankKeyA,0),"")</f>
        <v/>
      </c>
      <c r="N1133" t="str">
        <f>IFERROR(MATCH($C$5&amp;"|"&amp;RIGHT("000000"&amp;1117,6),CalcRankKeyB,0),"")</f>
        <v/>
      </c>
    </row>
    <row r="1134" spans="1:14" x14ac:dyDescent="0.2">
      <c r="A1134" s="12">
        <v>1118</v>
      </c>
      <c r="B1134" s="13" t="str">
        <f t="shared" si="170"/>
        <v/>
      </c>
      <c r="C1134" s="13" t="str">
        <f t="shared" si="171"/>
        <v/>
      </c>
      <c r="D1134" s="13" t="str">
        <f t="shared" si="172"/>
        <v/>
      </c>
      <c r="E1134" s="14" t="str">
        <f t="shared" si="173"/>
        <v/>
      </c>
      <c r="F1134" s="14" t="str">
        <f t="shared" si="174"/>
        <v/>
      </c>
      <c r="G1134" s="14" t="str">
        <f t="shared" si="175"/>
        <v/>
      </c>
      <c r="H1134" s="14" t="str">
        <f t="shared" si="176"/>
        <v/>
      </c>
      <c r="I1134" s="15" t="str">
        <f t="shared" si="177"/>
        <v/>
      </c>
      <c r="J1134" s="15" t="str">
        <f t="shared" si="179"/>
        <v/>
      </c>
      <c r="K1134" s="16" t="str">
        <f t="shared" si="178"/>
        <v/>
      </c>
      <c r="M1134" t="str">
        <f>IFERROR(MATCH($C$5&amp;"|"&amp;RIGHT("000000"&amp;1118,6),CalcRankKeyA,0),"")</f>
        <v/>
      </c>
      <c r="N1134" t="str">
        <f>IFERROR(MATCH($C$5&amp;"|"&amp;RIGHT("000000"&amp;1118,6),CalcRankKeyB,0),"")</f>
        <v/>
      </c>
    </row>
    <row r="1135" spans="1:14" x14ac:dyDescent="0.2">
      <c r="A1135" s="7">
        <v>1119</v>
      </c>
      <c r="B1135" s="8" t="str">
        <f t="shared" si="170"/>
        <v/>
      </c>
      <c r="C1135" s="8" t="str">
        <f t="shared" si="171"/>
        <v/>
      </c>
      <c r="D1135" s="8" t="str">
        <f t="shared" si="172"/>
        <v/>
      </c>
      <c r="E1135" s="9" t="str">
        <f t="shared" si="173"/>
        <v/>
      </c>
      <c r="F1135" s="9" t="str">
        <f t="shared" si="174"/>
        <v/>
      </c>
      <c r="G1135" s="9" t="str">
        <f t="shared" si="175"/>
        <v/>
      </c>
      <c r="H1135" s="9" t="str">
        <f t="shared" si="176"/>
        <v/>
      </c>
      <c r="I1135" s="10" t="str">
        <f t="shared" si="177"/>
        <v/>
      </c>
      <c r="J1135" s="10" t="str">
        <f t="shared" si="179"/>
        <v/>
      </c>
      <c r="K1135" s="11" t="str">
        <f t="shared" si="178"/>
        <v/>
      </c>
      <c r="M1135" t="str">
        <f>IFERROR(MATCH($C$5&amp;"|"&amp;RIGHT("000000"&amp;1119,6),CalcRankKeyA,0),"")</f>
        <v/>
      </c>
      <c r="N1135" t="str">
        <f>IFERROR(MATCH($C$5&amp;"|"&amp;RIGHT("000000"&amp;1119,6),CalcRankKeyB,0),"")</f>
        <v/>
      </c>
    </row>
    <row r="1136" spans="1:14" x14ac:dyDescent="0.2">
      <c r="A1136" s="12">
        <v>1120</v>
      </c>
      <c r="B1136" s="13" t="str">
        <f t="shared" si="170"/>
        <v/>
      </c>
      <c r="C1136" s="13" t="str">
        <f t="shared" si="171"/>
        <v/>
      </c>
      <c r="D1136" s="13" t="str">
        <f t="shared" si="172"/>
        <v/>
      </c>
      <c r="E1136" s="14" t="str">
        <f t="shared" si="173"/>
        <v/>
      </c>
      <c r="F1136" s="14" t="str">
        <f t="shared" si="174"/>
        <v/>
      </c>
      <c r="G1136" s="14" t="str">
        <f t="shared" si="175"/>
        <v/>
      </c>
      <c r="H1136" s="14" t="str">
        <f t="shared" si="176"/>
        <v/>
      </c>
      <c r="I1136" s="15" t="str">
        <f t="shared" si="177"/>
        <v/>
      </c>
      <c r="J1136" s="15" t="str">
        <f t="shared" si="179"/>
        <v/>
      </c>
      <c r="K1136" s="16" t="str">
        <f t="shared" si="178"/>
        <v/>
      </c>
      <c r="M1136" t="str">
        <f>IFERROR(MATCH($C$5&amp;"|"&amp;RIGHT("000000"&amp;1120,6),CalcRankKeyA,0),"")</f>
        <v/>
      </c>
      <c r="N1136" t="str">
        <f>IFERROR(MATCH($C$5&amp;"|"&amp;RIGHT("000000"&amp;1120,6),CalcRankKeyB,0),"")</f>
        <v/>
      </c>
    </row>
    <row r="1137" spans="1:14" x14ac:dyDescent="0.2">
      <c r="A1137" s="7">
        <v>1121</v>
      </c>
      <c r="B1137" s="8" t="str">
        <f t="shared" si="170"/>
        <v/>
      </c>
      <c r="C1137" s="8" t="str">
        <f t="shared" si="171"/>
        <v/>
      </c>
      <c r="D1137" s="8" t="str">
        <f t="shared" si="172"/>
        <v/>
      </c>
      <c r="E1137" s="9" t="str">
        <f t="shared" si="173"/>
        <v/>
      </c>
      <c r="F1137" s="9" t="str">
        <f t="shared" si="174"/>
        <v/>
      </c>
      <c r="G1137" s="9" t="str">
        <f t="shared" si="175"/>
        <v/>
      </c>
      <c r="H1137" s="9" t="str">
        <f t="shared" si="176"/>
        <v/>
      </c>
      <c r="I1137" s="10" t="str">
        <f t="shared" si="177"/>
        <v/>
      </c>
      <c r="J1137" s="10" t="str">
        <f t="shared" si="179"/>
        <v/>
      </c>
      <c r="K1137" s="11" t="str">
        <f t="shared" si="178"/>
        <v/>
      </c>
      <c r="M1137" t="str">
        <f>IFERROR(MATCH($C$5&amp;"|"&amp;RIGHT("000000"&amp;1121,6),CalcRankKeyA,0),"")</f>
        <v/>
      </c>
      <c r="N1137" t="str">
        <f>IFERROR(MATCH($C$5&amp;"|"&amp;RIGHT("000000"&amp;1121,6),CalcRankKeyB,0),"")</f>
        <v/>
      </c>
    </row>
    <row r="1138" spans="1:14" x14ac:dyDescent="0.2">
      <c r="A1138" s="12">
        <v>1122</v>
      </c>
      <c r="B1138" s="13" t="str">
        <f t="shared" si="170"/>
        <v/>
      </c>
      <c r="C1138" s="13" t="str">
        <f t="shared" si="171"/>
        <v/>
      </c>
      <c r="D1138" s="13" t="str">
        <f t="shared" si="172"/>
        <v/>
      </c>
      <c r="E1138" s="14" t="str">
        <f t="shared" si="173"/>
        <v/>
      </c>
      <c r="F1138" s="14" t="str">
        <f t="shared" si="174"/>
        <v/>
      </c>
      <c r="G1138" s="14" t="str">
        <f t="shared" si="175"/>
        <v/>
      </c>
      <c r="H1138" s="14" t="str">
        <f t="shared" si="176"/>
        <v/>
      </c>
      <c r="I1138" s="15" t="str">
        <f t="shared" si="177"/>
        <v/>
      </c>
      <c r="J1138" s="15" t="str">
        <f t="shared" si="179"/>
        <v/>
      </c>
      <c r="K1138" s="16" t="str">
        <f t="shared" si="178"/>
        <v/>
      </c>
      <c r="M1138" t="str">
        <f>IFERROR(MATCH($C$5&amp;"|"&amp;RIGHT("000000"&amp;1122,6),CalcRankKeyA,0),"")</f>
        <v/>
      </c>
      <c r="N1138" t="str">
        <f>IFERROR(MATCH($C$5&amp;"|"&amp;RIGHT("000000"&amp;1122,6),CalcRankKeyB,0),"")</f>
        <v/>
      </c>
    </row>
    <row r="1139" spans="1:14" x14ac:dyDescent="0.2">
      <c r="A1139" s="7">
        <v>1123</v>
      </c>
      <c r="B1139" s="8" t="str">
        <f t="shared" si="170"/>
        <v/>
      </c>
      <c r="C1139" s="8" t="str">
        <f t="shared" si="171"/>
        <v/>
      </c>
      <c r="D1139" s="8" t="str">
        <f t="shared" si="172"/>
        <v/>
      </c>
      <c r="E1139" s="9" t="str">
        <f t="shared" si="173"/>
        <v/>
      </c>
      <c r="F1139" s="9" t="str">
        <f t="shared" si="174"/>
        <v/>
      </c>
      <c r="G1139" s="9" t="str">
        <f t="shared" si="175"/>
        <v/>
      </c>
      <c r="H1139" s="9" t="str">
        <f t="shared" si="176"/>
        <v/>
      </c>
      <c r="I1139" s="10" t="str">
        <f t="shared" si="177"/>
        <v/>
      </c>
      <c r="J1139" s="10" t="str">
        <f t="shared" si="179"/>
        <v/>
      </c>
      <c r="K1139" s="11" t="str">
        <f t="shared" si="178"/>
        <v/>
      </c>
      <c r="M1139" t="str">
        <f>IFERROR(MATCH($C$5&amp;"|"&amp;RIGHT("000000"&amp;1123,6),CalcRankKeyA,0),"")</f>
        <v/>
      </c>
      <c r="N1139" t="str">
        <f>IFERROR(MATCH($C$5&amp;"|"&amp;RIGHT("000000"&amp;1123,6),CalcRankKeyB,0),"")</f>
        <v/>
      </c>
    </row>
    <row r="1140" spans="1:14" x14ac:dyDescent="0.2">
      <c r="A1140" s="12">
        <v>1124</v>
      </c>
      <c r="B1140" s="13" t="str">
        <f t="shared" si="170"/>
        <v/>
      </c>
      <c r="C1140" s="13" t="str">
        <f t="shared" si="171"/>
        <v/>
      </c>
      <c r="D1140" s="13" t="str">
        <f t="shared" si="172"/>
        <v/>
      </c>
      <c r="E1140" s="14" t="str">
        <f t="shared" si="173"/>
        <v/>
      </c>
      <c r="F1140" s="14" t="str">
        <f t="shared" si="174"/>
        <v/>
      </c>
      <c r="G1140" s="14" t="str">
        <f t="shared" si="175"/>
        <v/>
      </c>
      <c r="H1140" s="14" t="str">
        <f t="shared" si="176"/>
        <v/>
      </c>
      <c r="I1140" s="15" t="str">
        <f t="shared" si="177"/>
        <v/>
      </c>
      <c r="J1140" s="15" t="str">
        <f t="shared" si="179"/>
        <v/>
      </c>
      <c r="K1140" s="16" t="str">
        <f t="shared" si="178"/>
        <v/>
      </c>
      <c r="M1140" t="str">
        <f>IFERROR(MATCH($C$5&amp;"|"&amp;RIGHT("000000"&amp;1124,6),CalcRankKeyA,0),"")</f>
        <v/>
      </c>
      <c r="N1140" t="str">
        <f>IFERROR(MATCH($C$5&amp;"|"&amp;RIGHT("000000"&amp;1124,6),CalcRankKeyB,0),"")</f>
        <v/>
      </c>
    </row>
    <row r="1141" spans="1:14" x14ac:dyDescent="0.2">
      <c r="A1141" s="7">
        <v>1125</v>
      </c>
      <c r="B1141" s="8" t="str">
        <f t="shared" si="170"/>
        <v/>
      </c>
      <c r="C1141" s="8" t="str">
        <f t="shared" si="171"/>
        <v/>
      </c>
      <c r="D1141" s="8" t="str">
        <f t="shared" si="172"/>
        <v/>
      </c>
      <c r="E1141" s="9" t="str">
        <f t="shared" si="173"/>
        <v/>
      </c>
      <c r="F1141" s="9" t="str">
        <f t="shared" si="174"/>
        <v/>
      </c>
      <c r="G1141" s="9" t="str">
        <f t="shared" si="175"/>
        <v/>
      </c>
      <c r="H1141" s="9" t="str">
        <f t="shared" si="176"/>
        <v/>
      </c>
      <c r="I1141" s="10" t="str">
        <f t="shared" si="177"/>
        <v/>
      </c>
      <c r="J1141" s="10" t="str">
        <f t="shared" si="179"/>
        <v/>
      </c>
      <c r="K1141" s="11" t="str">
        <f t="shared" si="178"/>
        <v/>
      </c>
      <c r="M1141" t="str">
        <f>IFERROR(MATCH($C$5&amp;"|"&amp;RIGHT("000000"&amp;1125,6),CalcRankKeyA,0),"")</f>
        <v/>
      </c>
      <c r="N1141" t="str">
        <f>IFERROR(MATCH($C$5&amp;"|"&amp;RIGHT("000000"&amp;1125,6),CalcRankKeyB,0),"")</f>
        <v/>
      </c>
    </row>
    <row r="1142" spans="1:14" x14ac:dyDescent="0.2">
      <c r="A1142" s="12">
        <v>1126</v>
      </c>
      <c r="B1142" s="13" t="str">
        <f t="shared" si="170"/>
        <v/>
      </c>
      <c r="C1142" s="13" t="str">
        <f t="shared" si="171"/>
        <v/>
      </c>
      <c r="D1142" s="13" t="str">
        <f t="shared" si="172"/>
        <v/>
      </c>
      <c r="E1142" s="14" t="str">
        <f t="shared" si="173"/>
        <v/>
      </c>
      <c r="F1142" s="14" t="str">
        <f t="shared" si="174"/>
        <v/>
      </c>
      <c r="G1142" s="14" t="str">
        <f t="shared" si="175"/>
        <v/>
      </c>
      <c r="H1142" s="14" t="str">
        <f t="shared" si="176"/>
        <v/>
      </c>
      <c r="I1142" s="15" t="str">
        <f t="shared" si="177"/>
        <v/>
      </c>
      <c r="J1142" s="15" t="str">
        <f t="shared" si="179"/>
        <v/>
      </c>
      <c r="K1142" s="16" t="str">
        <f t="shared" si="178"/>
        <v/>
      </c>
      <c r="M1142" t="str">
        <f>IFERROR(MATCH($C$5&amp;"|"&amp;RIGHT("000000"&amp;1126,6),CalcRankKeyA,0),"")</f>
        <v/>
      </c>
      <c r="N1142" t="str">
        <f>IFERROR(MATCH($C$5&amp;"|"&amp;RIGHT("000000"&amp;1126,6),CalcRankKeyB,0),"")</f>
        <v/>
      </c>
    </row>
    <row r="1143" spans="1:14" x14ac:dyDescent="0.2">
      <c r="A1143" s="7">
        <v>1127</v>
      </c>
      <c r="B1143" s="8" t="str">
        <f t="shared" si="170"/>
        <v/>
      </c>
      <c r="C1143" s="8" t="str">
        <f t="shared" si="171"/>
        <v/>
      </c>
      <c r="D1143" s="8" t="str">
        <f t="shared" si="172"/>
        <v/>
      </c>
      <c r="E1143" s="9" t="str">
        <f t="shared" si="173"/>
        <v/>
      </c>
      <c r="F1143" s="9" t="str">
        <f t="shared" si="174"/>
        <v/>
      </c>
      <c r="G1143" s="9" t="str">
        <f t="shared" si="175"/>
        <v/>
      </c>
      <c r="H1143" s="9" t="str">
        <f t="shared" si="176"/>
        <v/>
      </c>
      <c r="I1143" s="10" t="str">
        <f t="shared" si="177"/>
        <v/>
      </c>
      <c r="J1143" s="10" t="str">
        <f t="shared" si="179"/>
        <v/>
      </c>
      <c r="K1143" s="11" t="str">
        <f t="shared" si="178"/>
        <v/>
      </c>
      <c r="M1143" t="str">
        <f>IFERROR(MATCH($C$5&amp;"|"&amp;RIGHT("000000"&amp;1127,6),CalcRankKeyA,0),"")</f>
        <v/>
      </c>
      <c r="N1143" t="str">
        <f>IFERROR(MATCH($C$5&amp;"|"&amp;RIGHT("000000"&amp;1127,6),CalcRankKeyB,0),"")</f>
        <v/>
      </c>
    </row>
    <row r="1144" spans="1:14" x14ac:dyDescent="0.2">
      <c r="A1144" s="12">
        <v>1128</v>
      </c>
      <c r="B1144" s="13" t="str">
        <f t="shared" si="170"/>
        <v/>
      </c>
      <c r="C1144" s="13" t="str">
        <f t="shared" si="171"/>
        <v/>
      </c>
      <c r="D1144" s="13" t="str">
        <f t="shared" si="172"/>
        <v/>
      </c>
      <c r="E1144" s="14" t="str">
        <f t="shared" si="173"/>
        <v/>
      </c>
      <c r="F1144" s="14" t="str">
        <f t="shared" si="174"/>
        <v/>
      </c>
      <c r="G1144" s="14" t="str">
        <f t="shared" si="175"/>
        <v/>
      </c>
      <c r="H1144" s="14" t="str">
        <f t="shared" si="176"/>
        <v/>
      </c>
      <c r="I1144" s="15" t="str">
        <f t="shared" si="177"/>
        <v/>
      </c>
      <c r="J1144" s="15" t="str">
        <f t="shared" si="179"/>
        <v/>
      </c>
      <c r="K1144" s="16" t="str">
        <f t="shared" si="178"/>
        <v/>
      </c>
      <c r="M1144" t="str">
        <f>IFERROR(MATCH($C$5&amp;"|"&amp;RIGHT("000000"&amp;1128,6),CalcRankKeyA,0),"")</f>
        <v/>
      </c>
      <c r="N1144" t="str">
        <f>IFERROR(MATCH($C$5&amp;"|"&amp;RIGHT("000000"&amp;1128,6),CalcRankKeyB,0),"")</f>
        <v/>
      </c>
    </row>
    <row r="1145" spans="1:14" x14ac:dyDescent="0.2">
      <c r="A1145" s="7">
        <v>1129</v>
      </c>
      <c r="B1145" s="8" t="str">
        <f t="shared" si="170"/>
        <v/>
      </c>
      <c r="C1145" s="8" t="str">
        <f t="shared" si="171"/>
        <v/>
      </c>
      <c r="D1145" s="8" t="str">
        <f t="shared" si="172"/>
        <v/>
      </c>
      <c r="E1145" s="9" t="str">
        <f t="shared" si="173"/>
        <v/>
      </c>
      <c r="F1145" s="9" t="str">
        <f t="shared" si="174"/>
        <v/>
      </c>
      <c r="G1145" s="9" t="str">
        <f t="shared" si="175"/>
        <v/>
      </c>
      <c r="H1145" s="9" t="str">
        <f t="shared" si="176"/>
        <v/>
      </c>
      <c r="I1145" s="10" t="str">
        <f t="shared" si="177"/>
        <v/>
      </c>
      <c r="J1145" s="10" t="str">
        <f t="shared" si="179"/>
        <v/>
      </c>
      <c r="K1145" s="11" t="str">
        <f t="shared" si="178"/>
        <v/>
      </c>
      <c r="M1145" t="str">
        <f>IFERROR(MATCH($C$5&amp;"|"&amp;RIGHT("000000"&amp;1129,6),CalcRankKeyA,0),"")</f>
        <v/>
      </c>
      <c r="N1145" t="str">
        <f>IFERROR(MATCH($C$5&amp;"|"&amp;RIGHT("000000"&amp;1129,6),CalcRankKeyB,0),"")</f>
        <v/>
      </c>
    </row>
    <row r="1146" spans="1:14" x14ac:dyDescent="0.2">
      <c r="A1146" s="12">
        <v>1130</v>
      </c>
      <c r="B1146" s="13" t="str">
        <f t="shared" si="170"/>
        <v/>
      </c>
      <c r="C1146" s="13" t="str">
        <f t="shared" si="171"/>
        <v/>
      </c>
      <c r="D1146" s="13" t="str">
        <f t="shared" si="172"/>
        <v/>
      </c>
      <c r="E1146" s="14" t="str">
        <f t="shared" si="173"/>
        <v/>
      </c>
      <c r="F1146" s="14" t="str">
        <f t="shared" si="174"/>
        <v/>
      </c>
      <c r="G1146" s="14" t="str">
        <f t="shared" si="175"/>
        <v/>
      </c>
      <c r="H1146" s="14" t="str">
        <f t="shared" si="176"/>
        <v/>
      </c>
      <c r="I1146" s="15" t="str">
        <f t="shared" si="177"/>
        <v/>
      </c>
      <c r="J1146" s="15" t="str">
        <f t="shared" si="179"/>
        <v/>
      </c>
      <c r="K1146" s="16" t="str">
        <f t="shared" si="178"/>
        <v/>
      </c>
      <c r="M1146" t="str">
        <f>IFERROR(MATCH($C$5&amp;"|"&amp;RIGHT("000000"&amp;1130,6),CalcRankKeyA,0),"")</f>
        <v/>
      </c>
      <c r="N1146" t="str">
        <f>IFERROR(MATCH($C$5&amp;"|"&amp;RIGHT("000000"&amp;1130,6),CalcRankKeyB,0),"")</f>
        <v/>
      </c>
    </row>
    <row r="1147" spans="1:14" x14ac:dyDescent="0.2">
      <c r="A1147" s="7">
        <v>1131</v>
      </c>
      <c r="B1147" s="8" t="str">
        <f t="shared" si="170"/>
        <v/>
      </c>
      <c r="C1147" s="8" t="str">
        <f t="shared" si="171"/>
        <v/>
      </c>
      <c r="D1147" s="8" t="str">
        <f t="shared" si="172"/>
        <v/>
      </c>
      <c r="E1147" s="9" t="str">
        <f t="shared" si="173"/>
        <v/>
      </c>
      <c r="F1147" s="9" t="str">
        <f t="shared" si="174"/>
        <v/>
      </c>
      <c r="G1147" s="9" t="str">
        <f t="shared" si="175"/>
        <v/>
      </c>
      <c r="H1147" s="9" t="str">
        <f t="shared" si="176"/>
        <v/>
      </c>
      <c r="I1147" s="10" t="str">
        <f t="shared" si="177"/>
        <v/>
      </c>
      <c r="J1147" s="10" t="str">
        <f t="shared" si="179"/>
        <v/>
      </c>
      <c r="K1147" s="11" t="str">
        <f t="shared" si="178"/>
        <v/>
      </c>
      <c r="M1147" t="str">
        <f>IFERROR(MATCH($C$5&amp;"|"&amp;RIGHT("000000"&amp;1131,6),CalcRankKeyA,0),"")</f>
        <v/>
      </c>
      <c r="N1147" t="str">
        <f>IFERROR(MATCH($C$5&amp;"|"&amp;RIGHT("000000"&amp;1131,6),CalcRankKeyB,0),"")</f>
        <v/>
      </c>
    </row>
    <row r="1148" spans="1:14" x14ac:dyDescent="0.2">
      <c r="A1148" s="12">
        <v>1132</v>
      </c>
      <c r="B1148" s="13" t="str">
        <f t="shared" si="170"/>
        <v/>
      </c>
      <c r="C1148" s="13" t="str">
        <f t="shared" si="171"/>
        <v/>
      </c>
      <c r="D1148" s="13" t="str">
        <f t="shared" si="172"/>
        <v/>
      </c>
      <c r="E1148" s="14" t="str">
        <f t="shared" si="173"/>
        <v/>
      </c>
      <c r="F1148" s="14" t="str">
        <f t="shared" si="174"/>
        <v/>
      </c>
      <c r="G1148" s="14" t="str">
        <f t="shared" si="175"/>
        <v/>
      </c>
      <c r="H1148" s="14" t="str">
        <f t="shared" si="176"/>
        <v/>
      </c>
      <c r="I1148" s="15" t="str">
        <f t="shared" si="177"/>
        <v/>
      </c>
      <c r="J1148" s="15" t="str">
        <f t="shared" si="179"/>
        <v/>
      </c>
      <c r="K1148" s="16" t="str">
        <f t="shared" si="178"/>
        <v/>
      </c>
      <c r="M1148" t="str">
        <f>IFERROR(MATCH($C$5&amp;"|"&amp;RIGHT("000000"&amp;1132,6),CalcRankKeyA,0),"")</f>
        <v/>
      </c>
      <c r="N1148" t="str">
        <f>IFERROR(MATCH($C$5&amp;"|"&amp;RIGHT("000000"&amp;1132,6),CalcRankKeyB,0),"")</f>
        <v/>
      </c>
    </row>
    <row r="1149" spans="1:14" x14ac:dyDescent="0.2">
      <c r="A1149" s="7">
        <v>1133</v>
      </c>
      <c r="B1149" s="8" t="str">
        <f t="shared" si="170"/>
        <v/>
      </c>
      <c r="C1149" s="8" t="str">
        <f t="shared" si="171"/>
        <v/>
      </c>
      <c r="D1149" s="8" t="str">
        <f t="shared" si="172"/>
        <v/>
      </c>
      <c r="E1149" s="9" t="str">
        <f t="shared" si="173"/>
        <v/>
      </c>
      <c r="F1149" s="9" t="str">
        <f t="shared" si="174"/>
        <v/>
      </c>
      <c r="G1149" s="9" t="str">
        <f t="shared" si="175"/>
        <v/>
      </c>
      <c r="H1149" s="9" t="str">
        <f t="shared" si="176"/>
        <v/>
      </c>
      <c r="I1149" s="10" t="str">
        <f t="shared" si="177"/>
        <v/>
      </c>
      <c r="J1149" s="10" t="str">
        <f t="shared" si="179"/>
        <v/>
      </c>
      <c r="K1149" s="11" t="str">
        <f t="shared" si="178"/>
        <v/>
      </c>
      <c r="M1149" t="str">
        <f>IFERROR(MATCH($C$5&amp;"|"&amp;RIGHT("000000"&amp;1133,6),CalcRankKeyA,0),"")</f>
        <v/>
      </c>
      <c r="N1149" t="str">
        <f>IFERROR(MATCH($C$5&amp;"|"&amp;RIGHT("000000"&amp;1133,6),CalcRankKeyB,0),"")</f>
        <v/>
      </c>
    </row>
    <row r="1150" spans="1:14" x14ac:dyDescent="0.2">
      <c r="A1150" s="12">
        <v>1134</v>
      </c>
      <c r="B1150" s="13" t="str">
        <f t="shared" si="170"/>
        <v/>
      </c>
      <c r="C1150" s="13" t="str">
        <f t="shared" si="171"/>
        <v/>
      </c>
      <c r="D1150" s="13" t="str">
        <f t="shared" si="172"/>
        <v/>
      </c>
      <c r="E1150" s="14" t="str">
        <f t="shared" si="173"/>
        <v/>
      </c>
      <c r="F1150" s="14" t="str">
        <f t="shared" si="174"/>
        <v/>
      </c>
      <c r="G1150" s="14" t="str">
        <f t="shared" si="175"/>
        <v/>
      </c>
      <c r="H1150" s="14" t="str">
        <f t="shared" si="176"/>
        <v/>
      </c>
      <c r="I1150" s="15" t="str">
        <f t="shared" si="177"/>
        <v/>
      </c>
      <c r="J1150" s="15" t="str">
        <f t="shared" si="179"/>
        <v/>
      </c>
      <c r="K1150" s="16" t="str">
        <f t="shared" si="178"/>
        <v/>
      </c>
      <c r="M1150" t="str">
        <f>IFERROR(MATCH($C$5&amp;"|"&amp;RIGHT("000000"&amp;1134,6),CalcRankKeyA,0),"")</f>
        <v/>
      </c>
      <c r="N1150" t="str">
        <f>IFERROR(MATCH($C$5&amp;"|"&amp;RIGHT("000000"&amp;1134,6),CalcRankKeyB,0),"")</f>
        <v/>
      </c>
    </row>
    <row r="1151" spans="1:14" x14ac:dyDescent="0.2">
      <c r="A1151" s="7">
        <v>1135</v>
      </c>
      <c r="B1151" s="8" t="str">
        <f t="shared" si="170"/>
        <v/>
      </c>
      <c r="C1151" s="8" t="str">
        <f t="shared" si="171"/>
        <v/>
      </c>
      <c r="D1151" s="8" t="str">
        <f t="shared" si="172"/>
        <v/>
      </c>
      <c r="E1151" s="9" t="str">
        <f t="shared" si="173"/>
        <v/>
      </c>
      <c r="F1151" s="9" t="str">
        <f t="shared" si="174"/>
        <v/>
      </c>
      <c r="G1151" s="9" t="str">
        <f t="shared" si="175"/>
        <v/>
      </c>
      <c r="H1151" s="9" t="str">
        <f t="shared" si="176"/>
        <v/>
      </c>
      <c r="I1151" s="10" t="str">
        <f t="shared" si="177"/>
        <v/>
      </c>
      <c r="J1151" s="10" t="str">
        <f t="shared" si="179"/>
        <v/>
      </c>
      <c r="K1151" s="11" t="str">
        <f t="shared" si="178"/>
        <v/>
      </c>
      <c r="M1151" t="str">
        <f>IFERROR(MATCH($C$5&amp;"|"&amp;RIGHT("000000"&amp;1135,6),CalcRankKeyA,0),"")</f>
        <v/>
      </c>
      <c r="N1151" t="str">
        <f>IFERROR(MATCH($C$5&amp;"|"&amp;RIGHT("000000"&amp;1135,6),CalcRankKeyB,0),"")</f>
        <v/>
      </c>
    </row>
    <row r="1152" spans="1:14" x14ac:dyDescent="0.2">
      <c r="A1152" s="12">
        <v>1136</v>
      </c>
      <c r="B1152" s="13" t="str">
        <f t="shared" si="170"/>
        <v/>
      </c>
      <c r="C1152" s="13" t="str">
        <f t="shared" si="171"/>
        <v/>
      </c>
      <c r="D1152" s="13" t="str">
        <f t="shared" si="172"/>
        <v/>
      </c>
      <c r="E1152" s="14" t="str">
        <f t="shared" si="173"/>
        <v/>
      </c>
      <c r="F1152" s="14" t="str">
        <f t="shared" si="174"/>
        <v/>
      </c>
      <c r="G1152" s="14" t="str">
        <f t="shared" si="175"/>
        <v/>
      </c>
      <c r="H1152" s="14" t="str">
        <f t="shared" si="176"/>
        <v/>
      </c>
      <c r="I1152" s="15" t="str">
        <f t="shared" si="177"/>
        <v/>
      </c>
      <c r="J1152" s="15" t="str">
        <f t="shared" si="179"/>
        <v/>
      </c>
      <c r="K1152" s="16" t="str">
        <f t="shared" si="178"/>
        <v/>
      </c>
      <c r="M1152" t="str">
        <f>IFERROR(MATCH($C$5&amp;"|"&amp;RIGHT("000000"&amp;1136,6),CalcRankKeyA,0),"")</f>
        <v/>
      </c>
      <c r="N1152" t="str">
        <f>IFERROR(MATCH($C$5&amp;"|"&amp;RIGHT("000000"&amp;1136,6),CalcRankKeyB,0),"")</f>
        <v/>
      </c>
    </row>
    <row r="1153" spans="1:14" x14ac:dyDescent="0.2">
      <c r="A1153" s="7">
        <v>1137</v>
      </c>
      <c r="B1153" s="8" t="str">
        <f t="shared" si="170"/>
        <v/>
      </c>
      <c r="C1153" s="8" t="str">
        <f t="shared" si="171"/>
        <v/>
      </c>
      <c r="D1153" s="8" t="str">
        <f t="shared" si="172"/>
        <v/>
      </c>
      <c r="E1153" s="9" t="str">
        <f t="shared" si="173"/>
        <v/>
      </c>
      <c r="F1153" s="9" t="str">
        <f t="shared" si="174"/>
        <v/>
      </c>
      <c r="G1153" s="9" t="str">
        <f t="shared" si="175"/>
        <v/>
      </c>
      <c r="H1153" s="9" t="str">
        <f t="shared" si="176"/>
        <v/>
      </c>
      <c r="I1153" s="10" t="str">
        <f t="shared" si="177"/>
        <v/>
      </c>
      <c r="J1153" s="10" t="str">
        <f t="shared" si="179"/>
        <v/>
      </c>
      <c r="K1153" s="11" t="str">
        <f t="shared" si="178"/>
        <v/>
      </c>
      <c r="M1153" t="str">
        <f>IFERROR(MATCH($C$5&amp;"|"&amp;RIGHT("000000"&amp;1137,6),CalcRankKeyA,0),"")</f>
        <v/>
      </c>
      <c r="N1153" t="str">
        <f>IFERROR(MATCH($C$5&amp;"|"&amp;RIGHT("000000"&amp;1137,6),CalcRankKeyB,0),"")</f>
        <v/>
      </c>
    </row>
    <row r="1154" spans="1:14" x14ac:dyDescent="0.2">
      <c r="A1154" s="12">
        <v>1138</v>
      </c>
      <c r="B1154" s="13" t="str">
        <f t="shared" si="170"/>
        <v/>
      </c>
      <c r="C1154" s="13" t="str">
        <f t="shared" si="171"/>
        <v/>
      </c>
      <c r="D1154" s="13" t="str">
        <f t="shared" si="172"/>
        <v/>
      </c>
      <c r="E1154" s="14" t="str">
        <f t="shared" si="173"/>
        <v/>
      </c>
      <c r="F1154" s="14" t="str">
        <f t="shared" si="174"/>
        <v/>
      </c>
      <c r="G1154" s="14" t="str">
        <f t="shared" si="175"/>
        <v/>
      </c>
      <c r="H1154" s="14" t="str">
        <f t="shared" si="176"/>
        <v/>
      </c>
      <c r="I1154" s="15" t="str">
        <f t="shared" si="177"/>
        <v/>
      </c>
      <c r="J1154" s="15" t="str">
        <f t="shared" si="179"/>
        <v/>
      </c>
      <c r="K1154" s="16" t="str">
        <f t="shared" si="178"/>
        <v/>
      </c>
      <c r="M1154" t="str">
        <f>IFERROR(MATCH($C$5&amp;"|"&amp;RIGHT("000000"&amp;1138,6),CalcRankKeyA,0),"")</f>
        <v/>
      </c>
      <c r="N1154" t="str">
        <f>IFERROR(MATCH($C$5&amp;"|"&amp;RIGHT("000000"&amp;1138,6),CalcRankKeyB,0),"")</f>
        <v/>
      </c>
    </row>
    <row r="1155" spans="1:14" x14ac:dyDescent="0.2">
      <c r="A1155" s="7">
        <v>1139</v>
      </c>
      <c r="B1155" s="8" t="str">
        <f t="shared" si="170"/>
        <v/>
      </c>
      <c r="C1155" s="8" t="str">
        <f t="shared" si="171"/>
        <v/>
      </c>
      <c r="D1155" s="8" t="str">
        <f t="shared" si="172"/>
        <v/>
      </c>
      <c r="E1155" s="9" t="str">
        <f t="shared" si="173"/>
        <v/>
      </c>
      <c r="F1155" s="9" t="str">
        <f t="shared" si="174"/>
        <v/>
      </c>
      <c r="G1155" s="9" t="str">
        <f t="shared" si="175"/>
        <v/>
      </c>
      <c r="H1155" s="9" t="str">
        <f t="shared" si="176"/>
        <v/>
      </c>
      <c r="I1155" s="10" t="str">
        <f t="shared" si="177"/>
        <v/>
      </c>
      <c r="J1155" s="10" t="str">
        <f t="shared" si="179"/>
        <v/>
      </c>
      <c r="K1155" s="11" t="str">
        <f t="shared" si="178"/>
        <v/>
      </c>
      <c r="M1155" t="str">
        <f>IFERROR(MATCH($C$5&amp;"|"&amp;RIGHT("000000"&amp;1139,6),CalcRankKeyA,0),"")</f>
        <v/>
      </c>
      <c r="N1155" t="str">
        <f>IFERROR(MATCH($C$5&amp;"|"&amp;RIGHT("000000"&amp;1139,6),CalcRankKeyB,0),"")</f>
        <v/>
      </c>
    </row>
    <row r="1156" spans="1:14" x14ac:dyDescent="0.2">
      <c r="A1156" s="12">
        <v>1140</v>
      </c>
      <c r="B1156" s="13" t="str">
        <f t="shared" si="170"/>
        <v/>
      </c>
      <c r="C1156" s="13" t="str">
        <f t="shared" si="171"/>
        <v/>
      </c>
      <c r="D1156" s="13" t="str">
        <f t="shared" si="172"/>
        <v/>
      </c>
      <c r="E1156" s="14" t="str">
        <f t="shared" si="173"/>
        <v/>
      </c>
      <c r="F1156" s="14" t="str">
        <f t="shared" si="174"/>
        <v/>
      </c>
      <c r="G1156" s="14" t="str">
        <f t="shared" si="175"/>
        <v/>
      </c>
      <c r="H1156" s="14" t="str">
        <f t="shared" si="176"/>
        <v/>
      </c>
      <c r="I1156" s="15" t="str">
        <f t="shared" si="177"/>
        <v/>
      </c>
      <c r="J1156" s="15" t="str">
        <f t="shared" si="179"/>
        <v/>
      </c>
      <c r="K1156" s="16" t="str">
        <f t="shared" si="178"/>
        <v/>
      </c>
      <c r="M1156" t="str">
        <f>IFERROR(MATCH($C$5&amp;"|"&amp;RIGHT("000000"&amp;1140,6),CalcRankKeyA,0),"")</f>
        <v/>
      </c>
      <c r="N1156" t="str">
        <f>IFERROR(MATCH($C$5&amp;"|"&amp;RIGHT("000000"&amp;1140,6),CalcRankKeyB,0),"")</f>
        <v/>
      </c>
    </row>
    <row r="1157" spans="1:14" x14ac:dyDescent="0.2">
      <c r="A1157" s="7">
        <v>1141</v>
      </c>
      <c r="B1157" s="8" t="str">
        <f t="shared" si="170"/>
        <v/>
      </c>
      <c r="C1157" s="8" t="str">
        <f t="shared" si="171"/>
        <v/>
      </c>
      <c r="D1157" s="8" t="str">
        <f t="shared" si="172"/>
        <v/>
      </c>
      <c r="E1157" s="9" t="str">
        <f t="shared" si="173"/>
        <v/>
      </c>
      <c r="F1157" s="9" t="str">
        <f t="shared" si="174"/>
        <v/>
      </c>
      <c r="G1157" s="9" t="str">
        <f t="shared" si="175"/>
        <v/>
      </c>
      <c r="H1157" s="9" t="str">
        <f t="shared" si="176"/>
        <v/>
      </c>
      <c r="I1157" s="10" t="str">
        <f t="shared" si="177"/>
        <v/>
      </c>
      <c r="J1157" s="10" t="str">
        <f t="shared" si="179"/>
        <v/>
      </c>
      <c r="K1157" s="11" t="str">
        <f t="shared" si="178"/>
        <v/>
      </c>
      <c r="M1157" t="str">
        <f>IFERROR(MATCH($C$5&amp;"|"&amp;RIGHT("000000"&amp;1141,6),CalcRankKeyA,0),"")</f>
        <v/>
      </c>
      <c r="N1157" t="str">
        <f>IFERROR(MATCH($C$5&amp;"|"&amp;RIGHT("000000"&amp;1141,6),CalcRankKeyB,0),"")</f>
        <v/>
      </c>
    </row>
    <row r="1158" spans="1:14" x14ac:dyDescent="0.2">
      <c r="A1158" s="12">
        <v>1142</v>
      </c>
      <c r="B1158" s="13" t="str">
        <f t="shared" si="170"/>
        <v/>
      </c>
      <c r="C1158" s="13" t="str">
        <f t="shared" si="171"/>
        <v/>
      </c>
      <c r="D1158" s="13" t="str">
        <f t="shared" si="172"/>
        <v/>
      </c>
      <c r="E1158" s="14" t="str">
        <f t="shared" si="173"/>
        <v/>
      </c>
      <c r="F1158" s="14" t="str">
        <f t="shared" si="174"/>
        <v/>
      </c>
      <c r="G1158" s="14" t="str">
        <f t="shared" si="175"/>
        <v/>
      </c>
      <c r="H1158" s="14" t="str">
        <f t="shared" si="176"/>
        <v/>
      </c>
      <c r="I1158" s="15" t="str">
        <f t="shared" si="177"/>
        <v/>
      </c>
      <c r="J1158" s="15" t="str">
        <f t="shared" si="179"/>
        <v/>
      </c>
      <c r="K1158" s="16" t="str">
        <f t="shared" si="178"/>
        <v/>
      </c>
      <c r="M1158" t="str">
        <f>IFERROR(MATCH($C$5&amp;"|"&amp;RIGHT("000000"&amp;1142,6),CalcRankKeyA,0),"")</f>
        <v/>
      </c>
      <c r="N1158" t="str">
        <f>IFERROR(MATCH($C$5&amp;"|"&amp;RIGHT("000000"&amp;1142,6),CalcRankKeyB,0),"")</f>
        <v/>
      </c>
    </row>
    <row r="1159" spans="1:14" x14ac:dyDescent="0.2">
      <c r="A1159" s="7">
        <v>1143</v>
      </c>
      <c r="B1159" s="8" t="str">
        <f t="shared" si="170"/>
        <v/>
      </c>
      <c r="C1159" s="8" t="str">
        <f t="shared" si="171"/>
        <v/>
      </c>
      <c r="D1159" s="8" t="str">
        <f t="shared" si="172"/>
        <v/>
      </c>
      <c r="E1159" s="9" t="str">
        <f t="shared" si="173"/>
        <v/>
      </c>
      <c r="F1159" s="9" t="str">
        <f t="shared" si="174"/>
        <v/>
      </c>
      <c r="G1159" s="9" t="str">
        <f t="shared" si="175"/>
        <v/>
      </c>
      <c r="H1159" s="9" t="str">
        <f t="shared" si="176"/>
        <v/>
      </c>
      <c r="I1159" s="10" t="str">
        <f t="shared" si="177"/>
        <v/>
      </c>
      <c r="J1159" s="10" t="str">
        <f t="shared" si="179"/>
        <v/>
      </c>
      <c r="K1159" s="11" t="str">
        <f t="shared" si="178"/>
        <v/>
      </c>
      <c r="M1159" t="str">
        <f>IFERROR(MATCH($C$5&amp;"|"&amp;RIGHT("000000"&amp;1143,6),CalcRankKeyA,0),"")</f>
        <v/>
      </c>
      <c r="N1159" t="str">
        <f>IFERROR(MATCH($C$5&amp;"|"&amp;RIGHT("000000"&amp;1143,6),CalcRankKeyB,0),"")</f>
        <v/>
      </c>
    </row>
    <row r="1160" spans="1:14" x14ac:dyDescent="0.2">
      <c r="A1160" s="12">
        <v>1144</v>
      </c>
      <c r="B1160" s="13" t="str">
        <f t="shared" si="170"/>
        <v/>
      </c>
      <c r="C1160" s="13" t="str">
        <f t="shared" si="171"/>
        <v/>
      </c>
      <c r="D1160" s="13" t="str">
        <f t="shared" si="172"/>
        <v/>
      </c>
      <c r="E1160" s="14" t="str">
        <f t="shared" si="173"/>
        <v/>
      </c>
      <c r="F1160" s="14" t="str">
        <f t="shared" si="174"/>
        <v/>
      </c>
      <c r="G1160" s="14" t="str">
        <f t="shared" si="175"/>
        <v/>
      </c>
      <c r="H1160" s="14" t="str">
        <f t="shared" si="176"/>
        <v/>
      </c>
      <c r="I1160" s="15" t="str">
        <f t="shared" si="177"/>
        <v/>
      </c>
      <c r="J1160" s="15" t="str">
        <f t="shared" si="179"/>
        <v/>
      </c>
      <c r="K1160" s="16" t="str">
        <f t="shared" si="178"/>
        <v/>
      </c>
      <c r="M1160" t="str">
        <f>IFERROR(MATCH($C$5&amp;"|"&amp;RIGHT("000000"&amp;1144,6),CalcRankKeyA,0),"")</f>
        <v/>
      </c>
      <c r="N1160" t="str">
        <f>IFERROR(MATCH($C$5&amp;"|"&amp;RIGHT("000000"&amp;1144,6),CalcRankKeyB,0),"")</f>
        <v/>
      </c>
    </row>
    <row r="1161" spans="1:14" x14ac:dyDescent="0.2">
      <c r="A1161" s="7">
        <v>1145</v>
      </c>
      <c r="B1161" s="8" t="str">
        <f t="shared" si="170"/>
        <v/>
      </c>
      <c r="C1161" s="8" t="str">
        <f t="shared" si="171"/>
        <v/>
      </c>
      <c r="D1161" s="8" t="str">
        <f t="shared" si="172"/>
        <v/>
      </c>
      <c r="E1161" s="9" t="str">
        <f t="shared" si="173"/>
        <v/>
      </c>
      <c r="F1161" s="9" t="str">
        <f t="shared" si="174"/>
        <v/>
      </c>
      <c r="G1161" s="9" t="str">
        <f t="shared" si="175"/>
        <v/>
      </c>
      <c r="H1161" s="9" t="str">
        <f t="shared" si="176"/>
        <v/>
      </c>
      <c r="I1161" s="10" t="str">
        <f t="shared" si="177"/>
        <v/>
      </c>
      <c r="J1161" s="10" t="str">
        <f t="shared" si="179"/>
        <v/>
      </c>
      <c r="K1161" s="11" t="str">
        <f t="shared" si="178"/>
        <v/>
      </c>
      <c r="M1161" t="str">
        <f>IFERROR(MATCH($C$5&amp;"|"&amp;RIGHT("000000"&amp;1145,6),CalcRankKeyA,0),"")</f>
        <v/>
      </c>
      <c r="N1161" t="str">
        <f>IFERROR(MATCH($C$5&amp;"|"&amp;RIGHT("000000"&amp;1145,6),CalcRankKeyB,0),"")</f>
        <v/>
      </c>
    </row>
    <row r="1162" spans="1:14" x14ac:dyDescent="0.2">
      <c r="A1162" s="12">
        <v>1146</v>
      </c>
      <c r="B1162" s="13" t="str">
        <f t="shared" si="170"/>
        <v/>
      </c>
      <c r="C1162" s="13" t="str">
        <f t="shared" si="171"/>
        <v/>
      </c>
      <c r="D1162" s="13" t="str">
        <f t="shared" si="172"/>
        <v/>
      </c>
      <c r="E1162" s="14" t="str">
        <f t="shared" si="173"/>
        <v/>
      </c>
      <c r="F1162" s="14" t="str">
        <f t="shared" si="174"/>
        <v/>
      </c>
      <c r="G1162" s="14" t="str">
        <f t="shared" si="175"/>
        <v/>
      </c>
      <c r="H1162" s="14" t="str">
        <f t="shared" si="176"/>
        <v/>
      </c>
      <c r="I1162" s="15" t="str">
        <f t="shared" si="177"/>
        <v/>
      </c>
      <c r="J1162" s="15" t="str">
        <f t="shared" si="179"/>
        <v/>
      </c>
      <c r="K1162" s="16" t="str">
        <f t="shared" si="178"/>
        <v/>
      </c>
      <c r="M1162" t="str">
        <f>IFERROR(MATCH($C$5&amp;"|"&amp;RIGHT("000000"&amp;1146,6),CalcRankKeyA,0),"")</f>
        <v/>
      </c>
      <c r="N1162" t="str">
        <f>IFERROR(MATCH($C$5&amp;"|"&amp;RIGHT("000000"&amp;1146,6),CalcRankKeyB,0),"")</f>
        <v/>
      </c>
    </row>
    <row r="1163" spans="1:14" x14ac:dyDescent="0.2">
      <c r="A1163" s="7">
        <v>1147</v>
      </c>
      <c r="B1163" s="8" t="str">
        <f t="shared" si="170"/>
        <v/>
      </c>
      <c r="C1163" s="8" t="str">
        <f t="shared" si="171"/>
        <v/>
      </c>
      <c r="D1163" s="8" t="str">
        <f t="shared" si="172"/>
        <v/>
      </c>
      <c r="E1163" s="9" t="str">
        <f t="shared" si="173"/>
        <v/>
      </c>
      <c r="F1163" s="9" t="str">
        <f t="shared" si="174"/>
        <v/>
      </c>
      <c r="G1163" s="9" t="str">
        <f t="shared" si="175"/>
        <v/>
      </c>
      <c r="H1163" s="9" t="str">
        <f t="shared" si="176"/>
        <v/>
      </c>
      <c r="I1163" s="10" t="str">
        <f t="shared" si="177"/>
        <v/>
      </c>
      <c r="J1163" s="10" t="str">
        <f t="shared" si="179"/>
        <v/>
      </c>
      <c r="K1163" s="11" t="str">
        <f t="shared" si="178"/>
        <v/>
      </c>
      <c r="M1163" t="str">
        <f>IFERROR(MATCH($C$5&amp;"|"&amp;RIGHT("000000"&amp;1147,6),CalcRankKeyA,0),"")</f>
        <v/>
      </c>
      <c r="N1163" t="str">
        <f>IFERROR(MATCH($C$5&amp;"|"&amp;RIGHT("000000"&amp;1147,6),CalcRankKeyB,0),"")</f>
        <v/>
      </c>
    </row>
    <row r="1164" spans="1:14" x14ac:dyDescent="0.2">
      <c r="A1164" s="12">
        <v>1148</v>
      </c>
      <c r="B1164" s="13" t="str">
        <f t="shared" si="170"/>
        <v/>
      </c>
      <c r="C1164" s="13" t="str">
        <f t="shared" si="171"/>
        <v/>
      </c>
      <c r="D1164" s="13" t="str">
        <f t="shared" si="172"/>
        <v/>
      </c>
      <c r="E1164" s="14" t="str">
        <f t="shared" si="173"/>
        <v/>
      </c>
      <c r="F1164" s="14" t="str">
        <f t="shared" si="174"/>
        <v/>
      </c>
      <c r="G1164" s="14" t="str">
        <f t="shared" si="175"/>
        <v/>
      </c>
      <c r="H1164" s="14" t="str">
        <f t="shared" si="176"/>
        <v/>
      </c>
      <c r="I1164" s="15" t="str">
        <f t="shared" si="177"/>
        <v/>
      </c>
      <c r="J1164" s="15" t="str">
        <f t="shared" si="179"/>
        <v/>
      </c>
      <c r="K1164" s="16" t="str">
        <f t="shared" si="178"/>
        <v/>
      </c>
      <c r="M1164" t="str">
        <f>IFERROR(MATCH($C$5&amp;"|"&amp;RIGHT("000000"&amp;1148,6),CalcRankKeyA,0),"")</f>
        <v/>
      </c>
      <c r="N1164" t="str">
        <f>IFERROR(MATCH($C$5&amp;"|"&amp;RIGHT("000000"&amp;1148,6),CalcRankKeyB,0),"")</f>
        <v/>
      </c>
    </row>
    <row r="1165" spans="1:14" x14ac:dyDescent="0.2">
      <c r="A1165" s="7">
        <v>1149</v>
      </c>
      <c r="B1165" s="8" t="str">
        <f t="shared" si="170"/>
        <v/>
      </c>
      <c r="C1165" s="8" t="str">
        <f t="shared" si="171"/>
        <v/>
      </c>
      <c r="D1165" s="8" t="str">
        <f t="shared" si="172"/>
        <v/>
      </c>
      <c r="E1165" s="9" t="str">
        <f t="shared" si="173"/>
        <v/>
      </c>
      <c r="F1165" s="9" t="str">
        <f t="shared" si="174"/>
        <v/>
      </c>
      <c r="G1165" s="9" t="str">
        <f t="shared" si="175"/>
        <v/>
      </c>
      <c r="H1165" s="9" t="str">
        <f t="shared" si="176"/>
        <v/>
      </c>
      <c r="I1165" s="10" t="str">
        <f t="shared" si="177"/>
        <v/>
      </c>
      <c r="J1165" s="10" t="str">
        <f t="shared" si="179"/>
        <v/>
      </c>
      <c r="K1165" s="11" t="str">
        <f t="shared" si="178"/>
        <v/>
      </c>
      <c r="M1165" t="str">
        <f>IFERROR(MATCH($C$5&amp;"|"&amp;RIGHT("000000"&amp;1149,6),CalcRankKeyA,0),"")</f>
        <v/>
      </c>
      <c r="N1165" t="str">
        <f>IFERROR(MATCH($C$5&amp;"|"&amp;RIGHT("000000"&amp;1149,6),CalcRankKeyB,0),"")</f>
        <v/>
      </c>
    </row>
    <row r="1166" spans="1:14" x14ac:dyDescent="0.2">
      <c r="A1166" s="12">
        <v>1150</v>
      </c>
      <c r="B1166" s="13" t="str">
        <f t="shared" si="170"/>
        <v/>
      </c>
      <c r="C1166" s="13" t="str">
        <f t="shared" si="171"/>
        <v/>
      </c>
      <c r="D1166" s="13" t="str">
        <f t="shared" si="172"/>
        <v/>
      </c>
      <c r="E1166" s="14" t="str">
        <f t="shared" si="173"/>
        <v/>
      </c>
      <c r="F1166" s="14" t="str">
        <f t="shared" si="174"/>
        <v/>
      </c>
      <c r="G1166" s="14" t="str">
        <f t="shared" si="175"/>
        <v/>
      </c>
      <c r="H1166" s="14" t="str">
        <f t="shared" si="176"/>
        <v/>
      </c>
      <c r="I1166" s="15" t="str">
        <f t="shared" si="177"/>
        <v/>
      </c>
      <c r="J1166" s="15" t="str">
        <f t="shared" si="179"/>
        <v/>
      </c>
      <c r="K1166" s="16" t="str">
        <f t="shared" si="178"/>
        <v/>
      </c>
      <c r="M1166" t="str">
        <f>IFERROR(MATCH($C$5&amp;"|"&amp;RIGHT("000000"&amp;1150,6),CalcRankKeyA,0),"")</f>
        <v/>
      </c>
      <c r="N1166" t="str">
        <f>IFERROR(MATCH($C$5&amp;"|"&amp;RIGHT("000000"&amp;1150,6),CalcRankKeyB,0),"")</f>
        <v/>
      </c>
    </row>
    <row r="1167" spans="1:14" x14ac:dyDescent="0.2">
      <c r="A1167" s="7">
        <v>1151</v>
      </c>
      <c r="B1167" s="8" t="str">
        <f t="shared" si="170"/>
        <v/>
      </c>
      <c r="C1167" s="8" t="str">
        <f t="shared" si="171"/>
        <v/>
      </c>
      <c r="D1167" s="8" t="str">
        <f t="shared" si="172"/>
        <v/>
      </c>
      <c r="E1167" s="9" t="str">
        <f t="shared" si="173"/>
        <v/>
      </c>
      <c r="F1167" s="9" t="str">
        <f t="shared" si="174"/>
        <v/>
      </c>
      <c r="G1167" s="9" t="str">
        <f t="shared" si="175"/>
        <v/>
      </c>
      <c r="H1167" s="9" t="str">
        <f t="shared" si="176"/>
        <v/>
      </c>
      <c r="I1167" s="10" t="str">
        <f t="shared" si="177"/>
        <v/>
      </c>
      <c r="J1167" s="10" t="str">
        <f t="shared" si="179"/>
        <v/>
      </c>
      <c r="K1167" s="11" t="str">
        <f t="shared" si="178"/>
        <v/>
      </c>
      <c r="M1167" t="str">
        <f>IFERROR(MATCH($C$5&amp;"|"&amp;RIGHT("000000"&amp;1151,6),CalcRankKeyA,0),"")</f>
        <v/>
      </c>
      <c r="N1167" t="str">
        <f>IFERROR(MATCH($C$5&amp;"|"&amp;RIGHT("000000"&amp;1151,6),CalcRankKeyB,0),"")</f>
        <v/>
      </c>
    </row>
    <row r="1168" spans="1:14" x14ac:dyDescent="0.2">
      <c r="A1168" s="12">
        <v>1152</v>
      </c>
      <c r="B1168" s="13" t="str">
        <f t="shared" si="170"/>
        <v/>
      </c>
      <c r="C1168" s="13" t="str">
        <f t="shared" si="171"/>
        <v/>
      </c>
      <c r="D1168" s="13" t="str">
        <f t="shared" si="172"/>
        <v/>
      </c>
      <c r="E1168" s="14" t="str">
        <f t="shared" si="173"/>
        <v/>
      </c>
      <c r="F1168" s="14" t="str">
        <f t="shared" si="174"/>
        <v/>
      </c>
      <c r="G1168" s="14" t="str">
        <f t="shared" si="175"/>
        <v/>
      </c>
      <c r="H1168" s="14" t="str">
        <f t="shared" si="176"/>
        <v/>
      </c>
      <c r="I1168" s="15" t="str">
        <f t="shared" si="177"/>
        <v/>
      </c>
      <c r="J1168" s="15" t="str">
        <f t="shared" si="179"/>
        <v/>
      </c>
      <c r="K1168" s="16" t="str">
        <f t="shared" si="178"/>
        <v/>
      </c>
      <c r="M1168" t="str">
        <f>IFERROR(MATCH($C$5&amp;"|"&amp;RIGHT("000000"&amp;1152,6),CalcRankKeyA,0),"")</f>
        <v/>
      </c>
      <c r="N1168" t="str">
        <f>IFERROR(MATCH($C$5&amp;"|"&amp;RIGHT("000000"&amp;1152,6),CalcRankKeyB,0),"")</f>
        <v/>
      </c>
    </row>
    <row r="1169" spans="1:14" x14ac:dyDescent="0.2">
      <c r="A1169" s="7">
        <v>1153</v>
      </c>
      <c r="B1169" s="8" t="str">
        <f t="shared" ref="B1169:B1232" si="180">IF(AND($M1169="",$N1169=""),"",IF($M1169&lt;&gt;"",INDEX(CalcDateA,$M1169),INDEX(CalcDateB,$N1169)))</f>
        <v/>
      </c>
      <c r="C1169" s="8" t="str">
        <f t="shared" ref="C1169:C1232" si="181">IF($M1169&lt;&gt;"","خرید سبد",IF($N1169&lt;&gt;"",IF(N(INDEX(CalcDepB,$N1169))&gt;0,"دریافت بانکی","پرداخت بانکی"),""))</f>
        <v/>
      </c>
      <c r="D1169" s="8" t="str">
        <f t="shared" ref="D1169:D1232" si="182">IF($M1169&lt;&gt;"",IF(INDEX(CalcDocA,$M1169)="","—",INDEX(CalcDocA,$M1169)),IF($N1169&lt;&gt;"",INDEX(CalcBankB,$N1169),""))</f>
        <v/>
      </c>
      <c r="E1169" s="9" t="str">
        <f t="shared" ref="E1169:E1232" si="183">IF($N1169&lt;&gt;"",IF(INDEX(CalcDepB,$N1169)=0,"",INDEX(CalcDepB,$N1169)),"")</f>
        <v/>
      </c>
      <c r="F1169" s="9" t="str">
        <f t="shared" ref="F1169:F1232" si="184">IF($M1169&lt;&gt;"",IF(INDEX(CalcQtyA,$M1169)=0,"",INDEX(CalcQtyA,$M1169)),"")</f>
        <v/>
      </c>
      <c r="G1169" s="9" t="str">
        <f t="shared" ref="G1169:G1232" si="185">IF($M1169&lt;&gt;"",IF(INDEX(CalcPriceA,$M1169)=0,"",INDEX(CalcPriceA,$M1169)),"")</f>
        <v/>
      </c>
      <c r="H1169" s="9" t="str">
        <f t="shared" ref="H1169:H1232" si="186">IF($N1169&lt;&gt;"",IF(INDEX(CalcWitB,$N1169)=0,"",INDEX(CalcWitB,$N1169)),"")</f>
        <v/>
      </c>
      <c r="I1169" s="10" t="str">
        <f t="shared" ref="I1169:I1232" si="187">IF($M1169&lt;&gt;"",INDEX(CalcAmtA,$M1169),"")</f>
        <v/>
      </c>
      <c r="J1169" s="10" t="str">
        <f t="shared" si="179"/>
        <v/>
      </c>
      <c r="K1169" s="11" t="str">
        <f t="shared" ref="K1169:K1232" si="188">IF($M1169&lt;&gt;"",IF(INDEX(CalcNoteA,$M1169)="","—",INDEX(CalcNoteA,$M1169)),IF($N1169&lt;&gt;"",IF(INDEX(CalcNoteB,$N1169)="","—",INDEX(CalcNoteB,$N1169)),""))</f>
        <v/>
      </c>
      <c r="M1169" t="str">
        <f>IFERROR(MATCH($C$5&amp;"|"&amp;RIGHT("000000"&amp;1153,6),CalcRankKeyA,0),"")</f>
        <v/>
      </c>
      <c r="N1169" t="str">
        <f>IFERROR(MATCH($C$5&amp;"|"&amp;RIGHT("000000"&amp;1153,6),CalcRankKeyB,0),"")</f>
        <v/>
      </c>
    </row>
    <row r="1170" spans="1:14" x14ac:dyDescent="0.2">
      <c r="A1170" s="12">
        <v>1154</v>
      </c>
      <c r="B1170" s="13" t="str">
        <f t="shared" si="180"/>
        <v/>
      </c>
      <c r="C1170" s="13" t="str">
        <f t="shared" si="181"/>
        <v/>
      </c>
      <c r="D1170" s="13" t="str">
        <f t="shared" si="182"/>
        <v/>
      </c>
      <c r="E1170" s="14" t="str">
        <f t="shared" si="183"/>
        <v/>
      </c>
      <c r="F1170" s="14" t="str">
        <f t="shared" si="184"/>
        <v/>
      </c>
      <c r="G1170" s="14" t="str">
        <f t="shared" si="185"/>
        <v/>
      </c>
      <c r="H1170" s="14" t="str">
        <f t="shared" si="186"/>
        <v/>
      </c>
      <c r="I1170" s="15" t="str">
        <f t="shared" si="187"/>
        <v/>
      </c>
      <c r="J1170" s="15" t="str">
        <f t="shared" ref="J1170:J1233" si="189">IF($B1170="","",IF($J1169="",$C$8,$J1169)+IF($I1170="",0,$I1170)+IF($E1170="",0,$E1170)-IF($H1170="",0,$H1170))</f>
        <v/>
      </c>
      <c r="K1170" s="16" t="str">
        <f t="shared" si="188"/>
        <v/>
      </c>
      <c r="M1170" t="str">
        <f>IFERROR(MATCH($C$5&amp;"|"&amp;RIGHT("000000"&amp;1154,6),CalcRankKeyA,0),"")</f>
        <v/>
      </c>
      <c r="N1170" t="str">
        <f>IFERROR(MATCH($C$5&amp;"|"&amp;RIGHT("000000"&amp;1154,6),CalcRankKeyB,0),"")</f>
        <v/>
      </c>
    </row>
    <row r="1171" spans="1:14" x14ac:dyDescent="0.2">
      <c r="A1171" s="7">
        <v>1155</v>
      </c>
      <c r="B1171" s="8" t="str">
        <f t="shared" si="180"/>
        <v/>
      </c>
      <c r="C1171" s="8" t="str">
        <f t="shared" si="181"/>
        <v/>
      </c>
      <c r="D1171" s="8" t="str">
        <f t="shared" si="182"/>
        <v/>
      </c>
      <c r="E1171" s="9" t="str">
        <f t="shared" si="183"/>
        <v/>
      </c>
      <c r="F1171" s="9" t="str">
        <f t="shared" si="184"/>
        <v/>
      </c>
      <c r="G1171" s="9" t="str">
        <f t="shared" si="185"/>
        <v/>
      </c>
      <c r="H1171" s="9" t="str">
        <f t="shared" si="186"/>
        <v/>
      </c>
      <c r="I1171" s="10" t="str">
        <f t="shared" si="187"/>
        <v/>
      </c>
      <c r="J1171" s="10" t="str">
        <f t="shared" si="189"/>
        <v/>
      </c>
      <c r="K1171" s="11" t="str">
        <f t="shared" si="188"/>
        <v/>
      </c>
      <c r="M1171" t="str">
        <f>IFERROR(MATCH($C$5&amp;"|"&amp;RIGHT("000000"&amp;1155,6),CalcRankKeyA,0),"")</f>
        <v/>
      </c>
      <c r="N1171" t="str">
        <f>IFERROR(MATCH($C$5&amp;"|"&amp;RIGHT("000000"&amp;1155,6),CalcRankKeyB,0),"")</f>
        <v/>
      </c>
    </row>
    <row r="1172" spans="1:14" x14ac:dyDescent="0.2">
      <c r="A1172" s="12">
        <v>1156</v>
      </c>
      <c r="B1172" s="13" t="str">
        <f t="shared" si="180"/>
        <v/>
      </c>
      <c r="C1172" s="13" t="str">
        <f t="shared" si="181"/>
        <v/>
      </c>
      <c r="D1172" s="13" t="str">
        <f t="shared" si="182"/>
        <v/>
      </c>
      <c r="E1172" s="14" t="str">
        <f t="shared" si="183"/>
        <v/>
      </c>
      <c r="F1172" s="14" t="str">
        <f t="shared" si="184"/>
        <v/>
      </c>
      <c r="G1172" s="14" t="str">
        <f t="shared" si="185"/>
        <v/>
      </c>
      <c r="H1172" s="14" t="str">
        <f t="shared" si="186"/>
        <v/>
      </c>
      <c r="I1172" s="15" t="str">
        <f t="shared" si="187"/>
        <v/>
      </c>
      <c r="J1172" s="15" t="str">
        <f t="shared" si="189"/>
        <v/>
      </c>
      <c r="K1172" s="16" t="str">
        <f t="shared" si="188"/>
        <v/>
      </c>
      <c r="M1172" t="str">
        <f>IFERROR(MATCH($C$5&amp;"|"&amp;RIGHT("000000"&amp;1156,6),CalcRankKeyA,0),"")</f>
        <v/>
      </c>
      <c r="N1172" t="str">
        <f>IFERROR(MATCH($C$5&amp;"|"&amp;RIGHT("000000"&amp;1156,6),CalcRankKeyB,0),"")</f>
        <v/>
      </c>
    </row>
    <row r="1173" spans="1:14" x14ac:dyDescent="0.2">
      <c r="A1173" s="7">
        <v>1157</v>
      </c>
      <c r="B1173" s="8" t="str">
        <f t="shared" si="180"/>
        <v/>
      </c>
      <c r="C1173" s="8" t="str">
        <f t="shared" si="181"/>
        <v/>
      </c>
      <c r="D1173" s="8" t="str">
        <f t="shared" si="182"/>
        <v/>
      </c>
      <c r="E1173" s="9" t="str">
        <f t="shared" si="183"/>
        <v/>
      </c>
      <c r="F1173" s="9" t="str">
        <f t="shared" si="184"/>
        <v/>
      </c>
      <c r="G1173" s="9" t="str">
        <f t="shared" si="185"/>
        <v/>
      </c>
      <c r="H1173" s="9" t="str">
        <f t="shared" si="186"/>
        <v/>
      </c>
      <c r="I1173" s="10" t="str">
        <f t="shared" si="187"/>
        <v/>
      </c>
      <c r="J1173" s="10" t="str">
        <f t="shared" si="189"/>
        <v/>
      </c>
      <c r="K1173" s="11" t="str">
        <f t="shared" si="188"/>
        <v/>
      </c>
      <c r="M1173" t="str">
        <f>IFERROR(MATCH($C$5&amp;"|"&amp;RIGHT("000000"&amp;1157,6),CalcRankKeyA,0),"")</f>
        <v/>
      </c>
      <c r="N1173" t="str">
        <f>IFERROR(MATCH($C$5&amp;"|"&amp;RIGHT("000000"&amp;1157,6),CalcRankKeyB,0),"")</f>
        <v/>
      </c>
    </row>
    <row r="1174" spans="1:14" x14ac:dyDescent="0.2">
      <c r="A1174" s="12">
        <v>1158</v>
      </c>
      <c r="B1174" s="13" t="str">
        <f t="shared" si="180"/>
        <v/>
      </c>
      <c r="C1174" s="13" t="str">
        <f t="shared" si="181"/>
        <v/>
      </c>
      <c r="D1174" s="13" t="str">
        <f t="shared" si="182"/>
        <v/>
      </c>
      <c r="E1174" s="14" t="str">
        <f t="shared" si="183"/>
        <v/>
      </c>
      <c r="F1174" s="14" t="str">
        <f t="shared" si="184"/>
        <v/>
      </c>
      <c r="G1174" s="14" t="str">
        <f t="shared" si="185"/>
        <v/>
      </c>
      <c r="H1174" s="14" t="str">
        <f t="shared" si="186"/>
        <v/>
      </c>
      <c r="I1174" s="15" t="str">
        <f t="shared" si="187"/>
        <v/>
      </c>
      <c r="J1174" s="15" t="str">
        <f t="shared" si="189"/>
        <v/>
      </c>
      <c r="K1174" s="16" t="str">
        <f t="shared" si="188"/>
        <v/>
      </c>
      <c r="M1174" t="str">
        <f>IFERROR(MATCH($C$5&amp;"|"&amp;RIGHT("000000"&amp;1158,6),CalcRankKeyA,0),"")</f>
        <v/>
      </c>
      <c r="N1174" t="str">
        <f>IFERROR(MATCH($C$5&amp;"|"&amp;RIGHT("000000"&amp;1158,6),CalcRankKeyB,0),"")</f>
        <v/>
      </c>
    </row>
    <row r="1175" spans="1:14" x14ac:dyDescent="0.2">
      <c r="A1175" s="7">
        <v>1159</v>
      </c>
      <c r="B1175" s="8" t="str">
        <f t="shared" si="180"/>
        <v/>
      </c>
      <c r="C1175" s="8" t="str">
        <f t="shared" si="181"/>
        <v/>
      </c>
      <c r="D1175" s="8" t="str">
        <f t="shared" si="182"/>
        <v/>
      </c>
      <c r="E1175" s="9" t="str">
        <f t="shared" si="183"/>
        <v/>
      </c>
      <c r="F1175" s="9" t="str">
        <f t="shared" si="184"/>
        <v/>
      </c>
      <c r="G1175" s="9" t="str">
        <f t="shared" si="185"/>
        <v/>
      </c>
      <c r="H1175" s="9" t="str">
        <f t="shared" si="186"/>
        <v/>
      </c>
      <c r="I1175" s="10" t="str">
        <f t="shared" si="187"/>
        <v/>
      </c>
      <c r="J1175" s="10" t="str">
        <f t="shared" si="189"/>
        <v/>
      </c>
      <c r="K1175" s="11" t="str">
        <f t="shared" si="188"/>
        <v/>
      </c>
      <c r="M1175" t="str">
        <f>IFERROR(MATCH($C$5&amp;"|"&amp;RIGHT("000000"&amp;1159,6),CalcRankKeyA,0),"")</f>
        <v/>
      </c>
      <c r="N1175" t="str">
        <f>IFERROR(MATCH($C$5&amp;"|"&amp;RIGHT("000000"&amp;1159,6),CalcRankKeyB,0),"")</f>
        <v/>
      </c>
    </row>
    <row r="1176" spans="1:14" x14ac:dyDescent="0.2">
      <c r="A1176" s="12">
        <v>1160</v>
      </c>
      <c r="B1176" s="13" t="str">
        <f t="shared" si="180"/>
        <v/>
      </c>
      <c r="C1176" s="13" t="str">
        <f t="shared" si="181"/>
        <v/>
      </c>
      <c r="D1176" s="13" t="str">
        <f t="shared" si="182"/>
        <v/>
      </c>
      <c r="E1176" s="14" t="str">
        <f t="shared" si="183"/>
        <v/>
      </c>
      <c r="F1176" s="14" t="str">
        <f t="shared" si="184"/>
        <v/>
      </c>
      <c r="G1176" s="14" t="str">
        <f t="shared" si="185"/>
        <v/>
      </c>
      <c r="H1176" s="14" t="str">
        <f t="shared" si="186"/>
        <v/>
      </c>
      <c r="I1176" s="15" t="str">
        <f t="shared" si="187"/>
        <v/>
      </c>
      <c r="J1176" s="15" t="str">
        <f t="shared" si="189"/>
        <v/>
      </c>
      <c r="K1176" s="16" t="str">
        <f t="shared" si="188"/>
        <v/>
      </c>
      <c r="M1176" t="str">
        <f>IFERROR(MATCH($C$5&amp;"|"&amp;RIGHT("000000"&amp;1160,6),CalcRankKeyA,0),"")</f>
        <v/>
      </c>
      <c r="N1176" t="str">
        <f>IFERROR(MATCH($C$5&amp;"|"&amp;RIGHT("000000"&amp;1160,6),CalcRankKeyB,0),"")</f>
        <v/>
      </c>
    </row>
    <row r="1177" spans="1:14" x14ac:dyDescent="0.2">
      <c r="A1177" s="7">
        <v>1161</v>
      </c>
      <c r="B1177" s="8" t="str">
        <f t="shared" si="180"/>
        <v/>
      </c>
      <c r="C1177" s="8" t="str">
        <f t="shared" si="181"/>
        <v/>
      </c>
      <c r="D1177" s="8" t="str">
        <f t="shared" si="182"/>
        <v/>
      </c>
      <c r="E1177" s="9" t="str">
        <f t="shared" si="183"/>
        <v/>
      </c>
      <c r="F1177" s="9" t="str">
        <f t="shared" si="184"/>
        <v/>
      </c>
      <c r="G1177" s="9" t="str">
        <f t="shared" si="185"/>
        <v/>
      </c>
      <c r="H1177" s="9" t="str">
        <f t="shared" si="186"/>
        <v/>
      </c>
      <c r="I1177" s="10" t="str">
        <f t="shared" si="187"/>
        <v/>
      </c>
      <c r="J1177" s="10" t="str">
        <f t="shared" si="189"/>
        <v/>
      </c>
      <c r="K1177" s="11" t="str">
        <f t="shared" si="188"/>
        <v/>
      </c>
      <c r="M1177" t="str">
        <f>IFERROR(MATCH($C$5&amp;"|"&amp;RIGHT("000000"&amp;1161,6),CalcRankKeyA,0),"")</f>
        <v/>
      </c>
      <c r="N1177" t="str">
        <f>IFERROR(MATCH($C$5&amp;"|"&amp;RIGHT("000000"&amp;1161,6),CalcRankKeyB,0),"")</f>
        <v/>
      </c>
    </row>
    <row r="1178" spans="1:14" x14ac:dyDescent="0.2">
      <c r="A1178" s="12">
        <v>1162</v>
      </c>
      <c r="B1178" s="13" t="str">
        <f t="shared" si="180"/>
        <v/>
      </c>
      <c r="C1178" s="13" t="str">
        <f t="shared" si="181"/>
        <v/>
      </c>
      <c r="D1178" s="13" t="str">
        <f t="shared" si="182"/>
        <v/>
      </c>
      <c r="E1178" s="14" t="str">
        <f t="shared" si="183"/>
        <v/>
      </c>
      <c r="F1178" s="14" t="str">
        <f t="shared" si="184"/>
        <v/>
      </c>
      <c r="G1178" s="14" t="str">
        <f t="shared" si="185"/>
        <v/>
      </c>
      <c r="H1178" s="14" t="str">
        <f t="shared" si="186"/>
        <v/>
      </c>
      <c r="I1178" s="15" t="str">
        <f t="shared" si="187"/>
        <v/>
      </c>
      <c r="J1178" s="15" t="str">
        <f t="shared" si="189"/>
        <v/>
      </c>
      <c r="K1178" s="16" t="str">
        <f t="shared" si="188"/>
        <v/>
      </c>
      <c r="M1178" t="str">
        <f>IFERROR(MATCH($C$5&amp;"|"&amp;RIGHT("000000"&amp;1162,6),CalcRankKeyA,0),"")</f>
        <v/>
      </c>
      <c r="N1178" t="str">
        <f>IFERROR(MATCH($C$5&amp;"|"&amp;RIGHT("000000"&amp;1162,6),CalcRankKeyB,0),"")</f>
        <v/>
      </c>
    </row>
    <row r="1179" spans="1:14" x14ac:dyDescent="0.2">
      <c r="A1179" s="7">
        <v>1163</v>
      </c>
      <c r="B1179" s="8" t="str">
        <f t="shared" si="180"/>
        <v/>
      </c>
      <c r="C1179" s="8" t="str">
        <f t="shared" si="181"/>
        <v/>
      </c>
      <c r="D1179" s="8" t="str">
        <f t="shared" si="182"/>
        <v/>
      </c>
      <c r="E1179" s="9" t="str">
        <f t="shared" si="183"/>
        <v/>
      </c>
      <c r="F1179" s="9" t="str">
        <f t="shared" si="184"/>
        <v/>
      </c>
      <c r="G1179" s="9" t="str">
        <f t="shared" si="185"/>
        <v/>
      </c>
      <c r="H1179" s="9" t="str">
        <f t="shared" si="186"/>
        <v/>
      </c>
      <c r="I1179" s="10" t="str">
        <f t="shared" si="187"/>
        <v/>
      </c>
      <c r="J1179" s="10" t="str">
        <f t="shared" si="189"/>
        <v/>
      </c>
      <c r="K1179" s="11" t="str">
        <f t="shared" si="188"/>
        <v/>
      </c>
      <c r="M1179" t="str">
        <f>IFERROR(MATCH($C$5&amp;"|"&amp;RIGHT("000000"&amp;1163,6),CalcRankKeyA,0),"")</f>
        <v/>
      </c>
      <c r="N1179" t="str">
        <f>IFERROR(MATCH($C$5&amp;"|"&amp;RIGHT("000000"&amp;1163,6),CalcRankKeyB,0),"")</f>
        <v/>
      </c>
    </row>
    <row r="1180" spans="1:14" x14ac:dyDescent="0.2">
      <c r="A1180" s="12">
        <v>1164</v>
      </c>
      <c r="B1180" s="13" t="str">
        <f t="shared" si="180"/>
        <v/>
      </c>
      <c r="C1180" s="13" t="str">
        <f t="shared" si="181"/>
        <v/>
      </c>
      <c r="D1180" s="13" t="str">
        <f t="shared" si="182"/>
        <v/>
      </c>
      <c r="E1180" s="14" t="str">
        <f t="shared" si="183"/>
        <v/>
      </c>
      <c r="F1180" s="14" t="str">
        <f t="shared" si="184"/>
        <v/>
      </c>
      <c r="G1180" s="14" t="str">
        <f t="shared" si="185"/>
        <v/>
      </c>
      <c r="H1180" s="14" t="str">
        <f t="shared" si="186"/>
        <v/>
      </c>
      <c r="I1180" s="15" t="str">
        <f t="shared" si="187"/>
        <v/>
      </c>
      <c r="J1180" s="15" t="str">
        <f t="shared" si="189"/>
        <v/>
      </c>
      <c r="K1180" s="16" t="str">
        <f t="shared" si="188"/>
        <v/>
      </c>
      <c r="M1180" t="str">
        <f>IFERROR(MATCH($C$5&amp;"|"&amp;RIGHT("000000"&amp;1164,6),CalcRankKeyA,0),"")</f>
        <v/>
      </c>
      <c r="N1180" t="str">
        <f>IFERROR(MATCH($C$5&amp;"|"&amp;RIGHT("000000"&amp;1164,6),CalcRankKeyB,0),"")</f>
        <v/>
      </c>
    </row>
    <row r="1181" spans="1:14" x14ac:dyDescent="0.2">
      <c r="A1181" s="7">
        <v>1165</v>
      </c>
      <c r="B1181" s="8" t="str">
        <f t="shared" si="180"/>
        <v/>
      </c>
      <c r="C1181" s="8" t="str">
        <f t="shared" si="181"/>
        <v/>
      </c>
      <c r="D1181" s="8" t="str">
        <f t="shared" si="182"/>
        <v/>
      </c>
      <c r="E1181" s="9" t="str">
        <f t="shared" si="183"/>
        <v/>
      </c>
      <c r="F1181" s="9" t="str">
        <f t="shared" si="184"/>
        <v/>
      </c>
      <c r="G1181" s="9" t="str">
        <f t="shared" si="185"/>
        <v/>
      </c>
      <c r="H1181" s="9" t="str">
        <f t="shared" si="186"/>
        <v/>
      </c>
      <c r="I1181" s="10" t="str">
        <f t="shared" si="187"/>
        <v/>
      </c>
      <c r="J1181" s="10" t="str">
        <f t="shared" si="189"/>
        <v/>
      </c>
      <c r="K1181" s="11" t="str">
        <f t="shared" si="188"/>
        <v/>
      </c>
      <c r="M1181" t="str">
        <f>IFERROR(MATCH($C$5&amp;"|"&amp;RIGHT("000000"&amp;1165,6),CalcRankKeyA,0),"")</f>
        <v/>
      </c>
      <c r="N1181" t="str">
        <f>IFERROR(MATCH($C$5&amp;"|"&amp;RIGHT("000000"&amp;1165,6),CalcRankKeyB,0),"")</f>
        <v/>
      </c>
    </row>
    <row r="1182" spans="1:14" x14ac:dyDescent="0.2">
      <c r="A1182" s="12">
        <v>1166</v>
      </c>
      <c r="B1182" s="13" t="str">
        <f t="shared" si="180"/>
        <v/>
      </c>
      <c r="C1182" s="13" t="str">
        <f t="shared" si="181"/>
        <v/>
      </c>
      <c r="D1182" s="13" t="str">
        <f t="shared" si="182"/>
        <v/>
      </c>
      <c r="E1182" s="14" t="str">
        <f t="shared" si="183"/>
        <v/>
      </c>
      <c r="F1182" s="14" t="str">
        <f t="shared" si="184"/>
        <v/>
      </c>
      <c r="G1182" s="14" t="str">
        <f t="shared" si="185"/>
        <v/>
      </c>
      <c r="H1182" s="14" t="str">
        <f t="shared" si="186"/>
        <v/>
      </c>
      <c r="I1182" s="15" t="str">
        <f t="shared" si="187"/>
        <v/>
      </c>
      <c r="J1182" s="15" t="str">
        <f t="shared" si="189"/>
        <v/>
      </c>
      <c r="K1182" s="16" t="str">
        <f t="shared" si="188"/>
        <v/>
      </c>
      <c r="M1182" t="str">
        <f>IFERROR(MATCH($C$5&amp;"|"&amp;RIGHT("000000"&amp;1166,6),CalcRankKeyA,0),"")</f>
        <v/>
      </c>
      <c r="N1182" t="str">
        <f>IFERROR(MATCH($C$5&amp;"|"&amp;RIGHT("000000"&amp;1166,6),CalcRankKeyB,0),"")</f>
        <v/>
      </c>
    </row>
    <row r="1183" spans="1:14" x14ac:dyDescent="0.2">
      <c r="A1183" s="7">
        <v>1167</v>
      </c>
      <c r="B1183" s="8" t="str">
        <f t="shared" si="180"/>
        <v/>
      </c>
      <c r="C1183" s="8" t="str">
        <f t="shared" si="181"/>
        <v/>
      </c>
      <c r="D1183" s="8" t="str">
        <f t="shared" si="182"/>
        <v/>
      </c>
      <c r="E1183" s="9" t="str">
        <f t="shared" si="183"/>
        <v/>
      </c>
      <c r="F1183" s="9" t="str">
        <f t="shared" si="184"/>
        <v/>
      </c>
      <c r="G1183" s="9" t="str">
        <f t="shared" si="185"/>
        <v/>
      </c>
      <c r="H1183" s="9" t="str">
        <f t="shared" si="186"/>
        <v/>
      </c>
      <c r="I1183" s="10" t="str">
        <f t="shared" si="187"/>
        <v/>
      </c>
      <c r="J1183" s="10" t="str">
        <f t="shared" si="189"/>
        <v/>
      </c>
      <c r="K1183" s="11" t="str">
        <f t="shared" si="188"/>
        <v/>
      </c>
      <c r="M1183" t="str">
        <f>IFERROR(MATCH($C$5&amp;"|"&amp;RIGHT("000000"&amp;1167,6),CalcRankKeyA,0),"")</f>
        <v/>
      </c>
      <c r="N1183" t="str">
        <f>IFERROR(MATCH($C$5&amp;"|"&amp;RIGHT("000000"&amp;1167,6),CalcRankKeyB,0),"")</f>
        <v/>
      </c>
    </row>
    <row r="1184" spans="1:14" x14ac:dyDescent="0.2">
      <c r="A1184" s="12">
        <v>1168</v>
      </c>
      <c r="B1184" s="13" t="str">
        <f t="shared" si="180"/>
        <v/>
      </c>
      <c r="C1184" s="13" t="str">
        <f t="shared" si="181"/>
        <v/>
      </c>
      <c r="D1184" s="13" t="str">
        <f t="shared" si="182"/>
        <v/>
      </c>
      <c r="E1184" s="14" t="str">
        <f t="shared" si="183"/>
        <v/>
      </c>
      <c r="F1184" s="14" t="str">
        <f t="shared" si="184"/>
        <v/>
      </c>
      <c r="G1184" s="14" t="str">
        <f t="shared" si="185"/>
        <v/>
      </c>
      <c r="H1184" s="14" t="str">
        <f t="shared" si="186"/>
        <v/>
      </c>
      <c r="I1184" s="15" t="str">
        <f t="shared" si="187"/>
        <v/>
      </c>
      <c r="J1184" s="15" t="str">
        <f t="shared" si="189"/>
        <v/>
      </c>
      <c r="K1184" s="16" t="str">
        <f t="shared" si="188"/>
        <v/>
      </c>
      <c r="M1184" t="str">
        <f>IFERROR(MATCH($C$5&amp;"|"&amp;RIGHT("000000"&amp;1168,6),CalcRankKeyA,0),"")</f>
        <v/>
      </c>
      <c r="N1184" t="str">
        <f>IFERROR(MATCH($C$5&amp;"|"&amp;RIGHT("000000"&amp;1168,6),CalcRankKeyB,0),"")</f>
        <v/>
      </c>
    </row>
    <row r="1185" spans="1:14" x14ac:dyDescent="0.2">
      <c r="A1185" s="7">
        <v>1169</v>
      </c>
      <c r="B1185" s="8" t="str">
        <f t="shared" si="180"/>
        <v/>
      </c>
      <c r="C1185" s="8" t="str">
        <f t="shared" si="181"/>
        <v/>
      </c>
      <c r="D1185" s="8" t="str">
        <f t="shared" si="182"/>
        <v/>
      </c>
      <c r="E1185" s="9" t="str">
        <f t="shared" si="183"/>
        <v/>
      </c>
      <c r="F1185" s="9" t="str">
        <f t="shared" si="184"/>
        <v/>
      </c>
      <c r="G1185" s="9" t="str">
        <f t="shared" si="185"/>
        <v/>
      </c>
      <c r="H1185" s="9" t="str">
        <f t="shared" si="186"/>
        <v/>
      </c>
      <c r="I1185" s="10" t="str">
        <f t="shared" si="187"/>
        <v/>
      </c>
      <c r="J1185" s="10" t="str">
        <f t="shared" si="189"/>
        <v/>
      </c>
      <c r="K1185" s="11" t="str">
        <f t="shared" si="188"/>
        <v/>
      </c>
      <c r="M1185" t="str">
        <f>IFERROR(MATCH($C$5&amp;"|"&amp;RIGHT("000000"&amp;1169,6),CalcRankKeyA,0),"")</f>
        <v/>
      </c>
      <c r="N1185" t="str">
        <f>IFERROR(MATCH($C$5&amp;"|"&amp;RIGHT("000000"&amp;1169,6),CalcRankKeyB,0),"")</f>
        <v/>
      </c>
    </row>
    <row r="1186" spans="1:14" x14ac:dyDescent="0.2">
      <c r="A1186" s="12">
        <v>1170</v>
      </c>
      <c r="B1186" s="13" t="str">
        <f t="shared" si="180"/>
        <v/>
      </c>
      <c r="C1186" s="13" t="str">
        <f t="shared" si="181"/>
        <v/>
      </c>
      <c r="D1186" s="13" t="str">
        <f t="shared" si="182"/>
        <v/>
      </c>
      <c r="E1186" s="14" t="str">
        <f t="shared" si="183"/>
        <v/>
      </c>
      <c r="F1186" s="14" t="str">
        <f t="shared" si="184"/>
        <v/>
      </c>
      <c r="G1186" s="14" t="str">
        <f t="shared" si="185"/>
        <v/>
      </c>
      <c r="H1186" s="14" t="str">
        <f t="shared" si="186"/>
        <v/>
      </c>
      <c r="I1186" s="15" t="str">
        <f t="shared" si="187"/>
        <v/>
      </c>
      <c r="J1186" s="15" t="str">
        <f t="shared" si="189"/>
        <v/>
      </c>
      <c r="K1186" s="16" t="str">
        <f t="shared" si="188"/>
        <v/>
      </c>
      <c r="M1186" t="str">
        <f>IFERROR(MATCH($C$5&amp;"|"&amp;RIGHT("000000"&amp;1170,6),CalcRankKeyA,0),"")</f>
        <v/>
      </c>
      <c r="N1186" t="str">
        <f>IFERROR(MATCH($C$5&amp;"|"&amp;RIGHT("000000"&amp;1170,6),CalcRankKeyB,0),"")</f>
        <v/>
      </c>
    </row>
    <row r="1187" spans="1:14" x14ac:dyDescent="0.2">
      <c r="A1187" s="7">
        <v>1171</v>
      </c>
      <c r="B1187" s="8" t="str">
        <f t="shared" si="180"/>
        <v/>
      </c>
      <c r="C1187" s="8" t="str">
        <f t="shared" si="181"/>
        <v/>
      </c>
      <c r="D1187" s="8" t="str">
        <f t="shared" si="182"/>
        <v/>
      </c>
      <c r="E1187" s="9" t="str">
        <f t="shared" si="183"/>
        <v/>
      </c>
      <c r="F1187" s="9" t="str">
        <f t="shared" si="184"/>
        <v/>
      </c>
      <c r="G1187" s="9" t="str">
        <f t="shared" si="185"/>
        <v/>
      </c>
      <c r="H1187" s="9" t="str">
        <f t="shared" si="186"/>
        <v/>
      </c>
      <c r="I1187" s="10" t="str">
        <f t="shared" si="187"/>
        <v/>
      </c>
      <c r="J1187" s="10" t="str">
        <f t="shared" si="189"/>
        <v/>
      </c>
      <c r="K1187" s="11" t="str">
        <f t="shared" si="188"/>
        <v/>
      </c>
      <c r="M1187" t="str">
        <f>IFERROR(MATCH($C$5&amp;"|"&amp;RIGHT("000000"&amp;1171,6),CalcRankKeyA,0),"")</f>
        <v/>
      </c>
      <c r="N1187" t="str">
        <f>IFERROR(MATCH($C$5&amp;"|"&amp;RIGHT("000000"&amp;1171,6),CalcRankKeyB,0),"")</f>
        <v/>
      </c>
    </row>
    <row r="1188" spans="1:14" x14ac:dyDescent="0.2">
      <c r="A1188" s="12">
        <v>1172</v>
      </c>
      <c r="B1188" s="13" t="str">
        <f t="shared" si="180"/>
        <v/>
      </c>
      <c r="C1188" s="13" t="str">
        <f t="shared" si="181"/>
        <v/>
      </c>
      <c r="D1188" s="13" t="str">
        <f t="shared" si="182"/>
        <v/>
      </c>
      <c r="E1188" s="14" t="str">
        <f t="shared" si="183"/>
        <v/>
      </c>
      <c r="F1188" s="14" t="str">
        <f t="shared" si="184"/>
        <v/>
      </c>
      <c r="G1188" s="14" t="str">
        <f t="shared" si="185"/>
        <v/>
      </c>
      <c r="H1188" s="14" t="str">
        <f t="shared" si="186"/>
        <v/>
      </c>
      <c r="I1188" s="15" t="str">
        <f t="shared" si="187"/>
        <v/>
      </c>
      <c r="J1188" s="15" t="str">
        <f t="shared" si="189"/>
        <v/>
      </c>
      <c r="K1188" s="16" t="str">
        <f t="shared" si="188"/>
        <v/>
      </c>
      <c r="M1188" t="str">
        <f>IFERROR(MATCH($C$5&amp;"|"&amp;RIGHT("000000"&amp;1172,6),CalcRankKeyA,0),"")</f>
        <v/>
      </c>
      <c r="N1188" t="str">
        <f>IFERROR(MATCH($C$5&amp;"|"&amp;RIGHT("000000"&amp;1172,6),CalcRankKeyB,0),"")</f>
        <v/>
      </c>
    </row>
    <row r="1189" spans="1:14" x14ac:dyDescent="0.2">
      <c r="A1189" s="7">
        <v>1173</v>
      </c>
      <c r="B1189" s="8" t="str">
        <f t="shared" si="180"/>
        <v/>
      </c>
      <c r="C1189" s="8" t="str">
        <f t="shared" si="181"/>
        <v/>
      </c>
      <c r="D1189" s="8" t="str">
        <f t="shared" si="182"/>
        <v/>
      </c>
      <c r="E1189" s="9" t="str">
        <f t="shared" si="183"/>
        <v/>
      </c>
      <c r="F1189" s="9" t="str">
        <f t="shared" si="184"/>
        <v/>
      </c>
      <c r="G1189" s="9" t="str">
        <f t="shared" si="185"/>
        <v/>
      </c>
      <c r="H1189" s="9" t="str">
        <f t="shared" si="186"/>
        <v/>
      </c>
      <c r="I1189" s="10" t="str">
        <f t="shared" si="187"/>
        <v/>
      </c>
      <c r="J1189" s="10" t="str">
        <f t="shared" si="189"/>
        <v/>
      </c>
      <c r="K1189" s="11" t="str">
        <f t="shared" si="188"/>
        <v/>
      </c>
      <c r="M1189" t="str">
        <f>IFERROR(MATCH($C$5&amp;"|"&amp;RIGHT("000000"&amp;1173,6),CalcRankKeyA,0),"")</f>
        <v/>
      </c>
      <c r="N1189" t="str">
        <f>IFERROR(MATCH($C$5&amp;"|"&amp;RIGHT("000000"&amp;1173,6),CalcRankKeyB,0),"")</f>
        <v/>
      </c>
    </row>
    <row r="1190" spans="1:14" x14ac:dyDescent="0.2">
      <c r="A1190" s="12">
        <v>1174</v>
      </c>
      <c r="B1190" s="13" t="str">
        <f t="shared" si="180"/>
        <v/>
      </c>
      <c r="C1190" s="13" t="str">
        <f t="shared" si="181"/>
        <v/>
      </c>
      <c r="D1190" s="13" t="str">
        <f t="shared" si="182"/>
        <v/>
      </c>
      <c r="E1190" s="14" t="str">
        <f t="shared" si="183"/>
        <v/>
      </c>
      <c r="F1190" s="14" t="str">
        <f t="shared" si="184"/>
        <v/>
      </c>
      <c r="G1190" s="14" t="str">
        <f t="shared" si="185"/>
        <v/>
      </c>
      <c r="H1190" s="14" t="str">
        <f t="shared" si="186"/>
        <v/>
      </c>
      <c r="I1190" s="15" t="str">
        <f t="shared" si="187"/>
        <v/>
      </c>
      <c r="J1190" s="15" t="str">
        <f t="shared" si="189"/>
        <v/>
      </c>
      <c r="K1190" s="16" t="str">
        <f t="shared" si="188"/>
        <v/>
      </c>
      <c r="M1190" t="str">
        <f>IFERROR(MATCH($C$5&amp;"|"&amp;RIGHT("000000"&amp;1174,6),CalcRankKeyA,0),"")</f>
        <v/>
      </c>
      <c r="N1190" t="str">
        <f>IFERROR(MATCH($C$5&amp;"|"&amp;RIGHT("000000"&amp;1174,6),CalcRankKeyB,0),"")</f>
        <v/>
      </c>
    </row>
    <row r="1191" spans="1:14" x14ac:dyDescent="0.2">
      <c r="A1191" s="7">
        <v>1175</v>
      </c>
      <c r="B1191" s="8" t="str">
        <f t="shared" si="180"/>
        <v/>
      </c>
      <c r="C1191" s="8" t="str">
        <f t="shared" si="181"/>
        <v/>
      </c>
      <c r="D1191" s="8" t="str">
        <f t="shared" si="182"/>
        <v/>
      </c>
      <c r="E1191" s="9" t="str">
        <f t="shared" si="183"/>
        <v/>
      </c>
      <c r="F1191" s="9" t="str">
        <f t="shared" si="184"/>
        <v/>
      </c>
      <c r="G1191" s="9" t="str">
        <f t="shared" si="185"/>
        <v/>
      </c>
      <c r="H1191" s="9" t="str">
        <f t="shared" si="186"/>
        <v/>
      </c>
      <c r="I1191" s="10" t="str">
        <f t="shared" si="187"/>
        <v/>
      </c>
      <c r="J1191" s="10" t="str">
        <f t="shared" si="189"/>
        <v/>
      </c>
      <c r="K1191" s="11" t="str">
        <f t="shared" si="188"/>
        <v/>
      </c>
      <c r="M1191" t="str">
        <f>IFERROR(MATCH($C$5&amp;"|"&amp;RIGHT("000000"&amp;1175,6),CalcRankKeyA,0),"")</f>
        <v/>
      </c>
      <c r="N1191" t="str">
        <f>IFERROR(MATCH($C$5&amp;"|"&amp;RIGHT("000000"&amp;1175,6),CalcRankKeyB,0),"")</f>
        <v/>
      </c>
    </row>
    <row r="1192" spans="1:14" x14ac:dyDescent="0.2">
      <c r="A1192" s="12">
        <v>1176</v>
      </c>
      <c r="B1192" s="13" t="str">
        <f t="shared" si="180"/>
        <v/>
      </c>
      <c r="C1192" s="13" t="str">
        <f t="shared" si="181"/>
        <v/>
      </c>
      <c r="D1192" s="13" t="str">
        <f t="shared" si="182"/>
        <v/>
      </c>
      <c r="E1192" s="14" t="str">
        <f t="shared" si="183"/>
        <v/>
      </c>
      <c r="F1192" s="14" t="str">
        <f t="shared" si="184"/>
        <v/>
      </c>
      <c r="G1192" s="14" t="str">
        <f t="shared" si="185"/>
        <v/>
      </c>
      <c r="H1192" s="14" t="str">
        <f t="shared" si="186"/>
        <v/>
      </c>
      <c r="I1192" s="15" t="str">
        <f t="shared" si="187"/>
        <v/>
      </c>
      <c r="J1192" s="15" t="str">
        <f t="shared" si="189"/>
        <v/>
      </c>
      <c r="K1192" s="16" t="str">
        <f t="shared" si="188"/>
        <v/>
      </c>
      <c r="M1192" t="str">
        <f>IFERROR(MATCH($C$5&amp;"|"&amp;RIGHT("000000"&amp;1176,6),CalcRankKeyA,0),"")</f>
        <v/>
      </c>
      <c r="N1192" t="str">
        <f>IFERROR(MATCH($C$5&amp;"|"&amp;RIGHT("000000"&amp;1176,6),CalcRankKeyB,0),"")</f>
        <v/>
      </c>
    </row>
    <row r="1193" spans="1:14" x14ac:dyDescent="0.2">
      <c r="A1193" s="7">
        <v>1177</v>
      </c>
      <c r="B1193" s="8" t="str">
        <f t="shared" si="180"/>
        <v/>
      </c>
      <c r="C1193" s="8" t="str">
        <f t="shared" si="181"/>
        <v/>
      </c>
      <c r="D1193" s="8" t="str">
        <f t="shared" si="182"/>
        <v/>
      </c>
      <c r="E1193" s="9" t="str">
        <f t="shared" si="183"/>
        <v/>
      </c>
      <c r="F1193" s="9" t="str">
        <f t="shared" si="184"/>
        <v/>
      </c>
      <c r="G1193" s="9" t="str">
        <f t="shared" si="185"/>
        <v/>
      </c>
      <c r="H1193" s="9" t="str">
        <f t="shared" si="186"/>
        <v/>
      </c>
      <c r="I1193" s="10" t="str">
        <f t="shared" si="187"/>
        <v/>
      </c>
      <c r="J1193" s="10" t="str">
        <f t="shared" si="189"/>
        <v/>
      </c>
      <c r="K1193" s="11" t="str">
        <f t="shared" si="188"/>
        <v/>
      </c>
      <c r="M1193" t="str">
        <f>IFERROR(MATCH($C$5&amp;"|"&amp;RIGHT("000000"&amp;1177,6),CalcRankKeyA,0),"")</f>
        <v/>
      </c>
      <c r="N1193" t="str">
        <f>IFERROR(MATCH($C$5&amp;"|"&amp;RIGHT("000000"&amp;1177,6),CalcRankKeyB,0),"")</f>
        <v/>
      </c>
    </row>
    <row r="1194" spans="1:14" x14ac:dyDescent="0.2">
      <c r="A1194" s="12">
        <v>1178</v>
      </c>
      <c r="B1194" s="13" t="str">
        <f t="shared" si="180"/>
        <v/>
      </c>
      <c r="C1194" s="13" t="str">
        <f t="shared" si="181"/>
        <v/>
      </c>
      <c r="D1194" s="13" t="str">
        <f t="shared" si="182"/>
        <v/>
      </c>
      <c r="E1194" s="14" t="str">
        <f t="shared" si="183"/>
        <v/>
      </c>
      <c r="F1194" s="14" t="str">
        <f t="shared" si="184"/>
        <v/>
      </c>
      <c r="G1194" s="14" t="str">
        <f t="shared" si="185"/>
        <v/>
      </c>
      <c r="H1194" s="14" t="str">
        <f t="shared" si="186"/>
        <v/>
      </c>
      <c r="I1194" s="15" t="str">
        <f t="shared" si="187"/>
        <v/>
      </c>
      <c r="J1194" s="15" t="str">
        <f t="shared" si="189"/>
        <v/>
      </c>
      <c r="K1194" s="16" t="str">
        <f t="shared" si="188"/>
        <v/>
      </c>
      <c r="M1194" t="str">
        <f>IFERROR(MATCH($C$5&amp;"|"&amp;RIGHT("000000"&amp;1178,6),CalcRankKeyA,0),"")</f>
        <v/>
      </c>
      <c r="N1194" t="str">
        <f>IFERROR(MATCH($C$5&amp;"|"&amp;RIGHT("000000"&amp;1178,6),CalcRankKeyB,0),"")</f>
        <v/>
      </c>
    </row>
    <row r="1195" spans="1:14" x14ac:dyDescent="0.2">
      <c r="A1195" s="7">
        <v>1179</v>
      </c>
      <c r="B1195" s="8" t="str">
        <f t="shared" si="180"/>
        <v/>
      </c>
      <c r="C1195" s="8" t="str">
        <f t="shared" si="181"/>
        <v/>
      </c>
      <c r="D1195" s="8" t="str">
        <f t="shared" si="182"/>
        <v/>
      </c>
      <c r="E1195" s="9" t="str">
        <f t="shared" si="183"/>
        <v/>
      </c>
      <c r="F1195" s="9" t="str">
        <f t="shared" si="184"/>
        <v/>
      </c>
      <c r="G1195" s="9" t="str">
        <f t="shared" si="185"/>
        <v/>
      </c>
      <c r="H1195" s="9" t="str">
        <f t="shared" si="186"/>
        <v/>
      </c>
      <c r="I1195" s="10" t="str">
        <f t="shared" si="187"/>
        <v/>
      </c>
      <c r="J1195" s="10" t="str">
        <f t="shared" si="189"/>
        <v/>
      </c>
      <c r="K1195" s="11" t="str">
        <f t="shared" si="188"/>
        <v/>
      </c>
      <c r="M1195" t="str">
        <f>IFERROR(MATCH($C$5&amp;"|"&amp;RIGHT("000000"&amp;1179,6),CalcRankKeyA,0),"")</f>
        <v/>
      </c>
      <c r="N1195" t="str">
        <f>IFERROR(MATCH($C$5&amp;"|"&amp;RIGHT("000000"&amp;1179,6),CalcRankKeyB,0),"")</f>
        <v/>
      </c>
    </row>
    <row r="1196" spans="1:14" x14ac:dyDescent="0.2">
      <c r="A1196" s="12">
        <v>1180</v>
      </c>
      <c r="B1196" s="13" t="str">
        <f t="shared" si="180"/>
        <v/>
      </c>
      <c r="C1196" s="13" t="str">
        <f t="shared" si="181"/>
        <v/>
      </c>
      <c r="D1196" s="13" t="str">
        <f t="shared" si="182"/>
        <v/>
      </c>
      <c r="E1196" s="14" t="str">
        <f t="shared" si="183"/>
        <v/>
      </c>
      <c r="F1196" s="14" t="str">
        <f t="shared" si="184"/>
        <v/>
      </c>
      <c r="G1196" s="14" t="str">
        <f t="shared" si="185"/>
        <v/>
      </c>
      <c r="H1196" s="14" t="str">
        <f t="shared" si="186"/>
        <v/>
      </c>
      <c r="I1196" s="15" t="str">
        <f t="shared" si="187"/>
        <v/>
      </c>
      <c r="J1196" s="15" t="str">
        <f t="shared" si="189"/>
        <v/>
      </c>
      <c r="K1196" s="16" t="str">
        <f t="shared" si="188"/>
        <v/>
      </c>
      <c r="M1196" t="str">
        <f>IFERROR(MATCH($C$5&amp;"|"&amp;RIGHT("000000"&amp;1180,6),CalcRankKeyA,0),"")</f>
        <v/>
      </c>
      <c r="N1196" t="str">
        <f>IFERROR(MATCH($C$5&amp;"|"&amp;RIGHT("000000"&amp;1180,6),CalcRankKeyB,0),"")</f>
        <v/>
      </c>
    </row>
    <row r="1197" spans="1:14" x14ac:dyDescent="0.2">
      <c r="A1197" s="7">
        <v>1181</v>
      </c>
      <c r="B1197" s="8" t="str">
        <f t="shared" si="180"/>
        <v/>
      </c>
      <c r="C1197" s="8" t="str">
        <f t="shared" si="181"/>
        <v/>
      </c>
      <c r="D1197" s="8" t="str">
        <f t="shared" si="182"/>
        <v/>
      </c>
      <c r="E1197" s="9" t="str">
        <f t="shared" si="183"/>
        <v/>
      </c>
      <c r="F1197" s="9" t="str">
        <f t="shared" si="184"/>
        <v/>
      </c>
      <c r="G1197" s="9" t="str">
        <f t="shared" si="185"/>
        <v/>
      </c>
      <c r="H1197" s="9" t="str">
        <f t="shared" si="186"/>
        <v/>
      </c>
      <c r="I1197" s="10" t="str">
        <f t="shared" si="187"/>
        <v/>
      </c>
      <c r="J1197" s="10" t="str">
        <f t="shared" si="189"/>
        <v/>
      </c>
      <c r="K1197" s="11" t="str">
        <f t="shared" si="188"/>
        <v/>
      </c>
      <c r="M1197" t="str">
        <f>IFERROR(MATCH($C$5&amp;"|"&amp;RIGHT("000000"&amp;1181,6),CalcRankKeyA,0),"")</f>
        <v/>
      </c>
      <c r="N1197" t="str">
        <f>IFERROR(MATCH($C$5&amp;"|"&amp;RIGHT("000000"&amp;1181,6),CalcRankKeyB,0),"")</f>
        <v/>
      </c>
    </row>
    <row r="1198" spans="1:14" x14ac:dyDescent="0.2">
      <c r="A1198" s="12">
        <v>1182</v>
      </c>
      <c r="B1198" s="13" t="str">
        <f t="shared" si="180"/>
        <v/>
      </c>
      <c r="C1198" s="13" t="str">
        <f t="shared" si="181"/>
        <v/>
      </c>
      <c r="D1198" s="13" t="str">
        <f t="shared" si="182"/>
        <v/>
      </c>
      <c r="E1198" s="14" t="str">
        <f t="shared" si="183"/>
        <v/>
      </c>
      <c r="F1198" s="14" t="str">
        <f t="shared" si="184"/>
        <v/>
      </c>
      <c r="G1198" s="14" t="str">
        <f t="shared" si="185"/>
        <v/>
      </c>
      <c r="H1198" s="14" t="str">
        <f t="shared" si="186"/>
        <v/>
      </c>
      <c r="I1198" s="15" t="str">
        <f t="shared" si="187"/>
        <v/>
      </c>
      <c r="J1198" s="15" t="str">
        <f t="shared" si="189"/>
        <v/>
      </c>
      <c r="K1198" s="16" t="str">
        <f t="shared" si="188"/>
        <v/>
      </c>
      <c r="M1198" t="str">
        <f>IFERROR(MATCH($C$5&amp;"|"&amp;RIGHT("000000"&amp;1182,6),CalcRankKeyA,0),"")</f>
        <v/>
      </c>
      <c r="N1198" t="str">
        <f>IFERROR(MATCH($C$5&amp;"|"&amp;RIGHT("000000"&amp;1182,6),CalcRankKeyB,0),"")</f>
        <v/>
      </c>
    </row>
    <row r="1199" spans="1:14" x14ac:dyDescent="0.2">
      <c r="A1199" s="7">
        <v>1183</v>
      </c>
      <c r="B1199" s="8" t="str">
        <f t="shared" si="180"/>
        <v/>
      </c>
      <c r="C1199" s="8" t="str">
        <f t="shared" si="181"/>
        <v/>
      </c>
      <c r="D1199" s="8" t="str">
        <f t="shared" si="182"/>
        <v/>
      </c>
      <c r="E1199" s="9" t="str">
        <f t="shared" si="183"/>
        <v/>
      </c>
      <c r="F1199" s="9" t="str">
        <f t="shared" si="184"/>
        <v/>
      </c>
      <c r="G1199" s="9" t="str">
        <f t="shared" si="185"/>
        <v/>
      </c>
      <c r="H1199" s="9" t="str">
        <f t="shared" si="186"/>
        <v/>
      </c>
      <c r="I1199" s="10" t="str">
        <f t="shared" si="187"/>
        <v/>
      </c>
      <c r="J1199" s="10" t="str">
        <f t="shared" si="189"/>
        <v/>
      </c>
      <c r="K1199" s="11" t="str">
        <f t="shared" si="188"/>
        <v/>
      </c>
      <c r="M1199" t="str">
        <f>IFERROR(MATCH($C$5&amp;"|"&amp;RIGHT("000000"&amp;1183,6),CalcRankKeyA,0),"")</f>
        <v/>
      </c>
      <c r="N1199" t="str">
        <f>IFERROR(MATCH($C$5&amp;"|"&amp;RIGHT("000000"&amp;1183,6),CalcRankKeyB,0),"")</f>
        <v/>
      </c>
    </row>
    <row r="1200" spans="1:14" x14ac:dyDescent="0.2">
      <c r="A1200" s="12">
        <v>1184</v>
      </c>
      <c r="B1200" s="13" t="str">
        <f t="shared" si="180"/>
        <v/>
      </c>
      <c r="C1200" s="13" t="str">
        <f t="shared" si="181"/>
        <v/>
      </c>
      <c r="D1200" s="13" t="str">
        <f t="shared" si="182"/>
        <v/>
      </c>
      <c r="E1200" s="14" t="str">
        <f t="shared" si="183"/>
        <v/>
      </c>
      <c r="F1200" s="14" t="str">
        <f t="shared" si="184"/>
        <v/>
      </c>
      <c r="G1200" s="14" t="str">
        <f t="shared" si="185"/>
        <v/>
      </c>
      <c r="H1200" s="14" t="str">
        <f t="shared" si="186"/>
        <v/>
      </c>
      <c r="I1200" s="15" t="str">
        <f t="shared" si="187"/>
        <v/>
      </c>
      <c r="J1200" s="15" t="str">
        <f t="shared" si="189"/>
        <v/>
      </c>
      <c r="K1200" s="16" t="str">
        <f t="shared" si="188"/>
        <v/>
      </c>
      <c r="M1200" t="str">
        <f>IFERROR(MATCH($C$5&amp;"|"&amp;RIGHT("000000"&amp;1184,6),CalcRankKeyA,0),"")</f>
        <v/>
      </c>
      <c r="N1200" t="str">
        <f>IFERROR(MATCH($C$5&amp;"|"&amp;RIGHT("000000"&amp;1184,6),CalcRankKeyB,0),"")</f>
        <v/>
      </c>
    </row>
    <row r="1201" spans="1:14" x14ac:dyDescent="0.2">
      <c r="A1201" s="7">
        <v>1185</v>
      </c>
      <c r="B1201" s="8" t="str">
        <f t="shared" si="180"/>
        <v/>
      </c>
      <c r="C1201" s="8" t="str">
        <f t="shared" si="181"/>
        <v/>
      </c>
      <c r="D1201" s="8" t="str">
        <f t="shared" si="182"/>
        <v/>
      </c>
      <c r="E1201" s="9" t="str">
        <f t="shared" si="183"/>
        <v/>
      </c>
      <c r="F1201" s="9" t="str">
        <f t="shared" si="184"/>
        <v/>
      </c>
      <c r="G1201" s="9" t="str">
        <f t="shared" si="185"/>
        <v/>
      </c>
      <c r="H1201" s="9" t="str">
        <f t="shared" si="186"/>
        <v/>
      </c>
      <c r="I1201" s="10" t="str">
        <f t="shared" si="187"/>
        <v/>
      </c>
      <c r="J1201" s="10" t="str">
        <f t="shared" si="189"/>
        <v/>
      </c>
      <c r="K1201" s="11" t="str">
        <f t="shared" si="188"/>
        <v/>
      </c>
      <c r="M1201" t="str">
        <f>IFERROR(MATCH($C$5&amp;"|"&amp;RIGHT("000000"&amp;1185,6),CalcRankKeyA,0),"")</f>
        <v/>
      </c>
      <c r="N1201" t="str">
        <f>IFERROR(MATCH($C$5&amp;"|"&amp;RIGHT("000000"&amp;1185,6),CalcRankKeyB,0),"")</f>
        <v/>
      </c>
    </row>
    <row r="1202" spans="1:14" x14ac:dyDescent="0.2">
      <c r="A1202" s="12">
        <v>1186</v>
      </c>
      <c r="B1202" s="13" t="str">
        <f t="shared" si="180"/>
        <v/>
      </c>
      <c r="C1202" s="13" t="str">
        <f t="shared" si="181"/>
        <v/>
      </c>
      <c r="D1202" s="13" t="str">
        <f t="shared" si="182"/>
        <v/>
      </c>
      <c r="E1202" s="14" t="str">
        <f t="shared" si="183"/>
        <v/>
      </c>
      <c r="F1202" s="14" t="str">
        <f t="shared" si="184"/>
        <v/>
      </c>
      <c r="G1202" s="14" t="str">
        <f t="shared" si="185"/>
        <v/>
      </c>
      <c r="H1202" s="14" t="str">
        <f t="shared" si="186"/>
        <v/>
      </c>
      <c r="I1202" s="15" t="str">
        <f t="shared" si="187"/>
        <v/>
      </c>
      <c r="J1202" s="15" t="str">
        <f t="shared" si="189"/>
        <v/>
      </c>
      <c r="K1202" s="16" t="str">
        <f t="shared" si="188"/>
        <v/>
      </c>
      <c r="M1202" t="str">
        <f>IFERROR(MATCH($C$5&amp;"|"&amp;RIGHT("000000"&amp;1186,6),CalcRankKeyA,0),"")</f>
        <v/>
      </c>
      <c r="N1202" t="str">
        <f>IFERROR(MATCH($C$5&amp;"|"&amp;RIGHT("000000"&amp;1186,6),CalcRankKeyB,0),"")</f>
        <v/>
      </c>
    </row>
    <row r="1203" spans="1:14" x14ac:dyDescent="0.2">
      <c r="A1203" s="7">
        <v>1187</v>
      </c>
      <c r="B1203" s="8" t="str">
        <f t="shared" si="180"/>
        <v/>
      </c>
      <c r="C1203" s="8" t="str">
        <f t="shared" si="181"/>
        <v/>
      </c>
      <c r="D1203" s="8" t="str">
        <f t="shared" si="182"/>
        <v/>
      </c>
      <c r="E1203" s="9" t="str">
        <f t="shared" si="183"/>
        <v/>
      </c>
      <c r="F1203" s="9" t="str">
        <f t="shared" si="184"/>
        <v/>
      </c>
      <c r="G1203" s="9" t="str">
        <f t="shared" si="185"/>
        <v/>
      </c>
      <c r="H1203" s="9" t="str">
        <f t="shared" si="186"/>
        <v/>
      </c>
      <c r="I1203" s="10" t="str">
        <f t="shared" si="187"/>
        <v/>
      </c>
      <c r="J1203" s="10" t="str">
        <f t="shared" si="189"/>
        <v/>
      </c>
      <c r="K1203" s="11" t="str">
        <f t="shared" si="188"/>
        <v/>
      </c>
      <c r="M1203" t="str">
        <f>IFERROR(MATCH($C$5&amp;"|"&amp;RIGHT("000000"&amp;1187,6),CalcRankKeyA,0),"")</f>
        <v/>
      </c>
      <c r="N1203" t="str">
        <f>IFERROR(MATCH($C$5&amp;"|"&amp;RIGHT("000000"&amp;1187,6),CalcRankKeyB,0),"")</f>
        <v/>
      </c>
    </row>
    <row r="1204" spans="1:14" x14ac:dyDescent="0.2">
      <c r="A1204" s="12">
        <v>1188</v>
      </c>
      <c r="B1204" s="13" t="str">
        <f t="shared" si="180"/>
        <v/>
      </c>
      <c r="C1204" s="13" t="str">
        <f t="shared" si="181"/>
        <v/>
      </c>
      <c r="D1204" s="13" t="str">
        <f t="shared" si="182"/>
        <v/>
      </c>
      <c r="E1204" s="14" t="str">
        <f t="shared" si="183"/>
        <v/>
      </c>
      <c r="F1204" s="14" t="str">
        <f t="shared" si="184"/>
        <v/>
      </c>
      <c r="G1204" s="14" t="str">
        <f t="shared" si="185"/>
        <v/>
      </c>
      <c r="H1204" s="14" t="str">
        <f t="shared" si="186"/>
        <v/>
      </c>
      <c r="I1204" s="15" t="str">
        <f t="shared" si="187"/>
        <v/>
      </c>
      <c r="J1204" s="15" t="str">
        <f t="shared" si="189"/>
        <v/>
      </c>
      <c r="K1204" s="16" t="str">
        <f t="shared" si="188"/>
        <v/>
      </c>
      <c r="M1204" t="str">
        <f>IFERROR(MATCH($C$5&amp;"|"&amp;RIGHT("000000"&amp;1188,6),CalcRankKeyA,0),"")</f>
        <v/>
      </c>
      <c r="N1204" t="str">
        <f>IFERROR(MATCH($C$5&amp;"|"&amp;RIGHT("000000"&amp;1188,6),CalcRankKeyB,0),"")</f>
        <v/>
      </c>
    </row>
    <row r="1205" spans="1:14" x14ac:dyDescent="0.2">
      <c r="A1205" s="7">
        <v>1189</v>
      </c>
      <c r="B1205" s="8" t="str">
        <f t="shared" si="180"/>
        <v/>
      </c>
      <c r="C1205" s="8" t="str">
        <f t="shared" si="181"/>
        <v/>
      </c>
      <c r="D1205" s="8" t="str">
        <f t="shared" si="182"/>
        <v/>
      </c>
      <c r="E1205" s="9" t="str">
        <f t="shared" si="183"/>
        <v/>
      </c>
      <c r="F1205" s="9" t="str">
        <f t="shared" si="184"/>
        <v/>
      </c>
      <c r="G1205" s="9" t="str">
        <f t="shared" si="185"/>
        <v/>
      </c>
      <c r="H1205" s="9" t="str">
        <f t="shared" si="186"/>
        <v/>
      </c>
      <c r="I1205" s="10" t="str">
        <f t="shared" si="187"/>
        <v/>
      </c>
      <c r="J1205" s="10" t="str">
        <f t="shared" si="189"/>
        <v/>
      </c>
      <c r="K1205" s="11" t="str">
        <f t="shared" si="188"/>
        <v/>
      </c>
      <c r="M1205" t="str">
        <f>IFERROR(MATCH($C$5&amp;"|"&amp;RIGHT("000000"&amp;1189,6),CalcRankKeyA,0),"")</f>
        <v/>
      </c>
      <c r="N1205" t="str">
        <f>IFERROR(MATCH($C$5&amp;"|"&amp;RIGHT("000000"&amp;1189,6),CalcRankKeyB,0),"")</f>
        <v/>
      </c>
    </row>
    <row r="1206" spans="1:14" x14ac:dyDescent="0.2">
      <c r="A1206" s="12">
        <v>1190</v>
      </c>
      <c r="B1206" s="13" t="str">
        <f t="shared" si="180"/>
        <v/>
      </c>
      <c r="C1206" s="13" t="str">
        <f t="shared" si="181"/>
        <v/>
      </c>
      <c r="D1206" s="13" t="str">
        <f t="shared" si="182"/>
        <v/>
      </c>
      <c r="E1206" s="14" t="str">
        <f t="shared" si="183"/>
        <v/>
      </c>
      <c r="F1206" s="14" t="str">
        <f t="shared" si="184"/>
        <v/>
      </c>
      <c r="G1206" s="14" t="str">
        <f t="shared" si="185"/>
        <v/>
      </c>
      <c r="H1206" s="14" t="str">
        <f t="shared" si="186"/>
        <v/>
      </c>
      <c r="I1206" s="15" t="str">
        <f t="shared" si="187"/>
        <v/>
      </c>
      <c r="J1206" s="15" t="str">
        <f t="shared" si="189"/>
        <v/>
      </c>
      <c r="K1206" s="16" t="str">
        <f t="shared" si="188"/>
        <v/>
      </c>
      <c r="M1206" t="str">
        <f>IFERROR(MATCH($C$5&amp;"|"&amp;RIGHT("000000"&amp;1190,6),CalcRankKeyA,0),"")</f>
        <v/>
      </c>
      <c r="N1206" t="str">
        <f>IFERROR(MATCH($C$5&amp;"|"&amp;RIGHT("000000"&amp;1190,6),CalcRankKeyB,0),"")</f>
        <v/>
      </c>
    </row>
    <row r="1207" spans="1:14" x14ac:dyDescent="0.2">
      <c r="A1207" s="7">
        <v>1191</v>
      </c>
      <c r="B1207" s="8" t="str">
        <f t="shared" si="180"/>
        <v/>
      </c>
      <c r="C1207" s="8" t="str">
        <f t="shared" si="181"/>
        <v/>
      </c>
      <c r="D1207" s="8" t="str">
        <f t="shared" si="182"/>
        <v/>
      </c>
      <c r="E1207" s="9" t="str">
        <f t="shared" si="183"/>
        <v/>
      </c>
      <c r="F1207" s="9" t="str">
        <f t="shared" si="184"/>
        <v/>
      </c>
      <c r="G1207" s="9" t="str">
        <f t="shared" si="185"/>
        <v/>
      </c>
      <c r="H1207" s="9" t="str">
        <f t="shared" si="186"/>
        <v/>
      </c>
      <c r="I1207" s="10" t="str">
        <f t="shared" si="187"/>
        <v/>
      </c>
      <c r="J1207" s="10" t="str">
        <f t="shared" si="189"/>
        <v/>
      </c>
      <c r="K1207" s="11" t="str">
        <f t="shared" si="188"/>
        <v/>
      </c>
      <c r="M1207" t="str">
        <f>IFERROR(MATCH($C$5&amp;"|"&amp;RIGHT("000000"&amp;1191,6),CalcRankKeyA,0),"")</f>
        <v/>
      </c>
      <c r="N1207" t="str">
        <f>IFERROR(MATCH($C$5&amp;"|"&amp;RIGHT("000000"&amp;1191,6),CalcRankKeyB,0),"")</f>
        <v/>
      </c>
    </row>
    <row r="1208" spans="1:14" x14ac:dyDescent="0.2">
      <c r="A1208" s="12">
        <v>1192</v>
      </c>
      <c r="B1208" s="13" t="str">
        <f t="shared" si="180"/>
        <v/>
      </c>
      <c r="C1208" s="13" t="str">
        <f t="shared" si="181"/>
        <v/>
      </c>
      <c r="D1208" s="13" t="str">
        <f t="shared" si="182"/>
        <v/>
      </c>
      <c r="E1208" s="14" t="str">
        <f t="shared" si="183"/>
        <v/>
      </c>
      <c r="F1208" s="14" t="str">
        <f t="shared" si="184"/>
        <v/>
      </c>
      <c r="G1208" s="14" t="str">
        <f t="shared" si="185"/>
        <v/>
      </c>
      <c r="H1208" s="14" t="str">
        <f t="shared" si="186"/>
        <v/>
      </c>
      <c r="I1208" s="15" t="str">
        <f t="shared" si="187"/>
        <v/>
      </c>
      <c r="J1208" s="15" t="str">
        <f t="shared" si="189"/>
        <v/>
      </c>
      <c r="K1208" s="16" t="str">
        <f t="shared" si="188"/>
        <v/>
      </c>
      <c r="M1208" t="str">
        <f>IFERROR(MATCH($C$5&amp;"|"&amp;RIGHT("000000"&amp;1192,6),CalcRankKeyA,0),"")</f>
        <v/>
      </c>
      <c r="N1208" t="str">
        <f>IFERROR(MATCH($C$5&amp;"|"&amp;RIGHT("000000"&amp;1192,6),CalcRankKeyB,0),"")</f>
        <v/>
      </c>
    </row>
    <row r="1209" spans="1:14" x14ac:dyDescent="0.2">
      <c r="A1209" s="7">
        <v>1193</v>
      </c>
      <c r="B1209" s="8" t="str">
        <f t="shared" si="180"/>
        <v/>
      </c>
      <c r="C1209" s="8" t="str">
        <f t="shared" si="181"/>
        <v/>
      </c>
      <c r="D1209" s="8" t="str">
        <f t="shared" si="182"/>
        <v/>
      </c>
      <c r="E1209" s="9" t="str">
        <f t="shared" si="183"/>
        <v/>
      </c>
      <c r="F1209" s="9" t="str">
        <f t="shared" si="184"/>
        <v/>
      </c>
      <c r="G1209" s="9" t="str">
        <f t="shared" si="185"/>
        <v/>
      </c>
      <c r="H1209" s="9" t="str">
        <f t="shared" si="186"/>
        <v/>
      </c>
      <c r="I1209" s="10" t="str">
        <f t="shared" si="187"/>
        <v/>
      </c>
      <c r="J1209" s="10" t="str">
        <f t="shared" si="189"/>
        <v/>
      </c>
      <c r="K1209" s="11" t="str">
        <f t="shared" si="188"/>
        <v/>
      </c>
      <c r="M1209" t="str">
        <f>IFERROR(MATCH($C$5&amp;"|"&amp;RIGHT("000000"&amp;1193,6),CalcRankKeyA,0),"")</f>
        <v/>
      </c>
      <c r="N1209" t="str">
        <f>IFERROR(MATCH($C$5&amp;"|"&amp;RIGHT("000000"&amp;1193,6),CalcRankKeyB,0),"")</f>
        <v/>
      </c>
    </row>
    <row r="1210" spans="1:14" x14ac:dyDescent="0.2">
      <c r="A1210" s="12">
        <v>1194</v>
      </c>
      <c r="B1210" s="13" t="str">
        <f t="shared" si="180"/>
        <v/>
      </c>
      <c r="C1210" s="13" t="str">
        <f t="shared" si="181"/>
        <v/>
      </c>
      <c r="D1210" s="13" t="str">
        <f t="shared" si="182"/>
        <v/>
      </c>
      <c r="E1210" s="14" t="str">
        <f t="shared" si="183"/>
        <v/>
      </c>
      <c r="F1210" s="14" t="str">
        <f t="shared" si="184"/>
        <v/>
      </c>
      <c r="G1210" s="14" t="str">
        <f t="shared" si="185"/>
        <v/>
      </c>
      <c r="H1210" s="14" t="str">
        <f t="shared" si="186"/>
        <v/>
      </c>
      <c r="I1210" s="15" t="str">
        <f t="shared" si="187"/>
        <v/>
      </c>
      <c r="J1210" s="15" t="str">
        <f t="shared" si="189"/>
        <v/>
      </c>
      <c r="K1210" s="16" t="str">
        <f t="shared" si="188"/>
        <v/>
      </c>
      <c r="M1210" t="str">
        <f>IFERROR(MATCH($C$5&amp;"|"&amp;RIGHT("000000"&amp;1194,6),CalcRankKeyA,0),"")</f>
        <v/>
      </c>
      <c r="N1210" t="str">
        <f>IFERROR(MATCH($C$5&amp;"|"&amp;RIGHT("000000"&amp;1194,6),CalcRankKeyB,0),"")</f>
        <v/>
      </c>
    </row>
    <row r="1211" spans="1:14" x14ac:dyDescent="0.2">
      <c r="A1211" s="7">
        <v>1195</v>
      </c>
      <c r="B1211" s="8" t="str">
        <f t="shared" si="180"/>
        <v/>
      </c>
      <c r="C1211" s="8" t="str">
        <f t="shared" si="181"/>
        <v/>
      </c>
      <c r="D1211" s="8" t="str">
        <f t="shared" si="182"/>
        <v/>
      </c>
      <c r="E1211" s="9" t="str">
        <f t="shared" si="183"/>
        <v/>
      </c>
      <c r="F1211" s="9" t="str">
        <f t="shared" si="184"/>
        <v/>
      </c>
      <c r="G1211" s="9" t="str">
        <f t="shared" si="185"/>
        <v/>
      </c>
      <c r="H1211" s="9" t="str">
        <f t="shared" si="186"/>
        <v/>
      </c>
      <c r="I1211" s="10" t="str">
        <f t="shared" si="187"/>
        <v/>
      </c>
      <c r="J1211" s="10" t="str">
        <f t="shared" si="189"/>
        <v/>
      </c>
      <c r="K1211" s="11" t="str">
        <f t="shared" si="188"/>
        <v/>
      </c>
      <c r="M1211" t="str">
        <f>IFERROR(MATCH($C$5&amp;"|"&amp;RIGHT("000000"&amp;1195,6),CalcRankKeyA,0),"")</f>
        <v/>
      </c>
      <c r="N1211" t="str">
        <f>IFERROR(MATCH($C$5&amp;"|"&amp;RIGHT("000000"&amp;1195,6),CalcRankKeyB,0),"")</f>
        <v/>
      </c>
    </row>
    <row r="1212" spans="1:14" x14ac:dyDescent="0.2">
      <c r="A1212" s="12">
        <v>1196</v>
      </c>
      <c r="B1212" s="13" t="str">
        <f t="shared" si="180"/>
        <v/>
      </c>
      <c r="C1212" s="13" t="str">
        <f t="shared" si="181"/>
        <v/>
      </c>
      <c r="D1212" s="13" t="str">
        <f t="shared" si="182"/>
        <v/>
      </c>
      <c r="E1212" s="14" t="str">
        <f t="shared" si="183"/>
        <v/>
      </c>
      <c r="F1212" s="14" t="str">
        <f t="shared" si="184"/>
        <v/>
      </c>
      <c r="G1212" s="14" t="str">
        <f t="shared" si="185"/>
        <v/>
      </c>
      <c r="H1212" s="14" t="str">
        <f t="shared" si="186"/>
        <v/>
      </c>
      <c r="I1212" s="15" t="str">
        <f t="shared" si="187"/>
        <v/>
      </c>
      <c r="J1212" s="15" t="str">
        <f t="shared" si="189"/>
        <v/>
      </c>
      <c r="K1212" s="16" t="str">
        <f t="shared" si="188"/>
        <v/>
      </c>
      <c r="M1212" t="str">
        <f>IFERROR(MATCH($C$5&amp;"|"&amp;RIGHT("000000"&amp;1196,6),CalcRankKeyA,0),"")</f>
        <v/>
      </c>
      <c r="N1212" t="str">
        <f>IFERROR(MATCH($C$5&amp;"|"&amp;RIGHT("000000"&amp;1196,6),CalcRankKeyB,0),"")</f>
        <v/>
      </c>
    </row>
    <row r="1213" spans="1:14" x14ac:dyDescent="0.2">
      <c r="A1213" s="7">
        <v>1197</v>
      </c>
      <c r="B1213" s="8" t="str">
        <f t="shared" si="180"/>
        <v/>
      </c>
      <c r="C1213" s="8" t="str">
        <f t="shared" si="181"/>
        <v/>
      </c>
      <c r="D1213" s="8" t="str">
        <f t="shared" si="182"/>
        <v/>
      </c>
      <c r="E1213" s="9" t="str">
        <f t="shared" si="183"/>
        <v/>
      </c>
      <c r="F1213" s="9" t="str">
        <f t="shared" si="184"/>
        <v/>
      </c>
      <c r="G1213" s="9" t="str">
        <f t="shared" si="185"/>
        <v/>
      </c>
      <c r="H1213" s="9" t="str">
        <f t="shared" si="186"/>
        <v/>
      </c>
      <c r="I1213" s="10" t="str">
        <f t="shared" si="187"/>
        <v/>
      </c>
      <c r="J1213" s="10" t="str">
        <f t="shared" si="189"/>
        <v/>
      </c>
      <c r="K1213" s="11" t="str">
        <f t="shared" si="188"/>
        <v/>
      </c>
      <c r="M1213" t="str">
        <f>IFERROR(MATCH($C$5&amp;"|"&amp;RIGHT("000000"&amp;1197,6),CalcRankKeyA,0),"")</f>
        <v/>
      </c>
      <c r="N1213" t="str">
        <f>IFERROR(MATCH($C$5&amp;"|"&amp;RIGHT("000000"&amp;1197,6),CalcRankKeyB,0),"")</f>
        <v/>
      </c>
    </row>
    <row r="1214" spans="1:14" x14ac:dyDescent="0.2">
      <c r="A1214" s="12">
        <v>1198</v>
      </c>
      <c r="B1214" s="13" t="str">
        <f t="shared" si="180"/>
        <v/>
      </c>
      <c r="C1214" s="13" t="str">
        <f t="shared" si="181"/>
        <v/>
      </c>
      <c r="D1214" s="13" t="str">
        <f t="shared" si="182"/>
        <v/>
      </c>
      <c r="E1214" s="14" t="str">
        <f t="shared" si="183"/>
        <v/>
      </c>
      <c r="F1214" s="14" t="str">
        <f t="shared" si="184"/>
        <v/>
      </c>
      <c r="G1214" s="14" t="str">
        <f t="shared" si="185"/>
        <v/>
      </c>
      <c r="H1214" s="14" t="str">
        <f t="shared" si="186"/>
        <v/>
      </c>
      <c r="I1214" s="15" t="str">
        <f t="shared" si="187"/>
        <v/>
      </c>
      <c r="J1214" s="15" t="str">
        <f t="shared" si="189"/>
        <v/>
      </c>
      <c r="K1214" s="16" t="str">
        <f t="shared" si="188"/>
        <v/>
      </c>
      <c r="M1214" t="str">
        <f>IFERROR(MATCH($C$5&amp;"|"&amp;RIGHT("000000"&amp;1198,6),CalcRankKeyA,0),"")</f>
        <v/>
      </c>
      <c r="N1214" t="str">
        <f>IFERROR(MATCH($C$5&amp;"|"&amp;RIGHT("000000"&amp;1198,6),CalcRankKeyB,0),"")</f>
        <v/>
      </c>
    </row>
    <row r="1215" spans="1:14" x14ac:dyDescent="0.2">
      <c r="A1215" s="7">
        <v>1199</v>
      </c>
      <c r="B1215" s="8" t="str">
        <f t="shared" si="180"/>
        <v/>
      </c>
      <c r="C1215" s="8" t="str">
        <f t="shared" si="181"/>
        <v/>
      </c>
      <c r="D1215" s="8" t="str">
        <f t="shared" si="182"/>
        <v/>
      </c>
      <c r="E1215" s="9" t="str">
        <f t="shared" si="183"/>
        <v/>
      </c>
      <c r="F1215" s="9" t="str">
        <f t="shared" si="184"/>
        <v/>
      </c>
      <c r="G1215" s="9" t="str">
        <f t="shared" si="185"/>
        <v/>
      </c>
      <c r="H1215" s="9" t="str">
        <f t="shared" si="186"/>
        <v/>
      </c>
      <c r="I1215" s="10" t="str">
        <f t="shared" si="187"/>
        <v/>
      </c>
      <c r="J1215" s="10" t="str">
        <f t="shared" si="189"/>
        <v/>
      </c>
      <c r="K1215" s="11" t="str">
        <f t="shared" si="188"/>
        <v/>
      </c>
      <c r="M1215" t="str">
        <f>IFERROR(MATCH($C$5&amp;"|"&amp;RIGHT("000000"&amp;1199,6),CalcRankKeyA,0),"")</f>
        <v/>
      </c>
      <c r="N1215" t="str">
        <f>IFERROR(MATCH($C$5&amp;"|"&amp;RIGHT("000000"&amp;1199,6),CalcRankKeyB,0),"")</f>
        <v/>
      </c>
    </row>
    <row r="1216" spans="1:14" x14ac:dyDescent="0.2">
      <c r="A1216" s="12">
        <v>1200</v>
      </c>
      <c r="B1216" s="13" t="str">
        <f t="shared" si="180"/>
        <v/>
      </c>
      <c r="C1216" s="13" t="str">
        <f t="shared" si="181"/>
        <v/>
      </c>
      <c r="D1216" s="13" t="str">
        <f t="shared" si="182"/>
        <v/>
      </c>
      <c r="E1216" s="14" t="str">
        <f t="shared" si="183"/>
        <v/>
      </c>
      <c r="F1216" s="14" t="str">
        <f t="shared" si="184"/>
        <v/>
      </c>
      <c r="G1216" s="14" t="str">
        <f t="shared" si="185"/>
        <v/>
      </c>
      <c r="H1216" s="14" t="str">
        <f t="shared" si="186"/>
        <v/>
      </c>
      <c r="I1216" s="15" t="str">
        <f t="shared" si="187"/>
        <v/>
      </c>
      <c r="J1216" s="15" t="str">
        <f t="shared" si="189"/>
        <v/>
      </c>
      <c r="K1216" s="16" t="str">
        <f t="shared" si="188"/>
        <v/>
      </c>
      <c r="M1216" t="str">
        <f>IFERROR(MATCH($C$5&amp;"|"&amp;RIGHT("000000"&amp;1200,6),CalcRankKeyA,0),"")</f>
        <v/>
      </c>
      <c r="N1216" t="str">
        <f>IFERROR(MATCH($C$5&amp;"|"&amp;RIGHT("000000"&amp;1200,6),CalcRankKeyB,0),"")</f>
        <v/>
      </c>
    </row>
    <row r="1217" spans="1:14" x14ac:dyDescent="0.2">
      <c r="A1217" s="7">
        <v>1201</v>
      </c>
      <c r="B1217" s="8" t="str">
        <f t="shared" si="180"/>
        <v/>
      </c>
      <c r="C1217" s="8" t="str">
        <f t="shared" si="181"/>
        <v/>
      </c>
      <c r="D1217" s="8" t="str">
        <f t="shared" si="182"/>
        <v/>
      </c>
      <c r="E1217" s="9" t="str">
        <f t="shared" si="183"/>
        <v/>
      </c>
      <c r="F1217" s="9" t="str">
        <f t="shared" si="184"/>
        <v/>
      </c>
      <c r="G1217" s="9" t="str">
        <f t="shared" si="185"/>
        <v/>
      </c>
      <c r="H1217" s="9" t="str">
        <f t="shared" si="186"/>
        <v/>
      </c>
      <c r="I1217" s="10" t="str">
        <f t="shared" si="187"/>
        <v/>
      </c>
      <c r="J1217" s="10" t="str">
        <f t="shared" si="189"/>
        <v/>
      </c>
      <c r="K1217" s="11" t="str">
        <f t="shared" si="188"/>
        <v/>
      </c>
      <c r="M1217" t="str">
        <f>IFERROR(MATCH($C$5&amp;"|"&amp;RIGHT("000000"&amp;1201,6),CalcRankKeyA,0),"")</f>
        <v/>
      </c>
      <c r="N1217" t="str">
        <f>IFERROR(MATCH($C$5&amp;"|"&amp;RIGHT("000000"&amp;1201,6),CalcRankKeyB,0),"")</f>
        <v/>
      </c>
    </row>
    <row r="1218" spans="1:14" x14ac:dyDescent="0.2">
      <c r="A1218" s="12">
        <v>1202</v>
      </c>
      <c r="B1218" s="13" t="str">
        <f t="shared" si="180"/>
        <v/>
      </c>
      <c r="C1218" s="13" t="str">
        <f t="shared" si="181"/>
        <v/>
      </c>
      <c r="D1218" s="13" t="str">
        <f t="shared" si="182"/>
        <v/>
      </c>
      <c r="E1218" s="14" t="str">
        <f t="shared" si="183"/>
        <v/>
      </c>
      <c r="F1218" s="14" t="str">
        <f t="shared" si="184"/>
        <v/>
      </c>
      <c r="G1218" s="14" t="str">
        <f t="shared" si="185"/>
        <v/>
      </c>
      <c r="H1218" s="14" t="str">
        <f t="shared" si="186"/>
        <v/>
      </c>
      <c r="I1218" s="15" t="str">
        <f t="shared" si="187"/>
        <v/>
      </c>
      <c r="J1218" s="15" t="str">
        <f t="shared" si="189"/>
        <v/>
      </c>
      <c r="K1218" s="16" t="str">
        <f t="shared" si="188"/>
        <v/>
      </c>
      <c r="M1218" t="str">
        <f>IFERROR(MATCH($C$5&amp;"|"&amp;RIGHT("000000"&amp;1202,6),CalcRankKeyA,0),"")</f>
        <v/>
      </c>
      <c r="N1218" t="str">
        <f>IFERROR(MATCH($C$5&amp;"|"&amp;RIGHT("000000"&amp;1202,6),CalcRankKeyB,0),"")</f>
        <v/>
      </c>
    </row>
    <row r="1219" spans="1:14" x14ac:dyDescent="0.2">
      <c r="A1219" s="7">
        <v>1203</v>
      </c>
      <c r="B1219" s="8" t="str">
        <f t="shared" si="180"/>
        <v/>
      </c>
      <c r="C1219" s="8" t="str">
        <f t="shared" si="181"/>
        <v/>
      </c>
      <c r="D1219" s="8" t="str">
        <f t="shared" si="182"/>
        <v/>
      </c>
      <c r="E1219" s="9" t="str">
        <f t="shared" si="183"/>
        <v/>
      </c>
      <c r="F1219" s="9" t="str">
        <f t="shared" si="184"/>
        <v/>
      </c>
      <c r="G1219" s="9" t="str">
        <f t="shared" si="185"/>
        <v/>
      </c>
      <c r="H1219" s="9" t="str">
        <f t="shared" si="186"/>
        <v/>
      </c>
      <c r="I1219" s="10" t="str">
        <f t="shared" si="187"/>
        <v/>
      </c>
      <c r="J1219" s="10" t="str">
        <f t="shared" si="189"/>
        <v/>
      </c>
      <c r="K1219" s="11" t="str">
        <f t="shared" si="188"/>
        <v/>
      </c>
      <c r="M1219" t="str">
        <f>IFERROR(MATCH($C$5&amp;"|"&amp;RIGHT("000000"&amp;1203,6),CalcRankKeyA,0),"")</f>
        <v/>
      </c>
      <c r="N1219" t="str">
        <f>IFERROR(MATCH($C$5&amp;"|"&amp;RIGHT("000000"&amp;1203,6),CalcRankKeyB,0),"")</f>
        <v/>
      </c>
    </row>
    <row r="1220" spans="1:14" x14ac:dyDescent="0.2">
      <c r="A1220" s="12">
        <v>1204</v>
      </c>
      <c r="B1220" s="13" t="str">
        <f t="shared" si="180"/>
        <v/>
      </c>
      <c r="C1220" s="13" t="str">
        <f t="shared" si="181"/>
        <v/>
      </c>
      <c r="D1220" s="13" t="str">
        <f t="shared" si="182"/>
        <v/>
      </c>
      <c r="E1220" s="14" t="str">
        <f t="shared" si="183"/>
        <v/>
      </c>
      <c r="F1220" s="14" t="str">
        <f t="shared" si="184"/>
        <v/>
      </c>
      <c r="G1220" s="14" t="str">
        <f t="shared" si="185"/>
        <v/>
      </c>
      <c r="H1220" s="14" t="str">
        <f t="shared" si="186"/>
        <v/>
      </c>
      <c r="I1220" s="15" t="str">
        <f t="shared" si="187"/>
        <v/>
      </c>
      <c r="J1220" s="15" t="str">
        <f t="shared" si="189"/>
        <v/>
      </c>
      <c r="K1220" s="16" t="str">
        <f t="shared" si="188"/>
        <v/>
      </c>
      <c r="M1220" t="str">
        <f>IFERROR(MATCH($C$5&amp;"|"&amp;RIGHT("000000"&amp;1204,6),CalcRankKeyA,0),"")</f>
        <v/>
      </c>
      <c r="N1220" t="str">
        <f>IFERROR(MATCH($C$5&amp;"|"&amp;RIGHT("000000"&amp;1204,6),CalcRankKeyB,0),"")</f>
        <v/>
      </c>
    </row>
    <row r="1221" spans="1:14" x14ac:dyDescent="0.2">
      <c r="A1221" s="7">
        <v>1205</v>
      </c>
      <c r="B1221" s="8" t="str">
        <f t="shared" si="180"/>
        <v/>
      </c>
      <c r="C1221" s="8" t="str">
        <f t="shared" si="181"/>
        <v/>
      </c>
      <c r="D1221" s="8" t="str">
        <f t="shared" si="182"/>
        <v/>
      </c>
      <c r="E1221" s="9" t="str">
        <f t="shared" si="183"/>
        <v/>
      </c>
      <c r="F1221" s="9" t="str">
        <f t="shared" si="184"/>
        <v/>
      </c>
      <c r="G1221" s="9" t="str">
        <f t="shared" si="185"/>
        <v/>
      </c>
      <c r="H1221" s="9" t="str">
        <f t="shared" si="186"/>
        <v/>
      </c>
      <c r="I1221" s="10" t="str">
        <f t="shared" si="187"/>
        <v/>
      </c>
      <c r="J1221" s="10" t="str">
        <f t="shared" si="189"/>
        <v/>
      </c>
      <c r="K1221" s="11" t="str">
        <f t="shared" si="188"/>
        <v/>
      </c>
      <c r="M1221" t="str">
        <f>IFERROR(MATCH($C$5&amp;"|"&amp;RIGHT("000000"&amp;1205,6),CalcRankKeyA,0),"")</f>
        <v/>
      </c>
      <c r="N1221" t="str">
        <f>IFERROR(MATCH($C$5&amp;"|"&amp;RIGHT("000000"&amp;1205,6),CalcRankKeyB,0),"")</f>
        <v/>
      </c>
    </row>
    <row r="1222" spans="1:14" x14ac:dyDescent="0.2">
      <c r="A1222" s="12">
        <v>1206</v>
      </c>
      <c r="B1222" s="13" t="str">
        <f t="shared" si="180"/>
        <v/>
      </c>
      <c r="C1222" s="13" t="str">
        <f t="shared" si="181"/>
        <v/>
      </c>
      <c r="D1222" s="13" t="str">
        <f t="shared" si="182"/>
        <v/>
      </c>
      <c r="E1222" s="14" t="str">
        <f t="shared" si="183"/>
        <v/>
      </c>
      <c r="F1222" s="14" t="str">
        <f t="shared" si="184"/>
        <v/>
      </c>
      <c r="G1222" s="14" t="str">
        <f t="shared" si="185"/>
        <v/>
      </c>
      <c r="H1222" s="14" t="str">
        <f t="shared" si="186"/>
        <v/>
      </c>
      <c r="I1222" s="15" t="str">
        <f t="shared" si="187"/>
        <v/>
      </c>
      <c r="J1222" s="15" t="str">
        <f t="shared" si="189"/>
        <v/>
      </c>
      <c r="K1222" s="16" t="str">
        <f t="shared" si="188"/>
        <v/>
      </c>
      <c r="M1222" t="str">
        <f>IFERROR(MATCH($C$5&amp;"|"&amp;RIGHT("000000"&amp;1206,6),CalcRankKeyA,0),"")</f>
        <v/>
      </c>
      <c r="N1222" t="str">
        <f>IFERROR(MATCH($C$5&amp;"|"&amp;RIGHT("000000"&amp;1206,6),CalcRankKeyB,0),"")</f>
        <v/>
      </c>
    </row>
    <row r="1223" spans="1:14" x14ac:dyDescent="0.2">
      <c r="A1223" s="7">
        <v>1207</v>
      </c>
      <c r="B1223" s="8" t="str">
        <f t="shared" si="180"/>
        <v/>
      </c>
      <c r="C1223" s="8" t="str">
        <f t="shared" si="181"/>
        <v/>
      </c>
      <c r="D1223" s="8" t="str">
        <f t="shared" si="182"/>
        <v/>
      </c>
      <c r="E1223" s="9" t="str">
        <f t="shared" si="183"/>
        <v/>
      </c>
      <c r="F1223" s="9" t="str">
        <f t="shared" si="184"/>
        <v/>
      </c>
      <c r="G1223" s="9" t="str">
        <f t="shared" si="185"/>
        <v/>
      </c>
      <c r="H1223" s="9" t="str">
        <f t="shared" si="186"/>
        <v/>
      </c>
      <c r="I1223" s="10" t="str">
        <f t="shared" si="187"/>
        <v/>
      </c>
      <c r="J1223" s="10" t="str">
        <f t="shared" si="189"/>
        <v/>
      </c>
      <c r="K1223" s="11" t="str">
        <f t="shared" si="188"/>
        <v/>
      </c>
      <c r="M1223" t="str">
        <f>IFERROR(MATCH($C$5&amp;"|"&amp;RIGHT("000000"&amp;1207,6),CalcRankKeyA,0),"")</f>
        <v/>
      </c>
      <c r="N1223" t="str">
        <f>IFERROR(MATCH($C$5&amp;"|"&amp;RIGHT("000000"&amp;1207,6),CalcRankKeyB,0),"")</f>
        <v/>
      </c>
    </row>
    <row r="1224" spans="1:14" x14ac:dyDescent="0.2">
      <c r="A1224" s="12">
        <v>1208</v>
      </c>
      <c r="B1224" s="13" t="str">
        <f t="shared" si="180"/>
        <v/>
      </c>
      <c r="C1224" s="13" t="str">
        <f t="shared" si="181"/>
        <v/>
      </c>
      <c r="D1224" s="13" t="str">
        <f t="shared" si="182"/>
        <v/>
      </c>
      <c r="E1224" s="14" t="str">
        <f t="shared" si="183"/>
        <v/>
      </c>
      <c r="F1224" s="14" t="str">
        <f t="shared" si="184"/>
        <v/>
      </c>
      <c r="G1224" s="14" t="str">
        <f t="shared" si="185"/>
        <v/>
      </c>
      <c r="H1224" s="14" t="str">
        <f t="shared" si="186"/>
        <v/>
      </c>
      <c r="I1224" s="15" t="str">
        <f t="shared" si="187"/>
        <v/>
      </c>
      <c r="J1224" s="15" t="str">
        <f t="shared" si="189"/>
        <v/>
      </c>
      <c r="K1224" s="16" t="str">
        <f t="shared" si="188"/>
        <v/>
      </c>
      <c r="M1224" t="str">
        <f>IFERROR(MATCH($C$5&amp;"|"&amp;RIGHT("000000"&amp;1208,6),CalcRankKeyA,0),"")</f>
        <v/>
      </c>
      <c r="N1224" t="str">
        <f>IFERROR(MATCH($C$5&amp;"|"&amp;RIGHT("000000"&amp;1208,6),CalcRankKeyB,0),"")</f>
        <v/>
      </c>
    </row>
    <row r="1225" spans="1:14" x14ac:dyDescent="0.2">
      <c r="A1225" s="7">
        <v>1209</v>
      </c>
      <c r="B1225" s="8" t="str">
        <f t="shared" si="180"/>
        <v/>
      </c>
      <c r="C1225" s="8" t="str">
        <f t="shared" si="181"/>
        <v/>
      </c>
      <c r="D1225" s="8" t="str">
        <f t="shared" si="182"/>
        <v/>
      </c>
      <c r="E1225" s="9" t="str">
        <f t="shared" si="183"/>
        <v/>
      </c>
      <c r="F1225" s="9" t="str">
        <f t="shared" si="184"/>
        <v/>
      </c>
      <c r="G1225" s="9" t="str">
        <f t="shared" si="185"/>
        <v/>
      </c>
      <c r="H1225" s="9" t="str">
        <f t="shared" si="186"/>
        <v/>
      </c>
      <c r="I1225" s="10" t="str">
        <f t="shared" si="187"/>
        <v/>
      </c>
      <c r="J1225" s="10" t="str">
        <f t="shared" si="189"/>
        <v/>
      </c>
      <c r="K1225" s="11" t="str">
        <f t="shared" si="188"/>
        <v/>
      </c>
      <c r="M1225" t="str">
        <f>IFERROR(MATCH($C$5&amp;"|"&amp;RIGHT("000000"&amp;1209,6),CalcRankKeyA,0),"")</f>
        <v/>
      </c>
      <c r="N1225" t="str">
        <f>IFERROR(MATCH($C$5&amp;"|"&amp;RIGHT("000000"&amp;1209,6),CalcRankKeyB,0),"")</f>
        <v/>
      </c>
    </row>
    <row r="1226" spans="1:14" x14ac:dyDescent="0.2">
      <c r="A1226" s="12">
        <v>1210</v>
      </c>
      <c r="B1226" s="13" t="str">
        <f t="shared" si="180"/>
        <v/>
      </c>
      <c r="C1226" s="13" t="str">
        <f t="shared" si="181"/>
        <v/>
      </c>
      <c r="D1226" s="13" t="str">
        <f t="shared" si="182"/>
        <v/>
      </c>
      <c r="E1226" s="14" t="str">
        <f t="shared" si="183"/>
        <v/>
      </c>
      <c r="F1226" s="14" t="str">
        <f t="shared" si="184"/>
        <v/>
      </c>
      <c r="G1226" s="14" t="str">
        <f t="shared" si="185"/>
        <v/>
      </c>
      <c r="H1226" s="14" t="str">
        <f t="shared" si="186"/>
        <v/>
      </c>
      <c r="I1226" s="15" t="str">
        <f t="shared" si="187"/>
        <v/>
      </c>
      <c r="J1226" s="15" t="str">
        <f t="shared" si="189"/>
        <v/>
      </c>
      <c r="K1226" s="16" t="str">
        <f t="shared" si="188"/>
        <v/>
      </c>
      <c r="M1226" t="str">
        <f>IFERROR(MATCH($C$5&amp;"|"&amp;RIGHT("000000"&amp;1210,6),CalcRankKeyA,0),"")</f>
        <v/>
      </c>
      <c r="N1226" t="str">
        <f>IFERROR(MATCH($C$5&amp;"|"&amp;RIGHT("000000"&amp;1210,6),CalcRankKeyB,0),"")</f>
        <v/>
      </c>
    </row>
    <row r="1227" spans="1:14" x14ac:dyDescent="0.2">
      <c r="A1227" s="7">
        <v>1211</v>
      </c>
      <c r="B1227" s="8" t="str">
        <f t="shared" si="180"/>
        <v/>
      </c>
      <c r="C1227" s="8" t="str">
        <f t="shared" si="181"/>
        <v/>
      </c>
      <c r="D1227" s="8" t="str">
        <f t="shared" si="182"/>
        <v/>
      </c>
      <c r="E1227" s="9" t="str">
        <f t="shared" si="183"/>
        <v/>
      </c>
      <c r="F1227" s="9" t="str">
        <f t="shared" si="184"/>
        <v/>
      </c>
      <c r="G1227" s="9" t="str">
        <f t="shared" si="185"/>
        <v/>
      </c>
      <c r="H1227" s="9" t="str">
        <f t="shared" si="186"/>
        <v/>
      </c>
      <c r="I1227" s="10" t="str">
        <f t="shared" si="187"/>
        <v/>
      </c>
      <c r="J1227" s="10" t="str">
        <f t="shared" si="189"/>
        <v/>
      </c>
      <c r="K1227" s="11" t="str">
        <f t="shared" si="188"/>
        <v/>
      </c>
      <c r="M1227" t="str">
        <f>IFERROR(MATCH($C$5&amp;"|"&amp;RIGHT("000000"&amp;1211,6),CalcRankKeyA,0),"")</f>
        <v/>
      </c>
      <c r="N1227" t="str">
        <f>IFERROR(MATCH($C$5&amp;"|"&amp;RIGHT("000000"&amp;1211,6),CalcRankKeyB,0),"")</f>
        <v/>
      </c>
    </row>
    <row r="1228" spans="1:14" x14ac:dyDescent="0.2">
      <c r="A1228" s="12">
        <v>1212</v>
      </c>
      <c r="B1228" s="13" t="str">
        <f t="shared" si="180"/>
        <v/>
      </c>
      <c r="C1228" s="13" t="str">
        <f t="shared" si="181"/>
        <v/>
      </c>
      <c r="D1228" s="13" t="str">
        <f t="shared" si="182"/>
        <v/>
      </c>
      <c r="E1228" s="14" t="str">
        <f t="shared" si="183"/>
        <v/>
      </c>
      <c r="F1228" s="14" t="str">
        <f t="shared" si="184"/>
        <v/>
      </c>
      <c r="G1228" s="14" t="str">
        <f t="shared" si="185"/>
        <v/>
      </c>
      <c r="H1228" s="14" t="str">
        <f t="shared" si="186"/>
        <v/>
      </c>
      <c r="I1228" s="15" t="str">
        <f t="shared" si="187"/>
        <v/>
      </c>
      <c r="J1228" s="15" t="str">
        <f t="shared" si="189"/>
        <v/>
      </c>
      <c r="K1228" s="16" t="str">
        <f t="shared" si="188"/>
        <v/>
      </c>
      <c r="M1228" t="str">
        <f>IFERROR(MATCH($C$5&amp;"|"&amp;RIGHT("000000"&amp;1212,6),CalcRankKeyA,0),"")</f>
        <v/>
      </c>
      <c r="N1228" t="str">
        <f>IFERROR(MATCH($C$5&amp;"|"&amp;RIGHT("000000"&amp;1212,6),CalcRankKeyB,0),"")</f>
        <v/>
      </c>
    </row>
    <row r="1229" spans="1:14" x14ac:dyDescent="0.2">
      <c r="A1229" s="7">
        <v>1213</v>
      </c>
      <c r="B1229" s="8" t="str">
        <f t="shared" si="180"/>
        <v/>
      </c>
      <c r="C1229" s="8" t="str">
        <f t="shared" si="181"/>
        <v/>
      </c>
      <c r="D1229" s="8" t="str">
        <f t="shared" si="182"/>
        <v/>
      </c>
      <c r="E1229" s="9" t="str">
        <f t="shared" si="183"/>
        <v/>
      </c>
      <c r="F1229" s="9" t="str">
        <f t="shared" si="184"/>
        <v/>
      </c>
      <c r="G1229" s="9" t="str">
        <f t="shared" si="185"/>
        <v/>
      </c>
      <c r="H1229" s="9" t="str">
        <f t="shared" si="186"/>
        <v/>
      </c>
      <c r="I1229" s="10" t="str">
        <f t="shared" si="187"/>
        <v/>
      </c>
      <c r="J1229" s="10" t="str">
        <f t="shared" si="189"/>
        <v/>
      </c>
      <c r="K1229" s="11" t="str">
        <f t="shared" si="188"/>
        <v/>
      </c>
      <c r="M1229" t="str">
        <f>IFERROR(MATCH($C$5&amp;"|"&amp;RIGHT("000000"&amp;1213,6),CalcRankKeyA,0),"")</f>
        <v/>
      </c>
      <c r="N1229" t="str">
        <f>IFERROR(MATCH($C$5&amp;"|"&amp;RIGHT("000000"&amp;1213,6),CalcRankKeyB,0),"")</f>
        <v/>
      </c>
    </row>
    <row r="1230" spans="1:14" x14ac:dyDescent="0.2">
      <c r="A1230" s="12">
        <v>1214</v>
      </c>
      <c r="B1230" s="13" t="str">
        <f t="shared" si="180"/>
        <v/>
      </c>
      <c r="C1230" s="13" t="str">
        <f t="shared" si="181"/>
        <v/>
      </c>
      <c r="D1230" s="13" t="str">
        <f t="shared" si="182"/>
        <v/>
      </c>
      <c r="E1230" s="14" t="str">
        <f t="shared" si="183"/>
        <v/>
      </c>
      <c r="F1230" s="14" t="str">
        <f t="shared" si="184"/>
        <v/>
      </c>
      <c r="G1230" s="14" t="str">
        <f t="shared" si="185"/>
        <v/>
      </c>
      <c r="H1230" s="14" t="str">
        <f t="shared" si="186"/>
        <v/>
      </c>
      <c r="I1230" s="15" t="str">
        <f t="shared" si="187"/>
        <v/>
      </c>
      <c r="J1230" s="15" t="str">
        <f t="shared" si="189"/>
        <v/>
      </c>
      <c r="K1230" s="16" t="str">
        <f t="shared" si="188"/>
        <v/>
      </c>
      <c r="M1230" t="str">
        <f>IFERROR(MATCH($C$5&amp;"|"&amp;RIGHT("000000"&amp;1214,6),CalcRankKeyA,0),"")</f>
        <v/>
      </c>
      <c r="N1230" t="str">
        <f>IFERROR(MATCH($C$5&amp;"|"&amp;RIGHT("000000"&amp;1214,6),CalcRankKeyB,0),"")</f>
        <v/>
      </c>
    </row>
    <row r="1231" spans="1:14" x14ac:dyDescent="0.2">
      <c r="A1231" s="7">
        <v>1215</v>
      </c>
      <c r="B1231" s="8" t="str">
        <f t="shared" si="180"/>
        <v/>
      </c>
      <c r="C1231" s="8" t="str">
        <f t="shared" si="181"/>
        <v/>
      </c>
      <c r="D1231" s="8" t="str">
        <f t="shared" si="182"/>
        <v/>
      </c>
      <c r="E1231" s="9" t="str">
        <f t="shared" si="183"/>
        <v/>
      </c>
      <c r="F1231" s="9" t="str">
        <f t="shared" si="184"/>
        <v/>
      </c>
      <c r="G1231" s="9" t="str">
        <f t="shared" si="185"/>
        <v/>
      </c>
      <c r="H1231" s="9" t="str">
        <f t="shared" si="186"/>
        <v/>
      </c>
      <c r="I1231" s="10" t="str">
        <f t="shared" si="187"/>
        <v/>
      </c>
      <c r="J1231" s="10" t="str">
        <f t="shared" si="189"/>
        <v/>
      </c>
      <c r="K1231" s="11" t="str">
        <f t="shared" si="188"/>
        <v/>
      </c>
      <c r="M1231" t="str">
        <f>IFERROR(MATCH($C$5&amp;"|"&amp;RIGHT("000000"&amp;1215,6),CalcRankKeyA,0),"")</f>
        <v/>
      </c>
      <c r="N1231" t="str">
        <f>IFERROR(MATCH($C$5&amp;"|"&amp;RIGHT("000000"&amp;1215,6),CalcRankKeyB,0),"")</f>
        <v/>
      </c>
    </row>
    <row r="1232" spans="1:14" x14ac:dyDescent="0.2">
      <c r="A1232" s="12">
        <v>1216</v>
      </c>
      <c r="B1232" s="13" t="str">
        <f t="shared" si="180"/>
        <v/>
      </c>
      <c r="C1232" s="13" t="str">
        <f t="shared" si="181"/>
        <v/>
      </c>
      <c r="D1232" s="13" t="str">
        <f t="shared" si="182"/>
        <v/>
      </c>
      <c r="E1232" s="14" t="str">
        <f t="shared" si="183"/>
        <v/>
      </c>
      <c r="F1232" s="14" t="str">
        <f t="shared" si="184"/>
        <v/>
      </c>
      <c r="G1232" s="14" t="str">
        <f t="shared" si="185"/>
        <v/>
      </c>
      <c r="H1232" s="14" t="str">
        <f t="shared" si="186"/>
        <v/>
      </c>
      <c r="I1232" s="15" t="str">
        <f t="shared" si="187"/>
        <v/>
      </c>
      <c r="J1232" s="15" t="str">
        <f t="shared" si="189"/>
        <v/>
      </c>
      <c r="K1232" s="16" t="str">
        <f t="shared" si="188"/>
        <v/>
      </c>
      <c r="M1232" t="str">
        <f>IFERROR(MATCH($C$5&amp;"|"&amp;RIGHT("000000"&amp;1216,6),CalcRankKeyA,0),"")</f>
        <v/>
      </c>
      <c r="N1232" t="str">
        <f>IFERROR(MATCH($C$5&amp;"|"&amp;RIGHT("000000"&amp;1216,6),CalcRankKeyB,0),"")</f>
        <v/>
      </c>
    </row>
    <row r="1233" spans="1:14" x14ac:dyDescent="0.2">
      <c r="A1233" s="7">
        <v>1217</v>
      </c>
      <c r="B1233" s="8" t="str">
        <f t="shared" ref="B1233:B1296" si="190">IF(AND($M1233="",$N1233=""),"",IF($M1233&lt;&gt;"",INDEX(CalcDateA,$M1233),INDEX(CalcDateB,$N1233)))</f>
        <v/>
      </c>
      <c r="C1233" s="8" t="str">
        <f t="shared" ref="C1233:C1296" si="191">IF($M1233&lt;&gt;"","خرید سبد",IF($N1233&lt;&gt;"",IF(N(INDEX(CalcDepB,$N1233))&gt;0,"دریافت بانکی","پرداخت بانکی"),""))</f>
        <v/>
      </c>
      <c r="D1233" s="8" t="str">
        <f t="shared" ref="D1233:D1296" si="192">IF($M1233&lt;&gt;"",IF(INDEX(CalcDocA,$M1233)="","—",INDEX(CalcDocA,$M1233)),IF($N1233&lt;&gt;"",INDEX(CalcBankB,$N1233),""))</f>
        <v/>
      </c>
      <c r="E1233" s="9" t="str">
        <f t="shared" ref="E1233:E1296" si="193">IF($N1233&lt;&gt;"",IF(INDEX(CalcDepB,$N1233)=0,"",INDEX(CalcDepB,$N1233)),"")</f>
        <v/>
      </c>
      <c r="F1233" s="9" t="str">
        <f t="shared" ref="F1233:F1296" si="194">IF($M1233&lt;&gt;"",IF(INDEX(CalcQtyA,$M1233)=0,"",INDEX(CalcQtyA,$M1233)),"")</f>
        <v/>
      </c>
      <c r="G1233" s="9" t="str">
        <f t="shared" ref="G1233:G1296" si="195">IF($M1233&lt;&gt;"",IF(INDEX(CalcPriceA,$M1233)=0,"",INDEX(CalcPriceA,$M1233)),"")</f>
        <v/>
      </c>
      <c r="H1233" s="9" t="str">
        <f t="shared" ref="H1233:H1296" si="196">IF($N1233&lt;&gt;"",IF(INDEX(CalcWitB,$N1233)=0,"",INDEX(CalcWitB,$N1233)),"")</f>
        <v/>
      </c>
      <c r="I1233" s="10" t="str">
        <f t="shared" ref="I1233:I1296" si="197">IF($M1233&lt;&gt;"",INDEX(CalcAmtA,$M1233),"")</f>
        <v/>
      </c>
      <c r="J1233" s="10" t="str">
        <f t="shared" si="189"/>
        <v/>
      </c>
      <c r="K1233" s="11" t="str">
        <f t="shared" ref="K1233:K1296" si="198">IF($M1233&lt;&gt;"",IF(INDEX(CalcNoteA,$M1233)="","—",INDEX(CalcNoteA,$M1233)),IF($N1233&lt;&gt;"",IF(INDEX(CalcNoteB,$N1233)="","—",INDEX(CalcNoteB,$N1233)),""))</f>
        <v/>
      </c>
      <c r="M1233" t="str">
        <f>IFERROR(MATCH($C$5&amp;"|"&amp;RIGHT("000000"&amp;1217,6),CalcRankKeyA,0),"")</f>
        <v/>
      </c>
      <c r="N1233" t="str">
        <f>IFERROR(MATCH($C$5&amp;"|"&amp;RIGHT("000000"&amp;1217,6),CalcRankKeyB,0),"")</f>
        <v/>
      </c>
    </row>
    <row r="1234" spans="1:14" x14ac:dyDescent="0.2">
      <c r="A1234" s="12">
        <v>1218</v>
      </c>
      <c r="B1234" s="13" t="str">
        <f t="shared" si="190"/>
        <v/>
      </c>
      <c r="C1234" s="13" t="str">
        <f t="shared" si="191"/>
        <v/>
      </c>
      <c r="D1234" s="13" t="str">
        <f t="shared" si="192"/>
        <v/>
      </c>
      <c r="E1234" s="14" t="str">
        <f t="shared" si="193"/>
        <v/>
      </c>
      <c r="F1234" s="14" t="str">
        <f t="shared" si="194"/>
        <v/>
      </c>
      <c r="G1234" s="14" t="str">
        <f t="shared" si="195"/>
        <v/>
      </c>
      <c r="H1234" s="14" t="str">
        <f t="shared" si="196"/>
        <v/>
      </c>
      <c r="I1234" s="15" t="str">
        <f t="shared" si="197"/>
        <v/>
      </c>
      <c r="J1234" s="15" t="str">
        <f t="shared" ref="J1234:J1297" si="199">IF($B1234="","",IF($J1233="",$C$8,$J1233)+IF($I1234="",0,$I1234)+IF($E1234="",0,$E1234)-IF($H1234="",0,$H1234))</f>
        <v/>
      </c>
      <c r="K1234" s="16" t="str">
        <f t="shared" si="198"/>
        <v/>
      </c>
      <c r="M1234" t="str">
        <f>IFERROR(MATCH($C$5&amp;"|"&amp;RIGHT("000000"&amp;1218,6),CalcRankKeyA,0),"")</f>
        <v/>
      </c>
      <c r="N1234" t="str">
        <f>IFERROR(MATCH($C$5&amp;"|"&amp;RIGHT("000000"&amp;1218,6),CalcRankKeyB,0),"")</f>
        <v/>
      </c>
    </row>
    <row r="1235" spans="1:14" x14ac:dyDescent="0.2">
      <c r="A1235" s="7">
        <v>1219</v>
      </c>
      <c r="B1235" s="8" t="str">
        <f t="shared" si="190"/>
        <v/>
      </c>
      <c r="C1235" s="8" t="str">
        <f t="shared" si="191"/>
        <v/>
      </c>
      <c r="D1235" s="8" t="str">
        <f t="shared" si="192"/>
        <v/>
      </c>
      <c r="E1235" s="9" t="str">
        <f t="shared" si="193"/>
        <v/>
      </c>
      <c r="F1235" s="9" t="str">
        <f t="shared" si="194"/>
        <v/>
      </c>
      <c r="G1235" s="9" t="str">
        <f t="shared" si="195"/>
        <v/>
      </c>
      <c r="H1235" s="9" t="str">
        <f t="shared" si="196"/>
        <v/>
      </c>
      <c r="I1235" s="10" t="str">
        <f t="shared" si="197"/>
        <v/>
      </c>
      <c r="J1235" s="10" t="str">
        <f t="shared" si="199"/>
        <v/>
      </c>
      <c r="K1235" s="11" t="str">
        <f t="shared" si="198"/>
        <v/>
      </c>
      <c r="M1235" t="str">
        <f>IFERROR(MATCH($C$5&amp;"|"&amp;RIGHT("000000"&amp;1219,6),CalcRankKeyA,0),"")</f>
        <v/>
      </c>
      <c r="N1235" t="str">
        <f>IFERROR(MATCH($C$5&amp;"|"&amp;RIGHT("000000"&amp;1219,6),CalcRankKeyB,0),"")</f>
        <v/>
      </c>
    </row>
    <row r="1236" spans="1:14" x14ac:dyDescent="0.2">
      <c r="A1236" s="12">
        <v>1220</v>
      </c>
      <c r="B1236" s="13" t="str">
        <f t="shared" si="190"/>
        <v/>
      </c>
      <c r="C1236" s="13" t="str">
        <f t="shared" si="191"/>
        <v/>
      </c>
      <c r="D1236" s="13" t="str">
        <f t="shared" si="192"/>
        <v/>
      </c>
      <c r="E1236" s="14" t="str">
        <f t="shared" si="193"/>
        <v/>
      </c>
      <c r="F1236" s="14" t="str">
        <f t="shared" si="194"/>
        <v/>
      </c>
      <c r="G1236" s="14" t="str">
        <f t="shared" si="195"/>
        <v/>
      </c>
      <c r="H1236" s="14" t="str">
        <f t="shared" si="196"/>
        <v/>
      </c>
      <c r="I1236" s="15" t="str">
        <f t="shared" si="197"/>
        <v/>
      </c>
      <c r="J1236" s="15" t="str">
        <f t="shared" si="199"/>
        <v/>
      </c>
      <c r="K1236" s="16" t="str">
        <f t="shared" si="198"/>
        <v/>
      </c>
      <c r="M1236" t="str">
        <f>IFERROR(MATCH($C$5&amp;"|"&amp;RIGHT("000000"&amp;1220,6),CalcRankKeyA,0),"")</f>
        <v/>
      </c>
      <c r="N1236" t="str">
        <f>IFERROR(MATCH($C$5&amp;"|"&amp;RIGHT("000000"&amp;1220,6),CalcRankKeyB,0),"")</f>
        <v/>
      </c>
    </row>
    <row r="1237" spans="1:14" x14ac:dyDescent="0.2">
      <c r="A1237" s="7">
        <v>1221</v>
      </c>
      <c r="B1237" s="8" t="str">
        <f t="shared" si="190"/>
        <v/>
      </c>
      <c r="C1237" s="8" t="str">
        <f t="shared" si="191"/>
        <v/>
      </c>
      <c r="D1237" s="8" t="str">
        <f t="shared" si="192"/>
        <v/>
      </c>
      <c r="E1237" s="9" t="str">
        <f t="shared" si="193"/>
        <v/>
      </c>
      <c r="F1237" s="9" t="str">
        <f t="shared" si="194"/>
        <v/>
      </c>
      <c r="G1237" s="9" t="str">
        <f t="shared" si="195"/>
        <v/>
      </c>
      <c r="H1237" s="9" t="str">
        <f t="shared" si="196"/>
        <v/>
      </c>
      <c r="I1237" s="10" t="str">
        <f t="shared" si="197"/>
        <v/>
      </c>
      <c r="J1237" s="10" t="str">
        <f t="shared" si="199"/>
        <v/>
      </c>
      <c r="K1237" s="11" t="str">
        <f t="shared" si="198"/>
        <v/>
      </c>
      <c r="M1237" t="str">
        <f>IFERROR(MATCH($C$5&amp;"|"&amp;RIGHT("000000"&amp;1221,6),CalcRankKeyA,0),"")</f>
        <v/>
      </c>
      <c r="N1237" t="str">
        <f>IFERROR(MATCH($C$5&amp;"|"&amp;RIGHT("000000"&amp;1221,6),CalcRankKeyB,0),"")</f>
        <v/>
      </c>
    </row>
    <row r="1238" spans="1:14" x14ac:dyDescent="0.2">
      <c r="A1238" s="12">
        <v>1222</v>
      </c>
      <c r="B1238" s="13" t="str">
        <f t="shared" si="190"/>
        <v/>
      </c>
      <c r="C1238" s="13" t="str">
        <f t="shared" si="191"/>
        <v/>
      </c>
      <c r="D1238" s="13" t="str">
        <f t="shared" si="192"/>
        <v/>
      </c>
      <c r="E1238" s="14" t="str">
        <f t="shared" si="193"/>
        <v/>
      </c>
      <c r="F1238" s="14" t="str">
        <f t="shared" si="194"/>
        <v/>
      </c>
      <c r="G1238" s="14" t="str">
        <f t="shared" si="195"/>
        <v/>
      </c>
      <c r="H1238" s="14" t="str">
        <f t="shared" si="196"/>
        <v/>
      </c>
      <c r="I1238" s="15" t="str">
        <f t="shared" si="197"/>
        <v/>
      </c>
      <c r="J1238" s="15" t="str">
        <f t="shared" si="199"/>
        <v/>
      </c>
      <c r="K1238" s="16" t="str">
        <f t="shared" si="198"/>
        <v/>
      </c>
      <c r="M1238" t="str">
        <f>IFERROR(MATCH($C$5&amp;"|"&amp;RIGHT("000000"&amp;1222,6),CalcRankKeyA,0),"")</f>
        <v/>
      </c>
      <c r="N1238" t="str">
        <f>IFERROR(MATCH($C$5&amp;"|"&amp;RIGHT("000000"&amp;1222,6),CalcRankKeyB,0),"")</f>
        <v/>
      </c>
    </row>
    <row r="1239" spans="1:14" x14ac:dyDescent="0.2">
      <c r="A1239" s="7">
        <v>1223</v>
      </c>
      <c r="B1239" s="8" t="str">
        <f t="shared" si="190"/>
        <v/>
      </c>
      <c r="C1239" s="8" t="str">
        <f t="shared" si="191"/>
        <v/>
      </c>
      <c r="D1239" s="8" t="str">
        <f t="shared" si="192"/>
        <v/>
      </c>
      <c r="E1239" s="9" t="str">
        <f t="shared" si="193"/>
        <v/>
      </c>
      <c r="F1239" s="9" t="str">
        <f t="shared" si="194"/>
        <v/>
      </c>
      <c r="G1239" s="9" t="str">
        <f t="shared" si="195"/>
        <v/>
      </c>
      <c r="H1239" s="9" t="str">
        <f t="shared" si="196"/>
        <v/>
      </c>
      <c r="I1239" s="10" t="str">
        <f t="shared" si="197"/>
        <v/>
      </c>
      <c r="J1239" s="10" t="str">
        <f t="shared" si="199"/>
        <v/>
      </c>
      <c r="K1239" s="11" t="str">
        <f t="shared" si="198"/>
        <v/>
      </c>
      <c r="M1239" t="str">
        <f>IFERROR(MATCH($C$5&amp;"|"&amp;RIGHT("000000"&amp;1223,6),CalcRankKeyA,0),"")</f>
        <v/>
      </c>
      <c r="N1239" t="str">
        <f>IFERROR(MATCH($C$5&amp;"|"&amp;RIGHT("000000"&amp;1223,6),CalcRankKeyB,0),"")</f>
        <v/>
      </c>
    </row>
    <row r="1240" spans="1:14" x14ac:dyDescent="0.2">
      <c r="A1240" s="12">
        <v>1224</v>
      </c>
      <c r="B1240" s="13" t="str">
        <f t="shared" si="190"/>
        <v/>
      </c>
      <c r="C1240" s="13" t="str">
        <f t="shared" si="191"/>
        <v/>
      </c>
      <c r="D1240" s="13" t="str">
        <f t="shared" si="192"/>
        <v/>
      </c>
      <c r="E1240" s="14" t="str">
        <f t="shared" si="193"/>
        <v/>
      </c>
      <c r="F1240" s="14" t="str">
        <f t="shared" si="194"/>
        <v/>
      </c>
      <c r="G1240" s="14" t="str">
        <f t="shared" si="195"/>
        <v/>
      </c>
      <c r="H1240" s="14" t="str">
        <f t="shared" si="196"/>
        <v/>
      </c>
      <c r="I1240" s="15" t="str">
        <f t="shared" si="197"/>
        <v/>
      </c>
      <c r="J1240" s="15" t="str">
        <f t="shared" si="199"/>
        <v/>
      </c>
      <c r="K1240" s="16" t="str">
        <f t="shared" si="198"/>
        <v/>
      </c>
      <c r="M1240" t="str">
        <f>IFERROR(MATCH($C$5&amp;"|"&amp;RIGHT("000000"&amp;1224,6),CalcRankKeyA,0),"")</f>
        <v/>
      </c>
      <c r="N1240" t="str">
        <f>IFERROR(MATCH($C$5&amp;"|"&amp;RIGHT("000000"&amp;1224,6),CalcRankKeyB,0),"")</f>
        <v/>
      </c>
    </row>
    <row r="1241" spans="1:14" x14ac:dyDescent="0.2">
      <c r="A1241" s="7">
        <v>1225</v>
      </c>
      <c r="B1241" s="8" t="str">
        <f t="shared" si="190"/>
        <v/>
      </c>
      <c r="C1241" s="8" t="str">
        <f t="shared" si="191"/>
        <v/>
      </c>
      <c r="D1241" s="8" t="str">
        <f t="shared" si="192"/>
        <v/>
      </c>
      <c r="E1241" s="9" t="str">
        <f t="shared" si="193"/>
        <v/>
      </c>
      <c r="F1241" s="9" t="str">
        <f t="shared" si="194"/>
        <v/>
      </c>
      <c r="G1241" s="9" t="str">
        <f t="shared" si="195"/>
        <v/>
      </c>
      <c r="H1241" s="9" t="str">
        <f t="shared" si="196"/>
        <v/>
      </c>
      <c r="I1241" s="10" t="str">
        <f t="shared" si="197"/>
        <v/>
      </c>
      <c r="J1241" s="10" t="str">
        <f t="shared" si="199"/>
        <v/>
      </c>
      <c r="K1241" s="11" t="str">
        <f t="shared" si="198"/>
        <v/>
      </c>
      <c r="M1241" t="str">
        <f>IFERROR(MATCH($C$5&amp;"|"&amp;RIGHT("000000"&amp;1225,6),CalcRankKeyA,0),"")</f>
        <v/>
      </c>
      <c r="N1241" t="str">
        <f>IFERROR(MATCH($C$5&amp;"|"&amp;RIGHT("000000"&amp;1225,6),CalcRankKeyB,0),"")</f>
        <v/>
      </c>
    </row>
    <row r="1242" spans="1:14" x14ac:dyDescent="0.2">
      <c r="A1242" s="12">
        <v>1226</v>
      </c>
      <c r="B1242" s="13" t="str">
        <f t="shared" si="190"/>
        <v/>
      </c>
      <c r="C1242" s="13" t="str">
        <f t="shared" si="191"/>
        <v/>
      </c>
      <c r="D1242" s="13" t="str">
        <f t="shared" si="192"/>
        <v/>
      </c>
      <c r="E1242" s="14" t="str">
        <f t="shared" si="193"/>
        <v/>
      </c>
      <c r="F1242" s="14" t="str">
        <f t="shared" si="194"/>
        <v/>
      </c>
      <c r="G1242" s="14" t="str">
        <f t="shared" si="195"/>
        <v/>
      </c>
      <c r="H1242" s="14" t="str">
        <f t="shared" si="196"/>
        <v/>
      </c>
      <c r="I1242" s="15" t="str">
        <f t="shared" si="197"/>
        <v/>
      </c>
      <c r="J1242" s="15" t="str">
        <f t="shared" si="199"/>
        <v/>
      </c>
      <c r="K1242" s="16" t="str">
        <f t="shared" si="198"/>
        <v/>
      </c>
      <c r="M1242" t="str">
        <f>IFERROR(MATCH($C$5&amp;"|"&amp;RIGHT("000000"&amp;1226,6),CalcRankKeyA,0),"")</f>
        <v/>
      </c>
      <c r="N1242" t="str">
        <f>IFERROR(MATCH($C$5&amp;"|"&amp;RIGHT("000000"&amp;1226,6),CalcRankKeyB,0),"")</f>
        <v/>
      </c>
    </row>
    <row r="1243" spans="1:14" x14ac:dyDescent="0.2">
      <c r="A1243" s="7">
        <v>1227</v>
      </c>
      <c r="B1243" s="8" t="str">
        <f t="shared" si="190"/>
        <v/>
      </c>
      <c r="C1243" s="8" t="str">
        <f t="shared" si="191"/>
        <v/>
      </c>
      <c r="D1243" s="8" t="str">
        <f t="shared" si="192"/>
        <v/>
      </c>
      <c r="E1243" s="9" t="str">
        <f t="shared" si="193"/>
        <v/>
      </c>
      <c r="F1243" s="9" t="str">
        <f t="shared" si="194"/>
        <v/>
      </c>
      <c r="G1243" s="9" t="str">
        <f t="shared" si="195"/>
        <v/>
      </c>
      <c r="H1243" s="9" t="str">
        <f t="shared" si="196"/>
        <v/>
      </c>
      <c r="I1243" s="10" t="str">
        <f t="shared" si="197"/>
        <v/>
      </c>
      <c r="J1243" s="10" t="str">
        <f t="shared" si="199"/>
        <v/>
      </c>
      <c r="K1243" s="11" t="str">
        <f t="shared" si="198"/>
        <v/>
      </c>
      <c r="M1243" t="str">
        <f>IFERROR(MATCH($C$5&amp;"|"&amp;RIGHT("000000"&amp;1227,6),CalcRankKeyA,0),"")</f>
        <v/>
      </c>
      <c r="N1243" t="str">
        <f>IFERROR(MATCH($C$5&amp;"|"&amp;RIGHT("000000"&amp;1227,6),CalcRankKeyB,0),"")</f>
        <v/>
      </c>
    </row>
    <row r="1244" spans="1:14" x14ac:dyDescent="0.2">
      <c r="A1244" s="12">
        <v>1228</v>
      </c>
      <c r="B1244" s="13" t="str">
        <f t="shared" si="190"/>
        <v/>
      </c>
      <c r="C1244" s="13" t="str">
        <f t="shared" si="191"/>
        <v/>
      </c>
      <c r="D1244" s="13" t="str">
        <f t="shared" si="192"/>
        <v/>
      </c>
      <c r="E1244" s="14" t="str">
        <f t="shared" si="193"/>
        <v/>
      </c>
      <c r="F1244" s="14" t="str">
        <f t="shared" si="194"/>
        <v/>
      </c>
      <c r="G1244" s="14" t="str">
        <f t="shared" si="195"/>
        <v/>
      </c>
      <c r="H1244" s="14" t="str">
        <f t="shared" si="196"/>
        <v/>
      </c>
      <c r="I1244" s="15" t="str">
        <f t="shared" si="197"/>
        <v/>
      </c>
      <c r="J1244" s="15" t="str">
        <f t="shared" si="199"/>
        <v/>
      </c>
      <c r="K1244" s="16" t="str">
        <f t="shared" si="198"/>
        <v/>
      </c>
      <c r="M1244" t="str">
        <f>IFERROR(MATCH($C$5&amp;"|"&amp;RIGHT("000000"&amp;1228,6),CalcRankKeyA,0),"")</f>
        <v/>
      </c>
      <c r="N1244" t="str">
        <f>IFERROR(MATCH($C$5&amp;"|"&amp;RIGHT("000000"&amp;1228,6),CalcRankKeyB,0),"")</f>
        <v/>
      </c>
    </row>
    <row r="1245" spans="1:14" x14ac:dyDescent="0.2">
      <c r="A1245" s="7">
        <v>1229</v>
      </c>
      <c r="B1245" s="8" t="str">
        <f t="shared" si="190"/>
        <v/>
      </c>
      <c r="C1245" s="8" t="str">
        <f t="shared" si="191"/>
        <v/>
      </c>
      <c r="D1245" s="8" t="str">
        <f t="shared" si="192"/>
        <v/>
      </c>
      <c r="E1245" s="9" t="str">
        <f t="shared" si="193"/>
        <v/>
      </c>
      <c r="F1245" s="9" t="str">
        <f t="shared" si="194"/>
        <v/>
      </c>
      <c r="G1245" s="9" t="str">
        <f t="shared" si="195"/>
        <v/>
      </c>
      <c r="H1245" s="9" t="str">
        <f t="shared" si="196"/>
        <v/>
      </c>
      <c r="I1245" s="10" t="str">
        <f t="shared" si="197"/>
        <v/>
      </c>
      <c r="J1245" s="10" t="str">
        <f t="shared" si="199"/>
        <v/>
      </c>
      <c r="K1245" s="11" t="str">
        <f t="shared" si="198"/>
        <v/>
      </c>
      <c r="M1245" t="str">
        <f>IFERROR(MATCH($C$5&amp;"|"&amp;RIGHT("000000"&amp;1229,6),CalcRankKeyA,0),"")</f>
        <v/>
      </c>
      <c r="N1245" t="str">
        <f>IFERROR(MATCH($C$5&amp;"|"&amp;RIGHT("000000"&amp;1229,6),CalcRankKeyB,0),"")</f>
        <v/>
      </c>
    </row>
    <row r="1246" spans="1:14" x14ac:dyDescent="0.2">
      <c r="A1246" s="12">
        <v>1230</v>
      </c>
      <c r="B1246" s="13" t="str">
        <f t="shared" si="190"/>
        <v/>
      </c>
      <c r="C1246" s="13" t="str">
        <f t="shared" si="191"/>
        <v/>
      </c>
      <c r="D1246" s="13" t="str">
        <f t="shared" si="192"/>
        <v/>
      </c>
      <c r="E1246" s="14" t="str">
        <f t="shared" si="193"/>
        <v/>
      </c>
      <c r="F1246" s="14" t="str">
        <f t="shared" si="194"/>
        <v/>
      </c>
      <c r="G1246" s="14" t="str">
        <f t="shared" si="195"/>
        <v/>
      </c>
      <c r="H1246" s="14" t="str">
        <f t="shared" si="196"/>
        <v/>
      </c>
      <c r="I1246" s="15" t="str">
        <f t="shared" si="197"/>
        <v/>
      </c>
      <c r="J1246" s="15" t="str">
        <f t="shared" si="199"/>
        <v/>
      </c>
      <c r="K1246" s="16" t="str">
        <f t="shared" si="198"/>
        <v/>
      </c>
      <c r="M1246" t="str">
        <f>IFERROR(MATCH($C$5&amp;"|"&amp;RIGHT("000000"&amp;1230,6),CalcRankKeyA,0),"")</f>
        <v/>
      </c>
      <c r="N1246" t="str">
        <f>IFERROR(MATCH($C$5&amp;"|"&amp;RIGHT("000000"&amp;1230,6),CalcRankKeyB,0),"")</f>
        <v/>
      </c>
    </row>
    <row r="1247" spans="1:14" x14ac:dyDescent="0.2">
      <c r="A1247" s="7">
        <v>1231</v>
      </c>
      <c r="B1247" s="8" t="str">
        <f t="shared" si="190"/>
        <v/>
      </c>
      <c r="C1247" s="8" t="str">
        <f t="shared" si="191"/>
        <v/>
      </c>
      <c r="D1247" s="8" t="str">
        <f t="shared" si="192"/>
        <v/>
      </c>
      <c r="E1247" s="9" t="str">
        <f t="shared" si="193"/>
        <v/>
      </c>
      <c r="F1247" s="9" t="str">
        <f t="shared" si="194"/>
        <v/>
      </c>
      <c r="G1247" s="9" t="str">
        <f t="shared" si="195"/>
        <v/>
      </c>
      <c r="H1247" s="9" t="str">
        <f t="shared" si="196"/>
        <v/>
      </c>
      <c r="I1247" s="10" t="str">
        <f t="shared" si="197"/>
        <v/>
      </c>
      <c r="J1247" s="10" t="str">
        <f t="shared" si="199"/>
        <v/>
      </c>
      <c r="K1247" s="11" t="str">
        <f t="shared" si="198"/>
        <v/>
      </c>
      <c r="M1247" t="str">
        <f>IFERROR(MATCH($C$5&amp;"|"&amp;RIGHT("000000"&amp;1231,6),CalcRankKeyA,0),"")</f>
        <v/>
      </c>
      <c r="N1247" t="str">
        <f>IFERROR(MATCH($C$5&amp;"|"&amp;RIGHT("000000"&amp;1231,6),CalcRankKeyB,0),"")</f>
        <v/>
      </c>
    </row>
    <row r="1248" spans="1:14" x14ac:dyDescent="0.2">
      <c r="A1248" s="12">
        <v>1232</v>
      </c>
      <c r="B1248" s="13" t="str">
        <f t="shared" si="190"/>
        <v/>
      </c>
      <c r="C1248" s="13" t="str">
        <f t="shared" si="191"/>
        <v/>
      </c>
      <c r="D1248" s="13" t="str">
        <f t="shared" si="192"/>
        <v/>
      </c>
      <c r="E1248" s="14" t="str">
        <f t="shared" si="193"/>
        <v/>
      </c>
      <c r="F1248" s="14" t="str">
        <f t="shared" si="194"/>
        <v/>
      </c>
      <c r="G1248" s="14" t="str">
        <f t="shared" si="195"/>
        <v/>
      </c>
      <c r="H1248" s="14" t="str">
        <f t="shared" si="196"/>
        <v/>
      </c>
      <c r="I1248" s="15" t="str">
        <f t="shared" si="197"/>
        <v/>
      </c>
      <c r="J1248" s="15" t="str">
        <f t="shared" si="199"/>
        <v/>
      </c>
      <c r="K1248" s="16" t="str">
        <f t="shared" si="198"/>
        <v/>
      </c>
      <c r="M1248" t="str">
        <f>IFERROR(MATCH($C$5&amp;"|"&amp;RIGHT("000000"&amp;1232,6),CalcRankKeyA,0),"")</f>
        <v/>
      </c>
      <c r="N1248" t="str">
        <f>IFERROR(MATCH($C$5&amp;"|"&amp;RIGHT("000000"&amp;1232,6),CalcRankKeyB,0),"")</f>
        <v/>
      </c>
    </row>
    <row r="1249" spans="1:14" x14ac:dyDescent="0.2">
      <c r="A1249" s="7">
        <v>1233</v>
      </c>
      <c r="B1249" s="8" t="str">
        <f t="shared" si="190"/>
        <v/>
      </c>
      <c r="C1249" s="8" t="str">
        <f t="shared" si="191"/>
        <v/>
      </c>
      <c r="D1249" s="8" t="str">
        <f t="shared" si="192"/>
        <v/>
      </c>
      <c r="E1249" s="9" t="str">
        <f t="shared" si="193"/>
        <v/>
      </c>
      <c r="F1249" s="9" t="str">
        <f t="shared" si="194"/>
        <v/>
      </c>
      <c r="G1249" s="9" t="str">
        <f t="shared" si="195"/>
        <v/>
      </c>
      <c r="H1249" s="9" t="str">
        <f t="shared" si="196"/>
        <v/>
      </c>
      <c r="I1249" s="10" t="str">
        <f t="shared" si="197"/>
        <v/>
      </c>
      <c r="J1249" s="10" t="str">
        <f t="shared" si="199"/>
        <v/>
      </c>
      <c r="K1249" s="11" t="str">
        <f t="shared" si="198"/>
        <v/>
      </c>
      <c r="M1249" t="str">
        <f>IFERROR(MATCH($C$5&amp;"|"&amp;RIGHT("000000"&amp;1233,6),CalcRankKeyA,0),"")</f>
        <v/>
      </c>
      <c r="N1249" t="str">
        <f>IFERROR(MATCH($C$5&amp;"|"&amp;RIGHT("000000"&amp;1233,6),CalcRankKeyB,0),"")</f>
        <v/>
      </c>
    </row>
    <row r="1250" spans="1:14" x14ac:dyDescent="0.2">
      <c r="A1250" s="12">
        <v>1234</v>
      </c>
      <c r="B1250" s="13" t="str">
        <f t="shared" si="190"/>
        <v/>
      </c>
      <c r="C1250" s="13" t="str">
        <f t="shared" si="191"/>
        <v/>
      </c>
      <c r="D1250" s="13" t="str">
        <f t="shared" si="192"/>
        <v/>
      </c>
      <c r="E1250" s="14" t="str">
        <f t="shared" si="193"/>
        <v/>
      </c>
      <c r="F1250" s="14" t="str">
        <f t="shared" si="194"/>
        <v/>
      </c>
      <c r="G1250" s="14" t="str">
        <f t="shared" si="195"/>
        <v/>
      </c>
      <c r="H1250" s="14" t="str">
        <f t="shared" si="196"/>
        <v/>
      </c>
      <c r="I1250" s="15" t="str">
        <f t="shared" si="197"/>
        <v/>
      </c>
      <c r="J1250" s="15" t="str">
        <f t="shared" si="199"/>
        <v/>
      </c>
      <c r="K1250" s="16" t="str">
        <f t="shared" si="198"/>
        <v/>
      </c>
      <c r="M1250" t="str">
        <f>IFERROR(MATCH($C$5&amp;"|"&amp;RIGHT("000000"&amp;1234,6),CalcRankKeyA,0),"")</f>
        <v/>
      </c>
      <c r="N1250" t="str">
        <f>IFERROR(MATCH($C$5&amp;"|"&amp;RIGHT("000000"&amp;1234,6),CalcRankKeyB,0),"")</f>
        <v/>
      </c>
    </row>
    <row r="1251" spans="1:14" x14ac:dyDescent="0.2">
      <c r="A1251" s="7">
        <v>1235</v>
      </c>
      <c r="B1251" s="8" t="str">
        <f t="shared" si="190"/>
        <v/>
      </c>
      <c r="C1251" s="8" t="str">
        <f t="shared" si="191"/>
        <v/>
      </c>
      <c r="D1251" s="8" t="str">
        <f t="shared" si="192"/>
        <v/>
      </c>
      <c r="E1251" s="9" t="str">
        <f t="shared" si="193"/>
        <v/>
      </c>
      <c r="F1251" s="9" t="str">
        <f t="shared" si="194"/>
        <v/>
      </c>
      <c r="G1251" s="9" t="str">
        <f t="shared" si="195"/>
        <v/>
      </c>
      <c r="H1251" s="9" t="str">
        <f t="shared" si="196"/>
        <v/>
      </c>
      <c r="I1251" s="10" t="str">
        <f t="shared" si="197"/>
        <v/>
      </c>
      <c r="J1251" s="10" t="str">
        <f t="shared" si="199"/>
        <v/>
      </c>
      <c r="K1251" s="11" t="str">
        <f t="shared" si="198"/>
        <v/>
      </c>
      <c r="M1251" t="str">
        <f>IFERROR(MATCH($C$5&amp;"|"&amp;RIGHT("000000"&amp;1235,6),CalcRankKeyA,0),"")</f>
        <v/>
      </c>
      <c r="N1251" t="str">
        <f>IFERROR(MATCH($C$5&amp;"|"&amp;RIGHT("000000"&amp;1235,6),CalcRankKeyB,0),"")</f>
        <v/>
      </c>
    </row>
    <row r="1252" spans="1:14" x14ac:dyDescent="0.2">
      <c r="A1252" s="12">
        <v>1236</v>
      </c>
      <c r="B1252" s="13" t="str">
        <f t="shared" si="190"/>
        <v/>
      </c>
      <c r="C1252" s="13" t="str">
        <f t="shared" si="191"/>
        <v/>
      </c>
      <c r="D1252" s="13" t="str">
        <f t="shared" si="192"/>
        <v/>
      </c>
      <c r="E1252" s="14" t="str">
        <f t="shared" si="193"/>
        <v/>
      </c>
      <c r="F1252" s="14" t="str">
        <f t="shared" si="194"/>
        <v/>
      </c>
      <c r="G1252" s="14" t="str">
        <f t="shared" si="195"/>
        <v/>
      </c>
      <c r="H1252" s="14" t="str">
        <f t="shared" si="196"/>
        <v/>
      </c>
      <c r="I1252" s="15" t="str">
        <f t="shared" si="197"/>
        <v/>
      </c>
      <c r="J1252" s="15" t="str">
        <f t="shared" si="199"/>
        <v/>
      </c>
      <c r="K1252" s="16" t="str">
        <f t="shared" si="198"/>
        <v/>
      </c>
      <c r="M1252" t="str">
        <f>IFERROR(MATCH($C$5&amp;"|"&amp;RIGHT("000000"&amp;1236,6),CalcRankKeyA,0),"")</f>
        <v/>
      </c>
      <c r="N1252" t="str">
        <f>IFERROR(MATCH($C$5&amp;"|"&amp;RIGHT("000000"&amp;1236,6),CalcRankKeyB,0),"")</f>
        <v/>
      </c>
    </row>
    <row r="1253" spans="1:14" x14ac:dyDescent="0.2">
      <c r="A1253" s="7">
        <v>1237</v>
      </c>
      <c r="B1253" s="8" t="str">
        <f t="shared" si="190"/>
        <v/>
      </c>
      <c r="C1253" s="8" t="str">
        <f t="shared" si="191"/>
        <v/>
      </c>
      <c r="D1253" s="8" t="str">
        <f t="shared" si="192"/>
        <v/>
      </c>
      <c r="E1253" s="9" t="str">
        <f t="shared" si="193"/>
        <v/>
      </c>
      <c r="F1253" s="9" t="str">
        <f t="shared" si="194"/>
        <v/>
      </c>
      <c r="G1253" s="9" t="str">
        <f t="shared" si="195"/>
        <v/>
      </c>
      <c r="H1253" s="9" t="str">
        <f t="shared" si="196"/>
        <v/>
      </c>
      <c r="I1253" s="10" t="str">
        <f t="shared" si="197"/>
        <v/>
      </c>
      <c r="J1253" s="10" t="str">
        <f t="shared" si="199"/>
        <v/>
      </c>
      <c r="K1253" s="11" t="str">
        <f t="shared" si="198"/>
        <v/>
      </c>
      <c r="M1253" t="str">
        <f>IFERROR(MATCH($C$5&amp;"|"&amp;RIGHT("000000"&amp;1237,6),CalcRankKeyA,0),"")</f>
        <v/>
      </c>
      <c r="N1253" t="str">
        <f>IFERROR(MATCH($C$5&amp;"|"&amp;RIGHT("000000"&amp;1237,6),CalcRankKeyB,0),"")</f>
        <v/>
      </c>
    </row>
    <row r="1254" spans="1:14" x14ac:dyDescent="0.2">
      <c r="A1254" s="12">
        <v>1238</v>
      </c>
      <c r="B1254" s="13" t="str">
        <f t="shared" si="190"/>
        <v/>
      </c>
      <c r="C1254" s="13" t="str">
        <f t="shared" si="191"/>
        <v/>
      </c>
      <c r="D1254" s="13" t="str">
        <f t="shared" si="192"/>
        <v/>
      </c>
      <c r="E1254" s="14" t="str">
        <f t="shared" si="193"/>
        <v/>
      </c>
      <c r="F1254" s="14" t="str">
        <f t="shared" si="194"/>
        <v/>
      </c>
      <c r="G1254" s="14" t="str">
        <f t="shared" si="195"/>
        <v/>
      </c>
      <c r="H1254" s="14" t="str">
        <f t="shared" si="196"/>
        <v/>
      </c>
      <c r="I1254" s="15" t="str">
        <f t="shared" si="197"/>
        <v/>
      </c>
      <c r="J1254" s="15" t="str">
        <f t="shared" si="199"/>
        <v/>
      </c>
      <c r="K1254" s="16" t="str">
        <f t="shared" si="198"/>
        <v/>
      </c>
      <c r="M1254" t="str">
        <f>IFERROR(MATCH($C$5&amp;"|"&amp;RIGHT("000000"&amp;1238,6),CalcRankKeyA,0),"")</f>
        <v/>
      </c>
      <c r="N1254" t="str">
        <f>IFERROR(MATCH($C$5&amp;"|"&amp;RIGHT("000000"&amp;1238,6),CalcRankKeyB,0),"")</f>
        <v/>
      </c>
    </row>
    <row r="1255" spans="1:14" x14ac:dyDescent="0.2">
      <c r="A1255" s="7">
        <v>1239</v>
      </c>
      <c r="B1255" s="8" t="str">
        <f t="shared" si="190"/>
        <v/>
      </c>
      <c r="C1255" s="8" t="str">
        <f t="shared" si="191"/>
        <v/>
      </c>
      <c r="D1255" s="8" t="str">
        <f t="shared" si="192"/>
        <v/>
      </c>
      <c r="E1255" s="9" t="str">
        <f t="shared" si="193"/>
        <v/>
      </c>
      <c r="F1255" s="9" t="str">
        <f t="shared" si="194"/>
        <v/>
      </c>
      <c r="G1255" s="9" t="str">
        <f t="shared" si="195"/>
        <v/>
      </c>
      <c r="H1255" s="9" t="str">
        <f t="shared" si="196"/>
        <v/>
      </c>
      <c r="I1255" s="10" t="str">
        <f t="shared" si="197"/>
        <v/>
      </c>
      <c r="J1255" s="10" t="str">
        <f t="shared" si="199"/>
        <v/>
      </c>
      <c r="K1255" s="11" t="str">
        <f t="shared" si="198"/>
        <v/>
      </c>
      <c r="M1255" t="str">
        <f>IFERROR(MATCH($C$5&amp;"|"&amp;RIGHT("000000"&amp;1239,6),CalcRankKeyA,0),"")</f>
        <v/>
      </c>
      <c r="N1255" t="str">
        <f>IFERROR(MATCH($C$5&amp;"|"&amp;RIGHT("000000"&amp;1239,6),CalcRankKeyB,0),"")</f>
        <v/>
      </c>
    </row>
    <row r="1256" spans="1:14" x14ac:dyDescent="0.2">
      <c r="A1256" s="12">
        <v>1240</v>
      </c>
      <c r="B1256" s="13" t="str">
        <f t="shared" si="190"/>
        <v/>
      </c>
      <c r="C1256" s="13" t="str">
        <f t="shared" si="191"/>
        <v/>
      </c>
      <c r="D1256" s="13" t="str">
        <f t="shared" si="192"/>
        <v/>
      </c>
      <c r="E1256" s="14" t="str">
        <f t="shared" si="193"/>
        <v/>
      </c>
      <c r="F1256" s="14" t="str">
        <f t="shared" si="194"/>
        <v/>
      </c>
      <c r="G1256" s="14" t="str">
        <f t="shared" si="195"/>
        <v/>
      </c>
      <c r="H1256" s="14" t="str">
        <f t="shared" si="196"/>
        <v/>
      </c>
      <c r="I1256" s="15" t="str">
        <f t="shared" si="197"/>
        <v/>
      </c>
      <c r="J1256" s="15" t="str">
        <f t="shared" si="199"/>
        <v/>
      </c>
      <c r="K1256" s="16" t="str">
        <f t="shared" si="198"/>
        <v/>
      </c>
      <c r="M1256" t="str">
        <f>IFERROR(MATCH($C$5&amp;"|"&amp;RIGHT("000000"&amp;1240,6),CalcRankKeyA,0),"")</f>
        <v/>
      </c>
      <c r="N1256" t="str">
        <f>IFERROR(MATCH($C$5&amp;"|"&amp;RIGHT("000000"&amp;1240,6),CalcRankKeyB,0),"")</f>
        <v/>
      </c>
    </row>
    <row r="1257" spans="1:14" x14ac:dyDescent="0.2">
      <c r="A1257" s="7">
        <v>1241</v>
      </c>
      <c r="B1257" s="8" t="str">
        <f t="shared" si="190"/>
        <v/>
      </c>
      <c r="C1257" s="8" t="str">
        <f t="shared" si="191"/>
        <v/>
      </c>
      <c r="D1257" s="8" t="str">
        <f t="shared" si="192"/>
        <v/>
      </c>
      <c r="E1257" s="9" t="str">
        <f t="shared" si="193"/>
        <v/>
      </c>
      <c r="F1257" s="9" t="str">
        <f t="shared" si="194"/>
        <v/>
      </c>
      <c r="G1257" s="9" t="str">
        <f t="shared" si="195"/>
        <v/>
      </c>
      <c r="H1257" s="9" t="str">
        <f t="shared" si="196"/>
        <v/>
      </c>
      <c r="I1257" s="10" t="str">
        <f t="shared" si="197"/>
        <v/>
      </c>
      <c r="J1257" s="10" t="str">
        <f t="shared" si="199"/>
        <v/>
      </c>
      <c r="K1257" s="11" t="str">
        <f t="shared" si="198"/>
        <v/>
      </c>
      <c r="M1257" t="str">
        <f>IFERROR(MATCH($C$5&amp;"|"&amp;RIGHT("000000"&amp;1241,6),CalcRankKeyA,0),"")</f>
        <v/>
      </c>
      <c r="N1257" t="str">
        <f>IFERROR(MATCH($C$5&amp;"|"&amp;RIGHT("000000"&amp;1241,6),CalcRankKeyB,0),"")</f>
        <v/>
      </c>
    </row>
    <row r="1258" spans="1:14" x14ac:dyDescent="0.2">
      <c r="A1258" s="12">
        <v>1242</v>
      </c>
      <c r="B1258" s="13" t="str">
        <f t="shared" si="190"/>
        <v/>
      </c>
      <c r="C1258" s="13" t="str">
        <f t="shared" si="191"/>
        <v/>
      </c>
      <c r="D1258" s="13" t="str">
        <f t="shared" si="192"/>
        <v/>
      </c>
      <c r="E1258" s="14" t="str">
        <f t="shared" si="193"/>
        <v/>
      </c>
      <c r="F1258" s="14" t="str">
        <f t="shared" si="194"/>
        <v/>
      </c>
      <c r="G1258" s="14" t="str">
        <f t="shared" si="195"/>
        <v/>
      </c>
      <c r="H1258" s="14" t="str">
        <f t="shared" si="196"/>
        <v/>
      </c>
      <c r="I1258" s="15" t="str">
        <f t="shared" si="197"/>
        <v/>
      </c>
      <c r="J1258" s="15" t="str">
        <f t="shared" si="199"/>
        <v/>
      </c>
      <c r="K1258" s="16" t="str">
        <f t="shared" si="198"/>
        <v/>
      </c>
      <c r="M1258" t="str">
        <f>IFERROR(MATCH($C$5&amp;"|"&amp;RIGHT("000000"&amp;1242,6),CalcRankKeyA,0),"")</f>
        <v/>
      </c>
      <c r="N1258" t="str">
        <f>IFERROR(MATCH($C$5&amp;"|"&amp;RIGHT("000000"&amp;1242,6),CalcRankKeyB,0),"")</f>
        <v/>
      </c>
    </row>
    <row r="1259" spans="1:14" x14ac:dyDescent="0.2">
      <c r="A1259" s="7">
        <v>1243</v>
      </c>
      <c r="B1259" s="8" t="str">
        <f t="shared" si="190"/>
        <v/>
      </c>
      <c r="C1259" s="8" t="str">
        <f t="shared" si="191"/>
        <v/>
      </c>
      <c r="D1259" s="8" t="str">
        <f t="shared" si="192"/>
        <v/>
      </c>
      <c r="E1259" s="9" t="str">
        <f t="shared" si="193"/>
        <v/>
      </c>
      <c r="F1259" s="9" t="str">
        <f t="shared" si="194"/>
        <v/>
      </c>
      <c r="G1259" s="9" t="str">
        <f t="shared" si="195"/>
        <v/>
      </c>
      <c r="H1259" s="9" t="str">
        <f t="shared" si="196"/>
        <v/>
      </c>
      <c r="I1259" s="10" t="str">
        <f t="shared" si="197"/>
        <v/>
      </c>
      <c r="J1259" s="10" t="str">
        <f t="shared" si="199"/>
        <v/>
      </c>
      <c r="K1259" s="11" t="str">
        <f t="shared" si="198"/>
        <v/>
      </c>
      <c r="M1259" t="str">
        <f>IFERROR(MATCH($C$5&amp;"|"&amp;RIGHT("000000"&amp;1243,6),CalcRankKeyA,0),"")</f>
        <v/>
      </c>
      <c r="N1259" t="str">
        <f>IFERROR(MATCH($C$5&amp;"|"&amp;RIGHT("000000"&amp;1243,6),CalcRankKeyB,0),"")</f>
        <v/>
      </c>
    </row>
    <row r="1260" spans="1:14" x14ac:dyDescent="0.2">
      <c r="A1260" s="12">
        <v>1244</v>
      </c>
      <c r="B1260" s="13" t="str">
        <f t="shared" si="190"/>
        <v/>
      </c>
      <c r="C1260" s="13" t="str">
        <f t="shared" si="191"/>
        <v/>
      </c>
      <c r="D1260" s="13" t="str">
        <f t="shared" si="192"/>
        <v/>
      </c>
      <c r="E1260" s="14" t="str">
        <f t="shared" si="193"/>
        <v/>
      </c>
      <c r="F1260" s="14" t="str">
        <f t="shared" si="194"/>
        <v/>
      </c>
      <c r="G1260" s="14" t="str">
        <f t="shared" si="195"/>
        <v/>
      </c>
      <c r="H1260" s="14" t="str">
        <f t="shared" si="196"/>
        <v/>
      </c>
      <c r="I1260" s="15" t="str">
        <f t="shared" si="197"/>
        <v/>
      </c>
      <c r="J1260" s="15" t="str">
        <f t="shared" si="199"/>
        <v/>
      </c>
      <c r="K1260" s="16" t="str">
        <f t="shared" si="198"/>
        <v/>
      </c>
      <c r="M1260" t="str">
        <f>IFERROR(MATCH($C$5&amp;"|"&amp;RIGHT("000000"&amp;1244,6),CalcRankKeyA,0),"")</f>
        <v/>
      </c>
      <c r="N1260" t="str">
        <f>IFERROR(MATCH($C$5&amp;"|"&amp;RIGHT("000000"&amp;1244,6),CalcRankKeyB,0),"")</f>
        <v/>
      </c>
    </row>
    <row r="1261" spans="1:14" x14ac:dyDescent="0.2">
      <c r="A1261" s="7">
        <v>1245</v>
      </c>
      <c r="B1261" s="8" t="str">
        <f t="shared" si="190"/>
        <v/>
      </c>
      <c r="C1261" s="8" t="str">
        <f t="shared" si="191"/>
        <v/>
      </c>
      <c r="D1261" s="8" t="str">
        <f t="shared" si="192"/>
        <v/>
      </c>
      <c r="E1261" s="9" t="str">
        <f t="shared" si="193"/>
        <v/>
      </c>
      <c r="F1261" s="9" t="str">
        <f t="shared" si="194"/>
        <v/>
      </c>
      <c r="G1261" s="9" t="str">
        <f t="shared" si="195"/>
        <v/>
      </c>
      <c r="H1261" s="9" t="str">
        <f t="shared" si="196"/>
        <v/>
      </c>
      <c r="I1261" s="10" t="str">
        <f t="shared" si="197"/>
        <v/>
      </c>
      <c r="J1261" s="10" t="str">
        <f t="shared" si="199"/>
        <v/>
      </c>
      <c r="K1261" s="11" t="str">
        <f t="shared" si="198"/>
        <v/>
      </c>
      <c r="M1261" t="str">
        <f>IFERROR(MATCH($C$5&amp;"|"&amp;RIGHT("000000"&amp;1245,6),CalcRankKeyA,0),"")</f>
        <v/>
      </c>
      <c r="N1261" t="str">
        <f>IFERROR(MATCH($C$5&amp;"|"&amp;RIGHT("000000"&amp;1245,6),CalcRankKeyB,0),"")</f>
        <v/>
      </c>
    </row>
    <row r="1262" spans="1:14" x14ac:dyDescent="0.2">
      <c r="A1262" s="12">
        <v>1246</v>
      </c>
      <c r="B1262" s="13" t="str">
        <f t="shared" si="190"/>
        <v/>
      </c>
      <c r="C1262" s="13" t="str">
        <f t="shared" si="191"/>
        <v/>
      </c>
      <c r="D1262" s="13" t="str">
        <f t="shared" si="192"/>
        <v/>
      </c>
      <c r="E1262" s="14" t="str">
        <f t="shared" si="193"/>
        <v/>
      </c>
      <c r="F1262" s="14" t="str">
        <f t="shared" si="194"/>
        <v/>
      </c>
      <c r="G1262" s="14" t="str">
        <f t="shared" si="195"/>
        <v/>
      </c>
      <c r="H1262" s="14" t="str">
        <f t="shared" si="196"/>
        <v/>
      </c>
      <c r="I1262" s="15" t="str">
        <f t="shared" si="197"/>
        <v/>
      </c>
      <c r="J1262" s="15" t="str">
        <f t="shared" si="199"/>
        <v/>
      </c>
      <c r="K1262" s="16" t="str">
        <f t="shared" si="198"/>
        <v/>
      </c>
      <c r="M1262" t="str">
        <f>IFERROR(MATCH($C$5&amp;"|"&amp;RIGHT("000000"&amp;1246,6),CalcRankKeyA,0),"")</f>
        <v/>
      </c>
      <c r="N1262" t="str">
        <f>IFERROR(MATCH($C$5&amp;"|"&amp;RIGHT("000000"&amp;1246,6),CalcRankKeyB,0),"")</f>
        <v/>
      </c>
    </row>
    <row r="1263" spans="1:14" x14ac:dyDescent="0.2">
      <c r="A1263" s="7">
        <v>1247</v>
      </c>
      <c r="B1263" s="8" t="str">
        <f t="shared" si="190"/>
        <v/>
      </c>
      <c r="C1263" s="8" t="str">
        <f t="shared" si="191"/>
        <v/>
      </c>
      <c r="D1263" s="8" t="str">
        <f t="shared" si="192"/>
        <v/>
      </c>
      <c r="E1263" s="9" t="str">
        <f t="shared" si="193"/>
        <v/>
      </c>
      <c r="F1263" s="9" t="str">
        <f t="shared" si="194"/>
        <v/>
      </c>
      <c r="G1263" s="9" t="str">
        <f t="shared" si="195"/>
        <v/>
      </c>
      <c r="H1263" s="9" t="str">
        <f t="shared" si="196"/>
        <v/>
      </c>
      <c r="I1263" s="10" t="str">
        <f t="shared" si="197"/>
        <v/>
      </c>
      <c r="J1263" s="10" t="str">
        <f t="shared" si="199"/>
        <v/>
      </c>
      <c r="K1263" s="11" t="str">
        <f t="shared" si="198"/>
        <v/>
      </c>
      <c r="M1263" t="str">
        <f>IFERROR(MATCH($C$5&amp;"|"&amp;RIGHT("000000"&amp;1247,6),CalcRankKeyA,0),"")</f>
        <v/>
      </c>
      <c r="N1263" t="str">
        <f>IFERROR(MATCH($C$5&amp;"|"&amp;RIGHT("000000"&amp;1247,6),CalcRankKeyB,0),"")</f>
        <v/>
      </c>
    </row>
    <row r="1264" spans="1:14" x14ac:dyDescent="0.2">
      <c r="A1264" s="12">
        <v>1248</v>
      </c>
      <c r="B1264" s="13" t="str">
        <f t="shared" si="190"/>
        <v/>
      </c>
      <c r="C1264" s="13" t="str">
        <f t="shared" si="191"/>
        <v/>
      </c>
      <c r="D1264" s="13" t="str">
        <f t="shared" si="192"/>
        <v/>
      </c>
      <c r="E1264" s="14" t="str">
        <f t="shared" si="193"/>
        <v/>
      </c>
      <c r="F1264" s="14" t="str">
        <f t="shared" si="194"/>
        <v/>
      </c>
      <c r="G1264" s="14" t="str">
        <f t="shared" si="195"/>
        <v/>
      </c>
      <c r="H1264" s="14" t="str">
        <f t="shared" si="196"/>
        <v/>
      </c>
      <c r="I1264" s="15" t="str">
        <f t="shared" si="197"/>
        <v/>
      </c>
      <c r="J1264" s="15" t="str">
        <f t="shared" si="199"/>
        <v/>
      </c>
      <c r="K1264" s="16" t="str">
        <f t="shared" si="198"/>
        <v/>
      </c>
      <c r="M1264" t="str">
        <f>IFERROR(MATCH($C$5&amp;"|"&amp;RIGHT("000000"&amp;1248,6),CalcRankKeyA,0),"")</f>
        <v/>
      </c>
      <c r="N1264" t="str">
        <f>IFERROR(MATCH($C$5&amp;"|"&amp;RIGHT("000000"&amp;1248,6),CalcRankKeyB,0),"")</f>
        <v/>
      </c>
    </row>
    <row r="1265" spans="1:14" x14ac:dyDescent="0.2">
      <c r="A1265" s="7">
        <v>1249</v>
      </c>
      <c r="B1265" s="8" t="str">
        <f t="shared" si="190"/>
        <v/>
      </c>
      <c r="C1265" s="8" t="str">
        <f t="shared" si="191"/>
        <v/>
      </c>
      <c r="D1265" s="8" t="str">
        <f t="shared" si="192"/>
        <v/>
      </c>
      <c r="E1265" s="9" t="str">
        <f t="shared" si="193"/>
        <v/>
      </c>
      <c r="F1265" s="9" t="str">
        <f t="shared" si="194"/>
        <v/>
      </c>
      <c r="G1265" s="9" t="str">
        <f t="shared" si="195"/>
        <v/>
      </c>
      <c r="H1265" s="9" t="str">
        <f t="shared" si="196"/>
        <v/>
      </c>
      <c r="I1265" s="10" t="str">
        <f t="shared" si="197"/>
        <v/>
      </c>
      <c r="J1265" s="10" t="str">
        <f t="shared" si="199"/>
        <v/>
      </c>
      <c r="K1265" s="11" t="str">
        <f t="shared" si="198"/>
        <v/>
      </c>
      <c r="M1265" t="str">
        <f>IFERROR(MATCH($C$5&amp;"|"&amp;RIGHT("000000"&amp;1249,6),CalcRankKeyA,0),"")</f>
        <v/>
      </c>
      <c r="N1265" t="str">
        <f>IFERROR(MATCH($C$5&amp;"|"&amp;RIGHT("000000"&amp;1249,6),CalcRankKeyB,0),"")</f>
        <v/>
      </c>
    </row>
    <row r="1266" spans="1:14" x14ac:dyDescent="0.2">
      <c r="A1266" s="12">
        <v>1250</v>
      </c>
      <c r="B1266" s="13" t="str">
        <f t="shared" si="190"/>
        <v/>
      </c>
      <c r="C1266" s="13" t="str">
        <f t="shared" si="191"/>
        <v/>
      </c>
      <c r="D1266" s="13" t="str">
        <f t="shared" si="192"/>
        <v/>
      </c>
      <c r="E1266" s="14" t="str">
        <f t="shared" si="193"/>
        <v/>
      </c>
      <c r="F1266" s="14" t="str">
        <f t="shared" si="194"/>
        <v/>
      </c>
      <c r="G1266" s="14" t="str">
        <f t="shared" si="195"/>
        <v/>
      </c>
      <c r="H1266" s="14" t="str">
        <f t="shared" si="196"/>
        <v/>
      </c>
      <c r="I1266" s="15" t="str">
        <f t="shared" si="197"/>
        <v/>
      </c>
      <c r="J1266" s="15" t="str">
        <f t="shared" si="199"/>
        <v/>
      </c>
      <c r="K1266" s="16" t="str">
        <f t="shared" si="198"/>
        <v/>
      </c>
      <c r="M1266" t="str">
        <f>IFERROR(MATCH($C$5&amp;"|"&amp;RIGHT("000000"&amp;1250,6),CalcRankKeyA,0),"")</f>
        <v/>
      </c>
      <c r="N1266" t="str">
        <f>IFERROR(MATCH($C$5&amp;"|"&amp;RIGHT("000000"&amp;1250,6),CalcRankKeyB,0),"")</f>
        <v/>
      </c>
    </row>
    <row r="1267" spans="1:14" x14ac:dyDescent="0.2">
      <c r="A1267" s="7">
        <v>1251</v>
      </c>
      <c r="B1267" s="8" t="str">
        <f t="shared" si="190"/>
        <v/>
      </c>
      <c r="C1267" s="8" t="str">
        <f t="shared" si="191"/>
        <v/>
      </c>
      <c r="D1267" s="8" t="str">
        <f t="shared" si="192"/>
        <v/>
      </c>
      <c r="E1267" s="9" t="str">
        <f t="shared" si="193"/>
        <v/>
      </c>
      <c r="F1267" s="9" t="str">
        <f t="shared" si="194"/>
        <v/>
      </c>
      <c r="G1267" s="9" t="str">
        <f t="shared" si="195"/>
        <v/>
      </c>
      <c r="H1267" s="9" t="str">
        <f t="shared" si="196"/>
        <v/>
      </c>
      <c r="I1267" s="10" t="str">
        <f t="shared" si="197"/>
        <v/>
      </c>
      <c r="J1267" s="10" t="str">
        <f t="shared" si="199"/>
        <v/>
      </c>
      <c r="K1267" s="11" t="str">
        <f t="shared" si="198"/>
        <v/>
      </c>
      <c r="M1267" t="str">
        <f>IFERROR(MATCH($C$5&amp;"|"&amp;RIGHT("000000"&amp;1251,6),CalcRankKeyA,0),"")</f>
        <v/>
      </c>
      <c r="N1267" t="str">
        <f>IFERROR(MATCH($C$5&amp;"|"&amp;RIGHT("000000"&amp;1251,6),CalcRankKeyB,0),"")</f>
        <v/>
      </c>
    </row>
    <row r="1268" spans="1:14" x14ac:dyDescent="0.2">
      <c r="A1268" s="12">
        <v>1252</v>
      </c>
      <c r="B1268" s="13" t="str">
        <f t="shared" si="190"/>
        <v/>
      </c>
      <c r="C1268" s="13" t="str">
        <f t="shared" si="191"/>
        <v/>
      </c>
      <c r="D1268" s="13" t="str">
        <f t="shared" si="192"/>
        <v/>
      </c>
      <c r="E1268" s="14" t="str">
        <f t="shared" si="193"/>
        <v/>
      </c>
      <c r="F1268" s="14" t="str">
        <f t="shared" si="194"/>
        <v/>
      </c>
      <c r="G1268" s="14" t="str">
        <f t="shared" si="195"/>
        <v/>
      </c>
      <c r="H1268" s="14" t="str">
        <f t="shared" si="196"/>
        <v/>
      </c>
      <c r="I1268" s="15" t="str">
        <f t="shared" si="197"/>
        <v/>
      </c>
      <c r="J1268" s="15" t="str">
        <f t="shared" si="199"/>
        <v/>
      </c>
      <c r="K1268" s="16" t="str">
        <f t="shared" si="198"/>
        <v/>
      </c>
      <c r="M1268" t="str">
        <f>IFERROR(MATCH($C$5&amp;"|"&amp;RIGHT("000000"&amp;1252,6),CalcRankKeyA,0),"")</f>
        <v/>
      </c>
      <c r="N1268" t="str">
        <f>IFERROR(MATCH($C$5&amp;"|"&amp;RIGHT("000000"&amp;1252,6),CalcRankKeyB,0),"")</f>
        <v/>
      </c>
    </row>
    <row r="1269" spans="1:14" x14ac:dyDescent="0.2">
      <c r="A1269" s="7">
        <v>1253</v>
      </c>
      <c r="B1269" s="8" t="str">
        <f t="shared" si="190"/>
        <v/>
      </c>
      <c r="C1269" s="8" t="str">
        <f t="shared" si="191"/>
        <v/>
      </c>
      <c r="D1269" s="8" t="str">
        <f t="shared" si="192"/>
        <v/>
      </c>
      <c r="E1269" s="9" t="str">
        <f t="shared" si="193"/>
        <v/>
      </c>
      <c r="F1269" s="9" t="str">
        <f t="shared" si="194"/>
        <v/>
      </c>
      <c r="G1269" s="9" t="str">
        <f t="shared" si="195"/>
        <v/>
      </c>
      <c r="H1269" s="9" t="str">
        <f t="shared" si="196"/>
        <v/>
      </c>
      <c r="I1269" s="10" t="str">
        <f t="shared" si="197"/>
        <v/>
      </c>
      <c r="J1269" s="10" t="str">
        <f t="shared" si="199"/>
        <v/>
      </c>
      <c r="K1269" s="11" t="str">
        <f t="shared" si="198"/>
        <v/>
      </c>
      <c r="M1269" t="str">
        <f>IFERROR(MATCH($C$5&amp;"|"&amp;RIGHT("000000"&amp;1253,6),CalcRankKeyA,0),"")</f>
        <v/>
      </c>
      <c r="N1269" t="str">
        <f>IFERROR(MATCH($C$5&amp;"|"&amp;RIGHT("000000"&amp;1253,6),CalcRankKeyB,0),"")</f>
        <v/>
      </c>
    </row>
    <row r="1270" spans="1:14" x14ac:dyDescent="0.2">
      <c r="A1270" s="12">
        <v>1254</v>
      </c>
      <c r="B1270" s="13" t="str">
        <f t="shared" si="190"/>
        <v/>
      </c>
      <c r="C1270" s="13" t="str">
        <f t="shared" si="191"/>
        <v/>
      </c>
      <c r="D1270" s="13" t="str">
        <f t="shared" si="192"/>
        <v/>
      </c>
      <c r="E1270" s="14" t="str">
        <f t="shared" si="193"/>
        <v/>
      </c>
      <c r="F1270" s="14" t="str">
        <f t="shared" si="194"/>
        <v/>
      </c>
      <c r="G1270" s="14" t="str">
        <f t="shared" si="195"/>
        <v/>
      </c>
      <c r="H1270" s="14" t="str">
        <f t="shared" si="196"/>
        <v/>
      </c>
      <c r="I1270" s="15" t="str">
        <f t="shared" si="197"/>
        <v/>
      </c>
      <c r="J1270" s="15" t="str">
        <f t="shared" si="199"/>
        <v/>
      </c>
      <c r="K1270" s="16" t="str">
        <f t="shared" si="198"/>
        <v/>
      </c>
      <c r="M1270" t="str">
        <f>IFERROR(MATCH($C$5&amp;"|"&amp;RIGHT("000000"&amp;1254,6),CalcRankKeyA,0),"")</f>
        <v/>
      </c>
      <c r="N1270" t="str">
        <f>IFERROR(MATCH($C$5&amp;"|"&amp;RIGHT("000000"&amp;1254,6),CalcRankKeyB,0),"")</f>
        <v/>
      </c>
    </row>
    <row r="1271" spans="1:14" x14ac:dyDescent="0.2">
      <c r="A1271" s="7">
        <v>1255</v>
      </c>
      <c r="B1271" s="8" t="str">
        <f t="shared" si="190"/>
        <v/>
      </c>
      <c r="C1271" s="8" t="str">
        <f t="shared" si="191"/>
        <v/>
      </c>
      <c r="D1271" s="8" t="str">
        <f t="shared" si="192"/>
        <v/>
      </c>
      <c r="E1271" s="9" t="str">
        <f t="shared" si="193"/>
        <v/>
      </c>
      <c r="F1271" s="9" t="str">
        <f t="shared" si="194"/>
        <v/>
      </c>
      <c r="G1271" s="9" t="str">
        <f t="shared" si="195"/>
        <v/>
      </c>
      <c r="H1271" s="9" t="str">
        <f t="shared" si="196"/>
        <v/>
      </c>
      <c r="I1271" s="10" t="str">
        <f t="shared" si="197"/>
        <v/>
      </c>
      <c r="J1271" s="10" t="str">
        <f t="shared" si="199"/>
        <v/>
      </c>
      <c r="K1271" s="11" t="str">
        <f t="shared" si="198"/>
        <v/>
      </c>
      <c r="M1271" t="str">
        <f>IFERROR(MATCH($C$5&amp;"|"&amp;RIGHT("000000"&amp;1255,6),CalcRankKeyA,0),"")</f>
        <v/>
      </c>
      <c r="N1271" t="str">
        <f>IFERROR(MATCH($C$5&amp;"|"&amp;RIGHT("000000"&amp;1255,6),CalcRankKeyB,0),"")</f>
        <v/>
      </c>
    </row>
    <row r="1272" spans="1:14" x14ac:dyDescent="0.2">
      <c r="A1272" s="12">
        <v>1256</v>
      </c>
      <c r="B1272" s="13" t="str">
        <f t="shared" si="190"/>
        <v/>
      </c>
      <c r="C1272" s="13" t="str">
        <f t="shared" si="191"/>
        <v/>
      </c>
      <c r="D1272" s="13" t="str">
        <f t="shared" si="192"/>
        <v/>
      </c>
      <c r="E1272" s="14" t="str">
        <f t="shared" si="193"/>
        <v/>
      </c>
      <c r="F1272" s="14" t="str">
        <f t="shared" si="194"/>
        <v/>
      </c>
      <c r="G1272" s="14" t="str">
        <f t="shared" si="195"/>
        <v/>
      </c>
      <c r="H1272" s="14" t="str">
        <f t="shared" si="196"/>
        <v/>
      </c>
      <c r="I1272" s="15" t="str">
        <f t="shared" si="197"/>
        <v/>
      </c>
      <c r="J1272" s="15" t="str">
        <f t="shared" si="199"/>
        <v/>
      </c>
      <c r="K1272" s="16" t="str">
        <f t="shared" si="198"/>
        <v/>
      </c>
      <c r="M1272" t="str">
        <f>IFERROR(MATCH($C$5&amp;"|"&amp;RIGHT("000000"&amp;1256,6),CalcRankKeyA,0),"")</f>
        <v/>
      </c>
      <c r="N1272" t="str">
        <f>IFERROR(MATCH($C$5&amp;"|"&amp;RIGHT("000000"&amp;1256,6),CalcRankKeyB,0),"")</f>
        <v/>
      </c>
    </row>
    <row r="1273" spans="1:14" x14ac:dyDescent="0.2">
      <c r="A1273" s="7">
        <v>1257</v>
      </c>
      <c r="B1273" s="8" t="str">
        <f t="shared" si="190"/>
        <v/>
      </c>
      <c r="C1273" s="8" t="str">
        <f t="shared" si="191"/>
        <v/>
      </c>
      <c r="D1273" s="8" t="str">
        <f t="shared" si="192"/>
        <v/>
      </c>
      <c r="E1273" s="9" t="str">
        <f t="shared" si="193"/>
        <v/>
      </c>
      <c r="F1273" s="9" t="str">
        <f t="shared" si="194"/>
        <v/>
      </c>
      <c r="G1273" s="9" t="str">
        <f t="shared" si="195"/>
        <v/>
      </c>
      <c r="H1273" s="9" t="str">
        <f t="shared" si="196"/>
        <v/>
      </c>
      <c r="I1273" s="10" t="str">
        <f t="shared" si="197"/>
        <v/>
      </c>
      <c r="J1273" s="10" t="str">
        <f t="shared" si="199"/>
        <v/>
      </c>
      <c r="K1273" s="11" t="str">
        <f t="shared" si="198"/>
        <v/>
      </c>
      <c r="M1273" t="str">
        <f>IFERROR(MATCH($C$5&amp;"|"&amp;RIGHT("000000"&amp;1257,6),CalcRankKeyA,0),"")</f>
        <v/>
      </c>
      <c r="N1273" t="str">
        <f>IFERROR(MATCH($C$5&amp;"|"&amp;RIGHT("000000"&amp;1257,6),CalcRankKeyB,0),"")</f>
        <v/>
      </c>
    </row>
    <row r="1274" spans="1:14" x14ac:dyDescent="0.2">
      <c r="A1274" s="12">
        <v>1258</v>
      </c>
      <c r="B1274" s="13" t="str">
        <f t="shared" si="190"/>
        <v/>
      </c>
      <c r="C1274" s="13" t="str">
        <f t="shared" si="191"/>
        <v/>
      </c>
      <c r="D1274" s="13" t="str">
        <f t="shared" si="192"/>
        <v/>
      </c>
      <c r="E1274" s="14" t="str">
        <f t="shared" si="193"/>
        <v/>
      </c>
      <c r="F1274" s="14" t="str">
        <f t="shared" si="194"/>
        <v/>
      </c>
      <c r="G1274" s="14" t="str">
        <f t="shared" si="195"/>
        <v/>
      </c>
      <c r="H1274" s="14" t="str">
        <f t="shared" si="196"/>
        <v/>
      </c>
      <c r="I1274" s="15" t="str">
        <f t="shared" si="197"/>
        <v/>
      </c>
      <c r="J1274" s="15" t="str">
        <f t="shared" si="199"/>
        <v/>
      </c>
      <c r="K1274" s="16" t="str">
        <f t="shared" si="198"/>
        <v/>
      </c>
      <c r="M1274" t="str">
        <f>IFERROR(MATCH($C$5&amp;"|"&amp;RIGHT("000000"&amp;1258,6),CalcRankKeyA,0),"")</f>
        <v/>
      </c>
      <c r="N1274" t="str">
        <f>IFERROR(MATCH($C$5&amp;"|"&amp;RIGHT("000000"&amp;1258,6),CalcRankKeyB,0),"")</f>
        <v/>
      </c>
    </row>
    <row r="1275" spans="1:14" x14ac:dyDescent="0.2">
      <c r="A1275" s="7">
        <v>1259</v>
      </c>
      <c r="B1275" s="8" t="str">
        <f t="shared" si="190"/>
        <v/>
      </c>
      <c r="C1275" s="8" t="str">
        <f t="shared" si="191"/>
        <v/>
      </c>
      <c r="D1275" s="8" t="str">
        <f t="shared" si="192"/>
        <v/>
      </c>
      <c r="E1275" s="9" t="str">
        <f t="shared" si="193"/>
        <v/>
      </c>
      <c r="F1275" s="9" t="str">
        <f t="shared" si="194"/>
        <v/>
      </c>
      <c r="G1275" s="9" t="str">
        <f t="shared" si="195"/>
        <v/>
      </c>
      <c r="H1275" s="9" t="str">
        <f t="shared" si="196"/>
        <v/>
      </c>
      <c r="I1275" s="10" t="str">
        <f t="shared" si="197"/>
        <v/>
      </c>
      <c r="J1275" s="10" t="str">
        <f t="shared" si="199"/>
        <v/>
      </c>
      <c r="K1275" s="11" t="str">
        <f t="shared" si="198"/>
        <v/>
      </c>
      <c r="M1275" t="str">
        <f>IFERROR(MATCH($C$5&amp;"|"&amp;RIGHT("000000"&amp;1259,6),CalcRankKeyA,0),"")</f>
        <v/>
      </c>
      <c r="N1275" t="str">
        <f>IFERROR(MATCH($C$5&amp;"|"&amp;RIGHT("000000"&amp;1259,6),CalcRankKeyB,0),"")</f>
        <v/>
      </c>
    </row>
    <row r="1276" spans="1:14" x14ac:dyDescent="0.2">
      <c r="A1276" s="12">
        <v>1260</v>
      </c>
      <c r="B1276" s="13" t="str">
        <f t="shared" si="190"/>
        <v/>
      </c>
      <c r="C1276" s="13" t="str">
        <f t="shared" si="191"/>
        <v/>
      </c>
      <c r="D1276" s="13" t="str">
        <f t="shared" si="192"/>
        <v/>
      </c>
      <c r="E1276" s="14" t="str">
        <f t="shared" si="193"/>
        <v/>
      </c>
      <c r="F1276" s="14" t="str">
        <f t="shared" si="194"/>
        <v/>
      </c>
      <c r="G1276" s="14" t="str">
        <f t="shared" si="195"/>
        <v/>
      </c>
      <c r="H1276" s="14" t="str">
        <f t="shared" si="196"/>
        <v/>
      </c>
      <c r="I1276" s="15" t="str">
        <f t="shared" si="197"/>
        <v/>
      </c>
      <c r="J1276" s="15" t="str">
        <f t="shared" si="199"/>
        <v/>
      </c>
      <c r="K1276" s="16" t="str">
        <f t="shared" si="198"/>
        <v/>
      </c>
      <c r="M1276" t="str">
        <f>IFERROR(MATCH($C$5&amp;"|"&amp;RIGHT("000000"&amp;1260,6),CalcRankKeyA,0),"")</f>
        <v/>
      </c>
      <c r="N1276" t="str">
        <f>IFERROR(MATCH($C$5&amp;"|"&amp;RIGHT("000000"&amp;1260,6),CalcRankKeyB,0),"")</f>
        <v/>
      </c>
    </row>
    <row r="1277" spans="1:14" x14ac:dyDescent="0.2">
      <c r="A1277" s="7">
        <v>1261</v>
      </c>
      <c r="B1277" s="8" t="str">
        <f t="shared" si="190"/>
        <v/>
      </c>
      <c r="C1277" s="8" t="str">
        <f t="shared" si="191"/>
        <v/>
      </c>
      <c r="D1277" s="8" t="str">
        <f t="shared" si="192"/>
        <v/>
      </c>
      <c r="E1277" s="9" t="str">
        <f t="shared" si="193"/>
        <v/>
      </c>
      <c r="F1277" s="9" t="str">
        <f t="shared" si="194"/>
        <v/>
      </c>
      <c r="G1277" s="9" t="str">
        <f t="shared" si="195"/>
        <v/>
      </c>
      <c r="H1277" s="9" t="str">
        <f t="shared" si="196"/>
        <v/>
      </c>
      <c r="I1277" s="10" t="str">
        <f t="shared" si="197"/>
        <v/>
      </c>
      <c r="J1277" s="10" t="str">
        <f t="shared" si="199"/>
        <v/>
      </c>
      <c r="K1277" s="11" t="str">
        <f t="shared" si="198"/>
        <v/>
      </c>
      <c r="M1277" t="str">
        <f>IFERROR(MATCH($C$5&amp;"|"&amp;RIGHT("000000"&amp;1261,6),CalcRankKeyA,0),"")</f>
        <v/>
      </c>
      <c r="N1277" t="str">
        <f>IFERROR(MATCH($C$5&amp;"|"&amp;RIGHT("000000"&amp;1261,6),CalcRankKeyB,0),"")</f>
        <v/>
      </c>
    </row>
    <row r="1278" spans="1:14" x14ac:dyDescent="0.2">
      <c r="A1278" s="12">
        <v>1262</v>
      </c>
      <c r="B1278" s="13" t="str">
        <f t="shared" si="190"/>
        <v/>
      </c>
      <c r="C1278" s="13" t="str">
        <f t="shared" si="191"/>
        <v/>
      </c>
      <c r="D1278" s="13" t="str">
        <f t="shared" si="192"/>
        <v/>
      </c>
      <c r="E1278" s="14" t="str">
        <f t="shared" si="193"/>
        <v/>
      </c>
      <c r="F1278" s="14" t="str">
        <f t="shared" si="194"/>
        <v/>
      </c>
      <c r="G1278" s="14" t="str">
        <f t="shared" si="195"/>
        <v/>
      </c>
      <c r="H1278" s="14" t="str">
        <f t="shared" si="196"/>
        <v/>
      </c>
      <c r="I1278" s="15" t="str">
        <f t="shared" si="197"/>
        <v/>
      </c>
      <c r="J1278" s="15" t="str">
        <f t="shared" si="199"/>
        <v/>
      </c>
      <c r="K1278" s="16" t="str">
        <f t="shared" si="198"/>
        <v/>
      </c>
      <c r="M1278" t="str">
        <f>IFERROR(MATCH($C$5&amp;"|"&amp;RIGHT("000000"&amp;1262,6),CalcRankKeyA,0),"")</f>
        <v/>
      </c>
      <c r="N1278" t="str">
        <f>IFERROR(MATCH($C$5&amp;"|"&amp;RIGHT("000000"&amp;1262,6),CalcRankKeyB,0),"")</f>
        <v/>
      </c>
    </row>
    <row r="1279" spans="1:14" x14ac:dyDescent="0.2">
      <c r="A1279" s="7">
        <v>1263</v>
      </c>
      <c r="B1279" s="8" t="str">
        <f t="shared" si="190"/>
        <v/>
      </c>
      <c r="C1279" s="8" t="str">
        <f t="shared" si="191"/>
        <v/>
      </c>
      <c r="D1279" s="8" t="str">
        <f t="shared" si="192"/>
        <v/>
      </c>
      <c r="E1279" s="9" t="str">
        <f t="shared" si="193"/>
        <v/>
      </c>
      <c r="F1279" s="9" t="str">
        <f t="shared" si="194"/>
        <v/>
      </c>
      <c r="G1279" s="9" t="str">
        <f t="shared" si="195"/>
        <v/>
      </c>
      <c r="H1279" s="9" t="str">
        <f t="shared" si="196"/>
        <v/>
      </c>
      <c r="I1279" s="10" t="str">
        <f t="shared" si="197"/>
        <v/>
      </c>
      <c r="J1279" s="10" t="str">
        <f t="shared" si="199"/>
        <v/>
      </c>
      <c r="K1279" s="11" t="str">
        <f t="shared" si="198"/>
        <v/>
      </c>
      <c r="M1279" t="str">
        <f>IFERROR(MATCH($C$5&amp;"|"&amp;RIGHT("000000"&amp;1263,6),CalcRankKeyA,0),"")</f>
        <v/>
      </c>
      <c r="N1279" t="str">
        <f>IFERROR(MATCH($C$5&amp;"|"&amp;RIGHT("000000"&amp;1263,6),CalcRankKeyB,0),"")</f>
        <v/>
      </c>
    </row>
    <row r="1280" spans="1:14" x14ac:dyDescent="0.2">
      <c r="A1280" s="12">
        <v>1264</v>
      </c>
      <c r="B1280" s="13" t="str">
        <f t="shared" si="190"/>
        <v/>
      </c>
      <c r="C1280" s="13" t="str">
        <f t="shared" si="191"/>
        <v/>
      </c>
      <c r="D1280" s="13" t="str">
        <f t="shared" si="192"/>
        <v/>
      </c>
      <c r="E1280" s="14" t="str">
        <f t="shared" si="193"/>
        <v/>
      </c>
      <c r="F1280" s="14" t="str">
        <f t="shared" si="194"/>
        <v/>
      </c>
      <c r="G1280" s="14" t="str">
        <f t="shared" si="195"/>
        <v/>
      </c>
      <c r="H1280" s="14" t="str">
        <f t="shared" si="196"/>
        <v/>
      </c>
      <c r="I1280" s="15" t="str">
        <f t="shared" si="197"/>
        <v/>
      </c>
      <c r="J1280" s="15" t="str">
        <f t="shared" si="199"/>
        <v/>
      </c>
      <c r="K1280" s="16" t="str">
        <f t="shared" si="198"/>
        <v/>
      </c>
      <c r="M1280" t="str">
        <f>IFERROR(MATCH($C$5&amp;"|"&amp;RIGHT("000000"&amp;1264,6),CalcRankKeyA,0),"")</f>
        <v/>
      </c>
      <c r="N1280" t="str">
        <f>IFERROR(MATCH($C$5&amp;"|"&amp;RIGHT("000000"&amp;1264,6),CalcRankKeyB,0),"")</f>
        <v/>
      </c>
    </row>
    <row r="1281" spans="1:14" x14ac:dyDescent="0.2">
      <c r="A1281" s="7">
        <v>1265</v>
      </c>
      <c r="B1281" s="8" t="str">
        <f t="shared" si="190"/>
        <v/>
      </c>
      <c r="C1281" s="8" t="str">
        <f t="shared" si="191"/>
        <v/>
      </c>
      <c r="D1281" s="8" t="str">
        <f t="shared" si="192"/>
        <v/>
      </c>
      <c r="E1281" s="9" t="str">
        <f t="shared" si="193"/>
        <v/>
      </c>
      <c r="F1281" s="9" t="str">
        <f t="shared" si="194"/>
        <v/>
      </c>
      <c r="G1281" s="9" t="str">
        <f t="shared" si="195"/>
        <v/>
      </c>
      <c r="H1281" s="9" t="str">
        <f t="shared" si="196"/>
        <v/>
      </c>
      <c r="I1281" s="10" t="str">
        <f t="shared" si="197"/>
        <v/>
      </c>
      <c r="J1281" s="10" t="str">
        <f t="shared" si="199"/>
        <v/>
      </c>
      <c r="K1281" s="11" t="str">
        <f t="shared" si="198"/>
        <v/>
      </c>
      <c r="M1281" t="str">
        <f>IFERROR(MATCH($C$5&amp;"|"&amp;RIGHT("000000"&amp;1265,6),CalcRankKeyA,0),"")</f>
        <v/>
      </c>
      <c r="N1281" t="str">
        <f>IFERROR(MATCH($C$5&amp;"|"&amp;RIGHT("000000"&amp;1265,6),CalcRankKeyB,0),"")</f>
        <v/>
      </c>
    </row>
    <row r="1282" spans="1:14" x14ac:dyDescent="0.2">
      <c r="A1282" s="12">
        <v>1266</v>
      </c>
      <c r="B1282" s="13" t="str">
        <f t="shared" si="190"/>
        <v/>
      </c>
      <c r="C1282" s="13" t="str">
        <f t="shared" si="191"/>
        <v/>
      </c>
      <c r="D1282" s="13" t="str">
        <f t="shared" si="192"/>
        <v/>
      </c>
      <c r="E1282" s="14" t="str">
        <f t="shared" si="193"/>
        <v/>
      </c>
      <c r="F1282" s="14" t="str">
        <f t="shared" si="194"/>
        <v/>
      </c>
      <c r="G1282" s="14" t="str">
        <f t="shared" si="195"/>
        <v/>
      </c>
      <c r="H1282" s="14" t="str">
        <f t="shared" si="196"/>
        <v/>
      </c>
      <c r="I1282" s="15" t="str">
        <f t="shared" si="197"/>
        <v/>
      </c>
      <c r="J1282" s="15" t="str">
        <f t="shared" si="199"/>
        <v/>
      </c>
      <c r="K1282" s="16" t="str">
        <f t="shared" si="198"/>
        <v/>
      </c>
      <c r="M1282" t="str">
        <f>IFERROR(MATCH($C$5&amp;"|"&amp;RIGHT("000000"&amp;1266,6),CalcRankKeyA,0),"")</f>
        <v/>
      </c>
      <c r="N1282" t="str">
        <f>IFERROR(MATCH($C$5&amp;"|"&amp;RIGHT("000000"&amp;1266,6),CalcRankKeyB,0),"")</f>
        <v/>
      </c>
    </row>
    <row r="1283" spans="1:14" x14ac:dyDescent="0.2">
      <c r="A1283" s="7">
        <v>1267</v>
      </c>
      <c r="B1283" s="8" t="str">
        <f t="shared" si="190"/>
        <v/>
      </c>
      <c r="C1283" s="8" t="str">
        <f t="shared" si="191"/>
        <v/>
      </c>
      <c r="D1283" s="8" t="str">
        <f t="shared" si="192"/>
        <v/>
      </c>
      <c r="E1283" s="9" t="str">
        <f t="shared" si="193"/>
        <v/>
      </c>
      <c r="F1283" s="9" t="str">
        <f t="shared" si="194"/>
        <v/>
      </c>
      <c r="G1283" s="9" t="str">
        <f t="shared" si="195"/>
        <v/>
      </c>
      <c r="H1283" s="9" t="str">
        <f t="shared" si="196"/>
        <v/>
      </c>
      <c r="I1283" s="10" t="str">
        <f t="shared" si="197"/>
        <v/>
      </c>
      <c r="J1283" s="10" t="str">
        <f t="shared" si="199"/>
        <v/>
      </c>
      <c r="K1283" s="11" t="str">
        <f t="shared" si="198"/>
        <v/>
      </c>
      <c r="M1283" t="str">
        <f>IFERROR(MATCH($C$5&amp;"|"&amp;RIGHT("000000"&amp;1267,6),CalcRankKeyA,0),"")</f>
        <v/>
      </c>
      <c r="N1283" t="str">
        <f>IFERROR(MATCH($C$5&amp;"|"&amp;RIGHT("000000"&amp;1267,6),CalcRankKeyB,0),"")</f>
        <v/>
      </c>
    </row>
    <row r="1284" spans="1:14" x14ac:dyDescent="0.2">
      <c r="A1284" s="12">
        <v>1268</v>
      </c>
      <c r="B1284" s="13" t="str">
        <f t="shared" si="190"/>
        <v/>
      </c>
      <c r="C1284" s="13" t="str">
        <f t="shared" si="191"/>
        <v/>
      </c>
      <c r="D1284" s="13" t="str">
        <f t="shared" si="192"/>
        <v/>
      </c>
      <c r="E1284" s="14" t="str">
        <f t="shared" si="193"/>
        <v/>
      </c>
      <c r="F1284" s="14" t="str">
        <f t="shared" si="194"/>
        <v/>
      </c>
      <c r="G1284" s="14" t="str">
        <f t="shared" si="195"/>
        <v/>
      </c>
      <c r="H1284" s="14" t="str">
        <f t="shared" si="196"/>
        <v/>
      </c>
      <c r="I1284" s="15" t="str">
        <f t="shared" si="197"/>
        <v/>
      </c>
      <c r="J1284" s="15" t="str">
        <f t="shared" si="199"/>
        <v/>
      </c>
      <c r="K1284" s="16" t="str">
        <f t="shared" si="198"/>
        <v/>
      </c>
      <c r="M1284" t="str">
        <f>IFERROR(MATCH($C$5&amp;"|"&amp;RIGHT("000000"&amp;1268,6),CalcRankKeyA,0),"")</f>
        <v/>
      </c>
      <c r="N1284" t="str">
        <f>IFERROR(MATCH($C$5&amp;"|"&amp;RIGHT("000000"&amp;1268,6),CalcRankKeyB,0),"")</f>
        <v/>
      </c>
    </row>
    <row r="1285" spans="1:14" x14ac:dyDescent="0.2">
      <c r="A1285" s="7">
        <v>1269</v>
      </c>
      <c r="B1285" s="8" t="str">
        <f t="shared" si="190"/>
        <v/>
      </c>
      <c r="C1285" s="8" t="str">
        <f t="shared" si="191"/>
        <v/>
      </c>
      <c r="D1285" s="8" t="str">
        <f t="shared" si="192"/>
        <v/>
      </c>
      <c r="E1285" s="9" t="str">
        <f t="shared" si="193"/>
        <v/>
      </c>
      <c r="F1285" s="9" t="str">
        <f t="shared" si="194"/>
        <v/>
      </c>
      <c r="G1285" s="9" t="str">
        <f t="shared" si="195"/>
        <v/>
      </c>
      <c r="H1285" s="9" t="str">
        <f t="shared" si="196"/>
        <v/>
      </c>
      <c r="I1285" s="10" t="str">
        <f t="shared" si="197"/>
        <v/>
      </c>
      <c r="J1285" s="10" t="str">
        <f t="shared" si="199"/>
        <v/>
      </c>
      <c r="K1285" s="11" t="str">
        <f t="shared" si="198"/>
        <v/>
      </c>
      <c r="M1285" t="str">
        <f>IFERROR(MATCH($C$5&amp;"|"&amp;RIGHT("000000"&amp;1269,6),CalcRankKeyA,0),"")</f>
        <v/>
      </c>
      <c r="N1285" t="str">
        <f>IFERROR(MATCH($C$5&amp;"|"&amp;RIGHT("000000"&amp;1269,6),CalcRankKeyB,0),"")</f>
        <v/>
      </c>
    </row>
    <row r="1286" spans="1:14" x14ac:dyDescent="0.2">
      <c r="A1286" s="12">
        <v>1270</v>
      </c>
      <c r="B1286" s="13" t="str">
        <f t="shared" si="190"/>
        <v/>
      </c>
      <c r="C1286" s="13" t="str">
        <f t="shared" si="191"/>
        <v/>
      </c>
      <c r="D1286" s="13" t="str">
        <f t="shared" si="192"/>
        <v/>
      </c>
      <c r="E1286" s="14" t="str">
        <f t="shared" si="193"/>
        <v/>
      </c>
      <c r="F1286" s="14" t="str">
        <f t="shared" si="194"/>
        <v/>
      </c>
      <c r="G1286" s="14" t="str">
        <f t="shared" si="195"/>
        <v/>
      </c>
      <c r="H1286" s="14" t="str">
        <f t="shared" si="196"/>
        <v/>
      </c>
      <c r="I1286" s="15" t="str">
        <f t="shared" si="197"/>
        <v/>
      </c>
      <c r="J1286" s="15" t="str">
        <f t="shared" si="199"/>
        <v/>
      </c>
      <c r="K1286" s="16" t="str">
        <f t="shared" si="198"/>
        <v/>
      </c>
      <c r="M1286" t="str">
        <f>IFERROR(MATCH($C$5&amp;"|"&amp;RIGHT("000000"&amp;1270,6),CalcRankKeyA,0),"")</f>
        <v/>
      </c>
      <c r="N1286" t="str">
        <f>IFERROR(MATCH($C$5&amp;"|"&amp;RIGHT("000000"&amp;1270,6),CalcRankKeyB,0),"")</f>
        <v/>
      </c>
    </row>
    <row r="1287" spans="1:14" x14ac:dyDescent="0.2">
      <c r="A1287" s="7">
        <v>1271</v>
      </c>
      <c r="B1287" s="8" t="str">
        <f t="shared" si="190"/>
        <v/>
      </c>
      <c r="C1287" s="8" t="str">
        <f t="shared" si="191"/>
        <v/>
      </c>
      <c r="D1287" s="8" t="str">
        <f t="shared" si="192"/>
        <v/>
      </c>
      <c r="E1287" s="9" t="str">
        <f t="shared" si="193"/>
        <v/>
      </c>
      <c r="F1287" s="9" t="str">
        <f t="shared" si="194"/>
        <v/>
      </c>
      <c r="G1287" s="9" t="str">
        <f t="shared" si="195"/>
        <v/>
      </c>
      <c r="H1287" s="9" t="str">
        <f t="shared" si="196"/>
        <v/>
      </c>
      <c r="I1287" s="10" t="str">
        <f t="shared" si="197"/>
        <v/>
      </c>
      <c r="J1287" s="10" t="str">
        <f t="shared" si="199"/>
        <v/>
      </c>
      <c r="K1287" s="11" t="str">
        <f t="shared" si="198"/>
        <v/>
      </c>
      <c r="M1287" t="str">
        <f>IFERROR(MATCH($C$5&amp;"|"&amp;RIGHT("000000"&amp;1271,6),CalcRankKeyA,0),"")</f>
        <v/>
      </c>
      <c r="N1287" t="str">
        <f>IFERROR(MATCH($C$5&amp;"|"&amp;RIGHT("000000"&amp;1271,6),CalcRankKeyB,0),"")</f>
        <v/>
      </c>
    </row>
    <row r="1288" spans="1:14" x14ac:dyDescent="0.2">
      <c r="A1288" s="12">
        <v>1272</v>
      </c>
      <c r="B1288" s="13" t="str">
        <f t="shared" si="190"/>
        <v/>
      </c>
      <c r="C1288" s="13" t="str">
        <f t="shared" si="191"/>
        <v/>
      </c>
      <c r="D1288" s="13" t="str">
        <f t="shared" si="192"/>
        <v/>
      </c>
      <c r="E1288" s="14" t="str">
        <f t="shared" si="193"/>
        <v/>
      </c>
      <c r="F1288" s="14" t="str">
        <f t="shared" si="194"/>
        <v/>
      </c>
      <c r="G1288" s="14" t="str">
        <f t="shared" si="195"/>
        <v/>
      </c>
      <c r="H1288" s="14" t="str">
        <f t="shared" si="196"/>
        <v/>
      </c>
      <c r="I1288" s="15" t="str">
        <f t="shared" si="197"/>
        <v/>
      </c>
      <c r="J1288" s="15" t="str">
        <f t="shared" si="199"/>
        <v/>
      </c>
      <c r="K1288" s="16" t="str">
        <f t="shared" si="198"/>
        <v/>
      </c>
      <c r="M1288" t="str">
        <f>IFERROR(MATCH($C$5&amp;"|"&amp;RIGHT("000000"&amp;1272,6),CalcRankKeyA,0),"")</f>
        <v/>
      </c>
      <c r="N1288" t="str">
        <f>IFERROR(MATCH($C$5&amp;"|"&amp;RIGHT("000000"&amp;1272,6),CalcRankKeyB,0),"")</f>
        <v/>
      </c>
    </row>
    <row r="1289" spans="1:14" x14ac:dyDescent="0.2">
      <c r="A1289" s="7">
        <v>1273</v>
      </c>
      <c r="B1289" s="8" t="str">
        <f t="shared" si="190"/>
        <v/>
      </c>
      <c r="C1289" s="8" t="str">
        <f t="shared" si="191"/>
        <v/>
      </c>
      <c r="D1289" s="8" t="str">
        <f t="shared" si="192"/>
        <v/>
      </c>
      <c r="E1289" s="9" t="str">
        <f t="shared" si="193"/>
        <v/>
      </c>
      <c r="F1289" s="9" t="str">
        <f t="shared" si="194"/>
        <v/>
      </c>
      <c r="G1289" s="9" t="str">
        <f t="shared" si="195"/>
        <v/>
      </c>
      <c r="H1289" s="9" t="str">
        <f t="shared" si="196"/>
        <v/>
      </c>
      <c r="I1289" s="10" t="str">
        <f t="shared" si="197"/>
        <v/>
      </c>
      <c r="J1289" s="10" t="str">
        <f t="shared" si="199"/>
        <v/>
      </c>
      <c r="K1289" s="11" t="str">
        <f t="shared" si="198"/>
        <v/>
      </c>
      <c r="M1289" t="str">
        <f>IFERROR(MATCH($C$5&amp;"|"&amp;RIGHT("000000"&amp;1273,6),CalcRankKeyA,0),"")</f>
        <v/>
      </c>
      <c r="N1289" t="str">
        <f>IFERROR(MATCH($C$5&amp;"|"&amp;RIGHT("000000"&amp;1273,6),CalcRankKeyB,0),"")</f>
        <v/>
      </c>
    </row>
    <row r="1290" spans="1:14" x14ac:dyDescent="0.2">
      <c r="A1290" s="12">
        <v>1274</v>
      </c>
      <c r="B1290" s="13" t="str">
        <f t="shared" si="190"/>
        <v/>
      </c>
      <c r="C1290" s="13" t="str">
        <f t="shared" si="191"/>
        <v/>
      </c>
      <c r="D1290" s="13" t="str">
        <f t="shared" si="192"/>
        <v/>
      </c>
      <c r="E1290" s="14" t="str">
        <f t="shared" si="193"/>
        <v/>
      </c>
      <c r="F1290" s="14" t="str">
        <f t="shared" si="194"/>
        <v/>
      </c>
      <c r="G1290" s="14" t="str">
        <f t="shared" si="195"/>
        <v/>
      </c>
      <c r="H1290" s="14" t="str">
        <f t="shared" si="196"/>
        <v/>
      </c>
      <c r="I1290" s="15" t="str">
        <f t="shared" si="197"/>
        <v/>
      </c>
      <c r="J1290" s="15" t="str">
        <f t="shared" si="199"/>
        <v/>
      </c>
      <c r="K1290" s="16" t="str">
        <f t="shared" si="198"/>
        <v/>
      </c>
      <c r="M1290" t="str">
        <f>IFERROR(MATCH($C$5&amp;"|"&amp;RIGHT("000000"&amp;1274,6),CalcRankKeyA,0),"")</f>
        <v/>
      </c>
      <c r="N1290" t="str">
        <f>IFERROR(MATCH($C$5&amp;"|"&amp;RIGHT("000000"&amp;1274,6),CalcRankKeyB,0),"")</f>
        <v/>
      </c>
    </row>
    <row r="1291" spans="1:14" x14ac:dyDescent="0.2">
      <c r="A1291" s="7">
        <v>1275</v>
      </c>
      <c r="B1291" s="8" t="str">
        <f t="shared" si="190"/>
        <v/>
      </c>
      <c r="C1291" s="8" t="str">
        <f t="shared" si="191"/>
        <v/>
      </c>
      <c r="D1291" s="8" t="str">
        <f t="shared" si="192"/>
        <v/>
      </c>
      <c r="E1291" s="9" t="str">
        <f t="shared" si="193"/>
        <v/>
      </c>
      <c r="F1291" s="9" t="str">
        <f t="shared" si="194"/>
        <v/>
      </c>
      <c r="G1291" s="9" t="str">
        <f t="shared" si="195"/>
        <v/>
      </c>
      <c r="H1291" s="9" t="str">
        <f t="shared" si="196"/>
        <v/>
      </c>
      <c r="I1291" s="10" t="str">
        <f t="shared" si="197"/>
        <v/>
      </c>
      <c r="J1291" s="10" t="str">
        <f t="shared" si="199"/>
        <v/>
      </c>
      <c r="K1291" s="11" t="str">
        <f t="shared" si="198"/>
        <v/>
      </c>
      <c r="M1291" t="str">
        <f>IFERROR(MATCH($C$5&amp;"|"&amp;RIGHT("000000"&amp;1275,6),CalcRankKeyA,0),"")</f>
        <v/>
      </c>
      <c r="N1291" t="str">
        <f>IFERROR(MATCH($C$5&amp;"|"&amp;RIGHT("000000"&amp;1275,6),CalcRankKeyB,0),"")</f>
        <v/>
      </c>
    </row>
    <row r="1292" spans="1:14" x14ac:dyDescent="0.2">
      <c r="A1292" s="12">
        <v>1276</v>
      </c>
      <c r="B1292" s="13" t="str">
        <f t="shared" si="190"/>
        <v/>
      </c>
      <c r="C1292" s="13" t="str">
        <f t="shared" si="191"/>
        <v/>
      </c>
      <c r="D1292" s="13" t="str">
        <f t="shared" si="192"/>
        <v/>
      </c>
      <c r="E1292" s="14" t="str">
        <f t="shared" si="193"/>
        <v/>
      </c>
      <c r="F1292" s="14" t="str">
        <f t="shared" si="194"/>
        <v/>
      </c>
      <c r="G1292" s="14" t="str">
        <f t="shared" si="195"/>
        <v/>
      </c>
      <c r="H1292" s="14" t="str">
        <f t="shared" si="196"/>
        <v/>
      </c>
      <c r="I1292" s="15" t="str">
        <f t="shared" si="197"/>
        <v/>
      </c>
      <c r="J1292" s="15" t="str">
        <f t="shared" si="199"/>
        <v/>
      </c>
      <c r="K1292" s="16" t="str">
        <f t="shared" si="198"/>
        <v/>
      </c>
      <c r="M1292" t="str">
        <f>IFERROR(MATCH($C$5&amp;"|"&amp;RIGHT("000000"&amp;1276,6),CalcRankKeyA,0),"")</f>
        <v/>
      </c>
      <c r="N1292" t="str">
        <f>IFERROR(MATCH($C$5&amp;"|"&amp;RIGHT("000000"&amp;1276,6),CalcRankKeyB,0),"")</f>
        <v/>
      </c>
    </row>
    <row r="1293" spans="1:14" x14ac:dyDescent="0.2">
      <c r="A1293" s="7">
        <v>1277</v>
      </c>
      <c r="B1293" s="8" t="str">
        <f t="shared" si="190"/>
        <v/>
      </c>
      <c r="C1293" s="8" t="str">
        <f t="shared" si="191"/>
        <v/>
      </c>
      <c r="D1293" s="8" t="str">
        <f t="shared" si="192"/>
        <v/>
      </c>
      <c r="E1293" s="9" t="str">
        <f t="shared" si="193"/>
        <v/>
      </c>
      <c r="F1293" s="9" t="str">
        <f t="shared" si="194"/>
        <v/>
      </c>
      <c r="G1293" s="9" t="str">
        <f t="shared" si="195"/>
        <v/>
      </c>
      <c r="H1293" s="9" t="str">
        <f t="shared" si="196"/>
        <v/>
      </c>
      <c r="I1293" s="10" t="str">
        <f t="shared" si="197"/>
        <v/>
      </c>
      <c r="J1293" s="10" t="str">
        <f t="shared" si="199"/>
        <v/>
      </c>
      <c r="K1293" s="11" t="str">
        <f t="shared" si="198"/>
        <v/>
      </c>
      <c r="M1293" t="str">
        <f>IFERROR(MATCH($C$5&amp;"|"&amp;RIGHT("000000"&amp;1277,6),CalcRankKeyA,0),"")</f>
        <v/>
      </c>
      <c r="N1293" t="str">
        <f>IFERROR(MATCH($C$5&amp;"|"&amp;RIGHT("000000"&amp;1277,6),CalcRankKeyB,0),"")</f>
        <v/>
      </c>
    </row>
    <row r="1294" spans="1:14" x14ac:dyDescent="0.2">
      <c r="A1294" s="12">
        <v>1278</v>
      </c>
      <c r="B1294" s="13" t="str">
        <f t="shared" si="190"/>
        <v/>
      </c>
      <c r="C1294" s="13" t="str">
        <f t="shared" si="191"/>
        <v/>
      </c>
      <c r="D1294" s="13" t="str">
        <f t="shared" si="192"/>
        <v/>
      </c>
      <c r="E1294" s="14" t="str">
        <f t="shared" si="193"/>
        <v/>
      </c>
      <c r="F1294" s="14" t="str">
        <f t="shared" si="194"/>
        <v/>
      </c>
      <c r="G1294" s="14" t="str">
        <f t="shared" si="195"/>
        <v/>
      </c>
      <c r="H1294" s="14" t="str">
        <f t="shared" si="196"/>
        <v/>
      </c>
      <c r="I1294" s="15" t="str">
        <f t="shared" si="197"/>
        <v/>
      </c>
      <c r="J1294" s="15" t="str">
        <f t="shared" si="199"/>
        <v/>
      </c>
      <c r="K1294" s="16" t="str">
        <f t="shared" si="198"/>
        <v/>
      </c>
      <c r="M1294" t="str">
        <f>IFERROR(MATCH($C$5&amp;"|"&amp;RIGHT("000000"&amp;1278,6),CalcRankKeyA,0),"")</f>
        <v/>
      </c>
      <c r="N1294" t="str">
        <f>IFERROR(MATCH($C$5&amp;"|"&amp;RIGHT("000000"&amp;1278,6),CalcRankKeyB,0),"")</f>
        <v/>
      </c>
    </row>
    <row r="1295" spans="1:14" x14ac:dyDescent="0.2">
      <c r="A1295" s="7">
        <v>1279</v>
      </c>
      <c r="B1295" s="8" t="str">
        <f t="shared" si="190"/>
        <v/>
      </c>
      <c r="C1295" s="8" t="str">
        <f t="shared" si="191"/>
        <v/>
      </c>
      <c r="D1295" s="8" t="str">
        <f t="shared" si="192"/>
        <v/>
      </c>
      <c r="E1295" s="9" t="str">
        <f t="shared" si="193"/>
        <v/>
      </c>
      <c r="F1295" s="9" t="str">
        <f t="shared" si="194"/>
        <v/>
      </c>
      <c r="G1295" s="9" t="str">
        <f t="shared" si="195"/>
        <v/>
      </c>
      <c r="H1295" s="9" t="str">
        <f t="shared" si="196"/>
        <v/>
      </c>
      <c r="I1295" s="10" t="str">
        <f t="shared" si="197"/>
        <v/>
      </c>
      <c r="J1295" s="10" t="str">
        <f t="shared" si="199"/>
        <v/>
      </c>
      <c r="K1295" s="11" t="str">
        <f t="shared" si="198"/>
        <v/>
      </c>
      <c r="M1295" t="str">
        <f>IFERROR(MATCH($C$5&amp;"|"&amp;RIGHT("000000"&amp;1279,6),CalcRankKeyA,0),"")</f>
        <v/>
      </c>
      <c r="N1295" t="str">
        <f>IFERROR(MATCH($C$5&amp;"|"&amp;RIGHT("000000"&amp;1279,6),CalcRankKeyB,0),"")</f>
        <v/>
      </c>
    </row>
    <row r="1296" spans="1:14" x14ac:dyDescent="0.2">
      <c r="A1296" s="12">
        <v>1280</v>
      </c>
      <c r="B1296" s="13" t="str">
        <f t="shared" si="190"/>
        <v/>
      </c>
      <c r="C1296" s="13" t="str">
        <f t="shared" si="191"/>
        <v/>
      </c>
      <c r="D1296" s="13" t="str">
        <f t="shared" si="192"/>
        <v/>
      </c>
      <c r="E1296" s="14" t="str">
        <f t="shared" si="193"/>
        <v/>
      </c>
      <c r="F1296" s="14" t="str">
        <f t="shared" si="194"/>
        <v/>
      </c>
      <c r="G1296" s="14" t="str">
        <f t="shared" si="195"/>
        <v/>
      </c>
      <c r="H1296" s="14" t="str">
        <f t="shared" si="196"/>
        <v/>
      </c>
      <c r="I1296" s="15" t="str">
        <f t="shared" si="197"/>
        <v/>
      </c>
      <c r="J1296" s="15" t="str">
        <f t="shared" si="199"/>
        <v/>
      </c>
      <c r="K1296" s="16" t="str">
        <f t="shared" si="198"/>
        <v/>
      </c>
      <c r="M1296" t="str">
        <f>IFERROR(MATCH($C$5&amp;"|"&amp;RIGHT("000000"&amp;1280,6),CalcRankKeyA,0),"")</f>
        <v/>
      </c>
      <c r="N1296" t="str">
        <f>IFERROR(MATCH($C$5&amp;"|"&amp;RIGHT("000000"&amp;1280,6),CalcRankKeyB,0),"")</f>
        <v/>
      </c>
    </row>
    <row r="1297" spans="1:14" x14ac:dyDescent="0.2">
      <c r="A1297" s="7">
        <v>1281</v>
      </c>
      <c r="B1297" s="8" t="str">
        <f t="shared" ref="B1297:B1360" si="200">IF(AND($M1297="",$N1297=""),"",IF($M1297&lt;&gt;"",INDEX(CalcDateA,$M1297),INDEX(CalcDateB,$N1297)))</f>
        <v/>
      </c>
      <c r="C1297" s="8" t="str">
        <f t="shared" ref="C1297:C1360" si="201">IF($M1297&lt;&gt;"","خرید سبد",IF($N1297&lt;&gt;"",IF(N(INDEX(CalcDepB,$N1297))&gt;0,"دریافت بانکی","پرداخت بانکی"),""))</f>
        <v/>
      </c>
      <c r="D1297" s="8" t="str">
        <f t="shared" ref="D1297:D1360" si="202">IF($M1297&lt;&gt;"",IF(INDEX(CalcDocA,$M1297)="","—",INDEX(CalcDocA,$M1297)),IF($N1297&lt;&gt;"",INDEX(CalcBankB,$N1297),""))</f>
        <v/>
      </c>
      <c r="E1297" s="9" t="str">
        <f t="shared" ref="E1297:E1360" si="203">IF($N1297&lt;&gt;"",IF(INDEX(CalcDepB,$N1297)=0,"",INDEX(CalcDepB,$N1297)),"")</f>
        <v/>
      </c>
      <c r="F1297" s="9" t="str">
        <f t="shared" ref="F1297:F1360" si="204">IF($M1297&lt;&gt;"",IF(INDEX(CalcQtyA,$M1297)=0,"",INDEX(CalcQtyA,$M1297)),"")</f>
        <v/>
      </c>
      <c r="G1297" s="9" t="str">
        <f t="shared" ref="G1297:G1360" si="205">IF($M1297&lt;&gt;"",IF(INDEX(CalcPriceA,$M1297)=0,"",INDEX(CalcPriceA,$M1297)),"")</f>
        <v/>
      </c>
      <c r="H1297" s="9" t="str">
        <f t="shared" ref="H1297:H1360" si="206">IF($N1297&lt;&gt;"",IF(INDEX(CalcWitB,$N1297)=0,"",INDEX(CalcWitB,$N1297)),"")</f>
        <v/>
      </c>
      <c r="I1297" s="10" t="str">
        <f t="shared" ref="I1297:I1360" si="207">IF($M1297&lt;&gt;"",INDEX(CalcAmtA,$M1297),"")</f>
        <v/>
      </c>
      <c r="J1297" s="10" t="str">
        <f t="shared" si="199"/>
        <v/>
      </c>
      <c r="K1297" s="11" t="str">
        <f t="shared" ref="K1297:K1360" si="208">IF($M1297&lt;&gt;"",IF(INDEX(CalcNoteA,$M1297)="","—",INDEX(CalcNoteA,$M1297)),IF($N1297&lt;&gt;"",IF(INDEX(CalcNoteB,$N1297)="","—",INDEX(CalcNoteB,$N1297)),""))</f>
        <v/>
      </c>
      <c r="M1297" t="str">
        <f>IFERROR(MATCH($C$5&amp;"|"&amp;RIGHT("000000"&amp;1281,6),CalcRankKeyA,0),"")</f>
        <v/>
      </c>
      <c r="N1297" t="str">
        <f>IFERROR(MATCH($C$5&amp;"|"&amp;RIGHT("000000"&amp;1281,6),CalcRankKeyB,0),"")</f>
        <v/>
      </c>
    </row>
    <row r="1298" spans="1:14" x14ac:dyDescent="0.2">
      <c r="A1298" s="12">
        <v>1282</v>
      </c>
      <c r="B1298" s="13" t="str">
        <f t="shared" si="200"/>
        <v/>
      </c>
      <c r="C1298" s="13" t="str">
        <f t="shared" si="201"/>
        <v/>
      </c>
      <c r="D1298" s="13" t="str">
        <f t="shared" si="202"/>
        <v/>
      </c>
      <c r="E1298" s="14" t="str">
        <f t="shared" si="203"/>
        <v/>
      </c>
      <c r="F1298" s="14" t="str">
        <f t="shared" si="204"/>
        <v/>
      </c>
      <c r="G1298" s="14" t="str">
        <f t="shared" si="205"/>
        <v/>
      </c>
      <c r="H1298" s="14" t="str">
        <f t="shared" si="206"/>
        <v/>
      </c>
      <c r="I1298" s="15" t="str">
        <f t="shared" si="207"/>
        <v/>
      </c>
      <c r="J1298" s="15" t="str">
        <f t="shared" ref="J1298:J1361" si="209">IF($B1298="","",IF($J1297="",$C$8,$J1297)+IF($I1298="",0,$I1298)+IF($E1298="",0,$E1298)-IF($H1298="",0,$H1298))</f>
        <v/>
      </c>
      <c r="K1298" s="16" t="str">
        <f t="shared" si="208"/>
        <v/>
      </c>
      <c r="M1298" t="str">
        <f>IFERROR(MATCH($C$5&amp;"|"&amp;RIGHT("000000"&amp;1282,6),CalcRankKeyA,0),"")</f>
        <v/>
      </c>
      <c r="N1298" t="str">
        <f>IFERROR(MATCH($C$5&amp;"|"&amp;RIGHT("000000"&amp;1282,6),CalcRankKeyB,0),"")</f>
        <v/>
      </c>
    </row>
    <row r="1299" spans="1:14" x14ac:dyDescent="0.2">
      <c r="A1299" s="7">
        <v>1283</v>
      </c>
      <c r="B1299" s="8" t="str">
        <f t="shared" si="200"/>
        <v/>
      </c>
      <c r="C1299" s="8" t="str">
        <f t="shared" si="201"/>
        <v/>
      </c>
      <c r="D1299" s="8" t="str">
        <f t="shared" si="202"/>
        <v/>
      </c>
      <c r="E1299" s="9" t="str">
        <f t="shared" si="203"/>
        <v/>
      </c>
      <c r="F1299" s="9" t="str">
        <f t="shared" si="204"/>
        <v/>
      </c>
      <c r="G1299" s="9" t="str">
        <f t="shared" si="205"/>
        <v/>
      </c>
      <c r="H1299" s="9" t="str">
        <f t="shared" si="206"/>
        <v/>
      </c>
      <c r="I1299" s="10" t="str">
        <f t="shared" si="207"/>
        <v/>
      </c>
      <c r="J1299" s="10" t="str">
        <f t="shared" si="209"/>
        <v/>
      </c>
      <c r="K1299" s="11" t="str">
        <f t="shared" si="208"/>
        <v/>
      </c>
      <c r="M1299" t="str">
        <f>IFERROR(MATCH($C$5&amp;"|"&amp;RIGHT("000000"&amp;1283,6),CalcRankKeyA,0),"")</f>
        <v/>
      </c>
      <c r="N1299" t="str">
        <f>IFERROR(MATCH($C$5&amp;"|"&amp;RIGHT("000000"&amp;1283,6),CalcRankKeyB,0),"")</f>
        <v/>
      </c>
    </row>
    <row r="1300" spans="1:14" x14ac:dyDescent="0.2">
      <c r="A1300" s="12">
        <v>1284</v>
      </c>
      <c r="B1300" s="13" t="str">
        <f t="shared" si="200"/>
        <v/>
      </c>
      <c r="C1300" s="13" t="str">
        <f t="shared" si="201"/>
        <v/>
      </c>
      <c r="D1300" s="13" t="str">
        <f t="shared" si="202"/>
        <v/>
      </c>
      <c r="E1300" s="14" t="str">
        <f t="shared" si="203"/>
        <v/>
      </c>
      <c r="F1300" s="14" t="str">
        <f t="shared" si="204"/>
        <v/>
      </c>
      <c r="G1300" s="14" t="str">
        <f t="shared" si="205"/>
        <v/>
      </c>
      <c r="H1300" s="14" t="str">
        <f t="shared" si="206"/>
        <v/>
      </c>
      <c r="I1300" s="15" t="str">
        <f t="shared" si="207"/>
        <v/>
      </c>
      <c r="J1300" s="15" t="str">
        <f t="shared" si="209"/>
        <v/>
      </c>
      <c r="K1300" s="16" t="str">
        <f t="shared" si="208"/>
        <v/>
      </c>
      <c r="M1300" t="str">
        <f>IFERROR(MATCH($C$5&amp;"|"&amp;RIGHT("000000"&amp;1284,6),CalcRankKeyA,0),"")</f>
        <v/>
      </c>
      <c r="N1300" t="str">
        <f>IFERROR(MATCH($C$5&amp;"|"&amp;RIGHT("000000"&amp;1284,6),CalcRankKeyB,0),"")</f>
        <v/>
      </c>
    </row>
    <row r="1301" spans="1:14" x14ac:dyDescent="0.2">
      <c r="A1301" s="7">
        <v>1285</v>
      </c>
      <c r="B1301" s="8" t="str">
        <f t="shared" si="200"/>
        <v/>
      </c>
      <c r="C1301" s="8" t="str">
        <f t="shared" si="201"/>
        <v/>
      </c>
      <c r="D1301" s="8" t="str">
        <f t="shared" si="202"/>
        <v/>
      </c>
      <c r="E1301" s="9" t="str">
        <f t="shared" si="203"/>
        <v/>
      </c>
      <c r="F1301" s="9" t="str">
        <f t="shared" si="204"/>
        <v/>
      </c>
      <c r="G1301" s="9" t="str">
        <f t="shared" si="205"/>
        <v/>
      </c>
      <c r="H1301" s="9" t="str">
        <f t="shared" si="206"/>
        <v/>
      </c>
      <c r="I1301" s="10" t="str">
        <f t="shared" si="207"/>
        <v/>
      </c>
      <c r="J1301" s="10" t="str">
        <f t="shared" si="209"/>
        <v/>
      </c>
      <c r="K1301" s="11" t="str">
        <f t="shared" si="208"/>
        <v/>
      </c>
      <c r="M1301" t="str">
        <f>IFERROR(MATCH($C$5&amp;"|"&amp;RIGHT("000000"&amp;1285,6),CalcRankKeyA,0),"")</f>
        <v/>
      </c>
      <c r="N1301" t="str">
        <f>IFERROR(MATCH($C$5&amp;"|"&amp;RIGHT("000000"&amp;1285,6),CalcRankKeyB,0),"")</f>
        <v/>
      </c>
    </row>
    <row r="1302" spans="1:14" x14ac:dyDescent="0.2">
      <c r="A1302" s="12">
        <v>1286</v>
      </c>
      <c r="B1302" s="13" t="str">
        <f t="shared" si="200"/>
        <v/>
      </c>
      <c r="C1302" s="13" t="str">
        <f t="shared" si="201"/>
        <v/>
      </c>
      <c r="D1302" s="13" t="str">
        <f t="shared" si="202"/>
        <v/>
      </c>
      <c r="E1302" s="14" t="str">
        <f t="shared" si="203"/>
        <v/>
      </c>
      <c r="F1302" s="14" t="str">
        <f t="shared" si="204"/>
        <v/>
      </c>
      <c r="G1302" s="14" t="str">
        <f t="shared" si="205"/>
        <v/>
      </c>
      <c r="H1302" s="14" t="str">
        <f t="shared" si="206"/>
        <v/>
      </c>
      <c r="I1302" s="15" t="str">
        <f t="shared" si="207"/>
        <v/>
      </c>
      <c r="J1302" s="15" t="str">
        <f t="shared" si="209"/>
        <v/>
      </c>
      <c r="K1302" s="16" t="str">
        <f t="shared" si="208"/>
        <v/>
      </c>
      <c r="M1302" t="str">
        <f>IFERROR(MATCH($C$5&amp;"|"&amp;RIGHT("000000"&amp;1286,6),CalcRankKeyA,0),"")</f>
        <v/>
      </c>
      <c r="N1302" t="str">
        <f>IFERROR(MATCH($C$5&amp;"|"&amp;RIGHT("000000"&amp;1286,6),CalcRankKeyB,0),"")</f>
        <v/>
      </c>
    </row>
    <row r="1303" spans="1:14" x14ac:dyDescent="0.2">
      <c r="A1303" s="7">
        <v>1287</v>
      </c>
      <c r="B1303" s="8" t="str">
        <f t="shared" si="200"/>
        <v/>
      </c>
      <c r="C1303" s="8" t="str">
        <f t="shared" si="201"/>
        <v/>
      </c>
      <c r="D1303" s="8" t="str">
        <f t="shared" si="202"/>
        <v/>
      </c>
      <c r="E1303" s="9" t="str">
        <f t="shared" si="203"/>
        <v/>
      </c>
      <c r="F1303" s="9" t="str">
        <f t="shared" si="204"/>
        <v/>
      </c>
      <c r="G1303" s="9" t="str">
        <f t="shared" si="205"/>
        <v/>
      </c>
      <c r="H1303" s="9" t="str">
        <f t="shared" si="206"/>
        <v/>
      </c>
      <c r="I1303" s="10" t="str">
        <f t="shared" si="207"/>
        <v/>
      </c>
      <c r="J1303" s="10" t="str">
        <f t="shared" si="209"/>
        <v/>
      </c>
      <c r="K1303" s="11" t="str">
        <f t="shared" si="208"/>
        <v/>
      </c>
      <c r="M1303" t="str">
        <f>IFERROR(MATCH($C$5&amp;"|"&amp;RIGHT("000000"&amp;1287,6),CalcRankKeyA,0),"")</f>
        <v/>
      </c>
      <c r="N1303" t="str">
        <f>IFERROR(MATCH($C$5&amp;"|"&amp;RIGHT("000000"&amp;1287,6),CalcRankKeyB,0),"")</f>
        <v/>
      </c>
    </row>
    <row r="1304" spans="1:14" x14ac:dyDescent="0.2">
      <c r="A1304" s="12">
        <v>1288</v>
      </c>
      <c r="B1304" s="13" t="str">
        <f t="shared" si="200"/>
        <v/>
      </c>
      <c r="C1304" s="13" t="str">
        <f t="shared" si="201"/>
        <v/>
      </c>
      <c r="D1304" s="13" t="str">
        <f t="shared" si="202"/>
        <v/>
      </c>
      <c r="E1304" s="14" t="str">
        <f t="shared" si="203"/>
        <v/>
      </c>
      <c r="F1304" s="14" t="str">
        <f t="shared" si="204"/>
        <v/>
      </c>
      <c r="G1304" s="14" t="str">
        <f t="shared" si="205"/>
        <v/>
      </c>
      <c r="H1304" s="14" t="str">
        <f t="shared" si="206"/>
        <v/>
      </c>
      <c r="I1304" s="15" t="str">
        <f t="shared" si="207"/>
        <v/>
      </c>
      <c r="J1304" s="15" t="str">
        <f t="shared" si="209"/>
        <v/>
      </c>
      <c r="K1304" s="16" t="str">
        <f t="shared" si="208"/>
        <v/>
      </c>
      <c r="M1304" t="str">
        <f>IFERROR(MATCH($C$5&amp;"|"&amp;RIGHT("000000"&amp;1288,6),CalcRankKeyA,0),"")</f>
        <v/>
      </c>
      <c r="N1304" t="str">
        <f>IFERROR(MATCH($C$5&amp;"|"&amp;RIGHT("000000"&amp;1288,6),CalcRankKeyB,0),"")</f>
        <v/>
      </c>
    </row>
    <row r="1305" spans="1:14" x14ac:dyDescent="0.2">
      <c r="A1305" s="7">
        <v>1289</v>
      </c>
      <c r="B1305" s="8" t="str">
        <f t="shared" si="200"/>
        <v/>
      </c>
      <c r="C1305" s="8" t="str">
        <f t="shared" si="201"/>
        <v/>
      </c>
      <c r="D1305" s="8" t="str">
        <f t="shared" si="202"/>
        <v/>
      </c>
      <c r="E1305" s="9" t="str">
        <f t="shared" si="203"/>
        <v/>
      </c>
      <c r="F1305" s="9" t="str">
        <f t="shared" si="204"/>
        <v/>
      </c>
      <c r="G1305" s="9" t="str">
        <f t="shared" si="205"/>
        <v/>
      </c>
      <c r="H1305" s="9" t="str">
        <f t="shared" si="206"/>
        <v/>
      </c>
      <c r="I1305" s="10" t="str">
        <f t="shared" si="207"/>
        <v/>
      </c>
      <c r="J1305" s="10" t="str">
        <f t="shared" si="209"/>
        <v/>
      </c>
      <c r="K1305" s="11" t="str">
        <f t="shared" si="208"/>
        <v/>
      </c>
      <c r="M1305" t="str">
        <f>IFERROR(MATCH($C$5&amp;"|"&amp;RIGHT("000000"&amp;1289,6),CalcRankKeyA,0),"")</f>
        <v/>
      </c>
      <c r="N1305" t="str">
        <f>IFERROR(MATCH($C$5&amp;"|"&amp;RIGHT("000000"&amp;1289,6),CalcRankKeyB,0),"")</f>
        <v/>
      </c>
    </row>
    <row r="1306" spans="1:14" x14ac:dyDescent="0.2">
      <c r="A1306" s="12">
        <v>1290</v>
      </c>
      <c r="B1306" s="13" t="str">
        <f t="shared" si="200"/>
        <v/>
      </c>
      <c r="C1306" s="13" t="str">
        <f t="shared" si="201"/>
        <v/>
      </c>
      <c r="D1306" s="13" t="str">
        <f t="shared" si="202"/>
        <v/>
      </c>
      <c r="E1306" s="14" t="str">
        <f t="shared" si="203"/>
        <v/>
      </c>
      <c r="F1306" s="14" t="str">
        <f t="shared" si="204"/>
        <v/>
      </c>
      <c r="G1306" s="14" t="str">
        <f t="shared" si="205"/>
        <v/>
      </c>
      <c r="H1306" s="14" t="str">
        <f t="shared" si="206"/>
        <v/>
      </c>
      <c r="I1306" s="15" t="str">
        <f t="shared" si="207"/>
        <v/>
      </c>
      <c r="J1306" s="15" t="str">
        <f t="shared" si="209"/>
        <v/>
      </c>
      <c r="K1306" s="16" t="str">
        <f t="shared" si="208"/>
        <v/>
      </c>
      <c r="M1306" t="str">
        <f>IFERROR(MATCH($C$5&amp;"|"&amp;RIGHT("000000"&amp;1290,6),CalcRankKeyA,0),"")</f>
        <v/>
      </c>
      <c r="N1306" t="str">
        <f>IFERROR(MATCH($C$5&amp;"|"&amp;RIGHT("000000"&amp;1290,6),CalcRankKeyB,0),"")</f>
        <v/>
      </c>
    </row>
    <row r="1307" spans="1:14" x14ac:dyDescent="0.2">
      <c r="A1307" s="7">
        <v>1291</v>
      </c>
      <c r="B1307" s="8" t="str">
        <f t="shared" si="200"/>
        <v/>
      </c>
      <c r="C1307" s="8" t="str">
        <f t="shared" si="201"/>
        <v/>
      </c>
      <c r="D1307" s="8" t="str">
        <f t="shared" si="202"/>
        <v/>
      </c>
      <c r="E1307" s="9" t="str">
        <f t="shared" si="203"/>
        <v/>
      </c>
      <c r="F1307" s="9" t="str">
        <f t="shared" si="204"/>
        <v/>
      </c>
      <c r="G1307" s="9" t="str">
        <f t="shared" si="205"/>
        <v/>
      </c>
      <c r="H1307" s="9" t="str">
        <f t="shared" si="206"/>
        <v/>
      </c>
      <c r="I1307" s="10" t="str">
        <f t="shared" si="207"/>
        <v/>
      </c>
      <c r="J1307" s="10" t="str">
        <f t="shared" si="209"/>
        <v/>
      </c>
      <c r="K1307" s="11" t="str">
        <f t="shared" si="208"/>
        <v/>
      </c>
      <c r="M1307" t="str">
        <f>IFERROR(MATCH($C$5&amp;"|"&amp;RIGHT("000000"&amp;1291,6),CalcRankKeyA,0),"")</f>
        <v/>
      </c>
      <c r="N1307" t="str">
        <f>IFERROR(MATCH($C$5&amp;"|"&amp;RIGHT("000000"&amp;1291,6),CalcRankKeyB,0),"")</f>
        <v/>
      </c>
    </row>
    <row r="1308" spans="1:14" x14ac:dyDescent="0.2">
      <c r="A1308" s="12">
        <v>1292</v>
      </c>
      <c r="B1308" s="13" t="str">
        <f t="shared" si="200"/>
        <v/>
      </c>
      <c r="C1308" s="13" t="str">
        <f t="shared" si="201"/>
        <v/>
      </c>
      <c r="D1308" s="13" t="str">
        <f t="shared" si="202"/>
        <v/>
      </c>
      <c r="E1308" s="14" t="str">
        <f t="shared" si="203"/>
        <v/>
      </c>
      <c r="F1308" s="14" t="str">
        <f t="shared" si="204"/>
        <v/>
      </c>
      <c r="G1308" s="14" t="str">
        <f t="shared" si="205"/>
        <v/>
      </c>
      <c r="H1308" s="14" t="str">
        <f t="shared" si="206"/>
        <v/>
      </c>
      <c r="I1308" s="15" t="str">
        <f t="shared" si="207"/>
        <v/>
      </c>
      <c r="J1308" s="15" t="str">
        <f t="shared" si="209"/>
        <v/>
      </c>
      <c r="K1308" s="16" t="str">
        <f t="shared" si="208"/>
        <v/>
      </c>
      <c r="M1308" t="str">
        <f>IFERROR(MATCH($C$5&amp;"|"&amp;RIGHT("000000"&amp;1292,6),CalcRankKeyA,0),"")</f>
        <v/>
      </c>
      <c r="N1308" t="str">
        <f>IFERROR(MATCH($C$5&amp;"|"&amp;RIGHT("000000"&amp;1292,6),CalcRankKeyB,0),"")</f>
        <v/>
      </c>
    </row>
    <row r="1309" spans="1:14" x14ac:dyDescent="0.2">
      <c r="A1309" s="7">
        <v>1293</v>
      </c>
      <c r="B1309" s="8" t="str">
        <f t="shared" si="200"/>
        <v/>
      </c>
      <c r="C1309" s="8" t="str">
        <f t="shared" si="201"/>
        <v/>
      </c>
      <c r="D1309" s="8" t="str">
        <f t="shared" si="202"/>
        <v/>
      </c>
      <c r="E1309" s="9" t="str">
        <f t="shared" si="203"/>
        <v/>
      </c>
      <c r="F1309" s="9" t="str">
        <f t="shared" si="204"/>
        <v/>
      </c>
      <c r="G1309" s="9" t="str">
        <f t="shared" si="205"/>
        <v/>
      </c>
      <c r="H1309" s="9" t="str">
        <f t="shared" si="206"/>
        <v/>
      </c>
      <c r="I1309" s="10" t="str">
        <f t="shared" si="207"/>
        <v/>
      </c>
      <c r="J1309" s="10" t="str">
        <f t="shared" si="209"/>
        <v/>
      </c>
      <c r="K1309" s="11" t="str">
        <f t="shared" si="208"/>
        <v/>
      </c>
      <c r="M1309" t="str">
        <f>IFERROR(MATCH($C$5&amp;"|"&amp;RIGHT("000000"&amp;1293,6),CalcRankKeyA,0),"")</f>
        <v/>
      </c>
      <c r="N1309" t="str">
        <f>IFERROR(MATCH($C$5&amp;"|"&amp;RIGHT("000000"&amp;1293,6),CalcRankKeyB,0),"")</f>
        <v/>
      </c>
    </row>
    <row r="1310" spans="1:14" x14ac:dyDescent="0.2">
      <c r="A1310" s="12">
        <v>1294</v>
      </c>
      <c r="B1310" s="13" t="str">
        <f t="shared" si="200"/>
        <v/>
      </c>
      <c r="C1310" s="13" t="str">
        <f t="shared" si="201"/>
        <v/>
      </c>
      <c r="D1310" s="13" t="str">
        <f t="shared" si="202"/>
        <v/>
      </c>
      <c r="E1310" s="14" t="str">
        <f t="shared" si="203"/>
        <v/>
      </c>
      <c r="F1310" s="14" t="str">
        <f t="shared" si="204"/>
        <v/>
      </c>
      <c r="G1310" s="14" t="str">
        <f t="shared" si="205"/>
        <v/>
      </c>
      <c r="H1310" s="14" t="str">
        <f t="shared" si="206"/>
        <v/>
      </c>
      <c r="I1310" s="15" t="str">
        <f t="shared" si="207"/>
        <v/>
      </c>
      <c r="J1310" s="15" t="str">
        <f t="shared" si="209"/>
        <v/>
      </c>
      <c r="K1310" s="16" t="str">
        <f t="shared" si="208"/>
        <v/>
      </c>
      <c r="M1310" t="str">
        <f>IFERROR(MATCH($C$5&amp;"|"&amp;RIGHT("000000"&amp;1294,6),CalcRankKeyA,0),"")</f>
        <v/>
      </c>
      <c r="N1310" t="str">
        <f>IFERROR(MATCH($C$5&amp;"|"&amp;RIGHT("000000"&amp;1294,6),CalcRankKeyB,0),"")</f>
        <v/>
      </c>
    </row>
    <row r="1311" spans="1:14" x14ac:dyDescent="0.2">
      <c r="A1311" s="7">
        <v>1295</v>
      </c>
      <c r="B1311" s="8" t="str">
        <f t="shared" si="200"/>
        <v/>
      </c>
      <c r="C1311" s="8" t="str">
        <f t="shared" si="201"/>
        <v/>
      </c>
      <c r="D1311" s="8" t="str">
        <f t="shared" si="202"/>
        <v/>
      </c>
      <c r="E1311" s="9" t="str">
        <f t="shared" si="203"/>
        <v/>
      </c>
      <c r="F1311" s="9" t="str">
        <f t="shared" si="204"/>
        <v/>
      </c>
      <c r="G1311" s="9" t="str">
        <f t="shared" si="205"/>
        <v/>
      </c>
      <c r="H1311" s="9" t="str">
        <f t="shared" si="206"/>
        <v/>
      </c>
      <c r="I1311" s="10" t="str">
        <f t="shared" si="207"/>
        <v/>
      </c>
      <c r="J1311" s="10" t="str">
        <f t="shared" si="209"/>
        <v/>
      </c>
      <c r="K1311" s="11" t="str">
        <f t="shared" si="208"/>
        <v/>
      </c>
      <c r="M1311" t="str">
        <f>IFERROR(MATCH($C$5&amp;"|"&amp;RIGHT("000000"&amp;1295,6),CalcRankKeyA,0),"")</f>
        <v/>
      </c>
      <c r="N1311" t="str">
        <f>IFERROR(MATCH($C$5&amp;"|"&amp;RIGHT("000000"&amp;1295,6),CalcRankKeyB,0),"")</f>
        <v/>
      </c>
    </row>
    <row r="1312" spans="1:14" x14ac:dyDescent="0.2">
      <c r="A1312" s="12">
        <v>1296</v>
      </c>
      <c r="B1312" s="13" t="str">
        <f t="shared" si="200"/>
        <v/>
      </c>
      <c r="C1312" s="13" t="str">
        <f t="shared" si="201"/>
        <v/>
      </c>
      <c r="D1312" s="13" t="str">
        <f t="shared" si="202"/>
        <v/>
      </c>
      <c r="E1312" s="14" t="str">
        <f t="shared" si="203"/>
        <v/>
      </c>
      <c r="F1312" s="14" t="str">
        <f t="shared" si="204"/>
        <v/>
      </c>
      <c r="G1312" s="14" t="str">
        <f t="shared" si="205"/>
        <v/>
      </c>
      <c r="H1312" s="14" t="str">
        <f t="shared" si="206"/>
        <v/>
      </c>
      <c r="I1312" s="15" t="str">
        <f t="shared" si="207"/>
        <v/>
      </c>
      <c r="J1312" s="15" t="str">
        <f t="shared" si="209"/>
        <v/>
      </c>
      <c r="K1312" s="16" t="str">
        <f t="shared" si="208"/>
        <v/>
      </c>
      <c r="M1312" t="str">
        <f>IFERROR(MATCH($C$5&amp;"|"&amp;RIGHT("000000"&amp;1296,6),CalcRankKeyA,0),"")</f>
        <v/>
      </c>
      <c r="N1312" t="str">
        <f>IFERROR(MATCH($C$5&amp;"|"&amp;RIGHT("000000"&amp;1296,6),CalcRankKeyB,0),"")</f>
        <v/>
      </c>
    </row>
    <row r="1313" spans="1:14" x14ac:dyDescent="0.2">
      <c r="A1313" s="7">
        <v>1297</v>
      </c>
      <c r="B1313" s="8" t="str">
        <f t="shared" si="200"/>
        <v/>
      </c>
      <c r="C1313" s="8" t="str">
        <f t="shared" si="201"/>
        <v/>
      </c>
      <c r="D1313" s="8" t="str">
        <f t="shared" si="202"/>
        <v/>
      </c>
      <c r="E1313" s="9" t="str">
        <f t="shared" si="203"/>
        <v/>
      </c>
      <c r="F1313" s="9" t="str">
        <f t="shared" si="204"/>
        <v/>
      </c>
      <c r="G1313" s="9" t="str">
        <f t="shared" si="205"/>
        <v/>
      </c>
      <c r="H1313" s="9" t="str">
        <f t="shared" si="206"/>
        <v/>
      </c>
      <c r="I1313" s="10" t="str">
        <f t="shared" si="207"/>
        <v/>
      </c>
      <c r="J1313" s="10" t="str">
        <f t="shared" si="209"/>
        <v/>
      </c>
      <c r="K1313" s="11" t="str">
        <f t="shared" si="208"/>
        <v/>
      </c>
      <c r="M1313" t="str">
        <f>IFERROR(MATCH($C$5&amp;"|"&amp;RIGHT("000000"&amp;1297,6),CalcRankKeyA,0),"")</f>
        <v/>
      </c>
      <c r="N1313" t="str">
        <f>IFERROR(MATCH($C$5&amp;"|"&amp;RIGHT("000000"&amp;1297,6),CalcRankKeyB,0),"")</f>
        <v/>
      </c>
    </row>
    <row r="1314" spans="1:14" x14ac:dyDescent="0.2">
      <c r="A1314" s="12">
        <v>1298</v>
      </c>
      <c r="B1314" s="13" t="str">
        <f t="shared" si="200"/>
        <v/>
      </c>
      <c r="C1314" s="13" t="str">
        <f t="shared" si="201"/>
        <v/>
      </c>
      <c r="D1314" s="13" t="str">
        <f t="shared" si="202"/>
        <v/>
      </c>
      <c r="E1314" s="14" t="str">
        <f t="shared" si="203"/>
        <v/>
      </c>
      <c r="F1314" s="14" t="str">
        <f t="shared" si="204"/>
        <v/>
      </c>
      <c r="G1314" s="14" t="str">
        <f t="shared" si="205"/>
        <v/>
      </c>
      <c r="H1314" s="14" t="str">
        <f t="shared" si="206"/>
        <v/>
      </c>
      <c r="I1314" s="15" t="str">
        <f t="shared" si="207"/>
        <v/>
      </c>
      <c r="J1314" s="15" t="str">
        <f t="shared" si="209"/>
        <v/>
      </c>
      <c r="K1314" s="16" t="str">
        <f t="shared" si="208"/>
        <v/>
      </c>
      <c r="M1314" t="str">
        <f>IFERROR(MATCH($C$5&amp;"|"&amp;RIGHT("000000"&amp;1298,6),CalcRankKeyA,0),"")</f>
        <v/>
      </c>
      <c r="N1314" t="str">
        <f>IFERROR(MATCH($C$5&amp;"|"&amp;RIGHT("000000"&amp;1298,6),CalcRankKeyB,0),"")</f>
        <v/>
      </c>
    </row>
    <row r="1315" spans="1:14" x14ac:dyDescent="0.2">
      <c r="A1315" s="7">
        <v>1299</v>
      </c>
      <c r="B1315" s="8" t="str">
        <f t="shared" si="200"/>
        <v/>
      </c>
      <c r="C1315" s="8" t="str">
        <f t="shared" si="201"/>
        <v/>
      </c>
      <c r="D1315" s="8" t="str">
        <f t="shared" si="202"/>
        <v/>
      </c>
      <c r="E1315" s="9" t="str">
        <f t="shared" si="203"/>
        <v/>
      </c>
      <c r="F1315" s="9" t="str">
        <f t="shared" si="204"/>
        <v/>
      </c>
      <c r="G1315" s="9" t="str">
        <f t="shared" si="205"/>
        <v/>
      </c>
      <c r="H1315" s="9" t="str">
        <f t="shared" si="206"/>
        <v/>
      </c>
      <c r="I1315" s="10" t="str">
        <f t="shared" si="207"/>
        <v/>
      </c>
      <c r="J1315" s="10" t="str">
        <f t="shared" si="209"/>
        <v/>
      </c>
      <c r="K1315" s="11" t="str">
        <f t="shared" si="208"/>
        <v/>
      </c>
      <c r="M1315" t="str">
        <f>IFERROR(MATCH($C$5&amp;"|"&amp;RIGHT("000000"&amp;1299,6),CalcRankKeyA,0),"")</f>
        <v/>
      </c>
      <c r="N1315" t="str">
        <f>IFERROR(MATCH($C$5&amp;"|"&amp;RIGHT("000000"&amp;1299,6),CalcRankKeyB,0),"")</f>
        <v/>
      </c>
    </row>
    <row r="1316" spans="1:14" x14ac:dyDescent="0.2">
      <c r="A1316" s="12">
        <v>1300</v>
      </c>
      <c r="B1316" s="13" t="str">
        <f t="shared" si="200"/>
        <v/>
      </c>
      <c r="C1316" s="13" t="str">
        <f t="shared" si="201"/>
        <v/>
      </c>
      <c r="D1316" s="13" t="str">
        <f t="shared" si="202"/>
        <v/>
      </c>
      <c r="E1316" s="14" t="str">
        <f t="shared" si="203"/>
        <v/>
      </c>
      <c r="F1316" s="14" t="str">
        <f t="shared" si="204"/>
        <v/>
      </c>
      <c r="G1316" s="14" t="str">
        <f t="shared" si="205"/>
        <v/>
      </c>
      <c r="H1316" s="14" t="str">
        <f t="shared" si="206"/>
        <v/>
      </c>
      <c r="I1316" s="15" t="str">
        <f t="shared" si="207"/>
        <v/>
      </c>
      <c r="J1316" s="15" t="str">
        <f t="shared" si="209"/>
        <v/>
      </c>
      <c r="K1316" s="16" t="str">
        <f t="shared" si="208"/>
        <v/>
      </c>
      <c r="M1316" t="str">
        <f>IFERROR(MATCH($C$5&amp;"|"&amp;RIGHT("000000"&amp;1300,6),CalcRankKeyA,0),"")</f>
        <v/>
      </c>
      <c r="N1316" t="str">
        <f>IFERROR(MATCH($C$5&amp;"|"&amp;RIGHT("000000"&amp;1300,6),CalcRankKeyB,0),"")</f>
        <v/>
      </c>
    </row>
    <row r="1317" spans="1:14" x14ac:dyDescent="0.2">
      <c r="A1317" s="7">
        <v>1301</v>
      </c>
      <c r="B1317" s="8" t="str">
        <f t="shared" si="200"/>
        <v/>
      </c>
      <c r="C1317" s="8" t="str">
        <f t="shared" si="201"/>
        <v/>
      </c>
      <c r="D1317" s="8" t="str">
        <f t="shared" si="202"/>
        <v/>
      </c>
      <c r="E1317" s="9" t="str">
        <f t="shared" si="203"/>
        <v/>
      </c>
      <c r="F1317" s="9" t="str">
        <f t="shared" si="204"/>
        <v/>
      </c>
      <c r="G1317" s="9" t="str">
        <f t="shared" si="205"/>
        <v/>
      </c>
      <c r="H1317" s="9" t="str">
        <f t="shared" si="206"/>
        <v/>
      </c>
      <c r="I1317" s="10" t="str">
        <f t="shared" si="207"/>
        <v/>
      </c>
      <c r="J1317" s="10" t="str">
        <f t="shared" si="209"/>
        <v/>
      </c>
      <c r="K1317" s="11" t="str">
        <f t="shared" si="208"/>
        <v/>
      </c>
      <c r="M1317" t="str">
        <f>IFERROR(MATCH($C$5&amp;"|"&amp;RIGHT("000000"&amp;1301,6),CalcRankKeyA,0),"")</f>
        <v/>
      </c>
      <c r="N1317" t="str">
        <f>IFERROR(MATCH($C$5&amp;"|"&amp;RIGHT("000000"&amp;1301,6),CalcRankKeyB,0),"")</f>
        <v/>
      </c>
    </row>
    <row r="1318" spans="1:14" x14ac:dyDescent="0.2">
      <c r="A1318" s="12">
        <v>1302</v>
      </c>
      <c r="B1318" s="13" t="str">
        <f t="shared" si="200"/>
        <v/>
      </c>
      <c r="C1318" s="13" t="str">
        <f t="shared" si="201"/>
        <v/>
      </c>
      <c r="D1318" s="13" t="str">
        <f t="shared" si="202"/>
        <v/>
      </c>
      <c r="E1318" s="14" t="str">
        <f t="shared" si="203"/>
        <v/>
      </c>
      <c r="F1318" s="14" t="str">
        <f t="shared" si="204"/>
        <v/>
      </c>
      <c r="G1318" s="14" t="str">
        <f t="shared" si="205"/>
        <v/>
      </c>
      <c r="H1318" s="14" t="str">
        <f t="shared" si="206"/>
        <v/>
      </c>
      <c r="I1318" s="15" t="str">
        <f t="shared" si="207"/>
        <v/>
      </c>
      <c r="J1318" s="15" t="str">
        <f t="shared" si="209"/>
        <v/>
      </c>
      <c r="K1318" s="16" t="str">
        <f t="shared" si="208"/>
        <v/>
      </c>
      <c r="M1318" t="str">
        <f>IFERROR(MATCH($C$5&amp;"|"&amp;RIGHT("000000"&amp;1302,6),CalcRankKeyA,0),"")</f>
        <v/>
      </c>
      <c r="N1318" t="str">
        <f>IFERROR(MATCH($C$5&amp;"|"&amp;RIGHT("000000"&amp;1302,6),CalcRankKeyB,0),"")</f>
        <v/>
      </c>
    </row>
    <row r="1319" spans="1:14" x14ac:dyDescent="0.2">
      <c r="A1319" s="7">
        <v>1303</v>
      </c>
      <c r="B1319" s="8" t="str">
        <f t="shared" si="200"/>
        <v/>
      </c>
      <c r="C1319" s="8" t="str">
        <f t="shared" si="201"/>
        <v/>
      </c>
      <c r="D1319" s="8" t="str">
        <f t="shared" si="202"/>
        <v/>
      </c>
      <c r="E1319" s="9" t="str">
        <f t="shared" si="203"/>
        <v/>
      </c>
      <c r="F1319" s="9" t="str">
        <f t="shared" si="204"/>
        <v/>
      </c>
      <c r="G1319" s="9" t="str">
        <f t="shared" si="205"/>
        <v/>
      </c>
      <c r="H1319" s="9" t="str">
        <f t="shared" si="206"/>
        <v/>
      </c>
      <c r="I1319" s="10" t="str">
        <f t="shared" si="207"/>
        <v/>
      </c>
      <c r="J1319" s="10" t="str">
        <f t="shared" si="209"/>
        <v/>
      </c>
      <c r="K1319" s="11" t="str">
        <f t="shared" si="208"/>
        <v/>
      </c>
      <c r="M1319" t="str">
        <f>IFERROR(MATCH($C$5&amp;"|"&amp;RIGHT("000000"&amp;1303,6),CalcRankKeyA,0),"")</f>
        <v/>
      </c>
      <c r="N1319" t="str">
        <f>IFERROR(MATCH($C$5&amp;"|"&amp;RIGHT("000000"&amp;1303,6),CalcRankKeyB,0),"")</f>
        <v/>
      </c>
    </row>
    <row r="1320" spans="1:14" x14ac:dyDescent="0.2">
      <c r="A1320" s="12">
        <v>1304</v>
      </c>
      <c r="B1320" s="13" t="str">
        <f t="shared" si="200"/>
        <v/>
      </c>
      <c r="C1320" s="13" t="str">
        <f t="shared" si="201"/>
        <v/>
      </c>
      <c r="D1320" s="13" t="str">
        <f t="shared" si="202"/>
        <v/>
      </c>
      <c r="E1320" s="14" t="str">
        <f t="shared" si="203"/>
        <v/>
      </c>
      <c r="F1320" s="14" t="str">
        <f t="shared" si="204"/>
        <v/>
      </c>
      <c r="G1320" s="14" t="str">
        <f t="shared" si="205"/>
        <v/>
      </c>
      <c r="H1320" s="14" t="str">
        <f t="shared" si="206"/>
        <v/>
      </c>
      <c r="I1320" s="15" t="str">
        <f t="shared" si="207"/>
        <v/>
      </c>
      <c r="J1320" s="15" t="str">
        <f t="shared" si="209"/>
        <v/>
      </c>
      <c r="K1320" s="16" t="str">
        <f t="shared" si="208"/>
        <v/>
      </c>
      <c r="M1320" t="str">
        <f>IFERROR(MATCH($C$5&amp;"|"&amp;RIGHT("000000"&amp;1304,6),CalcRankKeyA,0),"")</f>
        <v/>
      </c>
      <c r="N1320" t="str">
        <f>IFERROR(MATCH($C$5&amp;"|"&amp;RIGHT("000000"&amp;1304,6),CalcRankKeyB,0),"")</f>
        <v/>
      </c>
    </row>
    <row r="1321" spans="1:14" x14ac:dyDescent="0.2">
      <c r="A1321" s="7">
        <v>1305</v>
      </c>
      <c r="B1321" s="8" t="str">
        <f t="shared" si="200"/>
        <v/>
      </c>
      <c r="C1321" s="8" t="str">
        <f t="shared" si="201"/>
        <v/>
      </c>
      <c r="D1321" s="8" t="str">
        <f t="shared" si="202"/>
        <v/>
      </c>
      <c r="E1321" s="9" t="str">
        <f t="shared" si="203"/>
        <v/>
      </c>
      <c r="F1321" s="9" t="str">
        <f t="shared" si="204"/>
        <v/>
      </c>
      <c r="G1321" s="9" t="str">
        <f t="shared" si="205"/>
        <v/>
      </c>
      <c r="H1321" s="9" t="str">
        <f t="shared" si="206"/>
        <v/>
      </c>
      <c r="I1321" s="10" t="str">
        <f t="shared" si="207"/>
        <v/>
      </c>
      <c r="J1321" s="10" t="str">
        <f t="shared" si="209"/>
        <v/>
      </c>
      <c r="K1321" s="11" t="str">
        <f t="shared" si="208"/>
        <v/>
      </c>
      <c r="M1321" t="str">
        <f>IFERROR(MATCH($C$5&amp;"|"&amp;RIGHT("000000"&amp;1305,6),CalcRankKeyA,0),"")</f>
        <v/>
      </c>
      <c r="N1321" t="str">
        <f>IFERROR(MATCH($C$5&amp;"|"&amp;RIGHT("000000"&amp;1305,6),CalcRankKeyB,0),"")</f>
        <v/>
      </c>
    </row>
    <row r="1322" spans="1:14" x14ac:dyDescent="0.2">
      <c r="A1322" s="12">
        <v>1306</v>
      </c>
      <c r="B1322" s="13" t="str">
        <f t="shared" si="200"/>
        <v/>
      </c>
      <c r="C1322" s="13" t="str">
        <f t="shared" si="201"/>
        <v/>
      </c>
      <c r="D1322" s="13" t="str">
        <f t="shared" si="202"/>
        <v/>
      </c>
      <c r="E1322" s="14" t="str">
        <f t="shared" si="203"/>
        <v/>
      </c>
      <c r="F1322" s="14" t="str">
        <f t="shared" si="204"/>
        <v/>
      </c>
      <c r="G1322" s="14" t="str">
        <f t="shared" si="205"/>
        <v/>
      </c>
      <c r="H1322" s="14" t="str">
        <f t="shared" si="206"/>
        <v/>
      </c>
      <c r="I1322" s="15" t="str">
        <f t="shared" si="207"/>
        <v/>
      </c>
      <c r="J1322" s="15" t="str">
        <f t="shared" si="209"/>
        <v/>
      </c>
      <c r="K1322" s="16" t="str">
        <f t="shared" si="208"/>
        <v/>
      </c>
      <c r="M1322" t="str">
        <f>IFERROR(MATCH($C$5&amp;"|"&amp;RIGHT("000000"&amp;1306,6),CalcRankKeyA,0),"")</f>
        <v/>
      </c>
      <c r="N1322" t="str">
        <f>IFERROR(MATCH($C$5&amp;"|"&amp;RIGHT("000000"&amp;1306,6),CalcRankKeyB,0),"")</f>
        <v/>
      </c>
    </row>
    <row r="1323" spans="1:14" x14ac:dyDescent="0.2">
      <c r="A1323" s="7">
        <v>1307</v>
      </c>
      <c r="B1323" s="8" t="str">
        <f t="shared" si="200"/>
        <v/>
      </c>
      <c r="C1323" s="8" t="str">
        <f t="shared" si="201"/>
        <v/>
      </c>
      <c r="D1323" s="8" t="str">
        <f t="shared" si="202"/>
        <v/>
      </c>
      <c r="E1323" s="9" t="str">
        <f t="shared" si="203"/>
        <v/>
      </c>
      <c r="F1323" s="9" t="str">
        <f t="shared" si="204"/>
        <v/>
      </c>
      <c r="G1323" s="9" t="str">
        <f t="shared" si="205"/>
        <v/>
      </c>
      <c r="H1323" s="9" t="str">
        <f t="shared" si="206"/>
        <v/>
      </c>
      <c r="I1323" s="10" t="str">
        <f t="shared" si="207"/>
        <v/>
      </c>
      <c r="J1323" s="10" t="str">
        <f t="shared" si="209"/>
        <v/>
      </c>
      <c r="K1323" s="11" t="str">
        <f t="shared" si="208"/>
        <v/>
      </c>
      <c r="M1323" t="str">
        <f>IFERROR(MATCH($C$5&amp;"|"&amp;RIGHT("000000"&amp;1307,6),CalcRankKeyA,0),"")</f>
        <v/>
      </c>
      <c r="N1323" t="str">
        <f>IFERROR(MATCH($C$5&amp;"|"&amp;RIGHT("000000"&amp;1307,6),CalcRankKeyB,0),"")</f>
        <v/>
      </c>
    </row>
    <row r="1324" spans="1:14" x14ac:dyDescent="0.2">
      <c r="A1324" s="12">
        <v>1308</v>
      </c>
      <c r="B1324" s="13" t="str">
        <f t="shared" si="200"/>
        <v/>
      </c>
      <c r="C1324" s="13" t="str">
        <f t="shared" si="201"/>
        <v/>
      </c>
      <c r="D1324" s="13" t="str">
        <f t="shared" si="202"/>
        <v/>
      </c>
      <c r="E1324" s="14" t="str">
        <f t="shared" si="203"/>
        <v/>
      </c>
      <c r="F1324" s="14" t="str">
        <f t="shared" si="204"/>
        <v/>
      </c>
      <c r="G1324" s="14" t="str">
        <f t="shared" si="205"/>
        <v/>
      </c>
      <c r="H1324" s="14" t="str">
        <f t="shared" si="206"/>
        <v/>
      </c>
      <c r="I1324" s="15" t="str">
        <f t="shared" si="207"/>
        <v/>
      </c>
      <c r="J1324" s="15" t="str">
        <f t="shared" si="209"/>
        <v/>
      </c>
      <c r="K1324" s="16" t="str">
        <f t="shared" si="208"/>
        <v/>
      </c>
      <c r="M1324" t="str">
        <f>IFERROR(MATCH($C$5&amp;"|"&amp;RIGHT("000000"&amp;1308,6),CalcRankKeyA,0),"")</f>
        <v/>
      </c>
      <c r="N1324" t="str">
        <f>IFERROR(MATCH($C$5&amp;"|"&amp;RIGHT("000000"&amp;1308,6),CalcRankKeyB,0),"")</f>
        <v/>
      </c>
    </row>
    <row r="1325" spans="1:14" x14ac:dyDescent="0.2">
      <c r="A1325" s="7">
        <v>1309</v>
      </c>
      <c r="B1325" s="8" t="str">
        <f t="shared" si="200"/>
        <v/>
      </c>
      <c r="C1325" s="8" t="str">
        <f t="shared" si="201"/>
        <v/>
      </c>
      <c r="D1325" s="8" t="str">
        <f t="shared" si="202"/>
        <v/>
      </c>
      <c r="E1325" s="9" t="str">
        <f t="shared" si="203"/>
        <v/>
      </c>
      <c r="F1325" s="9" t="str">
        <f t="shared" si="204"/>
        <v/>
      </c>
      <c r="G1325" s="9" t="str">
        <f t="shared" si="205"/>
        <v/>
      </c>
      <c r="H1325" s="9" t="str">
        <f t="shared" si="206"/>
        <v/>
      </c>
      <c r="I1325" s="10" t="str">
        <f t="shared" si="207"/>
        <v/>
      </c>
      <c r="J1325" s="10" t="str">
        <f t="shared" si="209"/>
        <v/>
      </c>
      <c r="K1325" s="11" t="str">
        <f t="shared" si="208"/>
        <v/>
      </c>
      <c r="M1325" t="str">
        <f>IFERROR(MATCH($C$5&amp;"|"&amp;RIGHT("000000"&amp;1309,6),CalcRankKeyA,0),"")</f>
        <v/>
      </c>
      <c r="N1325" t="str">
        <f>IFERROR(MATCH($C$5&amp;"|"&amp;RIGHT("000000"&amp;1309,6),CalcRankKeyB,0),"")</f>
        <v/>
      </c>
    </row>
    <row r="1326" spans="1:14" x14ac:dyDescent="0.2">
      <c r="A1326" s="12">
        <v>1310</v>
      </c>
      <c r="B1326" s="13" t="str">
        <f t="shared" si="200"/>
        <v/>
      </c>
      <c r="C1326" s="13" t="str">
        <f t="shared" si="201"/>
        <v/>
      </c>
      <c r="D1326" s="13" t="str">
        <f t="shared" si="202"/>
        <v/>
      </c>
      <c r="E1326" s="14" t="str">
        <f t="shared" si="203"/>
        <v/>
      </c>
      <c r="F1326" s="14" t="str">
        <f t="shared" si="204"/>
        <v/>
      </c>
      <c r="G1326" s="14" t="str">
        <f t="shared" si="205"/>
        <v/>
      </c>
      <c r="H1326" s="14" t="str">
        <f t="shared" si="206"/>
        <v/>
      </c>
      <c r="I1326" s="15" t="str">
        <f t="shared" si="207"/>
        <v/>
      </c>
      <c r="J1326" s="15" t="str">
        <f t="shared" si="209"/>
        <v/>
      </c>
      <c r="K1326" s="16" t="str">
        <f t="shared" si="208"/>
        <v/>
      </c>
      <c r="M1326" t="str">
        <f>IFERROR(MATCH($C$5&amp;"|"&amp;RIGHT("000000"&amp;1310,6),CalcRankKeyA,0),"")</f>
        <v/>
      </c>
      <c r="N1326" t="str">
        <f>IFERROR(MATCH($C$5&amp;"|"&amp;RIGHT("000000"&amp;1310,6),CalcRankKeyB,0),"")</f>
        <v/>
      </c>
    </row>
    <row r="1327" spans="1:14" x14ac:dyDescent="0.2">
      <c r="A1327" s="7">
        <v>1311</v>
      </c>
      <c r="B1327" s="8" t="str">
        <f t="shared" si="200"/>
        <v/>
      </c>
      <c r="C1327" s="8" t="str">
        <f t="shared" si="201"/>
        <v/>
      </c>
      <c r="D1327" s="8" t="str">
        <f t="shared" si="202"/>
        <v/>
      </c>
      <c r="E1327" s="9" t="str">
        <f t="shared" si="203"/>
        <v/>
      </c>
      <c r="F1327" s="9" t="str">
        <f t="shared" si="204"/>
        <v/>
      </c>
      <c r="G1327" s="9" t="str">
        <f t="shared" si="205"/>
        <v/>
      </c>
      <c r="H1327" s="9" t="str">
        <f t="shared" si="206"/>
        <v/>
      </c>
      <c r="I1327" s="10" t="str">
        <f t="shared" si="207"/>
        <v/>
      </c>
      <c r="J1327" s="10" t="str">
        <f t="shared" si="209"/>
        <v/>
      </c>
      <c r="K1327" s="11" t="str">
        <f t="shared" si="208"/>
        <v/>
      </c>
      <c r="M1327" t="str">
        <f>IFERROR(MATCH($C$5&amp;"|"&amp;RIGHT("000000"&amp;1311,6),CalcRankKeyA,0),"")</f>
        <v/>
      </c>
      <c r="N1327" t="str">
        <f>IFERROR(MATCH($C$5&amp;"|"&amp;RIGHT("000000"&amp;1311,6),CalcRankKeyB,0),"")</f>
        <v/>
      </c>
    </row>
    <row r="1328" spans="1:14" x14ac:dyDescent="0.2">
      <c r="A1328" s="12">
        <v>1312</v>
      </c>
      <c r="B1328" s="13" t="str">
        <f t="shared" si="200"/>
        <v/>
      </c>
      <c r="C1328" s="13" t="str">
        <f t="shared" si="201"/>
        <v/>
      </c>
      <c r="D1328" s="13" t="str">
        <f t="shared" si="202"/>
        <v/>
      </c>
      <c r="E1328" s="14" t="str">
        <f t="shared" si="203"/>
        <v/>
      </c>
      <c r="F1328" s="14" t="str">
        <f t="shared" si="204"/>
        <v/>
      </c>
      <c r="G1328" s="14" t="str">
        <f t="shared" si="205"/>
        <v/>
      </c>
      <c r="H1328" s="14" t="str">
        <f t="shared" si="206"/>
        <v/>
      </c>
      <c r="I1328" s="15" t="str">
        <f t="shared" si="207"/>
        <v/>
      </c>
      <c r="J1328" s="15" t="str">
        <f t="shared" si="209"/>
        <v/>
      </c>
      <c r="K1328" s="16" t="str">
        <f t="shared" si="208"/>
        <v/>
      </c>
      <c r="M1328" t="str">
        <f>IFERROR(MATCH($C$5&amp;"|"&amp;RIGHT("000000"&amp;1312,6),CalcRankKeyA,0),"")</f>
        <v/>
      </c>
      <c r="N1328" t="str">
        <f>IFERROR(MATCH($C$5&amp;"|"&amp;RIGHT("000000"&amp;1312,6),CalcRankKeyB,0),"")</f>
        <v/>
      </c>
    </row>
    <row r="1329" spans="1:14" x14ac:dyDescent="0.2">
      <c r="A1329" s="7">
        <v>1313</v>
      </c>
      <c r="B1329" s="8" t="str">
        <f t="shared" si="200"/>
        <v/>
      </c>
      <c r="C1329" s="8" t="str">
        <f t="shared" si="201"/>
        <v/>
      </c>
      <c r="D1329" s="8" t="str">
        <f t="shared" si="202"/>
        <v/>
      </c>
      <c r="E1329" s="9" t="str">
        <f t="shared" si="203"/>
        <v/>
      </c>
      <c r="F1329" s="9" t="str">
        <f t="shared" si="204"/>
        <v/>
      </c>
      <c r="G1329" s="9" t="str">
        <f t="shared" si="205"/>
        <v/>
      </c>
      <c r="H1329" s="9" t="str">
        <f t="shared" si="206"/>
        <v/>
      </c>
      <c r="I1329" s="10" t="str">
        <f t="shared" si="207"/>
        <v/>
      </c>
      <c r="J1329" s="10" t="str">
        <f t="shared" si="209"/>
        <v/>
      </c>
      <c r="K1329" s="11" t="str">
        <f t="shared" si="208"/>
        <v/>
      </c>
      <c r="M1329" t="str">
        <f>IFERROR(MATCH($C$5&amp;"|"&amp;RIGHT("000000"&amp;1313,6),CalcRankKeyA,0),"")</f>
        <v/>
      </c>
      <c r="N1329" t="str">
        <f>IFERROR(MATCH($C$5&amp;"|"&amp;RIGHT("000000"&amp;1313,6),CalcRankKeyB,0),"")</f>
        <v/>
      </c>
    </row>
    <row r="1330" spans="1:14" x14ac:dyDescent="0.2">
      <c r="A1330" s="12">
        <v>1314</v>
      </c>
      <c r="B1330" s="13" t="str">
        <f t="shared" si="200"/>
        <v/>
      </c>
      <c r="C1330" s="13" t="str">
        <f t="shared" si="201"/>
        <v/>
      </c>
      <c r="D1330" s="13" t="str">
        <f t="shared" si="202"/>
        <v/>
      </c>
      <c r="E1330" s="14" t="str">
        <f t="shared" si="203"/>
        <v/>
      </c>
      <c r="F1330" s="14" t="str">
        <f t="shared" si="204"/>
        <v/>
      </c>
      <c r="G1330" s="14" t="str">
        <f t="shared" si="205"/>
        <v/>
      </c>
      <c r="H1330" s="14" t="str">
        <f t="shared" si="206"/>
        <v/>
      </c>
      <c r="I1330" s="15" t="str">
        <f t="shared" si="207"/>
        <v/>
      </c>
      <c r="J1330" s="15" t="str">
        <f t="shared" si="209"/>
        <v/>
      </c>
      <c r="K1330" s="16" t="str">
        <f t="shared" si="208"/>
        <v/>
      </c>
      <c r="M1330" t="str">
        <f>IFERROR(MATCH($C$5&amp;"|"&amp;RIGHT("000000"&amp;1314,6),CalcRankKeyA,0),"")</f>
        <v/>
      </c>
      <c r="N1330" t="str">
        <f>IFERROR(MATCH($C$5&amp;"|"&amp;RIGHT("000000"&amp;1314,6),CalcRankKeyB,0),"")</f>
        <v/>
      </c>
    </row>
    <row r="1331" spans="1:14" x14ac:dyDescent="0.2">
      <c r="A1331" s="7">
        <v>1315</v>
      </c>
      <c r="B1331" s="8" t="str">
        <f t="shared" si="200"/>
        <v/>
      </c>
      <c r="C1331" s="8" t="str">
        <f t="shared" si="201"/>
        <v/>
      </c>
      <c r="D1331" s="8" t="str">
        <f t="shared" si="202"/>
        <v/>
      </c>
      <c r="E1331" s="9" t="str">
        <f t="shared" si="203"/>
        <v/>
      </c>
      <c r="F1331" s="9" t="str">
        <f t="shared" si="204"/>
        <v/>
      </c>
      <c r="G1331" s="9" t="str">
        <f t="shared" si="205"/>
        <v/>
      </c>
      <c r="H1331" s="9" t="str">
        <f t="shared" si="206"/>
        <v/>
      </c>
      <c r="I1331" s="10" t="str">
        <f t="shared" si="207"/>
        <v/>
      </c>
      <c r="J1331" s="10" t="str">
        <f t="shared" si="209"/>
        <v/>
      </c>
      <c r="K1331" s="11" t="str">
        <f t="shared" si="208"/>
        <v/>
      </c>
      <c r="M1331" t="str">
        <f>IFERROR(MATCH($C$5&amp;"|"&amp;RIGHT("000000"&amp;1315,6),CalcRankKeyA,0),"")</f>
        <v/>
      </c>
      <c r="N1331" t="str">
        <f>IFERROR(MATCH($C$5&amp;"|"&amp;RIGHT("000000"&amp;1315,6),CalcRankKeyB,0),"")</f>
        <v/>
      </c>
    </row>
    <row r="1332" spans="1:14" x14ac:dyDescent="0.2">
      <c r="A1332" s="12">
        <v>1316</v>
      </c>
      <c r="B1332" s="13" t="str">
        <f t="shared" si="200"/>
        <v/>
      </c>
      <c r="C1332" s="13" t="str">
        <f t="shared" si="201"/>
        <v/>
      </c>
      <c r="D1332" s="13" t="str">
        <f t="shared" si="202"/>
        <v/>
      </c>
      <c r="E1332" s="14" t="str">
        <f t="shared" si="203"/>
        <v/>
      </c>
      <c r="F1332" s="14" t="str">
        <f t="shared" si="204"/>
        <v/>
      </c>
      <c r="G1332" s="14" t="str">
        <f t="shared" si="205"/>
        <v/>
      </c>
      <c r="H1332" s="14" t="str">
        <f t="shared" si="206"/>
        <v/>
      </c>
      <c r="I1332" s="15" t="str">
        <f t="shared" si="207"/>
        <v/>
      </c>
      <c r="J1332" s="15" t="str">
        <f t="shared" si="209"/>
        <v/>
      </c>
      <c r="K1332" s="16" t="str">
        <f t="shared" si="208"/>
        <v/>
      </c>
      <c r="M1332" t="str">
        <f>IFERROR(MATCH($C$5&amp;"|"&amp;RIGHT("000000"&amp;1316,6),CalcRankKeyA,0),"")</f>
        <v/>
      </c>
      <c r="N1332" t="str">
        <f>IFERROR(MATCH($C$5&amp;"|"&amp;RIGHT("000000"&amp;1316,6),CalcRankKeyB,0),"")</f>
        <v/>
      </c>
    </row>
    <row r="1333" spans="1:14" x14ac:dyDescent="0.2">
      <c r="A1333" s="7">
        <v>1317</v>
      </c>
      <c r="B1333" s="8" t="str">
        <f t="shared" si="200"/>
        <v/>
      </c>
      <c r="C1333" s="8" t="str">
        <f t="shared" si="201"/>
        <v/>
      </c>
      <c r="D1333" s="8" t="str">
        <f t="shared" si="202"/>
        <v/>
      </c>
      <c r="E1333" s="9" t="str">
        <f t="shared" si="203"/>
        <v/>
      </c>
      <c r="F1333" s="9" t="str">
        <f t="shared" si="204"/>
        <v/>
      </c>
      <c r="G1333" s="9" t="str">
        <f t="shared" si="205"/>
        <v/>
      </c>
      <c r="H1333" s="9" t="str">
        <f t="shared" si="206"/>
        <v/>
      </c>
      <c r="I1333" s="10" t="str">
        <f t="shared" si="207"/>
        <v/>
      </c>
      <c r="J1333" s="10" t="str">
        <f t="shared" si="209"/>
        <v/>
      </c>
      <c r="K1333" s="11" t="str">
        <f t="shared" si="208"/>
        <v/>
      </c>
      <c r="M1333" t="str">
        <f>IFERROR(MATCH($C$5&amp;"|"&amp;RIGHT("000000"&amp;1317,6),CalcRankKeyA,0),"")</f>
        <v/>
      </c>
      <c r="N1333" t="str">
        <f>IFERROR(MATCH($C$5&amp;"|"&amp;RIGHT("000000"&amp;1317,6),CalcRankKeyB,0),"")</f>
        <v/>
      </c>
    </row>
    <row r="1334" spans="1:14" x14ac:dyDescent="0.2">
      <c r="A1334" s="12">
        <v>1318</v>
      </c>
      <c r="B1334" s="13" t="str">
        <f t="shared" si="200"/>
        <v/>
      </c>
      <c r="C1334" s="13" t="str">
        <f t="shared" si="201"/>
        <v/>
      </c>
      <c r="D1334" s="13" t="str">
        <f t="shared" si="202"/>
        <v/>
      </c>
      <c r="E1334" s="14" t="str">
        <f t="shared" si="203"/>
        <v/>
      </c>
      <c r="F1334" s="14" t="str">
        <f t="shared" si="204"/>
        <v/>
      </c>
      <c r="G1334" s="14" t="str">
        <f t="shared" si="205"/>
        <v/>
      </c>
      <c r="H1334" s="14" t="str">
        <f t="shared" si="206"/>
        <v/>
      </c>
      <c r="I1334" s="15" t="str">
        <f t="shared" si="207"/>
        <v/>
      </c>
      <c r="J1334" s="15" t="str">
        <f t="shared" si="209"/>
        <v/>
      </c>
      <c r="K1334" s="16" t="str">
        <f t="shared" si="208"/>
        <v/>
      </c>
      <c r="M1334" t="str">
        <f>IFERROR(MATCH($C$5&amp;"|"&amp;RIGHT("000000"&amp;1318,6),CalcRankKeyA,0),"")</f>
        <v/>
      </c>
      <c r="N1334" t="str">
        <f>IFERROR(MATCH($C$5&amp;"|"&amp;RIGHT("000000"&amp;1318,6),CalcRankKeyB,0),"")</f>
        <v/>
      </c>
    </row>
    <row r="1335" spans="1:14" x14ac:dyDescent="0.2">
      <c r="A1335" s="7">
        <v>1319</v>
      </c>
      <c r="B1335" s="8" t="str">
        <f t="shared" si="200"/>
        <v/>
      </c>
      <c r="C1335" s="8" t="str">
        <f t="shared" si="201"/>
        <v/>
      </c>
      <c r="D1335" s="8" t="str">
        <f t="shared" si="202"/>
        <v/>
      </c>
      <c r="E1335" s="9" t="str">
        <f t="shared" si="203"/>
        <v/>
      </c>
      <c r="F1335" s="9" t="str">
        <f t="shared" si="204"/>
        <v/>
      </c>
      <c r="G1335" s="9" t="str">
        <f t="shared" si="205"/>
        <v/>
      </c>
      <c r="H1335" s="9" t="str">
        <f t="shared" si="206"/>
        <v/>
      </c>
      <c r="I1335" s="10" t="str">
        <f t="shared" si="207"/>
        <v/>
      </c>
      <c r="J1335" s="10" t="str">
        <f t="shared" si="209"/>
        <v/>
      </c>
      <c r="K1335" s="11" t="str">
        <f t="shared" si="208"/>
        <v/>
      </c>
      <c r="M1335" t="str">
        <f>IFERROR(MATCH($C$5&amp;"|"&amp;RIGHT("000000"&amp;1319,6),CalcRankKeyA,0),"")</f>
        <v/>
      </c>
      <c r="N1335" t="str">
        <f>IFERROR(MATCH($C$5&amp;"|"&amp;RIGHT("000000"&amp;1319,6),CalcRankKeyB,0),"")</f>
        <v/>
      </c>
    </row>
    <row r="1336" spans="1:14" x14ac:dyDescent="0.2">
      <c r="A1336" s="12">
        <v>1320</v>
      </c>
      <c r="B1336" s="13" t="str">
        <f t="shared" si="200"/>
        <v/>
      </c>
      <c r="C1336" s="13" t="str">
        <f t="shared" si="201"/>
        <v/>
      </c>
      <c r="D1336" s="13" t="str">
        <f t="shared" si="202"/>
        <v/>
      </c>
      <c r="E1336" s="14" t="str">
        <f t="shared" si="203"/>
        <v/>
      </c>
      <c r="F1336" s="14" t="str">
        <f t="shared" si="204"/>
        <v/>
      </c>
      <c r="G1336" s="14" t="str">
        <f t="shared" si="205"/>
        <v/>
      </c>
      <c r="H1336" s="14" t="str">
        <f t="shared" si="206"/>
        <v/>
      </c>
      <c r="I1336" s="15" t="str">
        <f t="shared" si="207"/>
        <v/>
      </c>
      <c r="J1336" s="15" t="str">
        <f t="shared" si="209"/>
        <v/>
      </c>
      <c r="K1336" s="16" t="str">
        <f t="shared" si="208"/>
        <v/>
      </c>
      <c r="M1336" t="str">
        <f>IFERROR(MATCH($C$5&amp;"|"&amp;RIGHT("000000"&amp;1320,6),CalcRankKeyA,0),"")</f>
        <v/>
      </c>
      <c r="N1336" t="str">
        <f>IFERROR(MATCH($C$5&amp;"|"&amp;RIGHT("000000"&amp;1320,6),CalcRankKeyB,0),"")</f>
        <v/>
      </c>
    </row>
    <row r="1337" spans="1:14" x14ac:dyDescent="0.2">
      <c r="A1337" s="7">
        <v>1321</v>
      </c>
      <c r="B1337" s="8" t="str">
        <f t="shared" si="200"/>
        <v/>
      </c>
      <c r="C1337" s="8" t="str">
        <f t="shared" si="201"/>
        <v/>
      </c>
      <c r="D1337" s="8" t="str">
        <f t="shared" si="202"/>
        <v/>
      </c>
      <c r="E1337" s="9" t="str">
        <f t="shared" si="203"/>
        <v/>
      </c>
      <c r="F1337" s="9" t="str">
        <f t="shared" si="204"/>
        <v/>
      </c>
      <c r="G1337" s="9" t="str">
        <f t="shared" si="205"/>
        <v/>
      </c>
      <c r="H1337" s="9" t="str">
        <f t="shared" si="206"/>
        <v/>
      </c>
      <c r="I1337" s="10" t="str">
        <f t="shared" si="207"/>
        <v/>
      </c>
      <c r="J1337" s="10" t="str">
        <f t="shared" si="209"/>
        <v/>
      </c>
      <c r="K1337" s="11" t="str">
        <f t="shared" si="208"/>
        <v/>
      </c>
      <c r="M1337" t="str">
        <f>IFERROR(MATCH($C$5&amp;"|"&amp;RIGHT("000000"&amp;1321,6),CalcRankKeyA,0),"")</f>
        <v/>
      </c>
      <c r="N1337" t="str">
        <f>IFERROR(MATCH($C$5&amp;"|"&amp;RIGHT("000000"&amp;1321,6),CalcRankKeyB,0),"")</f>
        <v/>
      </c>
    </row>
    <row r="1338" spans="1:14" x14ac:dyDescent="0.2">
      <c r="A1338" s="12">
        <v>1322</v>
      </c>
      <c r="B1338" s="13" t="str">
        <f t="shared" si="200"/>
        <v/>
      </c>
      <c r="C1338" s="13" t="str">
        <f t="shared" si="201"/>
        <v/>
      </c>
      <c r="D1338" s="13" t="str">
        <f t="shared" si="202"/>
        <v/>
      </c>
      <c r="E1338" s="14" t="str">
        <f t="shared" si="203"/>
        <v/>
      </c>
      <c r="F1338" s="14" t="str">
        <f t="shared" si="204"/>
        <v/>
      </c>
      <c r="G1338" s="14" t="str">
        <f t="shared" si="205"/>
        <v/>
      </c>
      <c r="H1338" s="14" t="str">
        <f t="shared" si="206"/>
        <v/>
      </c>
      <c r="I1338" s="15" t="str">
        <f t="shared" si="207"/>
        <v/>
      </c>
      <c r="J1338" s="15" t="str">
        <f t="shared" si="209"/>
        <v/>
      </c>
      <c r="K1338" s="16" t="str">
        <f t="shared" si="208"/>
        <v/>
      </c>
      <c r="M1338" t="str">
        <f>IFERROR(MATCH($C$5&amp;"|"&amp;RIGHT("000000"&amp;1322,6),CalcRankKeyA,0),"")</f>
        <v/>
      </c>
      <c r="N1338" t="str">
        <f>IFERROR(MATCH($C$5&amp;"|"&amp;RIGHT("000000"&amp;1322,6),CalcRankKeyB,0),"")</f>
        <v/>
      </c>
    </row>
    <row r="1339" spans="1:14" x14ac:dyDescent="0.2">
      <c r="A1339" s="7">
        <v>1323</v>
      </c>
      <c r="B1339" s="8" t="str">
        <f t="shared" si="200"/>
        <v/>
      </c>
      <c r="C1339" s="8" t="str">
        <f t="shared" si="201"/>
        <v/>
      </c>
      <c r="D1339" s="8" t="str">
        <f t="shared" si="202"/>
        <v/>
      </c>
      <c r="E1339" s="9" t="str">
        <f t="shared" si="203"/>
        <v/>
      </c>
      <c r="F1339" s="9" t="str">
        <f t="shared" si="204"/>
        <v/>
      </c>
      <c r="G1339" s="9" t="str">
        <f t="shared" si="205"/>
        <v/>
      </c>
      <c r="H1339" s="9" t="str">
        <f t="shared" si="206"/>
        <v/>
      </c>
      <c r="I1339" s="10" t="str">
        <f t="shared" si="207"/>
        <v/>
      </c>
      <c r="J1339" s="10" t="str">
        <f t="shared" si="209"/>
        <v/>
      </c>
      <c r="K1339" s="11" t="str">
        <f t="shared" si="208"/>
        <v/>
      </c>
      <c r="M1339" t="str">
        <f>IFERROR(MATCH($C$5&amp;"|"&amp;RIGHT("000000"&amp;1323,6),CalcRankKeyA,0),"")</f>
        <v/>
      </c>
      <c r="N1339" t="str">
        <f>IFERROR(MATCH($C$5&amp;"|"&amp;RIGHT("000000"&amp;1323,6),CalcRankKeyB,0),"")</f>
        <v/>
      </c>
    </row>
    <row r="1340" spans="1:14" x14ac:dyDescent="0.2">
      <c r="A1340" s="12">
        <v>1324</v>
      </c>
      <c r="B1340" s="13" t="str">
        <f t="shared" si="200"/>
        <v/>
      </c>
      <c r="C1340" s="13" t="str">
        <f t="shared" si="201"/>
        <v/>
      </c>
      <c r="D1340" s="13" t="str">
        <f t="shared" si="202"/>
        <v/>
      </c>
      <c r="E1340" s="14" t="str">
        <f t="shared" si="203"/>
        <v/>
      </c>
      <c r="F1340" s="14" t="str">
        <f t="shared" si="204"/>
        <v/>
      </c>
      <c r="G1340" s="14" t="str">
        <f t="shared" si="205"/>
        <v/>
      </c>
      <c r="H1340" s="14" t="str">
        <f t="shared" si="206"/>
        <v/>
      </c>
      <c r="I1340" s="15" t="str">
        <f t="shared" si="207"/>
        <v/>
      </c>
      <c r="J1340" s="15" t="str">
        <f t="shared" si="209"/>
        <v/>
      </c>
      <c r="K1340" s="16" t="str">
        <f t="shared" si="208"/>
        <v/>
      </c>
      <c r="M1340" t="str">
        <f>IFERROR(MATCH($C$5&amp;"|"&amp;RIGHT("000000"&amp;1324,6),CalcRankKeyA,0),"")</f>
        <v/>
      </c>
      <c r="N1340" t="str">
        <f>IFERROR(MATCH($C$5&amp;"|"&amp;RIGHT("000000"&amp;1324,6),CalcRankKeyB,0),"")</f>
        <v/>
      </c>
    </row>
    <row r="1341" spans="1:14" x14ac:dyDescent="0.2">
      <c r="A1341" s="7">
        <v>1325</v>
      </c>
      <c r="B1341" s="8" t="str">
        <f t="shared" si="200"/>
        <v/>
      </c>
      <c r="C1341" s="8" t="str">
        <f t="shared" si="201"/>
        <v/>
      </c>
      <c r="D1341" s="8" t="str">
        <f t="shared" si="202"/>
        <v/>
      </c>
      <c r="E1341" s="9" t="str">
        <f t="shared" si="203"/>
        <v/>
      </c>
      <c r="F1341" s="9" t="str">
        <f t="shared" si="204"/>
        <v/>
      </c>
      <c r="G1341" s="9" t="str">
        <f t="shared" si="205"/>
        <v/>
      </c>
      <c r="H1341" s="9" t="str">
        <f t="shared" si="206"/>
        <v/>
      </c>
      <c r="I1341" s="10" t="str">
        <f t="shared" si="207"/>
        <v/>
      </c>
      <c r="J1341" s="10" t="str">
        <f t="shared" si="209"/>
        <v/>
      </c>
      <c r="K1341" s="11" t="str">
        <f t="shared" si="208"/>
        <v/>
      </c>
      <c r="M1341" t="str">
        <f>IFERROR(MATCH($C$5&amp;"|"&amp;RIGHT("000000"&amp;1325,6),CalcRankKeyA,0),"")</f>
        <v/>
      </c>
      <c r="N1341" t="str">
        <f>IFERROR(MATCH($C$5&amp;"|"&amp;RIGHT("000000"&amp;1325,6),CalcRankKeyB,0),"")</f>
        <v/>
      </c>
    </row>
    <row r="1342" spans="1:14" x14ac:dyDescent="0.2">
      <c r="A1342" s="12">
        <v>1326</v>
      </c>
      <c r="B1342" s="13" t="str">
        <f t="shared" si="200"/>
        <v/>
      </c>
      <c r="C1342" s="13" t="str">
        <f t="shared" si="201"/>
        <v/>
      </c>
      <c r="D1342" s="13" t="str">
        <f t="shared" si="202"/>
        <v/>
      </c>
      <c r="E1342" s="14" t="str">
        <f t="shared" si="203"/>
        <v/>
      </c>
      <c r="F1342" s="14" t="str">
        <f t="shared" si="204"/>
        <v/>
      </c>
      <c r="G1342" s="14" t="str">
        <f t="shared" si="205"/>
        <v/>
      </c>
      <c r="H1342" s="14" t="str">
        <f t="shared" si="206"/>
        <v/>
      </c>
      <c r="I1342" s="15" t="str">
        <f t="shared" si="207"/>
        <v/>
      </c>
      <c r="J1342" s="15" t="str">
        <f t="shared" si="209"/>
        <v/>
      </c>
      <c r="K1342" s="16" t="str">
        <f t="shared" si="208"/>
        <v/>
      </c>
      <c r="M1342" t="str">
        <f>IFERROR(MATCH($C$5&amp;"|"&amp;RIGHT("000000"&amp;1326,6),CalcRankKeyA,0),"")</f>
        <v/>
      </c>
      <c r="N1342" t="str">
        <f>IFERROR(MATCH($C$5&amp;"|"&amp;RIGHT("000000"&amp;1326,6),CalcRankKeyB,0),"")</f>
        <v/>
      </c>
    </row>
    <row r="1343" spans="1:14" x14ac:dyDescent="0.2">
      <c r="A1343" s="7">
        <v>1327</v>
      </c>
      <c r="B1343" s="8" t="str">
        <f t="shared" si="200"/>
        <v/>
      </c>
      <c r="C1343" s="8" t="str">
        <f t="shared" si="201"/>
        <v/>
      </c>
      <c r="D1343" s="8" t="str">
        <f t="shared" si="202"/>
        <v/>
      </c>
      <c r="E1343" s="9" t="str">
        <f t="shared" si="203"/>
        <v/>
      </c>
      <c r="F1343" s="9" t="str">
        <f t="shared" si="204"/>
        <v/>
      </c>
      <c r="G1343" s="9" t="str">
        <f t="shared" si="205"/>
        <v/>
      </c>
      <c r="H1343" s="9" t="str">
        <f t="shared" si="206"/>
        <v/>
      </c>
      <c r="I1343" s="10" t="str">
        <f t="shared" si="207"/>
        <v/>
      </c>
      <c r="J1343" s="10" t="str">
        <f t="shared" si="209"/>
        <v/>
      </c>
      <c r="K1343" s="11" t="str">
        <f t="shared" si="208"/>
        <v/>
      </c>
      <c r="M1343" t="str">
        <f>IFERROR(MATCH($C$5&amp;"|"&amp;RIGHT("000000"&amp;1327,6),CalcRankKeyA,0),"")</f>
        <v/>
      </c>
      <c r="N1343" t="str">
        <f>IFERROR(MATCH($C$5&amp;"|"&amp;RIGHT("000000"&amp;1327,6),CalcRankKeyB,0),"")</f>
        <v/>
      </c>
    </row>
    <row r="1344" spans="1:14" x14ac:dyDescent="0.2">
      <c r="A1344" s="12">
        <v>1328</v>
      </c>
      <c r="B1344" s="13" t="str">
        <f t="shared" si="200"/>
        <v/>
      </c>
      <c r="C1344" s="13" t="str">
        <f t="shared" si="201"/>
        <v/>
      </c>
      <c r="D1344" s="13" t="str">
        <f t="shared" si="202"/>
        <v/>
      </c>
      <c r="E1344" s="14" t="str">
        <f t="shared" si="203"/>
        <v/>
      </c>
      <c r="F1344" s="14" t="str">
        <f t="shared" si="204"/>
        <v/>
      </c>
      <c r="G1344" s="14" t="str">
        <f t="shared" si="205"/>
        <v/>
      </c>
      <c r="H1344" s="14" t="str">
        <f t="shared" si="206"/>
        <v/>
      </c>
      <c r="I1344" s="15" t="str">
        <f t="shared" si="207"/>
        <v/>
      </c>
      <c r="J1344" s="15" t="str">
        <f t="shared" si="209"/>
        <v/>
      </c>
      <c r="K1344" s="16" t="str">
        <f t="shared" si="208"/>
        <v/>
      </c>
      <c r="M1344" t="str">
        <f>IFERROR(MATCH($C$5&amp;"|"&amp;RIGHT("000000"&amp;1328,6),CalcRankKeyA,0),"")</f>
        <v/>
      </c>
      <c r="N1344" t="str">
        <f>IFERROR(MATCH($C$5&amp;"|"&amp;RIGHT("000000"&amp;1328,6),CalcRankKeyB,0),"")</f>
        <v/>
      </c>
    </row>
    <row r="1345" spans="1:14" x14ac:dyDescent="0.2">
      <c r="A1345" s="7">
        <v>1329</v>
      </c>
      <c r="B1345" s="8" t="str">
        <f t="shared" si="200"/>
        <v/>
      </c>
      <c r="C1345" s="8" t="str">
        <f t="shared" si="201"/>
        <v/>
      </c>
      <c r="D1345" s="8" t="str">
        <f t="shared" si="202"/>
        <v/>
      </c>
      <c r="E1345" s="9" t="str">
        <f t="shared" si="203"/>
        <v/>
      </c>
      <c r="F1345" s="9" t="str">
        <f t="shared" si="204"/>
        <v/>
      </c>
      <c r="G1345" s="9" t="str">
        <f t="shared" si="205"/>
        <v/>
      </c>
      <c r="H1345" s="9" t="str">
        <f t="shared" si="206"/>
        <v/>
      </c>
      <c r="I1345" s="10" t="str">
        <f t="shared" si="207"/>
        <v/>
      </c>
      <c r="J1345" s="10" t="str">
        <f t="shared" si="209"/>
        <v/>
      </c>
      <c r="K1345" s="11" t="str">
        <f t="shared" si="208"/>
        <v/>
      </c>
      <c r="M1345" t="str">
        <f>IFERROR(MATCH($C$5&amp;"|"&amp;RIGHT("000000"&amp;1329,6),CalcRankKeyA,0),"")</f>
        <v/>
      </c>
      <c r="N1345" t="str">
        <f>IFERROR(MATCH($C$5&amp;"|"&amp;RIGHT("000000"&amp;1329,6),CalcRankKeyB,0),"")</f>
        <v/>
      </c>
    </row>
    <row r="1346" spans="1:14" x14ac:dyDescent="0.2">
      <c r="A1346" s="12">
        <v>1330</v>
      </c>
      <c r="B1346" s="13" t="str">
        <f t="shared" si="200"/>
        <v/>
      </c>
      <c r="C1346" s="13" t="str">
        <f t="shared" si="201"/>
        <v/>
      </c>
      <c r="D1346" s="13" t="str">
        <f t="shared" si="202"/>
        <v/>
      </c>
      <c r="E1346" s="14" t="str">
        <f t="shared" si="203"/>
        <v/>
      </c>
      <c r="F1346" s="14" t="str">
        <f t="shared" si="204"/>
        <v/>
      </c>
      <c r="G1346" s="14" t="str">
        <f t="shared" si="205"/>
        <v/>
      </c>
      <c r="H1346" s="14" t="str">
        <f t="shared" si="206"/>
        <v/>
      </c>
      <c r="I1346" s="15" t="str">
        <f t="shared" si="207"/>
        <v/>
      </c>
      <c r="J1346" s="15" t="str">
        <f t="shared" si="209"/>
        <v/>
      </c>
      <c r="K1346" s="16" t="str">
        <f t="shared" si="208"/>
        <v/>
      </c>
      <c r="M1346" t="str">
        <f>IFERROR(MATCH($C$5&amp;"|"&amp;RIGHT("000000"&amp;1330,6),CalcRankKeyA,0),"")</f>
        <v/>
      </c>
      <c r="N1346" t="str">
        <f>IFERROR(MATCH($C$5&amp;"|"&amp;RIGHT("000000"&amp;1330,6),CalcRankKeyB,0),"")</f>
        <v/>
      </c>
    </row>
    <row r="1347" spans="1:14" x14ac:dyDescent="0.2">
      <c r="A1347" s="7">
        <v>1331</v>
      </c>
      <c r="B1347" s="8" t="str">
        <f t="shared" si="200"/>
        <v/>
      </c>
      <c r="C1347" s="8" t="str">
        <f t="shared" si="201"/>
        <v/>
      </c>
      <c r="D1347" s="8" t="str">
        <f t="shared" si="202"/>
        <v/>
      </c>
      <c r="E1347" s="9" t="str">
        <f t="shared" si="203"/>
        <v/>
      </c>
      <c r="F1347" s="9" t="str">
        <f t="shared" si="204"/>
        <v/>
      </c>
      <c r="G1347" s="9" t="str">
        <f t="shared" si="205"/>
        <v/>
      </c>
      <c r="H1347" s="9" t="str">
        <f t="shared" si="206"/>
        <v/>
      </c>
      <c r="I1347" s="10" t="str">
        <f t="shared" si="207"/>
        <v/>
      </c>
      <c r="J1347" s="10" t="str">
        <f t="shared" si="209"/>
        <v/>
      </c>
      <c r="K1347" s="11" t="str">
        <f t="shared" si="208"/>
        <v/>
      </c>
      <c r="M1347" t="str">
        <f>IFERROR(MATCH($C$5&amp;"|"&amp;RIGHT("000000"&amp;1331,6),CalcRankKeyA,0),"")</f>
        <v/>
      </c>
      <c r="N1347" t="str">
        <f>IFERROR(MATCH($C$5&amp;"|"&amp;RIGHT("000000"&amp;1331,6),CalcRankKeyB,0),"")</f>
        <v/>
      </c>
    </row>
    <row r="1348" spans="1:14" x14ac:dyDescent="0.2">
      <c r="A1348" s="12">
        <v>1332</v>
      </c>
      <c r="B1348" s="13" t="str">
        <f t="shared" si="200"/>
        <v/>
      </c>
      <c r="C1348" s="13" t="str">
        <f t="shared" si="201"/>
        <v/>
      </c>
      <c r="D1348" s="13" t="str">
        <f t="shared" si="202"/>
        <v/>
      </c>
      <c r="E1348" s="14" t="str">
        <f t="shared" si="203"/>
        <v/>
      </c>
      <c r="F1348" s="14" t="str">
        <f t="shared" si="204"/>
        <v/>
      </c>
      <c r="G1348" s="14" t="str">
        <f t="shared" si="205"/>
        <v/>
      </c>
      <c r="H1348" s="14" t="str">
        <f t="shared" si="206"/>
        <v/>
      </c>
      <c r="I1348" s="15" t="str">
        <f t="shared" si="207"/>
        <v/>
      </c>
      <c r="J1348" s="15" t="str">
        <f t="shared" si="209"/>
        <v/>
      </c>
      <c r="K1348" s="16" t="str">
        <f t="shared" si="208"/>
        <v/>
      </c>
      <c r="M1348" t="str">
        <f>IFERROR(MATCH($C$5&amp;"|"&amp;RIGHT("000000"&amp;1332,6),CalcRankKeyA,0),"")</f>
        <v/>
      </c>
      <c r="N1348" t="str">
        <f>IFERROR(MATCH($C$5&amp;"|"&amp;RIGHT("000000"&amp;1332,6),CalcRankKeyB,0),"")</f>
        <v/>
      </c>
    </row>
    <row r="1349" spans="1:14" x14ac:dyDescent="0.2">
      <c r="A1349" s="7">
        <v>1333</v>
      </c>
      <c r="B1349" s="8" t="str">
        <f t="shared" si="200"/>
        <v/>
      </c>
      <c r="C1349" s="8" t="str">
        <f t="shared" si="201"/>
        <v/>
      </c>
      <c r="D1349" s="8" t="str">
        <f t="shared" si="202"/>
        <v/>
      </c>
      <c r="E1349" s="9" t="str">
        <f t="shared" si="203"/>
        <v/>
      </c>
      <c r="F1349" s="9" t="str">
        <f t="shared" si="204"/>
        <v/>
      </c>
      <c r="G1349" s="9" t="str">
        <f t="shared" si="205"/>
        <v/>
      </c>
      <c r="H1349" s="9" t="str">
        <f t="shared" si="206"/>
        <v/>
      </c>
      <c r="I1349" s="10" t="str">
        <f t="shared" si="207"/>
        <v/>
      </c>
      <c r="J1349" s="10" t="str">
        <f t="shared" si="209"/>
        <v/>
      </c>
      <c r="K1349" s="11" t="str">
        <f t="shared" si="208"/>
        <v/>
      </c>
      <c r="M1349" t="str">
        <f>IFERROR(MATCH($C$5&amp;"|"&amp;RIGHT("000000"&amp;1333,6),CalcRankKeyA,0),"")</f>
        <v/>
      </c>
      <c r="N1349" t="str">
        <f>IFERROR(MATCH($C$5&amp;"|"&amp;RIGHT("000000"&amp;1333,6),CalcRankKeyB,0),"")</f>
        <v/>
      </c>
    </row>
    <row r="1350" spans="1:14" x14ac:dyDescent="0.2">
      <c r="A1350" s="12">
        <v>1334</v>
      </c>
      <c r="B1350" s="13" t="str">
        <f t="shared" si="200"/>
        <v/>
      </c>
      <c r="C1350" s="13" t="str">
        <f t="shared" si="201"/>
        <v/>
      </c>
      <c r="D1350" s="13" t="str">
        <f t="shared" si="202"/>
        <v/>
      </c>
      <c r="E1350" s="14" t="str">
        <f t="shared" si="203"/>
        <v/>
      </c>
      <c r="F1350" s="14" t="str">
        <f t="shared" si="204"/>
        <v/>
      </c>
      <c r="G1350" s="14" t="str">
        <f t="shared" si="205"/>
        <v/>
      </c>
      <c r="H1350" s="14" t="str">
        <f t="shared" si="206"/>
        <v/>
      </c>
      <c r="I1350" s="15" t="str">
        <f t="shared" si="207"/>
        <v/>
      </c>
      <c r="J1350" s="15" t="str">
        <f t="shared" si="209"/>
        <v/>
      </c>
      <c r="K1350" s="16" t="str">
        <f t="shared" si="208"/>
        <v/>
      </c>
      <c r="M1350" t="str">
        <f>IFERROR(MATCH($C$5&amp;"|"&amp;RIGHT("000000"&amp;1334,6),CalcRankKeyA,0),"")</f>
        <v/>
      </c>
      <c r="N1350" t="str">
        <f>IFERROR(MATCH($C$5&amp;"|"&amp;RIGHT("000000"&amp;1334,6),CalcRankKeyB,0),"")</f>
        <v/>
      </c>
    </row>
    <row r="1351" spans="1:14" x14ac:dyDescent="0.2">
      <c r="A1351" s="7">
        <v>1335</v>
      </c>
      <c r="B1351" s="8" t="str">
        <f t="shared" si="200"/>
        <v/>
      </c>
      <c r="C1351" s="8" t="str">
        <f t="shared" si="201"/>
        <v/>
      </c>
      <c r="D1351" s="8" t="str">
        <f t="shared" si="202"/>
        <v/>
      </c>
      <c r="E1351" s="9" t="str">
        <f t="shared" si="203"/>
        <v/>
      </c>
      <c r="F1351" s="9" t="str">
        <f t="shared" si="204"/>
        <v/>
      </c>
      <c r="G1351" s="9" t="str">
        <f t="shared" si="205"/>
        <v/>
      </c>
      <c r="H1351" s="9" t="str">
        <f t="shared" si="206"/>
        <v/>
      </c>
      <c r="I1351" s="10" t="str">
        <f t="shared" si="207"/>
        <v/>
      </c>
      <c r="J1351" s="10" t="str">
        <f t="shared" si="209"/>
        <v/>
      </c>
      <c r="K1351" s="11" t="str">
        <f t="shared" si="208"/>
        <v/>
      </c>
      <c r="M1351" t="str">
        <f>IFERROR(MATCH($C$5&amp;"|"&amp;RIGHT("000000"&amp;1335,6),CalcRankKeyA,0),"")</f>
        <v/>
      </c>
      <c r="N1351" t="str">
        <f>IFERROR(MATCH($C$5&amp;"|"&amp;RIGHT("000000"&amp;1335,6),CalcRankKeyB,0),"")</f>
        <v/>
      </c>
    </row>
    <row r="1352" spans="1:14" x14ac:dyDescent="0.2">
      <c r="A1352" s="12">
        <v>1336</v>
      </c>
      <c r="B1352" s="13" t="str">
        <f t="shared" si="200"/>
        <v/>
      </c>
      <c r="C1352" s="13" t="str">
        <f t="shared" si="201"/>
        <v/>
      </c>
      <c r="D1352" s="13" t="str">
        <f t="shared" si="202"/>
        <v/>
      </c>
      <c r="E1352" s="14" t="str">
        <f t="shared" si="203"/>
        <v/>
      </c>
      <c r="F1352" s="14" t="str">
        <f t="shared" si="204"/>
        <v/>
      </c>
      <c r="G1352" s="14" t="str">
        <f t="shared" si="205"/>
        <v/>
      </c>
      <c r="H1352" s="14" t="str">
        <f t="shared" si="206"/>
        <v/>
      </c>
      <c r="I1352" s="15" t="str">
        <f t="shared" si="207"/>
        <v/>
      </c>
      <c r="J1352" s="15" t="str">
        <f t="shared" si="209"/>
        <v/>
      </c>
      <c r="K1352" s="16" t="str">
        <f t="shared" si="208"/>
        <v/>
      </c>
      <c r="M1352" t="str">
        <f>IFERROR(MATCH($C$5&amp;"|"&amp;RIGHT("000000"&amp;1336,6),CalcRankKeyA,0),"")</f>
        <v/>
      </c>
      <c r="N1352" t="str">
        <f>IFERROR(MATCH($C$5&amp;"|"&amp;RIGHT("000000"&amp;1336,6),CalcRankKeyB,0),"")</f>
        <v/>
      </c>
    </row>
    <row r="1353" spans="1:14" x14ac:dyDescent="0.2">
      <c r="A1353" s="7">
        <v>1337</v>
      </c>
      <c r="B1353" s="8" t="str">
        <f t="shared" si="200"/>
        <v/>
      </c>
      <c r="C1353" s="8" t="str">
        <f t="shared" si="201"/>
        <v/>
      </c>
      <c r="D1353" s="8" t="str">
        <f t="shared" si="202"/>
        <v/>
      </c>
      <c r="E1353" s="9" t="str">
        <f t="shared" si="203"/>
        <v/>
      </c>
      <c r="F1353" s="9" t="str">
        <f t="shared" si="204"/>
        <v/>
      </c>
      <c r="G1353" s="9" t="str">
        <f t="shared" si="205"/>
        <v/>
      </c>
      <c r="H1353" s="9" t="str">
        <f t="shared" si="206"/>
        <v/>
      </c>
      <c r="I1353" s="10" t="str">
        <f t="shared" si="207"/>
        <v/>
      </c>
      <c r="J1353" s="10" t="str">
        <f t="shared" si="209"/>
        <v/>
      </c>
      <c r="K1353" s="11" t="str">
        <f t="shared" si="208"/>
        <v/>
      </c>
      <c r="M1353" t="str">
        <f>IFERROR(MATCH($C$5&amp;"|"&amp;RIGHT("000000"&amp;1337,6),CalcRankKeyA,0),"")</f>
        <v/>
      </c>
      <c r="N1353" t="str">
        <f>IFERROR(MATCH($C$5&amp;"|"&amp;RIGHT("000000"&amp;1337,6),CalcRankKeyB,0),"")</f>
        <v/>
      </c>
    </row>
    <row r="1354" spans="1:14" x14ac:dyDescent="0.2">
      <c r="A1354" s="12">
        <v>1338</v>
      </c>
      <c r="B1354" s="13" t="str">
        <f t="shared" si="200"/>
        <v/>
      </c>
      <c r="C1354" s="13" t="str">
        <f t="shared" si="201"/>
        <v/>
      </c>
      <c r="D1354" s="13" t="str">
        <f t="shared" si="202"/>
        <v/>
      </c>
      <c r="E1354" s="14" t="str">
        <f t="shared" si="203"/>
        <v/>
      </c>
      <c r="F1354" s="14" t="str">
        <f t="shared" si="204"/>
        <v/>
      </c>
      <c r="G1354" s="14" t="str">
        <f t="shared" si="205"/>
        <v/>
      </c>
      <c r="H1354" s="14" t="str">
        <f t="shared" si="206"/>
        <v/>
      </c>
      <c r="I1354" s="15" t="str">
        <f t="shared" si="207"/>
        <v/>
      </c>
      <c r="J1354" s="15" t="str">
        <f t="shared" si="209"/>
        <v/>
      </c>
      <c r="K1354" s="16" t="str">
        <f t="shared" si="208"/>
        <v/>
      </c>
      <c r="M1354" t="str">
        <f>IFERROR(MATCH($C$5&amp;"|"&amp;RIGHT("000000"&amp;1338,6),CalcRankKeyA,0),"")</f>
        <v/>
      </c>
      <c r="N1354" t="str">
        <f>IFERROR(MATCH($C$5&amp;"|"&amp;RIGHT("000000"&amp;1338,6),CalcRankKeyB,0),"")</f>
        <v/>
      </c>
    </row>
    <row r="1355" spans="1:14" x14ac:dyDescent="0.2">
      <c r="A1355" s="7">
        <v>1339</v>
      </c>
      <c r="B1355" s="8" t="str">
        <f t="shared" si="200"/>
        <v/>
      </c>
      <c r="C1355" s="8" t="str">
        <f t="shared" si="201"/>
        <v/>
      </c>
      <c r="D1355" s="8" t="str">
        <f t="shared" si="202"/>
        <v/>
      </c>
      <c r="E1355" s="9" t="str">
        <f t="shared" si="203"/>
        <v/>
      </c>
      <c r="F1355" s="9" t="str">
        <f t="shared" si="204"/>
        <v/>
      </c>
      <c r="G1355" s="9" t="str">
        <f t="shared" si="205"/>
        <v/>
      </c>
      <c r="H1355" s="9" t="str">
        <f t="shared" si="206"/>
        <v/>
      </c>
      <c r="I1355" s="10" t="str">
        <f t="shared" si="207"/>
        <v/>
      </c>
      <c r="J1355" s="10" t="str">
        <f t="shared" si="209"/>
        <v/>
      </c>
      <c r="K1355" s="11" t="str">
        <f t="shared" si="208"/>
        <v/>
      </c>
      <c r="M1355" t="str">
        <f>IFERROR(MATCH($C$5&amp;"|"&amp;RIGHT("000000"&amp;1339,6),CalcRankKeyA,0),"")</f>
        <v/>
      </c>
      <c r="N1355" t="str">
        <f>IFERROR(MATCH($C$5&amp;"|"&amp;RIGHT("000000"&amp;1339,6),CalcRankKeyB,0),"")</f>
        <v/>
      </c>
    </row>
    <row r="1356" spans="1:14" x14ac:dyDescent="0.2">
      <c r="A1356" s="12">
        <v>1340</v>
      </c>
      <c r="B1356" s="13" t="str">
        <f t="shared" si="200"/>
        <v/>
      </c>
      <c r="C1356" s="13" t="str">
        <f t="shared" si="201"/>
        <v/>
      </c>
      <c r="D1356" s="13" t="str">
        <f t="shared" si="202"/>
        <v/>
      </c>
      <c r="E1356" s="14" t="str">
        <f t="shared" si="203"/>
        <v/>
      </c>
      <c r="F1356" s="14" t="str">
        <f t="shared" si="204"/>
        <v/>
      </c>
      <c r="G1356" s="14" t="str">
        <f t="shared" si="205"/>
        <v/>
      </c>
      <c r="H1356" s="14" t="str">
        <f t="shared" si="206"/>
        <v/>
      </c>
      <c r="I1356" s="15" t="str">
        <f t="shared" si="207"/>
        <v/>
      </c>
      <c r="J1356" s="15" t="str">
        <f t="shared" si="209"/>
        <v/>
      </c>
      <c r="K1356" s="16" t="str">
        <f t="shared" si="208"/>
        <v/>
      </c>
      <c r="M1356" t="str">
        <f>IFERROR(MATCH($C$5&amp;"|"&amp;RIGHT("000000"&amp;1340,6),CalcRankKeyA,0),"")</f>
        <v/>
      </c>
      <c r="N1356" t="str">
        <f>IFERROR(MATCH($C$5&amp;"|"&amp;RIGHT("000000"&amp;1340,6),CalcRankKeyB,0),"")</f>
        <v/>
      </c>
    </row>
    <row r="1357" spans="1:14" x14ac:dyDescent="0.2">
      <c r="A1357" s="7">
        <v>1341</v>
      </c>
      <c r="B1357" s="8" t="str">
        <f t="shared" si="200"/>
        <v/>
      </c>
      <c r="C1357" s="8" t="str">
        <f t="shared" si="201"/>
        <v/>
      </c>
      <c r="D1357" s="8" t="str">
        <f t="shared" si="202"/>
        <v/>
      </c>
      <c r="E1357" s="9" t="str">
        <f t="shared" si="203"/>
        <v/>
      </c>
      <c r="F1357" s="9" t="str">
        <f t="shared" si="204"/>
        <v/>
      </c>
      <c r="G1357" s="9" t="str">
        <f t="shared" si="205"/>
        <v/>
      </c>
      <c r="H1357" s="9" t="str">
        <f t="shared" si="206"/>
        <v/>
      </c>
      <c r="I1357" s="10" t="str">
        <f t="shared" si="207"/>
        <v/>
      </c>
      <c r="J1357" s="10" t="str">
        <f t="shared" si="209"/>
        <v/>
      </c>
      <c r="K1357" s="11" t="str">
        <f t="shared" si="208"/>
        <v/>
      </c>
      <c r="M1357" t="str">
        <f>IFERROR(MATCH($C$5&amp;"|"&amp;RIGHT("000000"&amp;1341,6),CalcRankKeyA,0),"")</f>
        <v/>
      </c>
      <c r="N1357" t="str">
        <f>IFERROR(MATCH($C$5&amp;"|"&amp;RIGHT("000000"&amp;1341,6),CalcRankKeyB,0),"")</f>
        <v/>
      </c>
    </row>
    <row r="1358" spans="1:14" x14ac:dyDescent="0.2">
      <c r="A1358" s="12">
        <v>1342</v>
      </c>
      <c r="B1358" s="13" t="str">
        <f t="shared" si="200"/>
        <v/>
      </c>
      <c r="C1358" s="13" t="str">
        <f t="shared" si="201"/>
        <v/>
      </c>
      <c r="D1358" s="13" t="str">
        <f t="shared" si="202"/>
        <v/>
      </c>
      <c r="E1358" s="14" t="str">
        <f t="shared" si="203"/>
        <v/>
      </c>
      <c r="F1358" s="14" t="str">
        <f t="shared" si="204"/>
        <v/>
      </c>
      <c r="G1358" s="14" t="str">
        <f t="shared" si="205"/>
        <v/>
      </c>
      <c r="H1358" s="14" t="str">
        <f t="shared" si="206"/>
        <v/>
      </c>
      <c r="I1358" s="15" t="str">
        <f t="shared" si="207"/>
        <v/>
      </c>
      <c r="J1358" s="15" t="str">
        <f t="shared" si="209"/>
        <v/>
      </c>
      <c r="K1358" s="16" t="str">
        <f t="shared" si="208"/>
        <v/>
      </c>
      <c r="M1358" t="str">
        <f>IFERROR(MATCH($C$5&amp;"|"&amp;RIGHT("000000"&amp;1342,6),CalcRankKeyA,0),"")</f>
        <v/>
      </c>
      <c r="N1358" t="str">
        <f>IFERROR(MATCH($C$5&amp;"|"&amp;RIGHT("000000"&amp;1342,6),CalcRankKeyB,0),"")</f>
        <v/>
      </c>
    </row>
    <row r="1359" spans="1:14" x14ac:dyDescent="0.2">
      <c r="A1359" s="7">
        <v>1343</v>
      </c>
      <c r="B1359" s="8" t="str">
        <f t="shared" si="200"/>
        <v/>
      </c>
      <c r="C1359" s="8" t="str">
        <f t="shared" si="201"/>
        <v/>
      </c>
      <c r="D1359" s="8" t="str">
        <f t="shared" si="202"/>
        <v/>
      </c>
      <c r="E1359" s="9" t="str">
        <f t="shared" si="203"/>
        <v/>
      </c>
      <c r="F1359" s="9" t="str">
        <f t="shared" si="204"/>
        <v/>
      </c>
      <c r="G1359" s="9" t="str">
        <f t="shared" si="205"/>
        <v/>
      </c>
      <c r="H1359" s="9" t="str">
        <f t="shared" si="206"/>
        <v/>
      </c>
      <c r="I1359" s="10" t="str">
        <f t="shared" si="207"/>
        <v/>
      </c>
      <c r="J1359" s="10" t="str">
        <f t="shared" si="209"/>
        <v/>
      </c>
      <c r="K1359" s="11" t="str">
        <f t="shared" si="208"/>
        <v/>
      </c>
      <c r="M1359" t="str">
        <f>IFERROR(MATCH($C$5&amp;"|"&amp;RIGHT("000000"&amp;1343,6),CalcRankKeyA,0),"")</f>
        <v/>
      </c>
      <c r="N1359" t="str">
        <f>IFERROR(MATCH($C$5&amp;"|"&amp;RIGHT("000000"&amp;1343,6),CalcRankKeyB,0),"")</f>
        <v/>
      </c>
    </row>
    <row r="1360" spans="1:14" x14ac:dyDescent="0.2">
      <c r="A1360" s="12">
        <v>1344</v>
      </c>
      <c r="B1360" s="13" t="str">
        <f t="shared" si="200"/>
        <v/>
      </c>
      <c r="C1360" s="13" t="str">
        <f t="shared" si="201"/>
        <v/>
      </c>
      <c r="D1360" s="13" t="str">
        <f t="shared" si="202"/>
        <v/>
      </c>
      <c r="E1360" s="14" t="str">
        <f t="shared" si="203"/>
        <v/>
      </c>
      <c r="F1360" s="14" t="str">
        <f t="shared" si="204"/>
        <v/>
      </c>
      <c r="G1360" s="14" t="str">
        <f t="shared" si="205"/>
        <v/>
      </c>
      <c r="H1360" s="14" t="str">
        <f t="shared" si="206"/>
        <v/>
      </c>
      <c r="I1360" s="15" t="str">
        <f t="shared" si="207"/>
        <v/>
      </c>
      <c r="J1360" s="15" t="str">
        <f t="shared" si="209"/>
        <v/>
      </c>
      <c r="K1360" s="16" t="str">
        <f t="shared" si="208"/>
        <v/>
      </c>
      <c r="M1360" t="str">
        <f>IFERROR(MATCH($C$5&amp;"|"&amp;RIGHT("000000"&amp;1344,6),CalcRankKeyA,0),"")</f>
        <v/>
      </c>
      <c r="N1360" t="str">
        <f>IFERROR(MATCH($C$5&amp;"|"&amp;RIGHT("000000"&amp;1344,6),CalcRankKeyB,0),"")</f>
        <v/>
      </c>
    </row>
    <row r="1361" spans="1:14" x14ac:dyDescent="0.2">
      <c r="A1361" s="7">
        <v>1345</v>
      </c>
      <c r="B1361" s="8" t="str">
        <f t="shared" ref="B1361:B1424" si="210">IF(AND($M1361="",$N1361=""),"",IF($M1361&lt;&gt;"",INDEX(CalcDateA,$M1361),INDEX(CalcDateB,$N1361)))</f>
        <v/>
      </c>
      <c r="C1361" s="8" t="str">
        <f t="shared" ref="C1361:C1424" si="211">IF($M1361&lt;&gt;"","خرید سبد",IF($N1361&lt;&gt;"",IF(N(INDEX(CalcDepB,$N1361))&gt;0,"دریافت بانکی","پرداخت بانکی"),""))</f>
        <v/>
      </c>
      <c r="D1361" s="8" t="str">
        <f t="shared" ref="D1361:D1424" si="212">IF($M1361&lt;&gt;"",IF(INDEX(CalcDocA,$M1361)="","—",INDEX(CalcDocA,$M1361)),IF($N1361&lt;&gt;"",INDEX(CalcBankB,$N1361),""))</f>
        <v/>
      </c>
      <c r="E1361" s="9" t="str">
        <f t="shared" ref="E1361:E1424" si="213">IF($N1361&lt;&gt;"",IF(INDEX(CalcDepB,$N1361)=0,"",INDEX(CalcDepB,$N1361)),"")</f>
        <v/>
      </c>
      <c r="F1361" s="9" t="str">
        <f t="shared" ref="F1361:F1424" si="214">IF($M1361&lt;&gt;"",IF(INDEX(CalcQtyA,$M1361)=0,"",INDEX(CalcQtyA,$M1361)),"")</f>
        <v/>
      </c>
      <c r="G1361" s="9" t="str">
        <f t="shared" ref="G1361:G1424" si="215">IF($M1361&lt;&gt;"",IF(INDEX(CalcPriceA,$M1361)=0,"",INDEX(CalcPriceA,$M1361)),"")</f>
        <v/>
      </c>
      <c r="H1361" s="9" t="str">
        <f t="shared" ref="H1361:H1424" si="216">IF($N1361&lt;&gt;"",IF(INDEX(CalcWitB,$N1361)=0,"",INDEX(CalcWitB,$N1361)),"")</f>
        <v/>
      </c>
      <c r="I1361" s="10" t="str">
        <f t="shared" ref="I1361:I1424" si="217">IF($M1361&lt;&gt;"",INDEX(CalcAmtA,$M1361),"")</f>
        <v/>
      </c>
      <c r="J1361" s="10" t="str">
        <f t="shared" si="209"/>
        <v/>
      </c>
      <c r="K1361" s="11" t="str">
        <f t="shared" ref="K1361:K1424" si="218">IF($M1361&lt;&gt;"",IF(INDEX(CalcNoteA,$M1361)="","—",INDEX(CalcNoteA,$M1361)),IF($N1361&lt;&gt;"",IF(INDEX(CalcNoteB,$N1361)="","—",INDEX(CalcNoteB,$N1361)),""))</f>
        <v/>
      </c>
      <c r="M1361" t="str">
        <f>IFERROR(MATCH($C$5&amp;"|"&amp;RIGHT("000000"&amp;1345,6),CalcRankKeyA,0),"")</f>
        <v/>
      </c>
      <c r="N1361" t="str">
        <f>IFERROR(MATCH($C$5&amp;"|"&amp;RIGHT("000000"&amp;1345,6),CalcRankKeyB,0),"")</f>
        <v/>
      </c>
    </row>
    <row r="1362" spans="1:14" x14ac:dyDescent="0.2">
      <c r="A1362" s="12">
        <v>1346</v>
      </c>
      <c r="B1362" s="13" t="str">
        <f t="shared" si="210"/>
        <v/>
      </c>
      <c r="C1362" s="13" t="str">
        <f t="shared" si="211"/>
        <v/>
      </c>
      <c r="D1362" s="13" t="str">
        <f t="shared" si="212"/>
        <v/>
      </c>
      <c r="E1362" s="14" t="str">
        <f t="shared" si="213"/>
        <v/>
      </c>
      <c r="F1362" s="14" t="str">
        <f t="shared" si="214"/>
        <v/>
      </c>
      <c r="G1362" s="14" t="str">
        <f t="shared" si="215"/>
        <v/>
      </c>
      <c r="H1362" s="14" t="str">
        <f t="shared" si="216"/>
        <v/>
      </c>
      <c r="I1362" s="15" t="str">
        <f t="shared" si="217"/>
        <v/>
      </c>
      <c r="J1362" s="15" t="str">
        <f t="shared" ref="J1362:J1425" si="219">IF($B1362="","",IF($J1361="",$C$8,$J1361)+IF($I1362="",0,$I1362)+IF($E1362="",0,$E1362)-IF($H1362="",0,$H1362))</f>
        <v/>
      </c>
      <c r="K1362" s="16" t="str">
        <f t="shared" si="218"/>
        <v/>
      </c>
      <c r="M1362" t="str">
        <f>IFERROR(MATCH($C$5&amp;"|"&amp;RIGHT("000000"&amp;1346,6),CalcRankKeyA,0),"")</f>
        <v/>
      </c>
      <c r="N1362" t="str">
        <f>IFERROR(MATCH($C$5&amp;"|"&amp;RIGHT("000000"&amp;1346,6),CalcRankKeyB,0),"")</f>
        <v/>
      </c>
    </row>
    <row r="1363" spans="1:14" x14ac:dyDescent="0.2">
      <c r="A1363" s="7">
        <v>1347</v>
      </c>
      <c r="B1363" s="8" t="str">
        <f t="shared" si="210"/>
        <v/>
      </c>
      <c r="C1363" s="8" t="str">
        <f t="shared" si="211"/>
        <v/>
      </c>
      <c r="D1363" s="8" t="str">
        <f t="shared" si="212"/>
        <v/>
      </c>
      <c r="E1363" s="9" t="str">
        <f t="shared" si="213"/>
        <v/>
      </c>
      <c r="F1363" s="9" t="str">
        <f t="shared" si="214"/>
        <v/>
      </c>
      <c r="G1363" s="9" t="str">
        <f t="shared" si="215"/>
        <v/>
      </c>
      <c r="H1363" s="9" t="str">
        <f t="shared" si="216"/>
        <v/>
      </c>
      <c r="I1363" s="10" t="str">
        <f t="shared" si="217"/>
        <v/>
      </c>
      <c r="J1363" s="10" t="str">
        <f t="shared" si="219"/>
        <v/>
      </c>
      <c r="K1363" s="11" t="str">
        <f t="shared" si="218"/>
        <v/>
      </c>
      <c r="M1363" t="str">
        <f>IFERROR(MATCH($C$5&amp;"|"&amp;RIGHT("000000"&amp;1347,6),CalcRankKeyA,0),"")</f>
        <v/>
      </c>
      <c r="N1363" t="str">
        <f>IFERROR(MATCH($C$5&amp;"|"&amp;RIGHT("000000"&amp;1347,6),CalcRankKeyB,0),"")</f>
        <v/>
      </c>
    </row>
    <row r="1364" spans="1:14" x14ac:dyDescent="0.2">
      <c r="A1364" s="12">
        <v>1348</v>
      </c>
      <c r="B1364" s="13" t="str">
        <f t="shared" si="210"/>
        <v/>
      </c>
      <c r="C1364" s="13" t="str">
        <f t="shared" si="211"/>
        <v/>
      </c>
      <c r="D1364" s="13" t="str">
        <f t="shared" si="212"/>
        <v/>
      </c>
      <c r="E1364" s="14" t="str">
        <f t="shared" si="213"/>
        <v/>
      </c>
      <c r="F1364" s="14" t="str">
        <f t="shared" si="214"/>
        <v/>
      </c>
      <c r="G1364" s="14" t="str">
        <f t="shared" si="215"/>
        <v/>
      </c>
      <c r="H1364" s="14" t="str">
        <f t="shared" si="216"/>
        <v/>
      </c>
      <c r="I1364" s="15" t="str">
        <f t="shared" si="217"/>
        <v/>
      </c>
      <c r="J1364" s="15" t="str">
        <f t="shared" si="219"/>
        <v/>
      </c>
      <c r="K1364" s="16" t="str">
        <f t="shared" si="218"/>
        <v/>
      </c>
      <c r="M1364" t="str">
        <f>IFERROR(MATCH($C$5&amp;"|"&amp;RIGHT("000000"&amp;1348,6),CalcRankKeyA,0),"")</f>
        <v/>
      </c>
      <c r="N1364" t="str">
        <f>IFERROR(MATCH($C$5&amp;"|"&amp;RIGHT("000000"&amp;1348,6),CalcRankKeyB,0),"")</f>
        <v/>
      </c>
    </row>
    <row r="1365" spans="1:14" x14ac:dyDescent="0.2">
      <c r="A1365" s="7">
        <v>1349</v>
      </c>
      <c r="B1365" s="8" t="str">
        <f t="shared" si="210"/>
        <v/>
      </c>
      <c r="C1365" s="8" t="str">
        <f t="shared" si="211"/>
        <v/>
      </c>
      <c r="D1365" s="8" t="str">
        <f t="shared" si="212"/>
        <v/>
      </c>
      <c r="E1365" s="9" t="str">
        <f t="shared" si="213"/>
        <v/>
      </c>
      <c r="F1365" s="9" t="str">
        <f t="shared" si="214"/>
        <v/>
      </c>
      <c r="G1365" s="9" t="str">
        <f t="shared" si="215"/>
        <v/>
      </c>
      <c r="H1365" s="9" t="str">
        <f t="shared" si="216"/>
        <v/>
      </c>
      <c r="I1365" s="10" t="str">
        <f t="shared" si="217"/>
        <v/>
      </c>
      <c r="J1365" s="10" t="str">
        <f t="shared" si="219"/>
        <v/>
      </c>
      <c r="K1365" s="11" t="str">
        <f t="shared" si="218"/>
        <v/>
      </c>
      <c r="M1365" t="str">
        <f>IFERROR(MATCH($C$5&amp;"|"&amp;RIGHT("000000"&amp;1349,6),CalcRankKeyA,0),"")</f>
        <v/>
      </c>
      <c r="N1365" t="str">
        <f>IFERROR(MATCH($C$5&amp;"|"&amp;RIGHT("000000"&amp;1349,6),CalcRankKeyB,0),"")</f>
        <v/>
      </c>
    </row>
    <row r="1366" spans="1:14" x14ac:dyDescent="0.2">
      <c r="A1366" s="12">
        <v>1350</v>
      </c>
      <c r="B1366" s="13" t="str">
        <f t="shared" si="210"/>
        <v/>
      </c>
      <c r="C1366" s="13" t="str">
        <f t="shared" si="211"/>
        <v/>
      </c>
      <c r="D1366" s="13" t="str">
        <f t="shared" si="212"/>
        <v/>
      </c>
      <c r="E1366" s="14" t="str">
        <f t="shared" si="213"/>
        <v/>
      </c>
      <c r="F1366" s="14" t="str">
        <f t="shared" si="214"/>
        <v/>
      </c>
      <c r="G1366" s="14" t="str">
        <f t="shared" si="215"/>
        <v/>
      </c>
      <c r="H1366" s="14" t="str">
        <f t="shared" si="216"/>
        <v/>
      </c>
      <c r="I1366" s="15" t="str">
        <f t="shared" si="217"/>
        <v/>
      </c>
      <c r="J1366" s="15" t="str">
        <f t="shared" si="219"/>
        <v/>
      </c>
      <c r="K1366" s="16" t="str">
        <f t="shared" si="218"/>
        <v/>
      </c>
      <c r="M1366" t="str">
        <f>IFERROR(MATCH($C$5&amp;"|"&amp;RIGHT("000000"&amp;1350,6),CalcRankKeyA,0),"")</f>
        <v/>
      </c>
      <c r="N1366" t="str">
        <f>IFERROR(MATCH($C$5&amp;"|"&amp;RIGHT("000000"&amp;1350,6),CalcRankKeyB,0),"")</f>
        <v/>
      </c>
    </row>
    <row r="1367" spans="1:14" x14ac:dyDescent="0.2">
      <c r="A1367" s="7">
        <v>1351</v>
      </c>
      <c r="B1367" s="8" t="str">
        <f t="shared" si="210"/>
        <v/>
      </c>
      <c r="C1367" s="8" t="str">
        <f t="shared" si="211"/>
        <v/>
      </c>
      <c r="D1367" s="8" t="str">
        <f t="shared" si="212"/>
        <v/>
      </c>
      <c r="E1367" s="9" t="str">
        <f t="shared" si="213"/>
        <v/>
      </c>
      <c r="F1367" s="9" t="str">
        <f t="shared" si="214"/>
        <v/>
      </c>
      <c r="G1367" s="9" t="str">
        <f t="shared" si="215"/>
        <v/>
      </c>
      <c r="H1367" s="9" t="str">
        <f t="shared" si="216"/>
        <v/>
      </c>
      <c r="I1367" s="10" t="str">
        <f t="shared" si="217"/>
        <v/>
      </c>
      <c r="J1367" s="10" t="str">
        <f t="shared" si="219"/>
        <v/>
      </c>
      <c r="K1367" s="11" t="str">
        <f t="shared" si="218"/>
        <v/>
      </c>
      <c r="M1367" t="str">
        <f>IFERROR(MATCH($C$5&amp;"|"&amp;RIGHT("000000"&amp;1351,6),CalcRankKeyA,0),"")</f>
        <v/>
      </c>
      <c r="N1367" t="str">
        <f>IFERROR(MATCH($C$5&amp;"|"&amp;RIGHT("000000"&amp;1351,6),CalcRankKeyB,0),"")</f>
        <v/>
      </c>
    </row>
    <row r="1368" spans="1:14" x14ac:dyDescent="0.2">
      <c r="A1368" s="12">
        <v>1352</v>
      </c>
      <c r="B1368" s="13" t="str">
        <f t="shared" si="210"/>
        <v/>
      </c>
      <c r="C1368" s="13" t="str">
        <f t="shared" si="211"/>
        <v/>
      </c>
      <c r="D1368" s="13" t="str">
        <f t="shared" si="212"/>
        <v/>
      </c>
      <c r="E1368" s="14" t="str">
        <f t="shared" si="213"/>
        <v/>
      </c>
      <c r="F1368" s="14" t="str">
        <f t="shared" si="214"/>
        <v/>
      </c>
      <c r="G1368" s="14" t="str">
        <f t="shared" si="215"/>
        <v/>
      </c>
      <c r="H1368" s="14" t="str">
        <f t="shared" si="216"/>
        <v/>
      </c>
      <c r="I1368" s="15" t="str">
        <f t="shared" si="217"/>
        <v/>
      </c>
      <c r="J1368" s="15" t="str">
        <f t="shared" si="219"/>
        <v/>
      </c>
      <c r="K1368" s="16" t="str">
        <f t="shared" si="218"/>
        <v/>
      </c>
      <c r="M1368" t="str">
        <f>IFERROR(MATCH($C$5&amp;"|"&amp;RIGHT("000000"&amp;1352,6),CalcRankKeyA,0),"")</f>
        <v/>
      </c>
      <c r="N1368" t="str">
        <f>IFERROR(MATCH($C$5&amp;"|"&amp;RIGHT("000000"&amp;1352,6),CalcRankKeyB,0),"")</f>
        <v/>
      </c>
    </row>
    <row r="1369" spans="1:14" x14ac:dyDescent="0.2">
      <c r="A1369" s="7">
        <v>1353</v>
      </c>
      <c r="B1369" s="8" t="str">
        <f t="shared" si="210"/>
        <v/>
      </c>
      <c r="C1369" s="8" t="str">
        <f t="shared" si="211"/>
        <v/>
      </c>
      <c r="D1369" s="8" t="str">
        <f t="shared" si="212"/>
        <v/>
      </c>
      <c r="E1369" s="9" t="str">
        <f t="shared" si="213"/>
        <v/>
      </c>
      <c r="F1369" s="9" t="str">
        <f t="shared" si="214"/>
        <v/>
      </c>
      <c r="G1369" s="9" t="str">
        <f t="shared" si="215"/>
        <v/>
      </c>
      <c r="H1369" s="9" t="str">
        <f t="shared" si="216"/>
        <v/>
      </c>
      <c r="I1369" s="10" t="str">
        <f t="shared" si="217"/>
        <v/>
      </c>
      <c r="J1369" s="10" t="str">
        <f t="shared" si="219"/>
        <v/>
      </c>
      <c r="K1369" s="11" t="str">
        <f t="shared" si="218"/>
        <v/>
      </c>
      <c r="M1369" t="str">
        <f>IFERROR(MATCH($C$5&amp;"|"&amp;RIGHT("000000"&amp;1353,6),CalcRankKeyA,0),"")</f>
        <v/>
      </c>
      <c r="N1369" t="str">
        <f>IFERROR(MATCH($C$5&amp;"|"&amp;RIGHT("000000"&amp;1353,6),CalcRankKeyB,0),"")</f>
        <v/>
      </c>
    </row>
    <row r="1370" spans="1:14" x14ac:dyDescent="0.2">
      <c r="A1370" s="12">
        <v>1354</v>
      </c>
      <c r="B1370" s="13" t="str">
        <f t="shared" si="210"/>
        <v/>
      </c>
      <c r="C1370" s="13" t="str">
        <f t="shared" si="211"/>
        <v/>
      </c>
      <c r="D1370" s="13" t="str">
        <f t="shared" si="212"/>
        <v/>
      </c>
      <c r="E1370" s="14" t="str">
        <f t="shared" si="213"/>
        <v/>
      </c>
      <c r="F1370" s="14" t="str">
        <f t="shared" si="214"/>
        <v/>
      </c>
      <c r="G1370" s="14" t="str">
        <f t="shared" si="215"/>
        <v/>
      </c>
      <c r="H1370" s="14" t="str">
        <f t="shared" si="216"/>
        <v/>
      </c>
      <c r="I1370" s="15" t="str">
        <f t="shared" si="217"/>
        <v/>
      </c>
      <c r="J1370" s="15" t="str">
        <f t="shared" si="219"/>
        <v/>
      </c>
      <c r="K1370" s="16" t="str">
        <f t="shared" si="218"/>
        <v/>
      </c>
      <c r="M1370" t="str">
        <f>IFERROR(MATCH($C$5&amp;"|"&amp;RIGHT("000000"&amp;1354,6),CalcRankKeyA,0),"")</f>
        <v/>
      </c>
      <c r="N1370" t="str">
        <f>IFERROR(MATCH($C$5&amp;"|"&amp;RIGHT("000000"&amp;1354,6),CalcRankKeyB,0),"")</f>
        <v/>
      </c>
    </row>
    <row r="1371" spans="1:14" x14ac:dyDescent="0.2">
      <c r="A1371" s="7">
        <v>1355</v>
      </c>
      <c r="B1371" s="8" t="str">
        <f t="shared" si="210"/>
        <v/>
      </c>
      <c r="C1371" s="8" t="str">
        <f t="shared" si="211"/>
        <v/>
      </c>
      <c r="D1371" s="8" t="str">
        <f t="shared" si="212"/>
        <v/>
      </c>
      <c r="E1371" s="9" t="str">
        <f t="shared" si="213"/>
        <v/>
      </c>
      <c r="F1371" s="9" t="str">
        <f t="shared" si="214"/>
        <v/>
      </c>
      <c r="G1371" s="9" t="str">
        <f t="shared" si="215"/>
        <v/>
      </c>
      <c r="H1371" s="9" t="str">
        <f t="shared" si="216"/>
        <v/>
      </c>
      <c r="I1371" s="10" t="str">
        <f t="shared" si="217"/>
        <v/>
      </c>
      <c r="J1371" s="10" t="str">
        <f t="shared" si="219"/>
        <v/>
      </c>
      <c r="K1371" s="11" t="str">
        <f t="shared" si="218"/>
        <v/>
      </c>
      <c r="M1371" t="str">
        <f>IFERROR(MATCH($C$5&amp;"|"&amp;RIGHT("000000"&amp;1355,6),CalcRankKeyA,0),"")</f>
        <v/>
      </c>
      <c r="N1371" t="str">
        <f>IFERROR(MATCH($C$5&amp;"|"&amp;RIGHT("000000"&amp;1355,6),CalcRankKeyB,0),"")</f>
        <v/>
      </c>
    </row>
    <row r="1372" spans="1:14" x14ac:dyDescent="0.2">
      <c r="A1372" s="12">
        <v>1356</v>
      </c>
      <c r="B1372" s="13" t="str">
        <f t="shared" si="210"/>
        <v/>
      </c>
      <c r="C1372" s="13" t="str">
        <f t="shared" si="211"/>
        <v/>
      </c>
      <c r="D1372" s="13" t="str">
        <f t="shared" si="212"/>
        <v/>
      </c>
      <c r="E1372" s="14" t="str">
        <f t="shared" si="213"/>
        <v/>
      </c>
      <c r="F1372" s="14" t="str">
        <f t="shared" si="214"/>
        <v/>
      </c>
      <c r="G1372" s="14" t="str">
        <f t="shared" si="215"/>
        <v/>
      </c>
      <c r="H1372" s="14" t="str">
        <f t="shared" si="216"/>
        <v/>
      </c>
      <c r="I1372" s="15" t="str">
        <f t="shared" si="217"/>
        <v/>
      </c>
      <c r="J1372" s="15" t="str">
        <f t="shared" si="219"/>
        <v/>
      </c>
      <c r="K1372" s="16" t="str">
        <f t="shared" si="218"/>
        <v/>
      </c>
      <c r="M1372" t="str">
        <f>IFERROR(MATCH($C$5&amp;"|"&amp;RIGHT("000000"&amp;1356,6),CalcRankKeyA,0),"")</f>
        <v/>
      </c>
      <c r="N1372" t="str">
        <f>IFERROR(MATCH($C$5&amp;"|"&amp;RIGHT("000000"&amp;1356,6),CalcRankKeyB,0),"")</f>
        <v/>
      </c>
    </row>
    <row r="1373" spans="1:14" x14ac:dyDescent="0.2">
      <c r="A1373" s="7">
        <v>1357</v>
      </c>
      <c r="B1373" s="8" t="str">
        <f t="shared" si="210"/>
        <v/>
      </c>
      <c r="C1373" s="8" t="str">
        <f t="shared" si="211"/>
        <v/>
      </c>
      <c r="D1373" s="8" t="str">
        <f t="shared" si="212"/>
        <v/>
      </c>
      <c r="E1373" s="9" t="str">
        <f t="shared" si="213"/>
        <v/>
      </c>
      <c r="F1373" s="9" t="str">
        <f t="shared" si="214"/>
        <v/>
      </c>
      <c r="G1373" s="9" t="str">
        <f t="shared" si="215"/>
        <v/>
      </c>
      <c r="H1373" s="9" t="str">
        <f t="shared" si="216"/>
        <v/>
      </c>
      <c r="I1373" s="10" t="str">
        <f t="shared" si="217"/>
        <v/>
      </c>
      <c r="J1373" s="10" t="str">
        <f t="shared" si="219"/>
        <v/>
      </c>
      <c r="K1373" s="11" t="str">
        <f t="shared" si="218"/>
        <v/>
      </c>
      <c r="M1373" t="str">
        <f>IFERROR(MATCH($C$5&amp;"|"&amp;RIGHT("000000"&amp;1357,6),CalcRankKeyA,0),"")</f>
        <v/>
      </c>
      <c r="N1373" t="str">
        <f>IFERROR(MATCH($C$5&amp;"|"&amp;RIGHT("000000"&amp;1357,6),CalcRankKeyB,0),"")</f>
        <v/>
      </c>
    </row>
    <row r="1374" spans="1:14" x14ac:dyDescent="0.2">
      <c r="A1374" s="12">
        <v>1358</v>
      </c>
      <c r="B1374" s="13" t="str">
        <f t="shared" si="210"/>
        <v/>
      </c>
      <c r="C1374" s="13" t="str">
        <f t="shared" si="211"/>
        <v/>
      </c>
      <c r="D1374" s="13" t="str">
        <f t="shared" si="212"/>
        <v/>
      </c>
      <c r="E1374" s="14" t="str">
        <f t="shared" si="213"/>
        <v/>
      </c>
      <c r="F1374" s="14" t="str">
        <f t="shared" si="214"/>
        <v/>
      </c>
      <c r="G1374" s="14" t="str">
        <f t="shared" si="215"/>
        <v/>
      </c>
      <c r="H1374" s="14" t="str">
        <f t="shared" si="216"/>
        <v/>
      </c>
      <c r="I1374" s="15" t="str">
        <f t="shared" si="217"/>
        <v/>
      </c>
      <c r="J1374" s="15" t="str">
        <f t="shared" si="219"/>
        <v/>
      </c>
      <c r="K1374" s="16" t="str">
        <f t="shared" si="218"/>
        <v/>
      </c>
      <c r="M1374" t="str">
        <f>IFERROR(MATCH($C$5&amp;"|"&amp;RIGHT("000000"&amp;1358,6),CalcRankKeyA,0),"")</f>
        <v/>
      </c>
      <c r="N1374" t="str">
        <f>IFERROR(MATCH($C$5&amp;"|"&amp;RIGHT("000000"&amp;1358,6),CalcRankKeyB,0),"")</f>
        <v/>
      </c>
    </row>
    <row r="1375" spans="1:14" x14ac:dyDescent="0.2">
      <c r="A1375" s="7">
        <v>1359</v>
      </c>
      <c r="B1375" s="8" t="str">
        <f t="shared" si="210"/>
        <v/>
      </c>
      <c r="C1375" s="8" t="str">
        <f t="shared" si="211"/>
        <v/>
      </c>
      <c r="D1375" s="8" t="str">
        <f t="shared" si="212"/>
        <v/>
      </c>
      <c r="E1375" s="9" t="str">
        <f t="shared" si="213"/>
        <v/>
      </c>
      <c r="F1375" s="9" t="str">
        <f t="shared" si="214"/>
        <v/>
      </c>
      <c r="G1375" s="9" t="str">
        <f t="shared" si="215"/>
        <v/>
      </c>
      <c r="H1375" s="9" t="str">
        <f t="shared" si="216"/>
        <v/>
      </c>
      <c r="I1375" s="10" t="str">
        <f t="shared" si="217"/>
        <v/>
      </c>
      <c r="J1375" s="10" t="str">
        <f t="shared" si="219"/>
        <v/>
      </c>
      <c r="K1375" s="11" t="str">
        <f t="shared" si="218"/>
        <v/>
      </c>
      <c r="M1375" t="str">
        <f>IFERROR(MATCH($C$5&amp;"|"&amp;RIGHT("000000"&amp;1359,6),CalcRankKeyA,0),"")</f>
        <v/>
      </c>
      <c r="N1375" t="str">
        <f>IFERROR(MATCH($C$5&amp;"|"&amp;RIGHT("000000"&amp;1359,6),CalcRankKeyB,0),"")</f>
        <v/>
      </c>
    </row>
    <row r="1376" spans="1:14" x14ac:dyDescent="0.2">
      <c r="A1376" s="12">
        <v>1360</v>
      </c>
      <c r="B1376" s="13" t="str">
        <f t="shared" si="210"/>
        <v/>
      </c>
      <c r="C1376" s="13" t="str">
        <f t="shared" si="211"/>
        <v/>
      </c>
      <c r="D1376" s="13" t="str">
        <f t="shared" si="212"/>
        <v/>
      </c>
      <c r="E1376" s="14" t="str">
        <f t="shared" si="213"/>
        <v/>
      </c>
      <c r="F1376" s="14" t="str">
        <f t="shared" si="214"/>
        <v/>
      </c>
      <c r="G1376" s="14" t="str">
        <f t="shared" si="215"/>
        <v/>
      </c>
      <c r="H1376" s="14" t="str">
        <f t="shared" si="216"/>
        <v/>
      </c>
      <c r="I1376" s="15" t="str">
        <f t="shared" si="217"/>
        <v/>
      </c>
      <c r="J1376" s="15" t="str">
        <f t="shared" si="219"/>
        <v/>
      </c>
      <c r="K1376" s="16" t="str">
        <f t="shared" si="218"/>
        <v/>
      </c>
      <c r="M1376" t="str">
        <f>IFERROR(MATCH($C$5&amp;"|"&amp;RIGHT("000000"&amp;1360,6),CalcRankKeyA,0),"")</f>
        <v/>
      </c>
      <c r="N1376" t="str">
        <f>IFERROR(MATCH($C$5&amp;"|"&amp;RIGHT("000000"&amp;1360,6),CalcRankKeyB,0),"")</f>
        <v/>
      </c>
    </row>
    <row r="1377" spans="1:14" x14ac:dyDescent="0.2">
      <c r="A1377" s="7">
        <v>1361</v>
      </c>
      <c r="B1377" s="8" t="str">
        <f t="shared" si="210"/>
        <v/>
      </c>
      <c r="C1377" s="8" t="str">
        <f t="shared" si="211"/>
        <v/>
      </c>
      <c r="D1377" s="8" t="str">
        <f t="shared" si="212"/>
        <v/>
      </c>
      <c r="E1377" s="9" t="str">
        <f t="shared" si="213"/>
        <v/>
      </c>
      <c r="F1377" s="9" t="str">
        <f t="shared" si="214"/>
        <v/>
      </c>
      <c r="G1377" s="9" t="str">
        <f t="shared" si="215"/>
        <v/>
      </c>
      <c r="H1377" s="9" t="str">
        <f t="shared" si="216"/>
        <v/>
      </c>
      <c r="I1377" s="10" t="str">
        <f t="shared" si="217"/>
        <v/>
      </c>
      <c r="J1377" s="10" t="str">
        <f t="shared" si="219"/>
        <v/>
      </c>
      <c r="K1377" s="11" t="str">
        <f t="shared" si="218"/>
        <v/>
      </c>
      <c r="M1377" t="str">
        <f>IFERROR(MATCH($C$5&amp;"|"&amp;RIGHT("000000"&amp;1361,6),CalcRankKeyA,0),"")</f>
        <v/>
      </c>
      <c r="N1377" t="str">
        <f>IFERROR(MATCH($C$5&amp;"|"&amp;RIGHT("000000"&amp;1361,6),CalcRankKeyB,0),"")</f>
        <v/>
      </c>
    </row>
    <row r="1378" spans="1:14" x14ac:dyDescent="0.2">
      <c r="A1378" s="12">
        <v>1362</v>
      </c>
      <c r="B1378" s="13" t="str">
        <f t="shared" si="210"/>
        <v/>
      </c>
      <c r="C1378" s="13" t="str">
        <f t="shared" si="211"/>
        <v/>
      </c>
      <c r="D1378" s="13" t="str">
        <f t="shared" si="212"/>
        <v/>
      </c>
      <c r="E1378" s="14" t="str">
        <f t="shared" si="213"/>
        <v/>
      </c>
      <c r="F1378" s="14" t="str">
        <f t="shared" si="214"/>
        <v/>
      </c>
      <c r="G1378" s="14" t="str">
        <f t="shared" si="215"/>
        <v/>
      </c>
      <c r="H1378" s="14" t="str">
        <f t="shared" si="216"/>
        <v/>
      </c>
      <c r="I1378" s="15" t="str">
        <f t="shared" si="217"/>
        <v/>
      </c>
      <c r="J1378" s="15" t="str">
        <f t="shared" si="219"/>
        <v/>
      </c>
      <c r="K1378" s="16" t="str">
        <f t="shared" si="218"/>
        <v/>
      </c>
      <c r="M1378" t="str">
        <f>IFERROR(MATCH($C$5&amp;"|"&amp;RIGHT("000000"&amp;1362,6),CalcRankKeyA,0),"")</f>
        <v/>
      </c>
      <c r="N1378" t="str">
        <f>IFERROR(MATCH($C$5&amp;"|"&amp;RIGHT("000000"&amp;1362,6),CalcRankKeyB,0),"")</f>
        <v/>
      </c>
    </row>
    <row r="1379" spans="1:14" x14ac:dyDescent="0.2">
      <c r="A1379" s="7">
        <v>1363</v>
      </c>
      <c r="B1379" s="8" t="str">
        <f t="shared" si="210"/>
        <v/>
      </c>
      <c r="C1379" s="8" t="str">
        <f t="shared" si="211"/>
        <v/>
      </c>
      <c r="D1379" s="8" t="str">
        <f t="shared" si="212"/>
        <v/>
      </c>
      <c r="E1379" s="9" t="str">
        <f t="shared" si="213"/>
        <v/>
      </c>
      <c r="F1379" s="9" t="str">
        <f t="shared" si="214"/>
        <v/>
      </c>
      <c r="G1379" s="9" t="str">
        <f t="shared" si="215"/>
        <v/>
      </c>
      <c r="H1379" s="9" t="str">
        <f t="shared" si="216"/>
        <v/>
      </c>
      <c r="I1379" s="10" t="str">
        <f t="shared" si="217"/>
        <v/>
      </c>
      <c r="J1379" s="10" t="str">
        <f t="shared" si="219"/>
        <v/>
      </c>
      <c r="K1379" s="11" t="str">
        <f t="shared" si="218"/>
        <v/>
      </c>
      <c r="M1379" t="str">
        <f>IFERROR(MATCH($C$5&amp;"|"&amp;RIGHT("000000"&amp;1363,6),CalcRankKeyA,0),"")</f>
        <v/>
      </c>
      <c r="N1379" t="str">
        <f>IFERROR(MATCH($C$5&amp;"|"&amp;RIGHT("000000"&amp;1363,6),CalcRankKeyB,0),"")</f>
        <v/>
      </c>
    </row>
    <row r="1380" spans="1:14" x14ac:dyDescent="0.2">
      <c r="A1380" s="12">
        <v>1364</v>
      </c>
      <c r="B1380" s="13" t="str">
        <f t="shared" si="210"/>
        <v/>
      </c>
      <c r="C1380" s="13" t="str">
        <f t="shared" si="211"/>
        <v/>
      </c>
      <c r="D1380" s="13" t="str">
        <f t="shared" si="212"/>
        <v/>
      </c>
      <c r="E1380" s="14" t="str">
        <f t="shared" si="213"/>
        <v/>
      </c>
      <c r="F1380" s="14" t="str">
        <f t="shared" si="214"/>
        <v/>
      </c>
      <c r="G1380" s="14" t="str">
        <f t="shared" si="215"/>
        <v/>
      </c>
      <c r="H1380" s="14" t="str">
        <f t="shared" si="216"/>
        <v/>
      </c>
      <c r="I1380" s="15" t="str">
        <f t="shared" si="217"/>
        <v/>
      </c>
      <c r="J1380" s="15" t="str">
        <f t="shared" si="219"/>
        <v/>
      </c>
      <c r="K1380" s="16" t="str">
        <f t="shared" si="218"/>
        <v/>
      </c>
      <c r="M1380" t="str">
        <f>IFERROR(MATCH($C$5&amp;"|"&amp;RIGHT("000000"&amp;1364,6),CalcRankKeyA,0),"")</f>
        <v/>
      </c>
      <c r="N1380" t="str">
        <f>IFERROR(MATCH($C$5&amp;"|"&amp;RIGHT("000000"&amp;1364,6),CalcRankKeyB,0),"")</f>
        <v/>
      </c>
    </row>
    <row r="1381" spans="1:14" x14ac:dyDescent="0.2">
      <c r="A1381" s="7">
        <v>1365</v>
      </c>
      <c r="B1381" s="8" t="str">
        <f t="shared" si="210"/>
        <v/>
      </c>
      <c r="C1381" s="8" t="str">
        <f t="shared" si="211"/>
        <v/>
      </c>
      <c r="D1381" s="8" t="str">
        <f t="shared" si="212"/>
        <v/>
      </c>
      <c r="E1381" s="9" t="str">
        <f t="shared" si="213"/>
        <v/>
      </c>
      <c r="F1381" s="9" t="str">
        <f t="shared" si="214"/>
        <v/>
      </c>
      <c r="G1381" s="9" t="str">
        <f t="shared" si="215"/>
        <v/>
      </c>
      <c r="H1381" s="9" t="str">
        <f t="shared" si="216"/>
        <v/>
      </c>
      <c r="I1381" s="10" t="str">
        <f t="shared" si="217"/>
        <v/>
      </c>
      <c r="J1381" s="10" t="str">
        <f t="shared" si="219"/>
        <v/>
      </c>
      <c r="K1381" s="11" t="str">
        <f t="shared" si="218"/>
        <v/>
      </c>
      <c r="M1381" t="str">
        <f>IFERROR(MATCH($C$5&amp;"|"&amp;RIGHT("000000"&amp;1365,6),CalcRankKeyA,0),"")</f>
        <v/>
      </c>
      <c r="N1381" t="str">
        <f>IFERROR(MATCH($C$5&amp;"|"&amp;RIGHT("000000"&amp;1365,6),CalcRankKeyB,0),"")</f>
        <v/>
      </c>
    </row>
    <row r="1382" spans="1:14" x14ac:dyDescent="0.2">
      <c r="A1382" s="12">
        <v>1366</v>
      </c>
      <c r="B1382" s="13" t="str">
        <f t="shared" si="210"/>
        <v/>
      </c>
      <c r="C1382" s="13" t="str">
        <f t="shared" si="211"/>
        <v/>
      </c>
      <c r="D1382" s="13" t="str">
        <f t="shared" si="212"/>
        <v/>
      </c>
      <c r="E1382" s="14" t="str">
        <f t="shared" si="213"/>
        <v/>
      </c>
      <c r="F1382" s="14" t="str">
        <f t="shared" si="214"/>
        <v/>
      </c>
      <c r="G1382" s="14" t="str">
        <f t="shared" si="215"/>
        <v/>
      </c>
      <c r="H1382" s="14" t="str">
        <f t="shared" si="216"/>
        <v/>
      </c>
      <c r="I1382" s="15" t="str">
        <f t="shared" si="217"/>
        <v/>
      </c>
      <c r="J1382" s="15" t="str">
        <f t="shared" si="219"/>
        <v/>
      </c>
      <c r="K1382" s="16" t="str">
        <f t="shared" si="218"/>
        <v/>
      </c>
      <c r="M1382" t="str">
        <f>IFERROR(MATCH($C$5&amp;"|"&amp;RIGHT("000000"&amp;1366,6),CalcRankKeyA,0),"")</f>
        <v/>
      </c>
      <c r="N1382" t="str">
        <f>IFERROR(MATCH($C$5&amp;"|"&amp;RIGHT("000000"&amp;1366,6),CalcRankKeyB,0),"")</f>
        <v/>
      </c>
    </row>
    <row r="1383" spans="1:14" x14ac:dyDescent="0.2">
      <c r="A1383" s="7">
        <v>1367</v>
      </c>
      <c r="B1383" s="8" t="str">
        <f t="shared" si="210"/>
        <v/>
      </c>
      <c r="C1383" s="8" t="str">
        <f t="shared" si="211"/>
        <v/>
      </c>
      <c r="D1383" s="8" t="str">
        <f t="shared" si="212"/>
        <v/>
      </c>
      <c r="E1383" s="9" t="str">
        <f t="shared" si="213"/>
        <v/>
      </c>
      <c r="F1383" s="9" t="str">
        <f t="shared" si="214"/>
        <v/>
      </c>
      <c r="G1383" s="9" t="str">
        <f t="shared" si="215"/>
        <v/>
      </c>
      <c r="H1383" s="9" t="str">
        <f t="shared" si="216"/>
        <v/>
      </c>
      <c r="I1383" s="10" t="str">
        <f t="shared" si="217"/>
        <v/>
      </c>
      <c r="J1383" s="10" t="str">
        <f t="shared" si="219"/>
        <v/>
      </c>
      <c r="K1383" s="11" t="str">
        <f t="shared" si="218"/>
        <v/>
      </c>
      <c r="M1383" t="str">
        <f>IFERROR(MATCH($C$5&amp;"|"&amp;RIGHT("000000"&amp;1367,6),CalcRankKeyA,0),"")</f>
        <v/>
      </c>
      <c r="N1383" t="str">
        <f>IFERROR(MATCH($C$5&amp;"|"&amp;RIGHT("000000"&amp;1367,6),CalcRankKeyB,0),"")</f>
        <v/>
      </c>
    </row>
    <row r="1384" spans="1:14" x14ac:dyDescent="0.2">
      <c r="A1384" s="12">
        <v>1368</v>
      </c>
      <c r="B1384" s="13" t="str">
        <f t="shared" si="210"/>
        <v/>
      </c>
      <c r="C1384" s="13" t="str">
        <f t="shared" si="211"/>
        <v/>
      </c>
      <c r="D1384" s="13" t="str">
        <f t="shared" si="212"/>
        <v/>
      </c>
      <c r="E1384" s="14" t="str">
        <f t="shared" si="213"/>
        <v/>
      </c>
      <c r="F1384" s="14" t="str">
        <f t="shared" si="214"/>
        <v/>
      </c>
      <c r="G1384" s="14" t="str">
        <f t="shared" si="215"/>
        <v/>
      </c>
      <c r="H1384" s="14" t="str">
        <f t="shared" si="216"/>
        <v/>
      </c>
      <c r="I1384" s="15" t="str">
        <f t="shared" si="217"/>
        <v/>
      </c>
      <c r="J1384" s="15" t="str">
        <f t="shared" si="219"/>
        <v/>
      </c>
      <c r="K1384" s="16" t="str">
        <f t="shared" si="218"/>
        <v/>
      </c>
      <c r="M1384" t="str">
        <f>IFERROR(MATCH($C$5&amp;"|"&amp;RIGHT("000000"&amp;1368,6),CalcRankKeyA,0),"")</f>
        <v/>
      </c>
      <c r="N1384" t="str">
        <f>IFERROR(MATCH($C$5&amp;"|"&amp;RIGHT("000000"&amp;1368,6),CalcRankKeyB,0),"")</f>
        <v/>
      </c>
    </row>
    <row r="1385" spans="1:14" x14ac:dyDescent="0.2">
      <c r="A1385" s="7">
        <v>1369</v>
      </c>
      <c r="B1385" s="8" t="str">
        <f t="shared" si="210"/>
        <v/>
      </c>
      <c r="C1385" s="8" t="str">
        <f t="shared" si="211"/>
        <v/>
      </c>
      <c r="D1385" s="8" t="str">
        <f t="shared" si="212"/>
        <v/>
      </c>
      <c r="E1385" s="9" t="str">
        <f t="shared" si="213"/>
        <v/>
      </c>
      <c r="F1385" s="9" t="str">
        <f t="shared" si="214"/>
        <v/>
      </c>
      <c r="G1385" s="9" t="str">
        <f t="shared" si="215"/>
        <v/>
      </c>
      <c r="H1385" s="9" t="str">
        <f t="shared" si="216"/>
        <v/>
      </c>
      <c r="I1385" s="10" t="str">
        <f t="shared" si="217"/>
        <v/>
      </c>
      <c r="J1385" s="10" t="str">
        <f t="shared" si="219"/>
        <v/>
      </c>
      <c r="K1385" s="11" t="str">
        <f t="shared" si="218"/>
        <v/>
      </c>
      <c r="M1385" t="str">
        <f>IFERROR(MATCH($C$5&amp;"|"&amp;RIGHT("000000"&amp;1369,6),CalcRankKeyA,0),"")</f>
        <v/>
      </c>
      <c r="N1385" t="str">
        <f>IFERROR(MATCH($C$5&amp;"|"&amp;RIGHT("000000"&amp;1369,6),CalcRankKeyB,0),"")</f>
        <v/>
      </c>
    </row>
    <row r="1386" spans="1:14" x14ac:dyDescent="0.2">
      <c r="A1386" s="12">
        <v>1370</v>
      </c>
      <c r="B1386" s="13" t="str">
        <f t="shared" si="210"/>
        <v/>
      </c>
      <c r="C1386" s="13" t="str">
        <f t="shared" si="211"/>
        <v/>
      </c>
      <c r="D1386" s="13" t="str">
        <f t="shared" si="212"/>
        <v/>
      </c>
      <c r="E1386" s="14" t="str">
        <f t="shared" si="213"/>
        <v/>
      </c>
      <c r="F1386" s="14" t="str">
        <f t="shared" si="214"/>
        <v/>
      </c>
      <c r="G1386" s="14" t="str">
        <f t="shared" si="215"/>
        <v/>
      </c>
      <c r="H1386" s="14" t="str">
        <f t="shared" si="216"/>
        <v/>
      </c>
      <c r="I1386" s="15" t="str">
        <f t="shared" si="217"/>
        <v/>
      </c>
      <c r="J1386" s="15" t="str">
        <f t="shared" si="219"/>
        <v/>
      </c>
      <c r="K1386" s="16" t="str">
        <f t="shared" si="218"/>
        <v/>
      </c>
      <c r="M1386" t="str">
        <f>IFERROR(MATCH($C$5&amp;"|"&amp;RIGHT("000000"&amp;1370,6),CalcRankKeyA,0),"")</f>
        <v/>
      </c>
      <c r="N1386" t="str">
        <f>IFERROR(MATCH($C$5&amp;"|"&amp;RIGHT("000000"&amp;1370,6),CalcRankKeyB,0),"")</f>
        <v/>
      </c>
    </row>
    <row r="1387" spans="1:14" x14ac:dyDescent="0.2">
      <c r="A1387" s="7">
        <v>1371</v>
      </c>
      <c r="B1387" s="8" t="str">
        <f t="shared" si="210"/>
        <v/>
      </c>
      <c r="C1387" s="8" t="str">
        <f t="shared" si="211"/>
        <v/>
      </c>
      <c r="D1387" s="8" t="str">
        <f t="shared" si="212"/>
        <v/>
      </c>
      <c r="E1387" s="9" t="str">
        <f t="shared" si="213"/>
        <v/>
      </c>
      <c r="F1387" s="9" t="str">
        <f t="shared" si="214"/>
        <v/>
      </c>
      <c r="G1387" s="9" t="str">
        <f t="shared" si="215"/>
        <v/>
      </c>
      <c r="H1387" s="9" t="str">
        <f t="shared" si="216"/>
        <v/>
      </c>
      <c r="I1387" s="10" t="str">
        <f t="shared" si="217"/>
        <v/>
      </c>
      <c r="J1387" s="10" t="str">
        <f t="shared" si="219"/>
        <v/>
      </c>
      <c r="K1387" s="11" t="str">
        <f t="shared" si="218"/>
        <v/>
      </c>
      <c r="M1387" t="str">
        <f>IFERROR(MATCH($C$5&amp;"|"&amp;RIGHT("000000"&amp;1371,6),CalcRankKeyA,0),"")</f>
        <v/>
      </c>
      <c r="N1387" t="str">
        <f>IFERROR(MATCH($C$5&amp;"|"&amp;RIGHT("000000"&amp;1371,6),CalcRankKeyB,0),"")</f>
        <v/>
      </c>
    </row>
    <row r="1388" spans="1:14" x14ac:dyDescent="0.2">
      <c r="A1388" s="12">
        <v>1372</v>
      </c>
      <c r="B1388" s="13" t="str">
        <f t="shared" si="210"/>
        <v/>
      </c>
      <c r="C1388" s="13" t="str">
        <f t="shared" si="211"/>
        <v/>
      </c>
      <c r="D1388" s="13" t="str">
        <f t="shared" si="212"/>
        <v/>
      </c>
      <c r="E1388" s="14" t="str">
        <f t="shared" si="213"/>
        <v/>
      </c>
      <c r="F1388" s="14" t="str">
        <f t="shared" si="214"/>
        <v/>
      </c>
      <c r="G1388" s="14" t="str">
        <f t="shared" si="215"/>
        <v/>
      </c>
      <c r="H1388" s="14" t="str">
        <f t="shared" si="216"/>
        <v/>
      </c>
      <c r="I1388" s="15" t="str">
        <f t="shared" si="217"/>
        <v/>
      </c>
      <c r="J1388" s="15" t="str">
        <f t="shared" si="219"/>
        <v/>
      </c>
      <c r="K1388" s="16" t="str">
        <f t="shared" si="218"/>
        <v/>
      </c>
      <c r="M1388" t="str">
        <f>IFERROR(MATCH($C$5&amp;"|"&amp;RIGHT("000000"&amp;1372,6),CalcRankKeyA,0),"")</f>
        <v/>
      </c>
      <c r="N1388" t="str">
        <f>IFERROR(MATCH($C$5&amp;"|"&amp;RIGHT("000000"&amp;1372,6),CalcRankKeyB,0),"")</f>
        <v/>
      </c>
    </row>
    <row r="1389" spans="1:14" x14ac:dyDescent="0.2">
      <c r="A1389" s="7">
        <v>1373</v>
      </c>
      <c r="B1389" s="8" t="str">
        <f t="shared" si="210"/>
        <v/>
      </c>
      <c r="C1389" s="8" t="str">
        <f t="shared" si="211"/>
        <v/>
      </c>
      <c r="D1389" s="8" t="str">
        <f t="shared" si="212"/>
        <v/>
      </c>
      <c r="E1389" s="9" t="str">
        <f t="shared" si="213"/>
        <v/>
      </c>
      <c r="F1389" s="9" t="str">
        <f t="shared" si="214"/>
        <v/>
      </c>
      <c r="G1389" s="9" t="str">
        <f t="shared" si="215"/>
        <v/>
      </c>
      <c r="H1389" s="9" t="str">
        <f t="shared" si="216"/>
        <v/>
      </c>
      <c r="I1389" s="10" t="str">
        <f t="shared" si="217"/>
        <v/>
      </c>
      <c r="J1389" s="10" t="str">
        <f t="shared" si="219"/>
        <v/>
      </c>
      <c r="K1389" s="11" t="str">
        <f t="shared" si="218"/>
        <v/>
      </c>
      <c r="M1389" t="str">
        <f>IFERROR(MATCH($C$5&amp;"|"&amp;RIGHT("000000"&amp;1373,6),CalcRankKeyA,0),"")</f>
        <v/>
      </c>
      <c r="N1389" t="str">
        <f>IFERROR(MATCH($C$5&amp;"|"&amp;RIGHT("000000"&amp;1373,6),CalcRankKeyB,0),"")</f>
        <v/>
      </c>
    </row>
    <row r="1390" spans="1:14" x14ac:dyDescent="0.2">
      <c r="A1390" s="12">
        <v>1374</v>
      </c>
      <c r="B1390" s="13" t="str">
        <f t="shared" si="210"/>
        <v/>
      </c>
      <c r="C1390" s="13" t="str">
        <f t="shared" si="211"/>
        <v/>
      </c>
      <c r="D1390" s="13" t="str">
        <f t="shared" si="212"/>
        <v/>
      </c>
      <c r="E1390" s="14" t="str">
        <f t="shared" si="213"/>
        <v/>
      </c>
      <c r="F1390" s="14" t="str">
        <f t="shared" si="214"/>
        <v/>
      </c>
      <c r="G1390" s="14" t="str">
        <f t="shared" si="215"/>
        <v/>
      </c>
      <c r="H1390" s="14" t="str">
        <f t="shared" si="216"/>
        <v/>
      </c>
      <c r="I1390" s="15" t="str">
        <f t="shared" si="217"/>
        <v/>
      </c>
      <c r="J1390" s="15" t="str">
        <f t="shared" si="219"/>
        <v/>
      </c>
      <c r="K1390" s="16" t="str">
        <f t="shared" si="218"/>
        <v/>
      </c>
      <c r="M1390" t="str">
        <f>IFERROR(MATCH($C$5&amp;"|"&amp;RIGHT("000000"&amp;1374,6),CalcRankKeyA,0),"")</f>
        <v/>
      </c>
      <c r="N1390" t="str">
        <f>IFERROR(MATCH($C$5&amp;"|"&amp;RIGHT("000000"&amp;1374,6),CalcRankKeyB,0),"")</f>
        <v/>
      </c>
    </row>
    <row r="1391" spans="1:14" x14ac:dyDescent="0.2">
      <c r="A1391" s="7">
        <v>1375</v>
      </c>
      <c r="B1391" s="8" t="str">
        <f t="shared" si="210"/>
        <v/>
      </c>
      <c r="C1391" s="8" t="str">
        <f t="shared" si="211"/>
        <v/>
      </c>
      <c r="D1391" s="8" t="str">
        <f t="shared" si="212"/>
        <v/>
      </c>
      <c r="E1391" s="9" t="str">
        <f t="shared" si="213"/>
        <v/>
      </c>
      <c r="F1391" s="9" t="str">
        <f t="shared" si="214"/>
        <v/>
      </c>
      <c r="G1391" s="9" t="str">
        <f t="shared" si="215"/>
        <v/>
      </c>
      <c r="H1391" s="9" t="str">
        <f t="shared" si="216"/>
        <v/>
      </c>
      <c r="I1391" s="10" t="str">
        <f t="shared" si="217"/>
        <v/>
      </c>
      <c r="J1391" s="10" t="str">
        <f t="shared" si="219"/>
        <v/>
      </c>
      <c r="K1391" s="11" t="str">
        <f t="shared" si="218"/>
        <v/>
      </c>
      <c r="M1391" t="str">
        <f>IFERROR(MATCH($C$5&amp;"|"&amp;RIGHT("000000"&amp;1375,6),CalcRankKeyA,0),"")</f>
        <v/>
      </c>
      <c r="N1391" t="str">
        <f>IFERROR(MATCH($C$5&amp;"|"&amp;RIGHT("000000"&amp;1375,6),CalcRankKeyB,0),"")</f>
        <v/>
      </c>
    </row>
    <row r="1392" spans="1:14" x14ac:dyDescent="0.2">
      <c r="A1392" s="12">
        <v>1376</v>
      </c>
      <c r="B1392" s="13" t="str">
        <f t="shared" si="210"/>
        <v/>
      </c>
      <c r="C1392" s="13" t="str">
        <f t="shared" si="211"/>
        <v/>
      </c>
      <c r="D1392" s="13" t="str">
        <f t="shared" si="212"/>
        <v/>
      </c>
      <c r="E1392" s="14" t="str">
        <f t="shared" si="213"/>
        <v/>
      </c>
      <c r="F1392" s="14" t="str">
        <f t="shared" si="214"/>
        <v/>
      </c>
      <c r="G1392" s="14" t="str">
        <f t="shared" si="215"/>
        <v/>
      </c>
      <c r="H1392" s="14" t="str">
        <f t="shared" si="216"/>
        <v/>
      </c>
      <c r="I1392" s="15" t="str">
        <f t="shared" si="217"/>
        <v/>
      </c>
      <c r="J1392" s="15" t="str">
        <f t="shared" si="219"/>
        <v/>
      </c>
      <c r="K1392" s="16" t="str">
        <f t="shared" si="218"/>
        <v/>
      </c>
      <c r="M1392" t="str">
        <f>IFERROR(MATCH($C$5&amp;"|"&amp;RIGHT("000000"&amp;1376,6),CalcRankKeyA,0),"")</f>
        <v/>
      </c>
      <c r="N1392" t="str">
        <f>IFERROR(MATCH($C$5&amp;"|"&amp;RIGHT("000000"&amp;1376,6),CalcRankKeyB,0),"")</f>
        <v/>
      </c>
    </row>
    <row r="1393" spans="1:14" x14ac:dyDescent="0.2">
      <c r="A1393" s="7">
        <v>1377</v>
      </c>
      <c r="B1393" s="8" t="str">
        <f t="shared" si="210"/>
        <v/>
      </c>
      <c r="C1393" s="8" t="str">
        <f t="shared" si="211"/>
        <v/>
      </c>
      <c r="D1393" s="8" t="str">
        <f t="shared" si="212"/>
        <v/>
      </c>
      <c r="E1393" s="9" t="str">
        <f t="shared" si="213"/>
        <v/>
      </c>
      <c r="F1393" s="9" t="str">
        <f t="shared" si="214"/>
        <v/>
      </c>
      <c r="G1393" s="9" t="str">
        <f t="shared" si="215"/>
        <v/>
      </c>
      <c r="H1393" s="9" t="str">
        <f t="shared" si="216"/>
        <v/>
      </c>
      <c r="I1393" s="10" t="str">
        <f t="shared" si="217"/>
        <v/>
      </c>
      <c r="J1393" s="10" t="str">
        <f t="shared" si="219"/>
        <v/>
      </c>
      <c r="K1393" s="11" t="str">
        <f t="shared" si="218"/>
        <v/>
      </c>
      <c r="M1393" t="str">
        <f>IFERROR(MATCH($C$5&amp;"|"&amp;RIGHT("000000"&amp;1377,6),CalcRankKeyA,0),"")</f>
        <v/>
      </c>
      <c r="N1393" t="str">
        <f>IFERROR(MATCH($C$5&amp;"|"&amp;RIGHT("000000"&amp;1377,6),CalcRankKeyB,0),"")</f>
        <v/>
      </c>
    </row>
    <row r="1394" spans="1:14" x14ac:dyDescent="0.2">
      <c r="A1394" s="12">
        <v>1378</v>
      </c>
      <c r="B1394" s="13" t="str">
        <f t="shared" si="210"/>
        <v/>
      </c>
      <c r="C1394" s="13" t="str">
        <f t="shared" si="211"/>
        <v/>
      </c>
      <c r="D1394" s="13" t="str">
        <f t="shared" si="212"/>
        <v/>
      </c>
      <c r="E1394" s="14" t="str">
        <f t="shared" si="213"/>
        <v/>
      </c>
      <c r="F1394" s="14" t="str">
        <f t="shared" si="214"/>
        <v/>
      </c>
      <c r="G1394" s="14" t="str">
        <f t="shared" si="215"/>
        <v/>
      </c>
      <c r="H1394" s="14" t="str">
        <f t="shared" si="216"/>
        <v/>
      </c>
      <c r="I1394" s="15" t="str">
        <f t="shared" si="217"/>
        <v/>
      </c>
      <c r="J1394" s="15" t="str">
        <f t="shared" si="219"/>
        <v/>
      </c>
      <c r="K1394" s="16" t="str">
        <f t="shared" si="218"/>
        <v/>
      </c>
      <c r="M1394" t="str">
        <f>IFERROR(MATCH($C$5&amp;"|"&amp;RIGHT("000000"&amp;1378,6),CalcRankKeyA,0),"")</f>
        <v/>
      </c>
      <c r="N1394" t="str">
        <f>IFERROR(MATCH($C$5&amp;"|"&amp;RIGHT("000000"&amp;1378,6),CalcRankKeyB,0),"")</f>
        <v/>
      </c>
    </row>
    <row r="1395" spans="1:14" x14ac:dyDescent="0.2">
      <c r="A1395" s="7">
        <v>1379</v>
      </c>
      <c r="B1395" s="8" t="str">
        <f t="shared" si="210"/>
        <v/>
      </c>
      <c r="C1395" s="8" t="str">
        <f t="shared" si="211"/>
        <v/>
      </c>
      <c r="D1395" s="8" t="str">
        <f t="shared" si="212"/>
        <v/>
      </c>
      <c r="E1395" s="9" t="str">
        <f t="shared" si="213"/>
        <v/>
      </c>
      <c r="F1395" s="9" t="str">
        <f t="shared" si="214"/>
        <v/>
      </c>
      <c r="G1395" s="9" t="str">
        <f t="shared" si="215"/>
        <v/>
      </c>
      <c r="H1395" s="9" t="str">
        <f t="shared" si="216"/>
        <v/>
      </c>
      <c r="I1395" s="10" t="str">
        <f t="shared" si="217"/>
        <v/>
      </c>
      <c r="J1395" s="10" t="str">
        <f t="shared" si="219"/>
        <v/>
      </c>
      <c r="K1395" s="11" t="str">
        <f t="shared" si="218"/>
        <v/>
      </c>
      <c r="M1395" t="str">
        <f>IFERROR(MATCH($C$5&amp;"|"&amp;RIGHT("000000"&amp;1379,6),CalcRankKeyA,0),"")</f>
        <v/>
      </c>
      <c r="N1395" t="str">
        <f>IFERROR(MATCH($C$5&amp;"|"&amp;RIGHT("000000"&amp;1379,6),CalcRankKeyB,0),"")</f>
        <v/>
      </c>
    </row>
    <row r="1396" spans="1:14" x14ac:dyDescent="0.2">
      <c r="A1396" s="12">
        <v>1380</v>
      </c>
      <c r="B1396" s="13" t="str">
        <f t="shared" si="210"/>
        <v/>
      </c>
      <c r="C1396" s="13" t="str">
        <f t="shared" si="211"/>
        <v/>
      </c>
      <c r="D1396" s="13" t="str">
        <f t="shared" si="212"/>
        <v/>
      </c>
      <c r="E1396" s="14" t="str">
        <f t="shared" si="213"/>
        <v/>
      </c>
      <c r="F1396" s="14" t="str">
        <f t="shared" si="214"/>
        <v/>
      </c>
      <c r="G1396" s="14" t="str">
        <f t="shared" si="215"/>
        <v/>
      </c>
      <c r="H1396" s="14" t="str">
        <f t="shared" si="216"/>
        <v/>
      </c>
      <c r="I1396" s="15" t="str">
        <f t="shared" si="217"/>
        <v/>
      </c>
      <c r="J1396" s="15" t="str">
        <f t="shared" si="219"/>
        <v/>
      </c>
      <c r="K1396" s="16" t="str">
        <f t="shared" si="218"/>
        <v/>
      </c>
      <c r="M1396" t="str">
        <f>IFERROR(MATCH($C$5&amp;"|"&amp;RIGHT("000000"&amp;1380,6),CalcRankKeyA,0),"")</f>
        <v/>
      </c>
      <c r="N1396" t="str">
        <f>IFERROR(MATCH($C$5&amp;"|"&amp;RIGHT("000000"&amp;1380,6),CalcRankKeyB,0),"")</f>
        <v/>
      </c>
    </row>
    <row r="1397" spans="1:14" x14ac:dyDescent="0.2">
      <c r="A1397" s="7">
        <v>1381</v>
      </c>
      <c r="B1397" s="8" t="str">
        <f t="shared" si="210"/>
        <v/>
      </c>
      <c r="C1397" s="8" t="str">
        <f t="shared" si="211"/>
        <v/>
      </c>
      <c r="D1397" s="8" t="str">
        <f t="shared" si="212"/>
        <v/>
      </c>
      <c r="E1397" s="9" t="str">
        <f t="shared" si="213"/>
        <v/>
      </c>
      <c r="F1397" s="9" t="str">
        <f t="shared" si="214"/>
        <v/>
      </c>
      <c r="G1397" s="9" t="str">
        <f t="shared" si="215"/>
        <v/>
      </c>
      <c r="H1397" s="9" t="str">
        <f t="shared" si="216"/>
        <v/>
      </c>
      <c r="I1397" s="10" t="str">
        <f t="shared" si="217"/>
        <v/>
      </c>
      <c r="J1397" s="10" t="str">
        <f t="shared" si="219"/>
        <v/>
      </c>
      <c r="K1397" s="11" t="str">
        <f t="shared" si="218"/>
        <v/>
      </c>
      <c r="M1397" t="str">
        <f>IFERROR(MATCH($C$5&amp;"|"&amp;RIGHT("000000"&amp;1381,6),CalcRankKeyA,0),"")</f>
        <v/>
      </c>
      <c r="N1397" t="str">
        <f>IFERROR(MATCH($C$5&amp;"|"&amp;RIGHT("000000"&amp;1381,6),CalcRankKeyB,0),"")</f>
        <v/>
      </c>
    </row>
    <row r="1398" spans="1:14" x14ac:dyDescent="0.2">
      <c r="A1398" s="12">
        <v>1382</v>
      </c>
      <c r="B1398" s="13" t="str">
        <f t="shared" si="210"/>
        <v/>
      </c>
      <c r="C1398" s="13" t="str">
        <f t="shared" si="211"/>
        <v/>
      </c>
      <c r="D1398" s="13" t="str">
        <f t="shared" si="212"/>
        <v/>
      </c>
      <c r="E1398" s="14" t="str">
        <f t="shared" si="213"/>
        <v/>
      </c>
      <c r="F1398" s="14" t="str">
        <f t="shared" si="214"/>
        <v/>
      </c>
      <c r="G1398" s="14" t="str">
        <f t="shared" si="215"/>
        <v/>
      </c>
      <c r="H1398" s="14" t="str">
        <f t="shared" si="216"/>
        <v/>
      </c>
      <c r="I1398" s="15" t="str">
        <f t="shared" si="217"/>
        <v/>
      </c>
      <c r="J1398" s="15" t="str">
        <f t="shared" si="219"/>
        <v/>
      </c>
      <c r="K1398" s="16" t="str">
        <f t="shared" si="218"/>
        <v/>
      </c>
      <c r="M1398" t="str">
        <f>IFERROR(MATCH($C$5&amp;"|"&amp;RIGHT("000000"&amp;1382,6),CalcRankKeyA,0),"")</f>
        <v/>
      </c>
      <c r="N1398" t="str">
        <f>IFERROR(MATCH($C$5&amp;"|"&amp;RIGHT("000000"&amp;1382,6),CalcRankKeyB,0),"")</f>
        <v/>
      </c>
    </row>
    <row r="1399" spans="1:14" x14ac:dyDescent="0.2">
      <c r="A1399" s="7">
        <v>1383</v>
      </c>
      <c r="B1399" s="8" t="str">
        <f t="shared" si="210"/>
        <v/>
      </c>
      <c r="C1399" s="8" t="str">
        <f t="shared" si="211"/>
        <v/>
      </c>
      <c r="D1399" s="8" t="str">
        <f t="shared" si="212"/>
        <v/>
      </c>
      <c r="E1399" s="9" t="str">
        <f t="shared" si="213"/>
        <v/>
      </c>
      <c r="F1399" s="9" t="str">
        <f t="shared" si="214"/>
        <v/>
      </c>
      <c r="G1399" s="9" t="str">
        <f t="shared" si="215"/>
        <v/>
      </c>
      <c r="H1399" s="9" t="str">
        <f t="shared" si="216"/>
        <v/>
      </c>
      <c r="I1399" s="10" t="str">
        <f t="shared" si="217"/>
        <v/>
      </c>
      <c r="J1399" s="10" t="str">
        <f t="shared" si="219"/>
        <v/>
      </c>
      <c r="K1399" s="11" t="str">
        <f t="shared" si="218"/>
        <v/>
      </c>
      <c r="M1399" t="str">
        <f>IFERROR(MATCH($C$5&amp;"|"&amp;RIGHT("000000"&amp;1383,6),CalcRankKeyA,0),"")</f>
        <v/>
      </c>
      <c r="N1399" t="str">
        <f>IFERROR(MATCH($C$5&amp;"|"&amp;RIGHT("000000"&amp;1383,6),CalcRankKeyB,0),"")</f>
        <v/>
      </c>
    </row>
    <row r="1400" spans="1:14" x14ac:dyDescent="0.2">
      <c r="A1400" s="12">
        <v>1384</v>
      </c>
      <c r="B1400" s="13" t="str">
        <f t="shared" si="210"/>
        <v/>
      </c>
      <c r="C1400" s="13" t="str">
        <f t="shared" si="211"/>
        <v/>
      </c>
      <c r="D1400" s="13" t="str">
        <f t="shared" si="212"/>
        <v/>
      </c>
      <c r="E1400" s="14" t="str">
        <f t="shared" si="213"/>
        <v/>
      </c>
      <c r="F1400" s="14" t="str">
        <f t="shared" si="214"/>
        <v/>
      </c>
      <c r="G1400" s="14" t="str">
        <f t="shared" si="215"/>
        <v/>
      </c>
      <c r="H1400" s="14" t="str">
        <f t="shared" si="216"/>
        <v/>
      </c>
      <c r="I1400" s="15" t="str">
        <f t="shared" si="217"/>
        <v/>
      </c>
      <c r="J1400" s="15" t="str">
        <f t="shared" si="219"/>
        <v/>
      </c>
      <c r="K1400" s="16" t="str">
        <f t="shared" si="218"/>
        <v/>
      </c>
      <c r="M1400" t="str">
        <f>IFERROR(MATCH($C$5&amp;"|"&amp;RIGHT("000000"&amp;1384,6),CalcRankKeyA,0),"")</f>
        <v/>
      </c>
      <c r="N1400" t="str">
        <f>IFERROR(MATCH($C$5&amp;"|"&amp;RIGHT("000000"&amp;1384,6),CalcRankKeyB,0),"")</f>
        <v/>
      </c>
    </row>
    <row r="1401" spans="1:14" x14ac:dyDescent="0.2">
      <c r="A1401" s="7">
        <v>1385</v>
      </c>
      <c r="B1401" s="8" t="str">
        <f t="shared" si="210"/>
        <v/>
      </c>
      <c r="C1401" s="8" t="str">
        <f t="shared" si="211"/>
        <v/>
      </c>
      <c r="D1401" s="8" t="str">
        <f t="shared" si="212"/>
        <v/>
      </c>
      <c r="E1401" s="9" t="str">
        <f t="shared" si="213"/>
        <v/>
      </c>
      <c r="F1401" s="9" t="str">
        <f t="shared" si="214"/>
        <v/>
      </c>
      <c r="G1401" s="9" t="str">
        <f t="shared" si="215"/>
        <v/>
      </c>
      <c r="H1401" s="9" t="str">
        <f t="shared" si="216"/>
        <v/>
      </c>
      <c r="I1401" s="10" t="str">
        <f t="shared" si="217"/>
        <v/>
      </c>
      <c r="J1401" s="10" t="str">
        <f t="shared" si="219"/>
        <v/>
      </c>
      <c r="K1401" s="11" t="str">
        <f t="shared" si="218"/>
        <v/>
      </c>
      <c r="M1401" t="str">
        <f>IFERROR(MATCH($C$5&amp;"|"&amp;RIGHT("000000"&amp;1385,6),CalcRankKeyA,0),"")</f>
        <v/>
      </c>
      <c r="N1401" t="str">
        <f>IFERROR(MATCH($C$5&amp;"|"&amp;RIGHT("000000"&amp;1385,6),CalcRankKeyB,0),"")</f>
        <v/>
      </c>
    </row>
    <row r="1402" spans="1:14" x14ac:dyDescent="0.2">
      <c r="A1402" s="12">
        <v>1386</v>
      </c>
      <c r="B1402" s="13" t="str">
        <f t="shared" si="210"/>
        <v/>
      </c>
      <c r="C1402" s="13" t="str">
        <f t="shared" si="211"/>
        <v/>
      </c>
      <c r="D1402" s="13" t="str">
        <f t="shared" si="212"/>
        <v/>
      </c>
      <c r="E1402" s="14" t="str">
        <f t="shared" si="213"/>
        <v/>
      </c>
      <c r="F1402" s="14" t="str">
        <f t="shared" si="214"/>
        <v/>
      </c>
      <c r="G1402" s="14" t="str">
        <f t="shared" si="215"/>
        <v/>
      </c>
      <c r="H1402" s="14" t="str">
        <f t="shared" si="216"/>
        <v/>
      </c>
      <c r="I1402" s="15" t="str">
        <f t="shared" si="217"/>
        <v/>
      </c>
      <c r="J1402" s="15" t="str">
        <f t="shared" si="219"/>
        <v/>
      </c>
      <c r="K1402" s="16" t="str">
        <f t="shared" si="218"/>
        <v/>
      </c>
      <c r="M1402" t="str">
        <f>IFERROR(MATCH($C$5&amp;"|"&amp;RIGHT("000000"&amp;1386,6),CalcRankKeyA,0),"")</f>
        <v/>
      </c>
      <c r="N1402" t="str">
        <f>IFERROR(MATCH($C$5&amp;"|"&amp;RIGHT("000000"&amp;1386,6),CalcRankKeyB,0),"")</f>
        <v/>
      </c>
    </row>
    <row r="1403" spans="1:14" x14ac:dyDescent="0.2">
      <c r="A1403" s="7">
        <v>1387</v>
      </c>
      <c r="B1403" s="8" t="str">
        <f t="shared" si="210"/>
        <v/>
      </c>
      <c r="C1403" s="8" t="str">
        <f t="shared" si="211"/>
        <v/>
      </c>
      <c r="D1403" s="8" t="str">
        <f t="shared" si="212"/>
        <v/>
      </c>
      <c r="E1403" s="9" t="str">
        <f t="shared" si="213"/>
        <v/>
      </c>
      <c r="F1403" s="9" t="str">
        <f t="shared" si="214"/>
        <v/>
      </c>
      <c r="G1403" s="9" t="str">
        <f t="shared" si="215"/>
        <v/>
      </c>
      <c r="H1403" s="9" t="str">
        <f t="shared" si="216"/>
        <v/>
      </c>
      <c r="I1403" s="10" t="str">
        <f t="shared" si="217"/>
        <v/>
      </c>
      <c r="J1403" s="10" t="str">
        <f t="shared" si="219"/>
        <v/>
      </c>
      <c r="K1403" s="11" t="str">
        <f t="shared" si="218"/>
        <v/>
      </c>
      <c r="M1403" t="str">
        <f>IFERROR(MATCH($C$5&amp;"|"&amp;RIGHT("000000"&amp;1387,6),CalcRankKeyA,0),"")</f>
        <v/>
      </c>
      <c r="N1403" t="str">
        <f>IFERROR(MATCH($C$5&amp;"|"&amp;RIGHT("000000"&amp;1387,6),CalcRankKeyB,0),"")</f>
        <v/>
      </c>
    </row>
    <row r="1404" spans="1:14" x14ac:dyDescent="0.2">
      <c r="A1404" s="12">
        <v>1388</v>
      </c>
      <c r="B1404" s="13" t="str">
        <f t="shared" si="210"/>
        <v/>
      </c>
      <c r="C1404" s="13" t="str">
        <f t="shared" si="211"/>
        <v/>
      </c>
      <c r="D1404" s="13" t="str">
        <f t="shared" si="212"/>
        <v/>
      </c>
      <c r="E1404" s="14" t="str">
        <f t="shared" si="213"/>
        <v/>
      </c>
      <c r="F1404" s="14" t="str">
        <f t="shared" si="214"/>
        <v/>
      </c>
      <c r="G1404" s="14" t="str">
        <f t="shared" si="215"/>
        <v/>
      </c>
      <c r="H1404" s="14" t="str">
        <f t="shared" si="216"/>
        <v/>
      </c>
      <c r="I1404" s="15" t="str">
        <f t="shared" si="217"/>
        <v/>
      </c>
      <c r="J1404" s="15" t="str">
        <f t="shared" si="219"/>
        <v/>
      </c>
      <c r="K1404" s="16" t="str">
        <f t="shared" si="218"/>
        <v/>
      </c>
      <c r="M1404" t="str">
        <f>IFERROR(MATCH($C$5&amp;"|"&amp;RIGHT("000000"&amp;1388,6),CalcRankKeyA,0),"")</f>
        <v/>
      </c>
      <c r="N1404" t="str">
        <f>IFERROR(MATCH($C$5&amp;"|"&amp;RIGHT("000000"&amp;1388,6),CalcRankKeyB,0),"")</f>
        <v/>
      </c>
    </row>
    <row r="1405" spans="1:14" x14ac:dyDescent="0.2">
      <c r="A1405" s="7">
        <v>1389</v>
      </c>
      <c r="B1405" s="8" t="str">
        <f t="shared" si="210"/>
        <v/>
      </c>
      <c r="C1405" s="8" t="str">
        <f t="shared" si="211"/>
        <v/>
      </c>
      <c r="D1405" s="8" t="str">
        <f t="shared" si="212"/>
        <v/>
      </c>
      <c r="E1405" s="9" t="str">
        <f t="shared" si="213"/>
        <v/>
      </c>
      <c r="F1405" s="9" t="str">
        <f t="shared" si="214"/>
        <v/>
      </c>
      <c r="G1405" s="9" t="str">
        <f t="shared" si="215"/>
        <v/>
      </c>
      <c r="H1405" s="9" t="str">
        <f t="shared" si="216"/>
        <v/>
      </c>
      <c r="I1405" s="10" t="str">
        <f t="shared" si="217"/>
        <v/>
      </c>
      <c r="J1405" s="10" t="str">
        <f t="shared" si="219"/>
        <v/>
      </c>
      <c r="K1405" s="11" t="str">
        <f t="shared" si="218"/>
        <v/>
      </c>
      <c r="M1405" t="str">
        <f>IFERROR(MATCH($C$5&amp;"|"&amp;RIGHT("000000"&amp;1389,6),CalcRankKeyA,0),"")</f>
        <v/>
      </c>
      <c r="N1405" t="str">
        <f>IFERROR(MATCH($C$5&amp;"|"&amp;RIGHT("000000"&amp;1389,6),CalcRankKeyB,0),"")</f>
        <v/>
      </c>
    </row>
    <row r="1406" spans="1:14" x14ac:dyDescent="0.2">
      <c r="A1406" s="12">
        <v>1390</v>
      </c>
      <c r="B1406" s="13" t="str">
        <f t="shared" si="210"/>
        <v/>
      </c>
      <c r="C1406" s="13" t="str">
        <f t="shared" si="211"/>
        <v/>
      </c>
      <c r="D1406" s="13" t="str">
        <f t="shared" si="212"/>
        <v/>
      </c>
      <c r="E1406" s="14" t="str">
        <f t="shared" si="213"/>
        <v/>
      </c>
      <c r="F1406" s="14" t="str">
        <f t="shared" si="214"/>
        <v/>
      </c>
      <c r="G1406" s="14" t="str">
        <f t="shared" si="215"/>
        <v/>
      </c>
      <c r="H1406" s="14" t="str">
        <f t="shared" si="216"/>
        <v/>
      </c>
      <c r="I1406" s="15" t="str">
        <f t="shared" si="217"/>
        <v/>
      </c>
      <c r="J1406" s="15" t="str">
        <f t="shared" si="219"/>
        <v/>
      </c>
      <c r="K1406" s="16" t="str">
        <f t="shared" si="218"/>
        <v/>
      </c>
      <c r="M1406" t="str">
        <f>IFERROR(MATCH($C$5&amp;"|"&amp;RIGHT("000000"&amp;1390,6),CalcRankKeyA,0),"")</f>
        <v/>
      </c>
      <c r="N1406" t="str">
        <f>IFERROR(MATCH($C$5&amp;"|"&amp;RIGHT("000000"&amp;1390,6),CalcRankKeyB,0),"")</f>
        <v/>
      </c>
    </row>
    <row r="1407" spans="1:14" x14ac:dyDescent="0.2">
      <c r="A1407" s="7">
        <v>1391</v>
      </c>
      <c r="B1407" s="8" t="str">
        <f t="shared" si="210"/>
        <v/>
      </c>
      <c r="C1407" s="8" t="str">
        <f t="shared" si="211"/>
        <v/>
      </c>
      <c r="D1407" s="8" t="str">
        <f t="shared" si="212"/>
        <v/>
      </c>
      <c r="E1407" s="9" t="str">
        <f t="shared" si="213"/>
        <v/>
      </c>
      <c r="F1407" s="9" t="str">
        <f t="shared" si="214"/>
        <v/>
      </c>
      <c r="G1407" s="9" t="str">
        <f t="shared" si="215"/>
        <v/>
      </c>
      <c r="H1407" s="9" t="str">
        <f t="shared" si="216"/>
        <v/>
      </c>
      <c r="I1407" s="10" t="str">
        <f t="shared" si="217"/>
        <v/>
      </c>
      <c r="J1407" s="10" t="str">
        <f t="shared" si="219"/>
        <v/>
      </c>
      <c r="K1407" s="11" t="str">
        <f t="shared" si="218"/>
        <v/>
      </c>
      <c r="M1407" t="str">
        <f>IFERROR(MATCH($C$5&amp;"|"&amp;RIGHT("000000"&amp;1391,6),CalcRankKeyA,0),"")</f>
        <v/>
      </c>
      <c r="N1407" t="str">
        <f>IFERROR(MATCH($C$5&amp;"|"&amp;RIGHT("000000"&amp;1391,6),CalcRankKeyB,0),"")</f>
        <v/>
      </c>
    </row>
    <row r="1408" spans="1:14" x14ac:dyDescent="0.2">
      <c r="A1408" s="12">
        <v>1392</v>
      </c>
      <c r="B1408" s="13" t="str">
        <f t="shared" si="210"/>
        <v/>
      </c>
      <c r="C1408" s="13" t="str">
        <f t="shared" si="211"/>
        <v/>
      </c>
      <c r="D1408" s="13" t="str">
        <f t="shared" si="212"/>
        <v/>
      </c>
      <c r="E1408" s="14" t="str">
        <f t="shared" si="213"/>
        <v/>
      </c>
      <c r="F1408" s="14" t="str">
        <f t="shared" si="214"/>
        <v/>
      </c>
      <c r="G1408" s="14" t="str">
        <f t="shared" si="215"/>
        <v/>
      </c>
      <c r="H1408" s="14" t="str">
        <f t="shared" si="216"/>
        <v/>
      </c>
      <c r="I1408" s="15" t="str">
        <f t="shared" si="217"/>
        <v/>
      </c>
      <c r="J1408" s="15" t="str">
        <f t="shared" si="219"/>
        <v/>
      </c>
      <c r="K1408" s="16" t="str">
        <f t="shared" si="218"/>
        <v/>
      </c>
      <c r="M1408" t="str">
        <f>IFERROR(MATCH($C$5&amp;"|"&amp;RIGHT("000000"&amp;1392,6),CalcRankKeyA,0),"")</f>
        <v/>
      </c>
      <c r="N1408" t="str">
        <f>IFERROR(MATCH($C$5&amp;"|"&amp;RIGHT("000000"&amp;1392,6),CalcRankKeyB,0),"")</f>
        <v/>
      </c>
    </row>
    <row r="1409" spans="1:14" x14ac:dyDescent="0.2">
      <c r="A1409" s="7">
        <v>1393</v>
      </c>
      <c r="B1409" s="8" t="str">
        <f t="shared" si="210"/>
        <v/>
      </c>
      <c r="C1409" s="8" t="str">
        <f t="shared" si="211"/>
        <v/>
      </c>
      <c r="D1409" s="8" t="str">
        <f t="shared" si="212"/>
        <v/>
      </c>
      <c r="E1409" s="9" t="str">
        <f t="shared" si="213"/>
        <v/>
      </c>
      <c r="F1409" s="9" t="str">
        <f t="shared" si="214"/>
        <v/>
      </c>
      <c r="G1409" s="9" t="str">
        <f t="shared" si="215"/>
        <v/>
      </c>
      <c r="H1409" s="9" t="str">
        <f t="shared" si="216"/>
        <v/>
      </c>
      <c r="I1409" s="10" t="str">
        <f t="shared" si="217"/>
        <v/>
      </c>
      <c r="J1409" s="10" t="str">
        <f t="shared" si="219"/>
        <v/>
      </c>
      <c r="K1409" s="11" t="str">
        <f t="shared" si="218"/>
        <v/>
      </c>
      <c r="M1409" t="str">
        <f>IFERROR(MATCH($C$5&amp;"|"&amp;RIGHT("000000"&amp;1393,6),CalcRankKeyA,0),"")</f>
        <v/>
      </c>
      <c r="N1409" t="str">
        <f>IFERROR(MATCH($C$5&amp;"|"&amp;RIGHT("000000"&amp;1393,6),CalcRankKeyB,0),"")</f>
        <v/>
      </c>
    </row>
    <row r="1410" spans="1:14" x14ac:dyDescent="0.2">
      <c r="A1410" s="12">
        <v>1394</v>
      </c>
      <c r="B1410" s="13" t="str">
        <f t="shared" si="210"/>
        <v/>
      </c>
      <c r="C1410" s="13" t="str">
        <f t="shared" si="211"/>
        <v/>
      </c>
      <c r="D1410" s="13" t="str">
        <f t="shared" si="212"/>
        <v/>
      </c>
      <c r="E1410" s="14" t="str">
        <f t="shared" si="213"/>
        <v/>
      </c>
      <c r="F1410" s="14" t="str">
        <f t="shared" si="214"/>
        <v/>
      </c>
      <c r="G1410" s="14" t="str">
        <f t="shared" si="215"/>
        <v/>
      </c>
      <c r="H1410" s="14" t="str">
        <f t="shared" si="216"/>
        <v/>
      </c>
      <c r="I1410" s="15" t="str">
        <f t="shared" si="217"/>
        <v/>
      </c>
      <c r="J1410" s="15" t="str">
        <f t="shared" si="219"/>
        <v/>
      </c>
      <c r="K1410" s="16" t="str">
        <f t="shared" si="218"/>
        <v/>
      </c>
      <c r="M1410" t="str">
        <f>IFERROR(MATCH($C$5&amp;"|"&amp;RIGHT("000000"&amp;1394,6),CalcRankKeyA,0),"")</f>
        <v/>
      </c>
      <c r="N1410" t="str">
        <f>IFERROR(MATCH($C$5&amp;"|"&amp;RIGHT("000000"&amp;1394,6),CalcRankKeyB,0),"")</f>
        <v/>
      </c>
    </row>
    <row r="1411" spans="1:14" x14ac:dyDescent="0.2">
      <c r="A1411" s="7">
        <v>1395</v>
      </c>
      <c r="B1411" s="8" t="str">
        <f t="shared" si="210"/>
        <v/>
      </c>
      <c r="C1411" s="8" t="str">
        <f t="shared" si="211"/>
        <v/>
      </c>
      <c r="D1411" s="8" t="str">
        <f t="shared" si="212"/>
        <v/>
      </c>
      <c r="E1411" s="9" t="str">
        <f t="shared" si="213"/>
        <v/>
      </c>
      <c r="F1411" s="9" t="str">
        <f t="shared" si="214"/>
        <v/>
      </c>
      <c r="G1411" s="9" t="str">
        <f t="shared" si="215"/>
        <v/>
      </c>
      <c r="H1411" s="9" t="str">
        <f t="shared" si="216"/>
        <v/>
      </c>
      <c r="I1411" s="10" t="str">
        <f t="shared" si="217"/>
        <v/>
      </c>
      <c r="J1411" s="10" t="str">
        <f t="shared" si="219"/>
        <v/>
      </c>
      <c r="K1411" s="11" t="str">
        <f t="shared" si="218"/>
        <v/>
      </c>
      <c r="M1411" t="str">
        <f>IFERROR(MATCH($C$5&amp;"|"&amp;RIGHT("000000"&amp;1395,6),CalcRankKeyA,0),"")</f>
        <v/>
      </c>
      <c r="N1411" t="str">
        <f>IFERROR(MATCH($C$5&amp;"|"&amp;RIGHT("000000"&amp;1395,6),CalcRankKeyB,0),"")</f>
        <v/>
      </c>
    </row>
    <row r="1412" spans="1:14" x14ac:dyDescent="0.2">
      <c r="A1412" s="12">
        <v>1396</v>
      </c>
      <c r="B1412" s="13" t="str">
        <f t="shared" si="210"/>
        <v/>
      </c>
      <c r="C1412" s="13" t="str">
        <f t="shared" si="211"/>
        <v/>
      </c>
      <c r="D1412" s="13" t="str">
        <f t="shared" si="212"/>
        <v/>
      </c>
      <c r="E1412" s="14" t="str">
        <f t="shared" si="213"/>
        <v/>
      </c>
      <c r="F1412" s="14" t="str">
        <f t="shared" si="214"/>
        <v/>
      </c>
      <c r="G1412" s="14" t="str">
        <f t="shared" si="215"/>
        <v/>
      </c>
      <c r="H1412" s="14" t="str">
        <f t="shared" si="216"/>
        <v/>
      </c>
      <c r="I1412" s="15" t="str">
        <f t="shared" si="217"/>
        <v/>
      </c>
      <c r="J1412" s="15" t="str">
        <f t="shared" si="219"/>
        <v/>
      </c>
      <c r="K1412" s="16" t="str">
        <f t="shared" si="218"/>
        <v/>
      </c>
      <c r="M1412" t="str">
        <f>IFERROR(MATCH($C$5&amp;"|"&amp;RIGHT("000000"&amp;1396,6),CalcRankKeyA,0),"")</f>
        <v/>
      </c>
      <c r="N1412" t="str">
        <f>IFERROR(MATCH($C$5&amp;"|"&amp;RIGHT("000000"&amp;1396,6),CalcRankKeyB,0),"")</f>
        <v/>
      </c>
    </row>
    <row r="1413" spans="1:14" x14ac:dyDescent="0.2">
      <c r="A1413" s="7">
        <v>1397</v>
      </c>
      <c r="B1413" s="8" t="str">
        <f t="shared" si="210"/>
        <v/>
      </c>
      <c r="C1413" s="8" t="str">
        <f t="shared" si="211"/>
        <v/>
      </c>
      <c r="D1413" s="8" t="str">
        <f t="shared" si="212"/>
        <v/>
      </c>
      <c r="E1413" s="9" t="str">
        <f t="shared" si="213"/>
        <v/>
      </c>
      <c r="F1413" s="9" t="str">
        <f t="shared" si="214"/>
        <v/>
      </c>
      <c r="G1413" s="9" t="str">
        <f t="shared" si="215"/>
        <v/>
      </c>
      <c r="H1413" s="9" t="str">
        <f t="shared" si="216"/>
        <v/>
      </c>
      <c r="I1413" s="10" t="str">
        <f t="shared" si="217"/>
        <v/>
      </c>
      <c r="J1413" s="10" t="str">
        <f t="shared" si="219"/>
        <v/>
      </c>
      <c r="K1413" s="11" t="str">
        <f t="shared" si="218"/>
        <v/>
      </c>
      <c r="M1413" t="str">
        <f>IFERROR(MATCH($C$5&amp;"|"&amp;RIGHT("000000"&amp;1397,6),CalcRankKeyA,0),"")</f>
        <v/>
      </c>
      <c r="N1413" t="str">
        <f>IFERROR(MATCH($C$5&amp;"|"&amp;RIGHT("000000"&amp;1397,6),CalcRankKeyB,0),"")</f>
        <v/>
      </c>
    </row>
    <row r="1414" spans="1:14" x14ac:dyDescent="0.2">
      <c r="A1414" s="12">
        <v>1398</v>
      </c>
      <c r="B1414" s="13" t="str">
        <f t="shared" si="210"/>
        <v/>
      </c>
      <c r="C1414" s="13" t="str">
        <f t="shared" si="211"/>
        <v/>
      </c>
      <c r="D1414" s="13" t="str">
        <f t="shared" si="212"/>
        <v/>
      </c>
      <c r="E1414" s="14" t="str">
        <f t="shared" si="213"/>
        <v/>
      </c>
      <c r="F1414" s="14" t="str">
        <f t="shared" si="214"/>
        <v/>
      </c>
      <c r="G1414" s="14" t="str">
        <f t="shared" si="215"/>
        <v/>
      </c>
      <c r="H1414" s="14" t="str">
        <f t="shared" si="216"/>
        <v/>
      </c>
      <c r="I1414" s="15" t="str">
        <f t="shared" si="217"/>
        <v/>
      </c>
      <c r="J1414" s="15" t="str">
        <f t="shared" si="219"/>
        <v/>
      </c>
      <c r="K1414" s="16" t="str">
        <f t="shared" si="218"/>
        <v/>
      </c>
      <c r="M1414" t="str">
        <f>IFERROR(MATCH($C$5&amp;"|"&amp;RIGHT("000000"&amp;1398,6),CalcRankKeyA,0),"")</f>
        <v/>
      </c>
      <c r="N1414" t="str">
        <f>IFERROR(MATCH($C$5&amp;"|"&amp;RIGHT("000000"&amp;1398,6),CalcRankKeyB,0),"")</f>
        <v/>
      </c>
    </row>
    <row r="1415" spans="1:14" x14ac:dyDescent="0.2">
      <c r="A1415" s="7">
        <v>1399</v>
      </c>
      <c r="B1415" s="8" t="str">
        <f t="shared" si="210"/>
        <v/>
      </c>
      <c r="C1415" s="8" t="str">
        <f t="shared" si="211"/>
        <v/>
      </c>
      <c r="D1415" s="8" t="str">
        <f t="shared" si="212"/>
        <v/>
      </c>
      <c r="E1415" s="9" t="str">
        <f t="shared" si="213"/>
        <v/>
      </c>
      <c r="F1415" s="9" t="str">
        <f t="shared" si="214"/>
        <v/>
      </c>
      <c r="G1415" s="9" t="str">
        <f t="shared" si="215"/>
        <v/>
      </c>
      <c r="H1415" s="9" t="str">
        <f t="shared" si="216"/>
        <v/>
      </c>
      <c r="I1415" s="10" t="str">
        <f t="shared" si="217"/>
        <v/>
      </c>
      <c r="J1415" s="10" t="str">
        <f t="shared" si="219"/>
        <v/>
      </c>
      <c r="K1415" s="11" t="str">
        <f t="shared" si="218"/>
        <v/>
      </c>
      <c r="M1415" t="str">
        <f>IFERROR(MATCH($C$5&amp;"|"&amp;RIGHT("000000"&amp;1399,6),CalcRankKeyA,0),"")</f>
        <v/>
      </c>
      <c r="N1415" t="str">
        <f>IFERROR(MATCH($C$5&amp;"|"&amp;RIGHT("000000"&amp;1399,6),CalcRankKeyB,0),"")</f>
        <v/>
      </c>
    </row>
    <row r="1416" spans="1:14" x14ac:dyDescent="0.2">
      <c r="A1416" s="12">
        <v>1400</v>
      </c>
      <c r="B1416" s="13" t="str">
        <f t="shared" si="210"/>
        <v/>
      </c>
      <c r="C1416" s="13" t="str">
        <f t="shared" si="211"/>
        <v/>
      </c>
      <c r="D1416" s="13" t="str">
        <f t="shared" si="212"/>
        <v/>
      </c>
      <c r="E1416" s="14" t="str">
        <f t="shared" si="213"/>
        <v/>
      </c>
      <c r="F1416" s="14" t="str">
        <f t="shared" si="214"/>
        <v/>
      </c>
      <c r="G1416" s="14" t="str">
        <f t="shared" si="215"/>
        <v/>
      </c>
      <c r="H1416" s="14" t="str">
        <f t="shared" si="216"/>
        <v/>
      </c>
      <c r="I1416" s="15" t="str">
        <f t="shared" si="217"/>
        <v/>
      </c>
      <c r="J1416" s="15" t="str">
        <f t="shared" si="219"/>
        <v/>
      </c>
      <c r="K1416" s="16" t="str">
        <f t="shared" si="218"/>
        <v/>
      </c>
      <c r="M1416" t="str">
        <f>IFERROR(MATCH($C$5&amp;"|"&amp;RIGHT("000000"&amp;1400,6),CalcRankKeyA,0),"")</f>
        <v/>
      </c>
      <c r="N1416" t="str">
        <f>IFERROR(MATCH($C$5&amp;"|"&amp;RIGHT("000000"&amp;1400,6),CalcRankKeyB,0),"")</f>
        <v/>
      </c>
    </row>
    <row r="1417" spans="1:14" x14ac:dyDescent="0.2">
      <c r="A1417" s="7">
        <v>1401</v>
      </c>
      <c r="B1417" s="8" t="str">
        <f t="shared" si="210"/>
        <v/>
      </c>
      <c r="C1417" s="8" t="str">
        <f t="shared" si="211"/>
        <v/>
      </c>
      <c r="D1417" s="8" t="str">
        <f t="shared" si="212"/>
        <v/>
      </c>
      <c r="E1417" s="9" t="str">
        <f t="shared" si="213"/>
        <v/>
      </c>
      <c r="F1417" s="9" t="str">
        <f t="shared" si="214"/>
        <v/>
      </c>
      <c r="G1417" s="9" t="str">
        <f t="shared" si="215"/>
        <v/>
      </c>
      <c r="H1417" s="9" t="str">
        <f t="shared" si="216"/>
        <v/>
      </c>
      <c r="I1417" s="10" t="str">
        <f t="shared" si="217"/>
        <v/>
      </c>
      <c r="J1417" s="10" t="str">
        <f t="shared" si="219"/>
        <v/>
      </c>
      <c r="K1417" s="11" t="str">
        <f t="shared" si="218"/>
        <v/>
      </c>
      <c r="M1417" t="str">
        <f>IFERROR(MATCH($C$5&amp;"|"&amp;RIGHT("000000"&amp;1401,6),CalcRankKeyA,0),"")</f>
        <v/>
      </c>
      <c r="N1417" t="str">
        <f>IFERROR(MATCH($C$5&amp;"|"&amp;RIGHT("000000"&amp;1401,6),CalcRankKeyB,0),"")</f>
        <v/>
      </c>
    </row>
    <row r="1418" spans="1:14" x14ac:dyDescent="0.2">
      <c r="A1418" s="12">
        <v>1402</v>
      </c>
      <c r="B1418" s="13" t="str">
        <f t="shared" si="210"/>
        <v/>
      </c>
      <c r="C1418" s="13" t="str">
        <f t="shared" si="211"/>
        <v/>
      </c>
      <c r="D1418" s="13" t="str">
        <f t="shared" si="212"/>
        <v/>
      </c>
      <c r="E1418" s="14" t="str">
        <f t="shared" si="213"/>
        <v/>
      </c>
      <c r="F1418" s="14" t="str">
        <f t="shared" si="214"/>
        <v/>
      </c>
      <c r="G1418" s="14" t="str">
        <f t="shared" si="215"/>
        <v/>
      </c>
      <c r="H1418" s="14" t="str">
        <f t="shared" si="216"/>
        <v/>
      </c>
      <c r="I1418" s="15" t="str">
        <f t="shared" si="217"/>
        <v/>
      </c>
      <c r="J1418" s="15" t="str">
        <f t="shared" si="219"/>
        <v/>
      </c>
      <c r="K1418" s="16" t="str">
        <f t="shared" si="218"/>
        <v/>
      </c>
      <c r="M1418" t="str">
        <f>IFERROR(MATCH($C$5&amp;"|"&amp;RIGHT("000000"&amp;1402,6),CalcRankKeyA,0),"")</f>
        <v/>
      </c>
      <c r="N1418" t="str">
        <f>IFERROR(MATCH($C$5&amp;"|"&amp;RIGHT("000000"&amp;1402,6),CalcRankKeyB,0),"")</f>
        <v/>
      </c>
    </row>
    <row r="1419" spans="1:14" x14ac:dyDescent="0.2">
      <c r="A1419" s="7">
        <v>1403</v>
      </c>
      <c r="B1419" s="8" t="str">
        <f t="shared" si="210"/>
        <v/>
      </c>
      <c r="C1419" s="8" t="str">
        <f t="shared" si="211"/>
        <v/>
      </c>
      <c r="D1419" s="8" t="str">
        <f t="shared" si="212"/>
        <v/>
      </c>
      <c r="E1419" s="9" t="str">
        <f t="shared" si="213"/>
        <v/>
      </c>
      <c r="F1419" s="9" t="str">
        <f t="shared" si="214"/>
        <v/>
      </c>
      <c r="G1419" s="9" t="str">
        <f t="shared" si="215"/>
        <v/>
      </c>
      <c r="H1419" s="9" t="str">
        <f t="shared" si="216"/>
        <v/>
      </c>
      <c r="I1419" s="10" t="str">
        <f t="shared" si="217"/>
        <v/>
      </c>
      <c r="J1419" s="10" t="str">
        <f t="shared" si="219"/>
        <v/>
      </c>
      <c r="K1419" s="11" t="str">
        <f t="shared" si="218"/>
        <v/>
      </c>
      <c r="M1419" t="str">
        <f>IFERROR(MATCH($C$5&amp;"|"&amp;RIGHT("000000"&amp;1403,6),CalcRankKeyA,0),"")</f>
        <v/>
      </c>
      <c r="N1419" t="str">
        <f>IFERROR(MATCH($C$5&amp;"|"&amp;RIGHT("000000"&amp;1403,6),CalcRankKeyB,0),"")</f>
        <v/>
      </c>
    </row>
    <row r="1420" spans="1:14" x14ac:dyDescent="0.2">
      <c r="A1420" s="12">
        <v>1404</v>
      </c>
      <c r="B1420" s="13" t="str">
        <f t="shared" si="210"/>
        <v/>
      </c>
      <c r="C1420" s="13" t="str">
        <f t="shared" si="211"/>
        <v/>
      </c>
      <c r="D1420" s="13" t="str">
        <f t="shared" si="212"/>
        <v/>
      </c>
      <c r="E1420" s="14" t="str">
        <f t="shared" si="213"/>
        <v/>
      </c>
      <c r="F1420" s="14" t="str">
        <f t="shared" si="214"/>
        <v/>
      </c>
      <c r="G1420" s="14" t="str">
        <f t="shared" si="215"/>
        <v/>
      </c>
      <c r="H1420" s="14" t="str">
        <f t="shared" si="216"/>
        <v/>
      </c>
      <c r="I1420" s="15" t="str">
        <f t="shared" si="217"/>
        <v/>
      </c>
      <c r="J1420" s="15" t="str">
        <f t="shared" si="219"/>
        <v/>
      </c>
      <c r="K1420" s="16" t="str">
        <f t="shared" si="218"/>
        <v/>
      </c>
      <c r="M1420" t="str">
        <f>IFERROR(MATCH($C$5&amp;"|"&amp;RIGHT("000000"&amp;1404,6),CalcRankKeyA,0),"")</f>
        <v/>
      </c>
      <c r="N1420" t="str">
        <f>IFERROR(MATCH($C$5&amp;"|"&amp;RIGHT("000000"&amp;1404,6),CalcRankKeyB,0),"")</f>
        <v/>
      </c>
    </row>
    <row r="1421" spans="1:14" x14ac:dyDescent="0.2">
      <c r="A1421" s="7">
        <v>1405</v>
      </c>
      <c r="B1421" s="8" t="str">
        <f t="shared" si="210"/>
        <v/>
      </c>
      <c r="C1421" s="8" t="str">
        <f t="shared" si="211"/>
        <v/>
      </c>
      <c r="D1421" s="8" t="str">
        <f t="shared" si="212"/>
        <v/>
      </c>
      <c r="E1421" s="9" t="str">
        <f t="shared" si="213"/>
        <v/>
      </c>
      <c r="F1421" s="9" t="str">
        <f t="shared" si="214"/>
        <v/>
      </c>
      <c r="G1421" s="9" t="str">
        <f t="shared" si="215"/>
        <v/>
      </c>
      <c r="H1421" s="9" t="str">
        <f t="shared" si="216"/>
        <v/>
      </c>
      <c r="I1421" s="10" t="str">
        <f t="shared" si="217"/>
        <v/>
      </c>
      <c r="J1421" s="10" t="str">
        <f t="shared" si="219"/>
        <v/>
      </c>
      <c r="K1421" s="11" t="str">
        <f t="shared" si="218"/>
        <v/>
      </c>
      <c r="M1421" t="str">
        <f>IFERROR(MATCH($C$5&amp;"|"&amp;RIGHT("000000"&amp;1405,6),CalcRankKeyA,0),"")</f>
        <v/>
      </c>
      <c r="N1421" t="str">
        <f>IFERROR(MATCH($C$5&amp;"|"&amp;RIGHT("000000"&amp;1405,6),CalcRankKeyB,0),"")</f>
        <v/>
      </c>
    </row>
    <row r="1422" spans="1:14" x14ac:dyDescent="0.2">
      <c r="A1422" s="12">
        <v>1406</v>
      </c>
      <c r="B1422" s="13" t="str">
        <f t="shared" si="210"/>
        <v/>
      </c>
      <c r="C1422" s="13" t="str">
        <f t="shared" si="211"/>
        <v/>
      </c>
      <c r="D1422" s="13" t="str">
        <f t="shared" si="212"/>
        <v/>
      </c>
      <c r="E1422" s="14" t="str">
        <f t="shared" si="213"/>
        <v/>
      </c>
      <c r="F1422" s="14" t="str">
        <f t="shared" si="214"/>
        <v/>
      </c>
      <c r="G1422" s="14" t="str">
        <f t="shared" si="215"/>
        <v/>
      </c>
      <c r="H1422" s="14" t="str">
        <f t="shared" si="216"/>
        <v/>
      </c>
      <c r="I1422" s="15" t="str">
        <f t="shared" si="217"/>
        <v/>
      </c>
      <c r="J1422" s="15" t="str">
        <f t="shared" si="219"/>
        <v/>
      </c>
      <c r="K1422" s="16" t="str">
        <f t="shared" si="218"/>
        <v/>
      </c>
      <c r="M1422" t="str">
        <f>IFERROR(MATCH($C$5&amp;"|"&amp;RIGHT("000000"&amp;1406,6),CalcRankKeyA,0),"")</f>
        <v/>
      </c>
      <c r="N1422" t="str">
        <f>IFERROR(MATCH($C$5&amp;"|"&amp;RIGHT("000000"&amp;1406,6),CalcRankKeyB,0),"")</f>
        <v/>
      </c>
    </row>
    <row r="1423" spans="1:14" x14ac:dyDescent="0.2">
      <c r="A1423" s="7">
        <v>1407</v>
      </c>
      <c r="B1423" s="8" t="str">
        <f t="shared" si="210"/>
        <v/>
      </c>
      <c r="C1423" s="8" t="str">
        <f t="shared" si="211"/>
        <v/>
      </c>
      <c r="D1423" s="8" t="str">
        <f t="shared" si="212"/>
        <v/>
      </c>
      <c r="E1423" s="9" t="str">
        <f t="shared" si="213"/>
        <v/>
      </c>
      <c r="F1423" s="9" t="str">
        <f t="shared" si="214"/>
        <v/>
      </c>
      <c r="G1423" s="9" t="str">
        <f t="shared" si="215"/>
        <v/>
      </c>
      <c r="H1423" s="9" t="str">
        <f t="shared" si="216"/>
        <v/>
      </c>
      <c r="I1423" s="10" t="str">
        <f t="shared" si="217"/>
        <v/>
      </c>
      <c r="J1423" s="10" t="str">
        <f t="shared" si="219"/>
        <v/>
      </c>
      <c r="K1423" s="11" t="str">
        <f t="shared" si="218"/>
        <v/>
      </c>
      <c r="M1423" t="str">
        <f>IFERROR(MATCH($C$5&amp;"|"&amp;RIGHT("000000"&amp;1407,6),CalcRankKeyA,0),"")</f>
        <v/>
      </c>
      <c r="N1423" t="str">
        <f>IFERROR(MATCH($C$5&amp;"|"&amp;RIGHT("000000"&amp;1407,6),CalcRankKeyB,0),"")</f>
        <v/>
      </c>
    </row>
    <row r="1424" spans="1:14" x14ac:dyDescent="0.2">
      <c r="A1424" s="12">
        <v>1408</v>
      </c>
      <c r="B1424" s="13" t="str">
        <f t="shared" si="210"/>
        <v/>
      </c>
      <c r="C1424" s="13" t="str">
        <f t="shared" si="211"/>
        <v/>
      </c>
      <c r="D1424" s="13" t="str">
        <f t="shared" si="212"/>
        <v/>
      </c>
      <c r="E1424" s="14" t="str">
        <f t="shared" si="213"/>
        <v/>
      </c>
      <c r="F1424" s="14" t="str">
        <f t="shared" si="214"/>
        <v/>
      </c>
      <c r="G1424" s="14" t="str">
        <f t="shared" si="215"/>
        <v/>
      </c>
      <c r="H1424" s="14" t="str">
        <f t="shared" si="216"/>
        <v/>
      </c>
      <c r="I1424" s="15" t="str">
        <f t="shared" si="217"/>
        <v/>
      </c>
      <c r="J1424" s="15" t="str">
        <f t="shared" si="219"/>
        <v/>
      </c>
      <c r="K1424" s="16" t="str">
        <f t="shared" si="218"/>
        <v/>
      </c>
      <c r="M1424" t="str">
        <f>IFERROR(MATCH($C$5&amp;"|"&amp;RIGHT("000000"&amp;1408,6),CalcRankKeyA,0),"")</f>
        <v/>
      </c>
      <c r="N1424" t="str">
        <f>IFERROR(MATCH($C$5&amp;"|"&amp;RIGHT("000000"&amp;1408,6),CalcRankKeyB,0),"")</f>
        <v/>
      </c>
    </row>
    <row r="1425" spans="1:14" x14ac:dyDescent="0.2">
      <c r="A1425" s="7">
        <v>1409</v>
      </c>
      <c r="B1425" s="8" t="str">
        <f t="shared" ref="B1425:B1488" si="220">IF(AND($M1425="",$N1425=""),"",IF($M1425&lt;&gt;"",INDEX(CalcDateA,$M1425),INDEX(CalcDateB,$N1425)))</f>
        <v/>
      </c>
      <c r="C1425" s="8" t="str">
        <f t="shared" ref="C1425:C1488" si="221">IF($M1425&lt;&gt;"","خرید سبد",IF($N1425&lt;&gt;"",IF(N(INDEX(CalcDepB,$N1425))&gt;0,"دریافت بانکی","پرداخت بانکی"),""))</f>
        <v/>
      </c>
      <c r="D1425" s="8" t="str">
        <f t="shared" ref="D1425:D1488" si="222">IF($M1425&lt;&gt;"",IF(INDEX(CalcDocA,$M1425)="","—",INDEX(CalcDocA,$M1425)),IF($N1425&lt;&gt;"",INDEX(CalcBankB,$N1425),""))</f>
        <v/>
      </c>
      <c r="E1425" s="9" t="str">
        <f t="shared" ref="E1425:E1488" si="223">IF($N1425&lt;&gt;"",IF(INDEX(CalcDepB,$N1425)=0,"",INDEX(CalcDepB,$N1425)),"")</f>
        <v/>
      </c>
      <c r="F1425" s="9" t="str">
        <f t="shared" ref="F1425:F1488" si="224">IF($M1425&lt;&gt;"",IF(INDEX(CalcQtyA,$M1425)=0,"",INDEX(CalcQtyA,$M1425)),"")</f>
        <v/>
      </c>
      <c r="G1425" s="9" t="str">
        <f t="shared" ref="G1425:G1488" si="225">IF($M1425&lt;&gt;"",IF(INDEX(CalcPriceA,$M1425)=0,"",INDEX(CalcPriceA,$M1425)),"")</f>
        <v/>
      </c>
      <c r="H1425" s="9" t="str">
        <f t="shared" ref="H1425:H1488" si="226">IF($N1425&lt;&gt;"",IF(INDEX(CalcWitB,$N1425)=0,"",INDEX(CalcWitB,$N1425)),"")</f>
        <v/>
      </c>
      <c r="I1425" s="10" t="str">
        <f t="shared" ref="I1425:I1488" si="227">IF($M1425&lt;&gt;"",INDEX(CalcAmtA,$M1425),"")</f>
        <v/>
      </c>
      <c r="J1425" s="10" t="str">
        <f t="shared" si="219"/>
        <v/>
      </c>
      <c r="K1425" s="11" t="str">
        <f t="shared" ref="K1425:K1488" si="228">IF($M1425&lt;&gt;"",IF(INDEX(CalcNoteA,$M1425)="","—",INDEX(CalcNoteA,$M1425)),IF($N1425&lt;&gt;"",IF(INDEX(CalcNoteB,$N1425)="","—",INDEX(CalcNoteB,$N1425)),""))</f>
        <v/>
      </c>
      <c r="M1425" t="str">
        <f>IFERROR(MATCH($C$5&amp;"|"&amp;RIGHT("000000"&amp;1409,6),CalcRankKeyA,0),"")</f>
        <v/>
      </c>
      <c r="N1425" t="str">
        <f>IFERROR(MATCH($C$5&amp;"|"&amp;RIGHT("000000"&amp;1409,6),CalcRankKeyB,0),"")</f>
        <v/>
      </c>
    </row>
    <row r="1426" spans="1:14" x14ac:dyDescent="0.2">
      <c r="A1426" s="12">
        <v>1410</v>
      </c>
      <c r="B1426" s="13" t="str">
        <f t="shared" si="220"/>
        <v/>
      </c>
      <c r="C1426" s="13" t="str">
        <f t="shared" si="221"/>
        <v/>
      </c>
      <c r="D1426" s="13" t="str">
        <f t="shared" si="222"/>
        <v/>
      </c>
      <c r="E1426" s="14" t="str">
        <f t="shared" si="223"/>
        <v/>
      </c>
      <c r="F1426" s="14" t="str">
        <f t="shared" si="224"/>
        <v/>
      </c>
      <c r="G1426" s="14" t="str">
        <f t="shared" si="225"/>
        <v/>
      </c>
      <c r="H1426" s="14" t="str">
        <f t="shared" si="226"/>
        <v/>
      </c>
      <c r="I1426" s="15" t="str">
        <f t="shared" si="227"/>
        <v/>
      </c>
      <c r="J1426" s="15" t="str">
        <f t="shared" ref="J1426:J1489" si="229">IF($B1426="","",IF($J1425="",$C$8,$J1425)+IF($I1426="",0,$I1426)+IF($E1426="",0,$E1426)-IF($H1426="",0,$H1426))</f>
        <v/>
      </c>
      <c r="K1426" s="16" t="str">
        <f t="shared" si="228"/>
        <v/>
      </c>
      <c r="M1426" t="str">
        <f>IFERROR(MATCH($C$5&amp;"|"&amp;RIGHT("000000"&amp;1410,6),CalcRankKeyA,0),"")</f>
        <v/>
      </c>
      <c r="N1426" t="str">
        <f>IFERROR(MATCH($C$5&amp;"|"&amp;RIGHT("000000"&amp;1410,6),CalcRankKeyB,0),"")</f>
        <v/>
      </c>
    </row>
    <row r="1427" spans="1:14" x14ac:dyDescent="0.2">
      <c r="A1427" s="7">
        <v>1411</v>
      </c>
      <c r="B1427" s="8" t="str">
        <f t="shared" si="220"/>
        <v/>
      </c>
      <c r="C1427" s="8" t="str">
        <f t="shared" si="221"/>
        <v/>
      </c>
      <c r="D1427" s="8" t="str">
        <f t="shared" si="222"/>
        <v/>
      </c>
      <c r="E1427" s="9" t="str">
        <f t="shared" si="223"/>
        <v/>
      </c>
      <c r="F1427" s="9" t="str">
        <f t="shared" si="224"/>
        <v/>
      </c>
      <c r="G1427" s="9" t="str">
        <f t="shared" si="225"/>
        <v/>
      </c>
      <c r="H1427" s="9" t="str">
        <f t="shared" si="226"/>
        <v/>
      </c>
      <c r="I1427" s="10" t="str">
        <f t="shared" si="227"/>
        <v/>
      </c>
      <c r="J1427" s="10" t="str">
        <f t="shared" si="229"/>
        <v/>
      </c>
      <c r="K1427" s="11" t="str">
        <f t="shared" si="228"/>
        <v/>
      </c>
      <c r="M1427" t="str">
        <f>IFERROR(MATCH($C$5&amp;"|"&amp;RIGHT("000000"&amp;1411,6),CalcRankKeyA,0),"")</f>
        <v/>
      </c>
      <c r="N1427" t="str">
        <f>IFERROR(MATCH($C$5&amp;"|"&amp;RIGHT("000000"&amp;1411,6),CalcRankKeyB,0),"")</f>
        <v/>
      </c>
    </row>
    <row r="1428" spans="1:14" x14ac:dyDescent="0.2">
      <c r="A1428" s="12">
        <v>1412</v>
      </c>
      <c r="B1428" s="13" t="str">
        <f t="shared" si="220"/>
        <v/>
      </c>
      <c r="C1428" s="13" t="str">
        <f t="shared" si="221"/>
        <v/>
      </c>
      <c r="D1428" s="13" t="str">
        <f t="shared" si="222"/>
        <v/>
      </c>
      <c r="E1428" s="14" t="str">
        <f t="shared" si="223"/>
        <v/>
      </c>
      <c r="F1428" s="14" t="str">
        <f t="shared" si="224"/>
        <v/>
      </c>
      <c r="G1428" s="14" t="str">
        <f t="shared" si="225"/>
        <v/>
      </c>
      <c r="H1428" s="14" t="str">
        <f t="shared" si="226"/>
        <v/>
      </c>
      <c r="I1428" s="15" t="str">
        <f t="shared" si="227"/>
        <v/>
      </c>
      <c r="J1428" s="15" t="str">
        <f t="shared" si="229"/>
        <v/>
      </c>
      <c r="K1428" s="16" t="str">
        <f t="shared" si="228"/>
        <v/>
      </c>
      <c r="M1428" t="str">
        <f>IFERROR(MATCH($C$5&amp;"|"&amp;RIGHT("000000"&amp;1412,6),CalcRankKeyA,0),"")</f>
        <v/>
      </c>
      <c r="N1428" t="str">
        <f>IFERROR(MATCH($C$5&amp;"|"&amp;RIGHT("000000"&amp;1412,6),CalcRankKeyB,0),"")</f>
        <v/>
      </c>
    </row>
    <row r="1429" spans="1:14" x14ac:dyDescent="0.2">
      <c r="A1429" s="7">
        <v>1413</v>
      </c>
      <c r="B1429" s="8" t="str">
        <f t="shared" si="220"/>
        <v/>
      </c>
      <c r="C1429" s="8" t="str">
        <f t="shared" si="221"/>
        <v/>
      </c>
      <c r="D1429" s="8" t="str">
        <f t="shared" si="222"/>
        <v/>
      </c>
      <c r="E1429" s="9" t="str">
        <f t="shared" si="223"/>
        <v/>
      </c>
      <c r="F1429" s="9" t="str">
        <f t="shared" si="224"/>
        <v/>
      </c>
      <c r="G1429" s="9" t="str">
        <f t="shared" si="225"/>
        <v/>
      </c>
      <c r="H1429" s="9" t="str">
        <f t="shared" si="226"/>
        <v/>
      </c>
      <c r="I1429" s="10" t="str">
        <f t="shared" si="227"/>
        <v/>
      </c>
      <c r="J1429" s="10" t="str">
        <f t="shared" si="229"/>
        <v/>
      </c>
      <c r="K1429" s="11" t="str">
        <f t="shared" si="228"/>
        <v/>
      </c>
      <c r="M1429" t="str">
        <f>IFERROR(MATCH($C$5&amp;"|"&amp;RIGHT("000000"&amp;1413,6),CalcRankKeyA,0),"")</f>
        <v/>
      </c>
      <c r="N1429" t="str">
        <f>IFERROR(MATCH($C$5&amp;"|"&amp;RIGHT("000000"&amp;1413,6),CalcRankKeyB,0),"")</f>
        <v/>
      </c>
    </row>
    <row r="1430" spans="1:14" x14ac:dyDescent="0.2">
      <c r="A1430" s="12">
        <v>1414</v>
      </c>
      <c r="B1430" s="13" t="str">
        <f t="shared" si="220"/>
        <v/>
      </c>
      <c r="C1430" s="13" t="str">
        <f t="shared" si="221"/>
        <v/>
      </c>
      <c r="D1430" s="13" t="str">
        <f t="shared" si="222"/>
        <v/>
      </c>
      <c r="E1430" s="14" t="str">
        <f t="shared" si="223"/>
        <v/>
      </c>
      <c r="F1430" s="14" t="str">
        <f t="shared" si="224"/>
        <v/>
      </c>
      <c r="G1430" s="14" t="str">
        <f t="shared" si="225"/>
        <v/>
      </c>
      <c r="H1430" s="14" t="str">
        <f t="shared" si="226"/>
        <v/>
      </c>
      <c r="I1430" s="15" t="str">
        <f t="shared" si="227"/>
        <v/>
      </c>
      <c r="J1430" s="15" t="str">
        <f t="shared" si="229"/>
        <v/>
      </c>
      <c r="K1430" s="16" t="str">
        <f t="shared" si="228"/>
        <v/>
      </c>
      <c r="M1430" t="str">
        <f>IFERROR(MATCH($C$5&amp;"|"&amp;RIGHT("000000"&amp;1414,6),CalcRankKeyA,0),"")</f>
        <v/>
      </c>
      <c r="N1430" t="str">
        <f>IFERROR(MATCH($C$5&amp;"|"&amp;RIGHT("000000"&amp;1414,6),CalcRankKeyB,0),"")</f>
        <v/>
      </c>
    </row>
    <row r="1431" spans="1:14" x14ac:dyDescent="0.2">
      <c r="A1431" s="7">
        <v>1415</v>
      </c>
      <c r="B1431" s="8" t="str">
        <f t="shared" si="220"/>
        <v/>
      </c>
      <c r="C1431" s="8" t="str">
        <f t="shared" si="221"/>
        <v/>
      </c>
      <c r="D1431" s="8" t="str">
        <f t="shared" si="222"/>
        <v/>
      </c>
      <c r="E1431" s="9" t="str">
        <f t="shared" si="223"/>
        <v/>
      </c>
      <c r="F1431" s="9" t="str">
        <f t="shared" si="224"/>
        <v/>
      </c>
      <c r="G1431" s="9" t="str">
        <f t="shared" si="225"/>
        <v/>
      </c>
      <c r="H1431" s="9" t="str">
        <f t="shared" si="226"/>
        <v/>
      </c>
      <c r="I1431" s="10" t="str">
        <f t="shared" si="227"/>
        <v/>
      </c>
      <c r="J1431" s="10" t="str">
        <f t="shared" si="229"/>
        <v/>
      </c>
      <c r="K1431" s="11" t="str">
        <f t="shared" si="228"/>
        <v/>
      </c>
      <c r="M1431" t="str">
        <f>IFERROR(MATCH($C$5&amp;"|"&amp;RIGHT("000000"&amp;1415,6),CalcRankKeyA,0),"")</f>
        <v/>
      </c>
      <c r="N1431" t="str">
        <f>IFERROR(MATCH($C$5&amp;"|"&amp;RIGHT("000000"&amp;1415,6),CalcRankKeyB,0),"")</f>
        <v/>
      </c>
    </row>
    <row r="1432" spans="1:14" x14ac:dyDescent="0.2">
      <c r="A1432" s="12">
        <v>1416</v>
      </c>
      <c r="B1432" s="13" t="str">
        <f t="shared" si="220"/>
        <v/>
      </c>
      <c r="C1432" s="13" t="str">
        <f t="shared" si="221"/>
        <v/>
      </c>
      <c r="D1432" s="13" t="str">
        <f t="shared" si="222"/>
        <v/>
      </c>
      <c r="E1432" s="14" t="str">
        <f t="shared" si="223"/>
        <v/>
      </c>
      <c r="F1432" s="14" t="str">
        <f t="shared" si="224"/>
        <v/>
      </c>
      <c r="G1432" s="14" t="str">
        <f t="shared" si="225"/>
        <v/>
      </c>
      <c r="H1432" s="14" t="str">
        <f t="shared" si="226"/>
        <v/>
      </c>
      <c r="I1432" s="15" t="str">
        <f t="shared" si="227"/>
        <v/>
      </c>
      <c r="J1432" s="15" t="str">
        <f t="shared" si="229"/>
        <v/>
      </c>
      <c r="K1432" s="16" t="str">
        <f t="shared" si="228"/>
        <v/>
      </c>
      <c r="M1432" t="str">
        <f>IFERROR(MATCH($C$5&amp;"|"&amp;RIGHT("000000"&amp;1416,6),CalcRankKeyA,0),"")</f>
        <v/>
      </c>
      <c r="N1432" t="str">
        <f>IFERROR(MATCH($C$5&amp;"|"&amp;RIGHT("000000"&amp;1416,6),CalcRankKeyB,0),"")</f>
        <v/>
      </c>
    </row>
    <row r="1433" spans="1:14" x14ac:dyDescent="0.2">
      <c r="A1433" s="7">
        <v>1417</v>
      </c>
      <c r="B1433" s="8" t="str">
        <f t="shared" si="220"/>
        <v/>
      </c>
      <c r="C1433" s="8" t="str">
        <f t="shared" si="221"/>
        <v/>
      </c>
      <c r="D1433" s="8" t="str">
        <f t="shared" si="222"/>
        <v/>
      </c>
      <c r="E1433" s="9" t="str">
        <f t="shared" si="223"/>
        <v/>
      </c>
      <c r="F1433" s="9" t="str">
        <f t="shared" si="224"/>
        <v/>
      </c>
      <c r="G1433" s="9" t="str">
        <f t="shared" si="225"/>
        <v/>
      </c>
      <c r="H1433" s="9" t="str">
        <f t="shared" si="226"/>
        <v/>
      </c>
      <c r="I1433" s="10" t="str">
        <f t="shared" si="227"/>
        <v/>
      </c>
      <c r="J1433" s="10" t="str">
        <f t="shared" si="229"/>
        <v/>
      </c>
      <c r="K1433" s="11" t="str">
        <f t="shared" si="228"/>
        <v/>
      </c>
      <c r="M1433" t="str">
        <f>IFERROR(MATCH($C$5&amp;"|"&amp;RIGHT("000000"&amp;1417,6),CalcRankKeyA,0),"")</f>
        <v/>
      </c>
      <c r="N1433" t="str">
        <f>IFERROR(MATCH($C$5&amp;"|"&amp;RIGHT("000000"&amp;1417,6),CalcRankKeyB,0),"")</f>
        <v/>
      </c>
    </row>
    <row r="1434" spans="1:14" x14ac:dyDescent="0.2">
      <c r="A1434" s="12">
        <v>1418</v>
      </c>
      <c r="B1434" s="13" t="str">
        <f t="shared" si="220"/>
        <v/>
      </c>
      <c r="C1434" s="13" t="str">
        <f t="shared" si="221"/>
        <v/>
      </c>
      <c r="D1434" s="13" t="str">
        <f t="shared" si="222"/>
        <v/>
      </c>
      <c r="E1434" s="14" t="str">
        <f t="shared" si="223"/>
        <v/>
      </c>
      <c r="F1434" s="14" t="str">
        <f t="shared" si="224"/>
        <v/>
      </c>
      <c r="G1434" s="14" t="str">
        <f t="shared" si="225"/>
        <v/>
      </c>
      <c r="H1434" s="14" t="str">
        <f t="shared" si="226"/>
        <v/>
      </c>
      <c r="I1434" s="15" t="str">
        <f t="shared" si="227"/>
        <v/>
      </c>
      <c r="J1434" s="15" t="str">
        <f t="shared" si="229"/>
        <v/>
      </c>
      <c r="K1434" s="16" t="str">
        <f t="shared" si="228"/>
        <v/>
      </c>
      <c r="M1434" t="str">
        <f>IFERROR(MATCH($C$5&amp;"|"&amp;RIGHT("000000"&amp;1418,6),CalcRankKeyA,0),"")</f>
        <v/>
      </c>
      <c r="N1434" t="str">
        <f>IFERROR(MATCH($C$5&amp;"|"&amp;RIGHT("000000"&amp;1418,6),CalcRankKeyB,0),"")</f>
        <v/>
      </c>
    </row>
    <row r="1435" spans="1:14" x14ac:dyDescent="0.2">
      <c r="A1435" s="7">
        <v>1419</v>
      </c>
      <c r="B1435" s="8" t="str">
        <f t="shared" si="220"/>
        <v/>
      </c>
      <c r="C1435" s="8" t="str">
        <f t="shared" si="221"/>
        <v/>
      </c>
      <c r="D1435" s="8" t="str">
        <f t="shared" si="222"/>
        <v/>
      </c>
      <c r="E1435" s="9" t="str">
        <f t="shared" si="223"/>
        <v/>
      </c>
      <c r="F1435" s="9" t="str">
        <f t="shared" si="224"/>
        <v/>
      </c>
      <c r="G1435" s="9" t="str">
        <f t="shared" si="225"/>
        <v/>
      </c>
      <c r="H1435" s="9" t="str">
        <f t="shared" si="226"/>
        <v/>
      </c>
      <c r="I1435" s="10" t="str">
        <f t="shared" si="227"/>
        <v/>
      </c>
      <c r="J1435" s="10" t="str">
        <f t="shared" si="229"/>
        <v/>
      </c>
      <c r="K1435" s="11" t="str">
        <f t="shared" si="228"/>
        <v/>
      </c>
      <c r="M1435" t="str">
        <f>IFERROR(MATCH($C$5&amp;"|"&amp;RIGHT("000000"&amp;1419,6),CalcRankKeyA,0),"")</f>
        <v/>
      </c>
      <c r="N1435" t="str">
        <f>IFERROR(MATCH($C$5&amp;"|"&amp;RIGHT("000000"&amp;1419,6),CalcRankKeyB,0),"")</f>
        <v/>
      </c>
    </row>
    <row r="1436" spans="1:14" x14ac:dyDescent="0.2">
      <c r="A1436" s="12">
        <v>1420</v>
      </c>
      <c r="B1436" s="13" t="str">
        <f t="shared" si="220"/>
        <v/>
      </c>
      <c r="C1436" s="13" t="str">
        <f t="shared" si="221"/>
        <v/>
      </c>
      <c r="D1436" s="13" t="str">
        <f t="shared" si="222"/>
        <v/>
      </c>
      <c r="E1436" s="14" t="str">
        <f t="shared" si="223"/>
        <v/>
      </c>
      <c r="F1436" s="14" t="str">
        <f t="shared" si="224"/>
        <v/>
      </c>
      <c r="G1436" s="14" t="str">
        <f t="shared" si="225"/>
        <v/>
      </c>
      <c r="H1436" s="14" t="str">
        <f t="shared" si="226"/>
        <v/>
      </c>
      <c r="I1436" s="15" t="str">
        <f t="shared" si="227"/>
        <v/>
      </c>
      <c r="J1436" s="15" t="str">
        <f t="shared" si="229"/>
        <v/>
      </c>
      <c r="K1436" s="16" t="str">
        <f t="shared" si="228"/>
        <v/>
      </c>
      <c r="M1436" t="str">
        <f>IFERROR(MATCH($C$5&amp;"|"&amp;RIGHT("000000"&amp;1420,6),CalcRankKeyA,0),"")</f>
        <v/>
      </c>
      <c r="N1436" t="str">
        <f>IFERROR(MATCH($C$5&amp;"|"&amp;RIGHT("000000"&amp;1420,6),CalcRankKeyB,0),"")</f>
        <v/>
      </c>
    </row>
    <row r="1437" spans="1:14" x14ac:dyDescent="0.2">
      <c r="A1437" s="7">
        <v>1421</v>
      </c>
      <c r="B1437" s="8" t="str">
        <f t="shared" si="220"/>
        <v/>
      </c>
      <c r="C1437" s="8" t="str">
        <f t="shared" si="221"/>
        <v/>
      </c>
      <c r="D1437" s="8" t="str">
        <f t="shared" si="222"/>
        <v/>
      </c>
      <c r="E1437" s="9" t="str">
        <f t="shared" si="223"/>
        <v/>
      </c>
      <c r="F1437" s="9" t="str">
        <f t="shared" si="224"/>
        <v/>
      </c>
      <c r="G1437" s="9" t="str">
        <f t="shared" si="225"/>
        <v/>
      </c>
      <c r="H1437" s="9" t="str">
        <f t="shared" si="226"/>
        <v/>
      </c>
      <c r="I1437" s="10" t="str">
        <f t="shared" si="227"/>
        <v/>
      </c>
      <c r="J1437" s="10" t="str">
        <f t="shared" si="229"/>
        <v/>
      </c>
      <c r="K1437" s="11" t="str">
        <f t="shared" si="228"/>
        <v/>
      </c>
      <c r="M1437" t="str">
        <f>IFERROR(MATCH($C$5&amp;"|"&amp;RIGHT("000000"&amp;1421,6),CalcRankKeyA,0),"")</f>
        <v/>
      </c>
      <c r="N1437" t="str">
        <f>IFERROR(MATCH($C$5&amp;"|"&amp;RIGHT("000000"&amp;1421,6),CalcRankKeyB,0),"")</f>
        <v/>
      </c>
    </row>
    <row r="1438" spans="1:14" x14ac:dyDescent="0.2">
      <c r="A1438" s="12">
        <v>1422</v>
      </c>
      <c r="B1438" s="13" t="str">
        <f t="shared" si="220"/>
        <v/>
      </c>
      <c r="C1438" s="13" t="str">
        <f t="shared" si="221"/>
        <v/>
      </c>
      <c r="D1438" s="13" t="str">
        <f t="shared" si="222"/>
        <v/>
      </c>
      <c r="E1438" s="14" t="str">
        <f t="shared" si="223"/>
        <v/>
      </c>
      <c r="F1438" s="14" t="str">
        <f t="shared" si="224"/>
        <v/>
      </c>
      <c r="G1438" s="14" t="str">
        <f t="shared" si="225"/>
        <v/>
      </c>
      <c r="H1438" s="14" t="str">
        <f t="shared" si="226"/>
        <v/>
      </c>
      <c r="I1438" s="15" t="str">
        <f t="shared" si="227"/>
        <v/>
      </c>
      <c r="J1438" s="15" t="str">
        <f t="shared" si="229"/>
        <v/>
      </c>
      <c r="K1438" s="16" t="str">
        <f t="shared" si="228"/>
        <v/>
      </c>
      <c r="M1438" t="str">
        <f>IFERROR(MATCH($C$5&amp;"|"&amp;RIGHT("000000"&amp;1422,6),CalcRankKeyA,0),"")</f>
        <v/>
      </c>
      <c r="N1438" t="str">
        <f>IFERROR(MATCH($C$5&amp;"|"&amp;RIGHT("000000"&amp;1422,6),CalcRankKeyB,0),"")</f>
        <v/>
      </c>
    </row>
    <row r="1439" spans="1:14" x14ac:dyDescent="0.2">
      <c r="A1439" s="7">
        <v>1423</v>
      </c>
      <c r="B1439" s="8" t="str">
        <f t="shared" si="220"/>
        <v/>
      </c>
      <c r="C1439" s="8" t="str">
        <f t="shared" si="221"/>
        <v/>
      </c>
      <c r="D1439" s="8" t="str">
        <f t="shared" si="222"/>
        <v/>
      </c>
      <c r="E1439" s="9" t="str">
        <f t="shared" si="223"/>
        <v/>
      </c>
      <c r="F1439" s="9" t="str">
        <f t="shared" si="224"/>
        <v/>
      </c>
      <c r="G1439" s="9" t="str">
        <f t="shared" si="225"/>
        <v/>
      </c>
      <c r="H1439" s="9" t="str">
        <f t="shared" si="226"/>
        <v/>
      </c>
      <c r="I1439" s="10" t="str">
        <f t="shared" si="227"/>
        <v/>
      </c>
      <c r="J1439" s="10" t="str">
        <f t="shared" si="229"/>
        <v/>
      </c>
      <c r="K1439" s="11" t="str">
        <f t="shared" si="228"/>
        <v/>
      </c>
      <c r="M1439" t="str">
        <f>IFERROR(MATCH($C$5&amp;"|"&amp;RIGHT("000000"&amp;1423,6),CalcRankKeyA,0),"")</f>
        <v/>
      </c>
      <c r="N1439" t="str">
        <f>IFERROR(MATCH($C$5&amp;"|"&amp;RIGHT("000000"&amp;1423,6),CalcRankKeyB,0),"")</f>
        <v/>
      </c>
    </row>
    <row r="1440" spans="1:14" x14ac:dyDescent="0.2">
      <c r="A1440" s="12">
        <v>1424</v>
      </c>
      <c r="B1440" s="13" t="str">
        <f t="shared" si="220"/>
        <v/>
      </c>
      <c r="C1440" s="13" t="str">
        <f t="shared" si="221"/>
        <v/>
      </c>
      <c r="D1440" s="13" t="str">
        <f t="shared" si="222"/>
        <v/>
      </c>
      <c r="E1440" s="14" t="str">
        <f t="shared" si="223"/>
        <v/>
      </c>
      <c r="F1440" s="14" t="str">
        <f t="shared" si="224"/>
        <v/>
      </c>
      <c r="G1440" s="14" t="str">
        <f t="shared" si="225"/>
        <v/>
      </c>
      <c r="H1440" s="14" t="str">
        <f t="shared" si="226"/>
        <v/>
      </c>
      <c r="I1440" s="15" t="str">
        <f t="shared" si="227"/>
        <v/>
      </c>
      <c r="J1440" s="15" t="str">
        <f t="shared" si="229"/>
        <v/>
      </c>
      <c r="K1440" s="16" t="str">
        <f t="shared" si="228"/>
        <v/>
      </c>
      <c r="M1440" t="str">
        <f>IFERROR(MATCH($C$5&amp;"|"&amp;RIGHT("000000"&amp;1424,6),CalcRankKeyA,0),"")</f>
        <v/>
      </c>
      <c r="N1440" t="str">
        <f>IFERROR(MATCH($C$5&amp;"|"&amp;RIGHT("000000"&amp;1424,6),CalcRankKeyB,0),"")</f>
        <v/>
      </c>
    </row>
    <row r="1441" spans="1:14" x14ac:dyDescent="0.2">
      <c r="A1441" s="7">
        <v>1425</v>
      </c>
      <c r="B1441" s="8" t="str">
        <f t="shared" si="220"/>
        <v/>
      </c>
      <c r="C1441" s="8" t="str">
        <f t="shared" si="221"/>
        <v/>
      </c>
      <c r="D1441" s="8" t="str">
        <f t="shared" si="222"/>
        <v/>
      </c>
      <c r="E1441" s="9" t="str">
        <f t="shared" si="223"/>
        <v/>
      </c>
      <c r="F1441" s="9" t="str">
        <f t="shared" si="224"/>
        <v/>
      </c>
      <c r="G1441" s="9" t="str">
        <f t="shared" si="225"/>
        <v/>
      </c>
      <c r="H1441" s="9" t="str">
        <f t="shared" si="226"/>
        <v/>
      </c>
      <c r="I1441" s="10" t="str">
        <f t="shared" si="227"/>
        <v/>
      </c>
      <c r="J1441" s="10" t="str">
        <f t="shared" si="229"/>
        <v/>
      </c>
      <c r="K1441" s="11" t="str">
        <f t="shared" si="228"/>
        <v/>
      </c>
      <c r="M1441" t="str">
        <f>IFERROR(MATCH($C$5&amp;"|"&amp;RIGHT("000000"&amp;1425,6),CalcRankKeyA,0),"")</f>
        <v/>
      </c>
      <c r="N1441" t="str">
        <f>IFERROR(MATCH($C$5&amp;"|"&amp;RIGHT("000000"&amp;1425,6),CalcRankKeyB,0),"")</f>
        <v/>
      </c>
    </row>
    <row r="1442" spans="1:14" x14ac:dyDescent="0.2">
      <c r="A1442" s="12">
        <v>1426</v>
      </c>
      <c r="B1442" s="13" t="str">
        <f t="shared" si="220"/>
        <v/>
      </c>
      <c r="C1442" s="13" t="str">
        <f t="shared" si="221"/>
        <v/>
      </c>
      <c r="D1442" s="13" t="str">
        <f t="shared" si="222"/>
        <v/>
      </c>
      <c r="E1442" s="14" t="str">
        <f t="shared" si="223"/>
        <v/>
      </c>
      <c r="F1442" s="14" t="str">
        <f t="shared" si="224"/>
        <v/>
      </c>
      <c r="G1442" s="14" t="str">
        <f t="shared" si="225"/>
        <v/>
      </c>
      <c r="H1442" s="14" t="str">
        <f t="shared" si="226"/>
        <v/>
      </c>
      <c r="I1442" s="15" t="str">
        <f t="shared" si="227"/>
        <v/>
      </c>
      <c r="J1442" s="15" t="str">
        <f t="shared" si="229"/>
        <v/>
      </c>
      <c r="K1442" s="16" t="str">
        <f t="shared" si="228"/>
        <v/>
      </c>
      <c r="M1442" t="str">
        <f>IFERROR(MATCH($C$5&amp;"|"&amp;RIGHT("000000"&amp;1426,6),CalcRankKeyA,0),"")</f>
        <v/>
      </c>
      <c r="N1442" t="str">
        <f>IFERROR(MATCH($C$5&amp;"|"&amp;RIGHT("000000"&amp;1426,6),CalcRankKeyB,0),"")</f>
        <v/>
      </c>
    </row>
    <row r="1443" spans="1:14" x14ac:dyDescent="0.2">
      <c r="A1443" s="7">
        <v>1427</v>
      </c>
      <c r="B1443" s="8" t="str">
        <f t="shared" si="220"/>
        <v/>
      </c>
      <c r="C1443" s="8" t="str">
        <f t="shared" si="221"/>
        <v/>
      </c>
      <c r="D1443" s="8" t="str">
        <f t="shared" si="222"/>
        <v/>
      </c>
      <c r="E1443" s="9" t="str">
        <f t="shared" si="223"/>
        <v/>
      </c>
      <c r="F1443" s="9" t="str">
        <f t="shared" si="224"/>
        <v/>
      </c>
      <c r="G1443" s="9" t="str">
        <f t="shared" si="225"/>
        <v/>
      </c>
      <c r="H1443" s="9" t="str">
        <f t="shared" si="226"/>
        <v/>
      </c>
      <c r="I1443" s="10" t="str">
        <f t="shared" si="227"/>
        <v/>
      </c>
      <c r="J1443" s="10" t="str">
        <f t="shared" si="229"/>
        <v/>
      </c>
      <c r="K1443" s="11" t="str">
        <f t="shared" si="228"/>
        <v/>
      </c>
      <c r="M1443" t="str">
        <f>IFERROR(MATCH($C$5&amp;"|"&amp;RIGHT("000000"&amp;1427,6),CalcRankKeyA,0),"")</f>
        <v/>
      </c>
      <c r="N1443" t="str">
        <f>IFERROR(MATCH($C$5&amp;"|"&amp;RIGHT("000000"&amp;1427,6),CalcRankKeyB,0),"")</f>
        <v/>
      </c>
    </row>
    <row r="1444" spans="1:14" x14ac:dyDescent="0.2">
      <c r="A1444" s="12">
        <v>1428</v>
      </c>
      <c r="B1444" s="13" t="str">
        <f t="shared" si="220"/>
        <v/>
      </c>
      <c r="C1444" s="13" t="str">
        <f t="shared" si="221"/>
        <v/>
      </c>
      <c r="D1444" s="13" t="str">
        <f t="shared" si="222"/>
        <v/>
      </c>
      <c r="E1444" s="14" t="str">
        <f t="shared" si="223"/>
        <v/>
      </c>
      <c r="F1444" s="14" t="str">
        <f t="shared" si="224"/>
        <v/>
      </c>
      <c r="G1444" s="14" t="str">
        <f t="shared" si="225"/>
        <v/>
      </c>
      <c r="H1444" s="14" t="str">
        <f t="shared" si="226"/>
        <v/>
      </c>
      <c r="I1444" s="15" t="str">
        <f t="shared" si="227"/>
        <v/>
      </c>
      <c r="J1444" s="15" t="str">
        <f t="shared" si="229"/>
        <v/>
      </c>
      <c r="K1444" s="16" t="str">
        <f t="shared" si="228"/>
        <v/>
      </c>
      <c r="M1444" t="str">
        <f>IFERROR(MATCH($C$5&amp;"|"&amp;RIGHT("000000"&amp;1428,6),CalcRankKeyA,0),"")</f>
        <v/>
      </c>
      <c r="N1444" t="str">
        <f>IFERROR(MATCH($C$5&amp;"|"&amp;RIGHT("000000"&amp;1428,6),CalcRankKeyB,0),"")</f>
        <v/>
      </c>
    </row>
    <row r="1445" spans="1:14" x14ac:dyDescent="0.2">
      <c r="A1445" s="7">
        <v>1429</v>
      </c>
      <c r="B1445" s="8" t="str">
        <f t="shared" si="220"/>
        <v/>
      </c>
      <c r="C1445" s="8" t="str">
        <f t="shared" si="221"/>
        <v/>
      </c>
      <c r="D1445" s="8" t="str">
        <f t="shared" si="222"/>
        <v/>
      </c>
      <c r="E1445" s="9" t="str">
        <f t="shared" si="223"/>
        <v/>
      </c>
      <c r="F1445" s="9" t="str">
        <f t="shared" si="224"/>
        <v/>
      </c>
      <c r="G1445" s="9" t="str">
        <f t="shared" si="225"/>
        <v/>
      </c>
      <c r="H1445" s="9" t="str">
        <f t="shared" si="226"/>
        <v/>
      </c>
      <c r="I1445" s="10" t="str">
        <f t="shared" si="227"/>
        <v/>
      </c>
      <c r="J1445" s="10" t="str">
        <f t="shared" si="229"/>
        <v/>
      </c>
      <c r="K1445" s="11" t="str">
        <f t="shared" si="228"/>
        <v/>
      </c>
      <c r="M1445" t="str">
        <f>IFERROR(MATCH($C$5&amp;"|"&amp;RIGHT("000000"&amp;1429,6),CalcRankKeyA,0),"")</f>
        <v/>
      </c>
      <c r="N1445" t="str">
        <f>IFERROR(MATCH($C$5&amp;"|"&amp;RIGHT("000000"&amp;1429,6),CalcRankKeyB,0),"")</f>
        <v/>
      </c>
    </row>
    <row r="1446" spans="1:14" x14ac:dyDescent="0.2">
      <c r="A1446" s="12">
        <v>1430</v>
      </c>
      <c r="B1446" s="13" t="str">
        <f t="shared" si="220"/>
        <v/>
      </c>
      <c r="C1446" s="13" t="str">
        <f t="shared" si="221"/>
        <v/>
      </c>
      <c r="D1446" s="13" t="str">
        <f t="shared" si="222"/>
        <v/>
      </c>
      <c r="E1446" s="14" t="str">
        <f t="shared" si="223"/>
        <v/>
      </c>
      <c r="F1446" s="14" t="str">
        <f t="shared" si="224"/>
        <v/>
      </c>
      <c r="G1446" s="14" t="str">
        <f t="shared" si="225"/>
        <v/>
      </c>
      <c r="H1446" s="14" t="str">
        <f t="shared" si="226"/>
        <v/>
      </c>
      <c r="I1446" s="15" t="str">
        <f t="shared" si="227"/>
        <v/>
      </c>
      <c r="J1446" s="15" t="str">
        <f t="shared" si="229"/>
        <v/>
      </c>
      <c r="K1446" s="16" t="str">
        <f t="shared" si="228"/>
        <v/>
      </c>
      <c r="M1446" t="str">
        <f>IFERROR(MATCH($C$5&amp;"|"&amp;RIGHT("000000"&amp;1430,6),CalcRankKeyA,0),"")</f>
        <v/>
      </c>
      <c r="N1446" t="str">
        <f>IFERROR(MATCH($C$5&amp;"|"&amp;RIGHT("000000"&amp;1430,6),CalcRankKeyB,0),"")</f>
        <v/>
      </c>
    </row>
    <row r="1447" spans="1:14" x14ac:dyDescent="0.2">
      <c r="A1447" s="7">
        <v>1431</v>
      </c>
      <c r="B1447" s="8" t="str">
        <f t="shared" si="220"/>
        <v/>
      </c>
      <c r="C1447" s="8" t="str">
        <f t="shared" si="221"/>
        <v/>
      </c>
      <c r="D1447" s="8" t="str">
        <f t="shared" si="222"/>
        <v/>
      </c>
      <c r="E1447" s="9" t="str">
        <f t="shared" si="223"/>
        <v/>
      </c>
      <c r="F1447" s="9" t="str">
        <f t="shared" si="224"/>
        <v/>
      </c>
      <c r="G1447" s="9" t="str">
        <f t="shared" si="225"/>
        <v/>
      </c>
      <c r="H1447" s="9" t="str">
        <f t="shared" si="226"/>
        <v/>
      </c>
      <c r="I1447" s="10" t="str">
        <f t="shared" si="227"/>
        <v/>
      </c>
      <c r="J1447" s="10" t="str">
        <f t="shared" si="229"/>
        <v/>
      </c>
      <c r="K1447" s="11" t="str">
        <f t="shared" si="228"/>
        <v/>
      </c>
      <c r="M1447" t="str">
        <f>IFERROR(MATCH($C$5&amp;"|"&amp;RIGHT("000000"&amp;1431,6),CalcRankKeyA,0),"")</f>
        <v/>
      </c>
      <c r="N1447" t="str">
        <f>IFERROR(MATCH($C$5&amp;"|"&amp;RIGHT("000000"&amp;1431,6),CalcRankKeyB,0),"")</f>
        <v/>
      </c>
    </row>
    <row r="1448" spans="1:14" x14ac:dyDescent="0.2">
      <c r="A1448" s="12">
        <v>1432</v>
      </c>
      <c r="B1448" s="13" t="str">
        <f t="shared" si="220"/>
        <v/>
      </c>
      <c r="C1448" s="13" t="str">
        <f t="shared" si="221"/>
        <v/>
      </c>
      <c r="D1448" s="13" t="str">
        <f t="shared" si="222"/>
        <v/>
      </c>
      <c r="E1448" s="14" t="str">
        <f t="shared" si="223"/>
        <v/>
      </c>
      <c r="F1448" s="14" t="str">
        <f t="shared" si="224"/>
        <v/>
      </c>
      <c r="G1448" s="14" t="str">
        <f t="shared" si="225"/>
        <v/>
      </c>
      <c r="H1448" s="14" t="str">
        <f t="shared" si="226"/>
        <v/>
      </c>
      <c r="I1448" s="15" t="str">
        <f t="shared" si="227"/>
        <v/>
      </c>
      <c r="J1448" s="15" t="str">
        <f t="shared" si="229"/>
        <v/>
      </c>
      <c r="K1448" s="16" t="str">
        <f t="shared" si="228"/>
        <v/>
      </c>
      <c r="M1448" t="str">
        <f>IFERROR(MATCH($C$5&amp;"|"&amp;RIGHT("000000"&amp;1432,6),CalcRankKeyA,0),"")</f>
        <v/>
      </c>
      <c r="N1448" t="str">
        <f>IFERROR(MATCH($C$5&amp;"|"&amp;RIGHT("000000"&amp;1432,6),CalcRankKeyB,0),"")</f>
        <v/>
      </c>
    </row>
    <row r="1449" spans="1:14" x14ac:dyDescent="0.2">
      <c r="A1449" s="7">
        <v>1433</v>
      </c>
      <c r="B1449" s="8" t="str">
        <f t="shared" si="220"/>
        <v/>
      </c>
      <c r="C1449" s="8" t="str">
        <f t="shared" si="221"/>
        <v/>
      </c>
      <c r="D1449" s="8" t="str">
        <f t="shared" si="222"/>
        <v/>
      </c>
      <c r="E1449" s="9" t="str">
        <f t="shared" si="223"/>
        <v/>
      </c>
      <c r="F1449" s="9" t="str">
        <f t="shared" si="224"/>
        <v/>
      </c>
      <c r="G1449" s="9" t="str">
        <f t="shared" si="225"/>
        <v/>
      </c>
      <c r="H1449" s="9" t="str">
        <f t="shared" si="226"/>
        <v/>
      </c>
      <c r="I1449" s="10" t="str">
        <f t="shared" si="227"/>
        <v/>
      </c>
      <c r="J1449" s="10" t="str">
        <f t="shared" si="229"/>
        <v/>
      </c>
      <c r="K1449" s="11" t="str">
        <f t="shared" si="228"/>
        <v/>
      </c>
      <c r="M1449" t="str">
        <f>IFERROR(MATCH($C$5&amp;"|"&amp;RIGHT("000000"&amp;1433,6),CalcRankKeyA,0),"")</f>
        <v/>
      </c>
      <c r="N1449" t="str">
        <f>IFERROR(MATCH($C$5&amp;"|"&amp;RIGHT("000000"&amp;1433,6),CalcRankKeyB,0),"")</f>
        <v/>
      </c>
    </row>
    <row r="1450" spans="1:14" x14ac:dyDescent="0.2">
      <c r="A1450" s="12">
        <v>1434</v>
      </c>
      <c r="B1450" s="13" t="str">
        <f t="shared" si="220"/>
        <v/>
      </c>
      <c r="C1450" s="13" t="str">
        <f t="shared" si="221"/>
        <v/>
      </c>
      <c r="D1450" s="13" t="str">
        <f t="shared" si="222"/>
        <v/>
      </c>
      <c r="E1450" s="14" t="str">
        <f t="shared" si="223"/>
        <v/>
      </c>
      <c r="F1450" s="14" t="str">
        <f t="shared" si="224"/>
        <v/>
      </c>
      <c r="G1450" s="14" t="str">
        <f t="shared" si="225"/>
        <v/>
      </c>
      <c r="H1450" s="14" t="str">
        <f t="shared" si="226"/>
        <v/>
      </c>
      <c r="I1450" s="15" t="str">
        <f t="shared" si="227"/>
        <v/>
      </c>
      <c r="J1450" s="15" t="str">
        <f t="shared" si="229"/>
        <v/>
      </c>
      <c r="K1450" s="16" t="str">
        <f t="shared" si="228"/>
        <v/>
      </c>
      <c r="M1450" t="str">
        <f>IFERROR(MATCH($C$5&amp;"|"&amp;RIGHT("000000"&amp;1434,6),CalcRankKeyA,0),"")</f>
        <v/>
      </c>
      <c r="N1450" t="str">
        <f>IFERROR(MATCH($C$5&amp;"|"&amp;RIGHT("000000"&amp;1434,6),CalcRankKeyB,0),"")</f>
        <v/>
      </c>
    </row>
    <row r="1451" spans="1:14" x14ac:dyDescent="0.2">
      <c r="A1451" s="7">
        <v>1435</v>
      </c>
      <c r="B1451" s="8" t="str">
        <f t="shared" si="220"/>
        <v/>
      </c>
      <c r="C1451" s="8" t="str">
        <f t="shared" si="221"/>
        <v/>
      </c>
      <c r="D1451" s="8" t="str">
        <f t="shared" si="222"/>
        <v/>
      </c>
      <c r="E1451" s="9" t="str">
        <f t="shared" si="223"/>
        <v/>
      </c>
      <c r="F1451" s="9" t="str">
        <f t="shared" si="224"/>
        <v/>
      </c>
      <c r="G1451" s="9" t="str">
        <f t="shared" si="225"/>
        <v/>
      </c>
      <c r="H1451" s="9" t="str">
        <f t="shared" si="226"/>
        <v/>
      </c>
      <c r="I1451" s="10" t="str">
        <f t="shared" si="227"/>
        <v/>
      </c>
      <c r="J1451" s="10" t="str">
        <f t="shared" si="229"/>
        <v/>
      </c>
      <c r="K1451" s="11" t="str">
        <f t="shared" si="228"/>
        <v/>
      </c>
      <c r="M1451" t="str">
        <f>IFERROR(MATCH($C$5&amp;"|"&amp;RIGHT("000000"&amp;1435,6),CalcRankKeyA,0),"")</f>
        <v/>
      </c>
      <c r="N1451" t="str">
        <f>IFERROR(MATCH($C$5&amp;"|"&amp;RIGHT("000000"&amp;1435,6),CalcRankKeyB,0),"")</f>
        <v/>
      </c>
    </row>
    <row r="1452" spans="1:14" x14ac:dyDescent="0.2">
      <c r="A1452" s="12">
        <v>1436</v>
      </c>
      <c r="B1452" s="13" t="str">
        <f t="shared" si="220"/>
        <v/>
      </c>
      <c r="C1452" s="13" t="str">
        <f t="shared" si="221"/>
        <v/>
      </c>
      <c r="D1452" s="13" t="str">
        <f t="shared" si="222"/>
        <v/>
      </c>
      <c r="E1452" s="14" t="str">
        <f t="shared" si="223"/>
        <v/>
      </c>
      <c r="F1452" s="14" t="str">
        <f t="shared" si="224"/>
        <v/>
      </c>
      <c r="G1452" s="14" t="str">
        <f t="shared" si="225"/>
        <v/>
      </c>
      <c r="H1452" s="14" t="str">
        <f t="shared" si="226"/>
        <v/>
      </c>
      <c r="I1452" s="15" t="str">
        <f t="shared" si="227"/>
        <v/>
      </c>
      <c r="J1452" s="15" t="str">
        <f t="shared" si="229"/>
        <v/>
      </c>
      <c r="K1452" s="16" t="str">
        <f t="shared" si="228"/>
        <v/>
      </c>
      <c r="M1452" t="str">
        <f>IFERROR(MATCH($C$5&amp;"|"&amp;RIGHT("000000"&amp;1436,6),CalcRankKeyA,0),"")</f>
        <v/>
      </c>
      <c r="N1452" t="str">
        <f>IFERROR(MATCH($C$5&amp;"|"&amp;RIGHT("000000"&amp;1436,6),CalcRankKeyB,0),"")</f>
        <v/>
      </c>
    </row>
    <row r="1453" spans="1:14" x14ac:dyDescent="0.2">
      <c r="A1453" s="7">
        <v>1437</v>
      </c>
      <c r="B1453" s="8" t="str">
        <f t="shared" si="220"/>
        <v/>
      </c>
      <c r="C1453" s="8" t="str">
        <f t="shared" si="221"/>
        <v/>
      </c>
      <c r="D1453" s="8" t="str">
        <f t="shared" si="222"/>
        <v/>
      </c>
      <c r="E1453" s="9" t="str">
        <f t="shared" si="223"/>
        <v/>
      </c>
      <c r="F1453" s="9" t="str">
        <f t="shared" si="224"/>
        <v/>
      </c>
      <c r="G1453" s="9" t="str">
        <f t="shared" si="225"/>
        <v/>
      </c>
      <c r="H1453" s="9" t="str">
        <f t="shared" si="226"/>
        <v/>
      </c>
      <c r="I1453" s="10" t="str">
        <f t="shared" si="227"/>
        <v/>
      </c>
      <c r="J1453" s="10" t="str">
        <f t="shared" si="229"/>
        <v/>
      </c>
      <c r="K1453" s="11" t="str">
        <f t="shared" si="228"/>
        <v/>
      </c>
      <c r="M1453" t="str">
        <f>IFERROR(MATCH($C$5&amp;"|"&amp;RIGHT("000000"&amp;1437,6),CalcRankKeyA,0),"")</f>
        <v/>
      </c>
      <c r="N1453" t="str">
        <f>IFERROR(MATCH($C$5&amp;"|"&amp;RIGHT("000000"&amp;1437,6),CalcRankKeyB,0),"")</f>
        <v/>
      </c>
    </row>
    <row r="1454" spans="1:14" x14ac:dyDescent="0.2">
      <c r="A1454" s="12">
        <v>1438</v>
      </c>
      <c r="B1454" s="13" t="str">
        <f t="shared" si="220"/>
        <v/>
      </c>
      <c r="C1454" s="13" t="str">
        <f t="shared" si="221"/>
        <v/>
      </c>
      <c r="D1454" s="13" t="str">
        <f t="shared" si="222"/>
        <v/>
      </c>
      <c r="E1454" s="14" t="str">
        <f t="shared" si="223"/>
        <v/>
      </c>
      <c r="F1454" s="14" t="str">
        <f t="shared" si="224"/>
        <v/>
      </c>
      <c r="G1454" s="14" t="str">
        <f t="shared" si="225"/>
        <v/>
      </c>
      <c r="H1454" s="14" t="str">
        <f t="shared" si="226"/>
        <v/>
      </c>
      <c r="I1454" s="15" t="str">
        <f t="shared" si="227"/>
        <v/>
      </c>
      <c r="J1454" s="15" t="str">
        <f t="shared" si="229"/>
        <v/>
      </c>
      <c r="K1454" s="16" t="str">
        <f t="shared" si="228"/>
        <v/>
      </c>
      <c r="M1454" t="str">
        <f>IFERROR(MATCH($C$5&amp;"|"&amp;RIGHT("000000"&amp;1438,6),CalcRankKeyA,0),"")</f>
        <v/>
      </c>
      <c r="N1454" t="str">
        <f>IFERROR(MATCH($C$5&amp;"|"&amp;RIGHT("000000"&amp;1438,6),CalcRankKeyB,0),"")</f>
        <v/>
      </c>
    </row>
    <row r="1455" spans="1:14" x14ac:dyDescent="0.2">
      <c r="A1455" s="7">
        <v>1439</v>
      </c>
      <c r="B1455" s="8" t="str">
        <f t="shared" si="220"/>
        <v/>
      </c>
      <c r="C1455" s="8" t="str">
        <f t="shared" si="221"/>
        <v/>
      </c>
      <c r="D1455" s="8" t="str">
        <f t="shared" si="222"/>
        <v/>
      </c>
      <c r="E1455" s="9" t="str">
        <f t="shared" si="223"/>
        <v/>
      </c>
      <c r="F1455" s="9" t="str">
        <f t="shared" si="224"/>
        <v/>
      </c>
      <c r="G1455" s="9" t="str">
        <f t="shared" si="225"/>
        <v/>
      </c>
      <c r="H1455" s="9" t="str">
        <f t="shared" si="226"/>
        <v/>
      </c>
      <c r="I1455" s="10" t="str">
        <f t="shared" si="227"/>
        <v/>
      </c>
      <c r="J1455" s="10" t="str">
        <f t="shared" si="229"/>
        <v/>
      </c>
      <c r="K1455" s="11" t="str">
        <f t="shared" si="228"/>
        <v/>
      </c>
      <c r="M1455" t="str">
        <f>IFERROR(MATCH($C$5&amp;"|"&amp;RIGHT("000000"&amp;1439,6),CalcRankKeyA,0),"")</f>
        <v/>
      </c>
      <c r="N1455" t="str">
        <f>IFERROR(MATCH($C$5&amp;"|"&amp;RIGHT("000000"&amp;1439,6),CalcRankKeyB,0),"")</f>
        <v/>
      </c>
    </row>
    <row r="1456" spans="1:14" x14ac:dyDescent="0.2">
      <c r="A1456" s="12">
        <v>1440</v>
      </c>
      <c r="B1456" s="13" t="str">
        <f t="shared" si="220"/>
        <v/>
      </c>
      <c r="C1456" s="13" t="str">
        <f t="shared" si="221"/>
        <v/>
      </c>
      <c r="D1456" s="13" t="str">
        <f t="shared" si="222"/>
        <v/>
      </c>
      <c r="E1456" s="14" t="str">
        <f t="shared" si="223"/>
        <v/>
      </c>
      <c r="F1456" s="14" t="str">
        <f t="shared" si="224"/>
        <v/>
      </c>
      <c r="G1456" s="14" t="str">
        <f t="shared" si="225"/>
        <v/>
      </c>
      <c r="H1456" s="14" t="str">
        <f t="shared" si="226"/>
        <v/>
      </c>
      <c r="I1456" s="15" t="str">
        <f t="shared" si="227"/>
        <v/>
      </c>
      <c r="J1456" s="15" t="str">
        <f t="shared" si="229"/>
        <v/>
      </c>
      <c r="K1456" s="16" t="str">
        <f t="shared" si="228"/>
        <v/>
      </c>
      <c r="M1456" t="str">
        <f>IFERROR(MATCH($C$5&amp;"|"&amp;RIGHT("000000"&amp;1440,6),CalcRankKeyA,0),"")</f>
        <v/>
      </c>
      <c r="N1456" t="str">
        <f>IFERROR(MATCH($C$5&amp;"|"&amp;RIGHT("000000"&amp;1440,6),CalcRankKeyB,0),"")</f>
        <v/>
      </c>
    </row>
    <row r="1457" spans="1:14" x14ac:dyDescent="0.2">
      <c r="A1457" s="7">
        <v>1441</v>
      </c>
      <c r="B1457" s="8" t="str">
        <f t="shared" si="220"/>
        <v/>
      </c>
      <c r="C1457" s="8" t="str">
        <f t="shared" si="221"/>
        <v/>
      </c>
      <c r="D1457" s="8" t="str">
        <f t="shared" si="222"/>
        <v/>
      </c>
      <c r="E1457" s="9" t="str">
        <f t="shared" si="223"/>
        <v/>
      </c>
      <c r="F1457" s="9" t="str">
        <f t="shared" si="224"/>
        <v/>
      </c>
      <c r="G1457" s="9" t="str">
        <f t="shared" si="225"/>
        <v/>
      </c>
      <c r="H1457" s="9" t="str">
        <f t="shared" si="226"/>
        <v/>
      </c>
      <c r="I1457" s="10" t="str">
        <f t="shared" si="227"/>
        <v/>
      </c>
      <c r="J1457" s="10" t="str">
        <f t="shared" si="229"/>
        <v/>
      </c>
      <c r="K1457" s="11" t="str">
        <f t="shared" si="228"/>
        <v/>
      </c>
      <c r="M1457" t="str">
        <f>IFERROR(MATCH($C$5&amp;"|"&amp;RIGHT("000000"&amp;1441,6),CalcRankKeyA,0),"")</f>
        <v/>
      </c>
      <c r="N1457" t="str">
        <f>IFERROR(MATCH($C$5&amp;"|"&amp;RIGHT("000000"&amp;1441,6),CalcRankKeyB,0),"")</f>
        <v/>
      </c>
    </row>
    <row r="1458" spans="1:14" x14ac:dyDescent="0.2">
      <c r="A1458" s="12">
        <v>1442</v>
      </c>
      <c r="B1458" s="13" t="str">
        <f t="shared" si="220"/>
        <v/>
      </c>
      <c r="C1458" s="13" t="str">
        <f t="shared" si="221"/>
        <v/>
      </c>
      <c r="D1458" s="13" t="str">
        <f t="shared" si="222"/>
        <v/>
      </c>
      <c r="E1458" s="14" t="str">
        <f t="shared" si="223"/>
        <v/>
      </c>
      <c r="F1458" s="14" t="str">
        <f t="shared" si="224"/>
        <v/>
      </c>
      <c r="G1458" s="14" t="str">
        <f t="shared" si="225"/>
        <v/>
      </c>
      <c r="H1458" s="14" t="str">
        <f t="shared" si="226"/>
        <v/>
      </c>
      <c r="I1458" s="15" t="str">
        <f t="shared" si="227"/>
        <v/>
      </c>
      <c r="J1458" s="15" t="str">
        <f t="shared" si="229"/>
        <v/>
      </c>
      <c r="K1458" s="16" t="str">
        <f t="shared" si="228"/>
        <v/>
      </c>
      <c r="M1458" t="str">
        <f>IFERROR(MATCH($C$5&amp;"|"&amp;RIGHT("000000"&amp;1442,6),CalcRankKeyA,0),"")</f>
        <v/>
      </c>
      <c r="N1458" t="str">
        <f>IFERROR(MATCH($C$5&amp;"|"&amp;RIGHT("000000"&amp;1442,6),CalcRankKeyB,0),"")</f>
        <v/>
      </c>
    </row>
    <row r="1459" spans="1:14" x14ac:dyDescent="0.2">
      <c r="A1459" s="7">
        <v>1443</v>
      </c>
      <c r="B1459" s="8" t="str">
        <f t="shared" si="220"/>
        <v/>
      </c>
      <c r="C1459" s="8" t="str">
        <f t="shared" si="221"/>
        <v/>
      </c>
      <c r="D1459" s="8" t="str">
        <f t="shared" si="222"/>
        <v/>
      </c>
      <c r="E1459" s="9" t="str">
        <f t="shared" si="223"/>
        <v/>
      </c>
      <c r="F1459" s="9" t="str">
        <f t="shared" si="224"/>
        <v/>
      </c>
      <c r="G1459" s="9" t="str">
        <f t="shared" si="225"/>
        <v/>
      </c>
      <c r="H1459" s="9" t="str">
        <f t="shared" si="226"/>
        <v/>
      </c>
      <c r="I1459" s="10" t="str">
        <f t="shared" si="227"/>
        <v/>
      </c>
      <c r="J1459" s="10" t="str">
        <f t="shared" si="229"/>
        <v/>
      </c>
      <c r="K1459" s="11" t="str">
        <f t="shared" si="228"/>
        <v/>
      </c>
      <c r="M1459" t="str">
        <f>IFERROR(MATCH($C$5&amp;"|"&amp;RIGHT("000000"&amp;1443,6),CalcRankKeyA,0),"")</f>
        <v/>
      </c>
      <c r="N1459" t="str">
        <f>IFERROR(MATCH($C$5&amp;"|"&amp;RIGHT("000000"&amp;1443,6),CalcRankKeyB,0),"")</f>
        <v/>
      </c>
    </row>
    <row r="1460" spans="1:14" x14ac:dyDescent="0.2">
      <c r="A1460" s="12">
        <v>1444</v>
      </c>
      <c r="B1460" s="13" t="str">
        <f t="shared" si="220"/>
        <v/>
      </c>
      <c r="C1460" s="13" t="str">
        <f t="shared" si="221"/>
        <v/>
      </c>
      <c r="D1460" s="13" t="str">
        <f t="shared" si="222"/>
        <v/>
      </c>
      <c r="E1460" s="14" t="str">
        <f t="shared" si="223"/>
        <v/>
      </c>
      <c r="F1460" s="14" t="str">
        <f t="shared" si="224"/>
        <v/>
      </c>
      <c r="G1460" s="14" t="str">
        <f t="shared" si="225"/>
        <v/>
      </c>
      <c r="H1460" s="14" t="str">
        <f t="shared" si="226"/>
        <v/>
      </c>
      <c r="I1460" s="15" t="str">
        <f t="shared" si="227"/>
        <v/>
      </c>
      <c r="J1460" s="15" t="str">
        <f t="shared" si="229"/>
        <v/>
      </c>
      <c r="K1460" s="16" t="str">
        <f t="shared" si="228"/>
        <v/>
      </c>
      <c r="M1460" t="str">
        <f>IFERROR(MATCH($C$5&amp;"|"&amp;RIGHT("000000"&amp;1444,6),CalcRankKeyA,0),"")</f>
        <v/>
      </c>
      <c r="N1460" t="str">
        <f>IFERROR(MATCH($C$5&amp;"|"&amp;RIGHT("000000"&amp;1444,6),CalcRankKeyB,0),"")</f>
        <v/>
      </c>
    </row>
    <row r="1461" spans="1:14" x14ac:dyDescent="0.2">
      <c r="A1461" s="7">
        <v>1445</v>
      </c>
      <c r="B1461" s="8" t="str">
        <f t="shared" si="220"/>
        <v/>
      </c>
      <c r="C1461" s="8" t="str">
        <f t="shared" si="221"/>
        <v/>
      </c>
      <c r="D1461" s="8" t="str">
        <f t="shared" si="222"/>
        <v/>
      </c>
      <c r="E1461" s="9" t="str">
        <f t="shared" si="223"/>
        <v/>
      </c>
      <c r="F1461" s="9" t="str">
        <f t="shared" si="224"/>
        <v/>
      </c>
      <c r="G1461" s="9" t="str">
        <f t="shared" si="225"/>
        <v/>
      </c>
      <c r="H1461" s="9" t="str">
        <f t="shared" si="226"/>
        <v/>
      </c>
      <c r="I1461" s="10" t="str">
        <f t="shared" si="227"/>
        <v/>
      </c>
      <c r="J1461" s="10" t="str">
        <f t="shared" si="229"/>
        <v/>
      </c>
      <c r="K1461" s="11" t="str">
        <f t="shared" si="228"/>
        <v/>
      </c>
      <c r="M1461" t="str">
        <f>IFERROR(MATCH($C$5&amp;"|"&amp;RIGHT("000000"&amp;1445,6),CalcRankKeyA,0),"")</f>
        <v/>
      </c>
      <c r="N1461" t="str">
        <f>IFERROR(MATCH($C$5&amp;"|"&amp;RIGHT("000000"&amp;1445,6),CalcRankKeyB,0),"")</f>
        <v/>
      </c>
    </row>
    <row r="1462" spans="1:14" x14ac:dyDescent="0.2">
      <c r="A1462" s="12">
        <v>1446</v>
      </c>
      <c r="B1462" s="13" t="str">
        <f t="shared" si="220"/>
        <v/>
      </c>
      <c r="C1462" s="13" t="str">
        <f t="shared" si="221"/>
        <v/>
      </c>
      <c r="D1462" s="13" t="str">
        <f t="shared" si="222"/>
        <v/>
      </c>
      <c r="E1462" s="14" t="str">
        <f t="shared" si="223"/>
        <v/>
      </c>
      <c r="F1462" s="14" t="str">
        <f t="shared" si="224"/>
        <v/>
      </c>
      <c r="G1462" s="14" t="str">
        <f t="shared" si="225"/>
        <v/>
      </c>
      <c r="H1462" s="14" t="str">
        <f t="shared" si="226"/>
        <v/>
      </c>
      <c r="I1462" s="15" t="str">
        <f t="shared" si="227"/>
        <v/>
      </c>
      <c r="J1462" s="15" t="str">
        <f t="shared" si="229"/>
        <v/>
      </c>
      <c r="K1462" s="16" t="str">
        <f t="shared" si="228"/>
        <v/>
      </c>
      <c r="M1462" t="str">
        <f>IFERROR(MATCH($C$5&amp;"|"&amp;RIGHT("000000"&amp;1446,6),CalcRankKeyA,0),"")</f>
        <v/>
      </c>
      <c r="N1462" t="str">
        <f>IFERROR(MATCH($C$5&amp;"|"&amp;RIGHT("000000"&amp;1446,6),CalcRankKeyB,0),"")</f>
        <v/>
      </c>
    </row>
    <row r="1463" spans="1:14" x14ac:dyDescent="0.2">
      <c r="A1463" s="7">
        <v>1447</v>
      </c>
      <c r="B1463" s="8" t="str">
        <f t="shared" si="220"/>
        <v/>
      </c>
      <c r="C1463" s="8" t="str">
        <f t="shared" si="221"/>
        <v/>
      </c>
      <c r="D1463" s="8" t="str">
        <f t="shared" si="222"/>
        <v/>
      </c>
      <c r="E1463" s="9" t="str">
        <f t="shared" si="223"/>
        <v/>
      </c>
      <c r="F1463" s="9" t="str">
        <f t="shared" si="224"/>
        <v/>
      </c>
      <c r="G1463" s="9" t="str">
        <f t="shared" si="225"/>
        <v/>
      </c>
      <c r="H1463" s="9" t="str">
        <f t="shared" si="226"/>
        <v/>
      </c>
      <c r="I1463" s="10" t="str">
        <f t="shared" si="227"/>
        <v/>
      </c>
      <c r="J1463" s="10" t="str">
        <f t="shared" si="229"/>
        <v/>
      </c>
      <c r="K1463" s="11" t="str">
        <f t="shared" si="228"/>
        <v/>
      </c>
      <c r="M1463" t="str">
        <f>IFERROR(MATCH($C$5&amp;"|"&amp;RIGHT("000000"&amp;1447,6),CalcRankKeyA,0),"")</f>
        <v/>
      </c>
      <c r="N1463" t="str">
        <f>IFERROR(MATCH($C$5&amp;"|"&amp;RIGHT("000000"&amp;1447,6),CalcRankKeyB,0),"")</f>
        <v/>
      </c>
    </row>
    <row r="1464" spans="1:14" x14ac:dyDescent="0.2">
      <c r="A1464" s="12">
        <v>1448</v>
      </c>
      <c r="B1464" s="13" t="str">
        <f t="shared" si="220"/>
        <v/>
      </c>
      <c r="C1464" s="13" t="str">
        <f t="shared" si="221"/>
        <v/>
      </c>
      <c r="D1464" s="13" t="str">
        <f t="shared" si="222"/>
        <v/>
      </c>
      <c r="E1464" s="14" t="str">
        <f t="shared" si="223"/>
        <v/>
      </c>
      <c r="F1464" s="14" t="str">
        <f t="shared" si="224"/>
        <v/>
      </c>
      <c r="G1464" s="14" t="str">
        <f t="shared" si="225"/>
        <v/>
      </c>
      <c r="H1464" s="14" t="str">
        <f t="shared" si="226"/>
        <v/>
      </c>
      <c r="I1464" s="15" t="str">
        <f t="shared" si="227"/>
        <v/>
      </c>
      <c r="J1464" s="15" t="str">
        <f t="shared" si="229"/>
        <v/>
      </c>
      <c r="K1464" s="16" t="str">
        <f t="shared" si="228"/>
        <v/>
      </c>
      <c r="M1464" t="str">
        <f>IFERROR(MATCH($C$5&amp;"|"&amp;RIGHT("000000"&amp;1448,6),CalcRankKeyA,0),"")</f>
        <v/>
      </c>
      <c r="N1464" t="str">
        <f>IFERROR(MATCH($C$5&amp;"|"&amp;RIGHT("000000"&amp;1448,6),CalcRankKeyB,0),"")</f>
        <v/>
      </c>
    </row>
    <row r="1465" spans="1:14" x14ac:dyDescent="0.2">
      <c r="A1465" s="7">
        <v>1449</v>
      </c>
      <c r="B1465" s="8" t="str">
        <f t="shared" si="220"/>
        <v/>
      </c>
      <c r="C1465" s="8" t="str">
        <f t="shared" si="221"/>
        <v/>
      </c>
      <c r="D1465" s="8" t="str">
        <f t="shared" si="222"/>
        <v/>
      </c>
      <c r="E1465" s="9" t="str">
        <f t="shared" si="223"/>
        <v/>
      </c>
      <c r="F1465" s="9" t="str">
        <f t="shared" si="224"/>
        <v/>
      </c>
      <c r="G1465" s="9" t="str">
        <f t="shared" si="225"/>
        <v/>
      </c>
      <c r="H1465" s="9" t="str">
        <f t="shared" si="226"/>
        <v/>
      </c>
      <c r="I1465" s="10" t="str">
        <f t="shared" si="227"/>
        <v/>
      </c>
      <c r="J1465" s="10" t="str">
        <f t="shared" si="229"/>
        <v/>
      </c>
      <c r="K1465" s="11" t="str">
        <f t="shared" si="228"/>
        <v/>
      </c>
      <c r="M1465" t="str">
        <f>IFERROR(MATCH($C$5&amp;"|"&amp;RIGHT("000000"&amp;1449,6),CalcRankKeyA,0),"")</f>
        <v/>
      </c>
      <c r="N1465" t="str">
        <f>IFERROR(MATCH($C$5&amp;"|"&amp;RIGHT("000000"&amp;1449,6),CalcRankKeyB,0),"")</f>
        <v/>
      </c>
    </row>
    <row r="1466" spans="1:14" x14ac:dyDescent="0.2">
      <c r="A1466" s="12">
        <v>1450</v>
      </c>
      <c r="B1466" s="13" t="str">
        <f t="shared" si="220"/>
        <v/>
      </c>
      <c r="C1466" s="13" t="str">
        <f t="shared" si="221"/>
        <v/>
      </c>
      <c r="D1466" s="13" t="str">
        <f t="shared" si="222"/>
        <v/>
      </c>
      <c r="E1466" s="14" t="str">
        <f t="shared" si="223"/>
        <v/>
      </c>
      <c r="F1466" s="14" t="str">
        <f t="shared" si="224"/>
        <v/>
      </c>
      <c r="G1466" s="14" t="str">
        <f t="shared" si="225"/>
        <v/>
      </c>
      <c r="H1466" s="14" t="str">
        <f t="shared" si="226"/>
        <v/>
      </c>
      <c r="I1466" s="15" t="str">
        <f t="shared" si="227"/>
        <v/>
      </c>
      <c r="J1466" s="15" t="str">
        <f t="shared" si="229"/>
        <v/>
      </c>
      <c r="K1466" s="16" t="str">
        <f t="shared" si="228"/>
        <v/>
      </c>
      <c r="M1466" t="str">
        <f>IFERROR(MATCH($C$5&amp;"|"&amp;RIGHT("000000"&amp;1450,6),CalcRankKeyA,0),"")</f>
        <v/>
      </c>
      <c r="N1466" t="str">
        <f>IFERROR(MATCH($C$5&amp;"|"&amp;RIGHT("000000"&amp;1450,6),CalcRankKeyB,0),"")</f>
        <v/>
      </c>
    </row>
    <row r="1467" spans="1:14" x14ac:dyDescent="0.2">
      <c r="A1467" s="7">
        <v>1451</v>
      </c>
      <c r="B1467" s="8" t="str">
        <f t="shared" si="220"/>
        <v/>
      </c>
      <c r="C1467" s="8" t="str">
        <f t="shared" si="221"/>
        <v/>
      </c>
      <c r="D1467" s="8" t="str">
        <f t="shared" si="222"/>
        <v/>
      </c>
      <c r="E1467" s="9" t="str">
        <f t="shared" si="223"/>
        <v/>
      </c>
      <c r="F1467" s="9" t="str">
        <f t="shared" si="224"/>
        <v/>
      </c>
      <c r="G1467" s="9" t="str">
        <f t="shared" si="225"/>
        <v/>
      </c>
      <c r="H1467" s="9" t="str">
        <f t="shared" si="226"/>
        <v/>
      </c>
      <c r="I1467" s="10" t="str">
        <f t="shared" si="227"/>
        <v/>
      </c>
      <c r="J1467" s="10" t="str">
        <f t="shared" si="229"/>
        <v/>
      </c>
      <c r="K1467" s="11" t="str">
        <f t="shared" si="228"/>
        <v/>
      </c>
      <c r="M1467" t="str">
        <f>IFERROR(MATCH($C$5&amp;"|"&amp;RIGHT("000000"&amp;1451,6),CalcRankKeyA,0),"")</f>
        <v/>
      </c>
      <c r="N1467" t="str">
        <f>IFERROR(MATCH($C$5&amp;"|"&amp;RIGHT("000000"&amp;1451,6),CalcRankKeyB,0),"")</f>
        <v/>
      </c>
    </row>
    <row r="1468" spans="1:14" x14ac:dyDescent="0.2">
      <c r="A1468" s="12">
        <v>1452</v>
      </c>
      <c r="B1468" s="13" t="str">
        <f t="shared" si="220"/>
        <v/>
      </c>
      <c r="C1468" s="13" t="str">
        <f t="shared" si="221"/>
        <v/>
      </c>
      <c r="D1468" s="13" t="str">
        <f t="shared" si="222"/>
        <v/>
      </c>
      <c r="E1468" s="14" t="str">
        <f t="shared" si="223"/>
        <v/>
      </c>
      <c r="F1468" s="14" t="str">
        <f t="shared" si="224"/>
        <v/>
      </c>
      <c r="G1468" s="14" t="str">
        <f t="shared" si="225"/>
        <v/>
      </c>
      <c r="H1468" s="14" t="str">
        <f t="shared" si="226"/>
        <v/>
      </c>
      <c r="I1468" s="15" t="str">
        <f t="shared" si="227"/>
        <v/>
      </c>
      <c r="J1468" s="15" t="str">
        <f t="shared" si="229"/>
        <v/>
      </c>
      <c r="K1468" s="16" t="str">
        <f t="shared" si="228"/>
        <v/>
      </c>
      <c r="M1468" t="str">
        <f>IFERROR(MATCH($C$5&amp;"|"&amp;RIGHT("000000"&amp;1452,6),CalcRankKeyA,0),"")</f>
        <v/>
      </c>
      <c r="N1468" t="str">
        <f>IFERROR(MATCH($C$5&amp;"|"&amp;RIGHT("000000"&amp;1452,6),CalcRankKeyB,0),"")</f>
        <v/>
      </c>
    </row>
    <row r="1469" spans="1:14" x14ac:dyDescent="0.2">
      <c r="A1469" s="7">
        <v>1453</v>
      </c>
      <c r="B1469" s="8" t="str">
        <f t="shared" si="220"/>
        <v/>
      </c>
      <c r="C1469" s="8" t="str">
        <f t="shared" si="221"/>
        <v/>
      </c>
      <c r="D1469" s="8" t="str">
        <f t="shared" si="222"/>
        <v/>
      </c>
      <c r="E1469" s="9" t="str">
        <f t="shared" si="223"/>
        <v/>
      </c>
      <c r="F1469" s="9" t="str">
        <f t="shared" si="224"/>
        <v/>
      </c>
      <c r="G1469" s="9" t="str">
        <f t="shared" si="225"/>
        <v/>
      </c>
      <c r="H1469" s="9" t="str">
        <f t="shared" si="226"/>
        <v/>
      </c>
      <c r="I1469" s="10" t="str">
        <f t="shared" si="227"/>
        <v/>
      </c>
      <c r="J1469" s="10" t="str">
        <f t="shared" si="229"/>
        <v/>
      </c>
      <c r="K1469" s="11" t="str">
        <f t="shared" si="228"/>
        <v/>
      </c>
      <c r="M1469" t="str">
        <f>IFERROR(MATCH($C$5&amp;"|"&amp;RIGHT("000000"&amp;1453,6),CalcRankKeyA,0),"")</f>
        <v/>
      </c>
      <c r="N1469" t="str">
        <f>IFERROR(MATCH($C$5&amp;"|"&amp;RIGHT("000000"&amp;1453,6),CalcRankKeyB,0),"")</f>
        <v/>
      </c>
    </row>
    <row r="1470" spans="1:14" x14ac:dyDescent="0.2">
      <c r="A1470" s="12">
        <v>1454</v>
      </c>
      <c r="B1470" s="13" t="str">
        <f t="shared" si="220"/>
        <v/>
      </c>
      <c r="C1470" s="13" t="str">
        <f t="shared" si="221"/>
        <v/>
      </c>
      <c r="D1470" s="13" t="str">
        <f t="shared" si="222"/>
        <v/>
      </c>
      <c r="E1470" s="14" t="str">
        <f t="shared" si="223"/>
        <v/>
      </c>
      <c r="F1470" s="14" t="str">
        <f t="shared" si="224"/>
        <v/>
      </c>
      <c r="G1470" s="14" t="str">
        <f t="shared" si="225"/>
        <v/>
      </c>
      <c r="H1470" s="14" t="str">
        <f t="shared" si="226"/>
        <v/>
      </c>
      <c r="I1470" s="15" t="str">
        <f t="shared" si="227"/>
        <v/>
      </c>
      <c r="J1470" s="15" t="str">
        <f t="shared" si="229"/>
        <v/>
      </c>
      <c r="K1470" s="16" t="str">
        <f t="shared" si="228"/>
        <v/>
      </c>
      <c r="M1470" t="str">
        <f>IFERROR(MATCH($C$5&amp;"|"&amp;RIGHT("000000"&amp;1454,6),CalcRankKeyA,0),"")</f>
        <v/>
      </c>
      <c r="N1470" t="str">
        <f>IFERROR(MATCH($C$5&amp;"|"&amp;RIGHT("000000"&amp;1454,6),CalcRankKeyB,0),"")</f>
        <v/>
      </c>
    </row>
    <row r="1471" spans="1:14" x14ac:dyDescent="0.2">
      <c r="A1471" s="7">
        <v>1455</v>
      </c>
      <c r="B1471" s="8" t="str">
        <f t="shared" si="220"/>
        <v/>
      </c>
      <c r="C1471" s="8" t="str">
        <f t="shared" si="221"/>
        <v/>
      </c>
      <c r="D1471" s="8" t="str">
        <f t="shared" si="222"/>
        <v/>
      </c>
      <c r="E1471" s="9" t="str">
        <f t="shared" si="223"/>
        <v/>
      </c>
      <c r="F1471" s="9" t="str">
        <f t="shared" si="224"/>
        <v/>
      </c>
      <c r="G1471" s="9" t="str">
        <f t="shared" si="225"/>
        <v/>
      </c>
      <c r="H1471" s="9" t="str">
        <f t="shared" si="226"/>
        <v/>
      </c>
      <c r="I1471" s="10" t="str">
        <f t="shared" si="227"/>
        <v/>
      </c>
      <c r="J1471" s="10" t="str">
        <f t="shared" si="229"/>
        <v/>
      </c>
      <c r="K1471" s="11" t="str">
        <f t="shared" si="228"/>
        <v/>
      </c>
      <c r="M1471" t="str">
        <f>IFERROR(MATCH($C$5&amp;"|"&amp;RIGHT("000000"&amp;1455,6),CalcRankKeyA,0),"")</f>
        <v/>
      </c>
      <c r="N1471" t="str">
        <f>IFERROR(MATCH($C$5&amp;"|"&amp;RIGHT("000000"&amp;1455,6),CalcRankKeyB,0),"")</f>
        <v/>
      </c>
    </row>
    <row r="1472" spans="1:14" x14ac:dyDescent="0.2">
      <c r="A1472" s="12">
        <v>1456</v>
      </c>
      <c r="B1472" s="13" t="str">
        <f t="shared" si="220"/>
        <v/>
      </c>
      <c r="C1472" s="13" t="str">
        <f t="shared" si="221"/>
        <v/>
      </c>
      <c r="D1472" s="13" t="str">
        <f t="shared" si="222"/>
        <v/>
      </c>
      <c r="E1472" s="14" t="str">
        <f t="shared" si="223"/>
        <v/>
      </c>
      <c r="F1472" s="14" t="str">
        <f t="shared" si="224"/>
        <v/>
      </c>
      <c r="G1472" s="14" t="str">
        <f t="shared" si="225"/>
        <v/>
      </c>
      <c r="H1472" s="14" t="str">
        <f t="shared" si="226"/>
        <v/>
      </c>
      <c r="I1472" s="15" t="str">
        <f t="shared" si="227"/>
        <v/>
      </c>
      <c r="J1472" s="15" t="str">
        <f t="shared" si="229"/>
        <v/>
      </c>
      <c r="K1472" s="16" t="str">
        <f t="shared" si="228"/>
        <v/>
      </c>
      <c r="M1472" t="str">
        <f>IFERROR(MATCH($C$5&amp;"|"&amp;RIGHT("000000"&amp;1456,6),CalcRankKeyA,0),"")</f>
        <v/>
      </c>
      <c r="N1472" t="str">
        <f>IFERROR(MATCH($C$5&amp;"|"&amp;RIGHT("000000"&amp;1456,6),CalcRankKeyB,0),"")</f>
        <v/>
      </c>
    </row>
    <row r="1473" spans="1:14" x14ac:dyDescent="0.2">
      <c r="A1473" s="7">
        <v>1457</v>
      </c>
      <c r="B1473" s="8" t="str">
        <f t="shared" si="220"/>
        <v/>
      </c>
      <c r="C1473" s="8" t="str">
        <f t="shared" si="221"/>
        <v/>
      </c>
      <c r="D1473" s="8" t="str">
        <f t="shared" si="222"/>
        <v/>
      </c>
      <c r="E1473" s="9" t="str">
        <f t="shared" si="223"/>
        <v/>
      </c>
      <c r="F1473" s="9" t="str">
        <f t="shared" si="224"/>
        <v/>
      </c>
      <c r="G1473" s="9" t="str">
        <f t="shared" si="225"/>
        <v/>
      </c>
      <c r="H1473" s="9" t="str">
        <f t="shared" si="226"/>
        <v/>
      </c>
      <c r="I1473" s="10" t="str">
        <f t="shared" si="227"/>
        <v/>
      </c>
      <c r="J1473" s="10" t="str">
        <f t="shared" si="229"/>
        <v/>
      </c>
      <c r="K1473" s="11" t="str">
        <f t="shared" si="228"/>
        <v/>
      </c>
      <c r="M1473" t="str">
        <f>IFERROR(MATCH($C$5&amp;"|"&amp;RIGHT("000000"&amp;1457,6),CalcRankKeyA,0),"")</f>
        <v/>
      </c>
      <c r="N1473" t="str">
        <f>IFERROR(MATCH($C$5&amp;"|"&amp;RIGHT("000000"&amp;1457,6),CalcRankKeyB,0),"")</f>
        <v/>
      </c>
    </row>
    <row r="1474" spans="1:14" x14ac:dyDescent="0.2">
      <c r="A1474" s="12">
        <v>1458</v>
      </c>
      <c r="B1474" s="13" t="str">
        <f t="shared" si="220"/>
        <v/>
      </c>
      <c r="C1474" s="13" t="str">
        <f t="shared" si="221"/>
        <v/>
      </c>
      <c r="D1474" s="13" t="str">
        <f t="shared" si="222"/>
        <v/>
      </c>
      <c r="E1474" s="14" t="str">
        <f t="shared" si="223"/>
        <v/>
      </c>
      <c r="F1474" s="14" t="str">
        <f t="shared" si="224"/>
        <v/>
      </c>
      <c r="G1474" s="14" t="str">
        <f t="shared" si="225"/>
        <v/>
      </c>
      <c r="H1474" s="14" t="str">
        <f t="shared" si="226"/>
        <v/>
      </c>
      <c r="I1474" s="15" t="str">
        <f t="shared" si="227"/>
        <v/>
      </c>
      <c r="J1474" s="15" t="str">
        <f t="shared" si="229"/>
        <v/>
      </c>
      <c r="K1474" s="16" t="str">
        <f t="shared" si="228"/>
        <v/>
      </c>
      <c r="M1474" t="str">
        <f>IFERROR(MATCH($C$5&amp;"|"&amp;RIGHT("000000"&amp;1458,6),CalcRankKeyA,0),"")</f>
        <v/>
      </c>
      <c r="N1474" t="str">
        <f>IFERROR(MATCH($C$5&amp;"|"&amp;RIGHT("000000"&amp;1458,6),CalcRankKeyB,0),"")</f>
        <v/>
      </c>
    </row>
    <row r="1475" spans="1:14" x14ac:dyDescent="0.2">
      <c r="A1475" s="7">
        <v>1459</v>
      </c>
      <c r="B1475" s="8" t="str">
        <f t="shared" si="220"/>
        <v/>
      </c>
      <c r="C1475" s="8" t="str">
        <f t="shared" si="221"/>
        <v/>
      </c>
      <c r="D1475" s="8" t="str">
        <f t="shared" si="222"/>
        <v/>
      </c>
      <c r="E1475" s="9" t="str">
        <f t="shared" si="223"/>
        <v/>
      </c>
      <c r="F1475" s="9" t="str">
        <f t="shared" si="224"/>
        <v/>
      </c>
      <c r="G1475" s="9" t="str">
        <f t="shared" si="225"/>
        <v/>
      </c>
      <c r="H1475" s="9" t="str">
        <f t="shared" si="226"/>
        <v/>
      </c>
      <c r="I1475" s="10" t="str">
        <f t="shared" si="227"/>
        <v/>
      </c>
      <c r="J1475" s="10" t="str">
        <f t="shared" si="229"/>
        <v/>
      </c>
      <c r="K1475" s="11" t="str">
        <f t="shared" si="228"/>
        <v/>
      </c>
      <c r="M1475" t="str">
        <f>IFERROR(MATCH($C$5&amp;"|"&amp;RIGHT("000000"&amp;1459,6),CalcRankKeyA,0),"")</f>
        <v/>
      </c>
      <c r="N1475" t="str">
        <f>IFERROR(MATCH($C$5&amp;"|"&amp;RIGHT("000000"&amp;1459,6),CalcRankKeyB,0),"")</f>
        <v/>
      </c>
    </row>
    <row r="1476" spans="1:14" x14ac:dyDescent="0.2">
      <c r="A1476" s="12">
        <v>1460</v>
      </c>
      <c r="B1476" s="13" t="str">
        <f t="shared" si="220"/>
        <v/>
      </c>
      <c r="C1476" s="13" t="str">
        <f t="shared" si="221"/>
        <v/>
      </c>
      <c r="D1476" s="13" t="str">
        <f t="shared" si="222"/>
        <v/>
      </c>
      <c r="E1476" s="14" t="str">
        <f t="shared" si="223"/>
        <v/>
      </c>
      <c r="F1476" s="14" t="str">
        <f t="shared" si="224"/>
        <v/>
      </c>
      <c r="G1476" s="14" t="str">
        <f t="shared" si="225"/>
        <v/>
      </c>
      <c r="H1476" s="14" t="str">
        <f t="shared" si="226"/>
        <v/>
      </c>
      <c r="I1476" s="15" t="str">
        <f t="shared" si="227"/>
        <v/>
      </c>
      <c r="J1476" s="15" t="str">
        <f t="shared" si="229"/>
        <v/>
      </c>
      <c r="K1476" s="16" t="str">
        <f t="shared" si="228"/>
        <v/>
      </c>
      <c r="M1476" t="str">
        <f>IFERROR(MATCH($C$5&amp;"|"&amp;RIGHT("000000"&amp;1460,6),CalcRankKeyA,0),"")</f>
        <v/>
      </c>
      <c r="N1476" t="str">
        <f>IFERROR(MATCH($C$5&amp;"|"&amp;RIGHT("000000"&amp;1460,6),CalcRankKeyB,0),"")</f>
        <v/>
      </c>
    </row>
    <row r="1477" spans="1:14" x14ac:dyDescent="0.2">
      <c r="A1477" s="7">
        <v>1461</v>
      </c>
      <c r="B1477" s="8" t="str">
        <f t="shared" si="220"/>
        <v/>
      </c>
      <c r="C1477" s="8" t="str">
        <f t="shared" si="221"/>
        <v/>
      </c>
      <c r="D1477" s="8" t="str">
        <f t="shared" si="222"/>
        <v/>
      </c>
      <c r="E1477" s="9" t="str">
        <f t="shared" si="223"/>
        <v/>
      </c>
      <c r="F1477" s="9" t="str">
        <f t="shared" si="224"/>
        <v/>
      </c>
      <c r="G1477" s="9" t="str">
        <f t="shared" si="225"/>
        <v/>
      </c>
      <c r="H1477" s="9" t="str">
        <f t="shared" si="226"/>
        <v/>
      </c>
      <c r="I1477" s="10" t="str">
        <f t="shared" si="227"/>
        <v/>
      </c>
      <c r="J1477" s="10" t="str">
        <f t="shared" si="229"/>
        <v/>
      </c>
      <c r="K1477" s="11" t="str">
        <f t="shared" si="228"/>
        <v/>
      </c>
      <c r="M1477" t="str">
        <f>IFERROR(MATCH($C$5&amp;"|"&amp;RIGHT("000000"&amp;1461,6),CalcRankKeyA,0),"")</f>
        <v/>
      </c>
      <c r="N1477" t="str">
        <f>IFERROR(MATCH($C$5&amp;"|"&amp;RIGHT("000000"&amp;1461,6),CalcRankKeyB,0),"")</f>
        <v/>
      </c>
    </row>
    <row r="1478" spans="1:14" x14ac:dyDescent="0.2">
      <c r="A1478" s="12">
        <v>1462</v>
      </c>
      <c r="B1478" s="13" t="str">
        <f t="shared" si="220"/>
        <v/>
      </c>
      <c r="C1478" s="13" t="str">
        <f t="shared" si="221"/>
        <v/>
      </c>
      <c r="D1478" s="13" t="str">
        <f t="shared" si="222"/>
        <v/>
      </c>
      <c r="E1478" s="14" t="str">
        <f t="shared" si="223"/>
        <v/>
      </c>
      <c r="F1478" s="14" t="str">
        <f t="shared" si="224"/>
        <v/>
      </c>
      <c r="G1478" s="14" t="str">
        <f t="shared" si="225"/>
        <v/>
      </c>
      <c r="H1478" s="14" t="str">
        <f t="shared" si="226"/>
        <v/>
      </c>
      <c r="I1478" s="15" t="str">
        <f t="shared" si="227"/>
        <v/>
      </c>
      <c r="J1478" s="15" t="str">
        <f t="shared" si="229"/>
        <v/>
      </c>
      <c r="K1478" s="16" t="str">
        <f t="shared" si="228"/>
        <v/>
      </c>
      <c r="M1478" t="str">
        <f>IFERROR(MATCH($C$5&amp;"|"&amp;RIGHT("000000"&amp;1462,6),CalcRankKeyA,0),"")</f>
        <v/>
      </c>
      <c r="N1478" t="str">
        <f>IFERROR(MATCH($C$5&amp;"|"&amp;RIGHT("000000"&amp;1462,6),CalcRankKeyB,0),"")</f>
        <v/>
      </c>
    </row>
    <row r="1479" spans="1:14" x14ac:dyDescent="0.2">
      <c r="A1479" s="7">
        <v>1463</v>
      </c>
      <c r="B1479" s="8" t="str">
        <f t="shared" si="220"/>
        <v/>
      </c>
      <c r="C1479" s="8" t="str">
        <f t="shared" si="221"/>
        <v/>
      </c>
      <c r="D1479" s="8" t="str">
        <f t="shared" si="222"/>
        <v/>
      </c>
      <c r="E1479" s="9" t="str">
        <f t="shared" si="223"/>
        <v/>
      </c>
      <c r="F1479" s="9" t="str">
        <f t="shared" si="224"/>
        <v/>
      </c>
      <c r="G1479" s="9" t="str">
        <f t="shared" si="225"/>
        <v/>
      </c>
      <c r="H1479" s="9" t="str">
        <f t="shared" si="226"/>
        <v/>
      </c>
      <c r="I1479" s="10" t="str">
        <f t="shared" si="227"/>
        <v/>
      </c>
      <c r="J1479" s="10" t="str">
        <f t="shared" si="229"/>
        <v/>
      </c>
      <c r="K1479" s="11" t="str">
        <f t="shared" si="228"/>
        <v/>
      </c>
      <c r="M1479" t="str">
        <f>IFERROR(MATCH($C$5&amp;"|"&amp;RIGHT("000000"&amp;1463,6),CalcRankKeyA,0),"")</f>
        <v/>
      </c>
      <c r="N1479" t="str">
        <f>IFERROR(MATCH($C$5&amp;"|"&amp;RIGHT("000000"&amp;1463,6),CalcRankKeyB,0),"")</f>
        <v/>
      </c>
    </row>
    <row r="1480" spans="1:14" x14ac:dyDescent="0.2">
      <c r="A1480" s="12">
        <v>1464</v>
      </c>
      <c r="B1480" s="13" t="str">
        <f t="shared" si="220"/>
        <v/>
      </c>
      <c r="C1480" s="13" t="str">
        <f t="shared" si="221"/>
        <v/>
      </c>
      <c r="D1480" s="13" t="str">
        <f t="shared" si="222"/>
        <v/>
      </c>
      <c r="E1480" s="14" t="str">
        <f t="shared" si="223"/>
        <v/>
      </c>
      <c r="F1480" s="14" t="str">
        <f t="shared" si="224"/>
        <v/>
      </c>
      <c r="G1480" s="14" t="str">
        <f t="shared" si="225"/>
        <v/>
      </c>
      <c r="H1480" s="14" t="str">
        <f t="shared" si="226"/>
        <v/>
      </c>
      <c r="I1480" s="15" t="str">
        <f t="shared" si="227"/>
        <v/>
      </c>
      <c r="J1480" s="15" t="str">
        <f t="shared" si="229"/>
        <v/>
      </c>
      <c r="K1480" s="16" t="str">
        <f t="shared" si="228"/>
        <v/>
      </c>
      <c r="M1480" t="str">
        <f>IFERROR(MATCH($C$5&amp;"|"&amp;RIGHT("000000"&amp;1464,6),CalcRankKeyA,0),"")</f>
        <v/>
      </c>
      <c r="N1480" t="str">
        <f>IFERROR(MATCH($C$5&amp;"|"&amp;RIGHT("000000"&amp;1464,6),CalcRankKeyB,0),"")</f>
        <v/>
      </c>
    </row>
    <row r="1481" spans="1:14" x14ac:dyDescent="0.2">
      <c r="A1481" s="7">
        <v>1465</v>
      </c>
      <c r="B1481" s="8" t="str">
        <f t="shared" si="220"/>
        <v/>
      </c>
      <c r="C1481" s="8" t="str">
        <f t="shared" si="221"/>
        <v/>
      </c>
      <c r="D1481" s="8" t="str">
        <f t="shared" si="222"/>
        <v/>
      </c>
      <c r="E1481" s="9" t="str">
        <f t="shared" si="223"/>
        <v/>
      </c>
      <c r="F1481" s="9" t="str">
        <f t="shared" si="224"/>
        <v/>
      </c>
      <c r="G1481" s="9" t="str">
        <f t="shared" si="225"/>
        <v/>
      </c>
      <c r="H1481" s="9" t="str">
        <f t="shared" si="226"/>
        <v/>
      </c>
      <c r="I1481" s="10" t="str">
        <f t="shared" si="227"/>
        <v/>
      </c>
      <c r="J1481" s="10" t="str">
        <f t="shared" si="229"/>
        <v/>
      </c>
      <c r="K1481" s="11" t="str">
        <f t="shared" si="228"/>
        <v/>
      </c>
      <c r="M1481" t="str">
        <f>IFERROR(MATCH($C$5&amp;"|"&amp;RIGHT("000000"&amp;1465,6),CalcRankKeyA,0),"")</f>
        <v/>
      </c>
      <c r="N1481" t="str">
        <f>IFERROR(MATCH($C$5&amp;"|"&amp;RIGHT("000000"&amp;1465,6),CalcRankKeyB,0),"")</f>
        <v/>
      </c>
    </row>
    <row r="1482" spans="1:14" x14ac:dyDescent="0.2">
      <c r="A1482" s="12">
        <v>1466</v>
      </c>
      <c r="B1482" s="13" t="str">
        <f t="shared" si="220"/>
        <v/>
      </c>
      <c r="C1482" s="13" t="str">
        <f t="shared" si="221"/>
        <v/>
      </c>
      <c r="D1482" s="13" t="str">
        <f t="shared" si="222"/>
        <v/>
      </c>
      <c r="E1482" s="14" t="str">
        <f t="shared" si="223"/>
        <v/>
      </c>
      <c r="F1482" s="14" t="str">
        <f t="shared" si="224"/>
        <v/>
      </c>
      <c r="G1482" s="14" t="str">
        <f t="shared" si="225"/>
        <v/>
      </c>
      <c r="H1482" s="14" t="str">
        <f t="shared" si="226"/>
        <v/>
      </c>
      <c r="I1482" s="15" t="str">
        <f t="shared" si="227"/>
        <v/>
      </c>
      <c r="J1482" s="15" t="str">
        <f t="shared" si="229"/>
        <v/>
      </c>
      <c r="K1482" s="16" t="str">
        <f t="shared" si="228"/>
        <v/>
      </c>
      <c r="M1482" t="str">
        <f>IFERROR(MATCH($C$5&amp;"|"&amp;RIGHT("000000"&amp;1466,6),CalcRankKeyA,0),"")</f>
        <v/>
      </c>
      <c r="N1482" t="str">
        <f>IFERROR(MATCH($C$5&amp;"|"&amp;RIGHT("000000"&amp;1466,6),CalcRankKeyB,0),"")</f>
        <v/>
      </c>
    </row>
    <row r="1483" spans="1:14" x14ac:dyDescent="0.2">
      <c r="A1483" s="7">
        <v>1467</v>
      </c>
      <c r="B1483" s="8" t="str">
        <f t="shared" si="220"/>
        <v/>
      </c>
      <c r="C1483" s="8" t="str">
        <f t="shared" si="221"/>
        <v/>
      </c>
      <c r="D1483" s="8" t="str">
        <f t="shared" si="222"/>
        <v/>
      </c>
      <c r="E1483" s="9" t="str">
        <f t="shared" si="223"/>
        <v/>
      </c>
      <c r="F1483" s="9" t="str">
        <f t="shared" si="224"/>
        <v/>
      </c>
      <c r="G1483" s="9" t="str">
        <f t="shared" si="225"/>
        <v/>
      </c>
      <c r="H1483" s="9" t="str">
        <f t="shared" si="226"/>
        <v/>
      </c>
      <c r="I1483" s="10" t="str">
        <f t="shared" si="227"/>
        <v/>
      </c>
      <c r="J1483" s="10" t="str">
        <f t="shared" si="229"/>
        <v/>
      </c>
      <c r="K1483" s="11" t="str">
        <f t="shared" si="228"/>
        <v/>
      </c>
      <c r="M1483" t="str">
        <f>IFERROR(MATCH($C$5&amp;"|"&amp;RIGHT("000000"&amp;1467,6),CalcRankKeyA,0),"")</f>
        <v/>
      </c>
      <c r="N1483" t="str">
        <f>IFERROR(MATCH($C$5&amp;"|"&amp;RIGHT("000000"&amp;1467,6),CalcRankKeyB,0),"")</f>
        <v/>
      </c>
    </row>
    <row r="1484" spans="1:14" x14ac:dyDescent="0.2">
      <c r="A1484" s="12">
        <v>1468</v>
      </c>
      <c r="B1484" s="13" t="str">
        <f t="shared" si="220"/>
        <v/>
      </c>
      <c r="C1484" s="13" t="str">
        <f t="shared" si="221"/>
        <v/>
      </c>
      <c r="D1484" s="13" t="str">
        <f t="shared" si="222"/>
        <v/>
      </c>
      <c r="E1484" s="14" t="str">
        <f t="shared" si="223"/>
        <v/>
      </c>
      <c r="F1484" s="14" t="str">
        <f t="shared" si="224"/>
        <v/>
      </c>
      <c r="G1484" s="14" t="str">
        <f t="shared" si="225"/>
        <v/>
      </c>
      <c r="H1484" s="14" t="str">
        <f t="shared" si="226"/>
        <v/>
      </c>
      <c r="I1484" s="15" t="str">
        <f t="shared" si="227"/>
        <v/>
      </c>
      <c r="J1484" s="15" t="str">
        <f t="shared" si="229"/>
        <v/>
      </c>
      <c r="K1484" s="16" t="str">
        <f t="shared" si="228"/>
        <v/>
      </c>
      <c r="M1484" t="str">
        <f>IFERROR(MATCH($C$5&amp;"|"&amp;RIGHT("000000"&amp;1468,6),CalcRankKeyA,0),"")</f>
        <v/>
      </c>
      <c r="N1484" t="str">
        <f>IFERROR(MATCH($C$5&amp;"|"&amp;RIGHT("000000"&amp;1468,6),CalcRankKeyB,0),"")</f>
        <v/>
      </c>
    </row>
    <row r="1485" spans="1:14" x14ac:dyDescent="0.2">
      <c r="A1485" s="7">
        <v>1469</v>
      </c>
      <c r="B1485" s="8" t="str">
        <f t="shared" si="220"/>
        <v/>
      </c>
      <c r="C1485" s="8" t="str">
        <f t="shared" si="221"/>
        <v/>
      </c>
      <c r="D1485" s="8" t="str">
        <f t="shared" si="222"/>
        <v/>
      </c>
      <c r="E1485" s="9" t="str">
        <f t="shared" si="223"/>
        <v/>
      </c>
      <c r="F1485" s="9" t="str">
        <f t="shared" si="224"/>
        <v/>
      </c>
      <c r="G1485" s="9" t="str">
        <f t="shared" si="225"/>
        <v/>
      </c>
      <c r="H1485" s="9" t="str">
        <f t="shared" si="226"/>
        <v/>
      </c>
      <c r="I1485" s="10" t="str">
        <f t="shared" si="227"/>
        <v/>
      </c>
      <c r="J1485" s="10" t="str">
        <f t="shared" si="229"/>
        <v/>
      </c>
      <c r="K1485" s="11" t="str">
        <f t="shared" si="228"/>
        <v/>
      </c>
      <c r="M1485" t="str">
        <f>IFERROR(MATCH($C$5&amp;"|"&amp;RIGHT("000000"&amp;1469,6),CalcRankKeyA,0),"")</f>
        <v/>
      </c>
      <c r="N1485" t="str">
        <f>IFERROR(MATCH($C$5&amp;"|"&amp;RIGHT("000000"&amp;1469,6),CalcRankKeyB,0),"")</f>
        <v/>
      </c>
    </row>
    <row r="1486" spans="1:14" x14ac:dyDescent="0.2">
      <c r="A1486" s="12">
        <v>1470</v>
      </c>
      <c r="B1486" s="13" t="str">
        <f t="shared" si="220"/>
        <v/>
      </c>
      <c r="C1486" s="13" t="str">
        <f t="shared" si="221"/>
        <v/>
      </c>
      <c r="D1486" s="13" t="str">
        <f t="shared" si="222"/>
        <v/>
      </c>
      <c r="E1486" s="14" t="str">
        <f t="shared" si="223"/>
        <v/>
      </c>
      <c r="F1486" s="14" t="str">
        <f t="shared" si="224"/>
        <v/>
      </c>
      <c r="G1486" s="14" t="str">
        <f t="shared" si="225"/>
        <v/>
      </c>
      <c r="H1486" s="14" t="str">
        <f t="shared" si="226"/>
        <v/>
      </c>
      <c r="I1486" s="15" t="str">
        <f t="shared" si="227"/>
        <v/>
      </c>
      <c r="J1486" s="15" t="str">
        <f t="shared" si="229"/>
        <v/>
      </c>
      <c r="K1486" s="16" t="str">
        <f t="shared" si="228"/>
        <v/>
      </c>
      <c r="M1486" t="str">
        <f>IFERROR(MATCH($C$5&amp;"|"&amp;RIGHT("000000"&amp;1470,6),CalcRankKeyA,0),"")</f>
        <v/>
      </c>
      <c r="N1486" t="str">
        <f>IFERROR(MATCH($C$5&amp;"|"&amp;RIGHT("000000"&amp;1470,6),CalcRankKeyB,0),"")</f>
        <v/>
      </c>
    </row>
    <row r="1487" spans="1:14" x14ac:dyDescent="0.2">
      <c r="A1487" s="7">
        <v>1471</v>
      </c>
      <c r="B1487" s="8" t="str">
        <f t="shared" si="220"/>
        <v/>
      </c>
      <c r="C1487" s="8" t="str">
        <f t="shared" si="221"/>
        <v/>
      </c>
      <c r="D1487" s="8" t="str">
        <f t="shared" si="222"/>
        <v/>
      </c>
      <c r="E1487" s="9" t="str">
        <f t="shared" si="223"/>
        <v/>
      </c>
      <c r="F1487" s="9" t="str">
        <f t="shared" si="224"/>
        <v/>
      </c>
      <c r="G1487" s="9" t="str">
        <f t="shared" si="225"/>
        <v/>
      </c>
      <c r="H1487" s="9" t="str">
        <f t="shared" si="226"/>
        <v/>
      </c>
      <c r="I1487" s="10" t="str">
        <f t="shared" si="227"/>
        <v/>
      </c>
      <c r="J1487" s="10" t="str">
        <f t="shared" si="229"/>
        <v/>
      </c>
      <c r="K1487" s="11" t="str">
        <f t="shared" si="228"/>
        <v/>
      </c>
      <c r="M1487" t="str">
        <f>IFERROR(MATCH($C$5&amp;"|"&amp;RIGHT("000000"&amp;1471,6),CalcRankKeyA,0),"")</f>
        <v/>
      </c>
      <c r="N1487" t="str">
        <f>IFERROR(MATCH($C$5&amp;"|"&amp;RIGHT("000000"&amp;1471,6),CalcRankKeyB,0),"")</f>
        <v/>
      </c>
    </row>
    <row r="1488" spans="1:14" x14ac:dyDescent="0.2">
      <c r="A1488" s="12">
        <v>1472</v>
      </c>
      <c r="B1488" s="13" t="str">
        <f t="shared" si="220"/>
        <v/>
      </c>
      <c r="C1488" s="13" t="str">
        <f t="shared" si="221"/>
        <v/>
      </c>
      <c r="D1488" s="13" t="str">
        <f t="shared" si="222"/>
        <v/>
      </c>
      <c r="E1488" s="14" t="str">
        <f t="shared" si="223"/>
        <v/>
      </c>
      <c r="F1488" s="14" t="str">
        <f t="shared" si="224"/>
        <v/>
      </c>
      <c r="G1488" s="14" t="str">
        <f t="shared" si="225"/>
        <v/>
      </c>
      <c r="H1488" s="14" t="str">
        <f t="shared" si="226"/>
        <v/>
      </c>
      <c r="I1488" s="15" t="str">
        <f t="shared" si="227"/>
        <v/>
      </c>
      <c r="J1488" s="15" t="str">
        <f t="shared" si="229"/>
        <v/>
      </c>
      <c r="K1488" s="16" t="str">
        <f t="shared" si="228"/>
        <v/>
      </c>
      <c r="M1488" t="str">
        <f>IFERROR(MATCH($C$5&amp;"|"&amp;RIGHT("000000"&amp;1472,6),CalcRankKeyA,0),"")</f>
        <v/>
      </c>
      <c r="N1488" t="str">
        <f>IFERROR(MATCH($C$5&amp;"|"&amp;RIGHT("000000"&amp;1472,6),CalcRankKeyB,0),"")</f>
        <v/>
      </c>
    </row>
    <row r="1489" spans="1:14" x14ac:dyDescent="0.2">
      <c r="A1489" s="7">
        <v>1473</v>
      </c>
      <c r="B1489" s="8" t="str">
        <f t="shared" ref="B1489:B1552" si="230">IF(AND($M1489="",$N1489=""),"",IF($M1489&lt;&gt;"",INDEX(CalcDateA,$M1489),INDEX(CalcDateB,$N1489)))</f>
        <v/>
      </c>
      <c r="C1489" s="8" t="str">
        <f t="shared" ref="C1489:C1552" si="231">IF($M1489&lt;&gt;"","خرید سبد",IF($N1489&lt;&gt;"",IF(N(INDEX(CalcDepB,$N1489))&gt;0,"دریافت بانکی","پرداخت بانکی"),""))</f>
        <v/>
      </c>
      <c r="D1489" s="8" t="str">
        <f t="shared" ref="D1489:D1552" si="232">IF($M1489&lt;&gt;"",IF(INDEX(CalcDocA,$M1489)="","—",INDEX(CalcDocA,$M1489)),IF($N1489&lt;&gt;"",INDEX(CalcBankB,$N1489),""))</f>
        <v/>
      </c>
      <c r="E1489" s="9" t="str">
        <f t="shared" ref="E1489:E1552" si="233">IF($N1489&lt;&gt;"",IF(INDEX(CalcDepB,$N1489)=0,"",INDEX(CalcDepB,$N1489)),"")</f>
        <v/>
      </c>
      <c r="F1489" s="9" t="str">
        <f t="shared" ref="F1489:F1552" si="234">IF($M1489&lt;&gt;"",IF(INDEX(CalcQtyA,$M1489)=0,"",INDEX(CalcQtyA,$M1489)),"")</f>
        <v/>
      </c>
      <c r="G1489" s="9" t="str">
        <f t="shared" ref="G1489:G1552" si="235">IF($M1489&lt;&gt;"",IF(INDEX(CalcPriceA,$M1489)=0,"",INDEX(CalcPriceA,$M1489)),"")</f>
        <v/>
      </c>
      <c r="H1489" s="9" t="str">
        <f t="shared" ref="H1489:H1552" si="236">IF($N1489&lt;&gt;"",IF(INDEX(CalcWitB,$N1489)=0,"",INDEX(CalcWitB,$N1489)),"")</f>
        <v/>
      </c>
      <c r="I1489" s="10" t="str">
        <f t="shared" ref="I1489:I1552" si="237">IF($M1489&lt;&gt;"",INDEX(CalcAmtA,$M1489),"")</f>
        <v/>
      </c>
      <c r="J1489" s="10" t="str">
        <f t="shared" si="229"/>
        <v/>
      </c>
      <c r="K1489" s="11" t="str">
        <f t="shared" ref="K1489:K1552" si="238">IF($M1489&lt;&gt;"",IF(INDEX(CalcNoteA,$M1489)="","—",INDEX(CalcNoteA,$M1489)),IF($N1489&lt;&gt;"",IF(INDEX(CalcNoteB,$N1489)="","—",INDEX(CalcNoteB,$N1489)),""))</f>
        <v/>
      </c>
      <c r="M1489" t="str">
        <f>IFERROR(MATCH($C$5&amp;"|"&amp;RIGHT("000000"&amp;1473,6),CalcRankKeyA,0),"")</f>
        <v/>
      </c>
      <c r="N1489" t="str">
        <f>IFERROR(MATCH($C$5&amp;"|"&amp;RIGHT("000000"&amp;1473,6),CalcRankKeyB,0),"")</f>
        <v/>
      </c>
    </row>
    <row r="1490" spans="1:14" x14ac:dyDescent="0.2">
      <c r="A1490" s="12">
        <v>1474</v>
      </c>
      <c r="B1490" s="13" t="str">
        <f t="shared" si="230"/>
        <v/>
      </c>
      <c r="C1490" s="13" t="str">
        <f t="shared" si="231"/>
        <v/>
      </c>
      <c r="D1490" s="13" t="str">
        <f t="shared" si="232"/>
        <v/>
      </c>
      <c r="E1490" s="14" t="str">
        <f t="shared" si="233"/>
        <v/>
      </c>
      <c r="F1490" s="14" t="str">
        <f t="shared" si="234"/>
        <v/>
      </c>
      <c r="G1490" s="14" t="str">
        <f t="shared" si="235"/>
        <v/>
      </c>
      <c r="H1490" s="14" t="str">
        <f t="shared" si="236"/>
        <v/>
      </c>
      <c r="I1490" s="15" t="str">
        <f t="shared" si="237"/>
        <v/>
      </c>
      <c r="J1490" s="15" t="str">
        <f t="shared" ref="J1490:J1553" si="239">IF($B1490="","",IF($J1489="",$C$8,$J1489)+IF($I1490="",0,$I1490)+IF($E1490="",0,$E1490)-IF($H1490="",0,$H1490))</f>
        <v/>
      </c>
      <c r="K1490" s="16" t="str">
        <f t="shared" si="238"/>
        <v/>
      </c>
      <c r="M1490" t="str">
        <f>IFERROR(MATCH($C$5&amp;"|"&amp;RIGHT("000000"&amp;1474,6),CalcRankKeyA,0),"")</f>
        <v/>
      </c>
      <c r="N1490" t="str">
        <f>IFERROR(MATCH($C$5&amp;"|"&amp;RIGHT("000000"&amp;1474,6),CalcRankKeyB,0),"")</f>
        <v/>
      </c>
    </row>
    <row r="1491" spans="1:14" x14ac:dyDescent="0.2">
      <c r="A1491" s="7">
        <v>1475</v>
      </c>
      <c r="B1491" s="8" t="str">
        <f t="shared" si="230"/>
        <v/>
      </c>
      <c r="C1491" s="8" t="str">
        <f t="shared" si="231"/>
        <v/>
      </c>
      <c r="D1491" s="8" t="str">
        <f t="shared" si="232"/>
        <v/>
      </c>
      <c r="E1491" s="9" t="str">
        <f t="shared" si="233"/>
        <v/>
      </c>
      <c r="F1491" s="9" t="str">
        <f t="shared" si="234"/>
        <v/>
      </c>
      <c r="G1491" s="9" t="str">
        <f t="shared" si="235"/>
        <v/>
      </c>
      <c r="H1491" s="9" t="str">
        <f t="shared" si="236"/>
        <v/>
      </c>
      <c r="I1491" s="10" t="str">
        <f t="shared" si="237"/>
        <v/>
      </c>
      <c r="J1491" s="10" t="str">
        <f t="shared" si="239"/>
        <v/>
      </c>
      <c r="K1491" s="11" t="str">
        <f t="shared" si="238"/>
        <v/>
      </c>
      <c r="M1491" t="str">
        <f>IFERROR(MATCH($C$5&amp;"|"&amp;RIGHT("000000"&amp;1475,6),CalcRankKeyA,0),"")</f>
        <v/>
      </c>
      <c r="N1491" t="str">
        <f>IFERROR(MATCH($C$5&amp;"|"&amp;RIGHT("000000"&amp;1475,6),CalcRankKeyB,0),"")</f>
        <v/>
      </c>
    </row>
    <row r="1492" spans="1:14" x14ac:dyDescent="0.2">
      <c r="A1492" s="12">
        <v>1476</v>
      </c>
      <c r="B1492" s="13" t="str">
        <f t="shared" si="230"/>
        <v/>
      </c>
      <c r="C1492" s="13" t="str">
        <f t="shared" si="231"/>
        <v/>
      </c>
      <c r="D1492" s="13" t="str">
        <f t="shared" si="232"/>
        <v/>
      </c>
      <c r="E1492" s="14" t="str">
        <f t="shared" si="233"/>
        <v/>
      </c>
      <c r="F1492" s="14" t="str">
        <f t="shared" si="234"/>
        <v/>
      </c>
      <c r="G1492" s="14" t="str">
        <f t="shared" si="235"/>
        <v/>
      </c>
      <c r="H1492" s="14" t="str">
        <f t="shared" si="236"/>
        <v/>
      </c>
      <c r="I1492" s="15" t="str">
        <f t="shared" si="237"/>
        <v/>
      </c>
      <c r="J1492" s="15" t="str">
        <f t="shared" si="239"/>
        <v/>
      </c>
      <c r="K1492" s="16" t="str">
        <f t="shared" si="238"/>
        <v/>
      </c>
      <c r="M1492" t="str">
        <f>IFERROR(MATCH($C$5&amp;"|"&amp;RIGHT("000000"&amp;1476,6),CalcRankKeyA,0),"")</f>
        <v/>
      </c>
      <c r="N1492" t="str">
        <f>IFERROR(MATCH($C$5&amp;"|"&amp;RIGHT("000000"&amp;1476,6),CalcRankKeyB,0),"")</f>
        <v/>
      </c>
    </row>
    <row r="1493" spans="1:14" x14ac:dyDescent="0.2">
      <c r="A1493" s="7">
        <v>1477</v>
      </c>
      <c r="B1493" s="8" t="str">
        <f t="shared" si="230"/>
        <v/>
      </c>
      <c r="C1493" s="8" t="str">
        <f t="shared" si="231"/>
        <v/>
      </c>
      <c r="D1493" s="8" t="str">
        <f t="shared" si="232"/>
        <v/>
      </c>
      <c r="E1493" s="9" t="str">
        <f t="shared" si="233"/>
        <v/>
      </c>
      <c r="F1493" s="9" t="str">
        <f t="shared" si="234"/>
        <v/>
      </c>
      <c r="G1493" s="9" t="str">
        <f t="shared" si="235"/>
        <v/>
      </c>
      <c r="H1493" s="9" t="str">
        <f t="shared" si="236"/>
        <v/>
      </c>
      <c r="I1493" s="10" t="str">
        <f t="shared" si="237"/>
        <v/>
      </c>
      <c r="J1493" s="10" t="str">
        <f t="shared" si="239"/>
        <v/>
      </c>
      <c r="K1493" s="11" t="str">
        <f t="shared" si="238"/>
        <v/>
      </c>
      <c r="M1493" t="str">
        <f>IFERROR(MATCH($C$5&amp;"|"&amp;RIGHT("000000"&amp;1477,6),CalcRankKeyA,0),"")</f>
        <v/>
      </c>
      <c r="N1493" t="str">
        <f>IFERROR(MATCH($C$5&amp;"|"&amp;RIGHT("000000"&amp;1477,6),CalcRankKeyB,0),"")</f>
        <v/>
      </c>
    </row>
    <row r="1494" spans="1:14" x14ac:dyDescent="0.2">
      <c r="A1494" s="12">
        <v>1478</v>
      </c>
      <c r="B1494" s="13" t="str">
        <f t="shared" si="230"/>
        <v/>
      </c>
      <c r="C1494" s="13" t="str">
        <f t="shared" si="231"/>
        <v/>
      </c>
      <c r="D1494" s="13" t="str">
        <f t="shared" si="232"/>
        <v/>
      </c>
      <c r="E1494" s="14" t="str">
        <f t="shared" si="233"/>
        <v/>
      </c>
      <c r="F1494" s="14" t="str">
        <f t="shared" si="234"/>
        <v/>
      </c>
      <c r="G1494" s="14" t="str">
        <f t="shared" si="235"/>
        <v/>
      </c>
      <c r="H1494" s="14" t="str">
        <f t="shared" si="236"/>
        <v/>
      </c>
      <c r="I1494" s="15" t="str">
        <f t="shared" si="237"/>
        <v/>
      </c>
      <c r="J1494" s="15" t="str">
        <f t="shared" si="239"/>
        <v/>
      </c>
      <c r="K1494" s="16" t="str">
        <f t="shared" si="238"/>
        <v/>
      </c>
      <c r="M1494" t="str">
        <f>IFERROR(MATCH($C$5&amp;"|"&amp;RIGHT("000000"&amp;1478,6),CalcRankKeyA,0),"")</f>
        <v/>
      </c>
      <c r="N1494" t="str">
        <f>IFERROR(MATCH($C$5&amp;"|"&amp;RIGHT("000000"&amp;1478,6),CalcRankKeyB,0),"")</f>
        <v/>
      </c>
    </row>
    <row r="1495" spans="1:14" x14ac:dyDescent="0.2">
      <c r="A1495" s="7">
        <v>1479</v>
      </c>
      <c r="B1495" s="8" t="str">
        <f t="shared" si="230"/>
        <v/>
      </c>
      <c r="C1495" s="8" t="str">
        <f t="shared" si="231"/>
        <v/>
      </c>
      <c r="D1495" s="8" t="str">
        <f t="shared" si="232"/>
        <v/>
      </c>
      <c r="E1495" s="9" t="str">
        <f t="shared" si="233"/>
        <v/>
      </c>
      <c r="F1495" s="9" t="str">
        <f t="shared" si="234"/>
        <v/>
      </c>
      <c r="G1495" s="9" t="str">
        <f t="shared" si="235"/>
        <v/>
      </c>
      <c r="H1495" s="9" t="str">
        <f t="shared" si="236"/>
        <v/>
      </c>
      <c r="I1495" s="10" t="str">
        <f t="shared" si="237"/>
        <v/>
      </c>
      <c r="J1495" s="10" t="str">
        <f t="shared" si="239"/>
        <v/>
      </c>
      <c r="K1495" s="11" t="str">
        <f t="shared" si="238"/>
        <v/>
      </c>
      <c r="M1495" t="str">
        <f>IFERROR(MATCH($C$5&amp;"|"&amp;RIGHT("000000"&amp;1479,6),CalcRankKeyA,0),"")</f>
        <v/>
      </c>
      <c r="N1495" t="str">
        <f>IFERROR(MATCH($C$5&amp;"|"&amp;RIGHT("000000"&amp;1479,6),CalcRankKeyB,0),"")</f>
        <v/>
      </c>
    </row>
    <row r="1496" spans="1:14" x14ac:dyDescent="0.2">
      <c r="A1496" s="12">
        <v>1480</v>
      </c>
      <c r="B1496" s="13" t="str">
        <f t="shared" si="230"/>
        <v/>
      </c>
      <c r="C1496" s="13" t="str">
        <f t="shared" si="231"/>
        <v/>
      </c>
      <c r="D1496" s="13" t="str">
        <f t="shared" si="232"/>
        <v/>
      </c>
      <c r="E1496" s="14" t="str">
        <f t="shared" si="233"/>
        <v/>
      </c>
      <c r="F1496" s="14" t="str">
        <f t="shared" si="234"/>
        <v/>
      </c>
      <c r="G1496" s="14" t="str">
        <f t="shared" si="235"/>
        <v/>
      </c>
      <c r="H1496" s="14" t="str">
        <f t="shared" si="236"/>
        <v/>
      </c>
      <c r="I1496" s="15" t="str">
        <f t="shared" si="237"/>
        <v/>
      </c>
      <c r="J1496" s="15" t="str">
        <f t="shared" si="239"/>
        <v/>
      </c>
      <c r="K1496" s="16" t="str">
        <f t="shared" si="238"/>
        <v/>
      </c>
      <c r="M1496" t="str">
        <f>IFERROR(MATCH($C$5&amp;"|"&amp;RIGHT("000000"&amp;1480,6),CalcRankKeyA,0),"")</f>
        <v/>
      </c>
      <c r="N1496" t="str">
        <f>IFERROR(MATCH($C$5&amp;"|"&amp;RIGHT("000000"&amp;1480,6),CalcRankKeyB,0),"")</f>
        <v/>
      </c>
    </row>
    <row r="1497" spans="1:14" x14ac:dyDescent="0.2">
      <c r="A1497" s="7">
        <v>1481</v>
      </c>
      <c r="B1497" s="8" t="str">
        <f t="shared" si="230"/>
        <v/>
      </c>
      <c r="C1497" s="8" t="str">
        <f t="shared" si="231"/>
        <v/>
      </c>
      <c r="D1497" s="8" t="str">
        <f t="shared" si="232"/>
        <v/>
      </c>
      <c r="E1497" s="9" t="str">
        <f t="shared" si="233"/>
        <v/>
      </c>
      <c r="F1497" s="9" t="str">
        <f t="shared" si="234"/>
        <v/>
      </c>
      <c r="G1497" s="9" t="str">
        <f t="shared" si="235"/>
        <v/>
      </c>
      <c r="H1497" s="9" t="str">
        <f t="shared" si="236"/>
        <v/>
      </c>
      <c r="I1497" s="10" t="str">
        <f t="shared" si="237"/>
        <v/>
      </c>
      <c r="J1497" s="10" t="str">
        <f t="shared" si="239"/>
        <v/>
      </c>
      <c r="K1497" s="11" t="str">
        <f t="shared" si="238"/>
        <v/>
      </c>
      <c r="M1497" t="str">
        <f>IFERROR(MATCH($C$5&amp;"|"&amp;RIGHT("000000"&amp;1481,6),CalcRankKeyA,0),"")</f>
        <v/>
      </c>
      <c r="N1497" t="str">
        <f>IFERROR(MATCH($C$5&amp;"|"&amp;RIGHT("000000"&amp;1481,6),CalcRankKeyB,0),"")</f>
        <v/>
      </c>
    </row>
    <row r="1498" spans="1:14" x14ac:dyDescent="0.2">
      <c r="A1498" s="12">
        <v>1482</v>
      </c>
      <c r="B1498" s="13" t="str">
        <f t="shared" si="230"/>
        <v/>
      </c>
      <c r="C1498" s="13" t="str">
        <f t="shared" si="231"/>
        <v/>
      </c>
      <c r="D1498" s="13" t="str">
        <f t="shared" si="232"/>
        <v/>
      </c>
      <c r="E1498" s="14" t="str">
        <f t="shared" si="233"/>
        <v/>
      </c>
      <c r="F1498" s="14" t="str">
        <f t="shared" si="234"/>
        <v/>
      </c>
      <c r="G1498" s="14" t="str">
        <f t="shared" si="235"/>
        <v/>
      </c>
      <c r="H1498" s="14" t="str">
        <f t="shared" si="236"/>
        <v/>
      </c>
      <c r="I1498" s="15" t="str">
        <f t="shared" si="237"/>
        <v/>
      </c>
      <c r="J1498" s="15" t="str">
        <f t="shared" si="239"/>
        <v/>
      </c>
      <c r="K1498" s="16" t="str">
        <f t="shared" si="238"/>
        <v/>
      </c>
      <c r="M1498" t="str">
        <f>IFERROR(MATCH($C$5&amp;"|"&amp;RIGHT("000000"&amp;1482,6),CalcRankKeyA,0),"")</f>
        <v/>
      </c>
      <c r="N1498" t="str">
        <f>IFERROR(MATCH($C$5&amp;"|"&amp;RIGHT("000000"&amp;1482,6),CalcRankKeyB,0),"")</f>
        <v/>
      </c>
    </row>
    <row r="1499" spans="1:14" x14ac:dyDescent="0.2">
      <c r="A1499" s="7">
        <v>1483</v>
      </c>
      <c r="B1499" s="8" t="str">
        <f t="shared" si="230"/>
        <v/>
      </c>
      <c r="C1499" s="8" t="str">
        <f t="shared" si="231"/>
        <v/>
      </c>
      <c r="D1499" s="8" t="str">
        <f t="shared" si="232"/>
        <v/>
      </c>
      <c r="E1499" s="9" t="str">
        <f t="shared" si="233"/>
        <v/>
      </c>
      <c r="F1499" s="9" t="str">
        <f t="shared" si="234"/>
        <v/>
      </c>
      <c r="G1499" s="9" t="str">
        <f t="shared" si="235"/>
        <v/>
      </c>
      <c r="H1499" s="9" t="str">
        <f t="shared" si="236"/>
        <v/>
      </c>
      <c r="I1499" s="10" t="str">
        <f t="shared" si="237"/>
        <v/>
      </c>
      <c r="J1499" s="10" t="str">
        <f t="shared" si="239"/>
        <v/>
      </c>
      <c r="K1499" s="11" t="str">
        <f t="shared" si="238"/>
        <v/>
      </c>
      <c r="M1499" t="str">
        <f>IFERROR(MATCH($C$5&amp;"|"&amp;RIGHT("000000"&amp;1483,6),CalcRankKeyA,0),"")</f>
        <v/>
      </c>
      <c r="N1499" t="str">
        <f>IFERROR(MATCH($C$5&amp;"|"&amp;RIGHT("000000"&amp;1483,6),CalcRankKeyB,0),"")</f>
        <v/>
      </c>
    </row>
    <row r="1500" spans="1:14" x14ac:dyDescent="0.2">
      <c r="A1500" s="12">
        <v>1484</v>
      </c>
      <c r="B1500" s="13" t="str">
        <f t="shared" si="230"/>
        <v/>
      </c>
      <c r="C1500" s="13" t="str">
        <f t="shared" si="231"/>
        <v/>
      </c>
      <c r="D1500" s="13" t="str">
        <f t="shared" si="232"/>
        <v/>
      </c>
      <c r="E1500" s="14" t="str">
        <f t="shared" si="233"/>
        <v/>
      </c>
      <c r="F1500" s="14" t="str">
        <f t="shared" si="234"/>
        <v/>
      </c>
      <c r="G1500" s="14" t="str">
        <f t="shared" si="235"/>
        <v/>
      </c>
      <c r="H1500" s="14" t="str">
        <f t="shared" si="236"/>
        <v/>
      </c>
      <c r="I1500" s="15" t="str">
        <f t="shared" si="237"/>
        <v/>
      </c>
      <c r="J1500" s="15" t="str">
        <f t="shared" si="239"/>
        <v/>
      </c>
      <c r="K1500" s="16" t="str">
        <f t="shared" si="238"/>
        <v/>
      </c>
      <c r="M1500" t="str">
        <f>IFERROR(MATCH($C$5&amp;"|"&amp;RIGHT("000000"&amp;1484,6),CalcRankKeyA,0),"")</f>
        <v/>
      </c>
      <c r="N1500" t="str">
        <f>IFERROR(MATCH($C$5&amp;"|"&amp;RIGHT("000000"&amp;1484,6),CalcRankKeyB,0),"")</f>
        <v/>
      </c>
    </row>
    <row r="1501" spans="1:14" x14ac:dyDescent="0.2">
      <c r="A1501" s="7">
        <v>1485</v>
      </c>
      <c r="B1501" s="8" t="str">
        <f t="shared" si="230"/>
        <v/>
      </c>
      <c r="C1501" s="8" t="str">
        <f t="shared" si="231"/>
        <v/>
      </c>
      <c r="D1501" s="8" t="str">
        <f t="shared" si="232"/>
        <v/>
      </c>
      <c r="E1501" s="9" t="str">
        <f t="shared" si="233"/>
        <v/>
      </c>
      <c r="F1501" s="9" t="str">
        <f t="shared" si="234"/>
        <v/>
      </c>
      <c r="G1501" s="9" t="str">
        <f t="shared" si="235"/>
        <v/>
      </c>
      <c r="H1501" s="9" t="str">
        <f t="shared" si="236"/>
        <v/>
      </c>
      <c r="I1501" s="10" t="str">
        <f t="shared" si="237"/>
        <v/>
      </c>
      <c r="J1501" s="10" t="str">
        <f t="shared" si="239"/>
        <v/>
      </c>
      <c r="K1501" s="11" t="str">
        <f t="shared" si="238"/>
        <v/>
      </c>
      <c r="M1501" t="str">
        <f>IFERROR(MATCH($C$5&amp;"|"&amp;RIGHT("000000"&amp;1485,6),CalcRankKeyA,0),"")</f>
        <v/>
      </c>
      <c r="N1501" t="str">
        <f>IFERROR(MATCH($C$5&amp;"|"&amp;RIGHT("000000"&amp;1485,6),CalcRankKeyB,0),"")</f>
        <v/>
      </c>
    </row>
    <row r="1502" spans="1:14" x14ac:dyDescent="0.2">
      <c r="A1502" s="12">
        <v>1486</v>
      </c>
      <c r="B1502" s="13" t="str">
        <f t="shared" si="230"/>
        <v/>
      </c>
      <c r="C1502" s="13" t="str">
        <f t="shared" si="231"/>
        <v/>
      </c>
      <c r="D1502" s="13" t="str">
        <f t="shared" si="232"/>
        <v/>
      </c>
      <c r="E1502" s="14" t="str">
        <f t="shared" si="233"/>
        <v/>
      </c>
      <c r="F1502" s="14" t="str">
        <f t="shared" si="234"/>
        <v/>
      </c>
      <c r="G1502" s="14" t="str">
        <f t="shared" si="235"/>
        <v/>
      </c>
      <c r="H1502" s="14" t="str">
        <f t="shared" si="236"/>
        <v/>
      </c>
      <c r="I1502" s="15" t="str">
        <f t="shared" si="237"/>
        <v/>
      </c>
      <c r="J1502" s="15" t="str">
        <f t="shared" si="239"/>
        <v/>
      </c>
      <c r="K1502" s="16" t="str">
        <f t="shared" si="238"/>
        <v/>
      </c>
      <c r="M1502" t="str">
        <f>IFERROR(MATCH($C$5&amp;"|"&amp;RIGHT("000000"&amp;1486,6),CalcRankKeyA,0),"")</f>
        <v/>
      </c>
      <c r="N1502" t="str">
        <f>IFERROR(MATCH($C$5&amp;"|"&amp;RIGHT("000000"&amp;1486,6),CalcRankKeyB,0),"")</f>
        <v/>
      </c>
    </row>
    <row r="1503" spans="1:14" x14ac:dyDescent="0.2">
      <c r="A1503" s="7">
        <v>1487</v>
      </c>
      <c r="B1503" s="8" t="str">
        <f t="shared" si="230"/>
        <v/>
      </c>
      <c r="C1503" s="8" t="str">
        <f t="shared" si="231"/>
        <v/>
      </c>
      <c r="D1503" s="8" t="str">
        <f t="shared" si="232"/>
        <v/>
      </c>
      <c r="E1503" s="9" t="str">
        <f t="shared" si="233"/>
        <v/>
      </c>
      <c r="F1503" s="9" t="str">
        <f t="shared" si="234"/>
        <v/>
      </c>
      <c r="G1503" s="9" t="str">
        <f t="shared" si="235"/>
        <v/>
      </c>
      <c r="H1503" s="9" t="str">
        <f t="shared" si="236"/>
        <v/>
      </c>
      <c r="I1503" s="10" t="str">
        <f t="shared" si="237"/>
        <v/>
      </c>
      <c r="J1503" s="10" t="str">
        <f t="shared" si="239"/>
        <v/>
      </c>
      <c r="K1503" s="11" t="str">
        <f t="shared" si="238"/>
        <v/>
      </c>
      <c r="M1503" t="str">
        <f>IFERROR(MATCH($C$5&amp;"|"&amp;RIGHT("000000"&amp;1487,6),CalcRankKeyA,0),"")</f>
        <v/>
      </c>
      <c r="N1503" t="str">
        <f>IFERROR(MATCH($C$5&amp;"|"&amp;RIGHT("000000"&amp;1487,6),CalcRankKeyB,0),"")</f>
        <v/>
      </c>
    </row>
    <row r="1504" spans="1:14" x14ac:dyDescent="0.2">
      <c r="A1504" s="12">
        <v>1488</v>
      </c>
      <c r="B1504" s="13" t="str">
        <f t="shared" si="230"/>
        <v/>
      </c>
      <c r="C1504" s="13" t="str">
        <f t="shared" si="231"/>
        <v/>
      </c>
      <c r="D1504" s="13" t="str">
        <f t="shared" si="232"/>
        <v/>
      </c>
      <c r="E1504" s="14" t="str">
        <f t="shared" si="233"/>
        <v/>
      </c>
      <c r="F1504" s="14" t="str">
        <f t="shared" si="234"/>
        <v/>
      </c>
      <c r="G1504" s="14" t="str">
        <f t="shared" si="235"/>
        <v/>
      </c>
      <c r="H1504" s="14" t="str">
        <f t="shared" si="236"/>
        <v/>
      </c>
      <c r="I1504" s="15" t="str">
        <f t="shared" si="237"/>
        <v/>
      </c>
      <c r="J1504" s="15" t="str">
        <f t="shared" si="239"/>
        <v/>
      </c>
      <c r="K1504" s="16" t="str">
        <f t="shared" si="238"/>
        <v/>
      </c>
      <c r="M1504" t="str">
        <f>IFERROR(MATCH($C$5&amp;"|"&amp;RIGHT("000000"&amp;1488,6),CalcRankKeyA,0),"")</f>
        <v/>
      </c>
      <c r="N1504" t="str">
        <f>IFERROR(MATCH($C$5&amp;"|"&amp;RIGHT("000000"&amp;1488,6),CalcRankKeyB,0),"")</f>
        <v/>
      </c>
    </row>
    <row r="1505" spans="1:14" x14ac:dyDescent="0.2">
      <c r="A1505" s="7">
        <v>1489</v>
      </c>
      <c r="B1505" s="8" t="str">
        <f t="shared" si="230"/>
        <v/>
      </c>
      <c r="C1505" s="8" t="str">
        <f t="shared" si="231"/>
        <v/>
      </c>
      <c r="D1505" s="8" t="str">
        <f t="shared" si="232"/>
        <v/>
      </c>
      <c r="E1505" s="9" t="str">
        <f t="shared" si="233"/>
        <v/>
      </c>
      <c r="F1505" s="9" t="str">
        <f t="shared" si="234"/>
        <v/>
      </c>
      <c r="G1505" s="9" t="str">
        <f t="shared" si="235"/>
        <v/>
      </c>
      <c r="H1505" s="9" t="str">
        <f t="shared" si="236"/>
        <v/>
      </c>
      <c r="I1505" s="10" t="str">
        <f t="shared" si="237"/>
        <v/>
      </c>
      <c r="J1505" s="10" t="str">
        <f t="shared" si="239"/>
        <v/>
      </c>
      <c r="K1505" s="11" t="str">
        <f t="shared" si="238"/>
        <v/>
      </c>
      <c r="M1505" t="str">
        <f>IFERROR(MATCH($C$5&amp;"|"&amp;RIGHT("000000"&amp;1489,6),CalcRankKeyA,0),"")</f>
        <v/>
      </c>
      <c r="N1505" t="str">
        <f>IFERROR(MATCH($C$5&amp;"|"&amp;RIGHT("000000"&amp;1489,6),CalcRankKeyB,0),"")</f>
        <v/>
      </c>
    </row>
    <row r="1506" spans="1:14" x14ac:dyDescent="0.2">
      <c r="A1506" s="12">
        <v>1490</v>
      </c>
      <c r="B1506" s="13" t="str">
        <f t="shared" si="230"/>
        <v/>
      </c>
      <c r="C1506" s="13" t="str">
        <f t="shared" si="231"/>
        <v/>
      </c>
      <c r="D1506" s="13" t="str">
        <f t="shared" si="232"/>
        <v/>
      </c>
      <c r="E1506" s="14" t="str">
        <f t="shared" si="233"/>
        <v/>
      </c>
      <c r="F1506" s="14" t="str">
        <f t="shared" si="234"/>
        <v/>
      </c>
      <c r="G1506" s="14" t="str">
        <f t="shared" si="235"/>
        <v/>
      </c>
      <c r="H1506" s="14" t="str">
        <f t="shared" si="236"/>
        <v/>
      </c>
      <c r="I1506" s="15" t="str">
        <f t="shared" si="237"/>
        <v/>
      </c>
      <c r="J1506" s="15" t="str">
        <f t="shared" si="239"/>
        <v/>
      </c>
      <c r="K1506" s="16" t="str">
        <f t="shared" si="238"/>
        <v/>
      </c>
      <c r="M1506" t="str">
        <f>IFERROR(MATCH($C$5&amp;"|"&amp;RIGHT("000000"&amp;1490,6),CalcRankKeyA,0),"")</f>
        <v/>
      </c>
      <c r="N1506" t="str">
        <f>IFERROR(MATCH($C$5&amp;"|"&amp;RIGHT("000000"&amp;1490,6),CalcRankKeyB,0),"")</f>
        <v/>
      </c>
    </row>
    <row r="1507" spans="1:14" x14ac:dyDescent="0.2">
      <c r="A1507" s="7">
        <v>1491</v>
      </c>
      <c r="B1507" s="8" t="str">
        <f t="shared" si="230"/>
        <v/>
      </c>
      <c r="C1507" s="8" t="str">
        <f t="shared" si="231"/>
        <v/>
      </c>
      <c r="D1507" s="8" t="str">
        <f t="shared" si="232"/>
        <v/>
      </c>
      <c r="E1507" s="9" t="str">
        <f t="shared" si="233"/>
        <v/>
      </c>
      <c r="F1507" s="9" t="str">
        <f t="shared" si="234"/>
        <v/>
      </c>
      <c r="G1507" s="9" t="str">
        <f t="shared" si="235"/>
        <v/>
      </c>
      <c r="H1507" s="9" t="str">
        <f t="shared" si="236"/>
        <v/>
      </c>
      <c r="I1507" s="10" t="str">
        <f t="shared" si="237"/>
        <v/>
      </c>
      <c r="J1507" s="10" t="str">
        <f t="shared" si="239"/>
        <v/>
      </c>
      <c r="K1507" s="11" t="str">
        <f t="shared" si="238"/>
        <v/>
      </c>
      <c r="M1507" t="str">
        <f>IFERROR(MATCH($C$5&amp;"|"&amp;RIGHT("000000"&amp;1491,6),CalcRankKeyA,0),"")</f>
        <v/>
      </c>
      <c r="N1507" t="str">
        <f>IFERROR(MATCH($C$5&amp;"|"&amp;RIGHT("000000"&amp;1491,6),CalcRankKeyB,0),"")</f>
        <v/>
      </c>
    </row>
    <row r="1508" spans="1:14" x14ac:dyDescent="0.2">
      <c r="A1508" s="12">
        <v>1492</v>
      </c>
      <c r="B1508" s="13" t="str">
        <f t="shared" si="230"/>
        <v/>
      </c>
      <c r="C1508" s="13" t="str">
        <f t="shared" si="231"/>
        <v/>
      </c>
      <c r="D1508" s="13" t="str">
        <f t="shared" si="232"/>
        <v/>
      </c>
      <c r="E1508" s="14" t="str">
        <f t="shared" si="233"/>
        <v/>
      </c>
      <c r="F1508" s="14" t="str">
        <f t="shared" si="234"/>
        <v/>
      </c>
      <c r="G1508" s="14" t="str">
        <f t="shared" si="235"/>
        <v/>
      </c>
      <c r="H1508" s="14" t="str">
        <f t="shared" si="236"/>
        <v/>
      </c>
      <c r="I1508" s="15" t="str">
        <f t="shared" si="237"/>
        <v/>
      </c>
      <c r="J1508" s="15" t="str">
        <f t="shared" si="239"/>
        <v/>
      </c>
      <c r="K1508" s="16" t="str">
        <f t="shared" si="238"/>
        <v/>
      </c>
      <c r="M1508" t="str">
        <f>IFERROR(MATCH($C$5&amp;"|"&amp;RIGHT("000000"&amp;1492,6),CalcRankKeyA,0),"")</f>
        <v/>
      </c>
      <c r="N1508" t="str">
        <f>IFERROR(MATCH($C$5&amp;"|"&amp;RIGHT("000000"&amp;1492,6),CalcRankKeyB,0),"")</f>
        <v/>
      </c>
    </row>
    <row r="1509" spans="1:14" x14ac:dyDescent="0.2">
      <c r="A1509" s="7">
        <v>1493</v>
      </c>
      <c r="B1509" s="8" t="str">
        <f t="shared" si="230"/>
        <v/>
      </c>
      <c r="C1509" s="8" t="str">
        <f t="shared" si="231"/>
        <v/>
      </c>
      <c r="D1509" s="8" t="str">
        <f t="shared" si="232"/>
        <v/>
      </c>
      <c r="E1509" s="9" t="str">
        <f t="shared" si="233"/>
        <v/>
      </c>
      <c r="F1509" s="9" t="str">
        <f t="shared" si="234"/>
        <v/>
      </c>
      <c r="G1509" s="9" t="str">
        <f t="shared" si="235"/>
        <v/>
      </c>
      <c r="H1509" s="9" t="str">
        <f t="shared" si="236"/>
        <v/>
      </c>
      <c r="I1509" s="10" t="str">
        <f t="shared" si="237"/>
        <v/>
      </c>
      <c r="J1509" s="10" t="str">
        <f t="shared" si="239"/>
        <v/>
      </c>
      <c r="K1509" s="11" t="str">
        <f t="shared" si="238"/>
        <v/>
      </c>
      <c r="M1509" t="str">
        <f>IFERROR(MATCH($C$5&amp;"|"&amp;RIGHT("000000"&amp;1493,6),CalcRankKeyA,0),"")</f>
        <v/>
      </c>
      <c r="N1509" t="str">
        <f>IFERROR(MATCH($C$5&amp;"|"&amp;RIGHT("000000"&amp;1493,6),CalcRankKeyB,0),"")</f>
        <v/>
      </c>
    </row>
    <row r="1510" spans="1:14" x14ac:dyDescent="0.2">
      <c r="A1510" s="12">
        <v>1494</v>
      </c>
      <c r="B1510" s="13" t="str">
        <f t="shared" si="230"/>
        <v/>
      </c>
      <c r="C1510" s="13" t="str">
        <f t="shared" si="231"/>
        <v/>
      </c>
      <c r="D1510" s="13" t="str">
        <f t="shared" si="232"/>
        <v/>
      </c>
      <c r="E1510" s="14" t="str">
        <f t="shared" si="233"/>
        <v/>
      </c>
      <c r="F1510" s="14" t="str">
        <f t="shared" si="234"/>
        <v/>
      </c>
      <c r="G1510" s="14" t="str">
        <f t="shared" si="235"/>
        <v/>
      </c>
      <c r="H1510" s="14" t="str">
        <f t="shared" si="236"/>
        <v/>
      </c>
      <c r="I1510" s="15" t="str">
        <f t="shared" si="237"/>
        <v/>
      </c>
      <c r="J1510" s="15" t="str">
        <f t="shared" si="239"/>
        <v/>
      </c>
      <c r="K1510" s="16" t="str">
        <f t="shared" si="238"/>
        <v/>
      </c>
      <c r="M1510" t="str">
        <f>IFERROR(MATCH($C$5&amp;"|"&amp;RIGHT("000000"&amp;1494,6),CalcRankKeyA,0),"")</f>
        <v/>
      </c>
      <c r="N1510" t="str">
        <f>IFERROR(MATCH($C$5&amp;"|"&amp;RIGHT("000000"&amp;1494,6),CalcRankKeyB,0),"")</f>
        <v/>
      </c>
    </row>
    <row r="1511" spans="1:14" x14ac:dyDescent="0.2">
      <c r="A1511" s="7">
        <v>1495</v>
      </c>
      <c r="B1511" s="8" t="str">
        <f t="shared" si="230"/>
        <v/>
      </c>
      <c r="C1511" s="8" t="str">
        <f t="shared" si="231"/>
        <v/>
      </c>
      <c r="D1511" s="8" t="str">
        <f t="shared" si="232"/>
        <v/>
      </c>
      <c r="E1511" s="9" t="str">
        <f t="shared" si="233"/>
        <v/>
      </c>
      <c r="F1511" s="9" t="str">
        <f t="shared" si="234"/>
        <v/>
      </c>
      <c r="G1511" s="9" t="str">
        <f t="shared" si="235"/>
        <v/>
      </c>
      <c r="H1511" s="9" t="str">
        <f t="shared" si="236"/>
        <v/>
      </c>
      <c r="I1511" s="10" t="str">
        <f t="shared" si="237"/>
        <v/>
      </c>
      <c r="J1511" s="10" t="str">
        <f t="shared" si="239"/>
        <v/>
      </c>
      <c r="K1511" s="11" t="str">
        <f t="shared" si="238"/>
        <v/>
      </c>
      <c r="M1511" t="str">
        <f>IFERROR(MATCH($C$5&amp;"|"&amp;RIGHT("000000"&amp;1495,6),CalcRankKeyA,0),"")</f>
        <v/>
      </c>
      <c r="N1511" t="str">
        <f>IFERROR(MATCH($C$5&amp;"|"&amp;RIGHT("000000"&amp;1495,6),CalcRankKeyB,0),"")</f>
        <v/>
      </c>
    </row>
    <row r="1512" spans="1:14" x14ac:dyDescent="0.2">
      <c r="A1512" s="12">
        <v>1496</v>
      </c>
      <c r="B1512" s="13" t="str">
        <f t="shared" si="230"/>
        <v/>
      </c>
      <c r="C1512" s="13" t="str">
        <f t="shared" si="231"/>
        <v/>
      </c>
      <c r="D1512" s="13" t="str">
        <f t="shared" si="232"/>
        <v/>
      </c>
      <c r="E1512" s="14" t="str">
        <f t="shared" si="233"/>
        <v/>
      </c>
      <c r="F1512" s="14" t="str">
        <f t="shared" si="234"/>
        <v/>
      </c>
      <c r="G1512" s="14" t="str">
        <f t="shared" si="235"/>
        <v/>
      </c>
      <c r="H1512" s="14" t="str">
        <f t="shared" si="236"/>
        <v/>
      </c>
      <c r="I1512" s="15" t="str">
        <f t="shared" si="237"/>
        <v/>
      </c>
      <c r="J1512" s="15" t="str">
        <f t="shared" si="239"/>
        <v/>
      </c>
      <c r="K1512" s="16" t="str">
        <f t="shared" si="238"/>
        <v/>
      </c>
      <c r="M1512" t="str">
        <f>IFERROR(MATCH($C$5&amp;"|"&amp;RIGHT("000000"&amp;1496,6),CalcRankKeyA,0),"")</f>
        <v/>
      </c>
      <c r="N1512" t="str">
        <f>IFERROR(MATCH($C$5&amp;"|"&amp;RIGHT("000000"&amp;1496,6),CalcRankKeyB,0),"")</f>
        <v/>
      </c>
    </row>
    <row r="1513" spans="1:14" x14ac:dyDescent="0.2">
      <c r="A1513" s="7">
        <v>1497</v>
      </c>
      <c r="B1513" s="8" t="str">
        <f t="shared" si="230"/>
        <v/>
      </c>
      <c r="C1513" s="8" t="str">
        <f t="shared" si="231"/>
        <v/>
      </c>
      <c r="D1513" s="8" t="str">
        <f t="shared" si="232"/>
        <v/>
      </c>
      <c r="E1513" s="9" t="str">
        <f t="shared" si="233"/>
        <v/>
      </c>
      <c r="F1513" s="9" t="str">
        <f t="shared" si="234"/>
        <v/>
      </c>
      <c r="G1513" s="9" t="str">
        <f t="shared" si="235"/>
        <v/>
      </c>
      <c r="H1513" s="9" t="str">
        <f t="shared" si="236"/>
        <v/>
      </c>
      <c r="I1513" s="10" t="str">
        <f t="shared" si="237"/>
        <v/>
      </c>
      <c r="J1513" s="10" t="str">
        <f t="shared" si="239"/>
        <v/>
      </c>
      <c r="K1513" s="11" t="str">
        <f t="shared" si="238"/>
        <v/>
      </c>
      <c r="M1513" t="str">
        <f>IFERROR(MATCH($C$5&amp;"|"&amp;RIGHT("000000"&amp;1497,6),CalcRankKeyA,0),"")</f>
        <v/>
      </c>
      <c r="N1513" t="str">
        <f>IFERROR(MATCH($C$5&amp;"|"&amp;RIGHT("000000"&amp;1497,6),CalcRankKeyB,0),"")</f>
        <v/>
      </c>
    </row>
    <row r="1514" spans="1:14" x14ac:dyDescent="0.2">
      <c r="A1514" s="12">
        <v>1498</v>
      </c>
      <c r="B1514" s="13" t="str">
        <f t="shared" si="230"/>
        <v/>
      </c>
      <c r="C1514" s="13" t="str">
        <f t="shared" si="231"/>
        <v/>
      </c>
      <c r="D1514" s="13" t="str">
        <f t="shared" si="232"/>
        <v/>
      </c>
      <c r="E1514" s="14" t="str">
        <f t="shared" si="233"/>
        <v/>
      </c>
      <c r="F1514" s="14" t="str">
        <f t="shared" si="234"/>
        <v/>
      </c>
      <c r="G1514" s="14" t="str">
        <f t="shared" si="235"/>
        <v/>
      </c>
      <c r="H1514" s="14" t="str">
        <f t="shared" si="236"/>
        <v/>
      </c>
      <c r="I1514" s="15" t="str">
        <f t="shared" si="237"/>
        <v/>
      </c>
      <c r="J1514" s="15" t="str">
        <f t="shared" si="239"/>
        <v/>
      </c>
      <c r="K1514" s="16" t="str">
        <f t="shared" si="238"/>
        <v/>
      </c>
      <c r="M1514" t="str">
        <f>IFERROR(MATCH($C$5&amp;"|"&amp;RIGHT("000000"&amp;1498,6),CalcRankKeyA,0),"")</f>
        <v/>
      </c>
      <c r="N1514" t="str">
        <f>IFERROR(MATCH($C$5&amp;"|"&amp;RIGHT("000000"&amp;1498,6),CalcRankKeyB,0),"")</f>
        <v/>
      </c>
    </row>
    <row r="1515" spans="1:14" x14ac:dyDescent="0.2">
      <c r="A1515" s="7">
        <v>1499</v>
      </c>
      <c r="B1515" s="8" t="str">
        <f t="shared" si="230"/>
        <v/>
      </c>
      <c r="C1515" s="8" t="str">
        <f t="shared" si="231"/>
        <v/>
      </c>
      <c r="D1515" s="8" t="str">
        <f t="shared" si="232"/>
        <v/>
      </c>
      <c r="E1515" s="9" t="str">
        <f t="shared" si="233"/>
        <v/>
      </c>
      <c r="F1515" s="9" t="str">
        <f t="shared" si="234"/>
        <v/>
      </c>
      <c r="G1515" s="9" t="str">
        <f t="shared" si="235"/>
        <v/>
      </c>
      <c r="H1515" s="9" t="str">
        <f t="shared" si="236"/>
        <v/>
      </c>
      <c r="I1515" s="10" t="str">
        <f t="shared" si="237"/>
        <v/>
      </c>
      <c r="J1515" s="10" t="str">
        <f t="shared" si="239"/>
        <v/>
      </c>
      <c r="K1515" s="11" t="str">
        <f t="shared" si="238"/>
        <v/>
      </c>
      <c r="M1515" t="str">
        <f>IFERROR(MATCH($C$5&amp;"|"&amp;RIGHT("000000"&amp;1499,6),CalcRankKeyA,0),"")</f>
        <v/>
      </c>
      <c r="N1515" t="str">
        <f>IFERROR(MATCH($C$5&amp;"|"&amp;RIGHT("000000"&amp;1499,6),CalcRankKeyB,0),"")</f>
        <v/>
      </c>
    </row>
    <row r="1516" spans="1:14" x14ac:dyDescent="0.2">
      <c r="A1516" s="12">
        <v>1500</v>
      </c>
      <c r="B1516" s="13" t="str">
        <f t="shared" si="230"/>
        <v/>
      </c>
      <c r="C1516" s="13" t="str">
        <f t="shared" si="231"/>
        <v/>
      </c>
      <c r="D1516" s="13" t="str">
        <f t="shared" si="232"/>
        <v/>
      </c>
      <c r="E1516" s="14" t="str">
        <f t="shared" si="233"/>
        <v/>
      </c>
      <c r="F1516" s="14" t="str">
        <f t="shared" si="234"/>
        <v/>
      </c>
      <c r="G1516" s="14" t="str">
        <f t="shared" si="235"/>
        <v/>
      </c>
      <c r="H1516" s="14" t="str">
        <f t="shared" si="236"/>
        <v/>
      </c>
      <c r="I1516" s="15" t="str">
        <f t="shared" si="237"/>
        <v/>
      </c>
      <c r="J1516" s="15" t="str">
        <f t="shared" si="239"/>
        <v/>
      </c>
      <c r="K1516" s="16" t="str">
        <f t="shared" si="238"/>
        <v/>
      </c>
      <c r="M1516" t="str">
        <f>IFERROR(MATCH($C$5&amp;"|"&amp;RIGHT("000000"&amp;1500,6),CalcRankKeyA,0),"")</f>
        <v/>
      </c>
      <c r="N1516" t="str">
        <f>IFERROR(MATCH($C$5&amp;"|"&amp;RIGHT("000000"&amp;1500,6),CalcRankKeyB,0),"")</f>
        <v/>
      </c>
    </row>
    <row r="1517" spans="1:14" x14ac:dyDescent="0.2">
      <c r="A1517" s="7">
        <v>1501</v>
      </c>
      <c r="B1517" s="8" t="str">
        <f t="shared" si="230"/>
        <v/>
      </c>
      <c r="C1517" s="8" t="str">
        <f t="shared" si="231"/>
        <v/>
      </c>
      <c r="D1517" s="8" t="str">
        <f t="shared" si="232"/>
        <v/>
      </c>
      <c r="E1517" s="9" t="str">
        <f t="shared" si="233"/>
        <v/>
      </c>
      <c r="F1517" s="9" t="str">
        <f t="shared" si="234"/>
        <v/>
      </c>
      <c r="G1517" s="9" t="str">
        <f t="shared" si="235"/>
        <v/>
      </c>
      <c r="H1517" s="9" t="str">
        <f t="shared" si="236"/>
        <v/>
      </c>
      <c r="I1517" s="10" t="str">
        <f t="shared" si="237"/>
        <v/>
      </c>
      <c r="J1517" s="10" t="str">
        <f t="shared" si="239"/>
        <v/>
      </c>
      <c r="K1517" s="11" t="str">
        <f t="shared" si="238"/>
        <v/>
      </c>
      <c r="M1517" t="str">
        <f>IFERROR(MATCH($C$5&amp;"|"&amp;RIGHT("000000"&amp;1501,6),CalcRankKeyA,0),"")</f>
        <v/>
      </c>
      <c r="N1517" t="str">
        <f>IFERROR(MATCH($C$5&amp;"|"&amp;RIGHT("000000"&amp;1501,6),CalcRankKeyB,0),"")</f>
        <v/>
      </c>
    </row>
    <row r="1518" spans="1:14" x14ac:dyDescent="0.2">
      <c r="A1518" s="12">
        <v>1502</v>
      </c>
      <c r="B1518" s="13" t="str">
        <f t="shared" si="230"/>
        <v/>
      </c>
      <c r="C1518" s="13" t="str">
        <f t="shared" si="231"/>
        <v/>
      </c>
      <c r="D1518" s="13" t="str">
        <f t="shared" si="232"/>
        <v/>
      </c>
      <c r="E1518" s="14" t="str">
        <f t="shared" si="233"/>
        <v/>
      </c>
      <c r="F1518" s="14" t="str">
        <f t="shared" si="234"/>
        <v/>
      </c>
      <c r="G1518" s="14" t="str">
        <f t="shared" si="235"/>
        <v/>
      </c>
      <c r="H1518" s="14" t="str">
        <f t="shared" si="236"/>
        <v/>
      </c>
      <c r="I1518" s="15" t="str">
        <f t="shared" si="237"/>
        <v/>
      </c>
      <c r="J1518" s="15" t="str">
        <f t="shared" si="239"/>
        <v/>
      </c>
      <c r="K1518" s="16" t="str">
        <f t="shared" si="238"/>
        <v/>
      </c>
      <c r="M1518" t="str">
        <f>IFERROR(MATCH($C$5&amp;"|"&amp;RIGHT("000000"&amp;1502,6),CalcRankKeyA,0),"")</f>
        <v/>
      </c>
      <c r="N1518" t="str">
        <f>IFERROR(MATCH($C$5&amp;"|"&amp;RIGHT("000000"&amp;1502,6),CalcRankKeyB,0),"")</f>
        <v/>
      </c>
    </row>
    <row r="1519" spans="1:14" x14ac:dyDescent="0.2">
      <c r="A1519" s="7">
        <v>1503</v>
      </c>
      <c r="B1519" s="8" t="str">
        <f t="shared" si="230"/>
        <v/>
      </c>
      <c r="C1519" s="8" t="str">
        <f t="shared" si="231"/>
        <v/>
      </c>
      <c r="D1519" s="8" t="str">
        <f t="shared" si="232"/>
        <v/>
      </c>
      <c r="E1519" s="9" t="str">
        <f t="shared" si="233"/>
        <v/>
      </c>
      <c r="F1519" s="9" t="str">
        <f t="shared" si="234"/>
        <v/>
      </c>
      <c r="G1519" s="9" t="str">
        <f t="shared" si="235"/>
        <v/>
      </c>
      <c r="H1519" s="9" t="str">
        <f t="shared" si="236"/>
        <v/>
      </c>
      <c r="I1519" s="10" t="str">
        <f t="shared" si="237"/>
        <v/>
      </c>
      <c r="J1519" s="10" t="str">
        <f t="shared" si="239"/>
        <v/>
      </c>
      <c r="K1519" s="11" t="str">
        <f t="shared" si="238"/>
        <v/>
      </c>
      <c r="M1519" t="str">
        <f>IFERROR(MATCH($C$5&amp;"|"&amp;RIGHT("000000"&amp;1503,6),CalcRankKeyA,0),"")</f>
        <v/>
      </c>
      <c r="N1519" t="str">
        <f>IFERROR(MATCH($C$5&amp;"|"&amp;RIGHT("000000"&amp;1503,6),CalcRankKeyB,0),"")</f>
        <v/>
      </c>
    </row>
    <row r="1520" spans="1:14" x14ac:dyDescent="0.2">
      <c r="A1520" s="12">
        <v>1504</v>
      </c>
      <c r="B1520" s="13" t="str">
        <f t="shared" si="230"/>
        <v/>
      </c>
      <c r="C1520" s="13" t="str">
        <f t="shared" si="231"/>
        <v/>
      </c>
      <c r="D1520" s="13" t="str">
        <f t="shared" si="232"/>
        <v/>
      </c>
      <c r="E1520" s="14" t="str">
        <f t="shared" si="233"/>
        <v/>
      </c>
      <c r="F1520" s="14" t="str">
        <f t="shared" si="234"/>
        <v/>
      </c>
      <c r="G1520" s="14" t="str">
        <f t="shared" si="235"/>
        <v/>
      </c>
      <c r="H1520" s="14" t="str">
        <f t="shared" si="236"/>
        <v/>
      </c>
      <c r="I1520" s="15" t="str">
        <f t="shared" si="237"/>
        <v/>
      </c>
      <c r="J1520" s="15" t="str">
        <f t="shared" si="239"/>
        <v/>
      </c>
      <c r="K1520" s="16" t="str">
        <f t="shared" si="238"/>
        <v/>
      </c>
      <c r="M1520" t="str">
        <f>IFERROR(MATCH($C$5&amp;"|"&amp;RIGHT("000000"&amp;1504,6),CalcRankKeyA,0),"")</f>
        <v/>
      </c>
      <c r="N1520" t="str">
        <f>IFERROR(MATCH($C$5&amp;"|"&amp;RIGHT("000000"&amp;1504,6),CalcRankKeyB,0),"")</f>
        <v/>
      </c>
    </row>
    <row r="1521" spans="1:14" x14ac:dyDescent="0.2">
      <c r="A1521" s="7">
        <v>1505</v>
      </c>
      <c r="B1521" s="8" t="str">
        <f t="shared" si="230"/>
        <v/>
      </c>
      <c r="C1521" s="8" t="str">
        <f t="shared" si="231"/>
        <v/>
      </c>
      <c r="D1521" s="8" t="str">
        <f t="shared" si="232"/>
        <v/>
      </c>
      <c r="E1521" s="9" t="str">
        <f t="shared" si="233"/>
        <v/>
      </c>
      <c r="F1521" s="9" t="str">
        <f t="shared" si="234"/>
        <v/>
      </c>
      <c r="G1521" s="9" t="str">
        <f t="shared" si="235"/>
        <v/>
      </c>
      <c r="H1521" s="9" t="str">
        <f t="shared" si="236"/>
        <v/>
      </c>
      <c r="I1521" s="10" t="str">
        <f t="shared" si="237"/>
        <v/>
      </c>
      <c r="J1521" s="10" t="str">
        <f t="shared" si="239"/>
        <v/>
      </c>
      <c r="K1521" s="11" t="str">
        <f t="shared" si="238"/>
        <v/>
      </c>
      <c r="M1521" t="str">
        <f>IFERROR(MATCH($C$5&amp;"|"&amp;RIGHT("000000"&amp;1505,6),CalcRankKeyA,0),"")</f>
        <v/>
      </c>
      <c r="N1521" t="str">
        <f>IFERROR(MATCH($C$5&amp;"|"&amp;RIGHT("000000"&amp;1505,6),CalcRankKeyB,0),"")</f>
        <v/>
      </c>
    </row>
    <row r="1522" spans="1:14" x14ac:dyDescent="0.2">
      <c r="A1522" s="12">
        <v>1506</v>
      </c>
      <c r="B1522" s="13" t="str">
        <f t="shared" si="230"/>
        <v/>
      </c>
      <c r="C1522" s="13" t="str">
        <f t="shared" si="231"/>
        <v/>
      </c>
      <c r="D1522" s="13" t="str">
        <f t="shared" si="232"/>
        <v/>
      </c>
      <c r="E1522" s="14" t="str">
        <f t="shared" si="233"/>
        <v/>
      </c>
      <c r="F1522" s="14" t="str">
        <f t="shared" si="234"/>
        <v/>
      </c>
      <c r="G1522" s="14" t="str">
        <f t="shared" si="235"/>
        <v/>
      </c>
      <c r="H1522" s="14" t="str">
        <f t="shared" si="236"/>
        <v/>
      </c>
      <c r="I1522" s="15" t="str">
        <f t="shared" si="237"/>
        <v/>
      </c>
      <c r="J1522" s="15" t="str">
        <f t="shared" si="239"/>
        <v/>
      </c>
      <c r="K1522" s="16" t="str">
        <f t="shared" si="238"/>
        <v/>
      </c>
      <c r="M1522" t="str">
        <f>IFERROR(MATCH($C$5&amp;"|"&amp;RIGHT("000000"&amp;1506,6),CalcRankKeyA,0),"")</f>
        <v/>
      </c>
      <c r="N1522" t="str">
        <f>IFERROR(MATCH($C$5&amp;"|"&amp;RIGHT("000000"&amp;1506,6),CalcRankKeyB,0),"")</f>
        <v/>
      </c>
    </row>
    <row r="1523" spans="1:14" x14ac:dyDescent="0.2">
      <c r="A1523" s="7">
        <v>1507</v>
      </c>
      <c r="B1523" s="8" t="str">
        <f t="shared" si="230"/>
        <v/>
      </c>
      <c r="C1523" s="8" t="str">
        <f t="shared" si="231"/>
        <v/>
      </c>
      <c r="D1523" s="8" t="str">
        <f t="shared" si="232"/>
        <v/>
      </c>
      <c r="E1523" s="9" t="str">
        <f t="shared" si="233"/>
        <v/>
      </c>
      <c r="F1523" s="9" t="str">
        <f t="shared" si="234"/>
        <v/>
      </c>
      <c r="G1523" s="9" t="str">
        <f t="shared" si="235"/>
        <v/>
      </c>
      <c r="H1523" s="9" t="str">
        <f t="shared" si="236"/>
        <v/>
      </c>
      <c r="I1523" s="10" t="str">
        <f t="shared" si="237"/>
        <v/>
      </c>
      <c r="J1523" s="10" t="str">
        <f t="shared" si="239"/>
        <v/>
      </c>
      <c r="K1523" s="11" t="str">
        <f t="shared" si="238"/>
        <v/>
      </c>
      <c r="M1523" t="str">
        <f>IFERROR(MATCH($C$5&amp;"|"&amp;RIGHT("000000"&amp;1507,6),CalcRankKeyA,0),"")</f>
        <v/>
      </c>
      <c r="N1523" t="str">
        <f>IFERROR(MATCH($C$5&amp;"|"&amp;RIGHT("000000"&amp;1507,6),CalcRankKeyB,0),"")</f>
        <v/>
      </c>
    </row>
    <row r="1524" spans="1:14" x14ac:dyDescent="0.2">
      <c r="A1524" s="12">
        <v>1508</v>
      </c>
      <c r="B1524" s="13" t="str">
        <f t="shared" si="230"/>
        <v/>
      </c>
      <c r="C1524" s="13" t="str">
        <f t="shared" si="231"/>
        <v/>
      </c>
      <c r="D1524" s="13" t="str">
        <f t="shared" si="232"/>
        <v/>
      </c>
      <c r="E1524" s="14" t="str">
        <f t="shared" si="233"/>
        <v/>
      </c>
      <c r="F1524" s="14" t="str">
        <f t="shared" si="234"/>
        <v/>
      </c>
      <c r="G1524" s="14" t="str">
        <f t="shared" si="235"/>
        <v/>
      </c>
      <c r="H1524" s="14" t="str">
        <f t="shared" si="236"/>
        <v/>
      </c>
      <c r="I1524" s="15" t="str">
        <f t="shared" si="237"/>
        <v/>
      </c>
      <c r="J1524" s="15" t="str">
        <f t="shared" si="239"/>
        <v/>
      </c>
      <c r="K1524" s="16" t="str">
        <f t="shared" si="238"/>
        <v/>
      </c>
      <c r="M1524" t="str">
        <f>IFERROR(MATCH($C$5&amp;"|"&amp;RIGHT("000000"&amp;1508,6),CalcRankKeyA,0),"")</f>
        <v/>
      </c>
      <c r="N1524" t="str">
        <f>IFERROR(MATCH($C$5&amp;"|"&amp;RIGHT("000000"&amp;1508,6),CalcRankKeyB,0),"")</f>
        <v/>
      </c>
    </row>
    <row r="1525" spans="1:14" x14ac:dyDescent="0.2">
      <c r="A1525" s="7">
        <v>1509</v>
      </c>
      <c r="B1525" s="8" t="str">
        <f t="shared" si="230"/>
        <v/>
      </c>
      <c r="C1525" s="8" t="str">
        <f t="shared" si="231"/>
        <v/>
      </c>
      <c r="D1525" s="8" t="str">
        <f t="shared" si="232"/>
        <v/>
      </c>
      <c r="E1525" s="9" t="str">
        <f t="shared" si="233"/>
        <v/>
      </c>
      <c r="F1525" s="9" t="str">
        <f t="shared" si="234"/>
        <v/>
      </c>
      <c r="G1525" s="9" t="str">
        <f t="shared" si="235"/>
        <v/>
      </c>
      <c r="H1525" s="9" t="str">
        <f t="shared" si="236"/>
        <v/>
      </c>
      <c r="I1525" s="10" t="str">
        <f t="shared" si="237"/>
        <v/>
      </c>
      <c r="J1525" s="10" t="str">
        <f t="shared" si="239"/>
        <v/>
      </c>
      <c r="K1525" s="11" t="str">
        <f t="shared" si="238"/>
        <v/>
      </c>
      <c r="M1525" t="str">
        <f>IFERROR(MATCH($C$5&amp;"|"&amp;RIGHT("000000"&amp;1509,6),CalcRankKeyA,0),"")</f>
        <v/>
      </c>
      <c r="N1525" t="str">
        <f>IFERROR(MATCH($C$5&amp;"|"&amp;RIGHT("000000"&amp;1509,6),CalcRankKeyB,0),"")</f>
        <v/>
      </c>
    </row>
    <row r="1526" spans="1:14" x14ac:dyDescent="0.2">
      <c r="A1526" s="12">
        <v>1510</v>
      </c>
      <c r="B1526" s="13" t="str">
        <f t="shared" si="230"/>
        <v/>
      </c>
      <c r="C1526" s="13" t="str">
        <f t="shared" si="231"/>
        <v/>
      </c>
      <c r="D1526" s="13" t="str">
        <f t="shared" si="232"/>
        <v/>
      </c>
      <c r="E1526" s="14" t="str">
        <f t="shared" si="233"/>
        <v/>
      </c>
      <c r="F1526" s="14" t="str">
        <f t="shared" si="234"/>
        <v/>
      </c>
      <c r="G1526" s="14" t="str">
        <f t="shared" si="235"/>
        <v/>
      </c>
      <c r="H1526" s="14" t="str">
        <f t="shared" si="236"/>
        <v/>
      </c>
      <c r="I1526" s="15" t="str">
        <f t="shared" si="237"/>
        <v/>
      </c>
      <c r="J1526" s="15" t="str">
        <f t="shared" si="239"/>
        <v/>
      </c>
      <c r="K1526" s="16" t="str">
        <f t="shared" si="238"/>
        <v/>
      </c>
      <c r="M1526" t="str">
        <f>IFERROR(MATCH($C$5&amp;"|"&amp;RIGHT("000000"&amp;1510,6),CalcRankKeyA,0),"")</f>
        <v/>
      </c>
      <c r="N1526" t="str">
        <f>IFERROR(MATCH($C$5&amp;"|"&amp;RIGHT("000000"&amp;1510,6),CalcRankKeyB,0),"")</f>
        <v/>
      </c>
    </row>
    <row r="1527" spans="1:14" x14ac:dyDescent="0.2">
      <c r="A1527" s="7">
        <v>1511</v>
      </c>
      <c r="B1527" s="8" t="str">
        <f t="shared" si="230"/>
        <v/>
      </c>
      <c r="C1527" s="8" t="str">
        <f t="shared" si="231"/>
        <v/>
      </c>
      <c r="D1527" s="8" t="str">
        <f t="shared" si="232"/>
        <v/>
      </c>
      <c r="E1527" s="9" t="str">
        <f t="shared" si="233"/>
        <v/>
      </c>
      <c r="F1527" s="9" t="str">
        <f t="shared" si="234"/>
        <v/>
      </c>
      <c r="G1527" s="9" t="str">
        <f t="shared" si="235"/>
        <v/>
      </c>
      <c r="H1527" s="9" t="str">
        <f t="shared" si="236"/>
        <v/>
      </c>
      <c r="I1527" s="10" t="str">
        <f t="shared" si="237"/>
        <v/>
      </c>
      <c r="J1527" s="10" t="str">
        <f t="shared" si="239"/>
        <v/>
      </c>
      <c r="K1527" s="11" t="str">
        <f t="shared" si="238"/>
        <v/>
      </c>
      <c r="M1527" t="str">
        <f>IFERROR(MATCH($C$5&amp;"|"&amp;RIGHT("000000"&amp;1511,6),CalcRankKeyA,0),"")</f>
        <v/>
      </c>
      <c r="N1527" t="str">
        <f>IFERROR(MATCH($C$5&amp;"|"&amp;RIGHT("000000"&amp;1511,6),CalcRankKeyB,0),"")</f>
        <v/>
      </c>
    </row>
    <row r="1528" spans="1:14" x14ac:dyDescent="0.2">
      <c r="A1528" s="12">
        <v>1512</v>
      </c>
      <c r="B1528" s="13" t="str">
        <f t="shared" si="230"/>
        <v/>
      </c>
      <c r="C1528" s="13" t="str">
        <f t="shared" si="231"/>
        <v/>
      </c>
      <c r="D1528" s="13" t="str">
        <f t="shared" si="232"/>
        <v/>
      </c>
      <c r="E1528" s="14" t="str">
        <f t="shared" si="233"/>
        <v/>
      </c>
      <c r="F1528" s="14" t="str">
        <f t="shared" si="234"/>
        <v/>
      </c>
      <c r="G1528" s="14" t="str">
        <f t="shared" si="235"/>
        <v/>
      </c>
      <c r="H1528" s="14" t="str">
        <f t="shared" si="236"/>
        <v/>
      </c>
      <c r="I1528" s="15" t="str">
        <f t="shared" si="237"/>
        <v/>
      </c>
      <c r="J1528" s="15" t="str">
        <f t="shared" si="239"/>
        <v/>
      </c>
      <c r="K1528" s="16" t="str">
        <f t="shared" si="238"/>
        <v/>
      </c>
      <c r="M1528" t="str">
        <f>IFERROR(MATCH($C$5&amp;"|"&amp;RIGHT("000000"&amp;1512,6),CalcRankKeyA,0),"")</f>
        <v/>
      </c>
      <c r="N1528" t="str">
        <f>IFERROR(MATCH($C$5&amp;"|"&amp;RIGHT("000000"&amp;1512,6),CalcRankKeyB,0),"")</f>
        <v/>
      </c>
    </row>
    <row r="1529" spans="1:14" x14ac:dyDescent="0.2">
      <c r="A1529" s="7">
        <v>1513</v>
      </c>
      <c r="B1529" s="8" t="str">
        <f t="shared" si="230"/>
        <v/>
      </c>
      <c r="C1529" s="8" t="str">
        <f t="shared" si="231"/>
        <v/>
      </c>
      <c r="D1529" s="8" t="str">
        <f t="shared" si="232"/>
        <v/>
      </c>
      <c r="E1529" s="9" t="str">
        <f t="shared" si="233"/>
        <v/>
      </c>
      <c r="F1529" s="9" t="str">
        <f t="shared" si="234"/>
        <v/>
      </c>
      <c r="G1529" s="9" t="str">
        <f t="shared" si="235"/>
        <v/>
      </c>
      <c r="H1529" s="9" t="str">
        <f t="shared" si="236"/>
        <v/>
      </c>
      <c r="I1529" s="10" t="str">
        <f t="shared" si="237"/>
        <v/>
      </c>
      <c r="J1529" s="10" t="str">
        <f t="shared" si="239"/>
        <v/>
      </c>
      <c r="K1529" s="11" t="str">
        <f t="shared" si="238"/>
        <v/>
      </c>
      <c r="M1529" t="str">
        <f>IFERROR(MATCH($C$5&amp;"|"&amp;RIGHT("000000"&amp;1513,6),CalcRankKeyA,0),"")</f>
        <v/>
      </c>
      <c r="N1529" t="str">
        <f>IFERROR(MATCH($C$5&amp;"|"&amp;RIGHT("000000"&amp;1513,6),CalcRankKeyB,0),"")</f>
        <v/>
      </c>
    </row>
    <row r="1530" spans="1:14" x14ac:dyDescent="0.2">
      <c r="A1530" s="12">
        <v>1514</v>
      </c>
      <c r="B1530" s="13" t="str">
        <f t="shared" si="230"/>
        <v/>
      </c>
      <c r="C1530" s="13" t="str">
        <f t="shared" si="231"/>
        <v/>
      </c>
      <c r="D1530" s="13" t="str">
        <f t="shared" si="232"/>
        <v/>
      </c>
      <c r="E1530" s="14" t="str">
        <f t="shared" si="233"/>
        <v/>
      </c>
      <c r="F1530" s="14" t="str">
        <f t="shared" si="234"/>
        <v/>
      </c>
      <c r="G1530" s="14" t="str">
        <f t="shared" si="235"/>
        <v/>
      </c>
      <c r="H1530" s="14" t="str">
        <f t="shared" si="236"/>
        <v/>
      </c>
      <c r="I1530" s="15" t="str">
        <f t="shared" si="237"/>
        <v/>
      </c>
      <c r="J1530" s="15" t="str">
        <f t="shared" si="239"/>
        <v/>
      </c>
      <c r="K1530" s="16" t="str">
        <f t="shared" si="238"/>
        <v/>
      </c>
      <c r="M1530" t="str">
        <f>IFERROR(MATCH($C$5&amp;"|"&amp;RIGHT("000000"&amp;1514,6),CalcRankKeyA,0),"")</f>
        <v/>
      </c>
      <c r="N1530" t="str">
        <f>IFERROR(MATCH($C$5&amp;"|"&amp;RIGHT("000000"&amp;1514,6),CalcRankKeyB,0),"")</f>
        <v/>
      </c>
    </row>
    <row r="1531" spans="1:14" x14ac:dyDescent="0.2">
      <c r="A1531" s="7">
        <v>1515</v>
      </c>
      <c r="B1531" s="8" t="str">
        <f t="shared" si="230"/>
        <v/>
      </c>
      <c r="C1531" s="8" t="str">
        <f t="shared" si="231"/>
        <v/>
      </c>
      <c r="D1531" s="8" t="str">
        <f t="shared" si="232"/>
        <v/>
      </c>
      <c r="E1531" s="9" t="str">
        <f t="shared" si="233"/>
        <v/>
      </c>
      <c r="F1531" s="9" t="str">
        <f t="shared" si="234"/>
        <v/>
      </c>
      <c r="G1531" s="9" t="str">
        <f t="shared" si="235"/>
        <v/>
      </c>
      <c r="H1531" s="9" t="str">
        <f t="shared" si="236"/>
        <v/>
      </c>
      <c r="I1531" s="10" t="str">
        <f t="shared" si="237"/>
        <v/>
      </c>
      <c r="J1531" s="10" t="str">
        <f t="shared" si="239"/>
        <v/>
      </c>
      <c r="K1531" s="11" t="str">
        <f t="shared" si="238"/>
        <v/>
      </c>
      <c r="M1531" t="str">
        <f>IFERROR(MATCH($C$5&amp;"|"&amp;RIGHT("000000"&amp;1515,6),CalcRankKeyA,0),"")</f>
        <v/>
      </c>
      <c r="N1531" t="str">
        <f>IFERROR(MATCH($C$5&amp;"|"&amp;RIGHT("000000"&amp;1515,6),CalcRankKeyB,0),"")</f>
        <v/>
      </c>
    </row>
    <row r="1532" spans="1:14" x14ac:dyDescent="0.2">
      <c r="A1532" s="12">
        <v>1516</v>
      </c>
      <c r="B1532" s="13" t="str">
        <f t="shared" si="230"/>
        <v/>
      </c>
      <c r="C1532" s="13" t="str">
        <f t="shared" si="231"/>
        <v/>
      </c>
      <c r="D1532" s="13" t="str">
        <f t="shared" si="232"/>
        <v/>
      </c>
      <c r="E1532" s="14" t="str">
        <f t="shared" si="233"/>
        <v/>
      </c>
      <c r="F1532" s="14" t="str">
        <f t="shared" si="234"/>
        <v/>
      </c>
      <c r="G1532" s="14" t="str">
        <f t="shared" si="235"/>
        <v/>
      </c>
      <c r="H1532" s="14" t="str">
        <f t="shared" si="236"/>
        <v/>
      </c>
      <c r="I1532" s="15" t="str">
        <f t="shared" si="237"/>
        <v/>
      </c>
      <c r="J1532" s="15" t="str">
        <f t="shared" si="239"/>
        <v/>
      </c>
      <c r="K1532" s="16" t="str">
        <f t="shared" si="238"/>
        <v/>
      </c>
      <c r="M1532" t="str">
        <f>IFERROR(MATCH($C$5&amp;"|"&amp;RIGHT("000000"&amp;1516,6),CalcRankKeyA,0),"")</f>
        <v/>
      </c>
      <c r="N1532" t="str">
        <f>IFERROR(MATCH($C$5&amp;"|"&amp;RIGHT("000000"&amp;1516,6),CalcRankKeyB,0),"")</f>
        <v/>
      </c>
    </row>
    <row r="1533" spans="1:14" x14ac:dyDescent="0.2">
      <c r="A1533" s="7">
        <v>1517</v>
      </c>
      <c r="B1533" s="8" t="str">
        <f t="shared" si="230"/>
        <v/>
      </c>
      <c r="C1533" s="8" t="str">
        <f t="shared" si="231"/>
        <v/>
      </c>
      <c r="D1533" s="8" t="str">
        <f t="shared" si="232"/>
        <v/>
      </c>
      <c r="E1533" s="9" t="str">
        <f t="shared" si="233"/>
        <v/>
      </c>
      <c r="F1533" s="9" t="str">
        <f t="shared" si="234"/>
        <v/>
      </c>
      <c r="G1533" s="9" t="str">
        <f t="shared" si="235"/>
        <v/>
      </c>
      <c r="H1533" s="9" t="str">
        <f t="shared" si="236"/>
        <v/>
      </c>
      <c r="I1533" s="10" t="str">
        <f t="shared" si="237"/>
        <v/>
      </c>
      <c r="J1533" s="10" t="str">
        <f t="shared" si="239"/>
        <v/>
      </c>
      <c r="K1533" s="11" t="str">
        <f t="shared" si="238"/>
        <v/>
      </c>
      <c r="M1533" t="str">
        <f>IFERROR(MATCH($C$5&amp;"|"&amp;RIGHT("000000"&amp;1517,6),CalcRankKeyA,0),"")</f>
        <v/>
      </c>
      <c r="N1533" t="str">
        <f>IFERROR(MATCH($C$5&amp;"|"&amp;RIGHT("000000"&amp;1517,6),CalcRankKeyB,0),"")</f>
        <v/>
      </c>
    </row>
    <row r="1534" spans="1:14" x14ac:dyDescent="0.2">
      <c r="A1534" s="12">
        <v>1518</v>
      </c>
      <c r="B1534" s="13" t="str">
        <f t="shared" si="230"/>
        <v/>
      </c>
      <c r="C1534" s="13" t="str">
        <f t="shared" si="231"/>
        <v/>
      </c>
      <c r="D1534" s="13" t="str">
        <f t="shared" si="232"/>
        <v/>
      </c>
      <c r="E1534" s="14" t="str">
        <f t="shared" si="233"/>
        <v/>
      </c>
      <c r="F1534" s="14" t="str">
        <f t="shared" si="234"/>
        <v/>
      </c>
      <c r="G1534" s="14" t="str">
        <f t="shared" si="235"/>
        <v/>
      </c>
      <c r="H1534" s="14" t="str">
        <f t="shared" si="236"/>
        <v/>
      </c>
      <c r="I1534" s="15" t="str">
        <f t="shared" si="237"/>
        <v/>
      </c>
      <c r="J1534" s="15" t="str">
        <f t="shared" si="239"/>
        <v/>
      </c>
      <c r="K1534" s="16" t="str">
        <f t="shared" si="238"/>
        <v/>
      </c>
      <c r="M1534" t="str">
        <f>IFERROR(MATCH($C$5&amp;"|"&amp;RIGHT("000000"&amp;1518,6),CalcRankKeyA,0),"")</f>
        <v/>
      </c>
      <c r="N1534" t="str">
        <f>IFERROR(MATCH($C$5&amp;"|"&amp;RIGHT("000000"&amp;1518,6),CalcRankKeyB,0),"")</f>
        <v/>
      </c>
    </row>
    <row r="1535" spans="1:14" x14ac:dyDescent="0.2">
      <c r="A1535" s="7">
        <v>1519</v>
      </c>
      <c r="B1535" s="8" t="str">
        <f t="shared" si="230"/>
        <v/>
      </c>
      <c r="C1535" s="8" t="str">
        <f t="shared" si="231"/>
        <v/>
      </c>
      <c r="D1535" s="8" t="str">
        <f t="shared" si="232"/>
        <v/>
      </c>
      <c r="E1535" s="9" t="str">
        <f t="shared" si="233"/>
        <v/>
      </c>
      <c r="F1535" s="9" t="str">
        <f t="shared" si="234"/>
        <v/>
      </c>
      <c r="G1535" s="9" t="str">
        <f t="shared" si="235"/>
        <v/>
      </c>
      <c r="H1535" s="9" t="str">
        <f t="shared" si="236"/>
        <v/>
      </c>
      <c r="I1535" s="10" t="str">
        <f t="shared" si="237"/>
        <v/>
      </c>
      <c r="J1535" s="10" t="str">
        <f t="shared" si="239"/>
        <v/>
      </c>
      <c r="K1535" s="11" t="str">
        <f t="shared" si="238"/>
        <v/>
      </c>
      <c r="M1535" t="str">
        <f>IFERROR(MATCH($C$5&amp;"|"&amp;RIGHT("000000"&amp;1519,6),CalcRankKeyA,0),"")</f>
        <v/>
      </c>
      <c r="N1535" t="str">
        <f>IFERROR(MATCH($C$5&amp;"|"&amp;RIGHT("000000"&amp;1519,6),CalcRankKeyB,0),"")</f>
        <v/>
      </c>
    </row>
    <row r="1536" spans="1:14" x14ac:dyDescent="0.2">
      <c r="A1536" s="12">
        <v>1520</v>
      </c>
      <c r="B1536" s="13" t="str">
        <f t="shared" si="230"/>
        <v/>
      </c>
      <c r="C1536" s="13" t="str">
        <f t="shared" si="231"/>
        <v/>
      </c>
      <c r="D1536" s="13" t="str">
        <f t="shared" si="232"/>
        <v/>
      </c>
      <c r="E1536" s="14" t="str">
        <f t="shared" si="233"/>
        <v/>
      </c>
      <c r="F1536" s="14" t="str">
        <f t="shared" si="234"/>
        <v/>
      </c>
      <c r="G1536" s="14" t="str">
        <f t="shared" si="235"/>
        <v/>
      </c>
      <c r="H1536" s="14" t="str">
        <f t="shared" si="236"/>
        <v/>
      </c>
      <c r="I1536" s="15" t="str">
        <f t="shared" si="237"/>
        <v/>
      </c>
      <c r="J1536" s="15" t="str">
        <f t="shared" si="239"/>
        <v/>
      </c>
      <c r="K1536" s="16" t="str">
        <f t="shared" si="238"/>
        <v/>
      </c>
      <c r="M1536" t="str">
        <f>IFERROR(MATCH($C$5&amp;"|"&amp;RIGHT("000000"&amp;1520,6),CalcRankKeyA,0),"")</f>
        <v/>
      </c>
      <c r="N1536" t="str">
        <f>IFERROR(MATCH($C$5&amp;"|"&amp;RIGHT("000000"&amp;1520,6),CalcRankKeyB,0),"")</f>
        <v/>
      </c>
    </row>
    <row r="1537" spans="1:14" x14ac:dyDescent="0.2">
      <c r="A1537" s="7">
        <v>1521</v>
      </c>
      <c r="B1537" s="8" t="str">
        <f t="shared" si="230"/>
        <v/>
      </c>
      <c r="C1537" s="8" t="str">
        <f t="shared" si="231"/>
        <v/>
      </c>
      <c r="D1537" s="8" t="str">
        <f t="shared" si="232"/>
        <v/>
      </c>
      <c r="E1537" s="9" t="str">
        <f t="shared" si="233"/>
        <v/>
      </c>
      <c r="F1537" s="9" t="str">
        <f t="shared" si="234"/>
        <v/>
      </c>
      <c r="G1537" s="9" t="str">
        <f t="shared" si="235"/>
        <v/>
      </c>
      <c r="H1537" s="9" t="str">
        <f t="shared" si="236"/>
        <v/>
      </c>
      <c r="I1537" s="10" t="str">
        <f t="shared" si="237"/>
        <v/>
      </c>
      <c r="J1537" s="10" t="str">
        <f t="shared" si="239"/>
        <v/>
      </c>
      <c r="K1537" s="11" t="str">
        <f t="shared" si="238"/>
        <v/>
      </c>
      <c r="M1537" t="str">
        <f>IFERROR(MATCH($C$5&amp;"|"&amp;RIGHT("000000"&amp;1521,6),CalcRankKeyA,0),"")</f>
        <v/>
      </c>
      <c r="N1537" t="str">
        <f>IFERROR(MATCH($C$5&amp;"|"&amp;RIGHT("000000"&amp;1521,6),CalcRankKeyB,0),"")</f>
        <v/>
      </c>
    </row>
    <row r="1538" spans="1:14" x14ac:dyDescent="0.2">
      <c r="A1538" s="12">
        <v>1522</v>
      </c>
      <c r="B1538" s="13" t="str">
        <f t="shared" si="230"/>
        <v/>
      </c>
      <c r="C1538" s="13" t="str">
        <f t="shared" si="231"/>
        <v/>
      </c>
      <c r="D1538" s="13" t="str">
        <f t="shared" si="232"/>
        <v/>
      </c>
      <c r="E1538" s="14" t="str">
        <f t="shared" si="233"/>
        <v/>
      </c>
      <c r="F1538" s="14" t="str">
        <f t="shared" si="234"/>
        <v/>
      </c>
      <c r="G1538" s="14" t="str">
        <f t="shared" si="235"/>
        <v/>
      </c>
      <c r="H1538" s="14" t="str">
        <f t="shared" si="236"/>
        <v/>
      </c>
      <c r="I1538" s="15" t="str">
        <f t="shared" si="237"/>
        <v/>
      </c>
      <c r="J1538" s="15" t="str">
        <f t="shared" si="239"/>
        <v/>
      </c>
      <c r="K1538" s="16" t="str">
        <f t="shared" si="238"/>
        <v/>
      </c>
      <c r="M1538" t="str">
        <f>IFERROR(MATCH($C$5&amp;"|"&amp;RIGHT("000000"&amp;1522,6),CalcRankKeyA,0),"")</f>
        <v/>
      </c>
      <c r="N1538" t="str">
        <f>IFERROR(MATCH($C$5&amp;"|"&amp;RIGHT("000000"&amp;1522,6),CalcRankKeyB,0),"")</f>
        <v/>
      </c>
    </row>
    <row r="1539" spans="1:14" x14ac:dyDescent="0.2">
      <c r="A1539" s="7">
        <v>1523</v>
      </c>
      <c r="B1539" s="8" t="str">
        <f t="shared" si="230"/>
        <v/>
      </c>
      <c r="C1539" s="8" t="str">
        <f t="shared" si="231"/>
        <v/>
      </c>
      <c r="D1539" s="8" t="str">
        <f t="shared" si="232"/>
        <v/>
      </c>
      <c r="E1539" s="9" t="str">
        <f t="shared" si="233"/>
        <v/>
      </c>
      <c r="F1539" s="9" t="str">
        <f t="shared" si="234"/>
        <v/>
      </c>
      <c r="G1539" s="9" t="str">
        <f t="shared" si="235"/>
        <v/>
      </c>
      <c r="H1539" s="9" t="str">
        <f t="shared" si="236"/>
        <v/>
      </c>
      <c r="I1539" s="10" t="str">
        <f t="shared" si="237"/>
        <v/>
      </c>
      <c r="J1539" s="10" t="str">
        <f t="shared" si="239"/>
        <v/>
      </c>
      <c r="K1539" s="11" t="str">
        <f t="shared" si="238"/>
        <v/>
      </c>
      <c r="M1539" t="str">
        <f>IFERROR(MATCH($C$5&amp;"|"&amp;RIGHT("000000"&amp;1523,6),CalcRankKeyA,0),"")</f>
        <v/>
      </c>
      <c r="N1539" t="str">
        <f>IFERROR(MATCH($C$5&amp;"|"&amp;RIGHT("000000"&amp;1523,6),CalcRankKeyB,0),"")</f>
        <v/>
      </c>
    </row>
    <row r="1540" spans="1:14" x14ac:dyDescent="0.2">
      <c r="A1540" s="12">
        <v>1524</v>
      </c>
      <c r="B1540" s="13" t="str">
        <f t="shared" si="230"/>
        <v/>
      </c>
      <c r="C1540" s="13" t="str">
        <f t="shared" si="231"/>
        <v/>
      </c>
      <c r="D1540" s="13" t="str">
        <f t="shared" si="232"/>
        <v/>
      </c>
      <c r="E1540" s="14" t="str">
        <f t="shared" si="233"/>
        <v/>
      </c>
      <c r="F1540" s="14" t="str">
        <f t="shared" si="234"/>
        <v/>
      </c>
      <c r="G1540" s="14" t="str">
        <f t="shared" si="235"/>
        <v/>
      </c>
      <c r="H1540" s="14" t="str">
        <f t="shared" si="236"/>
        <v/>
      </c>
      <c r="I1540" s="15" t="str">
        <f t="shared" si="237"/>
        <v/>
      </c>
      <c r="J1540" s="15" t="str">
        <f t="shared" si="239"/>
        <v/>
      </c>
      <c r="K1540" s="16" t="str">
        <f t="shared" si="238"/>
        <v/>
      </c>
      <c r="M1540" t="str">
        <f>IFERROR(MATCH($C$5&amp;"|"&amp;RIGHT("000000"&amp;1524,6),CalcRankKeyA,0),"")</f>
        <v/>
      </c>
      <c r="N1540" t="str">
        <f>IFERROR(MATCH($C$5&amp;"|"&amp;RIGHT("000000"&amp;1524,6),CalcRankKeyB,0),"")</f>
        <v/>
      </c>
    </row>
    <row r="1541" spans="1:14" x14ac:dyDescent="0.2">
      <c r="A1541" s="7">
        <v>1525</v>
      </c>
      <c r="B1541" s="8" t="str">
        <f t="shared" si="230"/>
        <v/>
      </c>
      <c r="C1541" s="8" t="str">
        <f t="shared" si="231"/>
        <v/>
      </c>
      <c r="D1541" s="8" t="str">
        <f t="shared" si="232"/>
        <v/>
      </c>
      <c r="E1541" s="9" t="str">
        <f t="shared" si="233"/>
        <v/>
      </c>
      <c r="F1541" s="9" t="str">
        <f t="shared" si="234"/>
        <v/>
      </c>
      <c r="G1541" s="9" t="str">
        <f t="shared" si="235"/>
        <v/>
      </c>
      <c r="H1541" s="9" t="str">
        <f t="shared" si="236"/>
        <v/>
      </c>
      <c r="I1541" s="10" t="str">
        <f t="shared" si="237"/>
        <v/>
      </c>
      <c r="J1541" s="10" t="str">
        <f t="shared" si="239"/>
        <v/>
      </c>
      <c r="K1541" s="11" t="str">
        <f t="shared" si="238"/>
        <v/>
      </c>
      <c r="M1541" t="str">
        <f>IFERROR(MATCH($C$5&amp;"|"&amp;RIGHT("000000"&amp;1525,6),CalcRankKeyA,0),"")</f>
        <v/>
      </c>
      <c r="N1541" t="str">
        <f>IFERROR(MATCH($C$5&amp;"|"&amp;RIGHT("000000"&amp;1525,6),CalcRankKeyB,0),"")</f>
        <v/>
      </c>
    </row>
    <row r="1542" spans="1:14" x14ac:dyDescent="0.2">
      <c r="A1542" s="12">
        <v>1526</v>
      </c>
      <c r="B1542" s="13" t="str">
        <f t="shared" si="230"/>
        <v/>
      </c>
      <c r="C1542" s="13" t="str">
        <f t="shared" si="231"/>
        <v/>
      </c>
      <c r="D1542" s="13" t="str">
        <f t="shared" si="232"/>
        <v/>
      </c>
      <c r="E1542" s="14" t="str">
        <f t="shared" si="233"/>
        <v/>
      </c>
      <c r="F1542" s="14" t="str">
        <f t="shared" si="234"/>
        <v/>
      </c>
      <c r="G1542" s="14" t="str">
        <f t="shared" si="235"/>
        <v/>
      </c>
      <c r="H1542" s="14" t="str">
        <f t="shared" si="236"/>
        <v/>
      </c>
      <c r="I1542" s="15" t="str">
        <f t="shared" si="237"/>
        <v/>
      </c>
      <c r="J1542" s="15" t="str">
        <f t="shared" si="239"/>
        <v/>
      </c>
      <c r="K1542" s="16" t="str">
        <f t="shared" si="238"/>
        <v/>
      </c>
      <c r="M1542" t="str">
        <f>IFERROR(MATCH($C$5&amp;"|"&amp;RIGHT("000000"&amp;1526,6),CalcRankKeyA,0),"")</f>
        <v/>
      </c>
      <c r="N1542" t="str">
        <f>IFERROR(MATCH($C$5&amp;"|"&amp;RIGHT("000000"&amp;1526,6),CalcRankKeyB,0),"")</f>
        <v/>
      </c>
    </row>
    <row r="1543" spans="1:14" x14ac:dyDescent="0.2">
      <c r="A1543" s="7">
        <v>1527</v>
      </c>
      <c r="B1543" s="8" t="str">
        <f t="shared" si="230"/>
        <v/>
      </c>
      <c r="C1543" s="8" t="str">
        <f t="shared" si="231"/>
        <v/>
      </c>
      <c r="D1543" s="8" t="str">
        <f t="shared" si="232"/>
        <v/>
      </c>
      <c r="E1543" s="9" t="str">
        <f t="shared" si="233"/>
        <v/>
      </c>
      <c r="F1543" s="9" t="str">
        <f t="shared" si="234"/>
        <v/>
      </c>
      <c r="G1543" s="9" t="str">
        <f t="shared" si="235"/>
        <v/>
      </c>
      <c r="H1543" s="9" t="str">
        <f t="shared" si="236"/>
        <v/>
      </c>
      <c r="I1543" s="10" t="str">
        <f t="shared" si="237"/>
        <v/>
      </c>
      <c r="J1543" s="10" t="str">
        <f t="shared" si="239"/>
        <v/>
      </c>
      <c r="K1543" s="11" t="str">
        <f t="shared" si="238"/>
        <v/>
      </c>
      <c r="M1543" t="str">
        <f>IFERROR(MATCH($C$5&amp;"|"&amp;RIGHT("000000"&amp;1527,6),CalcRankKeyA,0),"")</f>
        <v/>
      </c>
      <c r="N1543" t="str">
        <f>IFERROR(MATCH($C$5&amp;"|"&amp;RIGHT("000000"&amp;1527,6),CalcRankKeyB,0),"")</f>
        <v/>
      </c>
    </row>
    <row r="1544" spans="1:14" x14ac:dyDescent="0.2">
      <c r="A1544" s="12">
        <v>1528</v>
      </c>
      <c r="B1544" s="13" t="str">
        <f t="shared" si="230"/>
        <v/>
      </c>
      <c r="C1544" s="13" t="str">
        <f t="shared" si="231"/>
        <v/>
      </c>
      <c r="D1544" s="13" t="str">
        <f t="shared" si="232"/>
        <v/>
      </c>
      <c r="E1544" s="14" t="str">
        <f t="shared" si="233"/>
        <v/>
      </c>
      <c r="F1544" s="14" t="str">
        <f t="shared" si="234"/>
        <v/>
      </c>
      <c r="G1544" s="14" t="str">
        <f t="shared" si="235"/>
        <v/>
      </c>
      <c r="H1544" s="14" t="str">
        <f t="shared" si="236"/>
        <v/>
      </c>
      <c r="I1544" s="15" t="str">
        <f t="shared" si="237"/>
        <v/>
      </c>
      <c r="J1544" s="15" t="str">
        <f t="shared" si="239"/>
        <v/>
      </c>
      <c r="K1544" s="16" t="str">
        <f t="shared" si="238"/>
        <v/>
      </c>
      <c r="M1544" t="str">
        <f>IFERROR(MATCH($C$5&amp;"|"&amp;RIGHT("000000"&amp;1528,6),CalcRankKeyA,0),"")</f>
        <v/>
      </c>
      <c r="N1544" t="str">
        <f>IFERROR(MATCH($C$5&amp;"|"&amp;RIGHT("000000"&amp;1528,6),CalcRankKeyB,0),"")</f>
        <v/>
      </c>
    </row>
    <row r="1545" spans="1:14" x14ac:dyDescent="0.2">
      <c r="A1545" s="7">
        <v>1529</v>
      </c>
      <c r="B1545" s="8" t="str">
        <f t="shared" si="230"/>
        <v/>
      </c>
      <c r="C1545" s="8" t="str">
        <f t="shared" si="231"/>
        <v/>
      </c>
      <c r="D1545" s="8" t="str">
        <f t="shared" si="232"/>
        <v/>
      </c>
      <c r="E1545" s="9" t="str">
        <f t="shared" si="233"/>
        <v/>
      </c>
      <c r="F1545" s="9" t="str">
        <f t="shared" si="234"/>
        <v/>
      </c>
      <c r="G1545" s="9" t="str">
        <f t="shared" si="235"/>
        <v/>
      </c>
      <c r="H1545" s="9" t="str">
        <f t="shared" si="236"/>
        <v/>
      </c>
      <c r="I1545" s="10" t="str">
        <f t="shared" si="237"/>
        <v/>
      </c>
      <c r="J1545" s="10" t="str">
        <f t="shared" si="239"/>
        <v/>
      </c>
      <c r="K1545" s="11" t="str">
        <f t="shared" si="238"/>
        <v/>
      </c>
      <c r="M1545" t="str">
        <f>IFERROR(MATCH($C$5&amp;"|"&amp;RIGHT("000000"&amp;1529,6),CalcRankKeyA,0),"")</f>
        <v/>
      </c>
      <c r="N1545" t="str">
        <f>IFERROR(MATCH($C$5&amp;"|"&amp;RIGHT("000000"&amp;1529,6),CalcRankKeyB,0),"")</f>
        <v/>
      </c>
    </row>
    <row r="1546" spans="1:14" x14ac:dyDescent="0.2">
      <c r="A1546" s="12">
        <v>1530</v>
      </c>
      <c r="B1546" s="13" t="str">
        <f t="shared" si="230"/>
        <v/>
      </c>
      <c r="C1546" s="13" t="str">
        <f t="shared" si="231"/>
        <v/>
      </c>
      <c r="D1546" s="13" t="str">
        <f t="shared" si="232"/>
        <v/>
      </c>
      <c r="E1546" s="14" t="str">
        <f t="shared" si="233"/>
        <v/>
      </c>
      <c r="F1546" s="14" t="str">
        <f t="shared" si="234"/>
        <v/>
      </c>
      <c r="G1546" s="14" t="str">
        <f t="shared" si="235"/>
        <v/>
      </c>
      <c r="H1546" s="14" t="str">
        <f t="shared" si="236"/>
        <v/>
      </c>
      <c r="I1546" s="15" t="str">
        <f t="shared" si="237"/>
        <v/>
      </c>
      <c r="J1546" s="15" t="str">
        <f t="shared" si="239"/>
        <v/>
      </c>
      <c r="K1546" s="16" t="str">
        <f t="shared" si="238"/>
        <v/>
      </c>
      <c r="M1546" t="str">
        <f>IFERROR(MATCH($C$5&amp;"|"&amp;RIGHT("000000"&amp;1530,6),CalcRankKeyA,0),"")</f>
        <v/>
      </c>
      <c r="N1546" t="str">
        <f>IFERROR(MATCH($C$5&amp;"|"&amp;RIGHT("000000"&amp;1530,6),CalcRankKeyB,0),"")</f>
        <v/>
      </c>
    </row>
    <row r="1547" spans="1:14" x14ac:dyDescent="0.2">
      <c r="A1547" s="7">
        <v>1531</v>
      </c>
      <c r="B1547" s="8" t="str">
        <f t="shared" si="230"/>
        <v/>
      </c>
      <c r="C1547" s="8" t="str">
        <f t="shared" si="231"/>
        <v/>
      </c>
      <c r="D1547" s="8" t="str">
        <f t="shared" si="232"/>
        <v/>
      </c>
      <c r="E1547" s="9" t="str">
        <f t="shared" si="233"/>
        <v/>
      </c>
      <c r="F1547" s="9" t="str">
        <f t="shared" si="234"/>
        <v/>
      </c>
      <c r="G1547" s="9" t="str">
        <f t="shared" si="235"/>
        <v/>
      </c>
      <c r="H1547" s="9" t="str">
        <f t="shared" si="236"/>
        <v/>
      </c>
      <c r="I1547" s="10" t="str">
        <f t="shared" si="237"/>
        <v/>
      </c>
      <c r="J1547" s="10" t="str">
        <f t="shared" si="239"/>
        <v/>
      </c>
      <c r="K1547" s="11" t="str">
        <f t="shared" si="238"/>
        <v/>
      </c>
      <c r="M1547" t="str">
        <f>IFERROR(MATCH($C$5&amp;"|"&amp;RIGHT("000000"&amp;1531,6),CalcRankKeyA,0),"")</f>
        <v/>
      </c>
      <c r="N1547" t="str">
        <f>IFERROR(MATCH($C$5&amp;"|"&amp;RIGHT("000000"&amp;1531,6),CalcRankKeyB,0),"")</f>
        <v/>
      </c>
    </row>
    <row r="1548" spans="1:14" x14ac:dyDescent="0.2">
      <c r="A1548" s="12">
        <v>1532</v>
      </c>
      <c r="B1548" s="13" t="str">
        <f t="shared" si="230"/>
        <v/>
      </c>
      <c r="C1548" s="13" t="str">
        <f t="shared" si="231"/>
        <v/>
      </c>
      <c r="D1548" s="13" t="str">
        <f t="shared" si="232"/>
        <v/>
      </c>
      <c r="E1548" s="14" t="str">
        <f t="shared" si="233"/>
        <v/>
      </c>
      <c r="F1548" s="14" t="str">
        <f t="shared" si="234"/>
        <v/>
      </c>
      <c r="G1548" s="14" t="str">
        <f t="shared" si="235"/>
        <v/>
      </c>
      <c r="H1548" s="14" t="str">
        <f t="shared" si="236"/>
        <v/>
      </c>
      <c r="I1548" s="15" t="str">
        <f t="shared" si="237"/>
        <v/>
      </c>
      <c r="J1548" s="15" t="str">
        <f t="shared" si="239"/>
        <v/>
      </c>
      <c r="K1548" s="16" t="str">
        <f t="shared" si="238"/>
        <v/>
      </c>
      <c r="M1548" t="str">
        <f>IFERROR(MATCH($C$5&amp;"|"&amp;RIGHT("000000"&amp;1532,6),CalcRankKeyA,0),"")</f>
        <v/>
      </c>
      <c r="N1548" t="str">
        <f>IFERROR(MATCH($C$5&amp;"|"&amp;RIGHT("000000"&amp;1532,6),CalcRankKeyB,0),"")</f>
        <v/>
      </c>
    </row>
    <row r="1549" spans="1:14" x14ac:dyDescent="0.2">
      <c r="A1549" s="7">
        <v>1533</v>
      </c>
      <c r="B1549" s="8" t="str">
        <f t="shared" si="230"/>
        <v/>
      </c>
      <c r="C1549" s="8" t="str">
        <f t="shared" si="231"/>
        <v/>
      </c>
      <c r="D1549" s="8" t="str">
        <f t="shared" si="232"/>
        <v/>
      </c>
      <c r="E1549" s="9" t="str">
        <f t="shared" si="233"/>
        <v/>
      </c>
      <c r="F1549" s="9" t="str">
        <f t="shared" si="234"/>
        <v/>
      </c>
      <c r="G1549" s="9" t="str">
        <f t="shared" si="235"/>
        <v/>
      </c>
      <c r="H1549" s="9" t="str">
        <f t="shared" si="236"/>
        <v/>
      </c>
      <c r="I1549" s="10" t="str">
        <f t="shared" si="237"/>
        <v/>
      </c>
      <c r="J1549" s="10" t="str">
        <f t="shared" si="239"/>
        <v/>
      </c>
      <c r="K1549" s="11" t="str">
        <f t="shared" si="238"/>
        <v/>
      </c>
      <c r="M1549" t="str">
        <f>IFERROR(MATCH($C$5&amp;"|"&amp;RIGHT("000000"&amp;1533,6),CalcRankKeyA,0),"")</f>
        <v/>
      </c>
      <c r="N1549" t="str">
        <f>IFERROR(MATCH($C$5&amp;"|"&amp;RIGHT("000000"&amp;1533,6),CalcRankKeyB,0),"")</f>
        <v/>
      </c>
    </row>
    <row r="1550" spans="1:14" x14ac:dyDescent="0.2">
      <c r="A1550" s="12">
        <v>1534</v>
      </c>
      <c r="B1550" s="13" t="str">
        <f t="shared" si="230"/>
        <v/>
      </c>
      <c r="C1550" s="13" t="str">
        <f t="shared" si="231"/>
        <v/>
      </c>
      <c r="D1550" s="13" t="str">
        <f t="shared" si="232"/>
        <v/>
      </c>
      <c r="E1550" s="14" t="str">
        <f t="shared" si="233"/>
        <v/>
      </c>
      <c r="F1550" s="14" t="str">
        <f t="shared" si="234"/>
        <v/>
      </c>
      <c r="G1550" s="14" t="str">
        <f t="shared" si="235"/>
        <v/>
      </c>
      <c r="H1550" s="14" t="str">
        <f t="shared" si="236"/>
        <v/>
      </c>
      <c r="I1550" s="15" t="str">
        <f t="shared" si="237"/>
        <v/>
      </c>
      <c r="J1550" s="15" t="str">
        <f t="shared" si="239"/>
        <v/>
      </c>
      <c r="K1550" s="16" t="str">
        <f t="shared" si="238"/>
        <v/>
      </c>
      <c r="M1550" t="str">
        <f>IFERROR(MATCH($C$5&amp;"|"&amp;RIGHT("000000"&amp;1534,6),CalcRankKeyA,0),"")</f>
        <v/>
      </c>
      <c r="N1550" t="str">
        <f>IFERROR(MATCH($C$5&amp;"|"&amp;RIGHT("000000"&amp;1534,6),CalcRankKeyB,0),"")</f>
        <v/>
      </c>
    </row>
    <row r="1551" spans="1:14" x14ac:dyDescent="0.2">
      <c r="A1551" s="7">
        <v>1535</v>
      </c>
      <c r="B1551" s="8" t="str">
        <f t="shared" si="230"/>
        <v/>
      </c>
      <c r="C1551" s="8" t="str">
        <f t="shared" si="231"/>
        <v/>
      </c>
      <c r="D1551" s="8" t="str">
        <f t="shared" si="232"/>
        <v/>
      </c>
      <c r="E1551" s="9" t="str">
        <f t="shared" si="233"/>
        <v/>
      </c>
      <c r="F1551" s="9" t="str">
        <f t="shared" si="234"/>
        <v/>
      </c>
      <c r="G1551" s="9" t="str">
        <f t="shared" si="235"/>
        <v/>
      </c>
      <c r="H1551" s="9" t="str">
        <f t="shared" si="236"/>
        <v/>
      </c>
      <c r="I1551" s="10" t="str">
        <f t="shared" si="237"/>
        <v/>
      </c>
      <c r="J1551" s="10" t="str">
        <f t="shared" si="239"/>
        <v/>
      </c>
      <c r="K1551" s="11" t="str">
        <f t="shared" si="238"/>
        <v/>
      </c>
      <c r="M1551" t="str">
        <f>IFERROR(MATCH($C$5&amp;"|"&amp;RIGHT("000000"&amp;1535,6),CalcRankKeyA,0),"")</f>
        <v/>
      </c>
      <c r="N1551" t="str">
        <f>IFERROR(MATCH($C$5&amp;"|"&amp;RIGHT("000000"&amp;1535,6),CalcRankKeyB,0),"")</f>
        <v/>
      </c>
    </row>
    <row r="1552" spans="1:14" x14ac:dyDescent="0.2">
      <c r="A1552" s="12">
        <v>1536</v>
      </c>
      <c r="B1552" s="13" t="str">
        <f t="shared" si="230"/>
        <v/>
      </c>
      <c r="C1552" s="13" t="str">
        <f t="shared" si="231"/>
        <v/>
      </c>
      <c r="D1552" s="13" t="str">
        <f t="shared" si="232"/>
        <v/>
      </c>
      <c r="E1552" s="14" t="str">
        <f t="shared" si="233"/>
        <v/>
      </c>
      <c r="F1552" s="14" t="str">
        <f t="shared" si="234"/>
        <v/>
      </c>
      <c r="G1552" s="14" t="str">
        <f t="shared" si="235"/>
        <v/>
      </c>
      <c r="H1552" s="14" t="str">
        <f t="shared" si="236"/>
        <v/>
      </c>
      <c r="I1552" s="15" t="str">
        <f t="shared" si="237"/>
        <v/>
      </c>
      <c r="J1552" s="15" t="str">
        <f t="shared" si="239"/>
        <v/>
      </c>
      <c r="K1552" s="16" t="str">
        <f t="shared" si="238"/>
        <v/>
      </c>
      <c r="M1552" t="str">
        <f>IFERROR(MATCH($C$5&amp;"|"&amp;RIGHT("000000"&amp;1536,6),CalcRankKeyA,0),"")</f>
        <v/>
      </c>
      <c r="N1552" t="str">
        <f>IFERROR(MATCH($C$5&amp;"|"&amp;RIGHT("000000"&amp;1536,6),CalcRankKeyB,0),"")</f>
        <v/>
      </c>
    </row>
    <row r="1553" spans="1:14" x14ac:dyDescent="0.2">
      <c r="A1553" s="7">
        <v>1537</v>
      </c>
      <c r="B1553" s="8" t="str">
        <f t="shared" ref="B1553:B1616" si="240">IF(AND($M1553="",$N1553=""),"",IF($M1553&lt;&gt;"",INDEX(CalcDateA,$M1553),INDEX(CalcDateB,$N1553)))</f>
        <v/>
      </c>
      <c r="C1553" s="8" t="str">
        <f t="shared" ref="C1553:C1616" si="241">IF($M1553&lt;&gt;"","خرید سبد",IF($N1553&lt;&gt;"",IF(N(INDEX(CalcDepB,$N1553))&gt;0,"دریافت بانکی","پرداخت بانکی"),""))</f>
        <v/>
      </c>
      <c r="D1553" s="8" t="str">
        <f t="shared" ref="D1553:D1616" si="242">IF($M1553&lt;&gt;"",IF(INDEX(CalcDocA,$M1553)="","—",INDEX(CalcDocA,$M1553)),IF($N1553&lt;&gt;"",INDEX(CalcBankB,$N1553),""))</f>
        <v/>
      </c>
      <c r="E1553" s="9" t="str">
        <f t="shared" ref="E1553:E1616" si="243">IF($N1553&lt;&gt;"",IF(INDEX(CalcDepB,$N1553)=0,"",INDEX(CalcDepB,$N1553)),"")</f>
        <v/>
      </c>
      <c r="F1553" s="9" t="str">
        <f t="shared" ref="F1553:F1616" si="244">IF($M1553&lt;&gt;"",IF(INDEX(CalcQtyA,$M1553)=0,"",INDEX(CalcQtyA,$M1553)),"")</f>
        <v/>
      </c>
      <c r="G1553" s="9" t="str">
        <f t="shared" ref="G1553:G1616" si="245">IF($M1553&lt;&gt;"",IF(INDEX(CalcPriceA,$M1553)=0,"",INDEX(CalcPriceA,$M1553)),"")</f>
        <v/>
      </c>
      <c r="H1553" s="9" t="str">
        <f t="shared" ref="H1553:H1616" si="246">IF($N1553&lt;&gt;"",IF(INDEX(CalcWitB,$N1553)=0,"",INDEX(CalcWitB,$N1553)),"")</f>
        <v/>
      </c>
      <c r="I1553" s="10" t="str">
        <f t="shared" ref="I1553:I1616" si="247">IF($M1553&lt;&gt;"",INDEX(CalcAmtA,$M1553),"")</f>
        <v/>
      </c>
      <c r="J1553" s="10" t="str">
        <f t="shared" si="239"/>
        <v/>
      </c>
      <c r="K1553" s="11" t="str">
        <f t="shared" ref="K1553:K1616" si="248">IF($M1553&lt;&gt;"",IF(INDEX(CalcNoteA,$M1553)="","—",INDEX(CalcNoteA,$M1553)),IF($N1553&lt;&gt;"",IF(INDEX(CalcNoteB,$N1553)="","—",INDEX(CalcNoteB,$N1553)),""))</f>
        <v/>
      </c>
      <c r="M1553" t="str">
        <f>IFERROR(MATCH($C$5&amp;"|"&amp;RIGHT("000000"&amp;1537,6),CalcRankKeyA,0),"")</f>
        <v/>
      </c>
      <c r="N1553" t="str">
        <f>IFERROR(MATCH($C$5&amp;"|"&amp;RIGHT("000000"&amp;1537,6),CalcRankKeyB,0),"")</f>
        <v/>
      </c>
    </row>
    <row r="1554" spans="1:14" x14ac:dyDescent="0.2">
      <c r="A1554" s="12">
        <v>1538</v>
      </c>
      <c r="B1554" s="13" t="str">
        <f t="shared" si="240"/>
        <v/>
      </c>
      <c r="C1554" s="13" t="str">
        <f t="shared" si="241"/>
        <v/>
      </c>
      <c r="D1554" s="13" t="str">
        <f t="shared" si="242"/>
        <v/>
      </c>
      <c r="E1554" s="14" t="str">
        <f t="shared" si="243"/>
        <v/>
      </c>
      <c r="F1554" s="14" t="str">
        <f t="shared" si="244"/>
        <v/>
      </c>
      <c r="G1554" s="14" t="str">
        <f t="shared" si="245"/>
        <v/>
      </c>
      <c r="H1554" s="14" t="str">
        <f t="shared" si="246"/>
        <v/>
      </c>
      <c r="I1554" s="15" t="str">
        <f t="shared" si="247"/>
        <v/>
      </c>
      <c r="J1554" s="15" t="str">
        <f t="shared" ref="J1554:J1617" si="249">IF($B1554="","",IF($J1553="",$C$8,$J1553)+IF($I1554="",0,$I1554)+IF($E1554="",0,$E1554)-IF($H1554="",0,$H1554))</f>
        <v/>
      </c>
      <c r="K1554" s="16" t="str">
        <f t="shared" si="248"/>
        <v/>
      </c>
      <c r="M1554" t="str">
        <f>IFERROR(MATCH($C$5&amp;"|"&amp;RIGHT("000000"&amp;1538,6),CalcRankKeyA,0),"")</f>
        <v/>
      </c>
      <c r="N1554" t="str">
        <f>IFERROR(MATCH($C$5&amp;"|"&amp;RIGHT("000000"&amp;1538,6),CalcRankKeyB,0),"")</f>
        <v/>
      </c>
    </row>
    <row r="1555" spans="1:14" x14ac:dyDescent="0.2">
      <c r="A1555" s="7">
        <v>1539</v>
      </c>
      <c r="B1555" s="8" t="str">
        <f t="shared" si="240"/>
        <v/>
      </c>
      <c r="C1555" s="8" t="str">
        <f t="shared" si="241"/>
        <v/>
      </c>
      <c r="D1555" s="8" t="str">
        <f t="shared" si="242"/>
        <v/>
      </c>
      <c r="E1555" s="9" t="str">
        <f t="shared" si="243"/>
        <v/>
      </c>
      <c r="F1555" s="9" t="str">
        <f t="shared" si="244"/>
        <v/>
      </c>
      <c r="G1555" s="9" t="str">
        <f t="shared" si="245"/>
        <v/>
      </c>
      <c r="H1555" s="9" t="str">
        <f t="shared" si="246"/>
        <v/>
      </c>
      <c r="I1555" s="10" t="str">
        <f t="shared" si="247"/>
        <v/>
      </c>
      <c r="J1555" s="10" t="str">
        <f t="shared" si="249"/>
        <v/>
      </c>
      <c r="K1555" s="11" t="str">
        <f t="shared" si="248"/>
        <v/>
      </c>
      <c r="M1555" t="str">
        <f>IFERROR(MATCH($C$5&amp;"|"&amp;RIGHT("000000"&amp;1539,6),CalcRankKeyA,0),"")</f>
        <v/>
      </c>
      <c r="N1555" t="str">
        <f>IFERROR(MATCH($C$5&amp;"|"&amp;RIGHT("000000"&amp;1539,6),CalcRankKeyB,0),"")</f>
        <v/>
      </c>
    </row>
    <row r="1556" spans="1:14" x14ac:dyDescent="0.2">
      <c r="A1556" s="12">
        <v>1540</v>
      </c>
      <c r="B1556" s="13" t="str">
        <f t="shared" si="240"/>
        <v/>
      </c>
      <c r="C1556" s="13" t="str">
        <f t="shared" si="241"/>
        <v/>
      </c>
      <c r="D1556" s="13" t="str">
        <f t="shared" si="242"/>
        <v/>
      </c>
      <c r="E1556" s="14" t="str">
        <f t="shared" si="243"/>
        <v/>
      </c>
      <c r="F1556" s="14" t="str">
        <f t="shared" si="244"/>
        <v/>
      </c>
      <c r="G1556" s="14" t="str">
        <f t="shared" si="245"/>
        <v/>
      </c>
      <c r="H1556" s="14" t="str">
        <f t="shared" si="246"/>
        <v/>
      </c>
      <c r="I1556" s="15" t="str">
        <f t="shared" si="247"/>
        <v/>
      </c>
      <c r="J1556" s="15" t="str">
        <f t="shared" si="249"/>
        <v/>
      </c>
      <c r="K1556" s="16" t="str">
        <f t="shared" si="248"/>
        <v/>
      </c>
      <c r="M1556" t="str">
        <f>IFERROR(MATCH($C$5&amp;"|"&amp;RIGHT("000000"&amp;1540,6),CalcRankKeyA,0),"")</f>
        <v/>
      </c>
      <c r="N1556" t="str">
        <f>IFERROR(MATCH($C$5&amp;"|"&amp;RIGHT("000000"&amp;1540,6),CalcRankKeyB,0),"")</f>
        <v/>
      </c>
    </row>
    <row r="1557" spans="1:14" x14ac:dyDescent="0.2">
      <c r="A1557" s="7">
        <v>1541</v>
      </c>
      <c r="B1557" s="8" t="str">
        <f t="shared" si="240"/>
        <v/>
      </c>
      <c r="C1557" s="8" t="str">
        <f t="shared" si="241"/>
        <v/>
      </c>
      <c r="D1557" s="8" t="str">
        <f t="shared" si="242"/>
        <v/>
      </c>
      <c r="E1557" s="9" t="str">
        <f t="shared" si="243"/>
        <v/>
      </c>
      <c r="F1557" s="9" t="str">
        <f t="shared" si="244"/>
        <v/>
      </c>
      <c r="G1557" s="9" t="str">
        <f t="shared" si="245"/>
        <v/>
      </c>
      <c r="H1557" s="9" t="str">
        <f t="shared" si="246"/>
        <v/>
      </c>
      <c r="I1557" s="10" t="str">
        <f t="shared" si="247"/>
        <v/>
      </c>
      <c r="J1557" s="10" t="str">
        <f t="shared" si="249"/>
        <v/>
      </c>
      <c r="K1557" s="11" t="str">
        <f t="shared" si="248"/>
        <v/>
      </c>
      <c r="M1557" t="str">
        <f>IFERROR(MATCH($C$5&amp;"|"&amp;RIGHT("000000"&amp;1541,6),CalcRankKeyA,0),"")</f>
        <v/>
      </c>
      <c r="N1557" t="str">
        <f>IFERROR(MATCH($C$5&amp;"|"&amp;RIGHT("000000"&amp;1541,6),CalcRankKeyB,0),"")</f>
        <v/>
      </c>
    </row>
    <row r="1558" spans="1:14" x14ac:dyDescent="0.2">
      <c r="A1558" s="12">
        <v>1542</v>
      </c>
      <c r="B1558" s="13" t="str">
        <f t="shared" si="240"/>
        <v/>
      </c>
      <c r="C1558" s="13" t="str">
        <f t="shared" si="241"/>
        <v/>
      </c>
      <c r="D1558" s="13" t="str">
        <f t="shared" si="242"/>
        <v/>
      </c>
      <c r="E1558" s="14" t="str">
        <f t="shared" si="243"/>
        <v/>
      </c>
      <c r="F1558" s="14" t="str">
        <f t="shared" si="244"/>
        <v/>
      </c>
      <c r="G1558" s="14" t="str">
        <f t="shared" si="245"/>
        <v/>
      </c>
      <c r="H1558" s="14" t="str">
        <f t="shared" si="246"/>
        <v/>
      </c>
      <c r="I1558" s="15" t="str">
        <f t="shared" si="247"/>
        <v/>
      </c>
      <c r="J1558" s="15" t="str">
        <f t="shared" si="249"/>
        <v/>
      </c>
      <c r="K1558" s="16" t="str">
        <f t="shared" si="248"/>
        <v/>
      </c>
      <c r="M1558" t="str">
        <f>IFERROR(MATCH($C$5&amp;"|"&amp;RIGHT("000000"&amp;1542,6),CalcRankKeyA,0),"")</f>
        <v/>
      </c>
      <c r="N1558" t="str">
        <f>IFERROR(MATCH($C$5&amp;"|"&amp;RIGHT("000000"&amp;1542,6),CalcRankKeyB,0),"")</f>
        <v/>
      </c>
    </row>
    <row r="1559" spans="1:14" x14ac:dyDescent="0.2">
      <c r="A1559" s="7">
        <v>1543</v>
      </c>
      <c r="B1559" s="8" t="str">
        <f t="shared" si="240"/>
        <v/>
      </c>
      <c r="C1559" s="8" t="str">
        <f t="shared" si="241"/>
        <v/>
      </c>
      <c r="D1559" s="8" t="str">
        <f t="shared" si="242"/>
        <v/>
      </c>
      <c r="E1559" s="9" t="str">
        <f t="shared" si="243"/>
        <v/>
      </c>
      <c r="F1559" s="9" t="str">
        <f t="shared" si="244"/>
        <v/>
      </c>
      <c r="G1559" s="9" t="str">
        <f t="shared" si="245"/>
        <v/>
      </c>
      <c r="H1559" s="9" t="str">
        <f t="shared" si="246"/>
        <v/>
      </c>
      <c r="I1559" s="10" t="str">
        <f t="shared" si="247"/>
        <v/>
      </c>
      <c r="J1559" s="10" t="str">
        <f t="shared" si="249"/>
        <v/>
      </c>
      <c r="K1559" s="11" t="str">
        <f t="shared" si="248"/>
        <v/>
      </c>
      <c r="M1559" t="str">
        <f>IFERROR(MATCH($C$5&amp;"|"&amp;RIGHT("000000"&amp;1543,6),CalcRankKeyA,0),"")</f>
        <v/>
      </c>
      <c r="N1559" t="str">
        <f>IFERROR(MATCH($C$5&amp;"|"&amp;RIGHT("000000"&amp;1543,6),CalcRankKeyB,0),"")</f>
        <v/>
      </c>
    </row>
    <row r="1560" spans="1:14" x14ac:dyDescent="0.2">
      <c r="A1560" s="12">
        <v>1544</v>
      </c>
      <c r="B1560" s="13" t="str">
        <f t="shared" si="240"/>
        <v/>
      </c>
      <c r="C1560" s="13" t="str">
        <f t="shared" si="241"/>
        <v/>
      </c>
      <c r="D1560" s="13" t="str">
        <f t="shared" si="242"/>
        <v/>
      </c>
      <c r="E1560" s="14" t="str">
        <f t="shared" si="243"/>
        <v/>
      </c>
      <c r="F1560" s="14" t="str">
        <f t="shared" si="244"/>
        <v/>
      </c>
      <c r="G1560" s="14" t="str">
        <f t="shared" si="245"/>
        <v/>
      </c>
      <c r="H1560" s="14" t="str">
        <f t="shared" si="246"/>
        <v/>
      </c>
      <c r="I1560" s="15" t="str">
        <f t="shared" si="247"/>
        <v/>
      </c>
      <c r="J1560" s="15" t="str">
        <f t="shared" si="249"/>
        <v/>
      </c>
      <c r="K1560" s="16" t="str">
        <f t="shared" si="248"/>
        <v/>
      </c>
      <c r="M1560" t="str">
        <f>IFERROR(MATCH($C$5&amp;"|"&amp;RIGHT("000000"&amp;1544,6),CalcRankKeyA,0),"")</f>
        <v/>
      </c>
      <c r="N1560" t="str">
        <f>IFERROR(MATCH($C$5&amp;"|"&amp;RIGHT("000000"&amp;1544,6),CalcRankKeyB,0),"")</f>
        <v/>
      </c>
    </row>
    <row r="1561" spans="1:14" x14ac:dyDescent="0.2">
      <c r="A1561" s="7">
        <v>1545</v>
      </c>
      <c r="B1561" s="8" t="str">
        <f t="shared" si="240"/>
        <v/>
      </c>
      <c r="C1561" s="8" t="str">
        <f t="shared" si="241"/>
        <v/>
      </c>
      <c r="D1561" s="8" t="str">
        <f t="shared" si="242"/>
        <v/>
      </c>
      <c r="E1561" s="9" t="str">
        <f t="shared" si="243"/>
        <v/>
      </c>
      <c r="F1561" s="9" t="str">
        <f t="shared" si="244"/>
        <v/>
      </c>
      <c r="G1561" s="9" t="str">
        <f t="shared" si="245"/>
        <v/>
      </c>
      <c r="H1561" s="9" t="str">
        <f t="shared" si="246"/>
        <v/>
      </c>
      <c r="I1561" s="10" t="str">
        <f t="shared" si="247"/>
        <v/>
      </c>
      <c r="J1561" s="10" t="str">
        <f t="shared" si="249"/>
        <v/>
      </c>
      <c r="K1561" s="11" t="str">
        <f t="shared" si="248"/>
        <v/>
      </c>
      <c r="M1561" t="str">
        <f>IFERROR(MATCH($C$5&amp;"|"&amp;RIGHT("000000"&amp;1545,6),CalcRankKeyA,0),"")</f>
        <v/>
      </c>
      <c r="N1561" t="str">
        <f>IFERROR(MATCH($C$5&amp;"|"&amp;RIGHT("000000"&amp;1545,6),CalcRankKeyB,0),"")</f>
        <v/>
      </c>
    </row>
    <row r="1562" spans="1:14" x14ac:dyDescent="0.2">
      <c r="A1562" s="12">
        <v>1546</v>
      </c>
      <c r="B1562" s="13" t="str">
        <f t="shared" si="240"/>
        <v/>
      </c>
      <c r="C1562" s="13" t="str">
        <f t="shared" si="241"/>
        <v/>
      </c>
      <c r="D1562" s="13" t="str">
        <f t="shared" si="242"/>
        <v/>
      </c>
      <c r="E1562" s="14" t="str">
        <f t="shared" si="243"/>
        <v/>
      </c>
      <c r="F1562" s="14" t="str">
        <f t="shared" si="244"/>
        <v/>
      </c>
      <c r="G1562" s="14" t="str">
        <f t="shared" si="245"/>
        <v/>
      </c>
      <c r="H1562" s="14" t="str">
        <f t="shared" si="246"/>
        <v/>
      </c>
      <c r="I1562" s="15" t="str">
        <f t="shared" si="247"/>
        <v/>
      </c>
      <c r="J1562" s="15" t="str">
        <f t="shared" si="249"/>
        <v/>
      </c>
      <c r="K1562" s="16" t="str">
        <f t="shared" si="248"/>
        <v/>
      </c>
      <c r="M1562" t="str">
        <f>IFERROR(MATCH($C$5&amp;"|"&amp;RIGHT("000000"&amp;1546,6),CalcRankKeyA,0),"")</f>
        <v/>
      </c>
      <c r="N1562" t="str">
        <f>IFERROR(MATCH($C$5&amp;"|"&amp;RIGHT("000000"&amp;1546,6),CalcRankKeyB,0),"")</f>
        <v/>
      </c>
    </row>
    <row r="1563" spans="1:14" x14ac:dyDescent="0.2">
      <c r="A1563" s="7">
        <v>1547</v>
      </c>
      <c r="B1563" s="8" t="str">
        <f t="shared" si="240"/>
        <v/>
      </c>
      <c r="C1563" s="8" t="str">
        <f t="shared" si="241"/>
        <v/>
      </c>
      <c r="D1563" s="8" t="str">
        <f t="shared" si="242"/>
        <v/>
      </c>
      <c r="E1563" s="9" t="str">
        <f t="shared" si="243"/>
        <v/>
      </c>
      <c r="F1563" s="9" t="str">
        <f t="shared" si="244"/>
        <v/>
      </c>
      <c r="G1563" s="9" t="str">
        <f t="shared" si="245"/>
        <v/>
      </c>
      <c r="H1563" s="9" t="str">
        <f t="shared" si="246"/>
        <v/>
      </c>
      <c r="I1563" s="10" t="str">
        <f t="shared" si="247"/>
        <v/>
      </c>
      <c r="J1563" s="10" t="str">
        <f t="shared" si="249"/>
        <v/>
      </c>
      <c r="K1563" s="11" t="str">
        <f t="shared" si="248"/>
        <v/>
      </c>
      <c r="M1563" t="str">
        <f>IFERROR(MATCH($C$5&amp;"|"&amp;RIGHT("000000"&amp;1547,6),CalcRankKeyA,0),"")</f>
        <v/>
      </c>
      <c r="N1563" t="str">
        <f>IFERROR(MATCH($C$5&amp;"|"&amp;RIGHT("000000"&amp;1547,6),CalcRankKeyB,0),"")</f>
        <v/>
      </c>
    </row>
    <row r="1564" spans="1:14" x14ac:dyDescent="0.2">
      <c r="A1564" s="12">
        <v>1548</v>
      </c>
      <c r="B1564" s="13" t="str">
        <f t="shared" si="240"/>
        <v/>
      </c>
      <c r="C1564" s="13" t="str">
        <f t="shared" si="241"/>
        <v/>
      </c>
      <c r="D1564" s="13" t="str">
        <f t="shared" si="242"/>
        <v/>
      </c>
      <c r="E1564" s="14" t="str">
        <f t="shared" si="243"/>
        <v/>
      </c>
      <c r="F1564" s="14" t="str">
        <f t="shared" si="244"/>
        <v/>
      </c>
      <c r="G1564" s="14" t="str">
        <f t="shared" si="245"/>
        <v/>
      </c>
      <c r="H1564" s="14" t="str">
        <f t="shared" si="246"/>
        <v/>
      </c>
      <c r="I1564" s="15" t="str">
        <f t="shared" si="247"/>
        <v/>
      </c>
      <c r="J1564" s="15" t="str">
        <f t="shared" si="249"/>
        <v/>
      </c>
      <c r="K1564" s="16" t="str">
        <f t="shared" si="248"/>
        <v/>
      </c>
      <c r="M1564" t="str">
        <f>IFERROR(MATCH($C$5&amp;"|"&amp;RIGHT("000000"&amp;1548,6),CalcRankKeyA,0),"")</f>
        <v/>
      </c>
      <c r="N1564" t="str">
        <f>IFERROR(MATCH($C$5&amp;"|"&amp;RIGHT("000000"&amp;1548,6),CalcRankKeyB,0),"")</f>
        <v/>
      </c>
    </row>
    <row r="1565" spans="1:14" x14ac:dyDescent="0.2">
      <c r="A1565" s="7">
        <v>1549</v>
      </c>
      <c r="B1565" s="8" t="str">
        <f t="shared" si="240"/>
        <v/>
      </c>
      <c r="C1565" s="8" t="str">
        <f t="shared" si="241"/>
        <v/>
      </c>
      <c r="D1565" s="8" t="str">
        <f t="shared" si="242"/>
        <v/>
      </c>
      <c r="E1565" s="9" t="str">
        <f t="shared" si="243"/>
        <v/>
      </c>
      <c r="F1565" s="9" t="str">
        <f t="shared" si="244"/>
        <v/>
      </c>
      <c r="G1565" s="9" t="str">
        <f t="shared" si="245"/>
        <v/>
      </c>
      <c r="H1565" s="9" t="str">
        <f t="shared" si="246"/>
        <v/>
      </c>
      <c r="I1565" s="10" t="str">
        <f t="shared" si="247"/>
        <v/>
      </c>
      <c r="J1565" s="10" t="str">
        <f t="shared" si="249"/>
        <v/>
      </c>
      <c r="K1565" s="11" t="str">
        <f t="shared" si="248"/>
        <v/>
      </c>
      <c r="M1565" t="str">
        <f>IFERROR(MATCH($C$5&amp;"|"&amp;RIGHT("000000"&amp;1549,6),CalcRankKeyA,0),"")</f>
        <v/>
      </c>
      <c r="N1565" t="str">
        <f>IFERROR(MATCH($C$5&amp;"|"&amp;RIGHT("000000"&amp;1549,6),CalcRankKeyB,0),"")</f>
        <v/>
      </c>
    </row>
    <row r="1566" spans="1:14" x14ac:dyDescent="0.2">
      <c r="A1566" s="12">
        <v>1550</v>
      </c>
      <c r="B1566" s="13" t="str">
        <f t="shared" si="240"/>
        <v/>
      </c>
      <c r="C1566" s="13" t="str">
        <f t="shared" si="241"/>
        <v/>
      </c>
      <c r="D1566" s="13" t="str">
        <f t="shared" si="242"/>
        <v/>
      </c>
      <c r="E1566" s="14" t="str">
        <f t="shared" si="243"/>
        <v/>
      </c>
      <c r="F1566" s="14" t="str">
        <f t="shared" si="244"/>
        <v/>
      </c>
      <c r="G1566" s="14" t="str">
        <f t="shared" si="245"/>
        <v/>
      </c>
      <c r="H1566" s="14" t="str">
        <f t="shared" si="246"/>
        <v/>
      </c>
      <c r="I1566" s="15" t="str">
        <f t="shared" si="247"/>
        <v/>
      </c>
      <c r="J1566" s="15" t="str">
        <f t="shared" si="249"/>
        <v/>
      </c>
      <c r="K1566" s="16" t="str">
        <f t="shared" si="248"/>
        <v/>
      </c>
      <c r="M1566" t="str">
        <f>IFERROR(MATCH($C$5&amp;"|"&amp;RIGHT("000000"&amp;1550,6),CalcRankKeyA,0),"")</f>
        <v/>
      </c>
      <c r="N1566" t="str">
        <f>IFERROR(MATCH($C$5&amp;"|"&amp;RIGHT("000000"&amp;1550,6),CalcRankKeyB,0),"")</f>
        <v/>
      </c>
    </row>
    <row r="1567" spans="1:14" x14ac:dyDescent="0.2">
      <c r="A1567" s="7">
        <v>1551</v>
      </c>
      <c r="B1567" s="8" t="str">
        <f t="shared" si="240"/>
        <v/>
      </c>
      <c r="C1567" s="8" t="str">
        <f t="shared" si="241"/>
        <v/>
      </c>
      <c r="D1567" s="8" t="str">
        <f t="shared" si="242"/>
        <v/>
      </c>
      <c r="E1567" s="9" t="str">
        <f t="shared" si="243"/>
        <v/>
      </c>
      <c r="F1567" s="9" t="str">
        <f t="shared" si="244"/>
        <v/>
      </c>
      <c r="G1567" s="9" t="str">
        <f t="shared" si="245"/>
        <v/>
      </c>
      <c r="H1567" s="9" t="str">
        <f t="shared" si="246"/>
        <v/>
      </c>
      <c r="I1567" s="10" t="str">
        <f t="shared" si="247"/>
        <v/>
      </c>
      <c r="J1567" s="10" t="str">
        <f t="shared" si="249"/>
        <v/>
      </c>
      <c r="K1567" s="11" t="str">
        <f t="shared" si="248"/>
        <v/>
      </c>
      <c r="M1567" t="str">
        <f>IFERROR(MATCH($C$5&amp;"|"&amp;RIGHT("000000"&amp;1551,6),CalcRankKeyA,0),"")</f>
        <v/>
      </c>
      <c r="N1567" t="str">
        <f>IFERROR(MATCH($C$5&amp;"|"&amp;RIGHT("000000"&amp;1551,6),CalcRankKeyB,0),"")</f>
        <v/>
      </c>
    </row>
    <row r="1568" spans="1:14" x14ac:dyDescent="0.2">
      <c r="A1568" s="12">
        <v>1552</v>
      </c>
      <c r="B1568" s="13" t="str">
        <f t="shared" si="240"/>
        <v/>
      </c>
      <c r="C1568" s="13" t="str">
        <f t="shared" si="241"/>
        <v/>
      </c>
      <c r="D1568" s="13" t="str">
        <f t="shared" si="242"/>
        <v/>
      </c>
      <c r="E1568" s="14" t="str">
        <f t="shared" si="243"/>
        <v/>
      </c>
      <c r="F1568" s="14" t="str">
        <f t="shared" si="244"/>
        <v/>
      </c>
      <c r="G1568" s="14" t="str">
        <f t="shared" si="245"/>
        <v/>
      </c>
      <c r="H1568" s="14" t="str">
        <f t="shared" si="246"/>
        <v/>
      </c>
      <c r="I1568" s="15" t="str">
        <f t="shared" si="247"/>
        <v/>
      </c>
      <c r="J1568" s="15" t="str">
        <f t="shared" si="249"/>
        <v/>
      </c>
      <c r="K1568" s="16" t="str">
        <f t="shared" si="248"/>
        <v/>
      </c>
      <c r="M1568" t="str">
        <f>IFERROR(MATCH($C$5&amp;"|"&amp;RIGHT("000000"&amp;1552,6),CalcRankKeyA,0),"")</f>
        <v/>
      </c>
      <c r="N1568" t="str">
        <f>IFERROR(MATCH($C$5&amp;"|"&amp;RIGHT("000000"&amp;1552,6),CalcRankKeyB,0),"")</f>
        <v/>
      </c>
    </row>
    <row r="1569" spans="1:14" x14ac:dyDescent="0.2">
      <c r="A1569" s="7">
        <v>1553</v>
      </c>
      <c r="B1569" s="8" t="str">
        <f t="shared" si="240"/>
        <v/>
      </c>
      <c r="C1569" s="8" t="str">
        <f t="shared" si="241"/>
        <v/>
      </c>
      <c r="D1569" s="8" t="str">
        <f t="shared" si="242"/>
        <v/>
      </c>
      <c r="E1569" s="9" t="str">
        <f t="shared" si="243"/>
        <v/>
      </c>
      <c r="F1569" s="9" t="str">
        <f t="shared" si="244"/>
        <v/>
      </c>
      <c r="G1569" s="9" t="str">
        <f t="shared" si="245"/>
        <v/>
      </c>
      <c r="H1569" s="9" t="str">
        <f t="shared" si="246"/>
        <v/>
      </c>
      <c r="I1569" s="10" t="str">
        <f t="shared" si="247"/>
        <v/>
      </c>
      <c r="J1569" s="10" t="str">
        <f t="shared" si="249"/>
        <v/>
      </c>
      <c r="K1569" s="11" t="str">
        <f t="shared" si="248"/>
        <v/>
      </c>
      <c r="M1569" t="str">
        <f>IFERROR(MATCH($C$5&amp;"|"&amp;RIGHT("000000"&amp;1553,6),CalcRankKeyA,0),"")</f>
        <v/>
      </c>
      <c r="N1569" t="str">
        <f>IFERROR(MATCH($C$5&amp;"|"&amp;RIGHT("000000"&amp;1553,6),CalcRankKeyB,0),"")</f>
        <v/>
      </c>
    </row>
    <row r="1570" spans="1:14" x14ac:dyDescent="0.2">
      <c r="A1570" s="12">
        <v>1554</v>
      </c>
      <c r="B1570" s="13" t="str">
        <f t="shared" si="240"/>
        <v/>
      </c>
      <c r="C1570" s="13" t="str">
        <f t="shared" si="241"/>
        <v/>
      </c>
      <c r="D1570" s="13" t="str">
        <f t="shared" si="242"/>
        <v/>
      </c>
      <c r="E1570" s="14" t="str">
        <f t="shared" si="243"/>
        <v/>
      </c>
      <c r="F1570" s="14" t="str">
        <f t="shared" si="244"/>
        <v/>
      </c>
      <c r="G1570" s="14" t="str">
        <f t="shared" si="245"/>
        <v/>
      </c>
      <c r="H1570" s="14" t="str">
        <f t="shared" si="246"/>
        <v/>
      </c>
      <c r="I1570" s="15" t="str">
        <f t="shared" si="247"/>
        <v/>
      </c>
      <c r="J1570" s="15" t="str">
        <f t="shared" si="249"/>
        <v/>
      </c>
      <c r="K1570" s="16" t="str">
        <f t="shared" si="248"/>
        <v/>
      </c>
      <c r="M1570" t="str">
        <f>IFERROR(MATCH($C$5&amp;"|"&amp;RIGHT("000000"&amp;1554,6),CalcRankKeyA,0),"")</f>
        <v/>
      </c>
      <c r="N1570" t="str">
        <f>IFERROR(MATCH($C$5&amp;"|"&amp;RIGHT("000000"&amp;1554,6),CalcRankKeyB,0),"")</f>
        <v/>
      </c>
    </row>
    <row r="1571" spans="1:14" x14ac:dyDescent="0.2">
      <c r="A1571" s="7">
        <v>1555</v>
      </c>
      <c r="B1571" s="8" t="str">
        <f t="shared" si="240"/>
        <v/>
      </c>
      <c r="C1571" s="8" t="str">
        <f t="shared" si="241"/>
        <v/>
      </c>
      <c r="D1571" s="8" t="str">
        <f t="shared" si="242"/>
        <v/>
      </c>
      <c r="E1571" s="9" t="str">
        <f t="shared" si="243"/>
        <v/>
      </c>
      <c r="F1571" s="9" t="str">
        <f t="shared" si="244"/>
        <v/>
      </c>
      <c r="G1571" s="9" t="str">
        <f t="shared" si="245"/>
        <v/>
      </c>
      <c r="H1571" s="9" t="str">
        <f t="shared" si="246"/>
        <v/>
      </c>
      <c r="I1571" s="10" t="str">
        <f t="shared" si="247"/>
        <v/>
      </c>
      <c r="J1571" s="10" t="str">
        <f t="shared" si="249"/>
        <v/>
      </c>
      <c r="K1571" s="11" t="str">
        <f t="shared" si="248"/>
        <v/>
      </c>
      <c r="M1571" t="str">
        <f>IFERROR(MATCH($C$5&amp;"|"&amp;RIGHT("000000"&amp;1555,6),CalcRankKeyA,0),"")</f>
        <v/>
      </c>
      <c r="N1571" t="str">
        <f>IFERROR(MATCH($C$5&amp;"|"&amp;RIGHT("000000"&amp;1555,6),CalcRankKeyB,0),"")</f>
        <v/>
      </c>
    </row>
    <row r="1572" spans="1:14" x14ac:dyDescent="0.2">
      <c r="A1572" s="12">
        <v>1556</v>
      </c>
      <c r="B1572" s="13" t="str">
        <f t="shared" si="240"/>
        <v/>
      </c>
      <c r="C1572" s="13" t="str">
        <f t="shared" si="241"/>
        <v/>
      </c>
      <c r="D1572" s="13" t="str">
        <f t="shared" si="242"/>
        <v/>
      </c>
      <c r="E1572" s="14" t="str">
        <f t="shared" si="243"/>
        <v/>
      </c>
      <c r="F1572" s="14" t="str">
        <f t="shared" si="244"/>
        <v/>
      </c>
      <c r="G1572" s="14" t="str">
        <f t="shared" si="245"/>
        <v/>
      </c>
      <c r="H1572" s="14" t="str">
        <f t="shared" si="246"/>
        <v/>
      </c>
      <c r="I1572" s="15" t="str">
        <f t="shared" si="247"/>
        <v/>
      </c>
      <c r="J1572" s="15" t="str">
        <f t="shared" si="249"/>
        <v/>
      </c>
      <c r="K1572" s="16" t="str">
        <f t="shared" si="248"/>
        <v/>
      </c>
      <c r="M1572" t="str">
        <f>IFERROR(MATCH($C$5&amp;"|"&amp;RIGHT("000000"&amp;1556,6),CalcRankKeyA,0),"")</f>
        <v/>
      </c>
      <c r="N1572" t="str">
        <f>IFERROR(MATCH($C$5&amp;"|"&amp;RIGHT("000000"&amp;1556,6),CalcRankKeyB,0),"")</f>
        <v/>
      </c>
    </row>
    <row r="1573" spans="1:14" x14ac:dyDescent="0.2">
      <c r="A1573" s="7">
        <v>1557</v>
      </c>
      <c r="B1573" s="8" t="str">
        <f t="shared" si="240"/>
        <v/>
      </c>
      <c r="C1573" s="8" t="str">
        <f t="shared" si="241"/>
        <v/>
      </c>
      <c r="D1573" s="8" t="str">
        <f t="shared" si="242"/>
        <v/>
      </c>
      <c r="E1573" s="9" t="str">
        <f t="shared" si="243"/>
        <v/>
      </c>
      <c r="F1573" s="9" t="str">
        <f t="shared" si="244"/>
        <v/>
      </c>
      <c r="G1573" s="9" t="str">
        <f t="shared" si="245"/>
        <v/>
      </c>
      <c r="H1573" s="9" t="str">
        <f t="shared" si="246"/>
        <v/>
      </c>
      <c r="I1573" s="10" t="str">
        <f t="shared" si="247"/>
        <v/>
      </c>
      <c r="J1573" s="10" t="str">
        <f t="shared" si="249"/>
        <v/>
      </c>
      <c r="K1573" s="11" t="str">
        <f t="shared" si="248"/>
        <v/>
      </c>
      <c r="M1573" t="str">
        <f>IFERROR(MATCH($C$5&amp;"|"&amp;RIGHT("000000"&amp;1557,6),CalcRankKeyA,0),"")</f>
        <v/>
      </c>
      <c r="N1573" t="str">
        <f>IFERROR(MATCH($C$5&amp;"|"&amp;RIGHT("000000"&amp;1557,6),CalcRankKeyB,0),"")</f>
        <v/>
      </c>
    </row>
    <row r="1574" spans="1:14" x14ac:dyDescent="0.2">
      <c r="A1574" s="12">
        <v>1558</v>
      </c>
      <c r="B1574" s="13" t="str">
        <f t="shared" si="240"/>
        <v/>
      </c>
      <c r="C1574" s="13" t="str">
        <f t="shared" si="241"/>
        <v/>
      </c>
      <c r="D1574" s="13" t="str">
        <f t="shared" si="242"/>
        <v/>
      </c>
      <c r="E1574" s="14" t="str">
        <f t="shared" si="243"/>
        <v/>
      </c>
      <c r="F1574" s="14" t="str">
        <f t="shared" si="244"/>
        <v/>
      </c>
      <c r="G1574" s="14" t="str">
        <f t="shared" si="245"/>
        <v/>
      </c>
      <c r="H1574" s="14" t="str">
        <f t="shared" si="246"/>
        <v/>
      </c>
      <c r="I1574" s="15" t="str">
        <f t="shared" si="247"/>
        <v/>
      </c>
      <c r="J1574" s="15" t="str">
        <f t="shared" si="249"/>
        <v/>
      </c>
      <c r="K1574" s="16" t="str">
        <f t="shared" si="248"/>
        <v/>
      </c>
      <c r="M1574" t="str">
        <f>IFERROR(MATCH($C$5&amp;"|"&amp;RIGHT("000000"&amp;1558,6),CalcRankKeyA,0),"")</f>
        <v/>
      </c>
      <c r="N1574" t="str">
        <f>IFERROR(MATCH($C$5&amp;"|"&amp;RIGHT("000000"&amp;1558,6),CalcRankKeyB,0),"")</f>
        <v/>
      </c>
    </row>
    <row r="1575" spans="1:14" x14ac:dyDescent="0.2">
      <c r="A1575" s="7">
        <v>1559</v>
      </c>
      <c r="B1575" s="8" t="str">
        <f t="shared" si="240"/>
        <v/>
      </c>
      <c r="C1575" s="8" t="str">
        <f t="shared" si="241"/>
        <v/>
      </c>
      <c r="D1575" s="8" t="str">
        <f t="shared" si="242"/>
        <v/>
      </c>
      <c r="E1575" s="9" t="str">
        <f t="shared" si="243"/>
        <v/>
      </c>
      <c r="F1575" s="9" t="str">
        <f t="shared" si="244"/>
        <v/>
      </c>
      <c r="G1575" s="9" t="str">
        <f t="shared" si="245"/>
        <v/>
      </c>
      <c r="H1575" s="9" t="str">
        <f t="shared" si="246"/>
        <v/>
      </c>
      <c r="I1575" s="10" t="str">
        <f t="shared" si="247"/>
        <v/>
      </c>
      <c r="J1575" s="10" t="str">
        <f t="shared" si="249"/>
        <v/>
      </c>
      <c r="K1575" s="11" t="str">
        <f t="shared" si="248"/>
        <v/>
      </c>
      <c r="M1575" t="str">
        <f>IFERROR(MATCH($C$5&amp;"|"&amp;RIGHT("000000"&amp;1559,6),CalcRankKeyA,0),"")</f>
        <v/>
      </c>
      <c r="N1575" t="str">
        <f>IFERROR(MATCH($C$5&amp;"|"&amp;RIGHT("000000"&amp;1559,6),CalcRankKeyB,0),"")</f>
        <v/>
      </c>
    </row>
    <row r="1576" spans="1:14" x14ac:dyDescent="0.2">
      <c r="A1576" s="12">
        <v>1560</v>
      </c>
      <c r="B1576" s="13" t="str">
        <f t="shared" si="240"/>
        <v/>
      </c>
      <c r="C1576" s="13" t="str">
        <f t="shared" si="241"/>
        <v/>
      </c>
      <c r="D1576" s="13" t="str">
        <f t="shared" si="242"/>
        <v/>
      </c>
      <c r="E1576" s="14" t="str">
        <f t="shared" si="243"/>
        <v/>
      </c>
      <c r="F1576" s="14" t="str">
        <f t="shared" si="244"/>
        <v/>
      </c>
      <c r="G1576" s="14" t="str">
        <f t="shared" si="245"/>
        <v/>
      </c>
      <c r="H1576" s="14" t="str">
        <f t="shared" si="246"/>
        <v/>
      </c>
      <c r="I1576" s="15" t="str">
        <f t="shared" si="247"/>
        <v/>
      </c>
      <c r="J1576" s="15" t="str">
        <f t="shared" si="249"/>
        <v/>
      </c>
      <c r="K1576" s="16" t="str">
        <f t="shared" si="248"/>
        <v/>
      </c>
      <c r="M1576" t="str">
        <f>IFERROR(MATCH($C$5&amp;"|"&amp;RIGHT("000000"&amp;1560,6),CalcRankKeyA,0),"")</f>
        <v/>
      </c>
      <c r="N1576" t="str">
        <f>IFERROR(MATCH($C$5&amp;"|"&amp;RIGHT("000000"&amp;1560,6),CalcRankKeyB,0),"")</f>
        <v/>
      </c>
    </row>
    <row r="1577" spans="1:14" x14ac:dyDescent="0.2">
      <c r="A1577" s="7">
        <v>1561</v>
      </c>
      <c r="B1577" s="8" t="str">
        <f t="shared" si="240"/>
        <v/>
      </c>
      <c r="C1577" s="8" t="str">
        <f t="shared" si="241"/>
        <v/>
      </c>
      <c r="D1577" s="8" t="str">
        <f t="shared" si="242"/>
        <v/>
      </c>
      <c r="E1577" s="9" t="str">
        <f t="shared" si="243"/>
        <v/>
      </c>
      <c r="F1577" s="9" t="str">
        <f t="shared" si="244"/>
        <v/>
      </c>
      <c r="G1577" s="9" t="str">
        <f t="shared" si="245"/>
        <v/>
      </c>
      <c r="H1577" s="9" t="str">
        <f t="shared" si="246"/>
        <v/>
      </c>
      <c r="I1577" s="10" t="str">
        <f t="shared" si="247"/>
        <v/>
      </c>
      <c r="J1577" s="10" t="str">
        <f t="shared" si="249"/>
        <v/>
      </c>
      <c r="K1577" s="11" t="str">
        <f t="shared" si="248"/>
        <v/>
      </c>
      <c r="M1577" t="str">
        <f>IFERROR(MATCH($C$5&amp;"|"&amp;RIGHT("000000"&amp;1561,6),CalcRankKeyA,0),"")</f>
        <v/>
      </c>
      <c r="N1577" t="str">
        <f>IFERROR(MATCH($C$5&amp;"|"&amp;RIGHT("000000"&amp;1561,6),CalcRankKeyB,0),"")</f>
        <v/>
      </c>
    </row>
    <row r="1578" spans="1:14" x14ac:dyDescent="0.2">
      <c r="A1578" s="12">
        <v>1562</v>
      </c>
      <c r="B1578" s="13" t="str">
        <f t="shared" si="240"/>
        <v/>
      </c>
      <c r="C1578" s="13" t="str">
        <f t="shared" si="241"/>
        <v/>
      </c>
      <c r="D1578" s="13" t="str">
        <f t="shared" si="242"/>
        <v/>
      </c>
      <c r="E1578" s="14" t="str">
        <f t="shared" si="243"/>
        <v/>
      </c>
      <c r="F1578" s="14" t="str">
        <f t="shared" si="244"/>
        <v/>
      </c>
      <c r="G1578" s="14" t="str">
        <f t="shared" si="245"/>
        <v/>
      </c>
      <c r="H1578" s="14" t="str">
        <f t="shared" si="246"/>
        <v/>
      </c>
      <c r="I1578" s="15" t="str">
        <f t="shared" si="247"/>
        <v/>
      </c>
      <c r="J1578" s="15" t="str">
        <f t="shared" si="249"/>
        <v/>
      </c>
      <c r="K1578" s="16" t="str">
        <f t="shared" si="248"/>
        <v/>
      </c>
      <c r="M1578" t="str">
        <f>IFERROR(MATCH($C$5&amp;"|"&amp;RIGHT("000000"&amp;1562,6),CalcRankKeyA,0),"")</f>
        <v/>
      </c>
      <c r="N1578" t="str">
        <f>IFERROR(MATCH($C$5&amp;"|"&amp;RIGHT("000000"&amp;1562,6),CalcRankKeyB,0),"")</f>
        <v/>
      </c>
    </row>
    <row r="1579" spans="1:14" x14ac:dyDescent="0.2">
      <c r="A1579" s="7">
        <v>1563</v>
      </c>
      <c r="B1579" s="8" t="str">
        <f t="shared" si="240"/>
        <v/>
      </c>
      <c r="C1579" s="8" t="str">
        <f t="shared" si="241"/>
        <v/>
      </c>
      <c r="D1579" s="8" t="str">
        <f t="shared" si="242"/>
        <v/>
      </c>
      <c r="E1579" s="9" t="str">
        <f t="shared" si="243"/>
        <v/>
      </c>
      <c r="F1579" s="9" t="str">
        <f t="shared" si="244"/>
        <v/>
      </c>
      <c r="G1579" s="9" t="str">
        <f t="shared" si="245"/>
        <v/>
      </c>
      <c r="H1579" s="9" t="str">
        <f t="shared" si="246"/>
        <v/>
      </c>
      <c r="I1579" s="10" t="str">
        <f t="shared" si="247"/>
        <v/>
      </c>
      <c r="J1579" s="10" t="str">
        <f t="shared" si="249"/>
        <v/>
      </c>
      <c r="K1579" s="11" t="str">
        <f t="shared" si="248"/>
        <v/>
      </c>
      <c r="M1579" t="str">
        <f>IFERROR(MATCH($C$5&amp;"|"&amp;RIGHT("000000"&amp;1563,6),CalcRankKeyA,0),"")</f>
        <v/>
      </c>
      <c r="N1579" t="str">
        <f>IFERROR(MATCH($C$5&amp;"|"&amp;RIGHT("000000"&amp;1563,6),CalcRankKeyB,0),"")</f>
        <v/>
      </c>
    </row>
    <row r="1580" spans="1:14" x14ac:dyDescent="0.2">
      <c r="A1580" s="12">
        <v>1564</v>
      </c>
      <c r="B1580" s="13" t="str">
        <f t="shared" si="240"/>
        <v/>
      </c>
      <c r="C1580" s="13" t="str">
        <f t="shared" si="241"/>
        <v/>
      </c>
      <c r="D1580" s="13" t="str">
        <f t="shared" si="242"/>
        <v/>
      </c>
      <c r="E1580" s="14" t="str">
        <f t="shared" si="243"/>
        <v/>
      </c>
      <c r="F1580" s="14" t="str">
        <f t="shared" si="244"/>
        <v/>
      </c>
      <c r="G1580" s="14" t="str">
        <f t="shared" si="245"/>
        <v/>
      </c>
      <c r="H1580" s="14" t="str">
        <f t="shared" si="246"/>
        <v/>
      </c>
      <c r="I1580" s="15" t="str">
        <f t="shared" si="247"/>
        <v/>
      </c>
      <c r="J1580" s="15" t="str">
        <f t="shared" si="249"/>
        <v/>
      </c>
      <c r="K1580" s="16" t="str">
        <f t="shared" si="248"/>
        <v/>
      </c>
      <c r="M1580" t="str">
        <f>IFERROR(MATCH($C$5&amp;"|"&amp;RIGHT("000000"&amp;1564,6),CalcRankKeyA,0),"")</f>
        <v/>
      </c>
      <c r="N1580" t="str">
        <f>IFERROR(MATCH($C$5&amp;"|"&amp;RIGHT("000000"&amp;1564,6),CalcRankKeyB,0),"")</f>
        <v/>
      </c>
    </row>
    <row r="1581" spans="1:14" x14ac:dyDescent="0.2">
      <c r="A1581" s="7">
        <v>1565</v>
      </c>
      <c r="B1581" s="8" t="str">
        <f t="shared" si="240"/>
        <v/>
      </c>
      <c r="C1581" s="8" t="str">
        <f t="shared" si="241"/>
        <v/>
      </c>
      <c r="D1581" s="8" t="str">
        <f t="shared" si="242"/>
        <v/>
      </c>
      <c r="E1581" s="9" t="str">
        <f t="shared" si="243"/>
        <v/>
      </c>
      <c r="F1581" s="9" t="str">
        <f t="shared" si="244"/>
        <v/>
      </c>
      <c r="G1581" s="9" t="str">
        <f t="shared" si="245"/>
        <v/>
      </c>
      <c r="H1581" s="9" t="str">
        <f t="shared" si="246"/>
        <v/>
      </c>
      <c r="I1581" s="10" t="str">
        <f t="shared" si="247"/>
        <v/>
      </c>
      <c r="J1581" s="10" t="str">
        <f t="shared" si="249"/>
        <v/>
      </c>
      <c r="K1581" s="11" t="str">
        <f t="shared" si="248"/>
        <v/>
      </c>
      <c r="M1581" t="str">
        <f>IFERROR(MATCH($C$5&amp;"|"&amp;RIGHT("000000"&amp;1565,6),CalcRankKeyA,0),"")</f>
        <v/>
      </c>
      <c r="N1581" t="str">
        <f>IFERROR(MATCH($C$5&amp;"|"&amp;RIGHT("000000"&amp;1565,6),CalcRankKeyB,0),"")</f>
        <v/>
      </c>
    </row>
    <row r="1582" spans="1:14" x14ac:dyDescent="0.2">
      <c r="A1582" s="12">
        <v>1566</v>
      </c>
      <c r="B1582" s="13" t="str">
        <f t="shared" si="240"/>
        <v/>
      </c>
      <c r="C1582" s="13" t="str">
        <f t="shared" si="241"/>
        <v/>
      </c>
      <c r="D1582" s="13" t="str">
        <f t="shared" si="242"/>
        <v/>
      </c>
      <c r="E1582" s="14" t="str">
        <f t="shared" si="243"/>
        <v/>
      </c>
      <c r="F1582" s="14" t="str">
        <f t="shared" si="244"/>
        <v/>
      </c>
      <c r="G1582" s="14" t="str">
        <f t="shared" si="245"/>
        <v/>
      </c>
      <c r="H1582" s="14" t="str">
        <f t="shared" si="246"/>
        <v/>
      </c>
      <c r="I1582" s="15" t="str">
        <f t="shared" si="247"/>
        <v/>
      </c>
      <c r="J1582" s="15" t="str">
        <f t="shared" si="249"/>
        <v/>
      </c>
      <c r="K1582" s="16" t="str">
        <f t="shared" si="248"/>
        <v/>
      </c>
      <c r="M1582" t="str">
        <f>IFERROR(MATCH($C$5&amp;"|"&amp;RIGHT("000000"&amp;1566,6),CalcRankKeyA,0),"")</f>
        <v/>
      </c>
      <c r="N1582" t="str">
        <f>IFERROR(MATCH($C$5&amp;"|"&amp;RIGHT("000000"&amp;1566,6),CalcRankKeyB,0),"")</f>
        <v/>
      </c>
    </row>
    <row r="1583" spans="1:14" x14ac:dyDescent="0.2">
      <c r="A1583" s="7">
        <v>1567</v>
      </c>
      <c r="B1583" s="8" t="str">
        <f t="shared" si="240"/>
        <v/>
      </c>
      <c r="C1583" s="8" t="str">
        <f t="shared" si="241"/>
        <v/>
      </c>
      <c r="D1583" s="8" t="str">
        <f t="shared" si="242"/>
        <v/>
      </c>
      <c r="E1583" s="9" t="str">
        <f t="shared" si="243"/>
        <v/>
      </c>
      <c r="F1583" s="9" t="str">
        <f t="shared" si="244"/>
        <v/>
      </c>
      <c r="G1583" s="9" t="str">
        <f t="shared" si="245"/>
        <v/>
      </c>
      <c r="H1583" s="9" t="str">
        <f t="shared" si="246"/>
        <v/>
      </c>
      <c r="I1583" s="10" t="str">
        <f t="shared" si="247"/>
        <v/>
      </c>
      <c r="J1583" s="10" t="str">
        <f t="shared" si="249"/>
        <v/>
      </c>
      <c r="K1583" s="11" t="str">
        <f t="shared" si="248"/>
        <v/>
      </c>
      <c r="M1583" t="str">
        <f>IFERROR(MATCH($C$5&amp;"|"&amp;RIGHT("000000"&amp;1567,6),CalcRankKeyA,0),"")</f>
        <v/>
      </c>
      <c r="N1583" t="str">
        <f>IFERROR(MATCH($C$5&amp;"|"&amp;RIGHT("000000"&amp;1567,6),CalcRankKeyB,0),"")</f>
        <v/>
      </c>
    </row>
    <row r="1584" spans="1:14" x14ac:dyDescent="0.2">
      <c r="A1584" s="12">
        <v>1568</v>
      </c>
      <c r="B1584" s="13" t="str">
        <f t="shared" si="240"/>
        <v/>
      </c>
      <c r="C1584" s="13" t="str">
        <f t="shared" si="241"/>
        <v/>
      </c>
      <c r="D1584" s="13" t="str">
        <f t="shared" si="242"/>
        <v/>
      </c>
      <c r="E1584" s="14" t="str">
        <f t="shared" si="243"/>
        <v/>
      </c>
      <c r="F1584" s="14" t="str">
        <f t="shared" si="244"/>
        <v/>
      </c>
      <c r="G1584" s="14" t="str">
        <f t="shared" si="245"/>
        <v/>
      </c>
      <c r="H1584" s="14" t="str">
        <f t="shared" si="246"/>
        <v/>
      </c>
      <c r="I1584" s="15" t="str">
        <f t="shared" si="247"/>
        <v/>
      </c>
      <c r="J1584" s="15" t="str">
        <f t="shared" si="249"/>
        <v/>
      </c>
      <c r="K1584" s="16" t="str">
        <f t="shared" si="248"/>
        <v/>
      </c>
      <c r="M1584" t="str">
        <f>IFERROR(MATCH($C$5&amp;"|"&amp;RIGHT("000000"&amp;1568,6),CalcRankKeyA,0),"")</f>
        <v/>
      </c>
      <c r="N1584" t="str">
        <f>IFERROR(MATCH($C$5&amp;"|"&amp;RIGHT("000000"&amp;1568,6),CalcRankKeyB,0),"")</f>
        <v/>
      </c>
    </row>
    <row r="1585" spans="1:14" x14ac:dyDescent="0.2">
      <c r="A1585" s="7">
        <v>1569</v>
      </c>
      <c r="B1585" s="8" t="str">
        <f t="shared" si="240"/>
        <v/>
      </c>
      <c r="C1585" s="8" t="str">
        <f t="shared" si="241"/>
        <v/>
      </c>
      <c r="D1585" s="8" t="str">
        <f t="shared" si="242"/>
        <v/>
      </c>
      <c r="E1585" s="9" t="str">
        <f t="shared" si="243"/>
        <v/>
      </c>
      <c r="F1585" s="9" t="str">
        <f t="shared" si="244"/>
        <v/>
      </c>
      <c r="G1585" s="9" t="str">
        <f t="shared" si="245"/>
        <v/>
      </c>
      <c r="H1585" s="9" t="str">
        <f t="shared" si="246"/>
        <v/>
      </c>
      <c r="I1585" s="10" t="str">
        <f t="shared" si="247"/>
        <v/>
      </c>
      <c r="J1585" s="10" t="str">
        <f t="shared" si="249"/>
        <v/>
      </c>
      <c r="K1585" s="11" t="str">
        <f t="shared" si="248"/>
        <v/>
      </c>
      <c r="M1585" t="str">
        <f>IFERROR(MATCH($C$5&amp;"|"&amp;RIGHT("000000"&amp;1569,6),CalcRankKeyA,0),"")</f>
        <v/>
      </c>
      <c r="N1585" t="str">
        <f>IFERROR(MATCH($C$5&amp;"|"&amp;RIGHT("000000"&amp;1569,6),CalcRankKeyB,0),"")</f>
        <v/>
      </c>
    </row>
    <row r="1586" spans="1:14" x14ac:dyDescent="0.2">
      <c r="A1586" s="12">
        <v>1570</v>
      </c>
      <c r="B1586" s="13" t="str">
        <f t="shared" si="240"/>
        <v/>
      </c>
      <c r="C1586" s="13" t="str">
        <f t="shared" si="241"/>
        <v/>
      </c>
      <c r="D1586" s="13" t="str">
        <f t="shared" si="242"/>
        <v/>
      </c>
      <c r="E1586" s="14" t="str">
        <f t="shared" si="243"/>
        <v/>
      </c>
      <c r="F1586" s="14" t="str">
        <f t="shared" si="244"/>
        <v/>
      </c>
      <c r="G1586" s="14" t="str">
        <f t="shared" si="245"/>
        <v/>
      </c>
      <c r="H1586" s="14" t="str">
        <f t="shared" si="246"/>
        <v/>
      </c>
      <c r="I1586" s="15" t="str">
        <f t="shared" si="247"/>
        <v/>
      </c>
      <c r="J1586" s="15" t="str">
        <f t="shared" si="249"/>
        <v/>
      </c>
      <c r="K1586" s="16" t="str">
        <f t="shared" si="248"/>
        <v/>
      </c>
      <c r="M1586" t="str">
        <f>IFERROR(MATCH($C$5&amp;"|"&amp;RIGHT("000000"&amp;1570,6),CalcRankKeyA,0),"")</f>
        <v/>
      </c>
      <c r="N1586" t="str">
        <f>IFERROR(MATCH($C$5&amp;"|"&amp;RIGHT("000000"&amp;1570,6),CalcRankKeyB,0),"")</f>
        <v/>
      </c>
    </row>
    <row r="1587" spans="1:14" x14ac:dyDescent="0.2">
      <c r="A1587" s="7">
        <v>1571</v>
      </c>
      <c r="B1587" s="8" t="str">
        <f t="shared" si="240"/>
        <v/>
      </c>
      <c r="C1587" s="8" t="str">
        <f t="shared" si="241"/>
        <v/>
      </c>
      <c r="D1587" s="8" t="str">
        <f t="shared" si="242"/>
        <v/>
      </c>
      <c r="E1587" s="9" t="str">
        <f t="shared" si="243"/>
        <v/>
      </c>
      <c r="F1587" s="9" t="str">
        <f t="shared" si="244"/>
        <v/>
      </c>
      <c r="G1587" s="9" t="str">
        <f t="shared" si="245"/>
        <v/>
      </c>
      <c r="H1587" s="9" t="str">
        <f t="shared" si="246"/>
        <v/>
      </c>
      <c r="I1587" s="10" t="str">
        <f t="shared" si="247"/>
        <v/>
      </c>
      <c r="J1587" s="10" t="str">
        <f t="shared" si="249"/>
        <v/>
      </c>
      <c r="K1587" s="11" t="str">
        <f t="shared" si="248"/>
        <v/>
      </c>
      <c r="M1587" t="str">
        <f>IFERROR(MATCH($C$5&amp;"|"&amp;RIGHT("000000"&amp;1571,6),CalcRankKeyA,0),"")</f>
        <v/>
      </c>
      <c r="N1587" t="str">
        <f>IFERROR(MATCH($C$5&amp;"|"&amp;RIGHT("000000"&amp;1571,6),CalcRankKeyB,0),"")</f>
        <v/>
      </c>
    </row>
    <row r="1588" spans="1:14" x14ac:dyDescent="0.2">
      <c r="A1588" s="12">
        <v>1572</v>
      </c>
      <c r="B1588" s="13" t="str">
        <f t="shared" si="240"/>
        <v/>
      </c>
      <c r="C1588" s="13" t="str">
        <f t="shared" si="241"/>
        <v/>
      </c>
      <c r="D1588" s="13" t="str">
        <f t="shared" si="242"/>
        <v/>
      </c>
      <c r="E1588" s="14" t="str">
        <f t="shared" si="243"/>
        <v/>
      </c>
      <c r="F1588" s="14" t="str">
        <f t="shared" si="244"/>
        <v/>
      </c>
      <c r="G1588" s="14" t="str">
        <f t="shared" si="245"/>
        <v/>
      </c>
      <c r="H1588" s="14" t="str">
        <f t="shared" si="246"/>
        <v/>
      </c>
      <c r="I1588" s="15" t="str">
        <f t="shared" si="247"/>
        <v/>
      </c>
      <c r="J1588" s="15" t="str">
        <f t="shared" si="249"/>
        <v/>
      </c>
      <c r="K1588" s="16" t="str">
        <f t="shared" si="248"/>
        <v/>
      </c>
      <c r="M1588" t="str">
        <f>IFERROR(MATCH($C$5&amp;"|"&amp;RIGHT("000000"&amp;1572,6),CalcRankKeyA,0),"")</f>
        <v/>
      </c>
      <c r="N1588" t="str">
        <f>IFERROR(MATCH($C$5&amp;"|"&amp;RIGHT("000000"&amp;1572,6),CalcRankKeyB,0),"")</f>
        <v/>
      </c>
    </row>
    <row r="1589" spans="1:14" x14ac:dyDescent="0.2">
      <c r="A1589" s="7">
        <v>1573</v>
      </c>
      <c r="B1589" s="8" t="str">
        <f t="shared" si="240"/>
        <v/>
      </c>
      <c r="C1589" s="8" t="str">
        <f t="shared" si="241"/>
        <v/>
      </c>
      <c r="D1589" s="8" t="str">
        <f t="shared" si="242"/>
        <v/>
      </c>
      <c r="E1589" s="9" t="str">
        <f t="shared" si="243"/>
        <v/>
      </c>
      <c r="F1589" s="9" t="str">
        <f t="shared" si="244"/>
        <v/>
      </c>
      <c r="G1589" s="9" t="str">
        <f t="shared" si="245"/>
        <v/>
      </c>
      <c r="H1589" s="9" t="str">
        <f t="shared" si="246"/>
        <v/>
      </c>
      <c r="I1589" s="10" t="str">
        <f t="shared" si="247"/>
        <v/>
      </c>
      <c r="J1589" s="10" t="str">
        <f t="shared" si="249"/>
        <v/>
      </c>
      <c r="K1589" s="11" t="str">
        <f t="shared" si="248"/>
        <v/>
      </c>
      <c r="M1589" t="str">
        <f>IFERROR(MATCH($C$5&amp;"|"&amp;RIGHT("000000"&amp;1573,6),CalcRankKeyA,0),"")</f>
        <v/>
      </c>
      <c r="N1589" t="str">
        <f>IFERROR(MATCH($C$5&amp;"|"&amp;RIGHT("000000"&amp;1573,6),CalcRankKeyB,0),"")</f>
        <v/>
      </c>
    </row>
    <row r="1590" spans="1:14" x14ac:dyDescent="0.2">
      <c r="A1590" s="12">
        <v>1574</v>
      </c>
      <c r="B1590" s="13" t="str">
        <f t="shared" si="240"/>
        <v/>
      </c>
      <c r="C1590" s="13" t="str">
        <f t="shared" si="241"/>
        <v/>
      </c>
      <c r="D1590" s="13" t="str">
        <f t="shared" si="242"/>
        <v/>
      </c>
      <c r="E1590" s="14" t="str">
        <f t="shared" si="243"/>
        <v/>
      </c>
      <c r="F1590" s="14" t="str">
        <f t="shared" si="244"/>
        <v/>
      </c>
      <c r="G1590" s="14" t="str">
        <f t="shared" si="245"/>
        <v/>
      </c>
      <c r="H1590" s="14" t="str">
        <f t="shared" si="246"/>
        <v/>
      </c>
      <c r="I1590" s="15" t="str">
        <f t="shared" si="247"/>
        <v/>
      </c>
      <c r="J1590" s="15" t="str">
        <f t="shared" si="249"/>
        <v/>
      </c>
      <c r="K1590" s="16" t="str">
        <f t="shared" si="248"/>
        <v/>
      </c>
      <c r="M1590" t="str">
        <f>IFERROR(MATCH($C$5&amp;"|"&amp;RIGHT("000000"&amp;1574,6),CalcRankKeyA,0),"")</f>
        <v/>
      </c>
      <c r="N1590" t="str">
        <f>IFERROR(MATCH($C$5&amp;"|"&amp;RIGHT("000000"&amp;1574,6),CalcRankKeyB,0),"")</f>
        <v/>
      </c>
    </row>
    <row r="1591" spans="1:14" x14ac:dyDescent="0.2">
      <c r="A1591" s="7">
        <v>1575</v>
      </c>
      <c r="B1591" s="8" t="str">
        <f t="shared" si="240"/>
        <v/>
      </c>
      <c r="C1591" s="8" t="str">
        <f t="shared" si="241"/>
        <v/>
      </c>
      <c r="D1591" s="8" t="str">
        <f t="shared" si="242"/>
        <v/>
      </c>
      <c r="E1591" s="9" t="str">
        <f t="shared" si="243"/>
        <v/>
      </c>
      <c r="F1591" s="9" t="str">
        <f t="shared" si="244"/>
        <v/>
      </c>
      <c r="G1591" s="9" t="str">
        <f t="shared" si="245"/>
        <v/>
      </c>
      <c r="H1591" s="9" t="str">
        <f t="shared" si="246"/>
        <v/>
      </c>
      <c r="I1591" s="10" t="str">
        <f t="shared" si="247"/>
        <v/>
      </c>
      <c r="J1591" s="10" t="str">
        <f t="shared" si="249"/>
        <v/>
      </c>
      <c r="K1591" s="11" t="str">
        <f t="shared" si="248"/>
        <v/>
      </c>
      <c r="M1591" t="str">
        <f>IFERROR(MATCH($C$5&amp;"|"&amp;RIGHT("000000"&amp;1575,6),CalcRankKeyA,0),"")</f>
        <v/>
      </c>
      <c r="N1591" t="str">
        <f>IFERROR(MATCH($C$5&amp;"|"&amp;RIGHT("000000"&amp;1575,6),CalcRankKeyB,0),"")</f>
        <v/>
      </c>
    </row>
    <row r="1592" spans="1:14" x14ac:dyDescent="0.2">
      <c r="A1592" s="12">
        <v>1576</v>
      </c>
      <c r="B1592" s="13" t="str">
        <f t="shared" si="240"/>
        <v/>
      </c>
      <c r="C1592" s="13" t="str">
        <f t="shared" si="241"/>
        <v/>
      </c>
      <c r="D1592" s="13" t="str">
        <f t="shared" si="242"/>
        <v/>
      </c>
      <c r="E1592" s="14" t="str">
        <f t="shared" si="243"/>
        <v/>
      </c>
      <c r="F1592" s="14" t="str">
        <f t="shared" si="244"/>
        <v/>
      </c>
      <c r="G1592" s="14" t="str">
        <f t="shared" si="245"/>
        <v/>
      </c>
      <c r="H1592" s="14" t="str">
        <f t="shared" si="246"/>
        <v/>
      </c>
      <c r="I1592" s="15" t="str">
        <f t="shared" si="247"/>
        <v/>
      </c>
      <c r="J1592" s="15" t="str">
        <f t="shared" si="249"/>
        <v/>
      </c>
      <c r="K1592" s="16" t="str">
        <f t="shared" si="248"/>
        <v/>
      </c>
      <c r="M1592" t="str">
        <f>IFERROR(MATCH($C$5&amp;"|"&amp;RIGHT("000000"&amp;1576,6),CalcRankKeyA,0),"")</f>
        <v/>
      </c>
      <c r="N1592" t="str">
        <f>IFERROR(MATCH($C$5&amp;"|"&amp;RIGHT("000000"&amp;1576,6),CalcRankKeyB,0),"")</f>
        <v/>
      </c>
    </row>
    <row r="1593" spans="1:14" x14ac:dyDescent="0.2">
      <c r="A1593" s="7">
        <v>1577</v>
      </c>
      <c r="B1593" s="8" t="str">
        <f t="shared" si="240"/>
        <v/>
      </c>
      <c r="C1593" s="8" t="str">
        <f t="shared" si="241"/>
        <v/>
      </c>
      <c r="D1593" s="8" t="str">
        <f t="shared" si="242"/>
        <v/>
      </c>
      <c r="E1593" s="9" t="str">
        <f t="shared" si="243"/>
        <v/>
      </c>
      <c r="F1593" s="9" t="str">
        <f t="shared" si="244"/>
        <v/>
      </c>
      <c r="G1593" s="9" t="str">
        <f t="shared" si="245"/>
        <v/>
      </c>
      <c r="H1593" s="9" t="str">
        <f t="shared" si="246"/>
        <v/>
      </c>
      <c r="I1593" s="10" t="str">
        <f t="shared" si="247"/>
        <v/>
      </c>
      <c r="J1593" s="10" t="str">
        <f t="shared" si="249"/>
        <v/>
      </c>
      <c r="K1593" s="11" t="str">
        <f t="shared" si="248"/>
        <v/>
      </c>
      <c r="M1593" t="str">
        <f>IFERROR(MATCH($C$5&amp;"|"&amp;RIGHT("000000"&amp;1577,6),CalcRankKeyA,0),"")</f>
        <v/>
      </c>
      <c r="N1593" t="str">
        <f>IFERROR(MATCH($C$5&amp;"|"&amp;RIGHT("000000"&amp;1577,6),CalcRankKeyB,0),"")</f>
        <v/>
      </c>
    </row>
    <row r="1594" spans="1:14" x14ac:dyDescent="0.2">
      <c r="A1594" s="12">
        <v>1578</v>
      </c>
      <c r="B1594" s="13" t="str">
        <f t="shared" si="240"/>
        <v/>
      </c>
      <c r="C1594" s="13" t="str">
        <f t="shared" si="241"/>
        <v/>
      </c>
      <c r="D1594" s="13" t="str">
        <f t="shared" si="242"/>
        <v/>
      </c>
      <c r="E1594" s="14" t="str">
        <f t="shared" si="243"/>
        <v/>
      </c>
      <c r="F1594" s="14" t="str">
        <f t="shared" si="244"/>
        <v/>
      </c>
      <c r="G1594" s="14" t="str">
        <f t="shared" si="245"/>
        <v/>
      </c>
      <c r="H1594" s="14" t="str">
        <f t="shared" si="246"/>
        <v/>
      </c>
      <c r="I1594" s="15" t="str">
        <f t="shared" si="247"/>
        <v/>
      </c>
      <c r="J1594" s="15" t="str">
        <f t="shared" si="249"/>
        <v/>
      </c>
      <c r="K1594" s="16" t="str">
        <f t="shared" si="248"/>
        <v/>
      </c>
      <c r="M1594" t="str">
        <f>IFERROR(MATCH($C$5&amp;"|"&amp;RIGHT("000000"&amp;1578,6),CalcRankKeyA,0),"")</f>
        <v/>
      </c>
      <c r="N1594" t="str">
        <f>IFERROR(MATCH($C$5&amp;"|"&amp;RIGHT("000000"&amp;1578,6),CalcRankKeyB,0),"")</f>
        <v/>
      </c>
    </row>
    <row r="1595" spans="1:14" x14ac:dyDescent="0.2">
      <c r="A1595" s="7">
        <v>1579</v>
      </c>
      <c r="B1595" s="8" t="str">
        <f t="shared" si="240"/>
        <v/>
      </c>
      <c r="C1595" s="8" t="str">
        <f t="shared" si="241"/>
        <v/>
      </c>
      <c r="D1595" s="8" t="str">
        <f t="shared" si="242"/>
        <v/>
      </c>
      <c r="E1595" s="9" t="str">
        <f t="shared" si="243"/>
        <v/>
      </c>
      <c r="F1595" s="9" t="str">
        <f t="shared" si="244"/>
        <v/>
      </c>
      <c r="G1595" s="9" t="str">
        <f t="shared" si="245"/>
        <v/>
      </c>
      <c r="H1595" s="9" t="str">
        <f t="shared" si="246"/>
        <v/>
      </c>
      <c r="I1595" s="10" t="str">
        <f t="shared" si="247"/>
        <v/>
      </c>
      <c r="J1595" s="10" t="str">
        <f t="shared" si="249"/>
        <v/>
      </c>
      <c r="K1595" s="11" t="str">
        <f t="shared" si="248"/>
        <v/>
      </c>
      <c r="M1595" t="str">
        <f>IFERROR(MATCH($C$5&amp;"|"&amp;RIGHT("000000"&amp;1579,6),CalcRankKeyA,0),"")</f>
        <v/>
      </c>
      <c r="N1595" t="str">
        <f>IFERROR(MATCH($C$5&amp;"|"&amp;RIGHT("000000"&amp;1579,6),CalcRankKeyB,0),"")</f>
        <v/>
      </c>
    </row>
    <row r="1596" spans="1:14" x14ac:dyDescent="0.2">
      <c r="A1596" s="12">
        <v>1580</v>
      </c>
      <c r="B1596" s="13" t="str">
        <f t="shared" si="240"/>
        <v/>
      </c>
      <c r="C1596" s="13" t="str">
        <f t="shared" si="241"/>
        <v/>
      </c>
      <c r="D1596" s="13" t="str">
        <f t="shared" si="242"/>
        <v/>
      </c>
      <c r="E1596" s="14" t="str">
        <f t="shared" si="243"/>
        <v/>
      </c>
      <c r="F1596" s="14" t="str">
        <f t="shared" si="244"/>
        <v/>
      </c>
      <c r="G1596" s="14" t="str">
        <f t="shared" si="245"/>
        <v/>
      </c>
      <c r="H1596" s="14" t="str">
        <f t="shared" si="246"/>
        <v/>
      </c>
      <c r="I1596" s="15" t="str">
        <f t="shared" si="247"/>
        <v/>
      </c>
      <c r="J1596" s="15" t="str">
        <f t="shared" si="249"/>
        <v/>
      </c>
      <c r="K1596" s="16" t="str">
        <f t="shared" si="248"/>
        <v/>
      </c>
      <c r="M1596" t="str">
        <f>IFERROR(MATCH($C$5&amp;"|"&amp;RIGHT("000000"&amp;1580,6),CalcRankKeyA,0),"")</f>
        <v/>
      </c>
      <c r="N1596" t="str">
        <f>IFERROR(MATCH($C$5&amp;"|"&amp;RIGHT("000000"&amp;1580,6),CalcRankKeyB,0),"")</f>
        <v/>
      </c>
    </row>
    <row r="1597" spans="1:14" x14ac:dyDescent="0.2">
      <c r="A1597" s="7">
        <v>1581</v>
      </c>
      <c r="B1597" s="8" t="str">
        <f t="shared" si="240"/>
        <v/>
      </c>
      <c r="C1597" s="8" t="str">
        <f t="shared" si="241"/>
        <v/>
      </c>
      <c r="D1597" s="8" t="str">
        <f t="shared" si="242"/>
        <v/>
      </c>
      <c r="E1597" s="9" t="str">
        <f t="shared" si="243"/>
        <v/>
      </c>
      <c r="F1597" s="9" t="str">
        <f t="shared" si="244"/>
        <v/>
      </c>
      <c r="G1597" s="9" t="str">
        <f t="shared" si="245"/>
        <v/>
      </c>
      <c r="H1597" s="9" t="str">
        <f t="shared" si="246"/>
        <v/>
      </c>
      <c r="I1597" s="10" t="str">
        <f t="shared" si="247"/>
        <v/>
      </c>
      <c r="J1597" s="10" t="str">
        <f t="shared" si="249"/>
        <v/>
      </c>
      <c r="K1597" s="11" t="str">
        <f t="shared" si="248"/>
        <v/>
      </c>
      <c r="M1597" t="str">
        <f>IFERROR(MATCH($C$5&amp;"|"&amp;RIGHT("000000"&amp;1581,6),CalcRankKeyA,0),"")</f>
        <v/>
      </c>
      <c r="N1597" t="str">
        <f>IFERROR(MATCH($C$5&amp;"|"&amp;RIGHT("000000"&amp;1581,6),CalcRankKeyB,0),"")</f>
        <v/>
      </c>
    </row>
    <row r="1598" spans="1:14" x14ac:dyDescent="0.2">
      <c r="A1598" s="12">
        <v>1582</v>
      </c>
      <c r="B1598" s="13" t="str">
        <f t="shared" si="240"/>
        <v/>
      </c>
      <c r="C1598" s="13" t="str">
        <f t="shared" si="241"/>
        <v/>
      </c>
      <c r="D1598" s="13" t="str">
        <f t="shared" si="242"/>
        <v/>
      </c>
      <c r="E1598" s="14" t="str">
        <f t="shared" si="243"/>
        <v/>
      </c>
      <c r="F1598" s="14" t="str">
        <f t="shared" si="244"/>
        <v/>
      </c>
      <c r="G1598" s="14" t="str">
        <f t="shared" si="245"/>
        <v/>
      </c>
      <c r="H1598" s="14" t="str">
        <f t="shared" si="246"/>
        <v/>
      </c>
      <c r="I1598" s="15" t="str">
        <f t="shared" si="247"/>
        <v/>
      </c>
      <c r="J1598" s="15" t="str">
        <f t="shared" si="249"/>
        <v/>
      </c>
      <c r="K1598" s="16" t="str">
        <f t="shared" si="248"/>
        <v/>
      </c>
      <c r="M1598" t="str">
        <f>IFERROR(MATCH($C$5&amp;"|"&amp;RIGHT("000000"&amp;1582,6),CalcRankKeyA,0),"")</f>
        <v/>
      </c>
      <c r="N1598" t="str">
        <f>IFERROR(MATCH($C$5&amp;"|"&amp;RIGHT("000000"&amp;1582,6),CalcRankKeyB,0),"")</f>
        <v/>
      </c>
    </row>
    <row r="1599" spans="1:14" x14ac:dyDescent="0.2">
      <c r="A1599" s="7">
        <v>1583</v>
      </c>
      <c r="B1599" s="8" t="str">
        <f t="shared" si="240"/>
        <v/>
      </c>
      <c r="C1599" s="8" t="str">
        <f t="shared" si="241"/>
        <v/>
      </c>
      <c r="D1599" s="8" t="str">
        <f t="shared" si="242"/>
        <v/>
      </c>
      <c r="E1599" s="9" t="str">
        <f t="shared" si="243"/>
        <v/>
      </c>
      <c r="F1599" s="9" t="str">
        <f t="shared" si="244"/>
        <v/>
      </c>
      <c r="G1599" s="9" t="str">
        <f t="shared" si="245"/>
        <v/>
      </c>
      <c r="H1599" s="9" t="str">
        <f t="shared" si="246"/>
        <v/>
      </c>
      <c r="I1599" s="10" t="str">
        <f t="shared" si="247"/>
        <v/>
      </c>
      <c r="J1599" s="10" t="str">
        <f t="shared" si="249"/>
        <v/>
      </c>
      <c r="K1599" s="11" t="str">
        <f t="shared" si="248"/>
        <v/>
      </c>
      <c r="M1599" t="str">
        <f>IFERROR(MATCH($C$5&amp;"|"&amp;RIGHT("000000"&amp;1583,6),CalcRankKeyA,0),"")</f>
        <v/>
      </c>
      <c r="N1599" t="str">
        <f>IFERROR(MATCH($C$5&amp;"|"&amp;RIGHT("000000"&amp;1583,6),CalcRankKeyB,0),"")</f>
        <v/>
      </c>
    </row>
    <row r="1600" spans="1:14" x14ac:dyDescent="0.2">
      <c r="A1600" s="12">
        <v>1584</v>
      </c>
      <c r="B1600" s="13" t="str">
        <f t="shared" si="240"/>
        <v/>
      </c>
      <c r="C1600" s="13" t="str">
        <f t="shared" si="241"/>
        <v/>
      </c>
      <c r="D1600" s="13" t="str">
        <f t="shared" si="242"/>
        <v/>
      </c>
      <c r="E1600" s="14" t="str">
        <f t="shared" si="243"/>
        <v/>
      </c>
      <c r="F1600" s="14" t="str">
        <f t="shared" si="244"/>
        <v/>
      </c>
      <c r="G1600" s="14" t="str">
        <f t="shared" si="245"/>
        <v/>
      </c>
      <c r="H1600" s="14" t="str">
        <f t="shared" si="246"/>
        <v/>
      </c>
      <c r="I1600" s="15" t="str">
        <f t="shared" si="247"/>
        <v/>
      </c>
      <c r="J1600" s="15" t="str">
        <f t="shared" si="249"/>
        <v/>
      </c>
      <c r="K1600" s="16" t="str">
        <f t="shared" si="248"/>
        <v/>
      </c>
      <c r="M1600" t="str">
        <f>IFERROR(MATCH($C$5&amp;"|"&amp;RIGHT("000000"&amp;1584,6),CalcRankKeyA,0),"")</f>
        <v/>
      </c>
      <c r="N1600" t="str">
        <f>IFERROR(MATCH($C$5&amp;"|"&amp;RIGHT("000000"&amp;1584,6),CalcRankKeyB,0),"")</f>
        <v/>
      </c>
    </row>
    <row r="1601" spans="1:14" x14ac:dyDescent="0.2">
      <c r="A1601" s="7">
        <v>1585</v>
      </c>
      <c r="B1601" s="8" t="str">
        <f t="shared" si="240"/>
        <v/>
      </c>
      <c r="C1601" s="8" t="str">
        <f t="shared" si="241"/>
        <v/>
      </c>
      <c r="D1601" s="8" t="str">
        <f t="shared" si="242"/>
        <v/>
      </c>
      <c r="E1601" s="9" t="str">
        <f t="shared" si="243"/>
        <v/>
      </c>
      <c r="F1601" s="9" t="str">
        <f t="shared" si="244"/>
        <v/>
      </c>
      <c r="G1601" s="9" t="str">
        <f t="shared" si="245"/>
        <v/>
      </c>
      <c r="H1601" s="9" t="str">
        <f t="shared" si="246"/>
        <v/>
      </c>
      <c r="I1601" s="10" t="str">
        <f t="shared" si="247"/>
        <v/>
      </c>
      <c r="J1601" s="10" t="str">
        <f t="shared" si="249"/>
        <v/>
      </c>
      <c r="K1601" s="11" t="str">
        <f t="shared" si="248"/>
        <v/>
      </c>
      <c r="M1601" t="str">
        <f>IFERROR(MATCH($C$5&amp;"|"&amp;RIGHT("000000"&amp;1585,6),CalcRankKeyA,0),"")</f>
        <v/>
      </c>
      <c r="N1601" t="str">
        <f>IFERROR(MATCH($C$5&amp;"|"&amp;RIGHT("000000"&amp;1585,6),CalcRankKeyB,0),"")</f>
        <v/>
      </c>
    </row>
    <row r="1602" spans="1:14" x14ac:dyDescent="0.2">
      <c r="A1602" s="12">
        <v>1586</v>
      </c>
      <c r="B1602" s="13" t="str">
        <f t="shared" si="240"/>
        <v/>
      </c>
      <c r="C1602" s="13" t="str">
        <f t="shared" si="241"/>
        <v/>
      </c>
      <c r="D1602" s="13" t="str">
        <f t="shared" si="242"/>
        <v/>
      </c>
      <c r="E1602" s="14" t="str">
        <f t="shared" si="243"/>
        <v/>
      </c>
      <c r="F1602" s="14" t="str">
        <f t="shared" si="244"/>
        <v/>
      </c>
      <c r="G1602" s="14" t="str">
        <f t="shared" si="245"/>
        <v/>
      </c>
      <c r="H1602" s="14" t="str">
        <f t="shared" si="246"/>
        <v/>
      </c>
      <c r="I1602" s="15" t="str">
        <f t="shared" si="247"/>
        <v/>
      </c>
      <c r="J1602" s="15" t="str">
        <f t="shared" si="249"/>
        <v/>
      </c>
      <c r="K1602" s="16" t="str">
        <f t="shared" si="248"/>
        <v/>
      </c>
      <c r="M1602" t="str">
        <f>IFERROR(MATCH($C$5&amp;"|"&amp;RIGHT("000000"&amp;1586,6),CalcRankKeyA,0),"")</f>
        <v/>
      </c>
      <c r="N1602" t="str">
        <f>IFERROR(MATCH($C$5&amp;"|"&amp;RIGHT("000000"&amp;1586,6),CalcRankKeyB,0),"")</f>
        <v/>
      </c>
    </row>
    <row r="1603" spans="1:14" x14ac:dyDescent="0.2">
      <c r="A1603" s="7">
        <v>1587</v>
      </c>
      <c r="B1603" s="8" t="str">
        <f t="shared" si="240"/>
        <v/>
      </c>
      <c r="C1603" s="8" t="str">
        <f t="shared" si="241"/>
        <v/>
      </c>
      <c r="D1603" s="8" t="str">
        <f t="shared" si="242"/>
        <v/>
      </c>
      <c r="E1603" s="9" t="str">
        <f t="shared" si="243"/>
        <v/>
      </c>
      <c r="F1603" s="9" t="str">
        <f t="shared" si="244"/>
        <v/>
      </c>
      <c r="G1603" s="9" t="str">
        <f t="shared" si="245"/>
        <v/>
      </c>
      <c r="H1603" s="9" t="str">
        <f t="shared" si="246"/>
        <v/>
      </c>
      <c r="I1603" s="10" t="str">
        <f t="shared" si="247"/>
        <v/>
      </c>
      <c r="J1603" s="10" t="str">
        <f t="shared" si="249"/>
        <v/>
      </c>
      <c r="K1603" s="11" t="str">
        <f t="shared" si="248"/>
        <v/>
      </c>
      <c r="M1603" t="str">
        <f>IFERROR(MATCH($C$5&amp;"|"&amp;RIGHT("000000"&amp;1587,6),CalcRankKeyA,0),"")</f>
        <v/>
      </c>
      <c r="N1603" t="str">
        <f>IFERROR(MATCH($C$5&amp;"|"&amp;RIGHT("000000"&amp;1587,6),CalcRankKeyB,0),"")</f>
        <v/>
      </c>
    </row>
    <row r="1604" spans="1:14" x14ac:dyDescent="0.2">
      <c r="A1604" s="12">
        <v>1588</v>
      </c>
      <c r="B1604" s="13" t="str">
        <f t="shared" si="240"/>
        <v/>
      </c>
      <c r="C1604" s="13" t="str">
        <f t="shared" si="241"/>
        <v/>
      </c>
      <c r="D1604" s="13" t="str">
        <f t="shared" si="242"/>
        <v/>
      </c>
      <c r="E1604" s="14" t="str">
        <f t="shared" si="243"/>
        <v/>
      </c>
      <c r="F1604" s="14" t="str">
        <f t="shared" si="244"/>
        <v/>
      </c>
      <c r="G1604" s="14" t="str">
        <f t="shared" si="245"/>
        <v/>
      </c>
      <c r="H1604" s="14" t="str">
        <f t="shared" si="246"/>
        <v/>
      </c>
      <c r="I1604" s="15" t="str">
        <f t="shared" si="247"/>
        <v/>
      </c>
      <c r="J1604" s="15" t="str">
        <f t="shared" si="249"/>
        <v/>
      </c>
      <c r="K1604" s="16" t="str">
        <f t="shared" si="248"/>
        <v/>
      </c>
      <c r="M1604" t="str">
        <f>IFERROR(MATCH($C$5&amp;"|"&amp;RIGHT("000000"&amp;1588,6),CalcRankKeyA,0),"")</f>
        <v/>
      </c>
      <c r="N1604" t="str">
        <f>IFERROR(MATCH($C$5&amp;"|"&amp;RIGHT("000000"&amp;1588,6),CalcRankKeyB,0),"")</f>
        <v/>
      </c>
    </row>
    <row r="1605" spans="1:14" x14ac:dyDescent="0.2">
      <c r="A1605" s="7">
        <v>1589</v>
      </c>
      <c r="B1605" s="8" t="str">
        <f t="shared" si="240"/>
        <v/>
      </c>
      <c r="C1605" s="8" t="str">
        <f t="shared" si="241"/>
        <v/>
      </c>
      <c r="D1605" s="8" t="str">
        <f t="shared" si="242"/>
        <v/>
      </c>
      <c r="E1605" s="9" t="str">
        <f t="shared" si="243"/>
        <v/>
      </c>
      <c r="F1605" s="9" t="str">
        <f t="shared" si="244"/>
        <v/>
      </c>
      <c r="G1605" s="9" t="str">
        <f t="shared" si="245"/>
        <v/>
      </c>
      <c r="H1605" s="9" t="str">
        <f t="shared" si="246"/>
        <v/>
      </c>
      <c r="I1605" s="10" t="str">
        <f t="shared" si="247"/>
        <v/>
      </c>
      <c r="J1605" s="10" t="str">
        <f t="shared" si="249"/>
        <v/>
      </c>
      <c r="K1605" s="11" t="str">
        <f t="shared" si="248"/>
        <v/>
      </c>
      <c r="M1605" t="str">
        <f>IFERROR(MATCH($C$5&amp;"|"&amp;RIGHT("000000"&amp;1589,6),CalcRankKeyA,0),"")</f>
        <v/>
      </c>
      <c r="N1605" t="str">
        <f>IFERROR(MATCH($C$5&amp;"|"&amp;RIGHT("000000"&amp;1589,6),CalcRankKeyB,0),"")</f>
        <v/>
      </c>
    </row>
    <row r="1606" spans="1:14" x14ac:dyDescent="0.2">
      <c r="A1606" s="12">
        <v>1590</v>
      </c>
      <c r="B1606" s="13" t="str">
        <f t="shared" si="240"/>
        <v/>
      </c>
      <c r="C1606" s="13" t="str">
        <f t="shared" si="241"/>
        <v/>
      </c>
      <c r="D1606" s="13" t="str">
        <f t="shared" si="242"/>
        <v/>
      </c>
      <c r="E1606" s="14" t="str">
        <f t="shared" si="243"/>
        <v/>
      </c>
      <c r="F1606" s="14" t="str">
        <f t="shared" si="244"/>
        <v/>
      </c>
      <c r="G1606" s="14" t="str">
        <f t="shared" si="245"/>
        <v/>
      </c>
      <c r="H1606" s="14" t="str">
        <f t="shared" si="246"/>
        <v/>
      </c>
      <c r="I1606" s="15" t="str">
        <f t="shared" si="247"/>
        <v/>
      </c>
      <c r="J1606" s="15" t="str">
        <f t="shared" si="249"/>
        <v/>
      </c>
      <c r="K1606" s="16" t="str">
        <f t="shared" si="248"/>
        <v/>
      </c>
      <c r="M1606" t="str">
        <f>IFERROR(MATCH($C$5&amp;"|"&amp;RIGHT("000000"&amp;1590,6),CalcRankKeyA,0),"")</f>
        <v/>
      </c>
      <c r="N1606" t="str">
        <f>IFERROR(MATCH($C$5&amp;"|"&amp;RIGHT("000000"&amp;1590,6),CalcRankKeyB,0),"")</f>
        <v/>
      </c>
    </row>
    <row r="1607" spans="1:14" x14ac:dyDescent="0.2">
      <c r="A1607" s="7">
        <v>1591</v>
      </c>
      <c r="B1607" s="8" t="str">
        <f t="shared" si="240"/>
        <v/>
      </c>
      <c r="C1607" s="8" t="str">
        <f t="shared" si="241"/>
        <v/>
      </c>
      <c r="D1607" s="8" t="str">
        <f t="shared" si="242"/>
        <v/>
      </c>
      <c r="E1607" s="9" t="str">
        <f t="shared" si="243"/>
        <v/>
      </c>
      <c r="F1607" s="9" t="str">
        <f t="shared" si="244"/>
        <v/>
      </c>
      <c r="G1607" s="9" t="str">
        <f t="shared" si="245"/>
        <v/>
      </c>
      <c r="H1607" s="9" t="str">
        <f t="shared" si="246"/>
        <v/>
      </c>
      <c r="I1607" s="10" t="str">
        <f t="shared" si="247"/>
        <v/>
      </c>
      <c r="J1607" s="10" t="str">
        <f t="shared" si="249"/>
        <v/>
      </c>
      <c r="K1607" s="11" t="str">
        <f t="shared" si="248"/>
        <v/>
      </c>
      <c r="M1607" t="str">
        <f>IFERROR(MATCH($C$5&amp;"|"&amp;RIGHT("000000"&amp;1591,6),CalcRankKeyA,0),"")</f>
        <v/>
      </c>
      <c r="N1607" t="str">
        <f>IFERROR(MATCH($C$5&amp;"|"&amp;RIGHT("000000"&amp;1591,6),CalcRankKeyB,0),"")</f>
        <v/>
      </c>
    </row>
    <row r="1608" spans="1:14" x14ac:dyDescent="0.2">
      <c r="A1608" s="12">
        <v>1592</v>
      </c>
      <c r="B1608" s="13" t="str">
        <f t="shared" si="240"/>
        <v/>
      </c>
      <c r="C1608" s="13" t="str">
        <f t="shared" si="241"/>
        <v/>
      </c>
      <c r="D1608" s="13" t="str">
        <f t="shared" si="242"/>
        <v/>
      </c>
      <c r="E1608" s="14" t="str">
        <f t="shared" si="243"/>
        <v/>
      </c>
      <c r="F1608" s="14" t="str">
        <f t="shared" si="244"/>
        <v/>
      </c>
      <c r="G1608" s="14" t="str">
        <f t="shared" si="245"/>
        <v/>
      </c>
      <c r="H1608" s="14" t="str">
        <f t="shared" si="246"/>
        <v/>
      </c>
      <c r="I1608" s="15" t="str">
        <f t="shared" si="247"/>
        <v/>
      </c>
      <c r="J1608" s="15" t="str">
        <f t="shared" si="249"/>
        <v/>
      </c>
      <c r="K1608" s="16" t="str">
        <f t="shared" si="248"/>
        <v/>
      </c>
      <c r="M1608" t="str">
        <f>IFERROR(MATCH($C$5&amp;"|"&amp;RIGHT("000000"&amp;1592,6),CalcRankKeyA,0),"")</f>
        <v/>
      </c>
      <c r="N1608" t="str">
        <f>IFERROR(MATCH($C$5&amp;"|"&amp;RIGHT("000000"&amp;1592,6),CalcRankKeyB,0),"")</f>
        <v/>
      </c>
    </row>
    <row r="1609" spans="1:14" x14ac:dyDescent="0.2">
      <c r="A1609" s="7">
        <v>1593</v>
      </c>
      <c r="B1609" s="8" t="str">
        <f t="shared" si="240"/>
        <v/>
      </c>
      <c r="C1609" s="8" t="str">
        <f t="shared" si="241"/>
        <v/>
      </c>
      <c r="D1609" s="8" t="str">
        <f t="shared" si="242"/>
        <v/>
      </c>
      <c r="E1609" s="9" t="str">
        <f t="shared" si="243"/>
        <v/>
      </c>
      <c r="F1609" s="9" t="str">
        <f t="shared" si="244"/>
        <v/>
      </c>
      <c r="G1609" s="9" t="str">
        <f t="shared" si="245"/>
        <v/>
      </c>
      <c r="H1609" s="9" t="str">
        <f t="shared" si="246"/>
        <v/>
      </c>
      <c r="I1609" s="10" t="str">
        <f t="shared" si="247"/>
        <v/>
      </c>
      <c r="J1609" s="10" t="str">
        <f t="shared" si="249"/>
        <v/>
      </c>
      <c r="K1609" s="11" t="str">
        <f t="shared" si="248"/>
        <v/>
      </c>
      <c r="M1609" t="str">
        <f>IFERROR(MATCH($C$5&amp;"|"&amp;RIGHT("000000"&amp;1593,6),CalcRankKeyA,0),"")</f>
        <v/>
      </c>
      <c r="N1609" t="str">
        <f>IFERROR(MATCH($C$5&amp;"|"&amp;RIGHT("000000"&amp;1593,6),CalcRankKeyB,0),"")</f>
        <v/>
      </c>
    </row>
    <row r="1610" spans="1:14" x14ac:dyDescent="0.2">
      <c r="A1610" s="12">
        <v>1594</v>
      </c>
      <c r="B1610" s="13" t="str">
        <f t="shared" si="240"/>
        <v/>
      </c>
      <c r="C1610" s="13" t="str">
        <f t="shared" si="241"/>
        <v/>
      </c>
      <c r="D1610" s="13" t="str">
        <f t="shared" si="242"/>
        <v/>
      </c>
      <c r="E1610" s="14" t="str">
        <f t="shared" si="243"/>
        <v/>
      </c>
      <c r="F1610" s="14" t="str">
        <f t="shared" si="244"/>
        <v/>
      </c>
      <c r="G1610" s="14" t="str">
        <f t="shared" si="245"/>
        <v/>
      </c>
      <c r="H1610" s="14" t="str">
        <f t="shared" si="246"/>
        <v/>
      </c>
      <c r="I1610" s="15" t="str">
        <f t="shared" si="247"/>
        <v/>
      </c>
      <c r="J1610" s="15" t="str">
        <f t="shared" si="249"/>
        <v/>
      </c>
      <c r="K1610" s="16" t="str">
        <f t="shared" si="248"/>
        <v/>
      </c>
      <c r="M1610" t="str">
        <f>IFERROR(MATCH($C$5&amp;"|"&amp;RIGHT("000000"&amp;1594,6),CalcRankKeyA,0),"")</f>
        <v/>
      </c>
      <c r="N1610" t="str">
        <f>IFERROR(MATCH($C$5&amp;"|"&amp;RIGHT("000000"&amp;1594,6),CalcRankKeyB,0),"")</f>
        <v/>
      </c>
    </row>
    <row r="1611" spans="1:14" x14ac:dyDescent="0.2">
      <c r="A1611" s="7">
        <v>1595</v>
      </c>
      <c r="B1611" s="8" t="str">
        <f t="shared" si="240"/>
        <v/>
      </c>
      <c r="C1611" s="8" t="str">
        <f t="shared" si="241"/>
        <v/>
      </c>
      <c r="D1611" s="8" t="str">
        <f t="shared" si="242"/>
        <v/>
      </c>
      <c r="E1611" s="9" t="str">
        <f t="shared" si="243"/>
        <v/>
      </c>
      <c r="F1611" s="9" t="str">
        <f t="shared" si="244"/>
        <v/>
      </c>
      <c r="G1611" s="9" t="str">
        <f t="shared" si="245"/>
        <v/>
      </c>
      <c r="H1611" s="9" t="str">
        <f t="shared" si="246"/>
        <v/>
      </c>
      <c r="I1611" s="10" t="str">
        <f t="shared" si="247"/>
        <v/>
      </c>
      <c r="J1611" s="10" t="str">
        <f t="shared" si="249"/>
        <v/>
      </c>
      <c r="K1611" s="11" t="str">
        <f t="shared" si="248"/>
        <v/>
      </c>
      <c r="M1611" t="str">
        <f>IFERROR(MATCH($C$5&amp;"|"&amp;RIGHT("000000"&amp;1595,6),CalcRankKeyA,0),"")</f>
        <v/>
      </c>
      <c r="N1611" t="str">
        <f>IFERROR(MATCH($C$5&amp;"|"&amp;RIGHT("000000"&amp;1595,6),CalcRankKeyB,0),"")</f>
        <v/>
      </c>
    </row>
    <row r="1612" spans="1:14" x14ac:dyDescent="0.2">
      <c r="A1612" s="12">
        <v>1596</v>
      </c>
      <c r="B1612" s="13" t="str">
        <f t="shared" si="240"/>
        <v/>
      </c>
      <c r="C1612" s="13" t="str">
        <f t="shared" si="241"/>
        <v/>
      </c>
      <c r="D1612" s="13" t="str">
        <f t="shared" si="242"/>
        <v/>
      </c>
      <c r="E1612" s="14" t="str">
        <f t="shared" si="243"/>
        <v/>
      </c>
      <c r="F1612" s="14" t="str">
        <f t="shared" si="244"/>
        <v/>
      </c>
      <c r="G1612" s="14" t="str">
        <f t="shared" si="245"/>
        <v/>
      </c>
      <c r="H1612" s="14" t="str">
        <f t="shared" si="246"/>
        <v/>
      </c>
      <c r="I1612" s="15" t="str">
        <f t="shared" si="247"/>
        <v/>
      </c>
      <c r="J1612" s="15" t="str">
        <f t="shared" si="249"/>
        <v/>
      </c>
      <c r="K1612" s="16" t="str">
        <f t="shared" si="248"/>
        <v/>
      </c>
      <c r="M1612" t="str">
        <f>IFERROR(MATCH($C$5&amp;"|"&amp;RIGHT("000000"&amp;1596,6),CalcRankKeyA,0),"")</f>
        <v/>
      </c>
      <c r="N1612" t="str">
        <f>IFERROR(MATCH($C$5&amp;"|"&amp;RIGHT("000000"&amp;1596,6),CalcRankKeyB,0),"")</f>
        <v/>
      </c>
    </row>
    <row r="1613" spans="1:14" x14ac:dyDescent="0.2">
      <c r="A1613" s="7">
        <v>1597</v>
      </c>
      <c r="B1613" s="8" t="str">
        <f t="shared" si="240"/>
        <v/>
      </c>
      <c r="C1613" s="8" t="str">
        <f t="shared" si="241"/>
        <v/>
      </c>
      <c r="D1613" s="8" t="str">
        <f t="shared" si="242"/>
        <v/>
      </c>
      <c r="E1613" s="9" t="str">
        <f t="shared" si="243"/>
        <v/>
      </c>
      <c r="F1613" s="9" t="str">
        <f t="shared" si="244"/>
        <v/>
      </c>
      <c r="G1613" s="9" t="str">
        <f t="shared" si="245"/>
        <v/>
      </c>
      <c r="H1613" s="9" t="str">
        <f t="shared" si="246"/>
        <v/>
      </c>
      <c r="I1613" s="10" t="str">
        <f t="shared" si="247"/>
        <v/>
      </c>
      <c r="J1613" s="10" t="str">
        <f t="shared" si="249"/>
        <v/>
      </c>
      <c r="K1613" s="11" t="str">
        <f t="shared" si="248"/>
        <v/>
      </c>
      <c r="M1613" t="str">
        <f>IFERROR(MATCH($C$5&amp;"|"&amp;RIGHT("000000"&amp;1597,6),CalcRankKeyA,0),"")</f>
        <v/>
      </c>
      <c r="N1613" t="str">
        <f>IFERROR(MATCH($C$5&amp;"|"&amp;RIGHT("000000"&amp;1597,6),CalcRankKeyB,0),"")</f>
        <v/>
      </c>
    </row>
    <row r="1614" spans="1:14" x14ac:dyDescent="0.2">
      <c r="A1614" s="12">
        <v>1598</v>
      </c>
      <c r="B1614" s="13" t="str">
        <f t="shared" si="240"/>
        <v/>
      </c>
      <c r="C1614" s="13" t="str">
        <f t="shared" si="241"/>
        <v/>
      </c>
      <c r="D1614" s="13" t="str">
        <f t="shared" si="242"/>
        <v/>
      </c>
      <c r="E1614" s="14" t="str">
        <f t="shared" si="243"/>
        <v/>
      </c>
      <c r="F1614" s="14" t="str">
        <f t="shared" si="244"/>
        <v/>
      </c>
      <c r="G1614" s="14" t="str">
        <f t="shared" si="245"/>
        <v/>
      </c>
      <c r="H1614" s="14" t="str">
        <f t="shared" si="246"/>
        <v/>
      </c>
      <c r="I1614" s="15" t="str">
        <f t="shared" si="247"/>
        <v/>
      </c>
      <c r="J1614" s="15" t="str">
        <f t="shared" si="249"/>
        <v/>
      </c>
      <c r="K1614" s="16" t="str">
        <f t="shared" si="248"/>
        <v/>
      </c>
      <c r="M1614" t="str">
        <f>IFERROR(MATCH($C$5&amp;"|"&amp;RIGHT("000000"&amp;1598,6),CalcRankKeyA,0),"")</f>
        <v/>
      </c>
      <c r="N1614" t="str">
        <f>IFERROR(MATCH($C$5&amp;"|"&amp;RIGHT("000000"&amp;1598,6),CalcRankKeyB,0),"")</f>
        <v/>
      </c>
    </row>
    <row r="1615" spans="1:14" x14ac:dyDescent="0.2">
      <c r="A1615" s="7">
        <v>1599</v>
      </c>
      <c r="B1615" s="8" t="str">
        <f t="shared" si="240"/>
        <v/>
      </c>
      <c r="C1615" s="8" t="str">
        <f t="shared" si="241"/>
        <v/>
      </c>
      <c r="D1615" s="8" t="str">
        <f t="shared" si="242"/>
        <v/>
      </c>
      <c r="E1615" s="9" t="str">
        <f t="shared" si="243"/>
        <v/>
      </c>
      <c r="F1615" s="9" t="str">
        <f t="shared" si="244"/>
        <v/>
      </c>
      <c r="G1615" s="9" t="str">
        <f t="shared" si="245"/>
        <v/>
      </c>
      <c r="H1615" s="9" t="str">
        <f t="shared" si="246"/>
        <v/>
      </c>
      <c r="I1615" s="10" t="str">
        <f t="shared" si="247"/>
        <v/>
      </c>
      <c r="J1615" s="10" t="str">
        <f t="shared" si="249"/>
        <v/>
      </c>
      <c r="K1615" s="11" t="str">
        <f t="shared" si="248"/>
        <v/>
      </c>
      <c r="M1615" t="str">
        <f>IFERROR(MATCH($C$5&amp;"|"&amp;RIGHT("000000"&amp;1599,6),CalcRankKeyA,0),"")</f>
        <v/>
      </c>
      <c r="N1615" t="str">
        <f>IFERROR(MATCH($C$5&amp;"|"&amp;RIGHT("000000"&amp;1599,6),CalcRankKeyB,0),"")</f>
        <v/>
      </c>
    </row>
    <row r="1616" spans="1:14" x14ac:dyDescent="0.2">
      <c r="A1616" s="12">
        <v>1600</v>
      </c>
      <c r="B1616" s="13" t="str">
        <f t="shared" si="240"/>
        <v/>
      </c>
      <c r="C1616" s="13" t="str">
        <f t="shared" si="241"/>
        <v/>
      </c>
      <c r="D1616" s="13" t="str">
        <f t="shared" si="242"/>
        <v/>
      </c>
      <c r="E1616" s="14" t="str">
        <f t="shared" si="243"/>
        <v/>
      </c>
      <c r="F1616" s="14" t="str">
        <f t="shared" si="244"/>
        <v/>
      </c>
      <c r="G1616" s="14" t="str">
        <f t="shared" si="245"/>
        <v/>
      </c>
      <c r="H1616" s="14" t="str">
        <f t="shared" si="246"/>
        <v/>
      </c>
      <c r="I1616" s="15" t="str">
        <f t="shared" si="247"/>
        <v/>
      </c>
      <c r="J1616" s="15" t="str">
        <f t="shared" si="249"/>
        <v/>
      </c>
      <c r="K1616" s="16" t="str">
        <f t="shared" si="248"/>
        <v/>
      </c>
      <c r="M1616" t="str">
        <f>IFERROR(MATCH($C$5&amp;"|"&amp;RIGHT("000000"&amp;1600,6),CalcRankKeyA,0),"")</f>
        <v/>
      </c>
      <c r="N1616" t="str">
        <f>IFERROR(MATCH($C$5&amp;"|"&amp;RIGHT("000000"&amp;1600,6),CalcRankKeyB,0),"")</f>
        <v/>
      </c>
    </row>
    <row r="1617" spans="1:14" x14ac:dyDescent="0.2">
      <c r="A1617" s="7">
        <v>1601</v>
      </c>
      <c r="B1617" s="8" t="str">
        <f t="shared" ref="B1617:B1680" si="250">IF(AND($M1617="",$N1617=""),"",IF($M1617&lt;&gt;"",INDEX(CalcDateA,$M1617),INDEX(CalcDateB,$N1617)))</f>
        <v/>
      </c>
      <c r="C1617" s="8" t="str">
        <f t="shared" ref="C1617:C1680" si="251">IF($M1617&lt;&gt;"","خرید سبد",IF($N1617&lt;&gt;"",IF(N(INDEX(CalcDepB,$N1617))&gt;0,"دریافت بانکی","پرداخت بانکی"),""))</f>
        <v/>
      </c>
      <c r="D1617" s="8" t="str">
        <f t="shared" ref="D1617:D1680" si="252">IF($M1617&lt;&gt;"",IF(INDEX(CalcDocA,$M1617)="","—",INDEX(CalcDocA,$M1617)),IF($N1617&lt;&gt;"",INDEX(CalcBankB,$N1617),""))</f>
        <v/>
      </c>
      <c r="E1617" s="9" t="str">
        <f t="shared" ref="E1617:E1680" si="253">IF($N1617&lt;&gt;"",IF(INDEX(CalcDepB,$N1617)=0,"",INDEX(CalcDepB,$N1617)),"")</f>
        <v/>
      </c>
      <c r="F1617" s="9" t="str">
        <f t="shared" ref="F1617:F1680" si="254">IF($M1617&lt;&gt;"",IF(INDEX(CalcQtyA,$M1617)=0,"",INDEX(CalcQtyA,$M1617)),"")</f>
        <v/>
      </c>
      <c r="G1617" s="9" t="str">
        <f t="shared" ref="G1617:G1680" si="255">IF($M1617&lt;&gt;"",IF(INDEX(CalcPriceA,$M1617)=0,"",INDEX(CalcPriceA,$M1617)),"")</f>
        <v/>
      </c>
      <c r="H1617" s="9" t="str">
        <f t="shared" ref="H1617:H1680" si="256">IF($N1617&lt;&gt;"",IF(INDEX(CalcWitB,$N1617)=0,"",INDEX(CalcWitB,$N1617)),"")</f>
        <v/>
      </c>
      <c r="I1617" s="10" t="str">
        <f t="shared" ref="I1617:I1680" si="257">IF($M1617&lt;&gt;"",INDEX(CalcAmtA,$M1617),"")</f>
        <v/>
      </c>
      <c r="J1617" s="10" t="str">
        <f t="shared" si="249"/>
        <v/>
      </c>
      <c r="K1617" s="11" t="str">
        <f t="shared" ref="K1617:K1680" si="258">IF($M1617&lt;&gt;"",IF(INDEX(CalcNoteA,$M1617)="","—",INDEX(CalcNoteA,$M1617)),IF($N1617&lt;&gt;"",IF(INDEX(CalcNoteB,$N1617)="","—",INDEX(CalcNoteB,$N1617)),""))</f>
        <v/>
      </c>
      <c r="M1617" t="str">
        <f>IFERROR(MATCH($C$5&amp;"|"&amp;RIGHT("000000"&amp;1601,6),CalcRankKeyA,0),"")</f>
        <v/>
      </c>
      <c r="N1617" t="str">
        <f>IFERROR(MATCH($C$5&amp;"|"&amp;RIGHT("000000"&amp;1601,6),CalcRankKeyB,0),"")</f>
        <v/>
      </c>
    </row>
    <row r="1618" spans="1:14" x14ac:dyDescent="0.2">
      <c r="A1618" s="12">
        <v>1602</v>
      </c>
      <c r="B1618" s="13" t="str">
        <f t="shared" si="250"/>
        <v/>
      </c>
      <c r="C1618" s="13" t="str">
        <f t="shared" si="251"/>
        <v/>
      </c>
      <c r="D1618" s="13" t="str">
        <f t="shared" si="252"/>
        <v/>
      </c>
      <c r="E1618" s="14" t="str">
        <f t="shared" si="253"/>
        <v/>
      </c>
      <c r="F1618" s="14" t="str">
        <f t="shared" si="254"/>
        <v/>
      </c>
      <c r="G1618" s="14" t="str">
        <f t="shared" si="255"/>
        <v/>
      </c>
      <c r="H1618" s="14" t="str">
        <f t="shared" si="256"/>
        <v/>
      </c>
      <c r="I1618" s="15" t="str">
        <f t="shared" si="257"/>
        <v/>
      </c>
      <c r="J1618" s="15" t="str">
        <f t="shared" ref="J1618:J1681" si="259">IF($B1618="","",IF($J1617="",$C$8,$J1617)+IF($I1618="",0,$I1618)+IF($E1618="",0,$E1618)-IF($H1618="",0,$H1618))</f>
        <v/>
      </c>
      <c r="K1618" s="16" t="str">
        <f t="shared" si="258"/>
        <v/>
      </c>
      <c r="M1618" t="str">
        <f>IFERROR(MATCH($C$5&amp;"|"&amp;RIGHT("000000"&amp;1602,6),CalcRankKeyA,0),"")</f>
        <v/>
      </c>
      <c r="N1618" t="str">
        <f>IFERROR(MATCH($C$5&amp;"|"&amp;RIGHT("000000"&amp;1602,6),CalcRankKeyB,0),"")</f>
        <v/>
      </c>
    </row>
    <row r="1619" spans="1:14" x14ac:dyDescent="0.2">
      <c r="A1619" s="7">
        <v>1603</v>
      </c>
      <c r="B1619" s="8" t="str">
        <f t="shared" si="250"/>
        <v/>
      </c>
      <c r="C1619" s="8" t="str">
        <f t="shared" si="251"/>
        <v/>
      </c>
      <c r="D1619" s="8" t="str">
        <f t="shared" si="252"/>
        <v/>
      </c>
      <c r="E1619" s="9" t="str">
        <f t="shared" si="253"/>
        <v/>
      </c>
      <c r="F1619" s="9" t="str">
        <f t="shared" si="254"/>
        <v/>
      </c>
      <c r="G1619" s="9" t="str">
        <f t="shared" si="255"/>
        <v/>
      </c>
      <c r="H1619" s="9" t="str">
        <f t="shared" si="256"/>
        <v/>
      </c>
      <c r="I1619" s="10" t="str">
        <f t="shared" si="257"/>
        <v/>
      </c>
      <c r="J1619" s="10" t="str">
        <f t="shared" si="259"/>
        <v/>
      </c>
      <c r="K1619" s="11" t="str">
        <f t="shared" si="258"/>
        <v/>
      </c>
      <c r="M1619" t="str">
        <f>IFERROR(MATCH($C$5&amp;"|"&amp;RIGHT("000000"&amp;1603,6),CalcRankKeyA,0),"")</f>
        <v/>
      </c>
      <c r="N1619" t="str">
        <f>IFERROR(MATCH($C$5&amp;"|"&amp;RIGHT("000000"&amp;1603,6),CalcRankKeyB,0),"")</f>
        <v/>
      </c>
    </row>
    <row r="1620" spans="1:14" x14ac:dyDescent="0.2">
      <c r="A1620" s="12">
        <v>1604</v>
      </c>
      <c r="B1620" s="13" t="str">
        <f t="shared" si="250"/>
        <v/>
      </c>
      <c r="C1620" s="13" t="str">
        <f t="shared" si="251"/>
        <v/>
      </c>
      <c r="D1620" s="13" t="str">
        <f t="shared" si="252"/>
        <v/>
      </c>
      <c r="E1620" s="14" t="str">
        <f t="shared" si="253"/>
        <v/>
      </c>
      <c r="F1620" s="14" t="str">
        <f t="shared" si="254"/>
        <v/>
      </c>
      <c r="G1620" s="14" t="str">
        <f t="shared" si="255"/>
        <v/>
      </c>
      <c r="H1620" s="14" t="str">
        <f t="shared" si="256"/>
        <v/>
      </c>
      <c r="I1620" s="15" t="str">
        <f t="shared" si="257"/>
        <v/>
      </c>
      <c r="J1620" s="15" t="str">
        <f t="shared" si="259"/>
        <v/>
      </c>
      <c r="K1620" s="16" t="str">
        <f t="shared" si="258"/>
        <v/>
      </c>
      <c r="M1620" t="str">
        <f>IFERROR(MATCH($C$5&amp;"|"&amp;RIGHT("000000"&amp;1604,6),CalcRankKeyA,0),"")</f>
        <v/>
      </c>
      <c r="N1620" t="str">
        <f>IFERROR(MATCH($C$5&amp;"|"&amp;RIGHT("000000"&amp;1604,6),CalcRankKeyB,0),"")</f>
        <v/>
      </c>
    </row>
    <row r="1621" spans="1:14" x14ac:dyDescent="0.2">
      <c r="A1621" s="7">
        <v>1605</v>
      </c>
      <c r="B1621" s="8" t="str">
        <f t="shared" si="250"/>
        <v/>
      </c>
      <c r="C1621" s="8" t="str">
        <f t="shared" si="251"/>
        <v/>
      </c>
      <c r="D1621" s="8" t="str">
        <f t="shared" si="252"/>
        <v/>
      </c>
      <c r="E1621" s="9" t="str">
        <f t="shared" si="253"/>
        <v/>
      </c>
      <c r="F1621" s="9" t="str">
        <f t="shared" si="254"/>
        <v/>
      </c>
      <c r="G1621" s="9" t="str">
        <f t="shared" si="255"/>
        <v/>
      </c>
      <c r="H1621" s="9" t="str">
        <f t="shared" si="256"/>
        <v/>
      </c>
      <c r="I1621" s="10" t="str">
        <f t="shared" si="257"/>
        <v/>
      </c>
      <c r="J1621" s="10" t="str">
        <f t="shared" si="259"/>
        <v/>
      </c>
      <c r="K1621" s="11" t="str">
        <f t="shared" si="258"/>
        <v/>
      </c>
      <c r="M1621" t="str">
        <f>IFERROR(MATCH($C$5&amp;"|"&amp;RIGHT("000000"&amp;1605,6),CalcRankKeyA,0),"")</f>
        <v/>
      </c>
      <c r="N1621" t="str">
        <f>IFERROR(MATCH($C$5&amp;"|"&amp;RIGHT("000000"&amp;1605,6),CalcRankKeyB,0),"")</f>
        <v/>
      </c>
    </row>
    <row r="1622" spans="1:14" x14ac:dyDescent="0.2">
      <c r="A1622" s="12">
        <v>1606</v>
      </c>
      <c r="B1622" s="13" t="str">
        <f t="shared" si="250"/>
        <v/>
      </c>
      <c r="C1622" s="13" t="str">
        <f t="shared" si="251"/>
        <v/>
      </c>
      <c r="D1622" s="13" t="str">
        <f t="shared" si="252"/>
        <v/>
      </c>
      <c r="E1622" s="14" t="str">
        <f t="shared" si="253"/>
        <v/>
      </c>
      <c r="F1622" s="14" t="str">
        <f t="shared" si="254"/>
        <v/>
      </c>
      <c r="G1622" s="14" t="str">
        <f t="shared" si="255"/>
        <v/>
      </c>
      <c r="H1622" s="14" t="str">
        <f t="shared" si="256"/>
        <v/>
      </c>
      <c r="I1622" s="15" t="str">
        <f t="shared" si="257"/>
        <v/>
      </c>
      <c r="J1622" s="15" t="str">
        <f t="shared" si="259"/>
        <v/>
      </c>
      <c r="K1622" s="16" t="str">
        <f t="shared" si="258"/>
        <v/>
      </c>
      <c r="M1622" t="str">
        <f>IFERROR(MATCH($C$5&amp;"|"&amp;RIGHT("000000"&amp;1606,6),CalcRankKeyA,0),"")</f>
        <v/>
      </c>
      <c r="N1622" t="str">
        <f>IFERROR(MATCH($C$5&amp;"|"&amp;RIGHT("000000"&amp;1606,6),CalcRankKeyB,0),"")</f>
        <v/>
      </c>
    </row>
    <row r="1623" spans="1:14" x14ac:dyDescent="0.2">
      <c r="A1623" s="7">
        <v>1607</v>
      </c>
      <c r="B1623" s="8" t="str">
        <f t="shared" si="250"/>
        <v/>
      </c>
      <c r="C1623" s="8" t="str">
        <f t="shared" si="251"/>
        <v/>
      </c>
      <c r="D1623" s="8" t="str">
        <f t="shared" si="252"/>
        <v/>
      </c>
      <c r="E1623" s="9" t="str">
        <f t="shared" si="253"/>
        <v/>
      </c>
      <c r="F1623" s="9" t="str">
        <f t="shared" si="254"/>
        <v/>
      </c>
      <c r="G1623" s="9" t="str">
        <f t="shared" si="255"/>
        <v/>
      </c>
      <c r="H1623" s="9" t="str">
        <f t="shared" si="256"/>
        <v/>
      </c>
      <c r="I1623" s="10" t="str">
        <f t="shared" si="257"/>
        <v/>
      </c>
      <c r="J1623" s="10" t="str">
        <f t="shared" si="259"/>
        <v/>
      </c>
      <c r="K1623" s="11" t="str">
        <f t="shared" si="258"/>
        <v/>
      </c>
      <c r="M1623" t="str">
        <f>IFERROR(MATCH($C$5&amp;"|"&amp;RIGHT("000000"&amp;1607,6),CalcRankKeyA,0),"")</f>
        <v/>
      </c>
      <c r="N1623" t="str">
        <f>IFERROR(MATCH($C$5&amp;"|"&amp;RIGHT("000000"&amp;1607,6),CalcRankKeyB,0),"")</f>
        <v/>
      </c>
    </row>
    <row r="1624" spans="1:14" x14ac:dyDescent="0.2">
      <c r="A1624" s="12">
        <v>1608</v>
      </c>
      <c r="B1624" s="13" t="str">
        <f t="shared" si="250"/>
        <v/>
      </c>
      <c r="C1624" s="13" t="str">
        <f t="shared" si="251"/>
        <v/>
      </c>
      <c r="D1624" s="13" t="str">
        <f t="shared" si="252"/>
        <v/>
      </c>
      <c r="E1624" s="14" t="str">
        <f t="shared" si="253"/>
        <v/>
      </c>
      <c r="F1624" s="14" t="str">
        <f t="shared" si="254"/>
        <v/>
      </c>
      <c r="G1624" s="14" t="str">
        <f t="shared" si="255"/>
        <v/>
      </c>
      <c r="H1624" s="14" t="str">
        <f t="shared" si="256"/>
        <v/>
      </c>
      <c r="I1624" s="15" t="str">
        <f t="shared" si="257"/>
        <v/>
      </c>
      <c r="J1624" s="15" t="str">
        <f t="shared" si="259"/>
        <v/>
      </c>
      <c r="K1624" s="16" t="str">
        <f t="shared" si="258"/>
        <v/>
      </c>
      <c r="M1624" t="str">
        <f>IFERROR(MATCH($C$5&amp;"|"&amp;RIGHT("000000"&amp;1608,6),CalcRankKeyA,0),"")</f>
        <v/>
      </c>
      <c r="N1624" t="str">
        <f>IFERROR(MATCH($C$5&amp;"|"&amp;RIGHT("000000"&amp;1608,6),CalcRankKeyB,0),"")</f>
        <v/>
      </c>
    </row>
    <row r="1625" spans="1:14" x14ac:dyDescent="0.2">
      <c r="A1625" s="7">
        <v>1609</v>
      </c>
      <c r="B1625" s="8" t="str">
        <f t="shared" si="250"/>
        <v/>
      </c>
      <c r="C1625" s="8" t="str">
        <f t="shared" si="251"/>
        <v/>
      </c>
      <c r="D1625" s="8" t="str">
        <f t="shared" si="252"/>
        <v/>
      </c>
      <c r="E1625" s="9" t="str">
        <f t="shared" si="253"/>
        <v/>
      </c>
      <c r="F1625" s="9" t="str">
        <f t="shared" si="254"/>
        <v/>
      </c>
      <c r="G1625" s="9" t="str">
        <f t="shared" si="255"/>
        <v/>
      </c>
      <c r="H1625" s="9" t="str">
        <f t="shared" si="256"/>
        <v/>
      </c>
      <c r="I1625" s="10" t="str">
        <f t="shared" si="257"/>
        <v/>
      </c>
      <c r="J1625" s="10" t="str">
        <f t="shared" si="259"/>
        <v/>
      </c>
      <c r="K1625" s="11" t="str">
        <f t="shared" si="258"/>
        <v/>
      </c>
      <c r="M1625" t="str">
        <f>IFERROR(MATCH($C$5&amp;"|"&amp;RIGHT("000000"&amp;1609,6),CalcRankKeyA,0),"")</f>
        <v/>
      </c>
      <c r="N1625" t="str">
        <f>IFERROR(MATCH($C$5&amp;"|"&amp;RIGHT("000000"&amp;1609,6),CalcRankKeyB,0),"")</f>
        <v/>
      </c>
    </row>
    <row r="1626" spans="1:14" x14ac:dyDescent="0.2">
      <c r="A1626" s="12">
        <v>1610</v>
      </c>
      <c r="B1626" s="13" t="str">
        <f t="shared" si="250"/>
        <v/>
      </c>
      <c r="C1626" s="13" t="str">
        <f t="shared" si="251"/>
        <v/>
      </c>
      <c r="D1626" s="13" t="str">
        <f t="shared" si="252"/>
        <v/>
      </c>
      <c r="E1626" s="14" t="str">
        <f t="shared" si="253"/>
        <v/>
      </c>
      <c r="F1626" s="14" t="str">
        <f t="shared" si="254"/>
        <v/>
      </c>
      <c r="G1626" s="14" t="str">
        <f t="shared" si="255"/>
        <v/>
      </c>
      <c r="H1626" s="14" t="str">
        <f t="shared" si="256"/>
        <v/>
      </c>
      <c r="I1626" s="15" t="str">
        <f t="shared" si="257"/>
        <v/>
      </c>
      <c r="J1626" s="15" t="str">
        <f t="shared" si="259"/>
        <v/>
      </c>
      <c r="K1626" s="16" t="str">
        <f t="shared" si="258"/>
        <v/>
      </c>
      <c r="M1626" t="str">
        <f>IFERROR(MATCH($C$5&amp;"|"&amp;RIGHT("000000"&amp;1610,6),CalcRankKeyA,0),"")</f>
        <v/>
      </c>
      <c r="N1626" t="str">
        <f>IFERROR(MATCH($C$5&amp;"|"&amp;RIGHT("000000"&amp;1610,6),CalcRankKeyB,0),"")</f>
        <v/>
      </c>
    </row>
    <row r="1627" spans="1:14" x14ac:dyDescent="0.2">
      <c r="A1627" s="7">
        <v>1611</v>
      </c>
      <c r="B1627" s="8" t="str">
        <f t="shared" si="250"/>
        <v/>
      </c>
      <c r="C1627" s="8" t="str">
        <f t="shared" si="251"/>
        <v/>
      </c>
      <c r="D1627" s="8" t="str">
        <f t="shared" si="252"/>
        <v/>
      </c>
      <c r="E1627" s="9" t="str">
        <f t="shared" si="253"/>
        <v/>
      </c>
      <c r="F1627" s="9" t="str">
        <f t="shared" si="254"/>
        <v/>
      </c>
      <c r="G1627" s="9" t="str">
        <f t="shared" si="255"/>
        <v/>
      </c>
      <c r="H1627" s="9" t="str">
        <f t="shared" si="256"/>
        <v/>
      </c>
      <c r="I1627" s="10" t="str">
        <f t="shared" si="257"/>
        <v/>
      </c>
      <c r="J1627" s="10" t="str">
        <f t="shared" si="259"/>
        <v/>
      </c>
      <c r="K1627" s="11" t="str">
        <f t="shared" si="258"/>
        <v/>
      </c>
      <c r="M1627" t="str">
        <f>IFERROR(MATCH($C$5&amp;"|"&amp;RIGHT("000000"&amp;1611,6),CalcRankKeyA,0),"")</f>
        <v/>
      </c>
      <c r="N1627" t="str">
        <f>IFERROR(MATCH($C$5&amp;"|"&amp;RIGHT("000000"&amp;1611,6),CalcRankKeyB,0),"")</f>
        <v/>
      </c>
    </row>
    <row r="1628" spans="1:14" x14ac:dyDescent="0.2">
      <c r="A1628" s="12">
        <v>1612</v>
      </c>
      <c r="B1628" s="13" t="str">
        <f t="shared" si="250"/>
        <v/>
      </c>
      <c r="C1628" s="13" t="str">
        <f t="shared" si="251"/>
        <v/>
      </c>
      <c r="D1628" s="13" t="str">
        <f t="shared" si="252"/>
        <v/>
      </c>
      <c r="E1628" s="14" t="str">
        <f t="shared" si="253"/>
        <v/>
      </c>
      <c r="F1628" s="14" t="str">
        <f t="shared" si="254"/>
        <v/>
      </c>
      <c r="G1628" s="14" t="str">
        <f t="shared" si="255"/>
        <v/>
      </c>
      <c r="H1628" s="14" t="str">
        <f t="shared" si="256"/>
        <v/>
      </c>
      <c r="I1628" s="15" t="str">
        <f t="shared" si="257"/>
        <v/>
      </c>
      <c r="J1628" s="15" t="str">
        <f t="shared" si="259"/>
        <v/>
      </c>
      <c r="K1628" s="16" t="str">
        <f t="shared" si="258"/>
        <v/>
      </c>
      <c r="M1628" t="str">
        <f>IFERROR(MATCH($C$5&amp;"|"&amp;RIGHT("000000"&amp;1612,6),CalcRankKeyA,0),"")</f>
        <v/>
      </c>
      <c r="N1628" t="str">
        <f>IFERROR(MATCH($C$5&amp;"|"&amp;RIGHT("000000"&amp;1612,6),CalcRankKeyB,0),"")</f>
        <v/>
      </c>
    </row>
    <row r="1629" spans="1:14" x14ac:dyDescent="0.2">
      <c r="A1629" s="7">
        <v>1613</v>
      </c>
      <c r="B1629" s="8" t="str">
        <f t="shared" si="250"/>
        <v/>
      </c>
      <c r="C1629" s="8" t="str">
        <f t="shared" si="251"/>
        <v/>
      </c>
      <c r="D1629" s="8" t="str">
        <f t="shared" si="252"/>
        <v/>
      </c>
      <c r="E1629" s="9" t="str">
        <f t="shared" si="253"/>
        <v/>
      </c>
      <c r="F1629" s="9" t="str">
        <f t="shared" si="254"/>
        <v/>
      </c>
      <c r="G1629" s="9" t="str">
        <f t="shared" si="255"/>
        <v/>
      </c>
      <c r="H1629" s="9" t="str">
        <f t="shared" si="256"/>
        <v/>
      </c>
      <c r="I1629" s="10" t="str">
        <f t="shared" si="257"/>
        <v/>
      </c>
      <c r="J1629" s="10" t="str">
        <f t="shared" si="259"/>
        <v/>
      </c>
      <c r="K1629" s="11" t="str">
        <f t="shared" si="258"/>
        <v/>
      </c>
      <c r="M1629" t="str">
        <f>IFERROR(MATCH($C$5&amp;"|"&amp;RIGHT("000000"&amp;1613,6),CalcRankKeyA,0),"")</f>
        <v/>
      </c>
      <c r="N1629" t="str">
        <f>IFERROR(MATCH($C$5&amp;"|"&amp;RIGHT("000000"&amp;1613,6),CalcRankKeyB,0),"")</f>
        <v/>
      </c>
    </row>
    <row r="1630" spans="1:14" x14ac:dyDescent="0.2">
      <c r="A1630" s="12">
        <v>1614</v>
      </c>
      <c r="B1630" s="13" t="str">
        <f t="shared" si="250"/>
        <v/>
      </c>
      <c r="C1630" s="13" t="str">
        <f t="shared" si="251"/>
        <v/>
      </c>
      <c r="D1630" s="13" t="str">
        <f t="shared" si="252"/>
        <v/>
      </c>
      <c r="E1630" s="14" t="str">
        <f t="shared" si="253"/>
        <v/>
      </c>
      <c r="F1630" s="14" t="str">
        <f t="shared" si="254"/>
        <v/>
      </c>
      <c r="G1630" s="14" t="str">
        <f t="shared" si="255"/>
        <v/>
      </c>
      <c r="H1630" s="14" t="str">
        <f t="shared" si="256"/>
        <v/>
      </c>
      <c r="I1630" s="15" t="str">
        <f t="shared" si="257"/>
        <v/>
      </c>
      <c r="J1630" s="15" t="str">
        <f t="shared" si="259"/>
        <v/>
      </c>
      <c r="K1630" s="16" t="str">
        <f t="shared" si="258"/>
        <v/>
      </c>
      <c r="M1630" t="str">
        <f>IFERROR(MATCH($C$5&amp;"|"&amp;RIGHT("000000"&amp;1614,6),CalcRankKeyA,0),"")</f>
        <v/>
      </c>
      <c r="N1630" t="str">
        <f>IFERROR(MATCH($C$5&amp;"|"&amp;RIGHT("000000"&amp;1614,6),CalcRankKeyB,0),"")</f>
        <v/>
      </c>
    </row>
    <row r="1631" spans="1:14" x14ac:dyDescent="0.2">
      <c r="A1631" s="7">
        <v>1615</v>
      </c>
      <c r="B1631" s="8" t="str">
        <f t="shared" si="250"/>
        <v/>
      </c>
      <c r="C1631" s="8" t="str">
        <f t="shared" si="251"/>
        <v/>
      </c>
      <c r="D1631" s="8" t="str">
        <f t="shared" si="252"/>
        <v/>
      </c>
      <c r="E1631" s="9" t="str">
        <f t="shared" si="253"/>
        <v/>
      </c>
      <c r="F1631" s="9" t="str">
        <f t="shared" si="254"/>
        <v/>
      </c>
      <c r="G1631" s="9" t="str">
        <f t="shared" si="255"/>
        <v/>
      </c>
      <c r="H1631" s="9" t="str">
        <f t="shared" si="256"/>
        <v/>
      </c>
      <c r="I1631" s="10" t="str">
        <f t="shared" si="257"/>
        <v/>
      </c>
      <c r="J1631" s="10" t="str">
        <f t="shared" si="259"/>
        <v/>
      </c>
      <c r="K1631" s="11" t="str">
        <f t="shared" si="258"/>
        <v/>
      </c>
      <c r="M1631" t="str">
        <f>IFERROR(MATCH($C$5&amp;"|"&amp;RIGHT("000000"&amp;1615,6),CalcRankKeyA,0),"")</f>
        <v/>
      </c>
      <c r="N1631" t="str">
        <f>IFERROR(MATCH($C$5&amp;"|"&amp;RIGHT("000000"&amp;1615,6),CalcRankKeyB,0),"")</f>
        <v/>
      </c>
    </row>
    <row r="1632" spans="1:14" x14ac:dyDescent="0.2">
      <c r="A1632" s="12">
        <v>1616</v>
      </c>
      <c r="B1632" s="13" t="str">
        <f t="shared" si="250"/>
        <v/>
      </c>
      <c r="C1632" s="13" t="str">
        <f t="shared" si="251"/>
        <v/>
      </c>
      <c r="D1632" s="13" t="str">
        <f t="shared" si="252"/>
        <v/>
      </c>
      <c r="E1632" s="14" t="str">
        <f t="shared" si="253"/>
        <v/>
      </c>
      <c r="F1632" s="14" t="str">
        <f t="shared" si="254"/>
        <v/>
      </c>
      <c r="G1632" s="14" t="str">
        <f t="shared" si="255"/>
        <v/>
      </c>
      <c r="H1632" s="14" t="str">
        <f t="shared" si="256"/>
        <v/>
      </c>
      <c r="I1632" s="15" t="str">
        <f t="shared" si="257"/>
        <v/>
      </c>
      <c r="J1632" s="15" t="str">
        <f t="shared" si="259"/>
        <v/>
      </c>
      <c r="K1632" s="16" t="str">
        <f t="shared" si="258"/>
        <v/>
      </c>
      <c r="M1632" t="str">
        <f>IFERROR(MATCH($C$5&amp;"|"&amp;RIGHT("000000"&amp;1616,6),CalcRankKeyA,0),"")</f>
        <v/>
      </c>
      <c r="N1632" t="str">
        <f>IFERROR(MATCH($C$5&amp;"|"&amp;RIGHT("000000"&amp;1616,6),CalcRankKeyB,0),"")</f>
        <v/>
      </c>
    </row>
    <row r="1633" spans="1:14" x14ac:dyDescent="0.2">
      <c r="A1633" s="7">
        <v>1617</v>
      </c>
      <c r="B1633" s="8" t="str">
        <f t="shared" si="250"/>
        <v/>
      </c>
      <c r="C1633" s="8" t="str">
        <f t="shared" si="251"/>
        <v/>
      </c>
      <c r="D1633" s="8" t="str">
        <f t="shared" si="252"/>
        <v/>
      </c>
      <c r="E1633" s="9" t="str">
        <f t="shared" si="253"/>
        <v/>
      </c>
      <c r="F1633" s="9" t="str">
        <f t="shared" si="254"/>
        <v/>
      </c>
      <c r="G1633" s="9" t="str">
        <f t="shared" si="255"/>
        <v/>
      </c>
      <c r="H1633" s="9" t="str">
        <f t="shared" si="256"/>
        <v/>
      </c>
      <c r="I1633" s="10" t="str">
        <f t="shared" si="257"/>
        <v/>
      </c>
      <c r="J1633" s="10" t="str">
        <f t="shared" si="259"/>
        <v/>
      </c>
      <c r="K1633" s="11" t="str">
        <f t="shared" si="258"/>
        <v/>
      </c>
      <c r="M1633" t="str">
        <f>IFERROR(MATCH($C$5&amp;"|"&amp;RIGHT("000000"&amp;1617,6),CalcRankKeyA,0),"")</f>
        <v/>
      </c>
      <c r="N1633" t="str">
        <f>IFERROR(MATCH($C$5&amp;"|"&amp;RIGHT("000000"&amp;1617,6),CalcRankKeyB,0),"")</f>
        <v/>
      </c>
    </row>
    <row r="1634" spans="1:14" x14ac:dyDescent="0.2">
      <c r="A1634" s="12">
        <v>1618</v>
      </c>
      <c r="B1634" s="13" t="str">
        <f t="shared" si="250"/>
        <v/>
      </c>
      <c r="C1634" s="13" t="str">
        <f t="shared" si="251"/>
        <v/>
      </c>
      <c r="D1634" s="13" t="str">
        <f t="shared" si="252"/>
        <v/>
      </c>
      <c r="E1634" s="14" t="str">
        <f t="shared" si="253"/>
        <v/>
      </c>
      <c r="F1634" s="14" t="str">
        <f t="shared" si="254"/>
        <v/>
      </c>
      <c r="G1634" s="14" t="str">
        <f t="shared" si="255"/>
        <v/>
      </c>
      <c r="H1634" s="14" t="str">
        <f t="shared" si="256"/>
        <v/>
      </c>
      <c r="I1634" s="15" t="str">
        <f t="shared" si="257"/>
        <v/>
      </c>
      <c r="J1634" s="15" t="str">
        <f t="shared" si="259"/>
        <v/>
      </c>
      <c r="K1634" s="16" t="str">
        <f t="shared" si="258"/>
        <v/>
      </c>
      <c r="M1634" t="str">
        <f>IFERROR(MATCH($C$5&amp;"|"&amp;RIGHT("000000"&amp;1618,6),CalcRankKeyA,0),"")</f>
        <v/>
      </c>
      <c r="N1634" t="str">
        <f>IFERROR(MATCH($C$5&amp;"|"&amp;RIGHT("000000"&amp;1618,6),CalcRankKeyB,0),"")</f>
        <v/>
      </c>
    </row>
    <row r="1635" spans="1:14" x14ac:dyDescent="0.2">
      <c r="A1635" s="7">
        <v>1619</v>
      </c>
      <c r="B1635" s="8" t="str">
        <f t="shared" si="250"/>
        <v/>
      </c>
      <c r="C1635" s="8" t="str">
        <f t="shared" si="251"/>
        <v/>
      </c>
      <c r="D1635" s="8" t="str">
        <f t="shared" si="252"/>
        <v/>
      </c>
      <c r="E1635" s="9" t="str">
        <f t="shared" si="253"/>
        <v/>
      </c>
      <c r="F1635" s="9" t="str">
        <f t="shared" si="254"/>
        <v/>
      </c>
      <c r="G1635" s="9" t="str">
        <f t="shared" si="255"/>
        <v/>
      </c>
      <c r="H1635" s="9" t="str">
        <f t="shared" si="256"/>
        <v/>
      </c>
      <c r="I1635" s="10" t="str">
        <f t="shared" si="257"/>
        <v/>
      </c>
      <c r="J1635" s="10" t="str">
        <f t="shared" si="259"/>
        <v/>
      </c>
      <c r="K1635" s="11" t="str">
        <f t="shared" si="258"/>
        <v/>
      </c>
      <c r="M1635" t="str">
        <f>IFERROR(MATCH($C$5&amp;"|"&amp;RIGHT("000000"&amp;1619,6),CalcRankKeyA,0),"")</f>
        <v/>
      </c>
      <c r="N1635" t="str">
        <f>IFERROR(MATCH($C$5&amp;"|"&amp;RIGHT("000000"&amp;1619,6),CalcRankKeyB,0),"")</f>
        <v/>
      </c>
    </row>
    <row r="1636" spans="1:14" x14ac:dyDescent="0.2">
      <c r="A1636" s="12">
        <v>1620</v>
      </c>
      <c r="B1636" s="13" t="str">
        <f t="shared" si="250"/>
        <v/>
      </c>
      <c r="C1636" s="13" t="str">
        <f t="shared" si="251"/>
        <v/>
      </c>
      <c r="D1636" s="13" t="str">
        <f t="shared" si="252"/>
        <v/>
      </c>
      <c r="E1636" s="14" t="str">
        <f t="shared" si="253"/>
        <v/>
      </c>
      <c r="F1636" s="14" t="str">
        <f t="shared" si="254"/>
        <v/>
      </c>
      <c r="G1636" s="14" t="str">
        <f t="shared" si="255"/>
        <v/>
      </c>
      <c r="H1636" s="14" t="str">
        <f t="shared" si="256"/>
        <v/>
      </c>
      <c r="I1636" s="15" t="str">
        <f t="shared" si="257"/>
        <v/>
      </c>
      <c r="J1636" s="15" t="str">
        <f t="shared" si="259"/>
        <v/>
      </c>
      <c r="K1636" s="16" t="str">
        <f t="shared" si="258"/>
        <v/>
      </c>
      <c r="M1636" t="str">
        <f>IFERROR(MATCH($C$5&amp;"|"&amp;RIGHT("000000"&amp;1620,6),CalcRankKeyA,0),"")</f>
        <v/>
      </c>
      <c r="N1636" t="str">
        <f>IFERROR(MATCH($C$5&amp;"|"&amp;RIGHT("000000"&amp;1620,6),CalcRankKeyB,0),"")</f>
        <v/>
      </c>
    </row>
    <row r="1637" spans="1:14" x14ac:dyDescent="0.2">
      <c r="A1637" s="7">
        <v>1621</v>
      </c>
      <c r="B1637" s="8" t="str">
        <f t="shared" si="250"/>
        <v/>
      </c>
      <c r="C1637" s="8" t="str">
        <f t="shared" si="251"/>
        <v/>
      </c>
      <c r="D1637" s="8" t="str">
        <f t="shared" si="252"/>
        <v/>
      </c>
      <c r="E1637" s="9" t="str">
        <f t="shared" si="253"/>
        <v/>
      </c>
      <c r="F1637" s="9" t="str">
        <f t="shared" si="254"/>
        <v/>
      </c>
      <c r="G1637" s="9" t="str">
        <f t="shared" si="255"/>
        <v/>
      </c>
      <c r="H1637" s="9" t="str">
        <f t="shared" si="256"/>
        <v/>
      </c>
      <c r="I1637" s="10" t="str">
        <f t="shared" si="257"/>
        <v/>
      </c>
      <c r="J1637" s="10" t="str">
        <f t="shared" si="259"/>
        <v/>
      </c>
      <c r="K1637" s="11" t="str">
        <f t="shared" si="258"/>
        <v/>
      </c>
      <c r="M1637" t="str">
        <f>IFERROR(MATCH($C$5&amp;"|"&amp;RIGHT("000000"&amp;1621,6),CalcRankKeyA,0),"")</f>
        <v/>
      </c>
      <c r="N1637" t="str">
        <f>IFERROR(MATCH($C$5&amp;"|"&amp;RIGHT("000000"&amp;1621,6),CalcRankKeyB,0),"")</f>
        <v/>
      </c>
    </row>
    <row r="1638" spans="1:14" x14ac:dyDescent="0.2">
      <c r="A1638" s="12">
        <v>1622</v>
      </c>
      <c r="B1638" s="13" t="str">
        <f t="shared" si="250"/>
        <v/>
      </c>
      <c r="C1638" s="13" t="str">
        <f t="shared" si="251"/>
        <v/>
      </c>
      <c r="D1638" s="13" t="str">
        <f t="shared" si="252"/>
        <v/>
      </c>
      <c r="E1638" s="14" t="str">
        <f t="shared" si="253"/>
        <v/>
      </c>
      <c r="F1638" s="14" t="str">
        <f t="shared" si="254"/>
        <v/>
      </c>
      <c r="G1638" s="14" t="str">
        <f t="shared" si="255"/>
        <v/>
      </c>
      <c r="H1638" s="14" t="str">
        <f t="shared" si="256"/>
        <v/>
      </c>
      <c r="I1638" s="15" t="str">
        <f t="shared" si="257"/>
        <v/>
      </c>
      <c r="J1638" s="15" t="str">
        <f t="shared" si="259"/>
        <v/>
      </c>
      <c r="K1638" s="16" t="str">
        <f t="shared" si="258"/>
        <v/>
      </c>
      <c r="M1638" t="str">
        <f>IFERROR(MATCH($C$5&amp;"|"&amp;RIGHT("000000"&amp;1622,6),CalcRankKeyA,0),"")</f>
        <v/>
      </c>
      <c r="N1638" t="str">
        <f>IFERROR(MATCH($C$5&amp;"|"&amp;RIGHT("000000"&amp;1622,6),CalcRankKeyB,0),"")</f>
        <v/>
      </c>
    </row>
    <row r="1639" spans="1:14" x14ac:dyDescent="0.2">
      <c r="A1639" s="7">
        <v>1623</v>
      </c>
      <c r="B1639" s="8" t="str">
        <f t="shared" si="250"/>
        <v/>
      </c>
      <c r="C1639" s="8" t="str">
        <f t="shared" si="251"/>
        <v/>
      </c>
      <c r="D1639" s="8" t="str">
        <f t="shared" si="252"/>
        <v/>
      </c>
      <c r="E1639" s="9" t="str">
        <f t="shared" si="253"/>
        <v/>
      </c>
      <c r="F1639" s="9" t="str">
        <f t="shared" si="254"/>
        <v/>
      </c>
      <c r="G1639" s="9" t="str">
        <f t="shared" si="255"/>
        <v/>
      </c>
      <c r="H1639" s="9" t="str">
        <f t="shared" si="256"/>
        <v/>
      </c>
      <c r="I1639" s="10" t="str">
        <f t="shared" si="257"/>
        <v/>
      </c>
      <c r="J1639" s="10" t="str">
        <f t="shared" si="259"/>
        <v/>
      </c>
      <c r="K1639" s="11" t="str">
        <f t="shared" si="258"/>
        <v/>
      </c>
      <c r="M1639" t="str">
        <f>IFERROR(MATCH($C$5&amp;"|"&amp;RIGHT("000000"&amp;1623,6),CalcRankKeyA,0),"")</f>
        <v/>
      </c>
      <c r="N1639" t="str">
        <f>IFERROR(MATCH($C$5&amp;"|"&amp;RIGHT("000000"&amp;1623,6),CalcRankKeyB,0),"")</f>
        <v/>
      </c>
    </row>
    <row r="1640" spans="1:14" x14ac:dyDescent="0.2">
      <c r="A1640" s="12">
        <v>1624</v>
      </c>
      <c r="B1640" s="13" t="str">
        <f t="shared" si="250"/>
        <v/>
      </c>
      <c r="C1640" s="13" t="str">
        <f t="shared" si="251"/>
        <v/>
      </c>
      <c r="D1640" s="13" t="str">
        <f t="shared" si="252"/>
        <v/>
      </c>
      <c r="E1640" s="14" t="str">
        <f t="shared" si="253"/>
        <v/>
      </c>
      <c r="F1640" s="14" t="str">
        <f t="shared" si="254"/>
        <v/>
      </c>
      <c r="G1640" s="14" t="str">
        <f t="shared" si="255"/>
        <v/>
      </c>
      <c r="H1640" s="14" t="str">
        <f t="shared" si="256"/>
        <v/>
      </c>
      <c r="I1640" s="15" t="str">
        <f t="shared" si="257"/>
        <v/>
      </c>
      <c r="J1640" s="15" t="str">
        <f t="shared" si="259"/>
        <v/>
      </c>
      <c r="K1640" s="16" t="str">
        <f t="shared" si="258"/>
        <v/>
      </c>
      <c r="M1640" t="str">
        <f>IFERROR(MATCH($C$5&amp;"|"&amp;RIGHT("000000"&amp;1624,6),CalcRankKeyA,0),"")</f>
        <v/>
      </c>
      <c r="N1640" t="str">
        <f>IFERROR(MATCH($C$5&amp;"|"&amp;RIGHT("000000"&amp;1624,6),CalcRankKeyB,0),"")</f>
        <v/>
      </c>
    </row>
    <row r="1641" spans="1:14" x14ac:dyDescent="0.2">
      <c r="A1641" s="7">
        <v>1625</v>
      </c>
      <c r="B1641" s="8" t="str">
        <f t="shared" si="250"/>
        <v/>
      </c>
      <c r="C1641" s="8" t="str">
        <f t="shared" si="251"/>
        <v/>
      </c>
      <c r="D1641" s="8" t="str">
        <f t="shared" si="252"/>
        <v/>
      </c>
      <c r="E1641" s="9" t="str">
        <f t="shared" si="253"/>
        <v/>
      </c>
      <c r="F1641" s="9" t="str">
        <f t="shared" si="254"/>
        <v/>
      </c>
      <c r="G1641" s="9" t="str">
        <f t="shared" si="255"/>
        <v/>
      </c>
      <c r="H1641" s="9" t="str">
        <f t="shared" si="256"/>
        <v/>
      </c>
      <c r="I1641" s="10" t="str">
        <f t="shared" si="257"/>
        <v/>
      </c>
      <c r="J1641" s="10" t="str">
        <f t="shared" si="259"/>
        <v/>
      </c>
      <c r="K1641" s="11" t="str">
        <f t="shared" si="258"/>
        <v/>
      </c>
      <c r="M1641" t="str">
        <f>IFERROR(MATCH($C$5&amp;"|"&amp;RIGHT("000000"&amp;1625,6),CalcRankKeyA,0),"")</f>
        <v/>
      </c>
      <c r="N1641" t="str">
        <f>IFERROR(MATCH($C$5&amp;"|"&amp;RIGHT("000000"&amp;1625,6),CalcRankKeyB,0),"")</f>
        <v/>
      </c>
    </row>
    <row r="1642" spans="1:14" x14ac:dyDescent="0.2">
      <c r="A1642" s="12">
        <v>1626</v>
      </c>
      <c r="B1642" s="13" t="str">
        <f t="shared" si="250"/>
        <v/>
      </c>
      <c r="C1642" s="13" t="str">
        <f t="shared" si="251"/>
        <v/>
      </c>
      <c r="D1642" s="13" t="str">
        <f t="shared" si="252"/>
        <v/>
      </c>
      <c r="E1642" s="14" t="str">
        <f t="shared" si="253"/>
        <v/>
      </c>
      <c r="F1642" s="14" t="str">
        <f t="shared" si="254"/>
        <v/>
      </c>
      <c r="G1642" s="14" t="str">
        <f t="shared" si="255"/>
        <v/>
      </c>
      <c r="H1642" s="14" t="str">
        <f t="shared" si="256"/>
        <v/>
      </c>
      <c r="I1642" s="15" t="str">
        <f t="shared" si="257"/>
        <v/>
      </c>
      <c r="J1642" s="15" t="str">
        <f t="shared" si="259"/>
        <v/>
      </c>
      <c r="K1642" s="16" t="str">
        <f t="shared" si="258"/>
        <v/>
      </c>
      <c r="M1642" t="str">
        <f>IFERROR(MATCH($C$5&amp;"|"&amp;RIGHT("000000"&amp;1626,6),CalcRankKeyA,0),"")</f>
        <v/>
      </c>
      <c r="N1642" t="str">
        <f>IFERROR(MATCH($C$5&amp;"|"&amp;RIGHT("000000"&amp;1626,6),CalcRankKeyB,0),"")</f>
        <v/>
      </c>
    </row>
    <row r="1643" spans="1:14" x14ac:dyDescent="0.2">
      <c r="A1643" s="7">
        <v>1627</v>
      </c>
      <c r="B1643" s="8" t="str">
        <f t="shared" si="250"/>
        <v/>
      </c>
      <c r="C1643" s="8" t="str">
        <f t="shared" si="251"/>
        <v/>
      </c>
      <c r="D1643" s="8" t="str">
        <f t="shared" si="252"/>
        <v/>
      </c>
      <c r="E1643" s="9" t="str">
        <f t="shared" si="253"/>
        <v/>
      </c>
      <c r="F1643" s="9" t="str">
        <f t="shared" si="254"/>
        <v/>
      </c>
      <c r="G1643" s="9" t="str">
        <f t="shared" si="255"/>
        <v/>
      </c>
      <c r="H1643" s="9" t="str">
        <f t="shared" si="256"/>
        <v/>
      </c>
      <c r="I1643" s="10" t="str">
        <f t="shared" si="257"/>
        <v/>
      </c>
      <c r="J1643" s="10" t="str">
        <f t="shared" si="259"/>
        <v/>
      </c>
      <c r="K1643" s="11" t="str">
        <f t="shared" si="258"/>
        <v/>
      </c>
      <c r="M1643" t="str">
        <f>IFERROR(MATCH($C$5&amp;"|"&amp;RIGHT("000000"&amp;1627,6),CalcRankKeyA,0),"")</f>
        <v/>
      </c>
      <c r="N1643" t="str">
        <f>IFERROR(MATCH($C$5&amp;"|"&amp;RIGHT("000000"&amp;1627,6),CalcRankKeyB,0),"")</f>
        <v/>
      </c>
    </row>
    <row r="1644" spans="1:14" x14ac:dyDescent="0.2">
      <c r="A1644" s="12">
        <v>1628</v>
      </c>
      <c r="B1644" s="13" t="str">
        <f t="shared" si="250"/>
        <v/>
      </c>
      <c r="C1644" s="13" t="str">
        <f t="shared" si="251"/>
        <v/>
      </c>
      <c r="D1644" s="13" t="str">
        <f t="shared" si="252"/>
        <v/>
      </c>
      <c r="E1644" s="14" t="str">
        <f t="shared" si="253"/>
        <v/>
      </c>
      <c r="F1644" s="14" t="str">
        <f t="shared" si="254"/>
        <v/>
      </c>
      <c r="G1644" s="14" t="str">
        <f t="shared" si="255"/>
        <v/>
      </c>
      <c r="H1644" s="14" t="str">
        <f t="shared" si="256"/>
        <v/>
      </c>
      <c r="I1644" s="15" t="str">
        <f t="shared" si="257"/>
        <v/>
      </c>
      <c r="J1644" s="15" t="str">
        <f t="shared" si="259"/>
        <v/>
      </c>
      <c r="K1644" s="16" t="str">
        <f t="shared" si="258"/>
        <v/>
      </c>
      <c r="M1644" t="str">
        <f>IFERROR(MATCH($C$5&amp;"|"&amp;RIGHT("000000"&amp;1628,6),CalcRankKeyA,0),"")</f>
        <v/>
      </c>
      <c r="N1644" t="str">
        <f>IFERROR(MATCH($C$5&amp;"|"&amp;RIGHT("000000"&amp;1628,6),CalcRankKeyB,0),"")</f>
        <v/>
      </c>
    </row>
    <row r="1645" spans="1:14" x14ac:dyDescent="0.2">
      <c r="A1645" s="7">
        <v>1629</v>
      </c>
      <c r="B1645" s="8" t="str">
        <f t="shared" si="250"/>
        <v/>
      </c>
      <c r="C1645" s="8" t="str">
        <f t="shared" si="251"/>
        <v/>
      </c>
      <c r="D1645" s="8" t="str">
        <f t="shared" si="252"/>
        <v/>
      </c>
      <c r="E1645" s="9" t="str">
        <f t="shared" si="253"/>
        <v/>
      </c>
      <c r="F1645" s="9" t="str">
        <f t="shared" si="254"/>
        <v/>
      </c>
      <c r="G1645" s="9" t="str">
        <f t="shared" si="255"/>
        <v/>
      </c>
      <c r="H1645" s="9" t="str">
        <f t="shared" si="256"/>
        <v/>
      </c>
      <c r="I1645" s="10" t="str">
        <f t="shared" si="257"/>
        <v/>
      </c>
      <c r="J1645" s="10" t="str">
        <f t="shared" si="259"/>
        <v/>
      </c>
      <c r="K1645" s="11" t="str">
        <f t="shared" si="258"/>
        <v/>
      </c>
      <c r="M1645" t="str">
        <f>IFERROR(MATCH($C$5&amp;"|"&amp;RIGHT("000000"&amp;1629,6),CalcRankKeyA,0),"")</f>
        <v/>
      </c>
      <c r="N1645" t="str">
        <f>IFERROR(MATCH($C$5&amp;"|"&amp;RIGHT("000000"&amp;1629,6),CalcRankKeyB,0),"")</f>
        <v/>
      </c>
    </row>
    <row r="1646" spans="1:14" x14ac:dyDescent="0.2">
      <c r="A1646" s="12">
        <v>1630</v>
      </c>
      <c r="B1646" s="13" t="str">
        <f t="shared" si="250"/>
        <v/>
      </c>
      <c r="C1646" s="13" t="str">
        <f t="shared" si="251"/>
        <v/>
      </c>
      <c r="D1646" s="13" t="str">
        <f t="shared" si="252"/>
        <v/>
      </c>
      <c r="E1646" s="14" t="str">
        <f t="shared" si="253"/>
        <v/>
      </c>
      <c r="F1646" s="14" t="str">
        <f t="shared" si="254"/>
        <v/>
      </c>
      <c r="G1646" s="14" t="str">
        <f t="shared" si="255"/>
        <v/>
      </c>
      <c r="H1646" s="14" t="str">
        <f t="shared" si="256"/>
        <v/>
      </c>
      <c r="I1646" s="15" t="str">
        <f t="shared" si="257"/>
        <v/>
      </c>
      <c r="J1646" s="15" t="str">
        <f t="shared" si="259"/>
        <v/>
      </c>
      <c r="K1646" s="16" t="str">
        <f t="shared" si="258"/>
        <v/>
      </c>
      <c r="M1646" t="str">
        <f>IFERROR(MATCH($C$5&amp;"|"&amp;RIGHT("000000"&amp;1630,6),CalcRankKeyA,0),"")</f>
        <v/>
      </c>
      <c r="N1646" t="str">
        <f>IFERROR(MATCH($C$5&amp;"|"&amp;RIGHT("000000"&amp;1630,6),CalcRankKeyB,0),"")</f>
        <v/>
      </c>
    </row>
    <row r="1647" spans="1:14" x14ac:dyDescent="0.2">
      <c r="A1647" s="7">
        <v>1631</v>
      </c>
      <c r="B1647" s="8" t="str">
        <f t="shared" si="250"/>
        <v/>
      </c>
      <c r="C1647" s="8" t="str">
        <f t="shared" si="251"/>
        <v/>
      </c>
      <c r="D1647" s="8" t="str">
        <f t="shared" si="252"/>
        <v/>
      </c>
      <c r="E1647" s="9" t="str">
        <f t="shared" si="253"/>
        <v/>
      </c>
      <c r="F1647" s="9" t="str">
        <f t="shared" si="254"/>
        <v/>
      </c>
      <c r="G1647" s="9" t="str">
        <f t="shared" si="255"/>
        <v/>
      </c>
      <c r="H1647" s="9" t="str">
        <f t="shared" si="256"/>
        <v/>
      </c>
      <c r="I1647" s="10" t="str">
        <f t="shared" si="257"/>
        <v/>
      </c>
      <c r="J1647" s="10" t="str">
        <f t="shared" si="259"/>
        <v/>
      </c>
      <c r="K1647" s="11" t="str">
        <f t="shared" si="258"/>
        <v/>
      </c>
      <c r="M1647" t="str">
        <f>IFERROR(MATCH($C$5&amp;"|"&amp;RIGHT("000000"&amp;1631,6),CalcRankKeyA,0),"")</f>
        <v/>
      </c>
      <c r="N1647" t="str">
        <f>IFERROR(MATCH($C$5&amp;"|"&amp;RIGHT("000000"&amp;1631,6),CalcRankKeyB,0),"")</f>
        <v/>
      </c>
    </row>
    <row r="1648" spans="1:14" x14ac:dyDescent="0.2">
      <c r="A1648" s="12">
        <v>1632</v>
      </c>
      <c r="B1648" s="13" t="str">
        <f t="shared" si="250"/>
        <v/>
      </c>
      <c r="C1648" s="13" t="str">
        <f t="shared" si="251"/>
        <v/>
      </c>
      <c r="D1648" s="13" t="str">
        <f t="shared" si="252"/>
        <v/>
      </c>
      <c r="E1648" s="14" t="str">
        <f t="shared" si="253"/>
        <v/>
      </c>
      <c r="F1648" s="14" t="str">
        <f t="shared" si="254"/>
        <v/>
      </c>
      <c r="G1648" s="14" t="str">
        <f t="shared" si="255"/>
        <v/>
      </c>
      <c r="H1648" s="14" t="str">
        <f t="shared" si="256"/>
        <v/>
      </c>
      <c r="I1648" s="15" t="str">
        <f t="shared" si="257"/>
        <v/>
      </c>
      <c r="J1648" s="15" t="str">
        <f t="shared" si="259"/>
        <v/>
      </c>
      <c r="K1648" s="16" t="str">
        <f t="shared" si="258"/>
        <v/>
      </c>
      <c r="M1648" t="str">
        <f>IFERROR(MATCH($C$5&amp;"|"&amp;RIGHT("000000"&amp;1632,6),CalcRankKeyA,0),"")</f>
        <v/>
      </c>
      <c r="N1648" t="str">
        <f>IFERROR(MATCH($C$5&amp;"|"&amp;RIGHT("000000"&amp;1632,6),CalcRankKeyB,0),"")</f>
        <v/>
      </c>
    </row>
    <row r="1649" spans="1:14" x14ac:dyDescent="0.2">
      <c r="A1649" s="7">
        <v>1633</v>
      </c>
      <c r="B1649" s="8" t="str">
        <f t="shared" si="250"/>
        <v/>
      </c>
      <c r="C1649" s="8" t="str">
        <f t="shared" si="251"/>
        <v/>
      </c>
      <c r="D1649" s="8" t="str">
        <f t="shared" si="252"/>
        <v/>
      </c>
      <c r="E1649" s="9" t="str">
        <f t="shared" si="253"/>
        <v/>
      </c>
      <c r="F1649" s="9" t="str">
        <f t="shared" si="254"/>
        <v/>
      </c>
      <c r="G1649" s="9" t="str">
        <f t="shared" si="255"/>
        <v/>
      </c>
      <c r="H1649" s="9" t="str">
        <f t="shared" si="256"/>
        <v/>
      </c>
      <c r="I1649" s="10" t="str">
        <f t="shared" si="257"/>
        <v/>
      </c>
      <c r="J1649" s="10" t="str">
        <f t="shared" si="259"/>
        <v/>
      </c>
      <c r="K1649" s="11" t="str">
        <f t="shared" si="258"/>
        <v/>
      </c>
      <c r="M1649" t="str">
        <f>IFERROR(MATCH($C$5&amp;"|"&amp;RIGHT("000000"&amp;1633,6),CalcRankKeyA,0),"")</f>
        <v/>
      </c>
      <c r="N1649" t="str">
        <f>IFERROR(MATCH($C$5&amp;"|"&amp;RIGHT("000000"&amp;1633,6),CalcRankKeyB,0),"")</f>
        <v/>
      </c>
    </row>
    <row r="1650" spans="1:14" x14ac:dyDescent="0.2">
      <c r="A1650" s="12">
        <v>1634</v>
      </c>
      <c r="B1650" s="13" t="str">
        <f t="shared" si="250"/>
        <v/>
      </c>
      <c r="C1650" s="13" t="str">
        <f t="shared" si="251"/>
        <v/>
      </c>
      <c r="D1650" s="13" t="str">
        <f t="shared" si="252"/>
        <v/>
      </c>
      <c r="E1650" s="14" t="str">
        <f t="shared" si="253"/>
        <v/>
      </c>
      <c r="F1650" s="14" t="str">
        <f t="shared" si="254"/>
        <v/>
      </c>
      <c r="G1650" s="14" t="str">
        <f t="shared" si="255"/>
        <v/>
      </c>
      <c r="H1650" s="14" t="str">
        <f t="shared" si="256"/>
        <v/>
      </c>
      <c r="I1650" s="15" t="str">
        <f t="shared" si="257"/>
        <v/>
      </c>
      <c r="J1650" s="15" t="str">
        <f t="shared" si="259"/>
        <v/>
      </c>
      <c r="K1650" s="16" t="str">
        <f t="shared" si="258"/>
        <v/>
      </c>
      <c r="M1650" t="str">
        <f>IFERROR(MATCH($C$5&amp;"|"&amp;RIGHT("000000"&amp;1634,6),CalcRankKeyA,0),"")</f>
        <v/>
      </c>
      <c r="N1650" t="str">
        <f>IFERROR(MATCH($C$5&amp;"|"&amp;RIGHT("000000"&amp;1634,6),CalcRankKeyB,0),"")</f>
        <v/>
      </c>
    </row>
    <row r="1651" spans="1:14" x14ac:dyDescent="0.2">
      <c r="A1651" s="7">
        <v>1635</v>
      </c>
      <c r="B1651" s="8" t="str">
        <f t="shared" si="250"/>
        <v/>
      </c>
      <c r="C1651" s="8" t="str">
        <f t="shared" si="251"/>
        <v/>
      </c>
      <c r="D1651" s="8" t="str">
        <f t="shared" si="252"/>
        <v/>
      </c>
      <c r="E1651" s="9" t="str">
        <f t="shared" si="253"/>
        <v/>
      </c>
      <c r="F1651" s="9" t="str">
        <f t="shared" si="254"/>
        <v/>
      </c>
      <c r="G1651" s="9" t="str">
        <f t="shared" si="255"/>
        <v/>
      </c>
      <c r="H1651" s="9" t="str">
        <f t="shared" si="256"/>
        <v/>
      </c>
      <c r="I1651" s="10" t="str">
        <f t="shared" si="257"/>
        <v/>
      </c>
      <c r="J1651" s="10" t="str">
        <f t="shared" si="259"/>
        <v/>
      </c>
      <c r="K1651" s="11" t="str">
        <f t="shared" si="258"/>
        <v/>
      </c>
      <c r="M1651" t="str">
        <f>IFERROR(MATCH($C$5&amp;"|"&amp;RIGHT("000000"&amp;1635,6),CalcRankKeyA,0),"")</f>
        <v/>
      </c>
      <c r="N1651" t="str">
        <f>IFERROR(MATCH($C$5&amp;"|"&amp;RIGHT("000000"&amp;1635,6),CalcRankKeyB,0),"")</f>
        <v/>
      </c>
    </row>
    <row r="1652" spans="1:14" x14ac:dyDescent="0.2">
      <c r="A1652" s="12">
        <v>1636</v>
      </c>
      <c r="B1652" s="13" t="str">
        <f t="shared" si="250"/>
        <v/>
      </c>
      <c r="C1652" s="13" t="str">
        <f t="shared" si="251"/>
        <v/>
      </c>
      <c r="D1652" s="13" t="str">
        <f t="shared" si="252"/>
        <v/>
      </c>
      <c r="E1652" s="14" t="str">
        <f t="shared" si="253"/>
        <v/>
      </c>
      <c r="F1652" s="14" t="str">
        <f t="shared" si="254"/>
        <v/>
      </c>
      <c r="G1652" s="14" t="str">
        <f t="shared" si="255"/>
        <v/>
      </c>
      <c r="H1652" s="14" t="str">
        <f t="shared" si="256"/>
        <v/>
      </c>
      <c r="I1652" s="15" t="str">
        <f t="shared" si="257"/>
        <v/>
      </c>
      <c r="J1652" s="15" t="str">
        <f t="shared" si="259"/>
        <v/>
      </c>
      <c r="K1652" s="16" t="str">
        <f t="shared" si="258"/>
        <v/>
      </c>
      <c r="M1652" t="str">
        <f>IFERROR(MATCH($C$5&amp;"|"&amp;RIGHT("000000"&amp;1636,6),CalcRankKeyA,0),"")</f>
        <v/>
      </c>
      <c r="N1652" t="str">
        <f>IFERROR(MATCH($C$5&amp;"|"&amp;RIGHT("000000"&amp;1636,6),CalcRankKeyB,0),"")</f>
        <v/>
      </c>
    </row>
    <row r="1653" spans="1:14" x14ac:dyDescent="0.2">
      <c r="A1653" s="7">
        <v>1637</v>
      </c>
      <c r="B1653" s="8" t="str">
        <f t="shared" si="250"/>
        <v/>
      </c>
      <c r="C1653" s="8" t="str">
        <f t="shared" si="251"/>
        <v/>
      </c>
      <c r="D1653" s="8" t="str">
        <f t="shared" si="252"/>
        <v/>
      </c>
      <c r="E1653" s="9" t="str">
        <f t="shared" si="253"/>
        <v/>
      </c>
      <c r="F1653" s="9" t="str">
        <f t="shared" si="254"/>
        <v/>
      </c>
      <c r="G1653" s="9" t="str">
        <f t="shared" si="255"/>
        <v/>
      </c>
      <c r="H1653" s="9" t="str">
        <f t="shared" si="256"/>
        <v/>
      </c>
      <c r="I1653" s="10" t="str">
        <f t="shared" si="257"/>
        <v/>
      </c>
      <c r="J1653" s="10" t="str">
        <f t="shared" si="259"/>
        <v/>
      </c>
      <c r="K1653" s="11" t="str">
        <f t="shared" si="258"/>
        <v/>
      </c>
      <c r="M1653" t="str">
        <f>IFERROR(MATCH($C$5&amp;"|"&amp;RIGHT("000000"&amp;1637,6),CalcRankKeyA,0),"")</f>
        <v/>
      </c>
      <c r="N1653" t="str">
        <f>IFERROR(MATCH($C$5&amp;"|"&amp;RIGHT("000000"&amp;1637,6),CalcRankKeyB,0),"")</f>
        <v/>
      </c>
    </row>
    <row r="1654" spans="1:14" x14ac:dyDescent="0.2">
      <c r="A1654" s="12">
        <v>1638</v>
      </c>
      <c r="B1654" s="13" t="str">
        <f t="shared" si="250"/>
        <v/>
      </c>
      <c r="C1654" s="13" t="str">
        <f t="shared" si="251"/>
        <v/>
      </c>
      <c r="D1654" s="13" t="str">
        <f t="shared" si="252"/>
        <v/>
      </c>
      <c r="E1654" s="14" t="str">
        <f t="shared" si="253"/>
        <v/>
      </c>
      <c r="F1654" s="14" t="str">
        <f t="shared" si="254"/>
        <v/>
      </c>
      <c r="G1654" s="14" t="str">
        <f t="shared" si="255"/>
        <v/>
      </c>
      <c r="H1654" s="14" t="str">
        <f t="shared" si="256"/>
        <v/>
      </c>
      <c r="I1654" s="15" t="str">
        <f t="shared" si="257"/>
        <v/>
      </c>
      <c r="J1654" s="15" t="str">
        <f t="shared" si="259"/>
        <v/>
      </c>
      <c r="K1654" s="16" t="str">
        <f t="shared" si="258"/>
        <v/>
      </c>
      <c r="M1654" t="str">
        <f>IFERROR(MATCH($C$5&amp;"|"&amp;RIGHT("000000"&amp;1638,6),CalcRankKeyA,0),"")</f>
        <v/>
      </c>
      <c r="N1654" t="str">
        <f>IFERROR(MATCH($C$5&amp;"|"&amp;RIGHT("000000"&amp;1638,6),CalcRankKeyB,0),"")</f>
        <v/>
      </c>
    </row>
    <row r="1655" spans="1:14" x14ac:dyDescent="0.2">
      <c r="A1655" s="7">
        <v>1639</v>
      </c>
      <c r="B1655" s="8" t="str">
        <f t="shared" si="250"/>
        <v/>
      </c>
      <c r="C1655" s="8" t="str">
        <f t="shared" si="251"/>
        <v/>
      </c>
      <c r="D1655" s="8" t="str">
        <f t="shared" si="252"/>
        <v/>
      </c>
      <c r="E1655" s="9" t="str">
        <f t="shared" si="253"/>
        <v/>
      </c>
      <c r="F1655" s="9" t="str">
        <f t="shared" si="254"/>
        <v/>
      </c>
      <c r="G1655" s="9" t="str">
        <f t="shared" si="255"/>
        <v/>
      </c>
      <c r="H1655" s="9" t="str">
        <f t="shared" si="256"/>
        <v/>
      </c>
      <c r="I1655" s="10" t="str">
        <f t="shared" si="257"/>
        <v/>
      </c>
      <c r="J1655" s="10" t="str">
        <f t="shared" si="259"/>
        <v/>
      </c>
      <c r="K1655" s="11" t="str">
        <f t="shared" si="258"/>
        <v/>
      </c>
      <c r="M1655" t="str">
        <f>IFERROR(MATCH($C$5&amp;"|"&amp;RIGHT("000000"&amp;1639,6),CalcRankKeyA,0),"")</f>
        <v/>
      </c>
      <c r="N1655" t="str">
        <f>IFERROR(MATCH($C$5&amp;"|"&amp;RIGHT("000000"&amp;1639,6),CalcRankKeyB,0),"")</f>
        <v/>
      </c>
    </row>
    <row r="1656" spans="1:14" x14ac:dyDescent="0.2">
      <c r="A1656" s="12">
        <v>1640</v>
      </c>
      <c r="B1656" s="13" t="str">
        <f t="shared" si="250"/>
        <v/>
      </c>
      <c r="C1656" s="13" t="str">
        <f t="shared" si="251"/>
        <v/>
      </c>
      <c r="D1656" s="13" t="str">
        <f t="shared" si="252"/>
        <v/>
      </c>
      <c r="E1656" s="14" t="str">
        <f t="shared" si="253"/>
        <v/>
      </c>
      <c r="F1656" s="14" t="str">
        <f t="shared" si="254"/>
        <v/>
      </c>
      <c r="G1656" s="14" t="str">
        <f t="shared" si="255"/>
        <v/>
      </c>
      <c r="H1656" s="14" t="str">
        <f t="shared" si="256"/>
        <v/>
      </c>
      <c r="I1656" s="15" t="str">
        <f t="shared" si="257"/>
        <v/>
      </c>
      <c r="J1656" s="15" t="str">
        <f t="shared" si="259"/>
        <v/>
      </c>
      <c r="K1656" s="16" t="str">
        <f t="shared" si="258"/>
        <v/>
      </c>
      <c r="M1656" t="str">
        <f>IFERROR(MATCH($C$5&amp;"|"&amp;RIGHT("000000"&amp;1640,6),CalcRankKeyA,0),"")</f>
        <v/>
      </c>
      <c r="N1656" t="str">
        <f>IFERROR(MATCH($C$5&amp;"|"&amp;RIGHT("000000"&amp;1640,6),CalcRankKeyB,0),"")</f>
        <v/>
      </c>
    </row>
    <row r="1657" spans="1:14" x14ac:dyDescent="0.2">
      <c r="A1657" s="7">
        <v>1641</v>
      </c>
      <c r="B1657" s="8" t="str">
        <f t="shared" si="250"/>
        <v/>
      </c>
      <c r="C1657" s="8" t="str">
        <f t="shared" si="251"/>
        <v/>
      </c>
      <c r="D1657" s="8" t="str">
        <f t="shared" si="252"/>
        <v/>
      </c>
      <c r="E1657" s="9" t="str">
        <f t="shared" si="253"/>
        <v/>
      </c>
      <c r="F1657" s="9" t="str">
        <f t="shared" si="254"/>
        <v/>
      </c>
      <c r="G1657" s="9" t="str">
        <f t="shared" si="255"/>
        <v/>
      </c>
      <c r="H1657" s="9" t="str">
        <f t="shared" si="256"/>
        <v/>
      </c>
      <c r="I1657" s="10" t="str">
        <f t="shared" si="257"/>
        <v/>
      </c>
      <c r="J1657" s="10" t="str">
        <f t="shared" si="259"/>
        <v/>
      </c>
      <c r="K1657" s="11" t="str">
        <f t="shared" si="258"/>
        <v/>
      </c>
      <c r="M1657" t="str">
        <f>IFERROR(MATCH($C$5&amp;"|"&amp;RIGHT("000000"&amp;1641,6),CalcRankKeyA,0),"")</f>
        <v/>
      </c>
      <c r="N1657" t="str">
        <f>IFERROR(MATCH($C$5&amp;"|"&amp;RIGHT("000000"&amp;1641,6),CalcRankKeyB,0),"")</f>
        <v/>
      </c>
    </row>
    <row r="1658" spans="1:14" x14ac:dyDescent="0.2">
      <c r="A1658" s="12">
        <v>1642</v>
      </c>
      <c r="B1658" s="13" t="str">
        <f t="shared" si="250"/>
        <v/>
      </c>
      <c r="C1658" s="13" t="str">
        <f t="shared" si="251"/>
        <v/>
      </c>
      <c r="D1658" s="13" t="str">
        <f t="shared" si="252"/>
        <v/>
      </c>
      <c r="E1658" s="14" t="str">
        <f t="shared" si="253"/>
        <v/>
      </c>
      <c r="F1658" s="14" t="str">
        <f t="shared" si="254"/>
        <v/>
      </c>
      <c r="G1658" s="14" t="str">
        <f t="shared" si="255"/>
        <v/>
      </c>
      <c r="H1658" s="14" t="str">
        <f t="shared" si="256"/>
        <v/>
      </c>
      <c r="I1658" s="15" t="str">
        <f t="shared" si="257"/>
        <v/>
      </c>
      <c r="J1658" s="15" t="str">
        <f t="shared" si="259"/>
        <v/>
      </c>
      <c r="K1658" s="16" t="str">
        <f t="shared" si="258"/>
        <v/>
      </c>
      <c r="M1658" t="str">
        <f>IFERROR(MATCH($C$5&amp;"|"&amp;RIGHT("000000"&amp;1642,6),CalcRankKeyA,0),"")</f>
        <v/>
      </c>
      <c r="N1658" t="str">
        <f>IFERROR(MATCH($C$5&amp;"|"&amp;RIGHT("000000"&amp;1642,6),CalcRankKeyB,0),"")</f>
        <v/>
      </c>
    </row>
    <row r="1659" spans="1:14" x14ac:dyDescent="0.2">
      <c r="A1659" s="7">
        <v>1643</v>
      </c>
      <c r="B1659" s="8" t="str">
        <f t="shared" si="250"/>
        <v/>
      </c>
      <c r="C1659" s="8" t="str">
        <f t="shared" si="251"/>
        <v/>
      </c>
      <c r="D1659" s="8" t="str">
        <f t="shared" si="252"/>
        <v/>
      </c>
      <c r="E1659" s="9" t="str">
        <f t="shared" si="253"/>
        <v/>
      </c>
      <c r="F1659" s="9" t="str">
        <f t="shared" si="254"/>
        <v/>
      </c>
      <c r="G1659" s="9" t="str">
        <f t="shared" si="255"/>
        <v/>
      </c>
      <c r="H1659" s="9" t="str">
        <f t="shared" si="256"/>
        <v/>
      </c>
      <c r="I1659" s="10" t="str">
        <f t="shared" si="257"/>
        <v/>
      </c>
      <c r="J1659" s="10" t="str">
        <f t="shared" si="259"/>
        <v/>
      </c>
      <c r="K1659" s="11" t="str">
        <f t="shared" si="258"/>
        <v/>
      </c>
      <c r="M1659" t="str">
        <f>IFERROR(MATCH($C$5&amp;"|"&amp;RIGHT("000000"&amp;1643,6),CalcRankKeyA,0),"")</f>
        <v/>
      </c>
      <c r="N1659" t="str">
        <f>IFERROR(MATCH($C$5&amp;"|"&amp;RIGHT("000000"&amp;1643,6),CalcRankKeyB,0),"")</f>
        <v/>
      </c>
    </row>
    <row r="1660" spans="1:14" x14ac:dyDescent="0.2">
      <c r="A1660" s="12">
        <v>1644</v>
      </c>
      <c r="B1660" s="13" t="str">
        <f t="shared" si="250"/>
        <v/>
      </c>
      <c r="C1660" s="13" t="str">
        <f t="shared" si="251"/>
        <v/>
      </c>
      <c r="D1660" s="13" t="str">
        <f t="shared" si="252"/>
        <v/>
      </c>
      <c r="E1660" s="14" t="str">
        <f t="shared" si="253"/>
        <v/>
      </c>
      <c r="F1660" s="14" t="str">
        <f t="shared" si="254"/>
        <v/>
      </c>
      <c r="G1660" s="14" t="str">
        <f t="shared" si="255"/>
        <v/>
      </c>
      <c r="H1660" s="14" t="str">
        <f t="shared" si="256"/>
        <v/>
      </c>
      <c r="I1660" s="15" t="str">
        <f t="shared" si="257"/>
        <v/>
      </c>
      <c r="J1660" s="15" t="str">
        <f t="shared" si="259"/>
        <v/>
      </c>
      <c r="K1660" s="16" t="str">
        <f t="shared" si="258"/>
        <v/>
      </c>
      <c r="M1660" t="str">
        <f>IFERROR(MATCH($C$5&amp;"|"&amp;RIGHT("000000"&amp;1644,6),CalcRankKeyA,0),"")</f>
        <v/>
      </c>
      <c r="N1660" t="str">
        <f>IFERROR(MATCH($C$5&amp;"|"&amp;RIGHT("000000"&amp;1644,6),CalcRankKeyB,0),"")</f>
        <v/>
      </c>
    </row>
    <row r="1661" spans="1:14" x14ac:dyDescent="0.2">
      <c r="A1661" s="7">
        <v>1645</v>
      </c>
      <c r="B1661" s="8" t="str">
        <f t="shared" si="250"/>
        <v/>
      </c>
      <c r="C1661" s="8" t="str">
        <f t="shared" si="251"/>
        <v/>
      </c>
      <c r="D1661" s="8" t="str">
        <f t="shared" si="252"/>
        <v/>
      </c>
      <c r="E1661" s="9" t="str">
        <f t="shared" si="253"/>
        <v/>
      </c>
      <c r="F1661" s="9" t="str">
        <f t="shared" si="254"/>
        <v/>
      </c>
      <c r="G1661" s="9" t="str">
        <f t="shared" si="255"/>
        <v/>
      </c>
      <c r="H1661" s="9" t="str">
        <f t="shared" si="256"/>
        <v/>
      </c>
      <c r="I1661" s="10" t="str">
        <f t="shared" si="257"/>
        <v/>
      </c>
      <c r="J1661" s="10" t="str">
        <f t="shared" si="259"/>
        <v/>
      </c>
      <c r="K1661" s="11" t="str">
        <f t="shared" si="258"/>
        <v/>
      </c>
      <c r="M1661" t="str">
        <f>IFERROR(MATCH($C$5&amp;"|"&amp;RIGHT("000000"&amp;1645,6),CalcRankKeyA,0),"")</f>
        <v/>
      </c>
      <c r="N1661" t="str">
        <f>IFERROR(MATCH($C$5&amp;"|"&amp;RIGHT("000000"&amp;1645,6),CalcRankKeyB,0),"")</f>
        <v/>
      </c>
    </row>
    <row r="1662" spans="1:14" x14ac:dyDescent="0.2">
      <c r="A1662" s="12">
        <v>1646</v>
      </c>
      <c r="B1662" s="13" t="str">
        <f t="shared" si="250"/>
        <v/>
      </c>
      <c r="C1662" s="13" t="str">
        <f t="shared" si="251"/>
        <v/>
      </c>
      <c r="D1662" s="13" t="str">
        <f t="shared" si="252"/>
        <v/>
      </c>
      <c r="E1662" s="14" t="str">
        <f t="shared" si="253"/>
        <v/>
      </c>
      <c r="F1662" s="14" t="str">
        <f t="shared" si="254"/>
        <v/>
      </c>
      <c r="G1662" s="14" t="str">
        <f t="shared" si="255"/>
        <v/>
      </c>
      <c r="H1662" s="14" t="str">
        <f t="shared" si="256"/>
        <v/>
      </c>
      <c r="I1662" s="15" t="str">
        <f t="shared" si="257"/>
        <v/>
      </c>
      <c r="J1662" s="15" t="str">
        <f t="shared" si="259"/>
        <v/>
      </c>
      <c r="K1662" s="16" t="str">
        <f t="shared" si="258"/>
        <v/>
      </c>
      <c r="M1662" t="str">
        <f>IFERROR(MATCH($C$5&amp;"|"&amp;RIGHT("000000"&amp;1646,6),CalcRankKeyA,0),"")</f>
        <v/>
      </c>
      <c r="N1662" t="str">
        <f>IFERROR(MATCH($C$5&amp;"|"&amp;RIGHT("000000"&amp;1646,6),CalcRankKeyB,0),"")</f>
        <v/>
      </c>
    </row>
    <row r="1663" spans="1:14" x14ac:dyDescent="0.2">
      <c r="A1663" s="7">
        <v>1647</v>
      </c>
      <c r="B1663" s="8" t="str">
        <f t="shared" si="250"/>
        <v/>
      </c>
      <c r="C1663" s="8" t="str">
        <f t="shared" si="251"/>
        <v/>
      </c>
      <c r="D1663" s="8" t="str">
        <f t="shared" si="252"/>
        <v/>
      </c>
      <c r="E1663" s="9" t="str">
        <f t="shared" si="253"/>
        <v/>
      </c>
      <c r="F1663" s="9" t="str">
        <f t="shared" si="254"/>
        <v/>
      </c>
      <c r="G1663" s="9" t="str">
        <f t="shared" si="255"/>
        <v/>
      </c>
      <c r="H1663" s="9" t="str">
        <f t="shared" si="256"/>
        <v/>
      </c>
      <c r="I1663" s="10" t="str">
        <f t="shared" si="257"/>
        <v/>
      </c>
      <c r="J1663" s="10" t="str">
        <f t="shared" si="259"/>
        <v/>
      </c>
      <c r="K1663" s="11" t="str">
        <f t="shared" si="258"/>
        <v/>
      </c>
      <c r="M1663" t="str">
        <f>IFERROR(MATCH($C$5&amp;"|"&amp;RIGHT("000000"&amp;1647,6),CalcRankKeyA,0),"")</f>
        <v/>
      </c>
      <c r="N1663" t="str">
        <f>IFERROR(MATCH($C$5&amp;"|"&amp;RIGHT("000000"&amp;1647,6),CalcRankKeyB,0),"")</f>
        <v/>
      </c>
    </row>
    <row r="1664" spans="1:14" x14ac:dyDescent="0.2">
      <c r="A1664" s="12">
        <v>1648</v>
      </c>
      <c r="B1664" s="13" t="str">
        <f t="shared" si="250"/>
        <v/>
      </c>
      <c r="C1664" s="13" t="str">
        <f t="shared" si="251"/>
        <v/>
      </c>
      <c r="D1664" s="13" t="str">
        <f t="shared" si="252"/>
        <v/>
      </c>
      <c r="E1664" s="14" t="str">
        <f t="shared" si="253"/>
        <v/>
      </c>
      <c r="F1664" s="14" t="str">
        <f t="shared" si="254"/>
        <v/>
      </c>
      <c r="G1664" s="14" t="str">
        <f t="shared" si="255"/>
        <v/>
      </c>
      <c r="H1664" s="14" t="str">
        <f t="shared" si="256"/>
        <v/>
      </c>
      <c r="I1664" s="15" t="str">
        <f t="shared" si="257"/>
        <v/>
      </c>
      <c r="J1664" s="15" t="str">
        <f t="shared" si="259"/>
        <v/>
      </c>
      <c r="K1664" s="16" t="str">
        <f t="shared" si="258"/>
        <v/>
      </c>
      <c r="M1664" t="str">
        <f>IFERROR(MATCH($C$5&amp;"|"&amp;RIGHT("000000"&amp;1648,6),CalcRankKeyA,0),"")</f>
        <v/>
      </c>
      <c r="N1664" t="str">
        <f>IFERROR(MATCH($C$5&amp;"|"&amp;RIGHT("000000"&amp;1648,6),CalcRankKeyB,0),"")</f>
        <v/>
      </c>
    </row>
    <row r="1665" spans="1:14" x14ac:dyDescent="0.2">
      <c r="A1665" s="7">
        <v>1649</v>
      </c>
      <c r="B1665" s="8" t="str">
        <f t="shared" si="250"/>
        <v/>
      </c>
      <c r="C1665" s="8" t="str">
        <f t="shared" si="251"/>
        <v/>
      </c>
      <c r="D1665" s="8" t="str">
        <f t="shared" si="252"/>
        <v/>
      </c>
      <c r="E1665" s="9" t="str">
        <f t="shared" si="253"/>
        <v/>
      </c>
      <c r="F1665" s="9" t="str">
        <f t="shared" si="254"/>
        <v/>
      </c>
      <c r="G1665" s="9" t="str">
        <f t="shared" si="255"/>
        <v/>
      </c>
      <c r="H1665" s="9" t="str">
        <f t="shared" si="256"/>
        <v/>
      </c>
      <c r="I1665" s="10" t="str">
        <f t="shared" si="257"/>
        <v/>
      </c>
      <c r="J1665" s="10" t="str">
        <f t="shared" si="259"/>
        <v/>
      </c>
      <c r="K1665" s="11" t="str">
        <f t="shared" si="258"/>
        <v/>
      </c>
      <c r="M1665" t="str">
        <f>IFERROR(MATCH($C$5&amp;"|"&amp;RIGHT("000000"&amp;1649,6),CalcRankKeyA,0),"")</f>
        <v/>
      </c>
      <c r="N1665" t="str">
        <f>IFERROR(MATCH($C$5&amp;"|"&amp;RIGHT("000000"&amp;1649,6),CalcRankKeyB,0),"")</f>
        <v/>
      </c>
    </row>
    <row r="1666" spans="1:14" x14ac:dyDescent="0.2">
      <c r="A1666" s="12">
        <v>1650</v>
      </c>
      <c r="B1666" s="13" t="str">
        <f t="shared" si="250"/>
        <v/>
      </c>
      <c r="C1666" s="13" t="str">
        <f t="shared" si="251"/>
        <v/>
      </c>
      <c r="D1666" s="13" t="str">
        <f t="shared" si="252"/>
        <v/>
      </c>
      <c r="E1666" s="14" t="str">
        <f t="shared" si="253"/>
        <v/>
      </c>
      <c r="F1666" s="14" t="str">
        <f t="shared" si="254"/>
        <v/>
      </c>
      <c r="G1666" s="14" t="str">
        <f t="shared" si="255"/>
        <v/>
      </c>
      <c r="H1666" s="14" t="str">
        <f t="shared" si="256"/>
        <v/>
      </c>
      <c r="I1666" s="15" t="str">
        <f t="shared" si="257"/>
        <v/>
      </c>
      <c r="J1666" s="15" t="str">
        <f t="shared" si="259"/>
        <v/>
      </c>
      <c r="K1666" s="16" t="str">
        <f t="shared" si="258"/>
        <v/>
      </c>
      <c r="M1666" t="str">
        <f>IFERROR(MATCH($C$5&amp;"|"&amp;RIGHT("000000"&amp;1650,6),CalcRankKeyA,0),"")</f>
        <v/>
      </c>
      <c r="N1666" t="str">
        <f>IFERROR(MATCH($C$5&amp;"|"&amp;RIGHT("000000"&amp;1650,6),CalcRankKeyB,0),"")</f>
        <v/>
      </c>
    </row>
    <row r="1667" spans="1:14" x14ac:dyDescent="0.2">
      <c r="A1667" s="7">
        <v>1651</v>
      </c>
      <c r="B1667" s="8" t="str">
        <f t="shared" si="250"/>
        <v/>
      </c>
      <c r="C1667" s="8" t="str">
        <f t="shared" si="251"/>
        <v/>
      </c>
      <c r="D1667" s="8" t="str">
        <f t="shared" si="252"/>
        <v/>
      </c>
      <c r="E1667" s="9" t="str">
        <f t="shared" si="253"/>
        <v/>
      </c>
      <c r="F1667" s="9" t="str">
        <f t="shared" si="254"/>
        <v/>
      </c>
      <c r="G1667" s="9" t="str">
        <f t="shared" si="255"/>
        <v/>
      </c>
      <c r="H1667" s="9" t="str">
        <f t="shared" si="256"/>
        <v/>
      </c>
      <c r="I1667" s="10" t="str">
        <f t="shared" si="257"/>
        <v/>
      </c>
      <c r="J1667" s="10" t="str">
        <f t="shared" si="259"/>
        <v/>
      </c>
      <c r="K1667" s="11" t="str">
        <f t="shared" si="258"/>
        <v/>
      </c>
      <c r="M1667" t="str">
        <f>IFERROR(MATCH($C$5&amp;"|"&amp;RIGHT("000000"&amp;1651,6),CalcRankKeyA,0),"")</f>
        <v/>
      </c>
      <c r="N1667" t="str">
        <f>IFERROR(MATCH($C$5&amp;"|"&amp;RIGHT("000000"&amp;1651,6),CalcRankKeyB,0),"")</f>
        <v/>
      </c>
    </row>
    <row r="1668" spans="1:14" x14ac:dyDescent="0.2">
      <c r="A1668" s="12">
        <v>1652</v>
      </c>
      <c r="B1668" s="13" t="str">
        <f t="shared" si="250"/>
        <v/>
      </c>
      <c r="C1668" s="13" t="str">
        <f t="shared" si="251"/>
        <v/>
      </c>
      <c r="D1668" s="13" t="str">
        <f t="shared" si="252"/>
        <v/>
      </c>
      <c r="E1668" s="14" t="str">
        <f t="shared" si="253"/>
        <v/>
      </c>
      <c r="F1668" s="14" t="str">
        <f t="shared" si="254"/>
        <v/>
      </c>
      <c r="G1668" s="14" t="str">
        <f t="shared" si="255"/>
        <v/>
      </c>
      <c r="H1668" s="14" t="str">
        <f t="shared" si="256"/>
        <v/>
      </c>
      <c r="I1668" s="15" t="str">
        <f t="shared" si="257"/>
        <v/>
      </c>
      <c r="J1668" s="15" t="str">
        <f t="shared" si="259"/>
        <v/>
      </c>
      <c r="K1668" s="16" t="str">
        <f t="shared" si="258"/>
        <v/>
      </c>
      <c r="M1668" t="str">
        <f>IFERROR(MATCH($C$5&amp;"|"&amp;RIGHT("000000"&amp;1652,6),CalcRankKeyA,0),"")</f>
        <v/>
      </c>
      <c r="N1668" t="str">
        <f>IFERROR(MATCH($C$5&amp;"|"&amp;RIGHT("000000"&amp;1652,6),CalcRankKeyB,0),"")</f>
        <v/>
      </c>
    </row>
    <row r="1669" spans="1:14" x14ac:dyDescent="0.2">
      <c r="A1669" s="7">
        <v>1653</v>
      </c>
      <c r="B1669" s="8" t="str">
        <f t="shared" si="250"/>
        <v/>
      </c>
      <c r="C1669" s="8" t="str">
        <f t="shared" si="251"/>
        <v/>
      </c>
      <c r="D1669" s="8" t="str">
        <f t="shared" si="252"/>
        <v/>
      </c>
      <c r="E1669" s="9" t="str">
        <f t="shared" si="253"/>
        <v/>
      </c>
      <c r="F1669" s="9" t="str">
        <f t="shared" si="254"/>
        <v/>
      </c>
      <c r="G1669" s="9" t="str">
        <f t="shared" si="255"/>
        <v/>
      </c>
      <c r="H1669" s="9" t="str">
        <f t="shared" si="256"/>
        <v/>
      </c>
      <c r="I1669" s="10" t="str">
        <f t="shared" si="257"/>
        <v/>
      </c>
      <c r="J1669" s="10" t="str">
        <f t="shared" si="259"/>
        <v/>
      </c>
      <c r="K1669" s="11" t="str">
        <f t="shared" si="258"/>
        <v/>
      </c>
      <c r="M1669" t="str">
        <f>IFERROR(MATCH($C$5&amp;"|"&amp;RIGHT("000000"&amp;1653,6),CalcRankKeyA,0),"")</f>
        <v/>
      </c>
      <c r="N1669" t="str">
        <f>IFERROR(MATCH($C$5&amp;"|"&amp;RIGHT("000000"&amp;1653,6),CalcRankKeyB,0),"")</f>
        <v/>
      </c>
    </row>
    <row r="1670" spans="1:14" x14ac:dyDescent="0.2">
      <c r="A1670" s="12">
        <v>1654</v>
      </c>
      <c r="B1670" s="13" t="str">
        <f t="shared" si="250"/>
        <v/>
      </c>
      <c r="C1670" s="13" t="str">
        <f t="shared" si="251"/>
        <v/>
      </c>
      <c r="D1670" s="13" t="str">
        <f t="shared" si="252"/>
        <v/>
      </c>
      <c r="E1670" s="14" t="str">
        <f t="shared" si="253"/>
        <v/>
      </c>
      <c r="F1670" s="14" t="str">
        <f t="shared" si="254"/>
        <v/>
      </c>
      <c r="G1670" s="14" t="str">
        <f t="shared" si="255"/>
        <v/>
      </c>
      <c r="H1670" s="14" t="str">
        <f t="shared" si="256"/>
        <v/>
      </c>
      <c r="I1670" s="15" t="str">
        <f t="shared" si="257"/>
        <v/>
      </c>
      <c r="J1670" s="15" t="str">
        <f t="shared" si="259"/>
        <v/>
      </c>
      <c r="K1670" s="16" t="str">
        <f t="shared" si="258"/>
        <v/>
      </c>
      <c r="M1670" t="str">
        <f>IFERROR(MATCH($C$5&amp;"|"&amp;RIGHT("000000"&amp;1654,6),CalcRankKeyA,0),"")</f>
        <v/>
      </c>
      <c r="N1670" t="str">
        <f>IFERROR(MATCH($C$5&amp;"|"&amp;RIGHT("000000"&amp;1654,6),CalcRankKeyB,0),"")</f>
        <v/>
      </c>
    </row>
    <row r="1671" spans="1:14" x14ac:dyDescent="0.2">
      <c r="A1671" s="7">
        <v>1655</v>
      </c>
      <c r="B1671" s="8" t="str">
        <f t="shared" si="250"/>
        <v/>
      </c>
      <c r="C1671" s="8" t="str">
        <f t="shared" si="251"/>
        <v/>
      </c>
      <c r="D1671" s="8" t="str">
        <f t="shared" si="252"/>
        <v/>
      </c>
      <c r="E1671" s="9" t="str">
        <f t="shared" si="253"/>
        <v/>
      </c>
      <c r="F1671" s="9" t="str">
        <f t="shared" si="254"/>
        <v/>
      </c>
      <c r="G1671" s="9" t="str">
        <f t="shared" si="255"/>
        <v/>
      </c>
      <c r="H1671" s="9" t="str">
        <f t="shared" si="256"/>
        <v/>
      </c>
      <c r="I1671" s="10" t="str">
        <f t="shared" si="257"/>
        <v/>
      </c>
      <c r="J1671" s="10" t="str">
        <f t="shared" si="259"/>
        <v/>
      </c>
      <c r="K1671" s="11" t="str">
        <f t="shared" si="258"/>
        <v/>
      </c>
      <c r="M1671" t="str">
        <f>IFERROR(MATCH($C$5&amp;"|"&amp;RIGHT("000000"&amp;1655,6),CalcRankKeyA,0),"")</f>
        <v/>
      </c>
      <c r="N1671" t="str">
        <f>IFERROR(MATCH($C$5&amp;"|"&amp;RIGHT("000000"&amp;1655,6),CalcRankKeyB,0),"")</f>
        <v/>
      </c>
    </row>
    <row r="1672" spans="1:14" x14ac:dyDescent="0.2">
      <c r="A1672" s="12">
        <v>1656</v>
      </c>
      <c r="B1672" s="13" t="str">
        <f t="shared" si="250"/>
        <v/>
      </c>
      <c r="C1672" s="13" t="str">
        <f t="shared" si="251"/>
        <v/>
      </c>
      <c r="D1672" s="13" t="str">
        <f t="shared" si="252"/>
        <v/>
      </c>
      <c r="E1672" s="14" t="str">
        <f t="shared" si="253"/>
        <v/>
      </c>
      <c r="F1672" s="14" t="str">
        <f t="shared" si="254"/>
        <v/>
      </c>
      <c r="G1672" s="14" t="str">
        <f t="shared" si="255"/>
        <v/>
      </c>
      <c r="H1672" s="14" t="str">
        <f t="shared" si="256"/>
        <v/>
      </c>
      <c r="I1672" s="15" t="str">
        <f t="shared" si="257"/>
        <v/>
      </c>
      <c r="J1672" s="15" t="str">
        <f t="shared" si="259"/>
        <v/>
      </c>
      <c r="K1672" s="16" t="str">
        <f t="shared" si="258"/>
        <v/>
      </c>
      <c r="M1672" t="str">
        <f>IFERROR(MATCH($C$5&amp;"|"&amp;RIGHT("000000"&amp;1656,6),CalcRankKeyA,0),"")</f>
        <v/>
      </c>
      <c r="N1672" t="str">
        <f>IFERROR(MATCH($C$5&amp;"|"&amp;RIGHT("000000"&amp;1656,6),CalcRankKeyB,0),"")</f>
        <v/>
      </c>
    </row>
    <row r="1673" spans="1:14" x14ac:dyDescent="0.2">
      <c r="A1673" s="7">
        <v>1657</v>
      </c>
      <c r="B1673" s="8" t="str">
        <f t="shared" si="250"/>
        <v/>
      </c>
      <c r="C1673" s="8" t="str">
        <f t="shared" si="251"/>
        <v/>
      </c>
      <c r="D1673" s="8" t="str">
        <f t="shared" si="252"/>
        <v/>
      </c>
      <c r="E1673" s="9" t="str">
        <f t="shared" si="253"/>
        <v/>
      </c>
      <c r="F1673" s="9" t="str">
        <f t="shared" si="254"/>
        <v/>
      </c>
      <c r="G1673" s="9" t="str">
        <f t="shared" si="255"/>
        <v/>
      </c>
      <c r="H1673" s="9" t="str">
        <f t="shared" si="256"/>
        <v/>
      </c>
      <c r="I1673" s="10" t="str">
        <f t="shared" si="257"/>
        <v/>
      </c>
      <c r="J1673" s="10" t="str">
        <f t="shared" si="259"/>
        <v/>
      </c>
      <c r="K1673" s="11" t="str">
        <f t="shared" si="258"/>
        <v/>
      </c>
      <c r="M1673" t="str">
        <f>IFERROR(MATCH($C$5&amp;"|"&amp;RIGHT("000000"&amp;1657,6),CalcRankKeyA,0),"")</f>
        <v/>
      </c>
      <c r="N1673" t="str">
        <f>IFERROR(MATCH($C$5&amp;"|"&amp;RIGHT("000000"&amp;1657,6),CalcRankKeyB,0),"")</f>
        <v/>
      </c>
    </row>
    <row r="1674" spans="1:14" x14ac:dyDescent="0.2">
      <c r="A1674" s="12">
        <v>1658</v>
      </c>
      <c r="B1674" s="13" t="str">
        <f t="shared" si="250"/>
        <v/>
      </c>
      <c r="C1674" s="13" t="str">
        <f t="shared" si="251"/>
        <v/>
      </c>
      <c r="D1674" s="13" t="str">
        <f t="shared" si="252"/>
        <v/>
      </c>
      <c r="E1674" s="14" t="str">
        <f t="shared" si="253"/>
        <v/>
      </c>
      <c r="F1674" s="14" t="str">
        <f t="shared" si="254"/>
        <v/>
      </c>
      <c r="G1674" s="14" t="str">
        <f t="shared" si="255"/>
        <v/>
      </c>
      <c r="H1674" s="14" t="str">
        <f t="shared" si="256"/>
        <v/>
      </c>
      <c r="I1674" s="15" t="str">
        <f t="shared" si="257"/>
        <v/>
      </c>
      <c r="J1674" s="15" t="str">
        <f t="shared" si="259"/>
        <v/>
      </c>
      <c r="K1674" s="16" t="str">
        <f t="shared" si="258"/>
        <v/>
      </c>
      <c r="M1674" t="str">
        <f>IFERROR(MATCH($C$5&amp;"|"&amp;RIGHT("000000"&amp;1658,6),CalcRankKeyA,0),"")</f>
        <v/>
      </c>
      <c r="N1674" t="str">
        <f>IFERROR(MATCH($C$5&amp;"|"&amp;RIGHT("000000"&amp;1658,6),CalcRankKeyB,0),"")</f>
        <v/>
      </c>
    </row>
    <row r="1675" spans="1:14" x14ac:dyDescent="0.2">
      <c r="A1675" s="7">
        <v>1659</v>
      </c>
      <c r="B1675" s="8" t="str">
        <f t="shared" si="250"/>
        <v/>
      </c>
      <c r="C1675" s="8" t="str">
        <f t="shared" si="251"/>
        <v/>
      </c>
      <c r="D1675" s="8" t="str">
        <f t="shared" si="252"/>
        <v/>
      </c>
      <c r="E1675" s="9" t="str">
        <f t="shared" si="253"/>
        <v/>
      </c>
      <c r="F1675" s="9" t="str">
        <f t="shared" si="254"/>
        <v/>
      </c>
      <c r="G1675" s="9" t="str">
        <f t="shared" si="255"/>
        <v/>
      </c>
      <c r="H1675" s="9" t="str">
        <f t="shared" si="256"/>
        <v/>
      </c>
      <c r="I1675" s="10" t="str">
        <f t="shared" si="257"/>
        <v/>
      </c>
      <c r="J1675" s="10" t="str">
        <f t="shared" si="259"/>
        <v/>
      </c>
      <c r="K1675" s="11" t="str">
        <f t="shared" si="258"/>
        <v/>
      </c>
      <c r="M1675" t="str">
        <f>IFERROR(MATCH($C$5&amp;"|"&amp;RIGHT("000000"&amp;1659,6),CalcRankKeyA,0),"")</f>
        <v/>
      </c>
      <c r="N1675" t="str">
        <f>IFERROR(MATCH($C$5&amp;"|"&amp;RIGHT("000000"&amp;1659,6),CalcRankKeyB,0),"")</f>
        <v/>
      </c>
    </row>
    <row r="1676" spans="1:14" x14ac:dyDescent="0.2">
      <c r="A1676" s="12">
        <v>1660</v>
      </c>
      <c r="B1676" s="13" t="str">
        <f t="shared" si="250"/>
        <v/>
      </c>
      <c r="C1676" s="13" t="str">
        <f t="shared" si="251"/>
        <v/>
      </c>
      <c r="D1676" s="13" t="str">
        <f t="shared" si="252"/>
        <v/>
      </c>
      <c r="E1676" s="14" t="str">
        <f t="shared" si="253"/>
        <v/>
      </c>
      <c r="F1676" s="14" t="str">
        <f t="shared" si="254"/>
        <v/>
      </c>
      <c r="G1676" s="14" t="str">
        <f t="shared" si="255"/>
        <v/>
      </c>
      <c r="H1676" s="14" t="str">
        <f t="shared" si="256"/>
        <v/>
      </c>
      <c r="I1676" s="15" t="str">
        <f t="shared" si="257"/>
        <v/>
      </c>
      <c r="J1676" s="15" t="str">
        <f t="shared" si="259"/>
        <v/>
      </c>
      <c r="K1676" s="16" t="str">
        <f t="shared" si="258"/>
        <v/>
      </c>
      <c r="M1676" t="str">
        <f>IFERROR(MATCH($C$5&amp;"|"&amp;RIGHT("000000"&amp;1660,6),CalcRankKeyA,0),"")</f>
        <v/>
      </c>
      <c r="N1676" t="str">
        <f>IFERROR(MATCH($C$5&amp;"|"&amp;RIGHT("000000"&amp;1660,6),CalcRankKeyB,0),"")</f>
        <v/>
      </c>
    </row>
    <row r="1677" spans="1:14" x14ac:dyDescent="0.2">
      <c r="A1677" s="7">
        <v>1661</v>
      </c>
      <c r="B1677" s="8" t="str">
        <f t="shared" si="250"/>
        <v/>
      </c>
      <c r="C1677" s="8" t="str">
        <f t="shared" si="251"/>
        <v/>
      </c>
      <c r="D1677" s="8" t="str">
        <f t="shared" si="252"/>
        <v/>
      </c>
      <c r="E1677" s="9" t="str">
        <f t="shared" si="253"/>
        <v/>
      </c>
      <c r="F1677" s="9" t="str">
        <f t="shared" si="254"/>
        <v/>
      </c>
      <c r="G1677" s="9" t="str">
        <f t="shared" si="255"/>
        <v/>
      </c>
      <c r="H1677" s="9" t="str">
        <f t="shared" si="256"/>
        <v/>
      </c>
      <c r="I1677" s="10" t="str">
        <f t="shared" si="257"/>
        <v/>
      </c>
      <c r="J1677" s="10" t="str">
        <f t="shared" si="259"/>
        <v/>
      </c>
      <c r="K1677" s="11" t="str">
        <f t="shared" si="258"/>
        <v/>
      </c>
      <c r="M1677" t="str">
        <f>IFERROR(MATCH($C$5&amp;"|"&amp;RIGHT("000000"&amp;1661,6),CalcRankKeyA,0),"")</f>
        <v/>
      </c>
      <c r="N1677" t="str">
        <f>IFERROR(MATCH($C$5&amp;"|"&amp;RIGHT("000000"&amp;1661,6),CalcRankKeyB,0),"")</f>
        <v/>
      </c>
    </row>
    <row r="1678" spans="1:14" x14ac:dyDescent="0.2">
      <c r="A1678" s="12">
        <v>1662</v>
      </c>
      <c r="B1678" s="13" t="str">
        <f t="shared" si="250"/>
        <v/>
      </c>
      <c r="C1678" s="13" t="str">
        <f t="shared" si="251"/>
        <v/>
      </c>
      <c r="D1678" s="13" t="str">
        <f t="shared" si="252"/>
        <v/>
      </c>
      <c r="E1678" s="14" t="str">
        <f t="shared" si="253"/>
        <v/>
      </c>
      <c r="F1678" s="14" t="str">
        <f t="shared" si="254"/>
        <v/>
      </c>
      <c r="G1678" s="14" t="str">
        <f t="shared" si="255"/>
        <v/>
      </c>
      <c r="H1678" s="14" t="str">
        <f t="shared" si="256"/>
        <v/>
      </c>
      <c r="I1678" s="15" t="str">
        <f t="shared" si="257"/>
        <v/>
      </c>
      <c r="J1678" s="15" t="str">
        <f t="shared" si="259"/>
        <v/>
      </c>
      <c r="K1678" s="16" t="str">
        <f t="shared" si="258"/>
        <v/>
      </c>
      <c r="M1678" t="str">
        <f>IFERROR(MATCH($C$5&amp;"|"&amp;RIGHT("000000"&amp;1662,6),CalcRankKeyA,0),"")</f>
        <v/>
      </c>
      <c r="N1678" t="str">
        <f>IFERROR(MATCH($C$5&amp;"|"&amp;RIGHT("000000"&amp;1662,6),CalcRankKeyB,0),"")</f>
        <v/>
      </c>
    </row>
    <row r="1679" spans="1:14" x14ac:dyDescent="0.2">
      <c r="A1679" s="7">
        <v>1663</v>
      </c>
      <c r="B1679" s="8" t="str">
        <f t="shared" si="250"/>
        <v/>
      </c>
      <c r="C1679" s="8" t="str">
        <f t="shared" si="251"/>
        <v/>
      </c>
      <c r="D1679" s="8" t="str">
        <f t="shared" si="252"/>
        <v/>
      </c>
      <c r="E1679" s="9" t="str">
        <f t="shared" si="253"/>
        <v/>
      </c>
      <c r="F1679" s="9" t="str">
        <f t="shared" si="254"/>
        <v/>
      </c>
      <c r="G1679" s="9" t="str">
        <f t="shared" si="255"/>
        <v/>
      </c>
      <c r="H1679" s="9" t="str">
        <f t="shared" si="256"/>
        <v/>
      </c>
      <c r="I1679" s="10" t="str">
        <f t="shared" si="257"/>
        <v/>
      </c>
      <c r="J1679" s="10" t="str">
        <f t="shared" si="259"/>
        <v/>
      </c>
      <c r="K1679" s="11" t="str">
        <f t="shared" si="258"/>
        <v/>
      </c>
      <c r="M1679" t="str">
        <f>IFERROR(MATCH($C$5&amp;"|"&amp;RIGHT("000000"&amp;1663,6),CalcRankKeyA,0),"")</f>
        <v/>
      </c>
      <c r="N1679" t="str">
        <f>IFERROR(MATCH($C$5&amp;"|"&amp;RIGHT("000000"&amp;1663,6),CalcRankKeyB,0),"")</f>
        <v/>
      </c>
    </row>
    <row r="1680" spans="1:14" x14ac:dyDescent="0.2">
      <c r="A1680" s="12">
        <v>1664</v>
      </c>
      <c r="B1680" s="13" t="str">
        <f t="shared" si="250"/>
        <v/>
      </c>
      <c r="C1680" s="13" t="str">
        <f t="shared" si="251"/>
        <v/>
      </c>
      <c r="D1680" s="13" t="str">
        <f t="shared" si="252"/>
        <v/>
      </c>
      <c r="E1680" s="14" t="str">
        <f t="shared" si="253"/>
        <v/>
      </c>
      <c r="F1680" s="14" t="str">
        <f t="shared" si="254"/>
        <v/>
      </c>
      <c r="G1680" s="14" t="str">
        <f t="shared" si="255"/>
        <v/>
      </c>
      <c r="H1680" s="14" t="str">
        <f t="shared" si="256"/>
        <v/>
      </c>
      <c r="I1680" s="15" t="str">
        <f t="shared" si="257"/>
        <v/>
      </c>
      <c r="J1680" s="15" t="str">
        <f t="shared" si="259"/>
        <v/>
      </c>
      <c r="K1680" s="16" t="str">
        <f t="shared" si="258"/>
        <v/>
      </c>
      <c r="M1680" t="str">
        <f>IFERROR(MATCH($C$5&amp;"|"&amp;RIGHT("000000"&amp;1664,6),CalcRankKeyA,0),"")</f>
        <v/>
      </c>
      <c r="N1680" t="str">
        <f>IFERROR(MATCH($C$5&amp;"|"&amp;RIGHT("000000"&amp;1664,6),CalcRankKeyB,0),"")</f>
        <v/>
      </c>
    </row>
    <row r="1681" spans="1:14" x14ac:dyDescent="0.2">
      <c r="A1681" s="7">
        <v>1665</v>
      </c>
      <c r="B1681" s="8" t="str">
        <f t="shared" ref="B1681:B1744" si="260">IF(AND($M1681="",$N1681=""),"",IF($M1681&lt;&gt;"",INDEX(CalcDateA,$M1681),INDEX(CalcDateB,$N1681)))</f>
        <v/>
      </c>
      <c r="C1681" s="8" t="str">
        <f t="shared" ref="C1681:C1744" si="261">IF($M1681&lt;&gt;"","خرید سبد",IF($N1681&lt;&gt;"",IF(N(INDEX(CalcDepB,$N1681))&gt;0,"دریافت بانکی","پرداخت بانکی"),""))</f>
        <v/>
      </c>
      <c r="D1681" s="8" t="str">
        <f t="shared" ref="D1681:D1744" si="262">IF($M1681&lt;&gt;"",IF(INDEX(CalcDocA,$M1681)="","—",INDEX(CalcDocA,$M1681)),IF($N1681&lt;&gt;"",INDEX(CalcBankB,$N1681),""))</f>
        <v/>
      </c>
      <c r="E1681" s="9" t="str">
        <f t="shared" ref="E1681:E1744" si="263">IF($N1681&lt;&gt;"",IF(INDEX(CalcDepB,$N1681)=0,"",INDEX(CalcDepB,$N1681)),"")</f>
        <v/>
      </c>
      <c r="F1681" s="9" t="str">
        <f t="shared" ref="F1681:F1744" si="264">IF($M1681&lt;&gt;"",IF(INDEX(CalcQtyA,$M1681)=0,"",INDEX(CalcQtyA,$M1681)),"")</f>
        <v/>
      </c>
      <c r="G1681" s="9" t="str">
        <f t="shared" ref="G1681:G1744" si="265">IF($M1681&lt;&gt;"",IF(INDEX(CalcPriceA,$M1681)=0,"",INDEX(CalcPriceA,$M1681)),"")</f>
        <v/>
      </c>
      <c r="H1681" s="9" t="str">
        <f t="shared" ref="H1681:H1744" si="266">IF($N1681&lt;&gt;"",IF(INDEX(CalcWitB,$N1681)=0,"",INDEX(CalcWitB,$N1681)),"")</f>
        <v/>
      </c>
      <c r="I1681" s="10" t="str">
        <f t="shared" ref="I1681:I1744" si="267">IF($M1681&lt;&gt;"",INDEX(CalcAmtA,$M1681),"")</f>
        <v/>
      </c>
      <c r="J1681" s="10" t="str">
        <f t="shared" si="259"/>
        <v/>
      </c>
      <c r="K1681" s="11" t="str">
        <f t="shared" ref="K1681:K1744" si="268">IF($M1681&lt;&gt;"",IF(INDEX(CalcNoteA,$M1681)="","—",INDEX(CalcNoteA,$M1681)),IF($N1681&lt;&gt;"",IF(INDEX(CalcNoteB,$N1681)="","—",INDEX(CalcNoteB,$N1681)),""))</f>
        <v/>
      </c>
      <c r="M1681" t="str">
        <f>IFERROR(MATCH($C$5&amp;"|"&amp;RIGHT("000000"&amp;1665,6),CalcRankKeyA,0),"")</f>
        <v/>
      </c>
      <c r="N1681" t="str">
        <f>IFERROR(MATCH($C$5&amp;"|"&amp;RIGHT("000000"&amp;1665,6),CalcRankKeyB,0),"")</f>
        <v/>
      </c>
    </row>
    <row r="1682" spans="1:14" x14ac:dyDescent="0.2">
      <c r="A1682" s="12">
        <v>1666</v>
      </c>
      <c r="B1682" s="13" t="str">
        <f t="shared" si="260"/>
        <v/>
      </c>
      <c r="C1682" s="13" t="str">
        <f t="shared" si="261"/>
        <v/>
      </c>
      <c r="D1682" s="13" t="str">
        <f t="shared" si="262"/>
        <v/>
      </c>
      <c r="E1682" s="14" t="str">
        <f t="shared" si="263"/>
        <v/>
      </c>
      <c r="F1682" s="14" t="str">
        <f t="shared" si="264"/>
        <v/>
      </c>
      <c r="G1682" s="14" t="str">
        <f t="shared" si="265"/>
        <v/>
      </c>
      <c r="H1682" s="14" t="str">
        <f t="shared" si="266"/>
        <v/>
      </c>
      <c r="I1682" s="15" t="str">
        <f t="shared" si="267"/>
        <v/>
      </c>
      <c r="J1682" s="15" t="str">
        <f t="shared" ref="J1682:J1745" si="269">IF($B1682="","",IF($J1681="",$C$8,$J1681)+IF($I1682="",0,$I1682)+IF($E1682="",0,$E1682)-IF($H1682="",0,$H1682))</f>
        <v/>
      </c>
      <c r="K1682" s="16" t="str">
        <f t="shared" si="268"/>
        <v/>
      </c>
      <c r="M1682" t="str">
        <f>IFERROR(MATCH($C$5&amp;"|"&amp;RIGHT("000000"&amp;1666,6),CalcRankKeyA,0),"")</f>
        <v/>
      </c>
      <c r="N1682" t="str">
        <f>IFERROR(MATCH($C$5&amp;"|"&amp;RIGHT("000000"&amp;1666,6),CalcRankKeyB,0),"")</f>
        <v/>
      </c>
    </row>
    <row r="1683" spans="1:14" x14ac:dyDescent="0.2">
      <c r="A1683" s="7">
        <v>1667</v>
      </c>
      <c r="B1683" s="8" t="str">
        <f t="shared" si="260"/>
        <v/>
      </c>
      <c r="C1683" s="8" t="str">
        <f t="shared" si="261"/>
        <v/>
      </c>
      <c r="D1683" s="8" t="str">
        <f t="shared" si="262"/>
        <v/>
      </c>
      <c r="E1683" s="9" t="str">
        <f t="shared" si="263"/>
        <v/>
      </c>
      <c r="F1683" s="9" t="str">
        <f t="shared" si="264"/>
        <v/>
      </c>
      <c r="G1683" s="9" t="str">
        <f t="shared" si="265"/>
        <v/>
      </c>
      <c r="H1683" s="9" t="str">
        <f t="shared" si="266"/>
        <v/>
      </c>
      <c r="I1683" s="10" t="str">
        <f t="shared" si="267"/>
        <v/>
      </c>
      <c r="J1683" s="10" t="str">
        <f t="shared" si="269"/>
        <v/>
      </c>
      <c r="K1683" s="11" t="str">
        <f t="shared" si="268"/>
        <v/>
      </c>
      <c r="M1683" t="str">
        <f>IFERROR(MATCH($C$5&amp;"|"&amp;RIGHT("000000"&amp;1667,6),CalcRankKeyA,0),"")</f>
        <v/>
      </c>
      <c r="N1683" t="str">
        <f>IFERROR(MATCH($C$5&amp;"|"&amp;RIGHT("000000"&amp;1667,6),CalcRankKeyB,0),"")</f>
        <v/>
      </c>
    </row>
    <row r="1684" spans="1:14" x14ac:dyDescent="0.2">
      <c r="A1684" s="12">
        <v>1668</v>
      </c>
      <c r="B1684" s="13" t="str">
        <f t="shared" si="260"/>
        <v/>
      </c>
      <c r="C1684" s="13" t="str">
        <f t="shared" si="261"/>
        <v/>
      </c>
      <c r="D1684" s="13" t="str">
        <f t="shared" si="262"/>
        <v/>
      </c>
      <c r="E1684" s="14" t="str">
        <f t="shared" si="263"/>
        <v/>
      </c>
      <c r="F1684" s="14" t="str">
        <f t="shared" si="264"/>
        <v/>
      </c>
      <c r="G1684" s="14" t="str">
        <f t="shared" si="265"/>
        <v/>
      </c>
      <c r="H1684" s="14" t="str">
        <f t="shared" si="266"/>
        <v/>
      </c>
      <c r="I1684" s="15" t="str">
        <f t="shared" si="267"/>
        <v/>
      </c>
      <c r="J1684" s="15" t="str">
        <f t="shared" si="269"/>
        <v/>
      </c>
      <c r="K1684" s="16" t="str">
        <f t="shared" si="268"/>
        <v/>
      </c>
      <c r="M1684" t="str">
        <f>IFERROR(MATCH($C$5&amp;"|"&amp;RIGHT("000000"&amp;1668,6),CalcRankKeyA,0),"")</f>
        <v/>
      </c>
      <c r="N1684" t="str">
        <f>IFERROR(MATCH($C$5&amp;"|"&amp;RIGHT("000000"&amp;1668,6),CalcRankKeyB,0),"")</f>
        <v/>
      </c>
    </row>
    <row r="1685" spans="1:14" x14ac:dyDescent="0.2">
      <c r="A1685" s="7">
        <v>1669</v>
      </c>
      <c r="B1685" s="8" t="str">
        <f t="shared" si="260"/>
        <v/>
      </c>
      <c r="C1685" s="8" t="str">
        <f t="shared" si="261"/>
        <v/>
      </c>
      <c r="D1685" s="8" t="str">
        <f t="shared" si="262"/>
        <v/>
      </c>
      <c r="E1685" s="9" t="str">
        <f t="shared" si="263"/>
        <v/>
      </c>
      <c r="F1685" s="9" t="str">
        <f t="shared" si="264"/>
        <v/>
      </c>
      <c r="G1685" s="9" t="str">
        <f t="shared" si="265"/>
        <v/>
      </c>
      <c r="H1685" s="9" t="str">
        <f t="shared" si="266"/>
        <v/>
      </c>
      <c r="I1685" s="10" t="str">
        <f t="shared" si="267"/>
        <v/>
      </c>
      <c r="J1685" s="10" t="str">
        <f t="shared" si="269"/>
        <v/>
      </c>
      <c r="K1685" s="11" t="str">
        <f t="shared" si="268"/>
        <v/>
      </c>
      <c r="M1685" t="str">
        <f>IFERROR(MATCH($C$5&amp;"|"&amp;RIGHT("000000"&amp;1669,6),CalcRankKeyA,0),"")</f>
        <v/>
      </c>
      <c r="N1685" t="str">
        <f>IFERROR(MATCH($C$5&amp;"|"&amp;RIGHT("000000"&amp;1669,6),CalcRankKeyB,0),"")</f>
        <v/>
      </c>
    </row>
    <row r="1686" spans="1:14" x14ac:dyDescent="0.2">
      <c r="A1686" s="12">
        <v>1670</v>
      </c>
      <c r="B1686" s="13" t="str">
        <f t="shared" si="260"/>
        <v/>
      </c>
      <c r="C1686" s="13" t="str">
        <f t="shared" si="261"/>
        <v/>
      </c>
      <c r="D1686" s="13" t="str">
        <f t="shared" si="262"/>
        <v/>
      </c>
      <c r="E1686" s="14" t="str">
        <f t="shared" si="263"/>
        <v/>
      </c>
      <c r="F1686" s="14" t="str">
        <f t="shared" si="264"/>
        <v/>
      </c>
      <c r="G1686" s="14" t="str">
        <f t="shared" si="265"/>
        <v/>
      </c>
      <c r="H1686" s="14" t="str">
        <f t="shared" si="266"/>
        <v/>
      </c>
      <c r="I1686" s="15" t="str">
        <f t="shared" si="267"/>
        <v/>
      </c>
      <c r="J1686" s="15" t="str">
        <f t="shared" si="269"/>
        <v/>
      </c>
      <c r="K1686" s="16" t="str">
        <f t="shared" si="268"/>
        <v/>
      </c>
      <c r="M1686" t="str">
        <f>IFERROR(MATCH($C$5&amp;"|"&amp;RIGHT("000000"&amp;1670,6),CalcRankKeyA,0),"")</f>
        <v/>
      </c>
      <c r="N1686" t="str">
        <f>IFERROR(MATCH($C$5&amp;"|"&amp;RIGHT("000000"&amp;1670,6),CalcRankKeyB,0),"")</f>
        <v/>
      </c>
    </row>
    <row r="1687" spans="1:14" x14ac:dyDescent="0.2">
      <c r="A1687" s="7">
        <v>1671</v>
      </c>
      <c r="B1687" s="8" t="str">
        <f t="shared" si="260"/>
        <v/>
      </c>
      <c r="C1687" s="8" t="str">
        <f t="shared" si="261"/>
        <v/>
      </c>
      <c r="D1687" s="8" t="str">
        <f t="shared" si="262"/>
        <v/>
      </c>
      <c r="E1687" s="9" t="str">
        <f t="shared" si="263"/>
        <v/>
      </c>
      <c r="F1687" s="9" t="str">
        <f t="shared" si="264"/>
        <v/>
      </c>
      <c r="G1687" s="9" t="str">
        <f t="shared" si="265"/>
        <v/>
      </c>
      <c r="H1687" s="9" t="str">
        <f t="shared" si="266"/>
        <v/>
      </c>
      <c r="I1687" s="10" t="str">
        <f t="shared" si="267"/>
        <v/>
      </c>
      <c r="J1687" s="10" t="str">
        <f t="shared" si="269"/>
        <v/>
      </c>
      <c r="K1687" s="11" t="str">
        <f t="shared" si="268"/>
        <v/>
      </c>
      <c r="M1687" t="str">
        <f>IFERROR(MATCH($C$5&amp;"|"&amp;RIGHT("000000"&amp;1671,6),CalcRankKeyA,0),"")</f>
        <v/>
      </c>
      <c r="N1687" t="str">
        <f>IFERROR(MATCH($C$5&amp;"|"&amp;RIGHT("000000"&amp;1671,6),CalcRankKeyB,0),"")</f>
        <v/>
      </c>
    </row>
    <row r="1688" spans="1:14" x14ac:dyDescent="0.2">
      <c r="A1688" s="12">
        <v>1672</v>
      </c>
      <c r="B1688" s="13" t="str">
        <f t="shared" si="260"/>
        <v/>
      </c>
      <c r="C1688" s="13" t="str">
        <f t="shared" si="261"/>
        <v/>
      </c>
      <c r="D1688" s="13" t="str">
        <f t="shared" si="262"/>
        <v/>
      </c>
      <c r="E1688" s="14" t="str">
        <f t="shared" si="263"/>
        <v/>
      </c>
      <c r="F1688" s="14" t="str">
        <f t="shared" si="264"/>
        <v/>
      </c>
      <c r="G1688" s="14" t="str">
        <f t="shared" si="265"/>
        <v/>
      </c>
      <c r="H1688" s="14" t="str">
        <f t="shared" si="266"/>
        <v/>
      </c>
      <c r="I1688" s="15" t="str">
        <f t="shared" si="267"/>
        <v/>
      </c>
      <c r="J1688" s="15" t="str">
        <f t="shared" si="269"/>
        <v/>
      </c>
      <c r="K1688" s="16" t="str">
        <f t="shared" si="268"/>
        <v/>
      </c>
      <c r="M1688" t="str">
        <f>IFERROR(MATCH($C$5&amp;"|"&amp;RIGHT("000000"&amp;1672,6),CalcRankKeyA,0),"")</f>
        <v/>
      </c>
      <c r="N1688" t="str">
        <f>IFERROR(MATCH($C$5&amp;"|"&amp;RIGHT("000000"&amp;1672,6),CalcRankKeyB,0),"")</f>
        <v/>
      </c>
    </row>
    <row r="1689" spans="1:14" x14ac:dyDescent="0.2">
      <c r="A1689" s="7">
        <v>1673</v>
      </c>
      <c r="B1689" s="8" t="str">
        <f t="shared" si="260"/>
        <v/>
      </c>
      <c r="C1689" s="8" t="str">
        <f t="shared" si="261"/>
        <v/>
      </c>
      <c r="D1689" s="8" t="str">
        <f t="shared" si="262"/>
        <v/>
      </c>
      <c r="E1689" s="9" t="str">
        <f t="shared" si="263"/>
        <v/>
      </c>
      <c r="F1689" s="9" t="str">
        <f t="shared" si="264"/>
        <v/>
      </c>
      <c r="G1689" s="9" t="str">
        <f t="shared" si="265"/>
        <v/>
      </c>
      <c r="H1689" s="9" t="str">
        <f t="shared" si="266"/>
        <v/>
      </c>
      <c r="I1689" s="10" t="str">
        <f t="shared" si="267"/>
        <v/>
      </c>
      <c r="J1689" s="10" t="str">
        <f t="shared" si="269"/>
        <v/>
      </c>
      <c r="K1689" s="11" t="str">
        <f t="shared" si="268"/>
        <v/>
      </c>
      <c r="M1689" t="str">
        <f>IFERROR(MATCH($C$5&amp;"|"&amp;RIGHT("000000"&amp;1673,6),CalcRankKeyA,0),"")</f>
        <v/>
      </c>
      <c r="N1689" t="str">
        <f>IFERROR(MATCH($C$5&amp;"|"&amp;RIGHT("000000"&amp;1673,6),CalcRankKeyB,0),"")</f>
        <v/>
      </c>
    </row>
    <row r="1690" spans="1:14" x14ac:dyDescent="0.2">
      <c r="A1690" s="12">
        <v>1674</v>
      </c>
      <c r="B1690" s="13" t="str">
        <f t="shared" si="260"/>
        <v/>
      </c>
      <c r="C1690" s="13" t="str">
        <f t="shared" si="261"/>
        <v/>
      </c>
      <c r="D1690" s="13" t="str">
        <f t="shared" si="262"/>
        <v/>
      </c>
      <c r="E1690" s="14" t="str">
        <f t="shared" si="263"/>
        <v/>
      </c>
      <c r="F1690" s="14" t="str">
        <f t="shared" si="264"/>
        <v/>
      </c>
      <c r="G1690" s="14" t="str">
        <f t="shared" si="265"/>
        <v/>
      </c>
      <c r="H1690" s="14" t="str">
        <f t="shared" si="266"/>
        <v/>
      </c>
      <c r="I1690" s="15" t="str">
        <f t="shared" si="267"/>
        <v/>
      </c>
      <c r="J1690" s="15" t="str">
        <f t="shared" si="269"/>
        <v/>
      </c>
      <c r="K1690" s="16" t="str">
        <f t="shared" si="268"/>
        <v/>
      </c>
      <c r="M1690" t="str">
        <f>IFERROR(MATCH($C$5&amp;"|"&amp;RIGHT("000000"&amp;1674,6),CalcRankKeyA,0),"")</f>
        <v/>
      </c>
      <c r="N1690" t="str">
        <f>IFERROR(MATCH($C$5&amp;"|"&amp;RIGHT("000000"&amp;1674,6),CalcRankKeyB,0),"")</f>
        <v/>
      </c>
    </row>
    <row r="1691" spans="1:14" x14ac:dyDescent="0.2">
      <c r="A1691" s="7">
        <v>1675</v>
      </c>
      <c r="B1691" s="8" t="str">
        <f t="shared" si="260"/>
        <v/>
      </c>
      <c r="C1691" s="8" t="str">
        <f t="shared" si="261"/>
        <v/>
      </c>
      <c r="D1691" s="8" t="str">
        <f t="shared" si="262"/>
        <v/>
      </c>
      <c r="E1691" s="9" t="str">
        <f t="shared" si="263"/>
        <v/>
      </c>
      <c r="F1691" s="9" t="str">
        <f t="shared" si="264"/>
        <v/>
      </c>
      <c r="G1691" s="9" t="str">
        <f t="shared" si="265"/>
        <v/>
      </c>
      <c r="H1691" s="9" t="str">
        <f t="shared" si="266"/>
        <v/>
      </c>
      <c r="I1691" s="10" t="str">
        <f t="shared" si="267"/>
        <v/>
      </c>
      <c r="J1691" s="10" t="str">
        <f t="shared" si="269"/>
        <v/>
      </c>
      <c r="K1691" s="11" t="str">
        <f t="shared" si="268"/>
        <v/>
      </c>
      <c r="M1691" t="str">
        <f>IFERROR(MATCH($C$5&amp;"|"&amp;RIGHT("000000"&amp;1675,6),CalcRankKeyA,0),"")</f>
        <v/>
      </c>
      <c r="N1691" t="str">
        <f>IFERROR(MATCH($C$5&amp;"|"&amp;RIGHT("000000"&amp;1675,6),CalcRankKeyB,0),"")</f>
        <v/>
      </c>
    </row>
    <row r="1692" spans="1:14" x14ac:dyDescent="0.2">
      <c r="A1692" s="12">
        <v>1676</v>
      </c>
      <c r="B1692" s="13" t="str">
        <f t="shared" si="260"/>
        <v/>
      </c>
      <c r="C1692" s="13" t="str">
        <f t="shared" si="261"/>
        <v/>
      </c>
      <c r="D1692" s="13" t="str">
        <f t="shared" si="262"/>
        <v/>
      </c>
      <c r="E1692" s="14" t="str">
        <f t="shared" si="263"/>
        <v/>
      </c>
      <c r="F1692" s="14" t="str">
        <f t="shared" si="264"/>
        <v/>
      </c>
      <c r="G1692" s="14" t="str">
        <f t="shared" si="265"/>
        <v/>
      </c>
      <c r="H1692" s="14" t="str">
        <f t="shared" si="266"/>
        <v/>
      </c>
      <c r="I1692" s="15" t="str">
        <f t="shared" si="267"/>
        <v/>
      </c>
      <c r="J1692" s="15" t="str">
        <f t="shared" si="269"/>
        <v/>
      </c>
      <c r="K1692" s="16" t="str">
        <f t="shared" si="268"/>
        <v/>
      </c>
      <c r="M1692" t="str">
        <f>IFERROR(MATCH($C$5&amp;"|"&amp;RIGHT("000000"&amp;1676,6),CalcRankKeyA,0),"")</f>
        <v/>
      </c>
      <c r="N1692" t="str">
        <f>IFERROR(MATCH($C$5&amp;"|"&amp;RIGHT("000000"&amp;1676,6),CalcRankKeyB,0),"")</f>
        <v/>
      </c>
    </row>
    <row r="1693" spans="1:14" x14ac:dyDescent="0.2">
      <c r="A1693" s="7">
        <v>1677</v>
      </c>
      <c r="B1693" s="8" t="str">
        <f t="shared" si="260"/>
        <v/>
      </c>
      <c r="C1693" s="8" t="str">
        <f t="shared" si="261"/>
        <v/>
      </c>
      <c r="D1693" s="8" t="str">
        <f t="shared" si="262"/>
        <v/>
      </c>
      <c r="E1693" s="9" t="str">
        <f t="shared" si="263"/>
        <v/>
      </c>
      <c r="F1693" s="9" t="str">
        <f t="shared" si="264"/>
        <v/>
      </c>
      <c r="G1693" s="9" t="str">
        <f t="shared" si="265"/>
        <v/>
      </c>
      <c r="H1693" s="9" t="str">
        <f t="shared" si="266"/>
        <v/>
      </c>
      <c r="I1693" s="10" t="str">
        <f t="shared" si="267"/>
        <v/>
      </c>
      <c r="J1693" s="10" t="str">
        <f t="shared" si="269"/>
        <v/>
      </c>
      <c r="K1693" s="11" t="str">
        <f t="shared" si="268"/>
        <v/>
      </c>
      <c r="M1693" t="str">
        <f>IFERROR(MATCH($C$5&amp;"|"&amp;RIGHT("000000"&amp;1677,6),CalcRankKeyA,0),"")</f>
        <v/>
      </c>
      <c r="N1693" t="str">
        <f>IFERROR(MATCH($C$5&amp;"|"&amp;RIGHT("000000"&amp;1677,6),CalcRankKeyB,0),"")</f>
        <v/>
      </c>
    </row>
    <row r="1694" spans="1:14" x14ac:dyDescent="0.2">
      <c r="A1694" s="12">
        <v>1678</v>
      </c>
      <c r="B1694" s="13" t="str">
        <f t="shared" si="260"/>
        <v/>
      </c>
      <c r="C1694" s="13" t="str">
        <f t="shared" si="261"/>
        <v/>
      </c>
      <c r="D1694" s="13" t="str">
        <f t="shared" si="262"/>
        <v/>
      </c>
      <c r="E1694" s="14" t="str">
        <f t="shared" si="263"/>
        <v/>
      </c>
      <c r="F1694" s="14" t="str">
        <f t="shared" si="264"/>
        <v/>
      </c>
      <c r="G1694" s="14" t="str">
        <f t="shared" si="265"/>
        <v/>
      </c>
      <c r="H1694" s="14" t="str">
        <f t="shared" si="266"/>
        <v/>
      </c>
      <c r="I1694" s="15" t="str">
        <f t="shared" si="267"/>
        <v/>
      </c>
      <c r="J1694" s="15" t="str">
        <f t="shared" si="269"/>
        <v/>
      </c>
      <c r="K1694" s="16" t="str">
        <f t="shared" si="268"/>
        <v/>
      </c>
      <c r="M1694" t="str">
        <f>IFERROR(MATCH($C$5&amp;"|"&amp;RIGHT("000000"&amp;1678,6),CalcRankKeyA,0),"")</f>
        <v/>
      </c>
      <c r="N1694" t="str">
        <f>IFERROR(MATCH($C$5&amp;"|"&amp;RIGHT("000000"&amp;1678,6),CalcRankKeyB,0),"")</f>
        <v/>
      </c>
    </row>
    <row r="1695" spans="1:14" x14ac:dyDescent="0.2">
      <c r="A1695" s="7">
        <v>1679</v>
      </c>
      <c r="B1695" s="8" t="str">
        <f t="shared" si="260"/>
        <v/>
      </c>
      <c r="C1695" s="8" t="str">
        <f t="shared" si="261"/>
        <v/>
      </c>
      <c r="D1695" s="8" t="str">
        <f t="shared" si="262"/>
        <v/>
      </c>
      <c r="E1695" s="9" t="str">
        <f t="shared" si="263"/>
        <v/>
      </c>
      <c r="F1695" s="9" t="str">
        <f t="shared" si="264"/>
        <v/>
      </c>
      <c r="G1695" s="9" t="str">
        <f t="shared" si="265"/>
        <v/>
      </c>
      <c r="H1695" s="9" t="str">
        <f t="shared" si="266"/>
        <v/>
      </c>
      <c r="I1695" s="10" t="str">
        <f t="shared" si="267"/>
        <v/>
      </c>
      <c r="J1695" s="10" t="str">
        <f t="shared" si="269"/>
        <v/>
      </c>
      <c r="K1695" s="11" t="str">
        <f t="shared" si="268"/>
        <v/>
      </c>
      <c r="M1695" t="str">
        <f>IFERROR(MATCH($C$5&amp;"|"&amp;RIGHT("000000"&amp;1679,6),CalcRankKeyA,0),"")</f>
        <v/>
      </c>
      <c r="N1695" t="str">
        <f>IFERROR(MATCH($C$5&amp;"|"&amp;RIGHT("000000"&amp;1679,6),CalcRankKeyB,0),"")</f>
        <v/>
      </c>
    </row>
    <row r="1696" spans="1:14" x14ac:dyDescent="0.2">
      <c r="A1696" s="12">
        <v>1680</v>
      </c>
      <c r="B1696" s="13" t="str">
        <f t="shared" si="260"/>
        <v/>
      </c>
      <c r="C1696" s="13" t="str">
        <f t="shared" si="261"/>
        <v/>
      </c>
      <c r="D1696" s="13" t="str">
        <f t="shared" si="262"/>
        <v/>
      </c>
      <c r="E1696" s="14" t="str">
        <f t="shared" si="263"/>
        <v/>
      </c>
      <c r="F1696" s="14" t="str">
        <f t="shared" si="264"/>
        <v/>
      </c>
      <c r="G1696" s="14" t="str">
        <f t="shared" si="265"/>
        <v/>
      </c>
      <c r="H1696" s="14" t="str">
        <f t="shared" si="266"/>
        <v/>
      </c>
      <c r="I1696" s="15" t="str">
        <f t="shared" si="267"/>
        <v/>
      </c>
      <c r="J1696" s="15" t="str">
        <f t="shared" si="269"/>
        <v/>
      </c>
      <c r="K1696" s="16" t="str">
        <f t="shared" si="268"/>
        <v/>
      </c>
      <c r="M1696" t="str">
        <f>IFERROR(MATCH($C$5&amp;"|"&amp;RIGHT("000000"&amp;1680,6),CalcRankKeyA,0),"")</f>
        <v/>
      </c>
      <c r="N1696" t="str">
        <f>IFERROR(MATCH($C$5&amp;"|"&amp;RIGHT("000000"&amp;1680,6),CalcRankKeyB,0),"")</f>
        <v/>
      </c>
    </row>
    <row r="1697" spans="1:14" x14ac:dyDescent="0.2">
      <c r="A1697" s="7">
        <v>1681</v>
      </c>
      <c r="B1697" s="8" t="str">
        <f t="shared" si="260"/>
        <v/>
      </c>
      <c r="C1697" s="8" t="str">
        <f t="shared" si="261"/>
        <v/>
      </c>
      <c r="D1697" s="8" t="str">
        <f t="shared" si="262"/>
        <v/>
      </c>
      <c r="E1697" s="9" t="str">
        <f t="shared" si="263"/>
        <v/>
      </c>
      <c r="F1697" s="9" t="str">
        <f t="shared" si="264"/>
        <v/>
      </c>
      <c r="G1697" s="9" t="str">
        <f t="shared" si="265"/>
        <v/>
      </c>
      <c r="H1697" s="9" t="str">
        <f t="shared" si="266"/>
        <v/>
      </c>
      <c r="I1697" s="10" t="str">
        <f t="shared" si="267"/>
        <v/>
      </c>
      <c r="J1697" s="10" t="str">
        <f t="shared" si="269"/>
        <v/>
      </c>
      <c r="K1697" s="11" t="str">
        <f t="shared" si="268"/>
        <v/>
      </c>
      <c r="M1697" t="str">
        <f>IFERROR(MATCH($C$5&amp;"|"&amp;RIGHT("000000"&amp;1681,6),CalcRankKeyA,0),"")</f>
        <v/>
      </c>
      <c r="N1697" t="str">
        <f>IFERROR(MATCH($C$5&amp;"|"&amp;RIGHT("000000"&amp;1681,6),CalcRankKeyB,0),"")</f>
        <v/>
      </c>
    </row>
    <row r="1698" spans="1:14" x14ac:dyDescent="0.2">
      <c r="A1698" s="12">
        <v>1682</v>
      </c>
      <c r="B1698" s="13" t="str">
        <f t="shared" si="260"/>
        <v/>
      </c>
      <c r="C1698" s="13" t="str">
        <f t="shared" si="261"/>
        <v/>
      </c>
      <c r="D1698" s="13" t="str">
        <f t="shared" si="262"/>
        <v/>
      </c>
      <c r="E1698" s="14" t="str">
        <f t="shared" si="263"/>
        <v/>
      </c>
      <c r="F1698" s="14" t="str">
        <f t="shared" si="264"/>
        <v/>
      </c>
      <c r="G1698" s="14" t="str">
        <f t="shared" si="265"/>
        <v/>
      </c>
      <c r="H1698" s="14" t="str">
        <f t="shared" si="266"/>
        <v/>
      </c>
      <c r="I1698" s="15" t="str">
        <f t="shared" si="267"/>
        <v/>
      </c>
      <c r="J1698" s="15" t="str">
        <f t="shared" si="269"/>
        <v/>
      </c>
      <c r="K1698" s="16" t="str">
        <f t="shared" si="268"/>
        <v/>
      </c>
      <c r="M1698" t="str">
        <f>IFERROR(MATCH($C$5&amp;"|"&amp;RIGHT("000000"&amp;1682,6),CalcRankKeyA,0),"")</f>
        <v/>
      </c>
      <c r="N1698" t="str">
        <f>IFERROR(MATCH($C$5&amp;"|"&amp;RIGHT("000000"&amp;1682,6),CalcRankKeyB,0),"")</f>
        <v/>
      </c>
    </row>
    <row r="1699" spans="1:14" x14ac:dyDescent="0.2">
      <c r="A1699" s="7">
        <v>1683</v>
      </c>
      <c r="B1699" s="8" t="str">
        <f t="shared" si="260"/>
        <v/>
      </c>
      <c r="C1699" s="8" t="str">
        <f t="shared" si="261"/>
        <v/>
      </c>
      <c r="D1699" s="8" t="str">
        <f t="shared" si="262"/>
        <v/>
      </c>
      <c r="E1699" s="9" t="str">
        <f t="shared" si="263"/>
        <v/>
      </c>
      <c r="F1699" s="9" t="str">
        <f t="shared" si="264"/>
        <v/>
      </c>
      <c r="G1699" s="9" t="str">
        <f t="shared" si="265"/>
        <v/>
      </c>
      <c r="H1699" s="9" t="str">
        <f t="shared" si="266"/>
        <v/>
      </c>
      <c r="I1699" s="10" t="str">
        <f t="shared" si="267"/>
        <v/>
      </c>
      <c r="J1699" s="10" t="str">
        <f t="shared" si="269"/>
        <v/>
      </c>
      <c r="K1699" s="11" t="str">
        <f t="shared" si="268"/>
        <v/>
      </c>
      <c r="M1699" t="str">
        <f>IFERROR(MATCH($C$5&amp;"|"&amp;RIGHT("000000"&amp;1683,6),CalcRankKeyA,0),"")</f>
        <v/>
      </c>
      <c r="N1699" t="str">
        <f>IFERROR(MATCH($C$5&amp;"|"&amp;RIGHT("000000"&amp;1683,6),CalcRankKeyB,0),"")</f>
        <v/>
      </c>
    </row>
    <row r="1700" spans="1:14" x14ac:dyDescent="0.2">
      <c r="A1700" s="12">
        <v>1684</v>
      </c>
      <c r="B1700" s="13" t="str">
        <f t="shared" si="260"/>
        <v/>
      </c>
      <c r="C1700" s="13" t="str">
        <f t="shared" si="261"/>
        <v/>
      </c>
      <c r="D1700" s="13" t="str">
        <f t="shared" si="262"/>
        <v/>
      </c>
      <c r="E1700" s="14" t="str">
        <f t="shared" si="263"/>
        <v/>
      </c>
      <c r="F1700" s="14" t="str">
        <f t="shared" si="264"/>
        <v/>
      </c>
      <c r="G1700" s="14" t="str">
        <f t="shared" si="265"/>
        <v/>
      </c>
      <c r="H1700" s="14" t="str">
        <f t="shared" si="266"/>
        <v/>
      </c>
      <c r="I1700" s="15" t="str">
        <f t="shared" si="267"/>
        <v/>
      </c>
      <c r="J1700" s="15" t="str">
        <f t="shared" si="269"/>
        <v/>
      </c>
      <c r="K1700" s="16" t="str">
        <f t="shared" si="268"/>
        <v/>
      </c>
      <c r="M1700" t="str">
        <f>IFERROR(MATCH($C$5&amp;"|"&amp;RIGHT("000000"&amp;1684,6),CalcRankKeyA,0),"")</f>
        <v/>
      </c>
      <c r="N1700" t="str">
        <f>IFERROR(MATCH($C$5&amp;"|"&amp;RIGHT("000000"&amp;1684,6),CalcRankKeyB,0),"")</f>
        <v/>
      </c>
    </row>
    <row r="1701" spans="1:14" x14ac:dyDescent="0.2">
      <c r="A1701" s="7">
        <v>1685</v>
      </c>
      <c r="B1701" s="8" t="str">
        <f t="shared" si="260"/>
        <v/>
      </c>
      <c r="C1701" s="8" t="str">
        <f t="shared" si="261"/>
        <v/>
      </c>
      <c r="D1701" s="8" t="str">
        <f t="shared" si="262"/>
        <v/>
      </c>
      <c r="E1701" s="9" t="str">
        <f t="shared" si="263"/>
        <v/>
      </c>
      <c r="F1701" s="9" t="str">
        <f t="shared" si="264"/>
        <v/>
      </c>
      <c r="G1701" s="9" t="str">
        <f t="shared" si="265"/>
        <v/>
      </c>
      <c r="H1701" s="9" t="str">
        <f t="shared" si="266"/>
        <v/>
      </c>
      <c r="I1701" s="10" t="str">
        <f t="shared" si="267"/>
        <v/>
      </c>
      <c r="J1701" s="10" t="str">
        <f t="shared" si="269"/>
        <v/>
      </c>
      <c r="K1701" s="11" t="str">
        <f t="shared" si="268"/>
        <v/>
      </c>
      <c r="M1701" t="str">
        <f>IFERROR(MATCH($C$5&amp;"|"&amp;RIGHT("000000"&amp;1685,6),CalcRankKeyA,0),"")</f>
        <v/>
      </c>
      <c r="N1701" t="str">
        <f>IFERROR(MATCH($C$5&amp;"|"&amp;RIGHT("000000"&amp;1685,6),CalcRankKeyB,0),"")</f>
        <v/>
      </c>
    </row>
    <row r="1702" spans="1:14" x14ac:dyDescent="0.2">
      <c r="A1702" s="12">
        <v>1686</v>
      </c>
      <c r="B1702" s="13" t="str">
        <f t="shared" si="260"/>
        <v/>
      </c>
      <c r="C1702" s="13" t="str">
        <f t="shared" si="261"/>
        <v/>
      </c>
      <c r="D1702" s="13" t="str">
        <f t="shared" si="262"/>
        <v/>
      </c>
      <c r="E1702" s="14" t="str">
        <f t="shared" si="263"/>
        <v/>
      </c>
      <c r="F1702" s="14" t="str">
        <f t="shared" si="264"/>
        <v/>
      </c>
      <c r="G1702" s="14" t="str">
        <f t="shared" si="265"/>
        <v/>
      </c>
      <c r="H1702" s="14" t="str">
        <f t="shared" si="266"/>
        <v/>
      </c>
      <c r="I1702" s="15" t="str">
        <f t="shared" si="267"/>
        <v/>
      </c>
      <c r="J1702" s="15" t="str">
        <f t="shared" si="269"/>
        <v/>
      </c>
      <c r="K1702" s="16" t="str">
        <f t="shared" si="268"/>
        <v/>
      </c>
      <c r="M1702" t="str">
        <f>IFERROR(MATCH($C$5&amp;"|"&amp;RIGHT("000000"&amp;1686,6),CalcRankKeyA,0),"")</f>
        <v/>
      </c>
      <c r="N1702" t="str">
        <f>IFERROR(MATCH($C$5&amp;"|"&amp;RIGHT("000000"&amp;1686,6),CalcRankKeyB,0),"")</f>
        <v/>
      </c>
    </row>
    <row r="1703" spans="1:14" x14ac:dyDescent="0.2">
      <c r="A1703" s="7">
        <v>1687</v>
      </c>
      <c r="B1703" s="8" t="str">
        <f t="shared" si="260"/>
        <v/>
      </c>
      <c r="C1703" s="8" t="str">
        <f t="shared" si="261"/>
        <v/>
      </c>
      <c r="D1703" s="8" t="str">
        <f t="shared" si="262"/>
        <v/>
      </c>
      <c r="E1703" s="9" t="str">
        <f t="shared" si="263"/>
        <v/>
      </c>
      <c r="F1703" s="9" t="str">
        <f t="shared" si="264"/>
        <v/>
      </c>
      <c r="G1703" s="9" t="str">
        <f t="shared" si="265"/>
        <v/>
      </c>
      <c r="H1703" s="9" t="str">
        <f t="shared" si="266"/>
        <v/>
      </c>
      <c r="I1703" s="10" t="str">
        <f t="shared" si="267"/>
        <v/>
      </c>
      <c r="J1703" s="10" t="str">
        <f t="shared" si="269"/>
        <v/>
      </c>
      <c r="K1703" s="11" t="str">
        <f t="shared" si="268"/>
        <v/>
      </c>
      <c r="M1703" t="str">
        <f>IFERROR(MATCH($C$5&amp;"|"&amp;RIGHT("000000"&amp;1687,6),CalcRankKeyA,0),"")</f>
        <v/>
      </c>
      <c r="N1703" t="str">
        <f>IFERROR(MATCH($C$5&amp;"|"&amp;RIGHT("000000"&amp;1687,6),CalcRankKeyB,0),"")</f>
        <v/>
      </c>
    </row>
    <row r="1704" spans="1:14" x14ac:dyDescent="0.2">
      <c r="A1704" s="12">
        <v>1688</v>
      </c>
      <c r="B1704" s="13" t="str">
        <f t="shared" si="260"/>
        <v/>
      </c>
      <c r="C1704" s="13" t="str">
        <f t="shared" si="261"/>
        <v/>
      </c>
      <c r="D1704" s="13" t="str">
        <f t="shared" si="262"/>
        <v/>
      </c>
      <c r="E1704" s="14" t="str">
        <f t="shared" si="263"/>
        <v/>
      </c>
      <c r="F1704" s="14" t="str">
        <f t="shared" si="264"/>
        <v/>
      </c>
      <c r="G1704" s="14" t="str">
        <f t="shared" si="265"/>
        <v/>
      </c>
      <c r="H1704" s="14" t="str">
        <f t="shared" si="266"/>
        <v/>
      </c>
      <c r="I1704" s="15" t="str">
        <f t="shared" si="267"/>
        <v/>
      </c>
      <c r="J1704" s="15" t="str">
        <f t="shared" si="269"/>
        <v/>
      </c>
      <c r="K1704" s="16" t="str">
        <f t="shared" si="268"/>
        <v/>
      </c>
      <c r="M1704" t="str">
        <f>IFERROR(MATCH($C$5&amp;"|"&amp;RIGHT("000000"&amp;1688,6),CalcRankKeyA,0),"")</f>
        <v/>
      </c>
      <c r="N1704" t="str">
        <f>IFERROR(MATCH($C$5&amp;"|"&amp;RIGHT("000000"&amp;1688,6),CalcRankKeyB,0),"")</f>
        <v/>
      </c>
    </row>
    <row r="1705" spans="1:14" x14ac:dyDescent="0.2">
      <c r="A1705" s="7">
        <v>1689</v>
      </c>
      <c r="B1705" s="8" t="str">
        <f t="shared" si="260"/>
        <v/>
      </c>
      <c r="C1705" s="8" t="str">
        <f t="shared" si="261"/>
        <v/>
      </c>
      <c r="D1705" s="8" t="str">
        <f t="shared" si="262"/>
        <v/>
      </c>
      <c r="E1705" s="9" t="str">
        <f t="shared" si="263"/>
        <v/>
      </c>
      <c r="F1705" s="9" t="str">
        <f t="shared" si="264"/>
        <v/>
      </c>
      <c r="G1705" s="9" t="str">
        <f t="shared" si="265"/>
        <v/>
      </c>
      <c r="H1705" s="9" t="str">
        <f t="shared" si="266"/>
        <v/>
      </c>
      <c r="I1705" s="10" t="str">
        <f t="shared" si="267"/>
        <v/>
      </c>
      <c r="J1705" s="10" t="str">
        <f t="shared" si="269"/>
        <v/>
      </c>
      <c r="K1705" s="11" t="str">
        <f t="shared" si="268"/>
        <v/>
      </c>
      <c r="M1705" t="str">
        <f>IFERROR(MATCH($C$5&amp;"|"&amp;RIGHT("000000"&amp;1689,6),CalcRankKeyA,0),"")</f>
        <v/>
      </c>
      <c r="N1705" t="str">
        <f>IFERROR(MATCH($C$5&amp;"|"&amp;RIGHT("000000"&amp;1689,6),CalcRankKeyB,0),"")</f>
        <v/>
      </c>
    </row>
    <row r="1706" spans="1:14" x14ac:dyDescent="0.2">
      <c r="A1706" s="12">
        <v>1690</v>
      </c>
      <c r="B1706" s="13" t="str">
        <f t="shared" si="260"/>
        <v/>
      </c>
      <c r="C1706" s="13" t="str">
        <f t="shared" si="261"/>
        <v/>
      </c>
      <c r="D1706" s="13" t="str">
        <f t="shared" si="262"/>
        <v/>
      </c>
      <c r="E1706" s="14" t="str">
        <f t="shared" si="263"/>
        <v/>
      </c>
      <c r="F1706" s="14" t="str">
        <f t="shared" si="264"/>
        <v/>
      </c>
      <c r="G1706" s="14" t="str">
        <f t="shared" si="265"/>
        <v/>
      </c>
      <c r="H1706" s="14" t="str">
        <f t="shared" si="266"/>
        <v/>
      </c>
      <c r="I1706" s="15" t="str">
        <f t="shared" si="267"/>
        <v/>
      </c>
      <c r="J1706" s="15" t="str">
        <f t="shared" si="269"/>
        <v/>
      </c>
      <c r="K1706" s="16" t="str">
        <f t="shared" si="268"/>
        <v/>
      </c>
      <c r="M1706" t="str">
        <f>IFERROR(MATCH($C$5&amp;"|"&amp;RIGHT("000000"&amp;1690,6),CalcRankKeyA,0),"")</f>
        <v/>
      </c>
      <c r="N1706" t="str">
        <f>IFERROR(MATCH($C$5&amp;"|"&amp;RIGHT("000000"&amp;1690,6),CalcRankKeyB,0),"")</f>
        <v/>
      </c>
    </row>
    <row r="1707" spans="1:14" x14ac:dyDescent="0.2">
      <c r="A1707" s="7">
        <v>1691</v>
      </c>
      <c r="B1707" s="8" t="str">
        <f t="shared" si="260"/>
        <v/>
      </c>
      <c r="C1707" s="8" t="str">
        <f t="shared" si="261"/>
        <v/>
      </c>
      <c r="D1707" s="8" t="str">
        <f t="shared" si="262"/>
        <v/>
      </c>
      <c r="E1707" s="9" t="str">
        <f t="shared" si="263"/>
        <v/>
      </c>
      <c r="F1707" s="9" t="str">
        <f t="shared" si="264"/>
        <v/>
      </c>
      <c r="G1707" s="9" t="str">
        <f t="shared" si="265"/>
        <v/>
      </c>
      <c r="H1707" s="9" t="str">
        <f t="shared" si="266"/>
        <v/>
      </c>
      <c r="I1707" s="10" t="str">
        <f t="shared" si="267"/>
        <v/>
      </c>
      <c r="J1707" s="10" t="str">
        <f t="shared" si="269"/>
        <v/>
      </c>
      <c r="K1707" s="11" t="str">
        <f t="shared" si="268"/>
        <v/>
      </c>
      <c r="M1707" t="str">
        <f>IFERROR(MATCH($C$5&amp;"|"&amp;RIGHT("000000"&amp;1691,6),CalcRankKeyA,0),"")</f>
        <v/>
      </c>
      <c r="N1707" t="str">
        <f>IFERROR(MATCH($C$5&amp;"|"&amp;RIGHT("000000"&amp;1691,6),CalcRankKeyB,0),"")</f>
        <v/>
      </c>
    </row>
    <row r="1708" spans="1:14" x14ac:dyDescent="0.2">
      <c r="A1708" s="12">
        <v>1692</v>
      </c>
      <c r="B1708" s="13" t="str">
        <f t="shared" si="260"/>
        <v/>
      </c>
      <c r="C1708" s="13" t="str">
        <f t="shared" si="261"/>
        <v/>
      </c>
      <c r="D1708" s="13" t="str">
        <f t="shared" si="262"/>
        <v/>
      </c>
      <c r="E1708" s="14" t="str">
        <f t="shared" si="263"/>
        <v/>
      </c>
      <c r="F1708" s="14" t="str">
        <f t="shared" si="264"/>
        <v/>
      </c>
      <c r="G1708" s="14" t="str">
        <f t="shared" si="265"/>
        <v/>
      </c>
      <c r="H1708" s="14" t="str">
        <f t="shared" si="266"/>
        <v/>
      </c>
      <c r="I1708" s="15" t="str">
        <f t="shared" si="267"/>
        <v/>
      </c>
      <c r="J1708" s="15" t="str">
        <f t="shared" si="269"/>
        <v/>
      </c>
      <c r="K1708" s="16" t="str">
        <f t="shared" si="268"/>
        <v/>
      </c>
      <c r="M1708" t="str">
        <f>IFERROR(MATCH($C$5&amp;"|"&amp;RIGHT("000000"&amp;1692,6),CalcRankKeyA,0),"")</f>
        <v/>
      </c>
      <c r="N1708" t="str">
        <f>IFERROR(MATCH($C$5&amp;"|"&amp;RIGHT("000000"&amp;1692,6),CalcRankKeyB,0),"")</f>
        <v/>
      </c>
    </row>
    <row r="1709" spans="1:14" x14ac:dyDescent="0.2">
      <c r="A1709" s="7">
        <v>1693</v>
      </c>
      <c r="B1709" s="8" t="str">
        <f t="shared" si="260"/>
        <v/>
      </c>
      <c r="C1709" s="8" t="str">
        <f t="shared" si="261"/>
        <v/>
      </c>
      <c r="D1709" s="8" t="str">
        <f t="shared" si="262"/>
        <v/>
      </c>
      <c r="E1709" s="9" t="str">
        <f t="shared" si="263"/>
        <v/>
      </c>
      <c r="F1709" s="9" t="str">
        <f t="shared" si="264"/>
        <v/>
      </c>
      <c r="G1709" s="9" t="str">
        <f t="shared" si="265"/>
        <v/>
      </c>
      <c r="H1709" s="9" t="str">
        <f t="shared" si="266"/>
        <v/>
      </c>
      <c r="I1709" s="10" t="str">
        <f t="shared" si="267"/>
        <v/>
      </c>
      <c r="J1709" s="10" t="str">
        <f t="shared" si="269"/>
        <v/>
      </c>
      <c r="K1709" s="11" t="str">
        <f t="shared" si="268"/>
        <v/>
      </c>
      <c r="M1709" t="str">
        <f>IFERROR(MATCH($C$5&amp;"|"&amp;RIGHT("000000"&amp;1693,6),CalcRankKeyA,0),"")</f>
        <v/>
      </c>
      <c r="N1709" t="str">
        <f>IFERROR(MATCH($C$5&amp;"|"&amp;RIGHT("000000"&amp;1693,6),CalcRankKeyB,0),"")</f>
        <v/>
      </c>
    </row>
    <row r="1710" spans="1:14" x14ac:dyDescent="0.2">
      <c r="A1710" s="12">
        <v>1694</v>
      </c>
      <c r="B1710" s="13" t="str">
        <f t="shared" si="260"/>
        <v/>
      </c>
      <c r="C1710" s="13" t="str">
        <f t="shared" si="261"/>
        <v/>
      </c>
      <c r="D1710" s="13" t="str">
        <f t="shared" si="262"/>
        <v/>
      </c>
      <c r="E1710" s="14" t="str">
        <f t="shared" si="263"/>
        <v/>
      </c>
      <c r="F1710" s="14" t="str">
        <f t="shared" si="264"/>
        <v/>
      </c>
      <c r="G1710" s="14" t="str">
        <f t="shared" si="265"/>
        <v/>
      </c>
      <c r="H1710" s="14" t="str">
        <f t="shared" si="266"/>
        <v/>
      </c>
      <c r="I1710" s="15" t="str">
        <f t="shared" si="267"/>
        <v/>
      </c>
      <c r="J1710" s="15" t="str">
        <f t="shared" si="269"/>
        <v/>
      </c>
      <c r="K1710" s="16" t="str">
        <f t="shared" si="268"/>
        <v/>
      </c>
      <c r="M1710" t="str">
        <f>IFERROR(MATCH($C$5&amp;"|"&amp;RIGHT("000000"&amp;1694,6),CalcRankKeyA,0),"")</f>
        <v/>
      </c>
      <c r="N1710" t="str">
        <f>IFERROR(MATCH($C$5&amp;"|"&amp;RIGHT("000000"&amp;1694,6),CalcRankKeyB,0),"")</f>
        <v/>
      </c>
    </row>
    <row r="1711" spans="1:14" x14ac:dyDescent="0.2">
      <c r="A1711" s="7">
        <v>1695</v>
      </c>
      <c r="B1711" s="8" t="str">
        <f t="shared" si="260"/>
        <v/>
      </c>
      <c r="C1711" s="8" t="str">
        <f t="shared" si="261"/>
        <v/>
      </c>
      <c r="D1711" s="8" t="str">
        <f t="shared" si="262"/>
        <v/>
      </c>
      <c r="E1711" s="9" t="str">
        <f t="shared" si="263"/>
        <v/>
      </c>
      <c r="F1711" s="9" t="str">
        <f t="shared" si="264"/>
        <v/>
      </c>
      <c r="G1711" s="9" t="str">
        <f t="shared" si="265"/>
        <v/>
      </c>
      <c r="H1711" s="9" t="str">
        <f t="shared" si="266"/>
        <v/>
      </c>
      <c r="I1711" s="10" t="str">
        <f t="shared" si="267"/>
        <v/>
      </c>
      <c r="J1711" s="10" t="str">
        <f t="shared" si="269"/>
        <v/>
      </c>
      <c r="K1711" s="11" t="str">
        <f t="shared" si="268"/>
        <v/>
      </c>
      <c r="M1711" t="str">
        <f>IFERROR(MATCH($C$5&amp;"|"&amp;RIGHT("000000"&amp;1695,6),CalcRankKeyA,0),"")</f>
        <v/>
      </c>
      <c r="N1711" t="str">
        <f>IFERROR(MATCH($C$5&amp;"|"&amp;RIGHT("000000"&amp;1695,6),CalcRankKeyB,0),"")</f>
        <v/>
      </c>
    </row>
    <row r="1712" spans="1:14" x14ac:dyDescent="0.2">
      <c r="A1712" s="12">
        <v>1696</v>
      </c>
      <c r="B1712" s="13" t="str">
        <f t="shared" si="260"/>
        <v/>
      </c>
      <c r="C1712" s="13" t="str">
        <f t="shared" si="261"/>
        <v/>
      </c>
      <c r="D1712" s="13" t="str">
        <f t="shared" si="262"/>
        <v/>
      </c>
      <c r="E1712" s="14" t="str">
        <f t="shared" si="263"/>
        <v/>
      </c>
      <c r="F1712" s="14" t="str">
        <f t="shared" si="264"/>
        <v/>
      </c>
      <c r="G1712" s="14" t="str">
        <f t="shared" si="265"/>
        <v/>
      </c>
      <c r="H1712" s="14" t="str">
        <f t="shared" si="266"/>
        <v/>
      </c>
      <c r="I1712" s="15" t="str">
        <f t="shared" si="267"/>
        <v/>
      </c>
      <c r="J1712" s="15" t="str">
        <f t="shared" si="269"/>
        <v/>
      </c>
      <c r="K1712" s="16" t="str">
        <f t="shared" si="268"/>
        <v/>
      </c>
      <c r="M1712" t="str">
        <f>IFERROR(MATCH($C$5&amp;"|"&amp;RIGHT("000000"&amp;1696,6),CalcRankKeyA,0),"")</f>
        <v/>
      </c>
      <c r="N1712" t="str">
        <f>IFERROR(MATCH($C$5&amp;"|"&amp;RIGHT("000000"&amp;1696,6),CalcRankKeyB,0),"")</f>
        <v/>
      </c>
    </row>
    <row r="1713" spans="1:14" x14ac:dyDescent="0.2">
      <c r="A1713" s="7">
        <v>1697</v>
      </c>
      <c r="B1713" s="8" t="str">
        <f t="shared" si="260"/>
        <v/>
      </c>
      <c r="C1713" s="8" t="str">
        <f t="shared" si="261"/>
        <v/>
      </c>
      <c r="D1713" s="8" t="str">
        <f t="shared" si="262"/>
        <v/>
      </c>
      <c r="E1713" s="9" t="str">
        <f t="shared" si="263"/>
        <v/>
      </c>
      <c r="F1713" s="9" t="str">
        <f t="shared" si="264"/>
        <v/>
      </c>
      <c r="G1713" s="9" t="str">
        <f t="shared" si="265"/>
        <v/>
      </c>
      <c r="H1713" s="9" t="str">
        <f t="shared" si="266"/>
        <v/>
      </c>
      <c r="I1713" s="10" t="str">
        <f t="shared" si="267"/>
        <v/>
      </c>
      <c r="J1713" s="10" t="str">
        <f t="shared" si="269"/>
        <v/>
      </c>
      <c r="K1713" s="11" t="str">
        <f t="shared" si="268"/>
        <v/>
      </c>
      <c r="M1713" t="str">
        <f>IFERROR(MATCH($C$5&amp;"|"&amp;RIGHT("000000"&amp;1697,6),CalcRankKeyA,0),"")</f>
        <v/>
      </c>
      <c r="N1713" t="str">
        <f>IFERROR(MATCH($C$5&amp;"|"&amp;RIGHT("000000"&amp;1697,6),CalcRankKeyB,0),"")</f>
        <v/>
      </c>
    </row>
    <row r="1714" spans="1:14" x14ac:dyDescent="0.2">
      <c r="A1714" s="12">
        <v>1698</v>
      </c>
      <c r="B1714" s="13" t="str">
        <f t="shared" si="260"/>
        <v/>
      </c>
      <c r="C1714" s="13" t="str">
        <f t="shared" si="261"/>
        <v/>
      </c>
      <c r="D1714" s="13" t="str">
        <f t="shared" si="262"/>
        <v/>
      </c>
      <c r="E1714" s="14" t="str">
        <f t="shared" si="263"/>
        <v/>
      </c>
      <c r="F1714" s="14" t="str">
        <f t="shared" si="264"/>
        <v/>
      </c>
      <c r="G1714" s="14" t="str">
        <f t="shared" si="265"/>
        <v/>
      </c>
      <c r="H1714" s="14" t="str">
        <f t="shared" si="266"/>
        <v/>
      </c>
      <c r="I1714" s="15" t="str">
        <f t="shared" si="267"/>
        <v/>
      </c>
      <c r="J1714" s="15" t="str">
        <f t="shared" si="269"/>
        <v/>
      </c>
      <c r="K1714" s="16" t="str">
        <f t="shared" si="268"/>
        <v/>
      </c>
      <c r="M1714" t="str">
        <f>IFERROR(MATCH($C$5&amp;"|"&amp;RIGHT("000000"&amp;1698,6),CalcRankKeyA,0),"")</f>
        <v/>
      </c>
      <c r="N1714" t="str">
        <f>IFERROR(MATCH($C$5&amp;"|"&amp;RIGHT("000000"&amp;1698,6),CalcRankKeyB,0),"")</f>
        <v/>
      </c>
    </row>
    <row r="1715" spans="1:14" x14ac:dyDescent="0.2">
      <c r="A1715" s="7">
        <v>1699</v>
      </c>
      <c r="B1715" s="8" t="str">
        <f t="shared" si="260"/>
        <v/>
      </c>
      <c r="C1715" s="8" t="str">
        <f t="shared" si="261"/>
        <v/>
      </c>
      <c r="D1715" s="8" t="str">
        <f t="shared" si="262"/>
        <v/>
      </c>
      <c r="E1715" s="9" t="str">
        <f t="shared" si="263"/>
        <v/>
      </c>
      <c r="F1715" s="9" t="str">
        <f t="shared" si="264"/>
        <v/>
      </c>
      <c r="G1715" s="9" t="str">
        <f t="shared" si="265"/>
        <v/>
      </c>
      <c r="H1715" s="9" t="str">
        <f t="shared" si="266"/>
        <v/>
      </c>
      <c r="I1715" s="10" t="str">
        <f t="shared" si="267"/>
        <v/>
      </c>
      <c r="J1715" s="10" t="str">
        <f t="shared" si="269"/>
        <v/>
      </c>
      <c r="K1715" s="11" t="str">
        <f t="shared" si="268"/>
        <v/>
      </c>
      <c r="M1715" t="str">
        <f>IFERROR(MATCH($C$5&amp;"|"&amp;RIGHT("000000"&amp;1699,6),CalcRankKeyA,0),"")</f>
        <v/>
      </c>
      <c r="N1715" t="str">
        <f>IFERROR(MATCH($C$5&amp;"|"&amp;RIGHT("000000"&amp;1699,6),CalcRankKeyB,0),"")</f>
        <v/>
      </c>
    </row>
    <row r="1716" spans="1:14" x14ac:dyDescent="0.2">
      <c r="A1716" s="12">
        <v>1700</v>
      </c>
      <c r="B1716" s="13" t="str">
        <f t="shared" si="260"/>
        <v/>
      </c>
      <c r="C1716" s="13" t="str">
        <f t="shared" si="261"/>
        <v/>
      </c>
      <c r="D1716" s="13" t="str">
        <f t="shared" si="262"/>
        <v/>
      </c>
      <c r="E1716" s="14" t="str">
        <f t="shared" si="263"/>
        <v/>
      </c>
      <c r="F1716" s="14" t="str">
        <f t="shared" si="264"/>
        <v/>
      </c>
      <c r="G1716" s="14" t="str">
        <f t="shared" si="265"/>
        <v/>
      </c>
      <c r="H1716" s="14" t="str">
        <f t="shared" si="266"/>
        <v/>
      </c>
      <c r="I1716" s="15" t="str">
        <f t="shared" si="267"/>
        <v/>
      </c>
      <c r="J1716" s="15" t="str">
        <f t="shared" si="269"/>
        <v/>
      </c>
      <c r="K1716" s="16" t="str">
        <f t="shared" si="268"/>
        <v/>
      </c>
      <c r="M1716" t="str">
        <f>IFERROR(MATCH($C$5&amp;"|"&amp;RIGHT("000000"&amp;1700,6),CalcRankKeyA,0),"")</f>
        <v/>
      </c>
      <c r="N1716" t="str">
        <f>IFERROR(MATCH($C$5&amp;"|"&amp;RIGHT("000000"&amp;1700,6),CalcRankKeyB,0),"")</f>
        <v/>
      </c>
    </row>
    <row r="1717" spans="1:14" x14ac:dyDescent="0.2">
      <c r="A1717" s="7">
        <v>1701</v>
      </c>
      <c r="B1717" s="8" t="str">
        <f t="shared" si="260"/>
        <v/>
      </c>
      <c r="C1717" s="8" t="str">
        <f t="shared" si="261"/>
        <v/>
      </c>
      <c r="D1717" s="8" t="str">
        <f t="shared" si="262"/>
        <v/>
      </c>
      <c r="E1717" s="9" t="str">
        <f t="shared" si="263"/>
        <v/>
      </c>
      <c r="F1717" s="9" t="str">
        <f t="shared" si="264"/>
        <v/>
      </c>
      <c r="G1717" s="9" t="str">
        <f t="shared" si="265"/>
        <v/>
      </c>
      <c r="H1717" s="9" t="str">
        <f t="shared" si="266"/>
        <v/>
      </c>
      <c r="I1717" s="10" t="str">
        <f t="shared" si="267"/>
        <v/>
      </c>
      <c r="J1717" s="10" t="str">
        <f t="shared" si="269"/>
        <v/>
      </c>
      <c r="K1717" s="11" t="str">
        <f t="shared" si="268"/>
        <v/>
      </c>
      <c r="M1717" t="str">
        <f>IFERROR(MATCH($C$5&amp;"|"&amp;RIGHT("000000"&amp;1701,6),CalcRankKeyA,0),"")</f>
        <v/>
      </c>
      <c r="N1717" t="str">
        <f>IFERROR(MATCH($C$5&amp;"|"&amp;RIGHT("000000"&amp;1701,6),CalcRankKeyB,0),"")</f>
        <v/>
      </c>
    </row>
    <row r="1718" spans="1:14" x14ac:dyDescent="0.2">
      <c r="A1718" s="12">
        <v>1702</v>
      </c>
      <c r="B1718" s="13" t="str">
        <f t="shared" si="260"/>
        <v/>
      </c>
      <c r="C1718" s="13" t="str">
        <f t="shared" si="261"/>
        <v/>
      </c>
      <c r="D1718" s="13" t="str">
        <f t="shared" si="262"/>
        <v/>
      </c>
      <c r="E1718" s="14" t="str">
        <f t="shared" si="263"/>
        <v/>
      </c>
      <c r="F1718" s="14" t="str">
        <f t="shared" si="264"/>
        <v/>
      </c>
      <c r="G1718" s="14" t="str">
        <f t="shared" si="265"/>
        <v/>
      </c>
      <c r="H1718" s="14" t="str">
        <f t="shared" si="266"/>
        <v/>
      </c>
      <c r="I1718" s="15" t="str">
        <f t="shared" si="267"/>
        <v/>
      </c>
      <c r="J1718" s="15" t="str">
        <f t="shared" si="269"/>
        <v/>
      </c>
      <c r="K1718" s="16" t="str">
        <f t="shared" si="268"/>
        <v/>
      </c>
      <c r="M1718" t="str">
        <f>IFERROR(MATCH($C$5&amp;"|"&amp;RIGHT("000000"&amp;1702,6),CalcRankKeyA,0),"")</f>
        <v/>
      </c>
      <c r="N1718" t="str">
        <f>IFERROR(MATCH($C$5&amp;"|"&amp;RIGHT("000000"&amp;1702,6),CalcRankKeyB,0),"")</f>
        <v/>
      </c>
    </row>
    <row r="1719" spans="1:14" x14ac:dyDescent="0.2">
      <c r="A1719" s="7">
        <v>1703</v>
      </c>
      <c r="B1719" s="8" t="str">
        <f t="shared" si="260"/>
        <v/>
      </c>
      <c r="C1719" s="8" t="str">
        <f t="shared" si="261"/>
        <v/>
      </c>
      <c r="D1719" s="8" t="str">
        <f t="shared" si="262"/>
        <v/>
      </c>
      <c r="E1719" s="9" t="str">
        <f t="shared" si="263"/>
        <v/>
      </c>
      <c r="F1719" s="9" t="str">
        <f t="shared" si="264"/>
        <v/>
      </c>
      <c r="G1719" s="9" t="str">
        <f t="shared" si="265"/>
        <v/>
      </c>
      <c r="H1719" s="9" t="str">
        <f t="shared" si="266"/>
        <v/>
      </c>
      <c r="I1719" s="10" t="str">
        <f t="shared" si="267"/>
        <v/>
      </c>
      <c r="J1719" s="10" t="str">
        <f t="shared" si="269"/>
        <v/>
      </c>
      <c r="K1719" s="11" t="str">
        <f t="shared" si="268"/>
        <v/>
      </c>
      <c r="M1719" t="str">
        <f>IFERROR(MATCH($C$5&amp;"|"&amp;RIGHT("000000"&amp;1703,6),CalcRankKeyA,0),"")</f>
        <v/>
      </c>
      <c r="N1719" t="str">
        <f>IFERROR(MATCH($C$5&amp;"|"&amp;RIGHT("000000"&amp;1703,6),CalcRankKeyB,0),"")</f>
        <v/>
      </c>
    </row>
    <row r="1720" spans="1:14" x14ac:dyDescent="0.2">
      <c r="A1720" s="12">
        <v>1704</v>
      </c>
      <c r="B1720" s="13" t="str">
        <f t="shared" si="260"/>
        <v/>
      </c>
      <c r="C1720" s="13" t="str">
        <f t="shared" si="261"/>
        <v/>
      </c>
      <c r="D1720" s="13" t="str">
        <f t="shared" si="262"/>
        <v/>
      </c>
      <c r="E1720" s="14" t="str">
        <f t="shared" si="263"/>
        <v/>
      </c>
      <c r="F1720" s="14" t="str">
        <f t="shared" si="264"/>
        <v/>
      </c>
      <c r="G1720" s="14" t="str">
        <f t="shared" si="265"/>
        <v/>
      </c>
      <c r="H1720" s="14" t="str">
        <f t="shared" si="266"/>
        <v/>
      </c>
      <c r="I1720" s="15" t="str">
        <f t="shared" si="267"/>
        <v/>
      </c>
      <c r="J1720" s="15" t="str">
        <f t="shared" si="269"/>
        <v/>
      </c>
      <c r="K1720" s="16" t="str">
        <f t="shared" si="268"/>
        <v/>
      </c>
      <c r="M1720" t="str">
        <f>IFERROR(MATCH($C$5&amp;"|"&amp;RIGHT("000000"&amp;1704,6),CalcRankKeyA,0),"")</f>
        <v/>
      </c>
      <c r="N1720" t="str">
        <f>IFERROR(MATCH($C$5&amp;"|"&amp;RIGHT("000000"&amp;1704,6),CalcRankKeyB,0),"")</f>
        <v/>
      </c>
    </row>
    <row r="1721" spans="1:14" x14ac:dyDescent="0.2">
      <c r="A1721" s="7">
        <v>1705</v>
      </c>
      <c r="B1721" s="8" t="str">
        <f t="shared" si="260"/>
        <v/>
      </c>
      <c r="C1721" s="8" t="str">
        <f t="shared" si="261"/>
        <v/>
      </c>
      <c r="D1721" s="8" t="str">
        <f t="shared" si="262"/>
        <v/>
      </c>
      <c r="E1721" s="9" t="str">
        <f t="shared" si="263"/>
        <v/>
      </c>
      <c r="F1721" s="9" t="str">
        <f t="shared" si="264"/>
        <v/>
      </c>
      <c r="G1721" s="9" t="str">
        <f t="shared" si="265"/>
        <v/>
      </c>
      <c r="H1721" s="9" t="str">
        <f t="shared" si="266"/>
        <v/>
      </c>
      <c r="I1721" s="10" t="str">
        <f t="shared" si="267"/>
        <v/>
      </c>
      <c r="J1721" s="10" t="str">
        <f t="shared" si="269"/>
        <v/>
      </c>
      <c r="K1721" s="11" t="str">
        <f t="shared" si="268"/>
        <v/>
      </c>
      <c r="M1721" t="str">
        <f>IFERROR(MATCH($C$5&amp;"|"&amp;RIGHT("000000"&amp;1705,6),CalcRankKeyA,0),"")</f>
        <v/>
      </c>
      <c r="N1721" t="str">
        <f>IFERROR(MATCH($C$5&amp;"|"&amp;RIGHT("000000"&amp;1705,6),CalcRankKeyB,0),"")</f>
        <v/>
      </c>
    </row>
    <row r="1722" spans="1:14" x14ac:dyDescent="0.2">
      <c r="A1722" s="12">
        <v>1706</v>
      </c>
      <c r="B1722" s="13" t="str">
        <f t="shared" si="260"/>
        <v/>
      </c>
      <c r="C1722" s="13" t="str">
        <f t="shared" si="261"/>
        <v/>
      </c>
      <c r="D1722" s="13" t="str">
        <f t="shared" si="262"/>
        <v/>
      </c>
      <c r="E1722" s="14" t="str">
        <f t="shared" si="263"/>
        <v/>
      </c>
      <c r="F1722" s="14" t="str">
        <f t="shared" si="264"/>
        <v/>
      </c>
      <c r="G1722" s="14" t="str">
        <f t="shared" si="265"/>
        <v/>
      </c>
      <c r="H1722" s="14" t="str">
        <f t="shared" si="266"/>
        <v/>
      </c>
      <c r="I1722" s="15" t="str">
        <f t="shared" si="267"/>
        <v/>
      </c>
      <c r="J1722" s="15" t="str">
        <f t="shared" si="269"/>
        <v/>
      </c>
      <c r="K1722" s="16" t="str">
        <f t="shared" si="268"/>
        <v/>
      </c>
      <c r="M1722" t="str">
        <f>IFERROR(MATCH($C$5&amp;"|"&amp;RIGHT("000000"&amp;1706,6),CalcRankKeyA,0),"")</f>
        <v/>
      </c>
      <c r="N1722" t="str">
        <f>IFERROR(MATCH($C$5&amp;"|"&amp;RIGHT("000000"&amp;1706,6),CalcRankKeyB,0),"")</f>
        <v/>
      </c>
    </row>
    <row r="1723" spans="1:14" x14ac:dyDescent="0.2">
      <c r="A1723" s="7">
        <v>1707</v>
      </c>
      <c r="B1723" s="8" t="str">
        <f t="shared" si="260"/>
        <v/>
      </c>
      <c r="C1723" s="8" t="str">
        <f t="shared" si="261"/>
        <v/>
      </c>
      <c r="D1723" s="8" t="str">
        <f t="shared" si="262"/>
        <v/>
      </c>
      <c r="E1723" s="9" t="str">
        <f t="shared" si="263"/>
        <v/>
      </c>
      <c r="F1723" s="9" t="str">
        <f t="shared" si="264"/>
        <v/>
      </c>
      <c r="G1723" s="9" t="str">
        <f t="shared" si="265"/>
        <v/>
      </c>
      <c r="H1723" s="9" t="str">
        <f t="shared" si="266"/>
        <v/>
      </c>
      <c r="I1723" s="10" t="str">
        <f t="shared" si="267"/>
        <v/>
      </c>
      <c r="J1723" s="10" t="str">
        <f t="shared" si="269"/>
        <v/>
      </c>
      <c r="K1723" s="11" t="str">
        <f t="shared" si="268"/>
        <v/>
      </c>
      <c r="M1723" t="str">
        <f>IFERROR(MATCH($C$5&amp;"|"&amp;RIGHT("000000"&amp;1707,6),CalcRankKeyA,0),"")</f>
        <v/>
      </c>
      <c r="N1723" t="str">
        <f>IFERROR(MATCH($C$5&amp;"|"&amp;RIGHT("000000"&amp;1707,6),CalcRankKeyB,0),"")</f>
        <v/>
      </c>
    </row>
    <row r="1724" spans="1:14" x14ac:dyDescent="0.2">
      <c r="A1724" s="12">
        <v>1708</v>
      </c>
      <c r="B1724" s="13" t="str">
        <f t="shared" si="260"/>
        <v/>
      </c>
      <c r="C1724" s="13" t="str">
        <f t="shared" si="261"/>
        <v/>
      </c>
      <c r="D1724" s="13" t="str">
        <f t="shared" si="262"/>
        <v/>
      </c>
      <c r="E1724" s="14" t="str">
        <f t="shared" si="263"/>
        <v/>
      </c>
      <c r="F1724" s="14" t="str">
        <f t="shared" si="264"/>
        <v/>
      </c>
      <c r="G1724" s="14" t="str">
        <f t="shared" si="265"/>
        <v/>
      </c>
      <c r="H1724" s="14" t="str">
        <f t="shared" si="266"/>
        <v/>
      </c>
      <c r="I1724" s="15" t="str">
        <f t="shared" si="267"/>
        <v/>
      </c>
      <c r="J1724" s="15" t="str">
        <f t="shared" si="269"/>
        <v/>
      </c>
      <c r="K1724" s="16" t="str">
        <f t="shared" si="268"/>
        <v/>
      </c>
      <c r="M1724" t="str">
        <f>IFERROR(MATCH($C$5&amp;"|"&amp;RIGHT("000000"&amp;1708,6),CalcRankKeyA,0),"")</f>
        <v/>
      </c>
      <c r="N1724" t="str">
        <f>IFERROR(MATCH($C$5&amp;"|"&amp;RIGHT("000000"&amp;1708,6),CalcRankKeyB,0),"")</f>
        <v/>
      </c>
    </row>
    <row r="1725" spans="1:14" x14ac:dyDescent="0.2">
      <c r="A1725" s="7">
        <v>1709</v>
      </c>
      <c r="B1725" s="8" t="str">
        <f t="shared" si="260"/>
        <v/>
      </c>
      <c r="C1725" s="8" t="str">
        <f t="shared" si="261"/>
        <v/>
      </c>
      <c r="D1725" s="8" t="str">
        <f t="shared" si="262"/>
        <v/>
      </c>
      <c r="E1725" s="9" t="str">
        <f t="shared" si="263"/>
        <v/>
      </c>
      <c r="F1725" s="9" t="str">
        <f t="shared" si="264"/>
        <v/>
      </c>
      <c r="G1725" s="9" t="str">
        <f t="shared" si="265"/>
        <v/>
      </c>
      <c r="H1725" s="9" t="str">
        <f t="shared" si="266"/>
        <v/>
      </c>
      <c r="I1725" s="10" t="str">
        <f t="shared" si="267"/>
        <v/>
      </c>
      <c r="J1725" s="10" t="str">
        <f t="shared" si="269"/>
        <v/>
      </c>
      <c r="K1725" s="11" t="str">
        <f t="shared" si="268"/>
        <v/>
      </c>
      <c r="M1725" t="str">
        <f>IFERROR(MATCH($C$5&amp;"|"&amp;RIGHT("000000"&amp;1709,6),CalcRankKeyA,0),"")</f>
        <v/>
      </c>
      <c r="N1725" t="str">
        <f>IFERROR(MATCH($C$5&amp;"|"&amp;RIGHT("000000"&amp;1709,6),CalcRankKeyB,0),"")</f>
        <v/>
      </c>
    </row>
    <row r="1726" spans="1:14" x14ac:dyDescent="0.2">
      <c r="A1726" s="12">
        <v>1710</v>
      </c>
      <c r="B1726" s="13" t="str">
        <f t="shared" si="260"/>
        <v/>
      </c>
      <c r="C1726" s="13" t="str">
        <f t="shared" si="261"/>
        <v/>
      </c>
      <c r="D1726" s="13" t="str">
        <f t="shared" si="262"/>
        <v/>
      </c>
      <c r="E1726" s="14" t="str">
        <f t="shared" si="263"/>
        <v/>
      </c>
      <c r="F1726" s="14" t="str">
        <f t="shared" si="264"/>
        <v/>
      </c>
      <c r="G1726" s="14" t="str">
        <f t="shared" si="265"/>
        <v/>
      </c>
      <c r="H1726" s="14" t="str">
        <f t="shared" si="266"/>
        <v/>
      </c>
      <c r="I1726" s="15" t="str">
        <f t="shared" si="267"/>
        <v/>
      </c>
      <c r="J1726" s="15" t="str">
        <f t="shared" si="269"/>
        <v/>
      </c>
      <c r="K1726" s="16" t="str">
        <f t="shared" si="268"/>
        <v/>
      </c>
      <c r="M1726" t="str">
        <f>IFERROR(MATCH($C$5&amp;"|"&amp;RIGHT("000000"&amp;1710,6),CalcRankKeyA,0),"")</f>
        <v/>
      </c>
      <c r="N1726" t="str">
        <f>IFERROR(MATCH($C$5&amp;"|"&amp;RIGHT("000000"&amp;1710,6),CalcRankKeyB,0),"")</f>
        <v/>
      </c>
    </row>
    <row r="1727" spans="1:14" x14ac:dyDescent="0.2">
      <c r="A1727" s="7">
        <v>1711</v>
      </c>
      <c r="B1727" s="8" t="str">
        <f t="shared" si="260"/>
        <v/>
      </c>
      <c r="C1727" s="8" t="str">
        <f t="shared" si="261"/>
        <v/>
      </c>
      <c r="D1727" s="8" t="str">
        <f t="shared" si="262"/>
        <v/>
      </c>
      <c r="E1727" s="9" t="str">
        <f t="shared" si="263"/>
        <v/>
      </c>
      <c r="F1727" s="9" t="str">
        <f t="shared" si="264"/>
        <v/>
      </c>
      <c r="G1727" s="9" t="str">
        <f t="shared" si="265"/>
        <v/>
      </c>
      <c r="H1727" s="9" t="str">
        <f t="shared" si="266"/>
        <v/>
      </c>
      <c r="I1727" s="10" t="str">
        <f t="shared" si="267"/>
        <v/>
      </c>
      <c r="J1727" s="10" t="str">
        <f t="shared" si="269"/>
        <v/>
      </c>
      <c r="K1727" s="11" t="str">
        <f t="shared" si="268"/>
        <v/>
      </c>
      <c r="M1727" t="str">
        <f>IFERROR(MATCH($C$5&amp;"|"&amp;RIGHT("000000"&amp;1711,6),CalcRankKeyA,0),"")</f>
        <v/>
      </c>
      <c r="N1727" t="str">
        <f>IFERROR(MATCH($C$5&amp;"|"&amp;RIGHT("000000"&amp;1711,6),CalcRankKeyB,0),"")</f>
        <v/>
      </c>
    </row>
    <row r="1728" spans="1:14" x14ac:dyDescent="0.2">
      <c r="A1728" s="12">
        <v>1712</v>
      </c>
      <c r="B1728" s="13" t="str">
        <f t="shared" si="260"/>
        <v/>
      </c>
      <c r="C1728" s="13" t="str">
        <f t="shared" si="261"/>
        <v/>
      </c>
      <c r="D1728" s="13" t="str">
        <f t="shared" si="262"/>
        <v/>
      </c>
      <c r="E1728" s="14" t="str">
        <f t="shared" si="263"/>
        <v/>
      </c>
      <c r="F1728" s="14" t="str">
        <f t="shared" si="264"/>
        <v/>
      </c>
      <c r="G1728" s="14" t="str">
        <f t="shared" si="265"/>
        <v/>
      </c>
      <c r="H1728" s="14" t="str">
        <f t="shared" si="266"/>
        <v/>
      </c>
      <c r="I1728" s="15" t="str">
        <f t="shared" si="267"/>
        <v/>
      </c>
      <c r="J1728" s="15" t="str">
        <f t="shared" si="269"/>
        <v/>
      </c>
      <c r="K1728" s="16" t="str">
        <f t="shared" si="268"/>
        <v/>
      </c>
      <c r="M1728" t="str">
        <f>IFERROR(MATCH($C$5&amp;"|"&amp;RIGHT("000000"&amp;1712,6),CalcRankKeyA,0),"")</f>
        <v/>
      </c>
      <c r="N1728" t="str">
        <f>IFERROR(MATCH($C$5&amp;"|"&amp;RIGHT("000000"&amp;1712,6),CalcRankKeyB,0),"")</f>
        <v/>
      </c>
    </row>
    <row r="1729" spans="1:14" x14ac:dyDescent="0.2">
      <c r="A1729" s="7">
        <v>1713</v>
      </c>
      <c r="B1729" s="8" t="str">
        <f t="shared" si="260"/>
        <v/>
      </c>
      <c r="C1729" s="8" t="str">
        <f t="shared" si="261"/>
        <v/>
      </c>
      <c r="D1729" s="8" t="str">
        <f t="shared" si="262"/>
        <v/>
      </c>
      <c r="E1729" s="9" t="str">
        <f t="shared" si="263"/>
        <v/>
      </c>
      <c r="F1729" s="9" t="str">
        <f t="shared" si="264"/>
        <v/>
      </c>
      <c r="G1729" s="9" t="str">
        <f t="shared" si="265"/>
        <v/>
      </c>
      <c r="H1729" s="9" t="str">
        <f t="shared" si="266"/>
        <v/>
      </c>
      <c r="I1729" s="10" t="str">
        <f t="shared" si="267"/>
        <v/>
      </c>
      <c r="J1729" s="10" t="str">
        <f t="shared" si="269"/>
        <v/>
      </c>
      <c r="K1729" s="11" t="str">
        <f t="shared" si="268"/>
        <v/>
      </c>
      <c r="M1729" t="str">
        <f>IFERROR(MATCH($C$5&amp;"|"&amp;RIGHT("000000"&amp;1713,6),CalcRankKeyA,0),"")</f>
        <v/>
      </c>
      <c r="N1729" t="str">
        <f>IFERROR(MATCH($C$5&amp;"|"&amp;RIGHT("000000"&amp;1713,6),CalcRankKeyB,0),"")</f>
        <v/>
      </c>
    </row>
    <row r="1730" spans="1:14" x14ac:dyDescent="0.2">
      <c r="A1730" s="12">
        <v>1714</v>
      </c>
      <c r="B1730" s="13" t="str">
        <f t="shared" si="260"/>
        <v/>
      </c>
      <c r="C1730" s="13" t="str">
        <f t="shared" si="261"/>
        <v/>
      </c>
      <c r="D1730" s="13" t="str">
        <f t="shared" si="262"/>
        <v/>
      </c>
      <c r="E1730" s="14" t="str">
        <f t="shared" si="263"/>
        <v/>
      </c>
      <c r="F1730" s="14" t="str">
        <f t="shared" si="264"/>
        <v/>
      </c>
      <c r="G1730" s="14" t="str">
        <f t="shared" si="265"/>
        <v/>
      </c>
      <c r="H1730" s="14" t="str">
        <f t="shared" si="266"/>
        <v/>
      </c>
      <c r="I1730" s="15" t="str">
        <f t="shared" si="267"/>
        <v/>
      </c>
      <c r="J1730" s="15" t="str">
        <f t="shared" si="269"/>
        <v/>
      </c>
      <c r="K1730" s="16" t="str">
        <f t="shared" si="268"/>
        <v/>
      </c>
      <c r="M1730" t="str">
        <f>IFERROR(MATCH($C$5&amp;"|"&amp;RIGHT("000000"&amp;1714,6),CalcRankKeyA,0),"")</f>
        <v/>
      </c>
      <c r="N1730" t="str">
        <f>IFERROR(MATCH($C$5&amp;"|"&amp;RIGHT("000000"&amp;1714,6),CalcRankKeyB,0),"")</f>
        <v/>
      </c>
    </row>
    <row r="1731" spans="1:14" x14ac:dyDescent="0.2">
      <c r="A1731" s="7">
        <v>1715</v>
      </c>
      <c r="B1731" s="8" t="str">
        <f t="shared" si="260"/>
        <v/>
      </c>
      <c r="C1731" s="8" t="str">
        <f t="shared" si="261"/>
        <v/>
      </c>
      <c r="D1731" s="8" t="str">
        <f t="shared" si="262"/>
        <v/>
      </c>
      <c r="E1731" s="9" t="str">
        <f t="shared" si="263"/>
        <v/>
      </c>
      <c r="F1731" s="9" t="str">
        <f t="shared" si="264"/>
        <v/>
      </c>
      <c r="G1731" s="9" t="str">
        <f t="shared" si="265"/>
        <v/>
      </c>
      <c r="H1731" s="9" t="str">
        <f t="shared" si="266"/>
        <v/>
      </c>
      <c r="I1731" s="10" t="str">
        <f t="shared" si="267"/>
        <v/>
      </c>
      <c r="J1731" s="10" t="str">
        <f t="shared" si="269"/>
        <v/>
      </c>
      <c r="K1731" s="11" t="str">
        <f t="shared" si="268"/>
        <v/>
      </c>
      <c r="M1731" t="str">
        <f>IFERROR(MATCH($C$5&amp;"|"&amp;RIGHT("000000"&amp;1715,6),CalcRankKeyA,0),"")</f>
        <v/>
      </c>
      <c r="N1731" t="str">
        <f>IFERROR(MATCH($C$5&amp;"|"&amp;RIGHT("000000"&amp;1715,6),CalcRankKeyB,0),"")</f>
        <v/>
      </c>
    </row>
    <row r="1732" spans="1:14" x14ac:dyDescent="0.2">
      <c r="A1732" s="12">
        <v>1716</v>
      </c>
      <c r="B1732" s="13" t="str">
        <f t="shared" si="260"/>
        <v/>
      </c>
      <c r="C1732" s="13" t="str">
        <f t="shared" si="261"/>
        <v/>
      </c>
      <c r="D1732" s="13" t="str">
        <f t="shared" si="262"/>
        <v/>
      </c>
      <c r="E1732" s="14" t="str">
        <f t="shared" si="263"/>
        <v/>
      </c>
      <c r="F1732" s="14" t="str">
        <f t="shared" si="264"/>
        <v/>
      </c>
      <c r="G1732" s="14" t="str">
        <f t="shared" si="265"/>
        <v/>
      </c>
      <c r="H1732" s="14" t="str">
        <f t="shared" si="266"/>
        <v/>
      </c>
      <c r="I1732" s="15" t="str">
        <f t="shared" si="267"/>
        <v/>
      </c>
      <c r="J1732" s="15" t="str">
        <f t="shared" si="269"/>
        <v/>
      </c>
      <c r="K1732" s="16" t="str">
        <f t="shared" si="268"/>
        <v/>
      </c>
      <c r="M1732" t="str">
        <f>IFERROR(MATCH($C$5&amp;"|"&amp;RIGHT("000000"&amp;1716,6),CalcRankKeyA,0),"")</f>
        <v/>
      </c>
      <c r="N1732" t="str">
        <f>IFERROR(MATCH($C$5&amp;"|"&amp;RIGHT("000000"&amp;1716,6),CalcRankKeyB,0),"")</f>
        <v/>
      </c>
    </row>
    <row r="1733" spans="1:14" x14ac:dyDescent="0.2">
      <c r="A1733" s="7">
        <v>1717</v>
      </c>
      <c r="B1733" s="8" t="str">
        <f t="shared" si="260"/>
        <v/>
      </c>
      <c r="C1733" s="8" t="str">
        <f t="shared" si="261"/>
        <v/>
      </c>
      <c r="D1733" s="8" t="str">
        <f t="shared" si="262"/>
        <v/>
      </c>
      <c r="E1733" s="9" t="str">
        <f t="shared" si="263"/>
        <v/>
      </c>
      <c r="F1733" s="9" t="str">
        <f t="shared" si="264"/>
        <v/>
      </c>
      <c r="G1733" s="9" t="str">
        <f t="shared" si="265"/>
        <v/>
      </c>
      <c r="H1733" s="9" t="str">
        <f t="shared" si="266"/>
        <v/>
      </c>
      <c r="I1733" s="10" t="str">
        <f t="shared" si="267"/>
        <v/>
      </c>
      <c r="J1733" s="10" t="str">
        <f t="shared" si="269"/>
        <v/>
      </c>
      <c r="K1733" s="11" t="str">
        <f t="shared" si="268"/>
        <v/>
      </c>
      <c r="M1733" t="str">
        <f>IFERROR(MATCH($C$5&amp;"|"&amp;RIGHT("000000"&amp;1717,6),CalcRankKeyA,0),"")</f>
        <v/>
      </c>
      <c r="N1733" t="str">
        <f>IFERROR(MATCH($C$5&amp;"|"&amp;RIGHT("000000"&amp;1717,6),CalcRankKeyB,0),"")</f>
        <v/>
      </c>
    </row>
    <row r="1734" spans="1:14" x14ac:dyDescent="0.2">
      <c r="A1734" s="12">
        <v>1718</v>
      </c>
      <c r="B1734" s="13" t="str">
        <f t="shared" si="260"/>
        <v/>
      </c>
      <c r="C1734" s="13" t="str">
        <f t="shared" si="261"/>
        <v/>
      </c>
      <c r="D1734" s="13" t="str">
        <f t="shared" si="262"/>
        <v/>
      </c>
      <c r="E1734" s="14" t="str">
        <f t="shared" si="263"/>
        <v/>
      </c>
      <c r="F1734" s="14" t="str">
        <f t="shared" si="264"/>
        <v/>
      </c>
      <c r="G1734" s="14" t="str">
        <f t="shared" si="265"/>
        <v/>
      </c>
      <c r="H1734" s="14" t="str">
        <f t="shared" si="266"/>
        <v/>
      </c>
      <c r="I1734" s="15" t="str">
        <f t="shared" si="267"/>
        <v/>
      </c>
      <c r="J1734" s="15" t="str">
        <f t="shared" si="269"/>
        <v/>
      </c>
      <c r="K1734" s="16" t="str">
        <f t="shared" si="268"/>
        <v/>
      </c>
      <c r="M1734" t="str">
        <f>IFERROR(MATCH($C$5&amp;"|"&amp;RIGHT("000000"&amp;1718,6),CalcRankKeyA,0),"")</f>
        <v/>
      </c>
      <c r="N1734" t="str">
        <f>IFERROR(MATCH($C$5&amp;"|"&amp;RIGHT("000000"&amp;1718,6),CalcRankKeyB,0),"")</f>
        <v/>
      </c>
    </row>
    <row r="1735" spans="1:14" x14ac:dyDescent="0.2">
      <c r="A1735" s="7">
        <v>1719</v>
      </c>
      <c r="B1735" s="8" t="str">
        <f t="shared" si="260"/>
        <v/>
      </c>
      <c r="C1735" s="8" t="str">
        <f t="shared" si="261"/>
        <v/>
      </c>
      <c r="D1735" s="8" t="str">
        <f t="shared" si="262"/>
        <v/>
      </c>
      <c r="E1735" s="9" t="str">
        <f t="shared" si="263"/>
        <v/>
      </c>
      <c r="F1735" s="9" t="str">
        <f t="shared" si="264"/>
        <v/>
      </c>
      <c r="G1735" s="9" t="str">
        <f t="shared" si="265"/>
        <v/>
      </c>
      <c r="H1735" s="9" t="str">
        <f t="shared" si="266"/>
        <v/>
      </c>
      <c r="I1735" s="10" t="str">
        <f t="shared" si="267"/>
        <v/>
      </c>
      <c r="J1735" s="10" t="str">
        <f t="shared" si="269"/>
        <v/>
      </c>
      <c r="K1735" s="11" t="str">
        <f t="shared" si="268"/>
        <v/>
      </c>
      <c r="M1735" t="str">
        <f>IFERROR(MATCH($C$5&amp;"|"&amp;RIGHT("000000"&amp;1719,6),CalcRankKeyA,0),"")</f>
        <v/>
      </c>
      <c r="N1735" t="str">
        <f>IFERROR(MATCH($C$5&amp;"|"&amp;RIGHT("000000"&amp;1719,6),CalcRankKeyB,0),"")</f>
        <v/>
      </c>
    </row>
    <row r="1736" spans="1:14" x14ac:dyDescent="0.2">
      <c r="A1736" s="12">
        <v>1720</v>
      </c>
      <c r="B1736" s="13" t="str">
        <f t="shared" si="260"/>
        <v/>
      </c>
      <c r="C1736" s="13" t="str">
        <f t="shared" si="261"/>
        <v/>
      </c>
      <c r="D1736" s="13" t="str">
        <f t="shared" si="262"/>
        <v/>
      </c>
      <c r="E1736" s="14" t="str">
        <f t="shared" si="263"/>
        <v/>
      </c>
      <c r="F1736" s="14" t="str">
        <f t="shared" si="264"/>
        <v/>
      </c>
      <c r="G1736" s="14" t="str">
        <f t="shared" si="265"/>
        <v/>
      </c>
      <c r="H1736" s="14" t="str">
        <f t="shared" si="266"/>
        <v/>
      </c>
      <c r="I1736" s="15" t="str">
        <f t="shared" si="267"/>
        <v/>
      </c>
      <c r="J1736" s="15" t="str">
        <f t="shared" si="269"/>
        <v/>
      </c>
      <c r="K1736" s="16" t="str">
        <f t="shared" si="268"/>
        <v/>
      </c>
      <c r="M1736" t="str">
        <f>IFERROR(MATCH($C$5&amp;"|"&amp;RIGHT("000000"&amp;1720,6),CalcRankKeyA,0),"")</f>
        <v/>
      </c>
      <c r="N1736" t="str">
        <f>IFERROR(MATCH($C$5&amp;"|"&amp;RIGHT("000000"&amp;1720,6),CalcRankKeyB,0),"")</f>
        <v/>
      </c>
    </row>
    <row r="1737" spans="1:14" x14ac:dyDescent="0.2">
      <c r="A1737" s="7">
        <v>1721</v>
      </c>
      <c r="B1737" s="8" t="str">
        <f t="shared" si="260"/>
        <v/>
      </c>
      <c r="C1737" s="8" t="str">
        <f t="shared" si="261"/>
        <v/>
      </c>
      <c r="D1737" s="8" t="str">
        <f t="shared" si="262"/>
        <v/>
      </c>
      <c r="E1737" s="9" t="str">
        <f t="shared" si="263"/>
        <v/>
      </c>
      <c r="F1737" s="9" t="str">
        <f t="shared" si="264"/>
        <v/>
      </c>
      <c r="G1737" s="9" t="str">
        <f t="shared" si="265"/>
        <v/>
      </c>
      <c r="H1737" s="9" t="str">
        <f t="shared" si="266"/>
        <v/>
      </c>
      <c r="I1737" s="10" t="str">
        <f t="shared" si="267"/>
        <v/>
      </c>
      <c r="J1737" s="10" t="str">
        <f t="shared" si="269"/>
        <v/>
      </c>
      <c r="K1737" s="11" t="str">
        <f t="shared" si="268"/>
        <v/>
      </c>
      <c r="M1737" t="str">
        <f>IFERROR(MATCH($C$5&amp;"|"&amp;RIGHT("000000"&amp;1721,6),CalcRankKeyA,0),"")</f>
        <v/>
      </c>
      <c r="N1737" t="str">
        <f>IFERROR(MATCH($C$5&amp;"|"&amp;RIGHT("000000"&amp;1721,6),CalcRankKeyB,0),"")</f>
        <v/>
      </c>
    </row>
    <row r="1738" spans="1:14" x14ac:dyDescent="0.2">
      <c r="A1738" s="12">
        <v>1722</v>
      </c>
      <c r="B1738" s="13" t="str">
        <f t="shared" si="260"/>
        <v/>
      </c>
      <c r="C1738" s="13" t="str">
        <f t="shared" si="261"/>
        <v/>
      </c>
      <c r="D1738" s="13" t="str">
        <f t="shared" si="262"/>
        <v/>
      </c>
      <c r="E1738" s="14" t="str">
        <f t="shared" si="263"/>
        <v/>
      </c>
      <c r="F1738" s="14" t="str">
        <f t="shared" si="264"/>
        <v/>
      </c>
      <c r="G1738" s="14" t="str">
        <f t="shared" si="265"/>
        <v/>
      </c>
      <c r="H1738" s="14" t="str">
        <f t="shared" si="266"/>
        <v/>
      </c>
      <c r="I1738" s="15" t="str">
        <f t="shared" si="267"/>
        <v/>
      </c>
      <c r="J1738" s="15" t="str">
        <f t="shared" si="269"/>
        <v/>
      </c>
      <c r="K1738" s="16" t="str">
        <f t="shared" si="268"/>
        <v/>
      </c>
      <c r="M1738" t="str">
        <f>IFERROR(MATCH($C$5&amp;"|"&amp;RIGHT("000000"&amp;1722,6),CalcRankKeyA,0),"")</f>
        <v/>
      </c>
      <c r="N1738" t="str">
        <f>IFERROR(MATCH($C$5&amp;"|"&amp;RIGHT("000000"&amp;1722,6),CalcRankKeyB,0),"")</f>
        <v/>
      </c>
    </row>
    <row r="1739" spans="1:14" x14ac:dyDescent="0.2">
      <c r="A1739" s="7">
        <v>1723</v>
      </c>
      <c r="B1739" s="8" t="str">
        <f t="shared" si="260"/>
        <v/>
      </c>
      <c r="C1739" s="8" t="str">
        <f t="shared" si="261"/>
        <v/>
      </c>
      <c r="D1739" s="8" t="str">
        <f t="shared" si="262"/>
        <v/>
      </c>
      <c r="E1739" s="9" t="str">
        <f t="shared" si="263"/>
        <v/>
      </c>
      <c r="F1739" s="9" t="str">
        <f t="shared" si="264"/>
        <v/>
      </c>
      <c r="G1739" s="9" t="str">
        <f t="shared" si="265"/>
        <v/>
      </c>
      <c r="H1739" s="9" t="str">
        <f t="shared" si="266"/>
        <v/>
      </c>
      <c r="I1739" s="10" t="str">
        <f t="shared" si="267"/>
        <v/>
      </c>
      <c r="J1739" s="10" t="str">
        <f t="shared" si="269"/>
        <v/>
      </c>
      <c r="K1739" s="11" t="str">
        <f t="shared" si="268"/>
        <v/>
      </c>
      <c r="M1739" t="str">
        <f>IFERROR(MATCH($C$5&amp;"|"&amp;RIGHT("000000"&amp;1723,6),CalcRankKeyA,0),"")</f>
        <v/>
      </c>
      <c r="N1739" t="str">
        <f>IFERROR(MATCH($C$5&amp;"|"&amp;RIGHT("000000"&amp;1723,6),CalcRankKeyB,0),"")</f>
        <v/>
      </c>
    </row>
    <row r="1740" spans="1:14" x14ac:dyDescent="0.2">
      <c r="A1740" s="12">
        <v>1724</v>
      </c>
      <c r="B1740" s="13" t="str">
        <f t="shared" si="260"/>
        <v/>
      </c>
      <c r="C1740" s="13" t="str">
        <f t="shared" si="261"/>
        <v/>
      </c>
      <c r="D1740" s="13" t="str">
        <f t="shared" si="262"/>
        <v/>
      </c>
      <c r="E1740" s="14" t="str">
        <f t="shared" si="263"/>
        <v/>
      </c>
      <c r="F1740" s="14" t="str">
        <f t="shared" si="264"/>
        <v/>
      </c>
      <c r="G1740" s="14" t="str">
        <f t="shared" si="265"/>
        <v/>
      </c>
      <c r="H1740" s="14" t="str">
        <f t="shared" si="266"/>
        <v/>
      </c>
      <c r="I1740" s="15" t="str">
        <f t="shared" si="267"/>
        <v/>
      </c>
      <c r="J1740" s="15" t="str">
        <f t="shared" si="269"/>
        <v/>
      </c>
      <c r="K1740" s="16" t="str">
        <f t="shared" si="268"/>
        <v/>
      </c>
      <c r="M1740" t="str">
        <f>IFERROR(MATCH($C$5&amp;"|"&amp;RIGHT("000000"&amp;1724,6),CalcRankKeyA,0),"")</f>
        <v/>
      </c>
      <c r="N1740" t="str">
        <f>IFERROR(MATCH($C$5&amp;"|"&amp;RIGHT("000000"&amp;1724,6),CalcRankKeyB,0),"")</f>
        <v/>
      </c>
    </row>
    <row r="1741" spans="1:14" x14ac:dyDescent="0.2">
      <c r="A1741" s="7">
        <v>1725</v>
      </c>
      <c r="B1741" s="8" t="str">
        <f t="shared" si="260"/>
        <v/>
      </c>
      <c r="C1741" s="8" t="str">
        <f t="shared" si="261"/>
        <v/>
      </c>
      <c r="D1741" s="8" t="str">
        <f t="shared" si="262"/>
        <v/>
      </c>
      <c r="E1741" s="9" t="str">
        <f t="shared" si="263"/>
        <v/>
      </c>
      <c r="F1741" s="9" t="str">
        <f t="shared" si="264"/>
        <v/>
      </c>
      <c r="G1741" s="9" t="str">
        <f t="shared" si="265"/>
        <v/>
      </c>
      <c r="H1741" s="9" t="str">
        <f t="shared" si="266"/>
        <v/>
      </c>
      <c r="I1741" s="10" t="str">
        <f t="shared" si="267"/>
        <v/>
      </c>
      <c r="J1741" s="10" t="str">
        <f t="shared" si="269"/>
        <v/>
      </c>
      <c r="K1741" s="11" t="str">
        <f t="shared" si="268"/>
        <v/>
      </c>
      <c r="M1741" t="str">
        <f>IFERROR(MATCH($C$5&amp;"|"&amp;RIGHT("000000"&amp;1725,6),CalcRankKeyA,0),"")</f>
        <v/>
      </c>
      <c r="N1741" t="str">
        <f>IFERROR(MATCH($C$5&amp;"|"&amp;RIGHT("000000"&amp;1725,6),CalcRankKeyB,0),"")</f>
        <v/>
      </c>
    </row>
    <row r="1742" spans="1:14" x14ac:dyDescent="0.2">
      <c r="A1742" s="12">
        <v>1726</v>
      </c>
      <c r="B1742" s="13" t="str">
        <f t="shared" si="260"/>
        <v/>
      </c>
      <c r="C1742" s="13" t="str">
        <f t="shared" si="261"/>
        <v/>
      </c>
      <c r="D1742" s="13" t="str">
        <f t="shared" si="262"/>
        <v/>
      </c>
      <c r="E1742" s="14" t="str">
        <f t="shared" si="263"/>
        <v/>
      </c>
      <c r="F1742" s="14" t="str">
        <f t="shared" si="264"/>
        <v/>
      </c>
      <c r="G1742" s="14" t="str">
        <f t="shared" si="265"/>
        <v/>
      </c>
      <c r="H1742" s="14" t="str">
        <f t="shared" si="266"/>
        <v/>
      </c>
      <c r="I1742" s="15" t="str">
        <f t="shared" si="267"/>
        <v/>
      </c>
      <c r="J1742" s="15" t="str">
        <f t="shared" si="269"/>
        <v/>
      </c>
      <c r="K1742" s="16" t="str">
        <f t="shared" si="268"/>
        <v/>
      </c>
      <c r="M1742" t="str">
        <f>IFERROR(MATCH($C$5&amp;"|"&amp;RIGHT("000000"&amp;1726,6),CalcRankKeyA,0),"")</f>
        <v/>
      </c>
      <c r="N1742" t="str">
        <f>IFERROR(MATCH($C$5&amp;"|"&amp;RIGHT("000000"&amp;1726,6),CalcRankKeyB,0),"")</f>
        <v/>
      </c>
    </row>
    <row r="1743" spans="1:14" x14ac:dyDescent="0.2">
      <c r="A1743" s="7">
        <v>1727</v>
      </c>
      <c r="B1743" s="8" t="str">
        <f t="shared" si="260"/>
        <v/>
      </c>
      <c r="C1743" s="8" t="str">
        <f t="shared" si="261"/>
        <v/>
      </c>
      <c r="D1743" s="8" t="str">
        <f t="shared" si="262"/>
        <v/>
      </c>
      <c r="E1743" s="9" t="str">
        <f t="shared" si="263"/>
        <v/>
      </c>
      <c r="F1743" s="9" t="str">
        <f t="shared" si="264"/>
        <v/>
      </c>
      <c r="G1743" s="9" t="str">
        <f t="shared" si="265"/>
        <v/>
      </c>
      <c r="H1743" s="9" t="str">
        <f t="shared" si="266"/>
        <v/>
      </c>
      <c r="I1743" s="10" t="str">
        <f t="shared" si="267"/>
        <v/>
      </c>
      <c r="J1743" s="10" t="str">
        <f t="shared" si="269"/>
        <v/>
      </c>
      <c r="K1743" s="11" t="str">
        <f t="shared" si="268"/>
        <v/>
      </c>
      <c r="M1743" t="str">
        <f>IFERROR(MATCH($C$5&amp;"|"&amp;RIGHT("000000"&amp;1727,6),CalcRankKeyA,0),"")</f>
        <v/>
      </c>
      <c r="N1743" t="str">
        <f>IFERROR(MATCH($C$5&amp;"|"&amp;RIGHT("000000"&amp;1727,6),CalcRankKeyB,0),"")</f>
        <v/>
      </c>
    </row>
    <row r="1744" spans="1:14" x14ac:dyDescent="0.2">
      <c r="A1744" s="12">
        <v>1728</v>
      </c>
      <c r="B1744" s="13" t="str">
        <f t="shared" si="260"/>
        <v/>
      </c>
      <c r="C1744" s="13" t="str">
        <f t="shared" si="261"/>
        <v/>
      </c>
      <c r="D1744" s="13" t="str">
        <f t="shared" si="262"/>
        <v/>
      </c>
      <c r="E1744" s="14" t="str">
        <f t="shared" si="263"/>
        <v/>
      </c>
      <c r="F1744" s="14" t="str">
        <f t="shared" si="264"/>
        <v/>
      </c>
      <c r="G1744" s="14" t="str">
        <f t="shared" si="265"/>
        <v/>
      </c>
      <c r="H1744" s="14" t="str">
        <f t="shared" si="266"/>
        <v/>
      </c>
      <c r="I1744" s="15" t="str">
        <f t="shared" si="267"/>
        <v/>
      </c>
      <c r="J1744" s="15" t="str">
        <f t="shared" si="269"/>
        <v/>
      </c>
      <c r="K1744" s="16" t="str">
        <f t="shared" si="268"/>
        <v/>
      </c>
      <c r="M1744" t="str">
        <f>IFERROR(MATCH($C$5&amp;"|"&amp;RIGHT("000000"&amp;1728,6),CalcRankKeyA,0),"")</f>
        <v/>
      </c>
      <c r="N1744" t="str">
        <f>IFERROR(MATCH($C$5&amp;"|"&amp;RIGHT("000000"&amp;1728,6),CalcRankKeyB,0),"")</f>
        <v/>
      </c>
    </row>
    <row r="1745" spans="1:14" x14ac:dyDescent="0.2">
      <c r="A1745" s="7">
        <v>1729</v>
      </c>
      <c r="B1745" s="8" t="str">
        <f t="shared" ref="B1745:B1808" si="270">IF(AND($M1745="",$N1745=""),"",IF($M1745&lt;&gt;"",INDEX(CalcDateA,$M1745),INDEX(CalcDateB,$N1745)))</f>
        <v/>
      </c>
      <c r="C1745" s="8" t="str">
        <f t="shared" ref="C1745:C1808" si="271">IF($M1745&lt;&gt;"","خرید سبد",IF($N1745&lt;&gt;"",IF(N(INDEX(CalcDepB,$N1745))&gt;0,"دریافت بانکی","پرداخت بانکی"),""))</f>
        <v/>
      </c>
      <c r="D1745" s="8" t="str">
        <f t="shared" ref="D1745:D1808" si="272">IF($M1745&lt;&gt;"",IF(INDEX(CalcDocA,$M1745)="","—",INDEX(CalcDocA,$M1745)),IF($N1745&lt;&gt;"",INDEX(CalcBankB,$N1745),""))</f>
        <v/>
      </c>
      <c r="E1745" s="9" t="str">
        <f t="shared" ref="E1745:E1808" si="273">IF($N1745&lt;&gt;"",IF(INDEX(CalcDepB,$N1745)=0,"",INDEX(CalcDepB,$N1745)),"")</f>
        <v/>
      </c>
      <c r="F1745" s="9" t="str">
        <f t="shared" ref="F1745:F1808" si="274">IF($M1745&lt;&gt;"",IF(INDEX(CalcQtyA,$M1745)=0,"",INDEX(CalcQtyA,$M1745)),"")</f>
        <v/>
      </c>
      <c r="G1745" s="9" t="str">
        <f t="shared" ref="G1745:G1808" si="275">IF($M1745&lt;&gt;"",IF(INDEX(CalcPriceA,$M1745)=0,"",INDEX(CalcPriceA,$M1745)),"")</f>
        <v/>
      </c>
      <c r="H1745" s="9" t="str">
        <f t="shared" ref="H1745:H1808" si="276">IF($N1745&lt;&gt;"",IF(INDEX(CalcWitB,$N1745)=0,"",INDEX(CalcWitB,$N1745)),"")</f>
        <v/>
      </c>
      <c r="I1745" s="10" t="str">
        <f t="shared" ref="I1745:I1808" si="277">IF($M1745&lt;&gt;"",INDEX(CalcAmtA,$M1745),"")</f>
        <v/>
      </c>
      <c r="J1745" s="10" t="str">
        <f t="shared" si="269"/>
        <v/>
      </c>
      <c r="K1745" s="11" t="str">
        <f t="shared" ref="K1745:K1808" si="278">IF($M1745&lt;&gt;"",IF(INDEX(CalcNoteA,$M1745)="","—",INDEX(CalcNoteA,$M1745)),IF($N1745&lt;&gt;"",IF(INDEX(CalcNoteB,$N1745)="","—",INDEX(CalcNoteB,$N1745)),""))</f>
        <v/>
      </c>
      <c r="M1745" t="str">
        <f>IFERROR(MATCH($C$5&amp;"|"&amp;RIGHT("000000"&amp;1729,6),CalcRankKeyA,0),"")</f>
        <v/>
      </c>
      <c r="N1745" t="str">
        <f>IFERROR(MATCH($C$5&amp;"|"&amp;RIGHT("000000"&amp;1729,6),CalcRankKeyB,0),"")</f>
        <v/>
      </c>
    </row>
    <row r="1746" spans="1:14" x14ac:dyDescent="0.2">
      <c r="A1746" s="12">
        <v>1730</v>
      </c>
      <c r="B1746" s="13" t="str">
        <f t="shared" si="270"/>
        <v/>
      </c>
      <c r="C1746" s="13" t="str">
        <f t="shared" si="271"/>
        <v/>
      </c>
      <c r="D1746" s="13" t="str">
        <f t="shared" si="272"/>
        <v/>
      </c>
      <c r="E1746" s="14" t="str">
        <f t="shared" si="273"/>
        <v/>
      </c>
      <c r="F1746" s="14" t="str">
        <f t="shared" si="274"/>
        <v/>
      </c>
      <c r="G1746" s="14" t="str">
        <f t="shared" si="275"/>
        <v/>
      </c>
      <c r="H1746" s="14" t="str">
        <f t="shared" si="276"/>
        <v/>
      </c>
      <c r="I1746" s="15" t="str">
        <f t="shared" si="277"/>
        <v/>
      </c>
      <c r="J1746" s="15" t="str">
        <f t="shared" ref="J1746:J1809" si="279">IF($B1746="","",IF($J1745="",$C$8,$J1745)+IF($I1746="",0,$I1746)+IF($E1746="",0,$E1746)-IF($H1746="",0,$H1746))</f>
        <v/>
      </c>
      <c r="K1746" s="16" t="str">
        <f t="shared" si="278"/>
        <v/>
      </c>
      <c r="M1746" t="str">
        <f>IFERROR(MATCH($C$5&amp;"|"&amp;RIGHT("000000"&amp;1730,6),CalcRankKeyA,0),"")</f>
        <v/>
      </c>
      <c r="N1746" t="str">
        <f>IFERROR(MATCH($C$5&amp;"|"&amp;RIGHT("000000"&amp;1730,6),CalcRankKeyB,0),"")</f>
        <v/>
      </c>
    </row>
    <row r="1747" spans="1:14" x14ac:dyDescent="0.2">
      <c r="A1747" s="7">
        <v>1731</v>
      </c>
      <c r="B1747" s="8" t="str">
        <f t="shared" si="270"/>
        <v/>
      </c>
      <c r="C1747" s="8" t="str">
        <f t="shared" si="271"/>
        <v/>
      </c>
      <c r="D1747" s="8" t="str">
        <f t="shared" si="272"/>
        <v/>
      </c>
      <c r="E1747" s="9" t="str">
        <f t="shared" si="273"/>
        <v/>
      </c>
      <c r="F1747" s="9" t="str">
        <f t="shared" si="274"/>
        <v/>
      </c>
      <c r="G1747" s="9" t="str">
        <f t="shared" si="275"/>
        <v/>
      </c>
      <c r="H1747" s="9" t="str">
        <f t="shared" si="276"/>
        <v/>
      </c>
      <c r="I1747" s="10" t="str">
        <f t="shared" si="277"/>
        <v/>
      </c>
      <c r="J1747" s="10" t="str">
        <f t="shared" si="279"/>
        <v/>
      </c>
      <c r="K1747" s="11" t="str">
        <f t="shared" si="278"/>
        <v/>
      </c>
      <c r="M1747" t="str">
        <f>IFERROR(MATCH($C$5&amp;"|"&amp;RIGHT("000000"&amp;1731,6),CalcRankKeyA,0),"")</f>
        <v/>
      </c>
      <c r="N1747" t="str">
        <f>IFERROR(MATCH($C$5&amp;"|"&amp;RIGHT("000000"&amp;1731,6),CalcRankKeyB,0),"")</f>
        <v/>
      </c>
    </row>
    <row r="1748" spans="1:14" x14ac:dyDescent="0.2">
      <c r="A1748" s="12">
        <v>1732</v>
      </c>
      <c r="B1748" s="13" t="str">
        <f t="shared" si="270"/>
        <v/>
      </c>
      <c r="C1748" s="13" t="str">
        <f t="shared" si="271"/>
        <v/>
      </c>
      <c r="D1748" s="13" t="str">
        <f t="shared" si="272"/>
        <v/>
      </c>
      <c r="E1748" s="14" t="str">
        <f t="shared" si="273"/>
        <v/>
      </c>
      <c r="F1748" s="14" t="str">
        <f t="shared" si="274"/>
        <v/>
      </c>
      <c r="G1748" s="14" t="str">
        <f t="shared" si="275"/>
        <v/>
      </c>
      <c r="H1748" s="14" t="str">
        <f t="shared" si="276"/>
        <v/>
      </c>
      <c r="I1748" s="15" t="str">
        <f t="shared" si="277"/>
        <v/>
      </c>
      <c r="J1748" s="15" t="str">
        <f t="shared" si="279"/>
        <v/>
      </c>
      <c r="K1748" s="16" t="str">
        <f t="shared" si="278"/>
        <v/>
      </c>
      <c r="M1748" t="str">
        <f>IFERROR(MATCH($C$5&amp;"|"&amp;RIGHT("000000"&amp;1732,6),CalcRankKeyA,0),"")</f>
        <v/>
      </c>
      <c r="N1748" t="str">
        <f>IFERROR(MATCH($C$5&amp;"|"&amp;RIGHT("000000"&amp;1732,6),CalcRankKeyB,0),"")</f>
        <v/>
      </c>
    </row>
    <row r="1749" spans="1:14" x14ac:dyDescent="0.2">
      <c r="A1749" s="7">
        <v>1733</v>
      </c>
      <c r="B1749" s="8" t="str">
        <f t="shared" si="270"/>
        <v/>
      </c>
      <c r="C1749" s="8" t="str">
        <f t="shared" si="271"/>
        <v/>
      </c>
      <c r="D1749" s="8" t="str">
        <f t="shared" si="272"/>
        <v/>
      </c>
      <c r="E1749" s="9" t="str">
        <f t="shared" si="273"/>
        <v/>
      </c>
      <c r="F1749" s="9" t="str">
        <f t="shared" si="274"/>
        <v/>
      </c>
      <c r="G1749" s="9" t="str">
        <f t="shared" si="275"/>
        <v/>
      </c>
      <c r="H1749" s="9" t="str">
        <f t="shared" si="276"/>
        <v/>
      </c>
      <c r="I1749" s="10" t="str">
        <f t="shared" si="277"/>
        <v/>
      </c>
      <c r="J1749" s="10" t="str">
        <f t="shared" si="279"/>
        <v/>
      </c>
      <c r="K1749" s="11" t="str">
        <f t="shared" si="278"/>
        <v/>
      </c>
      <c r="M1749" t="str">
        <f>IFERROR(MATCH($C$5&amp;"|"&amp;RIGHT("000000"&amp;1733,6),CalcRankKeyA,0),"")</f>
        <v/>
      </c>
      <c r="N1749" t="str">
        <f>IFERROR(MATCH($C$5&amp;"|"&amp;RIGHT("000000"&amp;1733,6),CalcRankKeyB,0),"")</f>
        <v/>
      </c>
    </row>
    <row r="1750" spans="1:14" x14ac:dyDescent="0.2">
      <c r="A1750" s="12">
        <v>1734</v>
      </c>
      <c r="B1750" s="13" t="str">
        <f t="shared" si="270"/>
        <v/>
      </c>
      <c r="C1750" s="13" t="str">
        <f t="shared" si="271"/>
        <v/>
      </c>
      <c r="D1750" s="13" t="str">
        <f t="shared" si="272"/>
        <v/>
      </c>
      <c r="E1750" s="14" t="str">
        <f t="shared" si="273"/>
        <v/>
      </c>
      <c r="F1750" s="14" t="str">
        <f t="shared" si="274"/>
        <v/>
      </c>
      <c r="G1750" s="14" t="str">
        <f t="shared" si="275"/>
        <v/>
      </c>
      <c r="H1750" s="14" t="str">
        <f t="shared" si="276"/>
        <v/>
      </c>
      <c r="I1750" s="15" t="str">
        <f t="shared" si="277"/>
        <v/>
      </c>
      <c r="J1750" s="15" t="str">
        <f t="shared" si="279"/>
        <v/>
      </c>
      <c r="K1750" s="16" t="str">
        <f t="shared" si="278"/>
        <v/>
      </c>
      <c r="M1750" t="str">
        <f>IFERROR(MATCH($C$5&amp;"|"&amp;RIGHT("000000"&amp;1734,6),CalcRankKeyA,0),"")</f>
        <v/>
      </c>
      <c r="N1750" t="str">
        <f>IFERROR(MATCH($C$5&amp;"|"&amp;RIGHT("000000"&amp;1734,6),CalcRankKeyB,0),"")</f>
        <v/>
      </c>
    </row>
    <row r="1751" spans="1:14" x14ac:dyDescent="0.2">
      <c r="A1751" s="7">
        <v>1735</v>
      </c>
      <c r="B1751" s="8" t="str">
        <f t="shared" si="270"/>
        <v/>
      </c>
      <c r="C1751" s="8" t="str">
        <f t="shared" si="271"/>
        <v/>
      </c>
      <c r="D1751" s="8" t="str">
        <f t="shared" si="272"/>
        <v/>
      </c>
      <c r="E1751" s="9" t="str">
        <f t="shared" si="273"/>
        <v/>
      </c>
      <c r="F1751" s="9" t="str">
        <f t="shared" si="274"/>
        <v/>
      </c>
      <c r="G1751" s="9" t="str">
        <f t="shared" si="275"/>
        <v/>
      </c>
      <c r="H1751" s="9" t="str">
        <f t="shared" si="276"/>
        <v/>
      </c>
      <c r="I1751" s="10" t="str">
        <f t="shared" si="277"/>
        <v/>
      </c>
      <c r="J1751" s="10" t="str">
        <f t="shared" si="279"/>
        <v/>
      </c>
      <c r="K1751" s="11" t="str">
        <f t="shared" si="278"/>
        <v/>
      </c>
      <c r="M1751" t="str">
        <f>IFERROR(MATCH($C$5&amp;"|"&amp;RIGHT("000000"&amp;1735,6),CalcRankKeyA,0),"")</f>
        <v/>
      </c>
      <c r="N1751" t="str">
        <f>IFERROR(MATCH($C$5&amp;"|"&amp;RIGHT("000000"&amp;1735,6),CalcRankKeyB,0),"")</f>
        <v/>
      </c>
    </row>
    <row r="1752" spans="1:14" x14ac:dyDescent="0.2">
      <c r="A1752" s="12">
        <v>1736</v>
      </c>
      <c r="B1752" s="13" t="str">
        <f t="shared" si="270"/>
        <v/>
      </c>
      <c r="C1752" s="13" t="str">
        <f t="shared" si="271"/>
        <v/>
      </c>
      <c r="D1752" s="13" t="str">
        <f t="shared" si="272"/>
        <v/>
      </c>
      <c r="E1752" s="14" t="str">
        <f t="shared" si="273"/>
        <v/>
      </c>
      <c r="F1752" s="14" t="str">
        <f t="shared" si="274"/>
        <v/>
      </c>
      <c r="G1752" s="14" t="str">
        <f t="shared" si="275"/>
        <v/>
      </c>
      <c r="H1752" s="14" t="str">
        <f t="shared" si="276"/>
        <v/>
      </c>
      <c r="I1752" s="15" t="str">
        <f t="shared" si="277"/>
        <v/>
      </c>
      <c r="J1752" s="15" t="str">
        <f t="shared" si="279"/>
        <v/>
      </c>
      <c r="K1752" s="16" t="str">
        <f t="shared" si="278"/>
        <v/>
      </c>
      <c r="M1752" t="str">
        <f>IFERROR(MATCH($C$5&amp;"|"&amp;RIGHT("000000"&amp;1736,6),CalcRankKeyA,0),"")</f>
        <v/>
      </c>
      <c r="N1752" t="str">
        <f>IFERROR(MATCH($C$5&amp;"|"&amp;RIGHT("000000"&amp;1736,6),CalcRankKeyB,0),"")</f>
        <v/>
      </c>
    </row>
    <row r="1753" spans="1:14" x14ac:dyDescent="0.2">
      <c r="A1753" s="7">
        <v>1737</v>
      </c>
      <c r="B1753" s="8" t="str">
        <f t="shared" si="270"/>
        <v/>
      </c>
      <c r="C1753" s="8" t="str">
        <f t="shared" si="271"/>
        <v/>
      </c>
      <c r="D1753" s="8" t="str">
        <f t="shared" si="272"/>
        <v/>
      </c>
      <c r="E1753" s="9" t="str">
        <f t="shared" si="273"/>
        <v/>
      </c>
      <c r="F1753" s="9" t="str">
        <f t="shared" si="274"/>
        <v/>
      </c>
      <c r="G1753" s="9" t="str">
        <f t="shared" si="275"/>
        <v/>
      </c>
      <c r="H1753" s="9" t="str">
        <f t="shared" si="276"/>
        <v/>
      </c>
      <c r="I1753" s="10" t="str">
        <f t="shared" si="277"/>
        <v/>
      </c>
      <c r="J1753" s="10" t="str">
        <f t="shared" si="279"/>
        <v/>
      </c>
      <c r="K1753" s="11" t="str">
        <f t="shared" si="278"/>
        <v/>
      </c>
      <c r="M1753" t="str">
        <f>IFERROR(MATCH($C$5&amp;"|"&amp;RIGHT("000000"&amp;1737,6),CalcRankKeyA,0),"")</f>
        <v/>
      </c>
      <c r="N1753" t="str">
        <f>IFERROR(MATCH($C$5&amp;"|"&amp;RIGHT("000000"&amp;1737,6),CalcRankKeyB,0),"")</f>
        <v/>
      </c>
    </row>
    <row r="1754" spans="1:14" x14ac:dyDescent="0.2">
      <c r="A1754" s="12">
        <v>1738</v>
      </c>
      <c r="B1754" s="13" t="str">
        <f t="shared" si="270"/>
        <v/>
      </c>
      <c r="C1754" s="13" t="str">
        <f t="shared" si="271"/>
        <v/>
      </c>
      <c r="D1754" s="13" t="str">
        <f t="shared" si="272"/>
        <v/>
      </c>
      <c r="E1754" s="14" t="str">
        <f t="shared" si="273"/>
        <v/>
      </c>
      <c r="F1754" s="14" t="str">
        <f t="shared" si="274"/>
        <v/>
      </c>
      <c r="G1754" s="14" t="str">
        <f t="shared" si="275"/>
        <v/>
      </c>
      <c r="H1754" s="14" t="str">
        <f t="shared" si="276"/>
        <v/>
      </c>
      <c r="I1754" s="15" t="str">
        <f t="shared" si="277"/>
        <v/>
      </c>
      <c r="J1754" s="15" t="str">
        <f t="shared" si="279"/>
        <v/>
      </c>
      <c r="K1754" s="16" t="str">
        <f t="shared" si="278"/>
        <v/>
      </c>
      <c r="M1754" t="str">
        <f>IFERROR(MATCH($C$5&amp;"|"&amp;RIGHT("000000"&amp;1738,6),CalcRankKeyA,0),"")</f>
        <v/>
      </c>
      <c r="N1754" t="str">
        <f>IFERROR(MATCH($C$5&amp;"|"&amp;RIGHT("000000"&amp;1738,6),CalcRankKeyB,0),"")</f>
        <v/>
      </c>
    </row>
    <row r="1755" spans="1:14" x14ac:dyDescent="0.2">
      <c r="A1755" s="7">
        <v>1739</v>
      </c>
      <c r="B1755" s="8" t="str">
        <f t="shared" si="270"/>
        <v/>
      </c>
      <c r="C1755" s="8" t="str">
        <f t="shared" si="271"/>
        <v/>
      </c>
      <c r="D1755" s="8" t="str">
        <f t="shared" si="272"/>
        <v/>
      </c>
      <c r="E1755" s="9" t="str">
        <f t="shared" si="273"/>
        <v/>
      </c>
      <c r="F1755" s="9" t="str">
        <f t="shared" si="274"/>
        <v/>
      </c>
      <c r="G1755" s="9" t="str">
        <f t="shared" si="275"/>
        <v/>
      </c>
      <c r="H1755" s="9" t="str">
        <f t="shared" si="276"/>
        <v/>
      </c>
      <c r="I1755" s="10" t="str">
        <f t="shared" si="277"/>
        <v/>
      </c>
      <c r="J1755" s="10" t="str">
        <f t="shared" si="279"/>
        <v/>
      </c>
      <c r="K1755" s="11" t="str">
        <f t="shared" si="278"/>
        <v/>
      </c>
      <c r="M1755" t="str">
        <f>IFERROR(MATCH($C$5&amp;"|"&amp;RIGHT("000000"&amp;1739,6),CalcRankKeyA,0),"")</f>
        <v/>
      </c>
      <c r="N1755" t="str">
        <f>IFERROR(MATCH($C$5&amp;"|"&amp;RIGHT("000000"&amp;1739,6),CalcRankKeyB,0),"")</f>
        <v/>
      </c>
    </row>
    <row r="1756" spans="1:14" x14ac:dyDescent="0.2">
      <c r="A1756" s="12">
        <v>1740</v>
      </c>
      <c r="B1756" s="13" t="str">
        <f t="shared" si="270"/>
        <v/>
      </c>
      <c r="C1756" s="13" t="str">
        <f t="shared" si="271"/>
        <v/>
      </c>
      <c r="D1756" s="13" t="str">
        <f t="shared" si="272"/>
        <v/>
      </c>
      <c r="E1756" s="14" t="str">
        <f t="shared" si="273"/>
        <v/>
      </c>
      <c r="F1756" s="14" t="str">
        <f t="shared" si="274"/>
        <v/>
      </c>
      <c r="G1756" s="14" t="str">
        <f t="shared" si="275"/>
        <v/>
      </c>
      <c r="H1756" s="14" t="str">
        <f t="shared" si="276"/>
        <v/>
      </c>
      <c r="I1756" s="15" t="str">
        <f t="shared" si="277"/>
        <v/>
      </c>
      <c r="J1756" s="15" t="str">
        <f t="shared" si="279"/>
        <v/>
      </c>
      <c r="K1756" s="16" t="str">
        <f t="shared" si="278"/>
        <v/>
      </c>
      <c r="M1756" t="str">
        <f>IFERROR(MATCH($C$5&amp;"|"&amp;RIGHT("000000"&amp;1740,6),CalcRankKeyA,0),"")</f>
        <v/>
      </c>
      <c r="N1756" t="str">
        <f>IFERROR(MATCH($C$5&amp;"|"&amp;RIGHT("000000"&amp;1740,6),CalcRankKeyB,0),"")</f>
        <v/>
      </c>
    </row>
    <row r="1757" spans="1:14" x14ac:dyDescent="0.2">
      <c r="A1757" s="7">
        <v>1741</v>
      </c>
      <c r="B1757" s="8" t="str">
        <f t="shared" si="270"/>
        <v/>
      </c>
      <c r="C1757" s="8" t="str">
        <f t="shared" si="271"/>
        <v/>
      </c>
      <c r="D1757" s="8" t="str">
        <f t="shared" si="272"/>
        <v/>
      </c>
      <c r="E1757" s="9" t="str">
        <f t="shared" si="273"/>
        <v/>
      </c>
      <c r="F1757" s="9" t="str">
        <f t="shared" si="274"/>
        <v/>
      </c>
      <c r="G1757" s="9" t="str">
        <f t="shared" si="275"/>
        <v/>
      </c>
      <c r="H1757" s="9" t="str">
        <f t="shared" si="276"/>
        <v/>
      </c>
      <c r="I1757" s="10" t="str">
        <f t="shared" si="277"/>
        <v/>
      </c>
      <c r="J1757" s="10" t="str">
        <f t="shared" si="279"/>
        <v/>
      </c>
      <c r="K1757" s="11" t="str">
        <f t="shared" si="278"/>
        <v/>
      </c>
      <c r="M1757" t="str">
        <f>IFERROR(MATCH($C$5&amp;"|"&amp;RIGHT("000000"&amp;1741,6),CalcRankKeyA,0),"")</f>
        <v/>
      </c>
      <c r="N1757" t="str">
        <f>IFERROR(MATCH($C$5&amp;"|"&amp;RIGHT("000000"&amp;1741,6),CalcRankKeyB,0),"")</f>
        <v/>
      </c>
    </row>
    <row r="1758" spans="1:14" x14ac:dyDescent="0.2">
      <c r="A1758" s="12">
        <v>1742</v>
      </c>
      <c r="B1758" s="13" t="str">
        <f t="shared" si="270"/>
        <v/>
      </c>
      <c r="C1758" s="13" t="str">
        <f t="shared" si="271"/>
        <v/>
      </c>
      <c r="D1758" s="13" t="str">
        <f t="shared" si="272"/>
        <v/>
      </c>
      <c r="E1758" s="14" t="str">
        <f t="shared" si="273"/>
        <v/>
      </c>
      <c r="F1758" s="14" t="str">
        <f t="shared" si="274"/>
        <v/>
      </c>
      <c r="G1758" s="14" t="str">
        <f t="shared" si="275"/>
        <v/>
      </c>
      <c r="H1758" s="14" t="str">
        <f t="shared" si="276"/>
        <v/>
      </c>
      <c r="I1758" s="15" t="str">
        <f t="shared" si="277"/>
        <v/>
      </c>
      <c r="J1758" s="15" t="str">
        <f t="shared" si="279"/>
        <v/>
      </c>
      <c r="K1758" s="16" t="str">
        <f t="shared" si="278"/>
        <v/>
      </c>
      <c r="M1758" t="str">
        <f>IFERROR(MATCH($C$5&amp;"|"&amp;RIGHT("000000"&amp;1742,6),CalcRankKeyA,0),"")</f>
        <v/>
      </c>
      <c r="N1758" t="str">
        <f>IFERROR(MATCH($C$5&amp;"|"&amp;RIGHT("000000"&amp;1742,6),CalcRankKeyB,0),"")</f>
        <v/>
      </c>
    </row>
    <row r="1759" spans="1:14" x14ac:dyDescent="0.2">
      <c r="A1759" s="7">
        <v>1743</v>
      </c>
      <c r="B1759" s="8" t="str">
        <f t="shared" si="270"/>
        <v/>
      </c>
      <c r="C1759" s="8" t="str">
        <f t="shared" si="271"/>
        <v/>
      </c>
      <c r="D1759" s="8" t="str">
        <f t="shared" si="272"/>
        <v/>
      </c>
      <c r="E1759" s="9" t="str">
        <f t="shared" si="273"/>
        <v/>
      </c>
      <c r="F1759" s="9" t="str">
        <f t="shared" si="274"/>
        <v/>
      </c>
      <c r="G1759" s="9" t="str">
        <f t="shared" si="275"/>
        <v/>
      </c>
      <c r="H1759" s="9" t="str">
        <f t="shared" si="276"/>
        <v/>
      </c>
      <c r="I1759" s="10" t="str">
        <f t="shared" si="277"/>
        <v/>
      </c>
      <c r="J1759" s="10" t="str">
        <f t="shared" si="279"/>
        <v/>
      </c>
      <c r="K1759" s="11" t="str">
        <f t="shared" si="278"/>
        <v/>
      </c>
      <c r="M1759" t="str">
        <f>IFERROR(MATCH($C$5&amp;"|"&amp;RIGHT("000000"&amp;1743,6),CalcRankKeyA,0),"")</f>
        <v/>
      </c>
      <c r="N1759" t="str">
        <f>IFERROR(MATCH($C$5&amp;"|"&amp;RIGHT("000000"&amp;1743,6),CalcRankKeyB,0),"")</f>
        <v/>
      </c>
    </row>
    <row r="1760" spans="1:14" x14ac:dyDescent="0.2">
      <c r="A1760" s="12">
        <v>1744</v>
      </c>
      <c r="B1760" s="13" t="str">
        <f t="shared" si="270"/>
        <v/>
      </c>
      <c r="C1760" s="13" t="str">
        <f t="shared" si="271"/>
        <v/>
      </c>
      <c r="D1760" s="13" t="str">
        <f t="shared" si="272"/>
        <v/>
      </c>
      <c r="E1760" s="14" t="str">
        <f t="shared" si="273"/>
        <v/>
      </c>
      <c r="F1760" s="14" t="str">
        <f t="shared" si="274"/>
        <v/>
      </c>
      <c r="G1760" s="14" t="str">
        <f t="shared" si="275"/>
        <v/>
      </c>
      <c r="H1760" s="14" t="str">
        <f t="shared" si="276"/>
        <v/>
      </c>
      <c r="I1760" s="15" t="str">
        <f t="shared" si="277"/>
        <v/>
      </c>
      <c r="J1760" s="15" t="str">
        <f t="shared" si="279"/>
        <v/>
      </c>
      <c r="K1760" s="16" t="str">
        <f t="shared" si="278"/>
        <v/>
      </c>
      <c r="M1760" t="str">
        <f>IFERROR(MATCH($C$5&amp;"|"&amp;RIGHT("000000"&amp;1744,6),CalcRankKeyA,0),"")</f>
        <v/>
      </c>
      <c r="N1760" t="str">
        <f>IFERROR(MATCH($C$5&amp;"|"&amp;RIGHT("000000"&amp;1744,6),CalcRankKeyB,0),"")</f>
        <v/>
      </c>
    </row>
    <row r="1761" spans="1:14" x14ac:dyDescent="0.2">
      <c r="A1761" s="7">
        <v>1745</v>
      </c>
      <c r="B1761" s="8" t="str">
        <f t="shared" si="270"/>
        <v/>
      </c>
      <c r="C1761" s="8" t="str">
        <f t="shared" si="271"/>
        <v/>
      </c>
      <c r="D1761" s="8" t="str">
        <f t="shared" si="272"/>
        <v/>
      </c>
      <c r="E1761" s="9" t="str">
        <f t="shared" si="273"/>
        <v/>
      </c>
      <c r="F1761" s="9" t="str">
        <f t="shared" si="274"/>
        <v/>
      </c>
      <c r="G1761" s="9" t="str">
        <f t="shared" si="275"/>
        <v/>
      </c>
      <c r="H1761" s="9" t="str">
        <f t="shared" si="276"/>
        <v/>
      </c>
      <c r="I1761" s="10" t="str">
        <f t="shared" si="277"/>
        <v/>
      </c>
      <c r="J1761" s="10" t="str">
        <f t="shared" si="279"/>
        <v/>
      </c>
      <c r="K1761" s="11" t="str">
        <f t="shared" si="278"/>
        <v/>
      </c>
      <c r="M1761" t="str">
        <f>IFERROR(MATCH($C$5&amp;"|"&amp;RIGHT("000000"&amp;1745,6),CalcRankKeyA,0),"")</f>
        <v/>
      </c>
      <c r="N1761" t="str">
        <f>IFERROR(MATCH($C$5&amp;"|"&amp;RIGHT("000000"&amp;1745,6),CalcRankKeyB,0),"")</f>
        <v/>
      </c>
    </row>
    <row r="1762" spans="1:14" x14ac:dyDescent="0.2">
      <c r="A1762" s="12">
        <v>1746</v>
      </c>
      <c r="B1762" s="13" t="str">
        <f t="shared" si="270"/>
        <v/>
      </c>
      <c r="C1762" s="13" t="str">
        <f t="shared" si="271"/>
        <v/>
      </c>
      <c r="D1762" s="13" t="str">
        <f t="shared" si="272"/>
        <v/>
      </c>
      <c r="E1762" s="14" t="str">
        <f t="shared" si="273"/>
        <v/>
      </c>
      <c r="F1762" s="14" t="str">
        <f t="shared" si="274"/>
        <v/>
      </c>
      <c r="G1762" s="14" t="str">
        <f t="shared" si="275"/>
        <v/>
      </c>
      <c r="H1762" s="14" t="str">
        <f t="shared" si="276"/>
        <v/>
      </c>
      <c r="I1762" s="15" t="str">
        <f t="shared" si="277"/>
        <v/>
      </c>
      <c r="J1762" s="15" t="str">
        <f t="shared" si="279"/>
        <v/>
      </c>
      <c r="K1762" s="16" t="str">
        <f t="shared" si="278"/>
        <v/>
      </c>
      <c r="M1762" t="str">
        <f>IFERROR(MATCH($C$5&amp;"|"&amp;RIGHT("000000"&amp;1746,6),CalcRankKeyA,0),"")</f>
        <v/>
      </c>
      <c r="N1762" t="str">
        <f>IFERROR(MATCH($C$5&amp;"|"&amp;RIGHT("000000"&amp;1746,6),CalcRankKeyB,0),"")</f>
        <v/>
      </c>
    </row>
    <row r="1763" spans="1:14" x14ac:dyDescent="0.2">
      <c r="A1763" s="7">
        <v>1747</v>
      </c>
      <c r="B1763" s="8" t="str">
        <f t="shared" si="270"/>
        <v/>
      </c>
      <c r="C1763" s="8" t="str">
        <f t="shared" si="271"/>
        <v/>
      </c>
      <c r="D1763" s="8" t="str">
        <f t="shared" si="272"/>
        <v/>
      </c>
      <c r="E1763" s="9" t="str">
        <f t="shared" si="273"/>
        <v/>
      </c>
      <c r="F1763" s="9" t="str">
        <f t="shared" si="274"/>
        <v/>
      </c>
      <c r="G1763" s="9" t="str">
        <f t="shared" si="275"/>
        <v/>
      </c>
      <c r="H1763" s="9" t="str">
        <f t="shared" si="276"/>
        <v/>
      </c>
      <c r="I1763" s="10" t="str">
        <f t="shared" si="277"/>
        <v/>
      </c>
      <c r="J1763" s="10" t="str">
        <f t="shared" si="279"/>
        <v/>
      </c>
      <c r="K1763" s="11" t="str">
        <f t="shared" si="278"/>
        <v/>
      </c>
      <c r="M1763" t="str">
        <f>IFERROR(MATCH($C$5&amp;"|"&amp;RIGHT("000000"&amp;1747,6),CalcRankKeyA,0),"")</f>
        <v/>
      </c>
      <c r="N1763" t="str">
        <f>IFERROR(MATCH($C$5&amp;"|"&amp;RIGHT("000000"&amp;1747,6),CalcRankKeyB,0),"")</f>
        <v/>
      </c>
    </row>
    <row r="1764" spans="1:14" x14ac:dyDescent="0.2">
      <c r="A1764" s="12">
        <v>1748</v>
      </c>
      <c r="B1764" s="13" t="str">
        <f t="shared" si="270"/>
        <v/>
      </c>
      <c r="C1764" s="13" t="str">
        <f t="shared" si="271"/>
        <v/>
      </c>
      <c r="D1764" s="13" t="str">
        <f t="shared" si="272"/>
        <v/>
      </c>
      <c r="E1764" s="14" t="str">
        <f t="shared" si="273"/>
        <v/>
      </c>
      <c r="F1764" s="14" t="str">
        <f t="shared" si="274"/>
        <v/>
      </c>
      <c r="G1764" s="14" t="str">
        <f t="shared" si="275"/>
        <v/>
      </c>
      <c r="H1764" s="14" t="str">
        <f t="shared" si="276"/>
        <v/>
      </c>
      <c r="I1764" s="15" t="str">
        <f t="shared" si="277"/>
        <v/>
      </c>
      <c r="J1764" s="15" t="str">
        <f t="shared" si="279"/>
        <v/>
      </c>
      <c r="K1764" s="16" t="str">
        <f t="shared" si="278"/>
        <v/>
      </c>
      <c r="M1764" t="str">
        <f>IFERROR(MATCH($C$5&amp;"|"&amp;RIGHT("000000"&amp;1748,6),CalcRankKeyA,0),"")</f>
        <v/>
      </c>
      <c r="N1764" t="str">
        <f>IFERROR(MATCH($C$5&amp;"|"&amp;RIGHT("000000"&amp;1748,6),CalcRankKeyB,0),"")</f>
        <v/>
      </c>
    </row>
    <row r="1765" spans="1:14" x14ac:dyDescent="0.2">
      <c r="A1765" s="7">
        <v>1749</v>
      </c>
      <c r="B1765" s="8" t="str">
        <f t="shared" si="270"/>
        <v/>
      </c>
      <c r="C1765" s="8" t="str">
        <f t="shared" si="271"/>
        <v/>
      </c>
      <c r="D1765" s="8" t="str">
        <f t="shared" si="272"/>
        <v/>
      </c>
      <c r="E1765" s="9" t="str">
        <f t="shared" si="273"/>
        <v/>
      </c>
      <c r="F1765" s="9" t="str">
        <f t="shared" si="274"/>
        <v/>
      </c>
      <c r="G1765" s="9" t="str">
        <f t="shared" si="275"/>
        <v/>
      </c>
      <c r="H1765" s="9" t="str">
        <f t="shared" si="276"/>
        <v/>
      </c>
      <c r="I1765" s="10" t="str">
        <f t="shared" si="277"/>
        <v/>
      </c>
      <c r="J1765" s="10" t="str">
        <f t="shared" si="279"/>
        <v/>
      </c>
      <c r="K1765" s="11" t="str">
        <f t="shared" si="278"/>
        <v/>
      </c>
      <c r="M1765" t="str">
        <f>IFERROR(MATCH($C$5&amp;"|"&amp;RIGHT("000000"&amp;1749,6),CalcRankKeyA,0),"")</f>
        <v/>
      </c>
      <c r="N1765" t="str">
        <f>IFERROR(MATCH($C$5&amp;"|"&amp;RIGHT("000000"&amp;1749,6),CalcRankKeyB,0),"")</f>
        <v/>
      </c>
    </row>
    <row r="1766" spans="1:14" x14ac:dyDescent="0.2">
      <c r="A1766" s="12">
        <v>1750</v>
      </c>
      <c r="B1766" s="13" t="str">
        <f t="shared" si="270"/>
        <v/>
      </c>
      <c r="C1766" s="13" t="str">
        <f t="shared" si="271"/>
        <v/>
      </c>
      <c r="D1766" s="13" t="str">
        <f t="shared" si="272"/>
        <v/>
      </c>
      <c r="E1766" s="14" t="str">
        <f t="shared" si="273"/>
        <v/>
      </c>
      <c r="F1766" s="14" t="str">
        <f t="shared" si="274"/>
        <v/>
      </c>
      <c r="G1766" s="14" t="str">
        <f t="shared" si="275"/>
        <v/>
      </c>
      <c r="H1766" s="14" t="str">
        <f t="shared" si="276"/>
        <v/>
      </c>
      <c r="I1766" s="15" t="str">
        <f t="shared" si="277"/>
        <v/>
      </c>
      <c r="J1766" s="15" t="str">
        <f t="shared" si="279"/>
        <v/>
      </c>
      <c r="K1766" s="16" t="str">
        <f t="shared" si="278"/>
        <v/>
      </c>
      <c r="M1766" t="str">
        <f>IFERROR(MATCH($C$5&amp;"|"&amp;RIGHT("000000"&amp;1750,6),CalcRankKeyA,0),"")</f>
        <v/>
      </c>
      <c r="N1766" t="str">
        <f>IFERROR(MATCH($C$5&amp;"|"&amp;RIGHT("000000"&amp;1750,6),CalcRankKeyB,0),"")</f>
        <v/>
      </c>
    </row>
    <row r="1767" spans="1:14" x14ac:dyDescent="0.2">
      <c r="A1767" s="7">
        <v>1751</v>
      </c>
      <c r="B1767" s="8" t="str">
        <f t="shared" si="270"/>
        <v/>
      </c>
      <c r="C1767" s="8" t="str">
        <f t="shared" si="271"/>
        <v/>
      </c>
      <c r="D1767" s="8" t="str">
        <f t="shared" si="272"/>
        <v/>
      </c>
      <c r="E1767" s="9" t="str">
        <f t="shared" si="273"/>
        <v/>
      </c>
      <c r="F1767" s="9" t="str">
        <f t="shared" si="274"/>
        <v/>
      </c>
      <c r="G1767" s="9" t="str">
        <f t="shared" si="275"/>
        <v/>
      </c>
      <c r="H1767" s="9" t="str">
        <f t="shared" si="276"/>
        <v/>
      </c>
      <c r="I1767" s="10" t="str">
        <f t="shared" si="277"/>
        <v/>
      </c>
      <c r="J1767" s="10" t="str">
        <f t="shared" si="279"/>
        <v/>
      </c>
      <c r="K1767" s="11" t="str">
        <f t="shared" si="278"/>
        <v/>
      </c>
      <c r="M1767" t="str">
        <f>IFERROR(MATCH($C$5&amp;"|"&amp;RIGHT("000000"&amp;1751,6),CalcRankKeyA,0),"")</f>
        <v/>
      </c>
      <c r="N1767" t="str">
        <f>IFERROR(MATCH($C$5&amp;"|"&amp;RIGHT("000000"&amp;1751,6),CalcRankKeyB,0),"")</f>
        <v/>
      </c>
    </row>
    <row r="1768" spans="1:14" x14ac:dyDescent="0.2">
      <c r="A1768" s="12">
        <v>1752</v>
      </c>
      <c r="B1768" s="13" t="str">
        <f t="shared" si="270"/>
        <v/>
      </c>
      <c r="C1768" s="13" t="str">
        <f t="shared" si="271"/>
        <v/>
      </c>
      <c r="D1768" s="13" t="str">
        <f t="shared" si="272"/>
        <v/>
      </c>
      <c r="E1768" s="14" t="str">
        <f t="shared" si="273"/>
        <v/>
      </c>
      <c r="F1768" s="14" t="str">
        <f t="shared" si="274"/>
        <v/>
      </c>
      <c r="G1768" s="14" t="str">
        <f t="shared" si="275"/>
        <v/>
      </c>
      <c r="H1768" s="14" t="str">
        <f t="shared" si="276"/>
        <v/>
      </c>
      <c r="I1768" s="15" t="str">
        <f t="shared" si="277"/>
        <v/>
      </c>
      <c r="J1768" s="15" t="str">
        <f t="shared" si="279"/>
        <v/>
      </c>
      <c r="K1768" s="16" t="str">
        <f t="shared" si="278"/>
        <v/>
      </c>
      <c r="M1768" t="str">
        <f>IFERROR(MATCH($C$5&amp;"|"&amp;RIGHT("000000"&amp;1752,6),CalcRankKeyA,0),"")</f>
        <v/>
      </c>
      <c r="N1768" t="str">
        <f>IFERROR(MATCH($C$5&amp;"|"&amp;RIGHT("000000"&amp;1752,6),CalcRankKeyB,0),"")</f>
        <v/>
      </c>
    </row>
    <row r="1769" spans="1:14" x14ac:dyDescent="0.2">
      <c r="A1769" s="7">
        <v>1753</v>
      </c>
      <c r="B1769" s="8" t="str">
        <f t="shared" si="270"/>
        <v/>
      </c>
      <c r="C1769" s="8" t="str">
        <f t="shared" si="271"/>
        <v/>
      </c>
      <c r="D1769" s="8" t="str">
        <f t="shared" si="272"/>
        <v/>
      </c>
      <c r="E1769" s="9" t="str">
        <f t="shared" si="273"/>
        <v/>
      </c>
      <c r="F1769" s="9" t="str">
        <f t="shared" si="274"/>
        <v/>
      </c>
      <c r="G1769" s="9" t="str">
        <f t="shared" si="275"/>
        <v/>
      </c>
      <c r="H1769" s="9" t="str">
        <f t="shared" si="276"/>
        <v/>
      </c>
      <c r="I1769" s="10" t="str">
        <f t="shared" si="277"/>
        <v/>
      </c>
      <c r="J1769" s="10" t="str">
        <f t="shared" si="279"/>
        <v/>
      </c>
      <c r="K1769" s="11" t="str">
        <f t="shared" si="278"/>
        <v/>
      </c>
      <c r="M1769" t="str">
        <f>IFERROR(MATCH($C$5&amp;"|"&amp;RIGHT("000000"&amp;1753,6),CalcRankKeyA,0),"")</f>
        <v/>
      </c>
      <c r="N1769" t="str">
        <f>IFERROR(MATCH($C$5&amp;"|"&amp;RIGHT("000000"&amp;1753,6),CalcRankKeyB,0),"")</f>
        <v/>
      </c>
    </row>
    <row r="1770" spans="1:14" x14ac:dyDescent="0.2">
      <c r="A1770" s="12">
        <v>1754</v>
      </c>
      <c r="B1770" s="13" t="str">
        <f t="shared" si="270"/>
        <v/>
      </c>
      <c r="C1770" s="13" t="str">
        <f t="shared" si="271"/>
        <v/>
      </c>
      <c r="D1770" s="13" t="str">
        <f t="shared" si="272"/>
        <v/>
      </c>
      <c r="E1770" s="14" t="str">
        <f t="shared" si="273"/>
        <v/>
      </c>
      <c r="F1770" s="14" t="str">
        <f t="shared" si="274"/>
        <v/>
      </c>
      <c r="G1770" s="14" t="str">
        <f t="shared" si="275"/>
        <v/>
      </c>
      <c r="H1770" s="14" t="str">
        <f t="shared" si="276"/>
        <v/>
      </c>
      <c r="I1770" s="15" t="str">
        <f t="shared" si="277"/>
        <v/>
      </c>
      <c r="J1770" s="15" t="str">
        <f t="shared" si="279"/>
        <v/>
      </c>
      <c r="K1770" s="16" t="str">
        <f t="shared" si="278"/>
        <v/>
      </c>
      <c r="M1770" t="str">
        <f>IFERROR(MATCH($C$5&amp;"|"&amp;RIGHT("000000"&amp;1754,6),CalcRankKeyA,0),"")</f>
        <v/>
      </c>
      <c r="N1770" t="str">
        <f>IFERROR(MATCH($C$5&amp;"|"&amp;RIGHT("000000"&amp;1754,6),CalcRankKeyB,0),"")</f>
        <v/>
      </c>
    </row>
    <row r="1771" spans="1:14" x14ac:dyDescent="0.2">
      <c r="A1771" s="7">
        <v>1755</v>
      </c>
      <c r="B1771" s="8" t="str">
        <f t="shared" si="270"/>
        <v/>
      </c>
      <c r="C1771" s="8" t="str">
        <f t="shared" si="271"/>
        <v/>
      </c>
      <c r="D1771" s="8" t="str">
        <f t="shared" si="272"/>
        <v/>
      </c>
      <c r="E1771" s="9" t="str">
        <f t="shared" si="273"/>
        <v/>
      </c>
      <c r="F1771" s="9" t="str">
        <f t="shared" si="274"/>
        <v/>
      </c>
      <c r="G1771" s="9" t="str">
        <f t="shared" si="275"/>
        <v/>
      </c>
      <c r="H1771" s="9" t="str">
        <f t="shared" si="276"/>
        <v/>
      </c>
      <c r="I1771" s="10" t="str">
        <f t="shared" si="277"/>
        <v/>
      </c>
      <c r="J1771" s="10" t="str">
        <f t="shared" si="279"/>
        <v/>
      </c>
      <c r="K1771" s="11" t="str">
        <f t="shared" si="278"/>
        <v/>
      </c>
      <c r="M1771" t="str">
        <f>IFERROR(MATCH($C$5&amp;"|"&amp;RIGHT("000000"&amp;1755,6),CalcRankKeyA,0),"")</f>
        <v/>
      </c>
      <c r="N1771" t="str">
        <f>IFERROR(MATCH($C$5&amp;"|"&amp;RIGHT("000000"&amp;1755,6),CalcRankKeyB,0),"")</f>
        <v/>
      </c>
    </row>
    <row r="1772" spans="1:14" x14ac:dyDescent="0.2">
      <c r="A1772" s="12">
        <v>1756</v>
      </c>
      <c r="B1772" s="13" t="str">
        <f t="shared" si="270"/>
        <v/>
      </c>
      <c r="C1772" s="13" t="str">
        <f t="shared" si="271"/>
        <v/>
      </c>
      <c r="D1772" s="13" t="str">
        <f t="shared" si="272"/>
        <v/>
      </c>
      <c r="E1772" s="14" t="str">
        <f t="shared" si="273"/>
        <v/>
      </c>
      <c r="F1772" s="14" t="str">
        <f t="shared" si="274"/>
        <v/>
      </c>
      <c r="G1772" s="14" t="str">
        <f t="shared" si="275"/>
        <v/>
      </c>
      <c r="H1772" s="14" t="str">
        <f t="shared" si="276"/>
        <v/>
      </c>
      <c r="I1772" s="15" t="str">
        <f t="shared" si="277"/>
        <v/>
      </c>
      <c r="J1772" s="15" t="str">
        <f t="shared" si="279"/>
        <v/>
      </c>
      <c r="K1772" s="16" t="str">
        <f t="shared" si="278"/>
        <v/>
      </c>
      <c r="M1772" t="str">
        <f>IFERROR(MATCH($C$5&amp;"|"&amp;RIGHT("000000"&amp;1756,6),CalcRankKeyA,0),"")</f>
        <v/>
      </c>
      <c r="N1772" t="str">
        <f>IFERROR(MATCH($C$5&amp;"|"&amp;RIGHT("000000"&amp;1756,6),CalcRankKeyB,0),"")</f>
        <v/>
      </c>
    </row>
    <row r="1773" spans="1:14" x14ac:dyDescent="0.2">
      <c r="A1773" s="7">
        <v>1757</v>
      </c>
      <c r="B1773" s="8" t="str">
        <f t="shared" si="270"/>
        <v/>
      </c>
      <c r="C1773" s="8" t="str">
        <f t="shared" si="271"/>
        <v/>
      </c>
      <c r="D1773" s="8" t="str">
        <f t="shared" si="272"/>
        <v/>
      </c>
      <c r="E1773" s="9" t="str">
        <f t="shared" si="273"/>
        <v/>
      </c>
      <c r="F1773" s="9" t="str">
        <f t="shared" si="274"/>
        <v/>
      </c>
      <c r="G1773" s="9" t="str">
        <f t="shared" si="275"/>
        <v/>
      </c>
      <c r="H1773" s="9" t="str">
        <f t="shared" si="276"/>
        <v/>
      </c>
      <c r="I1773" s="10" t="str">
        <f t="shared" si="277"/>
        <v/>
      </c>
      <c r="J1773" s="10" t="str">
        <f t="shared" si="279"/>
        <v/>
      </c>
      <c r="K1773" s="11" t="str">
        <f t="shared" si="278"/>
        <v/>
      </c>
      <c r="M1773" t="str">
        <f>IFERROR(MATCH($C$5&amp;"|"&amp;RIGHT("000000"&amp;1757,6),CalcRankKeyA,0),"")</f>
        <v/>
      </c>
      <c r="N1773" t="str">
        <f>IFERROR(MATCH($C$5&amp;"|"&amp;RIGHT("000000"&amp;1757,6),CalcRankKeyB,0),"")</f>
        <v/>
      </c>
    </row>
    <row r="1774" spans="1:14" x14ac:dyDescent="0.2">
      <c r="A1774" s="12">
        <v>1758</v>
      </c>
      <c r="B1774" s="13" t="str">
        <f t="shared" si="270"/>
        <v/>
      </c>
      <c r="C1774" s="13" t="str">
        <f t="shared" si="271"/>
        <v/>
      </c>
      <c r="D1774" s="13" t="str">
        <f t="shared" si="272"/>
        <v/>
      </c>
      <c r="E1774" s="14" t="str">
        <f t="shared" si="273"/>
        <v/>
      </c>
      <c r="F1774" s="14" t="str">
        <f t="shared" si="274"/>
        <v/>
      </c>
      <c r="G1774" s="14" t="str">
        <f t="shared" si="275"/>
        <v/>
      </c>
      <c r="H1774" s="14" t="str">
        <f t="shared" si="276"/>
        <v/>
      </c>
      <c r="I1774" s="15" t="str">
        <f t="shared" si="277"/>
        <v/>
      </c>
      <c r="J1774" s="15" t="str">
        <f t="shared" si="279"/>
        <v/>
      </c>
      <c r="K1774" s="16" t="str">
        <f t="shared" si="278"/>
        <v/>
      </c>
      <c r="M1774" t="str">
        <f>IFERROR(MATCH($C$5&amp;"|"&amp;RIGHT("000000"&amp;1758,6),CalcRankKeyA,0),"")</f>
        <v/>
      </c>
      <c r="N1774" t="str">
        <f>IFERROR(MATCH($C$5&amp;"|"&amp;RIGHT("000000"&amp;1758,6),CalcRankKeyB,0),"")</f>
        <v/>
      </c>
    </row>
    <row r="1775" spans="1:14" x14ac:dyDescent="0.2">
      <c r="A1775" s="7">
        <v>1759</v>
      </c>
      <c r="B1775" s="8" t="str">
        <f t="shared" si="270"/>
        <v/>
      </c>
      <c r="C1775" s="8" t="str">
        <f t="shared" si="271"/>
        <v/>
      </c>
      <c r="D1775" s="8" t="str">
        <f t="shared" si="272"/>
        <v/>
      </c>
      <c r="E1775" s="9" t="str">
        <f t="shared" si="273"/>
        <v/>
      </c>
      <c r="F1775" s="9" t="str">
        <f t="shared" si="274"/>
        <v/>
      </c>
      <c r="G1775" s="9" t="str">
        <f t="shared" si="275"/>
        <v/>
      </c>
      <c r="H1775" s="9" t="str">
        <f t="shared" si="276"/>
        <v/>
      </c>
      <c r="I1775" s="10" t="str">
        <f t="shared" si="277"/>
        <v/>
      </c>
      <c r="J1775" s="10" t="str">
        <f t="shared" si="279"/>
        <v/>
      </c>
      <c r="K1775" s="11" t="str">
        <f t="shared" si="278"/>
        <v/>
      </c>
      <c r="M1775" t="str">
        <f>IFERROR(MATCH($C$5&amp;"|"&amp;RIGHT("000000"&amp;1759,6),CalcRankKeyA,0),"")</f>
        <v/>
      </c>
      <c r="N1775" t="str">
        <f>IFERROR(MATCH($C$5&amp;"|"&amp;RIGHT("000000"&amp;1759,6),CalcRankKeyB,0),"")</f>
        <v/>
      </c>
    </row>
    <row r="1776" spans="1:14" x14ac:dyDescent="0.2">
      <c r="A1776" s="12">
        <v>1760</v>
      </c>
      <c r="B1776" s="13" t="str">
        <f t="shared" si="270"/>
        <v/>
      </c>
      <c r="C1776" s="13" t="str">
        <f t="shared" si="271"/>
        <v/>
      </c>
      <c r="D1776" s="13" t="str">
        <f t="shared" si="272"/>
        <v/>
      </c>
      <c r="E1776" s="14" t="str">
        <f t="shared" si="273"/>
        <v/>
      </c>
      <c r="F1776" s="14" t="str">
        <f t="shared" si="274"/>
        <v/>
      </c>
      <c r="G1776" s="14" t="str">
        <f t="shared" si="275"/>
        <v/>
      </c>
      <c r="H1776" s="14" t="str">
        <f t="shared" si="276"/>
        <v/>
      </c>
      <c r="I1776" s="15" t="str">
        <f t="shared" si="277"/>
        <v/>
      </c>
      <c r="J1776" s="15" t="str">
        <f t="shared" si="279"/>
        <v/>
      </c>
      <c r="K1776" s="16" t="str">
        <f t="shared" si="278"/>
        <v/>
      </c>
      <c r="M1776" t="str">
        <f>IFERROR(MATCH($C$5&amp;"|"&amp;RIGHT("000000"&amp;1760,6),CalcRankKeyA,0),"")</f>
        <v/>
      </c>
      <c r="N1776" t="str">
        <f>IFERROR(MATCH($C$5&amp;"|"&amp;RIGHT("000000"&amp;1760,6),CalcRankKeyB,0),"")</f>
        <v/>
      </c>
    </row>
    <row r="1777" spans="1:14" x14ac:dyDescent="0.2">
      <c r="A1777" s="7">
        <v>1761</v>
      </c>
      <c r="B1777" s="8" t="str">
        <f t="shared" si="270"/>
        <v/>
      </c>
      <c r="C1777" s="8" t="str">
        <f t="shared" si="271"/>
        <v/>
      </c>
      <c r="D1777" s="8" t="str">
        <f t="shared" si="272"/>
        <v/>
      </c>
      <c r="E1777" s="9" t="str">
        <f t="shared" si="273"/>
        <v/>
      </c>
      <c r="F1777" s="9" t="str">
        <f t="shared" si="274"/>
        <v/>
      </c>
      <c r="G1777" s="9" t="str">
        <f t="shared" si="275"/>
        <v/>
      </c>
      <c r="H1777" s="9" t="str">
        <f t="shared" si="276"/>
        <v/>
      </c>
      <c r="I1777" s="10" t="str">
        <f t="shared" si="277"/>
        <v/>
      </c>
      <c r="J1777" s="10" t="str">
        <f t="shared" si="279"/>
        <v/>
      </c>
      <c r="K1777" s="11" t="str">
        <f t="shared" si="278"/>
        <v/>
      </c>
      <c r="M1777" t="str">
        <f>IFERROR(MATCH($C$5&amp;"|"&amp;RIGHT("000000"&amp;1761,6),CalcRankKeyA,0),"")</f>
        <v/>
      </c>
      <c r="N1777" t="str">
        <f>IFERROR(MATCH($C$5&amp;"|"&amp;RIGHT("000000"&amp;1761,6),CalcRankKeyB,0),"")</f>
        <v/>
      </c>
    </row>
    <row r="1778" spans="1:14" x14ac:dyDescent="0.2">
      <c r="A1778" s="12">
        <v>1762</v>
      </c>
      <c r="B1778" s="13" t="str">
        <f t="shared" si="270"/>
        <v/>
      </c>
      <c r="C1778" s="13" t="str">
        <f t="shared" si="271"/>
        <v/>
      </c>
      <c r="D1778" s="13" t="str">
        <f t="shared" si="272"/>
        <v/>
      </c>
      <c r="E1778" s="14" t="str">
        <f t="shared" si="273"/>
        <v/>
      </c>
      <c r="F1778" s="14" t="str">
        <f t="shared" si="274"/>
        <v/>
      </c>
      <c r="G1778" s="14" t="str">
        <f t="shared" si="275"/>
        <v/>
      </c>
      <c r="H1778" s="14" t="str">
        <f t="shared" si="276"/>
        <v/>
      </c>
      <c r="I1778" s="15" t="str">
        <f t="shared" si="277"/>
        <v/>
      </c>
      <c r="J1778" s="15" t="str">
        <f t="shared" si="279"/>
        <v/>
      </c>
      <c r="K1778" s="16" t="str">
        <f t="shared" si="278"/>
        <v/>
      </c>
      <c r="M1778" t="str">
        <f>IFERROR(MATCH($C$5&amp;"|"&amp;RIGHT("000000"&amp;1762,6),CalcRankKeyA,0),"")</f>
        <v/>
      </c>
      <c r="N1778" t="str">
        <f>IFERROR(MATCH($C$5&amp;"|"&amp;RIGHT("000000"&amp;1762,6),CalcRankKeyB,0),"")</f>
        <v/>
      </c>
    </row>
    <row r="1779" spans="1:14" x14ac:dyDescent="0.2">
      <c r="A1779" s="7">
        <v>1763</v>
      </c>
      <c r="B1779" s="8" t="str">
        <f t="shared" si="270"/>
        <v/>
      </c>
      <c r="C1779" s="8" t="str">
        <f t="shared" si="271"/>
        <v/>
      </c>
      <c r="D1779" s="8" t="str">
        <f t="shared" si="272"/>
        <v/>
      </c>
      <c r="E1779" s="9" t="str">
        <f t="shared" si="273"/>
        <v/>
      </c>
      <c r="F1779" s="9" t="str">
        <f t="shared" si="274"/>
        <v/>
      </c>
      <c r="G1779" s="9" t="str">
        <f t="shared" si="275"/>
        <v/>
      </c>
      <c r="H1779" s="9" t="str">
        <f t="shared" si="276"/>
        <v/>
      </c>
      <c r="I1779" s="10" t="str">
        <f t="shared" si="277"/>
        <v/>
      </c>
      <c r="J1779" s="10" t="str">
        <f t="shared" si="279"/>
        <v/>
      </c>
      <c r="K1779" s="11" t="str">
        <f t="shared" si="278"/>
        <v/>
      </c>
      <c r="M1779" t="str">
        <f>IFERROR(MATCH($C$5&amp;"|"&amp;RIGHT("000000"&amp;1763,6),CalcRankKeyA,0),"")</f>
        <v/>
      </c>
      <c r="N1779" t="str">
        <f>IFERROR(MATCH($C$5&amp;"|"&amp;RIGHT("000000"&amp;1763,6),CalcRankKeyB,0),"")</f>
        <v/>
      </c>
    </row>
    <row r="1780" spans="1:14" x14ac:dyDescent="0.2">
      <c r="A1780" s="12">
        <v>1764</v>
      </c>
      <c r="B1780" s="13" t="str">
        <f t="shared" si="270"/>
        <v/>
      </c>
      <c r="C1780" s="13" t="str">
        <f t="shared" si="271"/>
        <v/>
      </c>
      <c r="D1780" s="13" t="str">
        <f t="shared" si="272"/>
        <v/>
      </c>
      <c r="E1780" s="14" t="str">
        <f t="shared" si="273"/>
        <v/>
      </c>
      <c r="F1780" s="14" t="str">
        <f t="shared" si="274"/>
        <v/>
      </c>
      <c r="G1780" s="14" t="str">
        <f t="shared" si="275"/>
        <v/>
      </c>
      <c r="H1780" s="14" t="str">
        <f t="shared" si="276"/>
        <v/>
      </c>
      <c r="I1780" s="15" t="str">
        <f t="shared" si="277"/>
        <v/>
      </c>
      <c r="J1780" s="15" t="str">
        <f t="shared" si="279"/>
        <v/>
      </c>
      <c r="K1780" s="16" t="str">
        <f t="shared" si="278"/>
        <v/>
      </c>
      <c r="M1780" t="str">
        <f>IFERROR(MATCH($C$5&amp;"|"&amp;RIGHT("000000"&amp;1764,6),CalcRankKeyA,0),"")</f>
        <v/>
      </c>
      <c r="N1780" t="str">
        <f>IFERROR(MATCH($C$5&amp;"|"&amp;RIGHT("000000"&amp;1764,6),CalcRankKeyB,0),"")</f>
        <v/>
      </c>
    </row>
    <row r="1781" spans="1:14" x14ac:dyDescent="0.2">
      <c r="A1781" s="7">
        <v>1765</v>
      </c>
      <c r="B1781" s="8" t="str">
        <f t="shared" si="270"/>
        <v/>
      </c>
      <c r="C1781" s="8" t="str">
        <f t="shared" si="271"/>
        <v/>
      </c>
      <c r="D1781" s="8" t="str">
        <f t="shared" si="272"/>
        <v/>
      </c>
      <c r="E1781" s="9" t="str">
        <f t="shared" si="273"/>
        <v/>
      </c>
      <c r="F1781" s="9" t="str">
        <f t="shared" si="274"/>
        <v/>
      </c>
      <c r="G1781" s="9" t="str">
        <f t="shared" si="275"/>
        <v/>
      </c>
      <c r="H1781" s="9" t="str">
        <f t="shared" si="276"/>
        <v/>
      </c>
      <c r="I1781" s="10" t="str">
        <f t="shared" si="277"/>
        <v/>
      </c>
      <c r="J1781" s="10" t="str">
        <f t="shared" si="279"/>
        <v/>
      </c>
      <c r="K1781" s="11" t="str">
        <f t="shared" si="278"/>
        <v/>
      </c>
      <c r="M1781" t="str">
        <f>IFERROR(MATCH($C$5&amp;"|"&amp;RIGHT("000000"&amp;1765,6),CalcRankKeyA,0),"")</f>
        <v/>
      </c>
      <c r="N1781" t="str">
        <f>IFERROR(MATCH($C$5&amp;"|"&amp;RIGHT("000000"&amp;1765,6),CalcRankKeyB,0),"")</f>
        <v/>
      </c>
    </row>
    <row r="1782" spans="1:14" x14ac:dyDescent="0.2">
      <c r="A1782" s="12">
        <v>1766</v>
      </c>
      <c r="B1782" s="13" t="str">
        <f t="shared" si="270"/>
        <v/>
      </c>
      <c r="C1782" s="13" t="str">
        <f t="shared" si="271"/>
        <v/>
      </c>
      <c r="D1782" s="13" t="str">
        <f t="shared" si="272"/>
        <v/>
      </c>
      <c r="E1782" s="14" t="str">
        <f t="shared" si="273"/>
        <v/>
      </c>
      <c r="F1782" s="14" t="str">
        <f t="shared" si="274"/>
        <v/>
      </c>
      <c r="G1782" s="14" t="str">
        <f t="shared" si="275"/>
        <v/>
      </c>
      <c r="H1782" s="14" t="str">
        <f t="shared" si="276"/>
        <v/>
      </c>
      <c r="I1782" s="15" t="str">
        <f t="shared" si="277"/>
        <v/>
      </c>
      <c r="J1782" s="15" t="str">
        <f t="shared" si="279"/>
        <v/>
      </c>
      <c r="K1782" s="16" t="str">
        <f t="shared" si="278"/>
        <v/>
      </c>
      <c r="M1782" t="str">
        <f>IFERROR(MATCH($C$5&amp;"|"&amp;RIGHT("000000"&amp;1766,6),CalcRankKeyA,0),"")</f>
        <v/>
      </c>
      <c r="N1782" t="str">
        <f>IFERROR(MATCH($C$5&amp;"|"&amp;RIGHT("000000"&amp;1766,6),CalcRankKeyB,0),"")</f>
        <v/>
      </c>
    </row>
    <row r="1783" spans="1:14" x14ac:dyDescent="0.2">
      <c r="A1783" s="7">
        <v>1767</v>
      </c>
      <c r="B1783" s="8" t="str">
        <f t="shared" si="270"/>
        <v/>
      </c>
      <c r="C1783" s="8" t="str">
        <f t="shared" si="271"/>
        <v/>
      </c>
      <c r="D1783" s="8" t="str">
        <f t="shared" si="272"/>
        <v/>
      </c>
      <c r="E1783" s="9" t="str">
        <f t="shared" si="273"/>
        <v/>
      </c>
      <c r="F1783" s="9" t="str">
        <f t="shared" si="274"/>
        <v/>
      </c>
      <c r="G1783" s="9" t="str">
        <f t="shared" si="275"/>
        <v/>
      </c>
      <c r="H1783" s="9" t="str">
        <f t="shared" si="276"/>
        <v/>
      </c>
      <c r="I1783" s="10" t="str">
        <f t="shared" si="277"/>
        <v/>
      </c>
      <c r="J1783" s="10" t="str">
        <f t="shared" si="279"/>
        <v/>
      </c>
      <c r="K1783" s="11" t="str">
        <f t="shared" si="278"/>
        <v/>
      </c>
      <c r="M1783" t="str">
        <f>IFERROR(MATCH($C$5&amp;"|"&amp;RIGHT("000000"&amp;1767,6),CalcRankKeyA,0),"")</f>
        <v/>
      </c>
      <c r="N1783" t="str">
        <f>IFERROR(MATCH($C$5&amp;"|"&amp;RIGHT("000000"&amp;1767,6),CalcRankKeyB,0),"")</f>
        <v/>
      </c>
    </row>
    <row r="1784" spans="1:14" x14ac:dyDescent="0.2">
      <c r="A1784" s="12">
        <v>1768</v>
      </c>
      <c r="B1784" s="13" t="str">
        <f t="shared" si="270"/>
        <v/>
      </c>
      <c r="C1784" s="13" t="str">
        <f t="shared" si="271"/>
        <v/>
      </c>
      <c r="D1784" s="13" t="str">
        <f t="shared" si="272"/>
        <v/>
      </c>
      <c r="E1784" s="14" t="str">
        <f t="shared" si="273"/>
        <v/>
      </c>
      <c r="F1784" s="14" t="str">
        <f t="shared" si="274"/>
        <v/>
      </c>
      <c r="G1784" s="14" t="str">
        <f t="shared" si="275"/>
        <v/>
      </c>
      <c r="H1784" s="14" t="str">
        <f t="shared" si="276"/>
        <v/>
      </c>
      <c r="I1784" s="15" t="str">
        <f t="shared" si="277"/>
        <v/>
      </c>
      <c r="J1784" s="15" t="str">
        <f t="shared" si="279"/>
        <v/>
      </c>
      <c r="K1784" s="16" t="str">
        <f t="shared" si="278"/>
        <v/>
      </c>
      <c r="M1784" t="str">
        <f>IFERROR(MATCH($C$5&amp;"|"&amp;RIGHT("000000"&amp;1768,6),CalcRankKeyA,0),"")</f>
        <v/>
      </c>
      <c r="N1784" t="str">
        <f>IFERROR(MATCH($C$5&amp;"|"&amp;RIGHT("000000"&amp;1768,6),CalcRankKeyB,0),"")</f>
        <v/>
      </c>
    </row>
    <row r="1785" spans="1:14" x14ac:dyDescent="0.2">
      <c r="A1785" s="7">
        <v>1769</v>
      </c>
      <c r="B1785" s="8" t="str">
        <f t="shared" si="270"/>
        <v/>
      </c>
      <c r="C1785" s="8" t="str">
        <f t="shared" si="271"/>
        <v/>
      </c>
      <c r="D1785" s="8" t="str">
        <f t="shared" si="272"/>
        <v/>
      </c>
      <c r="E1785" s="9" t="str">
        <f t="shared" si="273"/>
        <v/>
      </c>
      <c r="F1785" s="9" t="str">
        <f t="shared" si="274"/>
        <v/>
      </c>
      <c r="G1785" s="9" t="str">
        <f t="shared" si="275"/>
        <v/>
      </c>
      <c r="H1785" s="9" t="str">
        <f t="shared" si="276"/>
        <v/>
      </c>
      <c r="I1785" s="10" t="str">
        <f t="shared" si="277"/>
        <v/>
      </c>
      <c r="J1785" s="10" t="str">
        <f t="shared" si="279"/>
        <v/>
      </c>
      <c r="K1785" s="11" t="str">
        <f t="shared" si="278"/>
        <v/>
      </c>
      <c r="M1785" t="str">
        <f>IFERROR(MATCH($C$5&amp;"|"&amp;RIGHT("000000"&amp;1769,6),CalcRankKeyA,0),"")</f>
        <v/>
      </c>
      <c r="N1785" t="str">
        <f>IFERROR(MATCH($C$5&amp;"|"&amp;RIGHT("000000"&amp;1769,6),CalcRankKeyB,0),"")</f>
        <v/>
      </c>
    </row>
    <row r="1786" spans="1:14" x14ac:dyDescent="0.2">
      <c r="A1786" s="12">
        <v>1770</v>
      </c>
      <c r="B1786" s="13" t="str">
        <f t="shared" si="270"/>
        <v/>
      </c>
      <c r="C1786" s="13" t="str">
        <f t="shared" si="271"/>
        <v/>
      </c>
      <c r="D1786" s="13" t="str">
        <f t="shared" si="272"/>
        <v/>
      </c>
      <c r="E1786" s="14" t="str">
        <f t="shared" si="273"/>
        <v/>
      </c>
      <c r="F1786" s="14" t="str">
        <f t="shared" si="274"/>
        <v/>
      </c>
      <c r="G1786" s="14" t="str">
        <f t="shared" si="275"/>
        <v/>
      </c>
      <c r="H1786" s="14" t="str">
        <f t="shared" si="276"/>
        <v/>
      </c>
      <c r="I1786" s="15" t="str">
        <f t="shared" si="277"/>
        <v/>
      </c>
      <c r="J1786" s="15" t="str">
        <f t="shared" si="279"/>
        <v/>
      </c>
      <c r="K1786" s="16" t="str">
        <f t="shared" si="278"/>
        <v/>
      </c>
      <c r="M1786" t="str">
        <f>IFERROR(MATCH($C$5&amp;"|"&amp;RIGHT("000000"&amp;1770,6),CalcRankKeyA,0),"")</f>
        <v/>
      </c>
      <c r="N1786" t="str">
        <f>IFERROR(MATCH($C$5&amp;"|"&amp;RIGHT("000000"&amp;1770,6),CalcRankKeyB,0),"")</f>
        <v/>
      </c>
    </row>
    <row r="1787" spans="1:14" x14ac:dyDescent="0.2">
      <c r="A1787" s="7">
        <v>1771</v>
      </c>
      <c r="B1787" s="8" t="str">
        <f t="shared" si="270"/>
        <v/>
      </c>
      <c r="C1787" s="8" t="str">
        <f t="shared" si="271"/>
        <v/>
      </c>
      <c r="D1787" s="8" t="str">
        <f t="shared" si="272"/>
        <v/>
      </c>
      <c r="E1787" s="9" t="str">
        <f t="shared" si="273"/>
        <v/>
      </c>
      <c r="F1787" s="9" t="str">
        <f t="shared" si="274"/>
        <v/>
      </c>
      <c r="G1787" s="9" t="str">
        <f t="shared" si="275"/>
        <v/>
      </c>
      <c r="H1787" s="9" t="str">
        <f t="shared" si="276"/>
        <v/>
      </c>
      <c r="I1787" s="10" t="str">
        <f t="shared" si="277"/>
        <v/>
      </c>
      <c r="J1787" s="10" t="str">
        <f t="shared" si="279"/>
        <v/>
      </c>
      <c r="K1787" s="11" t="str">
        <f t="shared" si="278"/>
        <v/>
      </c>
      <c r="M1787" t="str">
        <f>IFERROR(MATCH($C$5&amp;"|"&amp;RIGHT("000000"&amp;1771,6),CalcRankKeyA,0),"")</f>
        <v/>
      </c>
      <c r="N1787" t="str">
        <f>IFERROR(MATCH($C$5&amp;"|"&amp;RIGHT("000000"&amp;1771,6),CalcRankKeyB,0),"")</f>
        <v/>
      </c>
    </row>
    <row r="1788" spans="1:14" x14ac:dyDescent="0.2">
      <c r="A1788" s="12">
        <v>1772</v>
      </c>
      <c r="B1788" s="13" t="str">
        <f t="shared" si="270"/>
        <v/>
      </c>
      <c r="C1788" s="13" t="str">
        <f t="shared" si="271"/>
        <v/>
      </c>
      <c r="D1788" s="13" t="str">
        <f t="shared" si="272"/>
        <v/>
      </c>
      <c r="E1788" s="14" t="str">
        <f t="shared" si="273"/>
        <v/>
      </c>
      <c r="F1788" s="14" t="str">
        <f t="shared" si="274"/>
        <v/>
      </c>
      <c r="G1788" s="14" t="str">
        <f t="shared" si="275"/>
        <v/>
      </c>
      <c r="H1788" s="14" t="str">
        <f t="shared" si="276"/>
        <v/>
      </c>
      <c r="I1788" s="15" t="str">
        <f t="shared" si="277"/>
        <v/>
      </c>
      <c r="J1788" s="15" t="str">
        <f t="shared" si="279"/>
        <v/>
      </c>
      <c r="K1788" s="16" t="str">
        <f t="shared" si="278"/>
        <v/>
      </c>
      <c r="M1788" t="str">
        <f>IFERROR(MATCH($C$5&amp;"|"&amp;RIGHT("000000"&amp;1772,6),CalcRankKeyA,0),"")</f>
        <v/>
      </c>
      <c r="N1788" t="str">
        <f>IFERROR(MATCH($C$5&amp;"|"&amp;RIGHT("000000"&amp;1772,6),CalcRankKeyB,0),"")</f>
        <v/>
      </c>
    </row>
    <row r="1789" spans="1:14" x14ac:dyDescent="0.2">
      <c r="A1789" s="7">
        <v>1773</v>
      </c>
      <c r="B1789" s="8" t="str">
        <f t="shared" si="270"/>
        <v/>
      </c>
      <c r="C1789" s="8" t="str">
        <f t="shared" si="271"/>
        <v/>
      </c>
      <c r="D1789" s="8" t="str">
        <f t="shared" si="272"/>
        <v/>
      </c>
      <c r="E1789" s="9" t="str">
        <f t="shared" si="273"/>
        <v/>
      </c>
      <c r="F1789" s="9" t="str">
        <f t="shared" si="274"/>
        <v/>
      </c>
      <c r="G1789" s="9" t="str">
        <f t="shared" si="275"/>
        <v/>
      </c>
      <c r="H1789" s="9" t="str">
        <f t="shared" si="276"/>
        <v/>
      </c>
      <c r="I1789" s="10" t="str">
        <f t="shared" si="277"/>
        <v/>
      </c>
      <c r="J1789" s="10" t="str">
        <f t="shared" si="279"/>
        <v/>
      </c>
      <c r="K1789" s="11" t="str">
        <f t="shared" si="278"/>
        <v/>
      </c>
      <c r="M1789" t="str">
        <f>IFERROR(MATCH($C$5&amp;"|"&amp;RIGHT("000000"&amp;1773,6),CalcRankKeyA,0),"")</f>
        <v/>
      </c>
      <c r="N1789" t="str">
        <f>IFERROR(MATCH($C$5&amp;"|"&amp;RIGHT("000000"&amp;1773,6),CalcRankKeyB,0),"")</f>
        <v/>
      </c>
    </row>
    <row r="1790" spans="1:14" x14ac:dyDescent="0.2">
      <c r="A1790" s="12">
        <v>1774</v>
      </c>
      <c r="B1790" s="13" t="str">
        <f t="shared" si="270"/>
        <v/>
      </c>
      <c r="C1790" s="13" t="str">
        <f t="shared" si="271"/>
        <v/>
      </c>
      <c r="D1790" s="13" t="str">
        <f t="shared" si="272"/>
        <v/>
      </c>
      <c r="E1790" s="14" t="str">
        <f t="shared" si="273"/>
        <v/>
      </c>
      <c r="F1790" s="14" t="str">
        <f t="shared" si="274"/>
        <v/>
      </c>
      <c r="G1790" s="14" t="str">
        <f t="shared" si="275"/>
        <v/>
      </c>
      <c r="H1790" s="14" t="str">
        <f t="shared" si="276"/>
        <v/>
      </c>
      <c r="I1790" s="15" t="str">
        <f t="shared" si="277"/>
        <v/>
      </c>
      <c r="J1790" s="15" t="str">
        <f t="shared" si="279"/>
        <v/>
      </c>
      <c r="K1790" s="16" t="str">
        <f t="shared" si="278"/>
        <v/>
      </c>
      <c r="M1790" t="str">
        <f>IFERROR(MATCH($C$5&amp;"|"&amp;RIGHT("000000"&amp;1774,6),CalcRankKeyA,0),"")</f>
        <v/>
      </c>
      <c r="N1790" t="str">
        <f>IFERROR(MATCH($C$5&amp;"|"&amp;RIGHT("000000"&amp;1774,6),CalcRankKeyB,0),"")</f>
        <v/>
      </c>
    </row>
    <row r="1791" spans="1:14" x14ac:dyDescent="0.2">
      <c r="A1791" s="7">
        <v>1775</v>
      </c>
      <c r="B1791" s="8" t="str">
        <f t="shared" si="270"/>
        <v/>
      </c>
      <c r="C1791" s="8" t="str">
        <f t="shared" si="271"/>
        <v/>
      </c>
      <c r="D1791" s="8" t="str">
        <f t="shared" si="272"/>
        <v/>
      </c>
      <c r="E1791" s="9" t="str">
        <f t="shared" si="273"/>
        <v/>
      </c>
      <c r="F1791" s="9" t="str">
        <f t="shared" si="274"/>
        <v/>
      </c>
      <c r="G1791" s="9" t="str">
        <f t="shared" si="275"/>
        <v/>
      </c>
      <c r="H1791" s="9" t="str">
        <f t="shared" si="276"/>
        <v/>
      </c>
      <c r="I1791" s="10" t="str">
        <f t="shared" si="277"/>
        <v/>
      </c>
      <c r="J1791" s="10" t="str">
        <f t="shared" si="279"/>
        <v/>
      </c>
      <c r="K1791" s="11" t="str">
        <f t="shared" si="278"/>
        <v/>
      </c>
      <c r="M1791" t="str">
        <f>IFERROR(MATCH($C$5&amp;"|"&amp;RIGHT("000000"&amp;1775,6),CalcRankKeyA,0),"")</f>
        <v/>
      </c>
      <c r="N1791" t="str">
        <f>IFERROR(MATCH($C$5&amp;"|"&amp;RIGHT("000000"&amp;1775,6),CalcRankKeyB,0),"")</f>
        <v/>
      </c>
    </row>
    <row r="1792" spans="1:14" x14ac:dyDescent="0.2">
      <c r="A1792" s="12">
        <v>1776</v>
      </c>
      <c r="B1792" s="13" t="str">
        <f t="shared" si="270"/>
        <v/>
      </c>
      <c r="C1792" s="13" t="str">
        <f t="shared" si="271"/>
        <v/>
      </c>
      <c r="D1792" s="13" t="str">
        <f t="shared" si="272"/>
        <v/>
      </c>
      <c r="E1792" s="14" t="str">
        <f t="shared" si="273"/>
        <v/>
      </c>
      <c r="F1792" s="14" t="str">
        <f t="shared" si="274"/>
        <v/>
      </c>
      <c r="G1792" s="14" t="str">
        <f t="shared" si="275"/>
        <v/>
      </c>
      <c r="H1792" s="14" t="str">
        <f t="shared" si="276"/>
        <v/>
      </c>
      <c r="I1792" s="15" t="str">
        <f t="shared" si="277"/>
        <v/>
      </c>
      <c r="J1792" s="15" t="str">
        <f t="shared" si="279"/>
        <v/>
      </c>
      <c r="K1792" s="16" t="str">
        <f t="shared" si="278"/>
        <v/>
      </c>
      <c r="M1792" t="str">
        <f>IFERROR(MATCH($C$5&amp;"|"&amp;RIGHT("000000"&amp;1776,6),CalcRankKeyA,0),"")</f>
        <v/>
      </c>
      <c r="N1792" t="str">
        <f>IFERROR(MATCH($C$5&amp;"|"&amp;RIGHT("000000"&amp;1776,6),CalcRankKeyB,0),"")</f>
        <v/>
      </c>
    </row>
    <row r="1793" spans="1:14" x14ac:dyDescent="0.2">
      <c r="A1793" s="7">
        <v>1777</v>
      </c>
      <c r="B1793" s="8" t="str">
        <f t="shared" si="270"/>
        <v/>
      </c>
      <c r="C1793" s="8" t="str">
        <f t="shared" si="271"/>
        <v/>
      </c>
      <c r="D1793" s="8" t="str">
        <f t="shared" si="272"/>
        <v/>
      </c>
      <c r="E1793" s="9" t="str">
        <f t="shared" si="273"/>
        <v/>
      </c>
      <c r="F1793" s="9" t="str">
        <f t="shared" si="274"/>
        <v/>
      </c>
      <c r="G1793" s="9" t="str">
        <f t="shared" si="275"/>
        <v/>
      </c>
      <c r="H1793" s="9" t="str">
        <f t="shared" si="276"/>
        <v/>
      </c>
      <c r="I1793" s="10" t="str">
        <f t="shared" si="277"/>
        <v/>
      </c>
      <c r="J1793" s="10" t="str">
        <f t="shared" si="279"/>
        <v/>
      </c>
      <c r="K1793" s="11" t="str">
        <f t="shared" si="278"/>
        <v/>
      </c>
      <c r="M1793" t="str">
        <f>IFERROR(MATCH($C$5&amp;"|"&amp;RIGHT("000000"&amp;1777,6),CalcRankKeyA,0),"")</f>
        <v/>
      </c>
      <c r="N1793" t="str">
        <f>IFERROR(MATCH($C$5&amp;"|"&amp;RIGHT("000000"&amp;1777,6),CalcRankKeyB,0),"")</f>
        <v/>
      </c>
    </row>
    <row r="1794" spans="1:14" x14ac:dyDescent="0.2">
      <c r="A1794" s="12">
        <v>1778</v>
      </c>
      <c r="B1794" s="13" t="str">
        <f t="shared" si="270"/>
        <v/>
      </c>
      <c r="C1794" s="13" t="str">
        <f t="shared" si="271"/>
        <v/>
      </c>
      <c r="D1794" s="13" t="str">
        <f t="shared" si="272"/>
        <v/>
      </c>
      <c r="E1794" s="14" t="str">
        <f t="shared" si="273"/>
        <v/>
      </c>
      <c r="F1794" s="14" t="str">
        <f t="shared" si="274"/>
        <v/>
      </c>
      <c r="G1794" s="14" t="str">
        <f t="shared" si="275"/>
        <v/>
      </c>
      <c r="H1794" s="14" t="str">
        <f t="shared" si="276"/>
        <v/>
      </c>
      <c r="I1794" s="15" t="str">
        <f t="shared" si="277"/>
        <v/>
      </c>
      <c r="J1794" s="15" t="str">
        <f t="shared" si="279"/>
        <v/>
      </c>
      <c r="K1794" s="16" t="str">
        <f t="shared" si="278"/>
        <v/>
      </c>
      <c r="M1794" t="str">
        <f>IFERROR(MATCH($C$5&amp;"|"&amp;RIGHT("000000"&amp;1778,6),CalcRankKeyA,0),"")</f>
        <v/>
      </c>
      <c r="N1794" t="str">
        <f>IFERROR(MATCH($C$5&amp;"|"&amp;RIGHT("000000"&amp;1778,6),CalcRankKeyB,0),"")</f>
        <v/>
      </c>
    </row>
    <row r="1795" spans="1:14" x14ac:dyDescent="0.2">
      <c r="A1795" s="7">
        <v>1779</v>
      </c>
      <c r="B1795" s="8" t="str">
        <f t="shared" si="270"/>
        <v/>
      </c>
      <c r="C1795" s="8" t="str">
        <f t="shared" si="271"/>
        <v/>
      </c>
      <c r="D1795" s="8" t="str">
        <f t="shared" si="272"/>
        <v/>
      </c>
      <c r="E1795" s="9" t="str">
        <f t="shared" si="273"/>
        <v/>
      </c>
      <c r="F1795" s="9" t="str">
        <f t="shared" si="274"/>
        <v/>
      </c>
      <c r="G1795" s="9" t="str">
        <f t="shared" si="275"/>
        <v/>
      </c>
      <c r="H1795" s="9" t="str">
        <f t="shared" si="276"/>
        <v/>
      </c>
      <c r="I1795" s="10" t="str">
        <f t="shared" si="277"/>
        <v/>
      </c>
      <c r="J1795" s="10" t="str">
        <f t="shared" si="279"/>
        <v/>
      </c>
      <c r="K1795" s="11" t="str">
        <f t="shared" si="278"/>
        <v/>
      </c>
      <c r="M1795" t="str">
        <f>IFERROR(MATCH($C$5&amp;"|"&amp;RIGHT("000000"&amp;1779,6),CalcRankKeyA,0),"")</f>
        <v/>
      </c>
      <c r="N1795" t="str">
        <f>IFERROR(MATCH($C$5&amp;"|"&amp;RIGHT("000000"&amp;1779,6),CalcRankKeyB,0),"")</f>
        <v/>
      </c>
    </row>
    <row r="1796" spans="1:14" x14ac:dyDescent="0.2">
      <c r="A1796" s="12">
        <v>1780</v>
      </c>
      <c r="B1796" s="13" t="str">
        <f t="shared" si="270"/>
        <v/>
      </c>
      <c r="C1796" s="13" t="str">
        <f t="shared" si="271"/>
        <v/>
      </c>
      <c r="D1796" s="13" t="str">
        <f t="shared" si="272"/>
        <v/>
      </c>
      <c r="E1796" s="14" t="str">
        <f t="shared" si="273"/>
        <v/>
      </c>
      <c r="F1796" s="14" t="str">
        <f t="shared" si="274"/>
        <v/>
      </c>
      <c r="G1796" s="14" t="str">
        <f t="shared" si="275"/>
        <v/>
      </c>
      <c r="H1796" s="14" t="str">
        <f t="shared" si="276"/>
        <v/>
      </c>
      <c r="I1796" s="15" t="str">
        <f t="shared" si="277"/>
        <v/>
      </c>
      <c r="J1796" s="15" t="str">
        <f t="shared" si="279"/>
        <v/>
      </c>
      <c r="K1796" s="16" t="str">
        <f t="shared" si="278"/>
        <v/>
      </c>
      <c r="M1796" t="str">
        <f>IFERROR(MATCH($C$5&amp;"|"&amp;RIGHT("000000"&amp;1780,6),CalcRankKeyA,0),"")</f>
        <v/>
      </c>
      <c r="N1796" t="str">
        <f>IFERROR(MATCH($C$5&amp;"|"&amp;RIGHT("000000"&amp;1780,6),CalcRankKeyB,0),"")</f>
        <v/>
      </c>
    </row>
    <row r="1797" spans="1:14" x14ac:dyDescent="0.2">
      <c r="A1797" s="7">
        <v>1781</v>
      </c>
      <c r="B1797" s="8" t="str">
        <f t="shared" si="270"/>
        <v/>
      </c>
      <c r="C1797" s="8" t="str">
        <f t="shared" si="271"/>
        <v/>
      </c>
      <c r="D1797" s="8" t="str">
        <f t="shared" si="272"/>
        <v/>
      </c>
      <c r="E1797" s="9" t="str">
        <f t="shared" si="273"/>
        <v/>
      </c>
      <c r="F1797" s="9" t="str">
        <f t="shared" si="274"/>
        <v/>
      </c>
      <c r="G1797" s="9" t="str">
        <f t="shared" si="275"/>
        <v/>
      </c>
      <c r="H1797" s="9" t="str">
        <f t="shared" si="276"/>
        <v/>
      </c>
      <c r="I1797" s="10" t="str">
        <f t="shared" si="277"/>
        <v/>
      </c>
      <c r="J1797" s="10" t="str">
        <f t="shared" si="279"/>
        <v/>
      </c>
      <c r="K1797" s="11" t="str">
        <f t="shared" si="278"/>
        <v/>
      </c>
      <c r="M1797" t="str">
        <f>IFERROR(MATCH($C$5&amp;"|"&amp;RIGHT("000000"&amp;1781,6),CalcRankKeyA,0),"")</f>
        <v/>
      </c>
      <c r="N1797" t="str">
        <f>IFERROR(MATCH($C$5&amp;"|"&amp;RIGHT("000000"&amp;1781,6),CalcRankKeyB,0),"")</f>
        <v/>
      </c>
    </row>
    <row r="1798" spans="1:14" x14ac:dyDescent="0.2">
      <c r="A1798" s="12">
        <v>1782</v>
      </c>
      <c r="B1798" s="13" t="str">
        <f t="shared" si="270"/>
        <v/>
      </c>
      <c r="C1798" s="13" t="str">
        <f t="shared" si="271"/>
        <v/>
      </c>
      <c r="D1798" s="13" t="str">
        <f t="shared" si="272"/>
        <v/>
      </c>
      <c r="E1798" s="14" t="str">
        <f t="shared" si="273"/>
        <v/>
      </c>
      <c r="F1798" s="14" t="str">
        <f t="shared" si="274"/>
        <v/>
      </c>
      <c r="G1798" s="14" t="str">
        <f t="shared" si="275"/>
        <v/>
      </c>
      <c r="H1798" s="14" t="str">
        <f t="shared" si="276"/>
        <v/>
      </c>
      <c r="I1798" s="15" t="str">
        <f t="shared" si="277"/>
        <v/>
      </c>
      <c r="J1798" s="15" t="str">
        <f t="shared" si="279"/>
        <v/>
      </c>
      <c r="K1798" s="16" t="str">
        <f t="shared" si="278"/>
        <v/>
      </c>
      <c r="M1798" t="str">
        <f>IFERROR(MATCH($C$5&amp;"|"&amp;RIGHT("000000"&amp;1782,6),CalcRankKeyA,0),"")</f>
        <v/>
      </c>
      <c r="N1798" t="str">
        <f>IFERROR(MATCH($C$5&amp;"|"&amp;RIGHT("000000"&amp;1782,6),CalcRankKeyB,0),"")</f>
        <v/>
      </c>
    </row>
    <row r="1799" spans="1:14" x14ac:dyDescent="0.2">
      <c r="A1799" s="7">
        <v>1783</v>
      </c>
      <c r="B1799" s="8" t="str">
        <f t="shared" si="270"/>
        <v/>
      </c>
      <c r="C1799" s="8" t="str">
        <f t="shared" si="271"/>
        <v/>
      </c>
      <c r="D1799" s="8" t="str">
        <f t="shared" si="272"/>
        <v/>
      </c>
      <c r="E1799" s="9" t="str">
        <f t="shared" si="273"/>
        <v/>
      </c>
      <c r="F1799" s="9" t="str">
        <f t="shared" si="274"/>
        <v/>
      </c>
      <c r="G1799" s="9" t="str">
        <f t="shared" si="275"/>
        <v/>
      </c>
      <c r="H1799" s="9" t="str">
        <f t="shared" si="276"/>
        <v/>
      </c>
      <c r="I1799" s="10" t="str">
        <f t="shared" si="277"/>
        <v/>
      </c>
      <c r="J1799" s="10" t="str">
        <f t="shared" si="279"/>
        <v/>
      </c>
      <c r="K1799" s="11" t="str">
        <f t="shared" si="278"/>
        <v/>
      </c>
      <c r="M1799" t="str">
        <f>IFERROR(MATCH($C$5&amp;"|"&amp;RIGHT("000000"&amp;1783,6),CalcRankKeyA,0),"")</f>
        <v/>
      </c>
      <c r="N1799" t="str">
        <f>IFERROR(MATCH($C$5&amp;"|"&amp;RIGHT("000000"&amp;1783,6),CalcRankKeyB,0),"")</f>
        <v/>
      </c>
    </row>
    <row r="1800" spans="1:14" x14ac:dyDescent="0.2">
      <c r="A1800" s="12">
        <v>1784</v>
      </c>
      <c r="B1800" s="13" t="str">
        <f t="shared" si="270"/>
        <v/>
      </c>
      <c r="C1800" s="13" t="str">
        <f t="shared" si="271"/>
        <v/>
      </c>
      <c r="D1800" s="13" t="str">
        <f t="shared" si="272"/>
        <v/>
      </c>
      <c r="E1800" s="14" t="str">
        <f t="shared" si="273"/>
        <v/>
      </c>
      <c r="F1800" s="14" t="str">
        <f t="shared" si="274"/>
        <v/>
      </c>
      <c r="G1800" s="14" t="str">
        <f t="shared" si="275"/>
        <v/>
      </c>
      <c r="H1800" s="14" t="str">
        <f t="shared" si="276"/>
        <v/>
      </c>
      <c r="I1800" s="15" t="str">
        <f t="shared" si="277"/>
        <v/>
      </c>
      <c r="J1800" s="15" t="str">
        <f t="shared" si="279"/>
        <v/>
      </c>
      <c r="K1800" s="16" t="str">
        <f t="shared" si="278"/>
        <v/>
      </c>
      <c r="M1800" t="str">
        <f>IFERROR(MATCH($C$5&amp;"|"&amp;RIGHT("000000"&amp;1784,6),CalcRankKeyA,0),"")</f>
        <v/>
      </c>
      <c r="N1800" t="str">
        <f>IFERROR(MATCH($C$5&amp;"|"&amp;RIGHT("000000"&amp;1784,6),CalcRankKeyB,0),"")</f>
        <v/>
      </c>
    </row>
    <row r="1801" spans="1:14" x14ac:dyDescent="0.2">
      <c r="A1801" s="7">
        <v>1785</v>
      </c>
      <c r="B1801" s="8" t="str">
        <f t="shared" si="270"/>
        <v/>
      </c>
      <c r="C1801" s="8" t="str">
        <f t="shared" si="271"/>
        <v/>
      </c>
      <c r="D1801" s="8" t="str">
        <f t="shared" si="272"/>
        <v/>
      </c>
      <c r="E1801" s="9" t="str">
        <f t="shared" si="273"/>
        <v/>
      </c>
      <c r="F1801" s="9" t="str">
        <f t="shared" si="274"/>
        <v/>
      </c>
      <c r="G1801" s="9" t="str">
        <f t="shared" si="275"/>
        <v/>
      </c>
      <c r="H1801" s="9" t="str">
        <f t="shared" si="276"/>
        <v/>
      </c>
      <c r="I1801" s="10" t="str">
        <f t="shared" si="277"/>
        <v/>
      </c>
      <c r="J1801" s="10" t="str">
        <f t="shared" si="279"/>
        <v/>
      </c>
      <c r="K1801" s="11" t="str">
        <f t="shared" si="278"/>
        <v/>
      </c>
      <c r="M1801" t="str">
        <f>IFERROR(MATCH($C$5&amp;"|"&amp;RIGHT("000000"&amp;1785,6),CalcRankKeyA,0),"")</f>
        <v/>
      </c>
      <c r="N1801" t="str">
        <f>IFERROR(MATCH($C$5&amp;"|"&amp;RIGHT("000000"&amp;1785,6),CalcRankKeyB,0),"")</f>
        <v/>
      </c>
    </row>
    <row r="1802" spans="1:14" x14ac:dyDescent="0.2">
      <c r="A1802" s="12">
        <v>1786</v>
      </c>
      <c r="B1802" s="13" t="str">
        <f t="shared" si="270"/>
        <v/>
      </c>
      <c r="C1802" s="13" t="str">
        <f t="shared" si="271"/>
        <v/>
      </c>
      <c r="D1802" s="13" t="str">
        <f t="shared" si="272"/>
        <v/>
      </c>
      <c r="E1802" s="14" t="str">
        <f t="shared" si="273"/>
        <v/>
      </c>
      <c r="F1802" s="14" t="str">
        <f t="shared" si="274"/>
        <v/>
      </c>
      <c r="G1802" s="14" t="str">
        <f t="shared" si="275"/>
        <v/>
      </c>
      <c r="H1802" s="14" t="str">
        <f t="shared" si="276"/>
        <v/>
      </c>
      <c r="I1802" s="15" t="str">
        <f t="shared" si="277"/>
        <v/>
      </c>
      <c r="J1802" s="15" t="str">
        <f t="shared" si="279"/>
        <v/>
      </c>
      <c r="K1802" s="16" t="str">
        <f t="shared" si="278"/>
        <v/>
      </c>
      <c r="M1802" t="str">
        <f>IFERROR(MATCH($C$5&amp;"|"&amp;RIGHT("000000"&amp;1786,6),CalcRankKeyA,0),"")</f>
        <v/>
      </c>
      <c r="N1802" t="str">
        <f>IFERROR(MATCH($C$5&amp;"|"&amp;RIGHT("000000"&amp;1786,6),CalcRankKeyB,0),"")</f>
        <v/>
      </c>
    </row>
    <row r="1803" spans="1:14" x14ac:dyDescent="0.2">
      <c r="A1803" s="7">
        <v>1787</v>
      </c>
      <c r="B1803" s="8" t="str">
        <f t="shared" si="270"/>
        <v/>
      </c>
      <c r="C1803" s="8" t="str">
        <f t="shared" si="271"/>
        <v/>
      </c>
      <c r="D1803" s="8" t="str">
        <f t="shared" si="272"/>
        <v/>
      </c>
      <c r="E1803" s="9" t="str">
        <f t="shared" si="273"/>
        <v/>
      </c>
      <c r="F1803" s="9" t="str">
        <f t="shared" si="274"/>
        <v/>
      </c>
      <c r="G1803" s="9" t="str">
        <f t="shared" si="275"/>
        <v/>
      </c>
      <c r="H1803" s="9" t="str">
        <f t="shared" si="276"/>
        <v/>
      </c>
      <c r="I1803" s="10" t="str">
        <f t="shared" si="277"/>
        <v/>
      </c>
      <c r="J1803" s="10" t="str">
        <f t="shared" si="279"/>
        <v/>
      </c>
      <c r="K1803" s="11" t="str">
        <f t="shared" si="278"/>
        <v/>
      </c>
      <c r="M1803" t="str">
        <f>IFERROR(MATCH($C$5&amp;"|"&amp;RIGHT("000000"&amp;1787,6),CalcRankKeyA,0),"")</f>
        <v/>
      </c>
      <c r="N1803" t="str">
        <f>IFERROR(MATCH($C$5&amp;"|"&amp;RIGHT("000000"&amp;1787,6),CalcRankKeyB,0),"")</f>
        <v/>
      </c>
    </row>
    <row r="1804" spans="1:14" x14ac:dyDescent="0.2">
      <c r="A1804" s="12">
        <v>1788</v>
      </c>
      <c r="B1804" s="13" t="str">
        <f t="shared" si="270"/>
        <v/>
      </c>
      <c r="C1804" s="13" t="str">
        <f t="shared" si="271"/>
        <v/>
      </c>
      <c r="D1804" s="13" t="str">
        <f t="shared" si="272"/>
        <v/>
      </c>
      <c r="E1804" s="14" t="str">
        <f t="shared" si="273"/>
        <v/>
      </c>
      <c r="F1804" s="14" t="str">
        <f t="shared" si="274"/>
        <v/>
      </c>
      <c r="G1804" s="14" t="str">
        <f t="shared" si="275"/>
        <v/>
      </c>
      <c r="H1804" s="14" t="str">
        <f t="shared" si="276"/>
        <v/>
      </c>
      <c r="I1804" s="15" t="str">
        <f t="shared" si="277"/>
        <v/>
      </c>
      <c r="J1804" s="15" t="str">
        <f t="shared" si="279"/>
        <v/>
      </c>
      <c r="K1804" s="16" t="str">
        <f t="shared" si="278"/>
        <v/>
      </c>
      <c r="M1804" t="str">
        <f>IFERROR(MATCH($C$5&amp;"|"&amp;RIGHT("000000"&amp;1788,6),CalcRankKeyA,0),"")</f>
        <v/>
      </c>
      <c r="N1804" t="str">
        <f>IFERROR(MATCH($C$5&amp;"|"&amp;RIGHT("000000"&amp;1788,6),CalcRankKeyB,0),"")</f>
        <v/>
      </c>
    </row>
    <row r="1805" spans="1:14" x14ac:dyDescent="0.2">
      <c r="A1805" s="7">
        <v>1789</v>
      </c>
      <c r="B1805" s="8" t="str">
        <f t="shared" si="270"/>
        <v/>
      </c>
      <c r="C1805" s="8" t="str">
        <f t="shared" si="271"/>
        <v/>
      </c>
      <c r="D1805" s="8" t="str">
        <f t="shared" si="272"/>
        <v/>
      </c>
      <c r="E1805" s="9" t="str">
        <f t="shared" si="273"/>
        <v/>
      </c>
      <c r="F1805" s="9" t="str">
        <f t="shared" si="274"/>
        <v/>
      </c>
      <c r="G1805" s="9" t="str">
        <f t="shared" si="275"/>
        <v/>
      </c>
      <c r="H1805" s="9" t="str">
        <f t="shared" si="276"/>
        <v/>
      </c>
      <c r="I1805" s="10" t="str">
        <f t="shared" si="277"/>
        <v/>
      </c>
      <c r="J1805" s="10" t="str">
        <f t="shared" si="279"/>
        <v/>
      </c>
      <c r="K1805" s="11" t="str">
        <f t="shared" si="278"/>
        <v/>
      </c>
      <c r="M1805" t="str">
        <f>IFERROR(MATCH($C$5&amp;"|"&amp;RIGHT("000000"&amp;1789,6),CalcRankKeyA,0),"")</f>
        <v/>
      </c>
      <c r="N1805" t="str">
        <f>IFERROR(MATCH($C$5&amp;"|"&amp;RIGHT("000000"&amp;1789,6),CalcRankKeyB,0),"")</f>
        <v/>
      </c>
    </row>
    <row r="1806" spans="1:14" x14ac:dyDescent="0.2">
      <c r="A1806" s="12">
        <v>1790</v>
      </c>
      <c r="B1806" s="13" t="str">
        <f t="shared" si="270"/>
        <v/>
      </c>
      <c r="C1806" s="13" t="str">
        <f t="shared" si="271"/>
        <v/>
      </c>
      <c r="D1806" s="13" t="str">
        <f t="shared" si="272"/>
        <v/>
      </c>
      <c r="E1806" s="14" t="str">
        <f t="shared" si="273"/>
        <v/>
      </c>
      <c r="F1806" s="14" t="str">
        <f t="shared" si="274"/>
        <v/>
      </c>
      <c r="G1806" s="14" t="str">
        <f t="shared" si="275"/>
        <v/>
      </c>
      <c r="H1806" s="14" t="str">
        <f t="shared" si="276"/>
        <v/>
      </c>
      <c r="I1806" s="15" t="str">
        <f t="shared" si="277"/>
        <v/>
      </c>
      <c r="J1806" s="15" t="str">
        <f t="shared" si="279"/>
        <v/>
      </c>
      <c r="K1806" s="16" t="str">
        <f t="shared" si="278"/>
        <v/>
      </c>
      <c r="M1806" t="str">
        <f>IFERROR(MATCH($C$5&amp;"|"&amp;RIGHT("000000"&amp;1790,6),CalcRankKeyA,0),"")</f>
        <v/>
      </c>
      <c r="N1806" t="str">
        <f>IFERROR(MATCH($C$5&amp;"|"&amp;RIGHT("000000"&amp;1790,6),CalcRankKeyB,0),"")</f>
        <v/>
      </c>
    </row>
    <row r="1807" spans="1:14" x14ac:dyDescent="0.2">
      <c r="A1807" s="7">
        <v>1791</v>
      </c>
      <c r="B1807" s="8" t="str">
        <f t="shared" si="270"/>
        <v/>
      </c>
      <c r="C1807" s="8" t="str">
        <f t="shared" si="271"/>
        <v/>
      </c>
      <c r="D1807" s="8" t="str">
        <f t="shared" si="272"/>
        <v/>
      </c>
      <c r="E1807" s="9" t="str">
        <f t="shared" si="273"/>
        <v/>
      </c>
      <c r="F1807" s="9" t="str">
        <f t="shared" si="274"/>
        <v/>
      </c>
      <c r="G1807" s="9" t="str">
        <f t="shared" si="275"/>
        <v/>
      </c>
      <c r="H1807" s="9" t="str">
        <f t="shared" si="276"/>
        <v/>
      </c>
      <c r="I1807" s="10" t="str">
        <f t="shared" si="277"/>
        <v/>
      </c>
      <c r="J1807" s="10" t="str">
        <f t="shared" si="279"/>
        <v/>
      </c>
      <c r="K1807" s="11" t="str">
        <f t="shared" si="278"/>
        <v/>
      </c>
      <c r="M1807" t="str">
        <f>IFERROR(MATCH($C$5&amp;"|"&amp;RIGHT("000000"&amp;1791,6),CalcRankKeyA,0),"")</f>
        <v/>
      </c>
      <c r="N1807" t="str">
        <f>IFERROR(MATCH($C$5&amp;"|"&amp;RIGHT("000000"&amp;1791,6),CalcRankKeyB,0),"")</f>
        <v/>
      </c>
    </row>
    <row r="1808" spans="1:14" x14ac:dyDescent="0.2">
      <c r="A1808" s="12">
        <v>1792</v>
      </c>
      <c r="B1808" s="13" t="str">
        <f t="shared" si="270"/>
        <v/>
      </c>
      <c r="C1808" s="13" t="str">
        <f t="shared" si="271"/>
        <v/>
      </c>
      <c r="D1808" s="13" t="str">
        <f t="shared" si="272"/>
        <v/>
      </c>
      <c r="E1808" s="14" t="str">
        <f t="shared" si="273"/>
        <v/>
      </c>
      <c r="F1808" s="14" t="str">
        <f t="shared" si="274"/>
        <v/>
      </c>
      <c r="G1808" s="14" t="str">
        <f t="shared" si="275"/>
        <v/>
      </c>
      <c r="H1808" s="14" t="str">
        <f t="shared" si="276"/>
        <v/>
      </c>
      <c r="I1808" s="15" t="str">
        <f t="shared" si="277"/>
        <v/>
      </c>
      <c r="J1808" s="15" t="str">
        <f t="shared" si="279"/>
        <v/>
      </c>
      <c r="K1808" s="16" t="str">
        <f t="shared" si="278"/>
        <v/>
      </c>
      <c r="M1808" t="str">
        <f>IFERROR(MATCH($C$5&amp;"|"&amp;RIGHT("000000"&amp;1792,6),CalcRankKeyA,0),"")</f>
        <v/>
      </c>
      <c r="N1808" t="str">
        <f>IFERROR(MATCH($C$5&amp;"|"&amp;RIGHT("000000"&amp;1792,6),CalcRankKeyB,0),"")</f>
        <v/>
      </c>
    </row>
    <row r="1809" spans="1:14" x14ac:dyDescent="0.2">
      <c r="A1809" s="7">
        <v>1793</v>
      </c>
      <c r="B1809" s="8" t="str">
        <f t="shared" ref="B1809:B1872" si="280">IF(AND($M1809="",$N1809=""),"",IF($M1809&lt;&gt;"",INDEX(CalcDateA,$M1809),INDEX(CalcDateB,$N1809)))</f>
        <v/>
      </c>
      <c r="C1809" s="8" t="str">
        <f t="shared" ref="C1809:C1872" si="281">IF($M1809&lt;&gt;"","خرید سبد",IF($N1809&lt;&gt;"",IF(N(INDEX(CalcDepB,$N1809))&gt;0,"دریافت بانکی","پرداخت بانکی"),""))</f>
        <v/>
      </c>
      <c r="D1809" s="8" t="str">
        <f t="shared" ref="D1809:D1872" si="282">IF($M1809&lt;&gt;"",IF(INDEX(CalcDocA,$M1809)="","—",INDEX(CalcDocA,$M1809)),IF($N1809&lt;&gt;"",INDEX(CalcBankB,$N1809),""))</f>
        <v/>
      </c>
      <c r="E1809" s="9" t="str">
        <f t="shared" ref="E1809:E1872" si="283">IF($N1809&lt;&gt;"",IF(INDEX(CalcDepB,$N1809)=0,"",INDEX(CalcDepB,$N1809)),"")</f>
        <v/>
      </c>
      <c r="F1809" s="9" t="str">
        <f t="shared" ref="F1809:F1872" si="284">IF($M1809&lt;&gt;"",IF(INDEX(CalcQtyA,$M1809)=0,"",INDEX(CalcQtyA,$M1809)),"")</f>
        <v/>
      </c>
      <c r="G1809" s="9" t="str">
        <f t="shared" ref="G1809:G1872" si="285">IF($M1809&lt;&gt;"",IF(INDEX(CalcPriceA,$M1809)=0,"",INDEX(CalcPriceA,$M1809)),"")</f>
        <v/>
      </c>
      <c r="H1809" s="9" t="str">
        <f t="shared" ref="H1809:H1872" si="286">IF($N1809&lt;&gt;"",IF(INDEX(CalcWitB,$N1809)=0,"",INDEX(CalcWitB,$N1809)),"")</f>
        <v/>
      </c>
      <c r="I1809" s="10" t="str">
        <f t="shared" ref="I1809:I1872" si="287">IF($M1809&lt;&gt;"",INDEX(CalcAmtA,$M1809),"")</f>
        <v/>
      </c>
      <c r="J1809" s="10" t="str">
        <f t="shared" si="279"/>
        <v/>
      </c>
      <c r="K1809" s="11" t="str">
        <f t="shared" ref="K1809:K1872" si="288">IF($M1809&lt;&gt;"",IF(INDEX(CalcNoteA,$M1809)="","—",INDEX(CalcNoteA,$M1809)),IF($N1809&lt;&gt;"",IF(INDEX(CalcNoteB,$N1809)="","—",INDEX(CalcNoteB,$N1809)),""))</f>
        <v/>
      </c>
      <c r="M1809" t="str">
        <f>IFERROR(MATCH($C$5&amp;"|"&amp;RIGHT("000000"&amp;1793,6),CalcRankKeyA,0),"")</f>
        <v/>
      </c>
      <c r="N1809" t="str">
        <f>IFERROR(MATCH($C$5&amp;"|"&amp;RIGHT("000000"&amp;1793,6),CalcRankKeyB,0),"")</f>
        <v/>
      </c>
    </row>
    <row r="1810" spans="1:14" x14ac:dyDescent="0.2">
      <c r="A1810" s="12">
        <v>1794</v>
      </c>
      <c r="B1810" s="13" t="str">
        <f t="shared" si="280"/>
        <v/>
      </c>
      <c r="C1810" s="13" t="str">
        <f t="shared" si="281"/>
        <v/>
      </c>
      <c r="D1810" s="13" t="str">
        <f t="shared" si="282"/>
        <v/>
      </c>
      <c r="E1810" s="14" t="str">
        <f t="shared" si="283"/>
        <v/>
      </c>
      <c r="F1810" s="14" t="str">
        <f t="shared" si="284"/>
        <v/>
      </c>
      <c r="G1810" s="14" t="str">
        <f t="shared" si="285"/>
        <v/>
      </c>
      <c r="H1810" s="14" t="str">
        <f t="shared" si="286"/>
        <v/>
      </c>
      <c r="I1810" s="15" t="str">
        <f t="shared" si="287"/>
        <v/>
      </c>
      <c r="J1810" s="15" t="str">
        <f t="shared" ref="J1810:J1873" si="289">IF($B1810="","",IF($J1809="",$C$8,$J1809)+IF($I1810="",0,$I1810)+IF($E1810="",0,$E1810)-IF($H1810="",0,$H1810))</f>
        <v/>
      </c>
      <c r="K1810" s="16" t="str">
        <f t="shared" si="288"/>
        <v/>
      </c>
      <c r="M1810" t="str">
        <f>IFERROR(MATCH($C$5&amp;"|"&amp;RIGHT("000000"&amp;1794,6),CalcRankKeyA,0),"")</f>
        <v/>
      </c>
      <c r="N1810" t="str">
        <f>IFERROR(MATCH($C$5&amp;"|"&amp;RIGHT("000000"&amp;1794,6),CalcRankKeyB,0),"")</f>
        <v/>
      </c>
    </row>
    <row r="1811" spans="1:14" x14ac:dyDescent="0.2">
      <c r="A1811" s="7">
        <v>1795</v>
      </c>
      <c r="B1811" s="8" t="str">
        <f t="shared" si="280"/>
        <v/>
      </c>
      <c r="C1811" s="8" t="str">
        <f t="shared" si="281"/>
        <v/>
      </c>
      <c r="D1811" s="8" t="str">
        <f t="shared" si="282"/>
        <v/>
      </c>
      <c r="E1811" s="9" t="str">
        <f t="shared" si="283"/>
        <v/>
      </c>
      <c r="F1811" s="9" t="str">
        <f t="shared" si="284"/>
        <v/>
      </c>
      <c r="G1811" s="9" t="str">
        <f t="shared" si="285"/>
        <v/>
      </c>
      <c r="H1811" s="9" t="str">
        <f t="shared" si="286"/>
        <v/>
      </c>
      <c r="I1811" s="10" t="str">
        <f t="shared" si="287"/>
        <v/>
      </c>
      <c r="J1811" s="10" t="str">
        <f t="shared" si="289"/>
        <v/>
      </c>
      <c r="K1811" s="11" t="str">
        <f t="shared" si="288"/>
        <v/>
      </c>
      <c r="M1811" t="str">
        <f>IFERROR(MATCH($C$5&amp;"|"&amp;RIGHT("000000"&amp;1795,6),CalcRankKeyA,0),"")</f>
        <v/>
      </c>
      <c r="N1811" t="str">
        <f>IFERROR(MATCH($C$5&amp;"|"&amp;RIGHT("000000"&amp;1795,6),CalcRankKeyB,0),"")</f>
        <v/>
      </c>
    </row>
    <row r="1812" spans="1:14" x14ac:dyDescent="0.2">
      <c r="A1812" s="12">
        <v>1796</v>
      </c>
      <c r="B1812" s="13" t="str">
        <f t="shared" si="280"/>
        <v/>
      </c>
      <c r="C1812" s="13" t="str">
        <f t="shared" si="281"/>
        <v/>
      </c>
      <c r="D1812" s="13" t="str">
        <f t="shared" si="282"/>
        <v/>
      </c>
      <c r="E1812" s="14" t="str">
        <f t="shared" si="283"/>
        <v/>
      </c>
      <c r="F1812" s="14" t="str">
        <f t="shared" si="284"/>
        <v/>
      </c>
      <c r="G1812" s="14" t="str">
        <f t="shared" si="285"/>
        <v/>
      </c>
      <c r="H1812" s="14" t="str">
        <f t="shared" si="286"/>
        <v/>
      </c>
      <c r="I1812" s="15" t="str">
        <f t="shared" si="287"/>
        <v/>
      </c>
      <c r="J1812" s="15" t="str">
        <f t="shared" si="289"/>
        <v/>
      </c>
      <c r="K1812" s="16" t="str">
        <f t="shared" si="288"/>
        <v/>
      </c>
      <c r="M1812" t="str">
        <f>IFERROR(MATCH($C$5&amp;"|"&amp;RIGHT("000000"&amp;1796,6),CalcRankKeyA,0),"")</f>
        <v/>
      </c>
      <c r="N1812" t="str">
        <f>IFERROR(MATCH($C$5&amp;"|"&amp;RIGHT("000000"&amp;1796,6),CalcRankKeyB,0),"")</f>
        <v/>
      </c>
    </row>
    <row r="1813" spans="1:14" x14ac:dyDescent="0.2">
      <c r="A1813" s="7">
        <v>1797</v>
      </c>
      <c r="B1813" s="8" t="str">
        <f t="shared" si="280"/>
        <v/>
      </c>
      <c r="C1813" s="8" t="str">
        <f t="shared" si="281"/>
        <v/>
      </c>
      <c r="D1813" s="8" t="str">
        <f t="shared" si="282"/>
        <v/>
      </c>
      <c r="E1813" s="9" t="str">
        <f t="shared" si="283"/>
        <v/>
      </c>
      <c r="F1813" s="9" t="str">
        <f t="shared" si="284"/>
        <v/>
      </c>
      <c r="G1813" s="9" t="str">
        <f t="shared" si="285"/>
        <v/>
      </c>
      <c r="H1813" s="9" t="str">
        <f t="shared" si="286"/>
        <v/>
      </c>
      <c r="I1813" s="10" t="str">
        <f t="shared" si="287"/>
        <v/>
      </c>
      <c r="J1813" s="10" t="str">
        <f t="shared" si="289"/>
        <v/>
      </c>
      <c r="K1813" s="11" t="str">
        <f t="shared" si="288"/>
        <v/>
      </c>
      <c r="M1813" t="str">
        <f>IFERROR(MATCH($C$5&amp;"|"&amp;RIGHT("000000"&amp;1797,6),CalcRankKeyA,0),"")</f>
        <v/>
      </c>
      <c r="N1813" t="str">
        <f>IFERROR(MATCH($C$5&amp;"|"&amp;RIGHT("000000"&amp;1797,6),CalcRankKeyB,0),"")</f>
        <v/>
      </c>
    </row>
    <row r="1814" spans="1:14" x14ac:dyDescent="0.2">
      <c r="A1814" s="12">
        <v>1798</v>
      </c>
      <c r="B1814" s="13" t="str">
        <f t="shared" si="280"/>
        <v/>
      </c>
      <c r="C1814" s="13" t="str">
        <f t="shared" si="281"/>
        <v/>
      </c>
      <c r="D1814" s="13" t="str">
        <f t="shared" si="282"/>
        <v/>
      </c>
      <c r="E1814" s="14" t="str">
        <f t="shared" si="283"/>
        <v/>
      </c>
      <c r="F1814" s="14" t="str">
        <f t="shared" si="284"/>
        <v/>
      </c>
      <c r="G1814" s="14" t="str">
        <f t="shared" si="285"/>
        <v/>
      </c>
      <c r="H1814" s="14" t="str">
        <f t="shared" si="286"/>
        <v/>
      </c>
      <c r="I1814" s="15" t="str">
        <f t="shared" si="287"/>
        <v/>
      </c>
      <c r="J1814" s="15" t="str">
        <f t="shared" si="289"/>
        <v/>
      </c>
      <c r="K1814" s="16" t="str">
        <f t="shared" si="288"/>
        <v/>
      </c>
      <c r="M1814" t="str">
        <f>IFERROR(MATCH($C$5&amp;"|"&amp;RIGHT("000000"&amp;1798,6),CalcRankKeyA,0),"")</f>
        <v/>
      </c>
      <c r="N1814" t="str">
        <f>IFERROR(MATCH($C$5&amp;"|"&amp;RIGHT("000000"&amp;1798,6),CalcRankKeyB,0),"")</f>
        <v/>
      </c>
    </row>
    <row r="1815" spans="1:14" x14ac:dyDescent="0.2">
      <c r="A1815" s="7">
        <v>1799</v>
      </c>
      <c r="B1815" s="8" t="str">
        <f t="shared" si="280"/>
        <v/>
      </c>
      <c r="C1815" s="8" t="str">
        <f t="shared" si="281"/>
        <v/>
      </c>
      <c r="D1815" s="8" t="str">
        <f t="shared" si="282"/>
        <v/>
      </c>
      <c r="E1815" s="9" t="str">
        <f t="shared" si="283"/>
        <v/>
      </c>
      <c r="F1815" s="9" t="str">
        <f t="shared" si="284"/>
        <v/>
      </c>
      <c r="G1815" s="9" t="str">
        <f t="shared" si="285"/>
        <v/>
      </c>
      <c r="H1815" s="9" t="str">
        <f t="shared" si="286"/>
        <v/>
      </c>
      <c r="I1815" s="10" t="str">
        <f t="shared" si="287"/>
        <v/>
      </c>
      <c r="J1815" s="10" t="str">
        <f t="shared" si="289"/>
        <v/>
      </c>
      <c r="K1815" s="11" t="str">
        <f t="shared" si="288"/>
        <v/>
      </c>
      <c r="M1815" t="str">
        <f>IFERROR(MATCH($C$5&amp;"|"&amp;RIGHT("000000"&amp;1799,6),CalcRankKeyA,0),"")</f>
        <v/>
      </c>
      <c r="N1815" t="str">
        <f>IFERROR(MATCH($C$5&amp;"|"&amp;RIGHT("000000"&amp;1799,6),CalcRankKeyB,0),"")</f>
        <v/>
      </c>
    </row>
    <row r="1816" spans="1:14" x14ac:dyDescent="0.2">
      <c r="A1816" s="12">
        <v>1800</v>
      </c>
      <c r="B1816" s="13" t="str">
        <f t="shared" si="280"/>
        <v/>
      </c>
      <c r="C1816" s="13" t="str">
        <f t="shared" si="281"/>
        <v/>
      </c>
      <c r="D1816" s="13" t="str">
        <f t="shared" si="282"/>
        <v/>
      </c>
      <c r="E1816" s="14" t="str">
        <f t="shared" si="283"/>
        <v/>
      </c>
      <c r="F1816" s="14" t="str">
        <f t="shared" si="284"/>
        <v/>
      </c>
      <c r="G1816" s="14" t="str">
        <f t="shared" si="285"/>
        <v/>
      </c>
      <c r="H1816" s="14" t="str">
        <f t="shared" si="286"/>
        <v/>
      </c>
      <c r="I1816" s="15" t="str">
        <f t="shared" si="287"/>
        <v/>
      </c>
      <c r="J1816" s="15" t="str">
        <f t="shared" si="289"/>
        <v/>
      </c>
      <c r="K1816" s="16" t="str">
        <f t="shared" si="288"/>
        <v/>
      </c>
      <c r="M1816" t="str">
        <f>IFERROR(MATCH($C$5&amp;"|"&amp;RIGHT("000000"&amp;1800,6),CalcRankKeyA,0),"")</f>
        <v/>
      </c>
      <c r="N1816" t="str">
        <f>IFERROR(MATCH($C$5&amp;"|"&amp;RIGHT("000000"&amp;1800,6),CalcRankKeyB,0),"")</f>
        <v/>
      </c>
    </row>
    <row r="1817" spans="1:14" x14ac:dyDescent="0.2">
      <c r="A1817" s="7">
        <v>1801</v>
      </c>
      <c r="B1817" s="8" t="str">
        <f t="shared" si="280"/>
        <v/>
      </c>
      <c r="C1817" s="8" t="str">
        <f t="shared" si="281"/>
        <v/>
      </c>
      <c r="D1817" s="8" t="str">
        <f t="shared" si="282"/>
        <v/>
      </c>
      <c r="E1817" s="9" t="str">
        <f t="shared" si="283"/>
        <v/>
      </c>
      <c r="F1817" s="9" t="str">
        <f t="shared" si="284"/>
        <v/>
      </c>
      <c r="G1817" s="9" t="str">
        <f t="shared" si="285"/>
        <v/>
      </c>
      <c r="H1817" s="9" t="str">
        <f t="shared" si="286"/>
        <v/>
      </c>
      <c r="I1817" s="10" t="str">
        <f t="shared" si="287"/>
        <v/>
      </c>
      <c r="J1817" s="10" t="str">
        <f t="shared" si="289"/>
        <v/>
      </c>
      <c r="K1817" s="11" t="str">
        <f t="shared" si="288"/>
        <v/>
      </c>
      <c r="M1817" t="str">
        <f>IFERROR(MATCH($C$5&amp;"|"&amp;RIGHT("000000"&amp;1801,6),CalcRankKeyA,0),"")</f>
        <v/>
      </c>
      <c r="N1817" t="str">
        <f>IFERROR(MATCH($C$5&amp;"|"&amp;RIGHT("000000"&amp;1801,6),CalcRankKeyB,0),"")</f>
        <v/>
      </c>
    </row>
    <row r="1818" spans="1:14" x14ac:dyDescent="0.2">
      <c r="A1818" s="12">
        <v>1802</v>
      </c>
      <c r="B1818" s="13" t="str">
        <f t="shared" si="280"/>
        <v/>
      </c>
      <c r="C1818" s="13" t="str">
        <f t="shared" si="281"/>
        <v/>
      </c>
      <c r="D1818" s="13" t="str">
        <f t="shared" si="282"/>
        <v/>
      </c>
      <c r="E1818" s="14" t="str">
        <f t="shared" si="283"/>
        <v/>
      </c>
      <c r="F1818" s="14" t="str">
        <f t="shared" si="284"/>
        <v/>
      </c>
      <c r="G1818" s="14" t="str">
        <f t="shared" si="285"/>
        <v/>
      </c>
      <c r="H1818" s="14" t="str">
        <f t="shared" si="286"/>
        <v/>
      </c>
      <c r="I1818" s="15" t="str">
        <f t="shared" si="287"/>
        <v/>
      </c>
      <c r="J1818" s="15" t="str">
        <f t="shared" si="289"/>
        <v/>
      </c>
      <c r="K1818" s="16" t="str">
        <f t="shared" si="288"/>
        <v/>
      </c>
      <c r="M1818" t="str">
        <f>IFERROR(MATCH($C$5&amp;"|"&amp;RIGHT("000000"&amp;1802,6),CalcRankKeyA,0),"")</f>
        <v/>
      </c>
      <c r="N1818" t="str">
        <f>IFERROR(MATCH($C$5&amp;"|"&amp;RIGHT("000000"&amp;1802,6),CalcRankKeyB,0),"")</f>
        <v/>
      </c>
    </row>
    <row r="1819" spans="1:14" x14ac:dyDescent="0.2">
      <c r="A1819" s="7">
        <v>1803</v>
      </c>
      <c r="B1819" s="8" t="str">
        <f t="shared" si="280"/>
        <v/>
      </c>
      <c r="C1819" s="8" t="str">
        <f t="shared" si="281"/>
        <v/>
      </c>
      <c r="D1819" s="8" t="str">
        <f t="shared" si="282"/>
        <v/>
      </c>
      <c r="E1819" s="9" t="str">
        <f t="shared" si="283"/>
        <v/>
      </c>
      <c r="F1819" s="9" t="str">
        <f t="shared" si="284"/>
        <v/>
      </c>
      <c r="G1819" s="9" t="str">
        <f t="shared" si="285"/>
        <v/>
      </c>
      <c r="H1819" s="9" t="str">
        <f t="shared" si="286"/>
        <v/>
      </c>
      <c r="I1819" s="10" t="str">
        <f t="shared" si="287"/>
        <v/>
      </c>
      <c r="J1819" s="10" t="str">
        <f t="shared" si="289"/>
        <v/>
      </c>
      <c r="K1819" s="11" t="str">
        <f t="shared" si="288"/>
        <v/>
      </c>
      <c r="M1819" t="str">
        <f>IFERROR(MATCH($C$5&amp;"|"&amp;RIGHT("000000"&amp;1803,6),CalcRankKeyA,0),"")</f>
        <v/>
      </c>
      <c r="N1819" t="str">
        <f>IFERROR(MATCH($C$5&amp;"|"&amp;RIGHT("000000"&amp;1803,6),CalcRankKeyB,0),"")</f>
        <v/>
      </c>
    </row>
    <row r="1820" spans="1:14" x14ac:dyDescent="0.2">
      <c r="A1820" s="12">
        <v>1804</v>
      </c>
      <c r="B1820" s="13" t="str">
        <f t="shared" si="280"/>
        <v/>
      </c>
      <c r="C1820" s="13" t="str">
        <f t="shared" si="281"/>
        <v/>
      </c>
      <c r="D1820" s="13" t="str">
        <f t="shared" si="282"/>
        <v/>
      </c>
      <c r="E1820" s="14" t="str">
        <f t="shared" si="283"/>
        <v/>
      </c>
      <c r="F1820" s="14" t="str">
        <f t="shared" si="284"/>
        <v/>
      </c>
      <c r="G1820" s="14" t="str">
        <f t="shared" si="285"/>
        <v/>
      </c>
      <c r="H1820" s="14" t="str">
        <f t="shared" si="286"/>
        <v/>
      </c>
      <c r="I1820" s="15" t="str">
        <f t="shared" si="287"/>
        <v/>
      </c>
      <c r="J1820" s="15" t="str">
        <f t="shared" si="289"/>
        <v/>
      </c>
      <c r="K1820" s="16" t="str">
        <f t="shared" si="288"/>
        <v/>
      </c>
      <c r="M1820" t="str">
        <f>IFERROR(MATCH($C$5&amp;"|"&amp;RIGHT("000000"&amp;1804,6),CalcRankKeyA,0),"")</f>
        <v/>
      </c>
      <c r="N1820" t="str">
        <f>IFERROR(MATCH($C$5&amp;"|"&amp;RIGHT("000000"&amp;1804,6),CalcRankKeyB,0),"")</f>
        <v/>
      </c>
    </row>
    <row r="1821" spans="1:14" x14ac:dyDescent="0.2">
      <c r="A1821" s="7">
        <v>1805</v>
      </c>
      <c r="B1821" s="8" t="str">
        <f t="shared" si="280"/>
        <v/>
      </c>
      <c r="C1821" s="8" t="str">
        <f t="shared" si="281"/>
        <v/>
      </c>
      <c r="D1821" s="8" t="str">
        <f t="shared" si="282"/>
        <v/>
      </c>
      <c r="E1821" s="9" t="str">
        <f t="shared" si="283"/>
        <v/>
      </c>
      <c r="F1821" s="9" t="str">
        <f t="shared" si="284"/>
        <v/>
      </c>
      <c r="G1821" s="9" t="str">
        <f t="shared" si="285"/>
        <v/>
      </c>
      <c r="H1821" s="9" t="str">
        <f t="shared" si="286"/>
        <v/>
      </c>
      <c r="I1821" s="10" t="str">
        <f t="shared" si="287"/>
        <v/>
      </c>
      <c r="J1821" s="10" t="str">
        <f t="shared" si="289"/>
        <v/>
      </c>
      <c r="K1821" s="11" t="str">
        <f t="shared" si="288"/>
        <v/>
      </c>
      <c r="M1821" t="str">
        <f>IFERROR(MATCH($C$5&amp;"|"&amp;RIGHT("000000"&amp;1805,6),CalcRankKeyA,0),"")</f>
        <v/>
      </c>
      <c r="N1821" t="str">
        <f>IFERROR(MATCH($C$5&amp;"|"&amp;RIGHT("000000"&amp;1805,6),CalcRankKeyB,0),"")</f>
        <v/>
      </c>
    </row>
    <row r="1822" spans="1:14" x14ac:dyDescent="0.2">
      <c r="A1822" s="12">
        <v>1806</v>
      </c>
      <c r="B1822" s="13" t="str">
        <f t="shared" si="280"/>
        <v/>
      </c>
      <c r="C1822" s="13" t="str">
        <f t="shared" si="281"/>
        <v/>
      </c>
      <c r="D1822" s="13" t="str">
        <f t="shared" si="282"/>
        <v/>
      </c>
      <c r="E1822" s="14" t="str">
        <f t="shared" si="283"/>
        <v/>
      </c>
      <c r="F1822" s="14" t="str">
        <f t="shared" si="284"/>
        <v/>
      </c>
      <c r="G1822" s="14" t="str">
        <f t="shared" si="285"/>
        <v/>
      </c>
      <c r="H1822" s="14" t="str">
        <f t="shared" si="286"/>
        <v/>
      </c>
      <c r="I1822" s="15" t="str">
        <f t="shared" si="287"/>
        <v/>
      </c>
      <c r="J1822" s="15" t="str">
        <f t="shared" si="289"/>
        <v/>
      </c>
      <c r="K1822" s="16" t="str">
        <f t="shared" si="288"/>
        <v/>
      </c>
      <c r="M1822" t="str">
        <f>IFERROR(MATCH($C$5&amp;"|"&amp;RIGHT("000000"&amp;1806,6),CalcRankKeyA,0),"")</f>
        <v/>
      </c>
      <c r="N1822" t="str">
        <f>IFERROR(MATCH($C$5&amp;"|"&amp;RIGHT("000000"&amp;1806,6),CalcRankKeyB,0),"")</f>
        <v/>
      </c>
    </row>
    <row r="1823" spans="1:14" x14ac:dyDescent="0.2">
      <c r="A1823" s="7">
        <v>1807</v>
      </c>
      <c r="B1823" s="8" t="str">
        <f t="shared" si="280"/>
        <v/>
      </c>
      <c r="C1823" s="8" t="str">
        <f t="shared" si="281"/>
        <v/>
      </c>
      <c r="D1823" s="8" t="str">
        <f t="shared" si="282"/>
        <v/>
      </c>
      <c r="E1823" s="9" t="str">
        <f t="shared" si="283"/>
        <v/>
      </c>
      <c r="F1823" s="9" t="str">
        <f t="shared" si="284"/>
        <v/>
      </c>
      <c r="G1823" s="9" t="str">
        <f t="shared" si="285"/>
        <v/>
      </c>
      <c r="H1823" s="9" t="str">
        <f t="shared" si="286"/>
        <v/>
      </c>
      <c r="I1823" s="10" t="str">
        <f t="shared" si="287"/>
        <v/>
      </c>
      <c r="J1823" s="10" t="str">
        <f t="shared" si="289"/>
        <v/>
      </c>
      <c r="K1823" s="11" t="str">
        <f t="shared" si="288"/>
        <v/>
      </c>
      <c r="M1823" t="str">
        <f>IFERROR(MATCH($C$5&amp;"|"&amp;RIGHT("000000"&amp;1807,6),CalcRankKeyA,0),"")</f>
        <v/>
      </c>
      <c r="N1823" t="str">
        <f>IFERROR(MATCH($C$5&amp;"|"&amp;RIGHT("000000"&amp;1807,6),CalcRankKeyB,0),"")</f>
        <v/>
      </c>
    </row>
    <row r="1824" spans="1:14" x14ac:dyDescent="0.2">
      <c r="A1824" s="12">
        <v>1808</v>
      </c>
      <c r="B1824" s="13" t="str">
        <f t="shared" si="280"/>
        <v/>
      </c>
      <c r="C1824" s="13" t="str">
        <f t="shared" si="281"/>
        <v/>
      </c>
      <c r="D1824" s="13" t="str">
        <f t="shared" si="282"/>
        <v/>
      </c>
      <c r="E1824" s="14" t="str">
        <f t="shared" si="283"/>
        <v/>
      </c>
      <c r="F1824" s="14" t="str">
        <f t="shared" si="284"/>
        <v/>
      </c>
      <c r="G1824" s="14" t="str">
        <f t="shared" si="285"/>
        <v/>
      </c>
      <c r="H1824" s="14" t="str">
        <f t="shared" si="286"/>
        <v/>
      </c>
      <c r="I1824" s="15" t="str">
        <f t="shared" si="287"/>
        <v/>
      </c>
      <c r="J1824" s="15" t="str">
        <f t="shared" si="289"/>
        <v/>
      </c>
      <c r="K1824" s="16" t="str">
        <f t="shared" si="288"/>
        <v/>
      </c>
      <c r="M1824" t="str">
        <f>IFERROR(MATCH($C$5&amp;"|"&amp;RIGHT("000000"&amp;1808,6),CalcRankKeyA,0),"")</f>
        <v/>
      </c>
      <c r="N1824" t="str">
        <f>IFERROR(MATCH($C$5&amp;"|"&amp;RIGHT("000000"&amp;1808,6),CalcRankKeyB,0),"")</f>
        <v/>
      </c>
    </row>
    <row r="1825" spans="1:14" x14ac:dyDescent="0.2">
      <c r="A1825" s="7">
        <v>1809</v>
      </c>
      <c r="B1825" s="8" t="str">
        <f t="shared" si="280"/>
        <v/>
      </c>
      <c r="C1825" s="8" t="str">
        <f t="shared" si="281"/>
        <v/>
      </c>
      <c r="D1825" s="8" t="str">
        <f t="shared" si="282"/>
        <v/>
      </c>
      <c r="E1825" s="9" t="str">
        <f t="shared" si="283"/>
        <v/>
      </c>
      <c r="F1825" s="9" t="str">
        <f t="shared" si="284"/>
        <v/>
      </c>
      <c r="G1825" s="9" t="str">
        <f t="shared" si="285"/>
        <v/>
      </c>
      <c r="H1825" s="9" t="str">
        <f t="shared" si="286"/>
        <v/>
      </c>
      <c r="I1825" s="10" t="str">
        <f t="shared" si="287"/>
        <v/>
      </c>
      <c r="J1825" s="10" t="str">
        <f t="shared" si="289"/>
        <v/>
      </c>
      <c r="K1825" s="11" t="str">
        <f t="shared" si="288"/>
        <v/>
      </c>
      <c r="M1825" t="str">
        <f>IFERROR(MATCH($C$5&amp;"|"&amp;RIGHT("000000"&amp;1809,6),CalcRankKeyA,0),"")</f>
        <v/>
      </c>
      <c r="N1825" t="str">
        <f>IFERROR(MATCH($C$5&amp;"|"&amp;RIGHT("000000"&amp;1809,6),CalcRankKeyB,0),"")</f>
        <v/>
      </c>
    </row>
    <row r="1826" spans="1:14" x14ac:dyDescent="0.2">
      <c r="A1826" s="12">
        <v>1810</v>
      </c>
      <c r="B1826" s="13" t="str">
        <f t="shared" si="280"/>
        <v/>
      </c>
      <c r="C1826" s="13" t="str">
        <f t="shared" si="281"/>
        <v/>
      </c>
      <c r="D1826" s="13" t="str">
        <f t="shared" si="282"/>
        <v/>
      </c>
      <c r="E1826" s="14" t="str">
        <f t="shared" si="283"/>
        <v/>
      </c>
      <c r="F1826" s="14" t="str">
        <f t="shared" si="284"/>
        <v/>
      </c>
      <c r="G1826" s="14" t="str">
        <f t="shared" si="285"/>
        <v/>
      </c>
      <c r="H1826" s="14" t="str">
        <f t="shared" si="286"/>
        <v/>
      </c>
      <c r="I1826" s="15" t="str">
        <f t="shared" si="287"/>
        <v/>
      </c>
      <c r="J1826" s="15" t="str">
        <f t="shared" si="289"/>
        <v/>
      </c>
      <c r="K1826" s="16" t="str">
        <f t="shared" si="288"/>
        <v/>
      </c>
      <c r="M1826" t="str">
        <f>IFERROR(MATCH($C$5&amp;"|"&amp;RIGHT("000000"&amp;1810,6),CalcRankKeyA,0),"")</f>
        <v/>
      </c>
      <c r="N1826" t="str">
        <f>IFERROR(MATCH($C$5&amp;"|"&amp;RIGHT("000000"&amp;1810,6),CalcRankKeyB,0),"")</f>
        <v/>
      </c>
    </row>
    <row r="1827" spans="1:14" x14ac:dyDescent="0.2">
      <c r="A1827" s="7">
        <v>1811</v>
      </c>
      <c r="B1827" s="8" t="str">
        <f t="shared" si="280"/>
        <v/>
      </c>
      <c r="C1827" s="8" t="str">
        <f t="shared" si="281"/>
        <v/>
      </c>
      <c r="D1827" s="8" t="str">
        <f t="shared" si="282"/>
        <v/>
      </c>
      <c r="E1827" s="9" t="str">
        <f t="shared" si="283"/>
        <v/>
      </c>
      <c r="F1827" s="9" t="str">
        <f t="shared" si="284"/>
        <v/>
      </c>
      <c r="G1827" s="9" t="str">
        <f t="shared" si="285"/>
        <v/>
      </c>
      <c r="H1827" s="9" t="str">
        <f t="shared" si="286"/>
        <v/>
      </c>
      <c r="I1827" s="10" t="str">
        <f t="shared" si="287"/>
        <v/>
      </c>
      <c r="J1827" s="10" t="str">
        <f t="shared" si="289"/>
        <v/>
      </c>
      <c r="K1827" s="11" t="str">
        <f t="shared" si="288"/>
        <v/>
      </c>
      <c r="M1827" t="str">
        <f>IFERROR(MATCH($C$5&amp;"|"&amp;RIGHT("000000"&amp;1811,6),CalcRankKeyA,0),"")</f>
        <v/>
      </c>
      <c r="N1827" t="str">
        <f>IFERROR(MATCH($C$5&amp;"|"&amp;RIGHT("000000"&amp;1811,6),CalcRankKeyB,0),"")</f>
        <v/>
      </c>
    </row>
    <row r="1828" spans="1:14" x14ac:dyDescent="0.2">
      <c r="A1828" s="12">
        <v>1812</v>
      </c>
      <c r="B1828" s="13" t="str">
        <f t="shared" si="280"/>
        <v/>
      </c>
      <c r="C1828" s="13" t="str">
        <f t="shared" si="281"/>
        <v/>
      </c>
      <c r="D1828" s="13" t="str">
        <f t="shared" si="282"/>
        <v/>
      </c>
      <c r="E1828" s="14" t="str">
        <f t="shared" si="283"/>
        <v/>
      </c>
      <c r="F1828" s="14" t="str">
        <f t="shared" si="284"/>
        <v/>
      </c>
      <c r="G1828" s="14" t="str">
        <f t="shared" si="285"/>
        <v/>
      </c>
      <c r="H1828" s="14" t="str">
        <f t="shared" si="286"/>
        <v/>
      </c>
      <c r="I1828" s="15" t="str">
        <f t="shared" si="287"/>
        <v/>
      </c>
      <c r="J1828" s="15" t="str">
        <f t="shared" si="289"/>
        <v/>
      </c>
      <c r="K1828" s="16" t="str">
        <f t="shared" si="288"/>
        <v/>
      </c>
      <c r="M1828" t="str">
        <f>IFERROR(MATCH($C$5&amp;"|"&amp;RIGHT("000000"&amp;1812,6),CalcRankKeyA,0),"")</f>
        <v/>
      </c>
      <c r="N1828" t="str">
        <f>IFERROR(MATCH($C$5&amp;"|"&amp;RIGHT("000000"&amp;1812,6),CalcRankKeyB,0),"")</f>
        <v/>
      </c>
    </row>
    <row r="1829" spans="1:14" x14ac:dyDescent="0.2">
      <c r="A1829" s="7">
        <v>1813</v>
      </c>
      <c r="B1829" s="8" t="str">
        <f t="shared" si="280"/>
        <v/>
      </c>
      <c r="C1829" s="8" t="str">
        <f t="shared" si="281"/>
        <v/>
      </c>
      <c r="D1829" s="8" t="str">
        <f t="shared" si="282"/>
        <v/>
      </c>
      <c r="E1829" s="9" t="str">
        <f t="shared" si="283"/>
        <v/>
      </c>
      <c r="F1829" s="9" t="str">
        <f t="shared" si="284"/>
        <v/>
      </c>
      <c r="G1829" s="9" t="str">
        <f t="shared" si="285"/>
        <v/>
      </c>
      <c r="H1829" s="9" t="str">
        <f t="shared" si="286"/>
        <v/>
      </c>
      <c r="I1829" s="10" t="str">
        <f t="shared" si="287"/>
        <v/>
      </c>
      <c r="J1829" s="10" t="str">
        <f t="shared" si="289"/>
        <v/>
      </c>
      <c r="K1829" s="11" t="str">
        <f t="shared" si="288"/>
        <v/>
      </c>
      <c r="M1829" t="str">
        <f>IFERROR(MATCH($C$5&amp;"|"&amp;RIGHT("000000"&amp;1813,6),CalcRankKeyA,0),"")</f>
        <v/>
      </c>
      <c r="N1829" t="str">
        <f>IFERROR(MATCH($C$5&amp;"|"&amp;RIGHT("000000"&amp;1813,6),CalcRankKeyB,0),"")</f>
        <v/>
      </c>
    </row>
    <row r="1830" spans="1:14" x14ac:dyDescent="0.2">
      <c r="A1830" s="12">
        <v>1814</v>
      </c>
      <c r="B1830" s="13" t="str">
        <f t="shared" si="280"/>
        <v/>
      </c>
      <c r="C1830" s="13" t="str">
        <f t="shared" si="281"/>
        <v/>
      </c>
      <c r="D1830" s="13" t="str">
        <f t="shared" si="282"/>
        <v/>
      </c>
      <c r="E1830" s="14" t="str">
        <f t="shared" si="283"/>
        <v/>
      </c>
      <c r="F1830" s="14" t="str">
        <f t="shared" si="284"/>
        <v/>
      </c>
      <c r="G1830" s="14" t="str">
        <f t="shared" si="285"/>
        <v/>
      </c>
      <c r="H1830" s="14" t="str">
        <f t="shared" si="286"/>
        <v/>
      </c>
      <c r="I1830" s="15" t="str">
        <f t="shared" si="287"/>
        <v/>
      </c>
      <c r="J1830" s="15" t="str">
        <f t="shared" si="289"/>
        <v/>
      </c>
      <c r="K1830" s="16" t="str">
        <f t="shared" si="288"/>
        <v/>
      </c>
      <c r="M1830" t="str">
        <f>IFERROR(MATCH($C$5&amp;"|"&amp;RIGHT("000000"&amp;1814,6),CalcRankKeyA,0),"")</f>
        <v/>
      </c>
      <c r="N1830" t="str">
        <f>IFERROR(MATCH($C$5&amp;"|"&amp;RIGHT("000000"&amp;1814,6),CalcRankKeyB,0),"")</f>
        <v/>
      </c>
    </row>
    <row r="1831" spans="1:14" x14ac:dyDescent="0.2">
      <c r="A1831" s="7">
        <v>1815</v>
      </c>
      <c r="B1831" s="8" t="str">
        <f t="shared" si="280"/>
        <v/>
      </c>
      <c r="C1831" s="8" t="str">
        <f t="shared" si="281"/>
        <v/>
      </c>
      <c r="D1831" s="8" t="str">
        <f t="shared" si="282"/>
        <v/>
      </c>
      <c r="E1831" s="9" t="str">
        <f t="shared" si="283"/>
        <v/>
      </c>
      <c r="F1831" s="9" t="str">
        <f t="shared" si="284"/>
        <v/>
      </c>
      <c r="G1831" s="9" t="str">
        <f t="shared" si="285"/>
        <v/>
      </c>
      <c r="H1831" s="9" t="str">
        <f t="shared" si="286"/>
        <v/>
      </c>
      <c r="I1831" s="10" t="str">
        <f t="shared" si="287"/>
        <v/>
      </c>
      <c r="J1831" s="10" t="str">
        <f t="shared" si="289"/>
        <v/>
      </c>
      <c r="K1831" s="11" t="str">
        <f t="shared" si="288"/>
        <v/>
      </c>
      <c r="M1831" t="str">
        <f>IFERROR(MATCH($C$5&amp;"|"&amp;RIGHT("000000"&amp;1815,6),CalcRankKeyA,0),"")</f>
        <v/>
      </c>
      <c r="N1831" t="str">
        <f>IFERROR(MATCH($C$5&amp;"|"&amp;RIGHT("000000"&amp;1815,6),CalcRankKeyB,0),"")</f>
        <v/>
      </c>
    </row>
    <row r="1832" spans="1:14" x14ac:dyDescent="0.2">
      <c r="A1832" s="12">
        <v>1816</v>
      </c>
      <c r="B1832" s="13" t="str">
        <f t="shared" si="280"/>
        <v/>
      </c>
      <c r="C1832" s="13" t="str">
        <f t="shared" si="281"/>
        <v/>
      </c>
      <c r="D1832" s="13" t="str">
        <f t="shared" si="282"/>
        <v/>
      </c>
      <c r="E1832" s="14" t="str">
        <f t="shared" si="283"/>
        <v/>
      </c>
      <c r="F1832" s="14" t="str">
        <f t="shared" si="284"/>
        <v/>
      </c>
      <c r="G1832" s="14" t="str">
        <f t="shared" si="285"/>
        <v/>
      </c>
      <c r="H1832" s="14" t="str">
        <f t="shared" si="286"/>
        <v/>
      </c>
      <c r="I1832" s="15" t="str">
        <f t="shared" si="287"/>
        <v/>
      </c>
      <c r="J1832" s="15" t="str">
        <f t="shared" si="289"/>
        <v/>
      </c>
      <c r="K1832" s="16" t="str">
        <f t="shared" si="288"/>
        <v/>
      </c>
      <c r="M1832" t="str">
        <f>IFERROR(MATCH($C$5&amp;"|"&amp;RIGHT("000000"&amp;1816,6),CalcRankKeyA,0),"")</f>
        <v/>
      </c>
      <c r="N1832" t="str">
        <f>IFERROR(MATCH($C$5&amp;"|"&amp;RIGHT("000000"&amp;1816,6),CalcRankKeyB,0),"")</f>
        <v/>
      </c>
    </row>
    <row r="1833" spans="1:14" x14ac:dyDescent="0.2">
      <c r="A1833" s="7">
        <v>1817</v>
      </c>
      <c r="B1833" s="8" t="str">
        <f t="shared" si="280"/>
        <v/>
      </c>
      <c r="C1833" s="8" t="str">
        <f t="shared" si="281"/>
        <v/>
      </c>
      <c r="D1833" s="8" t="str">
        <f t="shared" si="282"/>
        <v/>
      </c>
      <c r="E1833" s="9" t="str">
        <f t="shared" si="283"/>
        <v/>
      </c>
      <c r="F1833" s="9" t="str">
        <f t="shared" si="284"/>
        <v/>
      </c>
      <c r="G1833" s="9" t="str">
        <f t="shared" si="285"/>
        <v/>
      </c>
      <c r="H1833" s="9" t="str">
        <f t="shared" si="286"/>
        <v/>
      </c>
      <c r="I1833" s="10" t="str">
        <f t="shared" si="287"/>
        <v/>
      </c>
      <c r="J1833" s="10" t="str">
        <f t="shared" si="289"/>
        <v/>
      </c>
      <c r="K1833" s="11" t="str">
        <f t="shared" si="288"/>
        <v/>
      </c>
      <c r="M1833" t="str">
        <f>IFERROR(MATCH($C$5&amp;"|"&amp;RIGHT("000000"&amp;1817,6),CalcRankKeyA,0),"")</f>
        <v/>
      </c>
      <c r="N1833" t="str">
        <f>IFERROR(MATCH($C$5&amp;"|"&amp;RIGHT("000000"&amp;1817,6),CalcRankKeyB,0),"")</f>
        <v/>
      </c>
    </row>
    <row r="1834" spans="1:14" x14ac:dyDescent="0.2">
      <c r="A1834" s="12">
        <v>1818</v>
      </c>
      <c r="B1834" s="13" t="str">
        <f t="shared" si="280"/>
        <v/>
      </c>
      <c r="C1834" s="13" t="str">
        <f t="shared" si="281"/>
        <v/>
      </c>
      <c r="D1834" s="13" t="str">
        <f t="shared" si="282"/>
        <v/>
      </c>
      <c r="E1834" s="14" t="str">
        <f t="shared" si="283"/>
        <v/>
      </c>
      <c r="F1834" s="14" t="str">
        <f t="shared" si="284"/>
        <v/>
      </c>
      <c r="G1834" s="14" t="str">
        <f t="shared" si="285"/>
        <v/>
      </c>
      <c r="H1834" s="14" t="str">
        <f t="shared" si="286"/>
        <v/>
      </c>
      <c r="I1834" s="15" t="str">
        <f t="shared" si="287"/>
        <v/>
      </c>
      <c r="J1834" s="15" t="str">
        <f t="shared" si="289"/>
        <v/>
      </c>
      <c r="K1834" s="16" t="str">
        <f t="shared" si="288"/>
        <v/>
      </c>
      <c r="M1834" t="str">
        <f>IFERROR(MATCH($C$5&amp;"|"&amp;RIGHT("000000"&amp;1818,6),CalcRankKeyA,0),"")</f>
        <v/>
      </c>
      <c r="N1834" t="str">
        <f>IFERROR(MATCH($C$5&amp;"|"&amp;RIGHT("000000"&amp;1818,6),CalcRankKeyB,0),"")</f>
        <v/>
      </c>
    </row>
    <row r="1835" spans="1:14" x14ac:dyDescent="0.2">
      <c r="A1835" s="7">
        <v>1819</v>
      </c>
      <c r="B1835" s="8" t="str">
        <f t="shared" si="280"/>
        <v/>
      </c>
      <c r="C1835" s="8" t="str">
        <f t="shared" si="281"/>
        <v/>
      </c>
      <c r="D1835" s="8" t="str">
        <f t="shared" si="282"/>
        <v/>
      </c>
      <c r="E1835" s="9" t="str">
        <f t="shared" si="283"/>
        <v/>
      </c>
      <c r="F1835" s="9" t="str">
        <f t="shared" si="284"/>
        <v/>
      </c>
      <c r="G1835" s="9" t="str">
        <f t="shared" si="285"/>
        <v/>
      </c>
      <c r="H1835" s="9" t="str">
        <f t="shared" si="286"/>
        <v/>
      </c>
      <c r="I1835" s="10" t="str">
        <f t="shared" si="287"/>
        <v/>
      </c>
      <c r="J1835" s="10" t="str">
        <f t="shared" si="289"/>
        <v/>
      </c>
      <c r="K1835" s="11" t="str">
        <f t="shared" si="288"/>
        <v/>
      </c>
      <c r="M1835" t="str">
        <f>IFERROR(MATCH($C$5&amp;"|"&amp;RIGHT("000000"&amp;1819,6),CalcRankKeyA,0),"")</f>
        <v/>
      </c>
      <c r="N1835" t="str">
        <f>IFERROR(MATCH($C$5&amp;"|"&amp;RIGHT("000000"&amp;1819,6),CalcRankKeyB,0),"")</f>
        <v/>
      </c>
    </row>
    <row r="1836" spans="1:14" x14ac:dyDescent="0.2">
      <c r="A1836" s="12">
        <v>1820</v>
      </c>
      <c r="B1836" s="13" t="str">
        <f t="shared" si="280"/>
        <v/>
      </c>
      <c r="C1836" s="13" t="str">
        <f t="shared" si="281"/>
        <v/>
      </c>
      <c r="D1836" s="13" t="str">
        <f t="shared" si="282"/>
        <v/>
      </c>
      <c r="E1836" s="14" t="str">
        <f t="shared" si="283"/>
        <v/>
      </c>
      <c r="F1836" s="14" t="str">
        <f t="shared" si="284"/>
        <v/>
      </c>
      <c r="G1836" s="14" t="str">
        <f t="shared" si="285"/>
        <v/>
      </c>
      <c r="H1836" s="14" t="str">
        <f t="shared" si="286"/>
        <v/>
      </c>
      <c r="I1836" s="15" t="str">
        <f t="shared" si="287"/>
        <v/>
      </c>
      <c r="J1836" s="15" t="str">
        <f t="shared" si="289"/>
        <v/>
      </c>
      <c r="K1836" s="16" t="str">
        <f t="shared" si="288"/>
        <v/>
      </c>
      <c r="M1836" t="str">
        <f>IFERROR(MATCH($C$5&amp;"|"&amp;RIGHT("000000"&amp;1820,6),CalcRankKeyA,0),"")</f>
        <v/>
      </c>
      <c r="N1836" t="str">
        <f>IFERROR(MATCH($C$5&amp;"|"&amp;RIGHT("000000"&amp;1820,6),CalcRankKeyB,0),"")</f>
        <v/>
      </c>
    </row>
    <row r="1837" spans="1:14" x14ac:dyDescent="0.2">
      <c r="A1837" s="7">
        <v>1821</v>
      </c>
      <c r="B1837" s="8" t="str">
        <f t="shared" si="280"/>
        <v/>
      </c>
      <c r="C1837" s="8" t="str">
        <f t="shared" si="281"/>
        <v/>
      </c>
      <c r="D1837" s="8" t="str">
        <f t="shared" si="282"/>
        <v/>
      </c>
      <c r="E1837" s="9" t="str">
        <f t="shared" si="283"/>
        <v/>
      </c>
      <c r="F1837" s="9" t="str">
        <f t="shared" si="284"/>
        <v/>
      </c>
      <c r="G1837" s="9" t="str">
        <f t="shared" si="285"/>
        <v/>
      </c>
      <c r="H1837" s="9" t="str">
        <f t="shared" si="286"/>
        <v/>
      </c>
      <c r="I1837" s="10" t="str">
        <f t="shared" si="287"/>
        <v/>
      </c>
      <c r="J1837" s="10" t="str">
        <f t="shared" si="289"/>
        <v/>
      </c>
      <c r="K1837" s="11" t="str">
        <f t="shared" si="288"/>
        <v/>
      </c>
      <c r="M1837" t="str">
        <f>IFERROR(MATCH($C$5&amp;"|"&amp;RIGHT("000000"&amp;1821,6),CalcRankKeyA,0),"")</f>
        <v/>
      </c>
      <c r="N1837" t="str">
        <f>IFERROR(MATCH($C$5&amp;"|"&amp;RIGHT("000000"&amp;1821,6),CalcRankKeyB,0),"")</f>
        <v/>
      </c>
    </row>
    <row r="1838" spans="1:14" x14ac:dyDescent="0.2">
      <c r="A1838" s="12">
        <v>1822</v>
      </c>
      <c r="B1838" s="13" t="str">
        <f t="shared" si="280"/>
        <v/>
      </c>
      <c r="C1838" s="13" t="str">
        <f t="shared" si="281"/>
        <v/>
      </c>
      <c r="D1838" s="13" t="str">
        <f t="shared" si="282"/>
        <v/>
      </c>
      <c r="E1838" s="14" t="str">
        <f t="shared" si="283"/>
        <v/>
      </c>
      <c r="F1838" s="14" t="str">
        <f t="shared" si="284"/>
        <v/>
      </c>
      <c r="G1838" s="14" t="str">
        <f t="shared" si="285"/>
        <v/>
      </c>
      <c r="H1838" s="14" t="str">
        <f t="shared" si="286"/>
        <v/>
      </c>
      <c r="I1838" s="15" t="str">
        <f t="shared" si="287"/>
        <v/>
      </c>
      <c r="J1838" s="15" t="str">
        <f t="shared" si="289"/>
        <v/>
      </c>
      <c r="K1838" s="16" t="str">
        <f t="shared" si="288"/>
        <v/>
      </c>
      <c r="M1838" t="str">
        <f>IFERROR(MATCH($C$5&amp;"|"&amp;RIGHT("000000"&amp;1822,6),CalcRankKeyA,0),"")</f>
        <v/>
      </c>
      <c r="N1838" t="str">
        <f>IFERROR(MATCH($C$5&amp;"|"&amp;RIGHT("000000"&amp;1822,6),CalcRankKeyB,0),"")</f>
        <v/>
      </c>
    </row>
    <row r="1839" spans="1:14" x14ac:dyDescent="0.2">
      <c r="A1839" s="7">
        <v>1823</v>
      </c>
      <c r="B1839" s="8" t="str">
        <f t="shared" si="280"/>
        <v/>
      </c>
      <c r="C1839" s="8" t="str">
        <f t="shared" si="281"/>
        <v/>
      </c>
      <c r="D1839" s="8" t="str">
        <f t="shared" si="282"/>
        <v/>
      </c>
      <c r="E1839" s="9" t="str">
        <f t="shared" si="283"/>
        <v/>
      </c>
      <c r="F1839" s="9" t="str">
        <f t="shared" si="284"/>
        <v/>
      </c>
      <c r="G1839" s="9" t="str">
        <f t="shared" si="285"/>
        <v/>
      </c>
      <c r="H1839" s="9" t="str">
        <f t="shared" si="286"/>
        <v/>
      </c>
      <c r="I1839" s="10" t="str">
        <f t="shared" si="287"/>
        <v/>
      </c>
      <c r="J1839" s="10" t="str">
        <f t="shared" si="289"/>
        <v/>
      </c>
      <c r="K1839" s="11" t="str">
        <f t="shared" si="288"/>
        <v/>
      </c>
      <c r="M1839" t="str">
        <f>IFERROR(MATCH($C$5&amp;"|"&amp;RIGHT("000000"&amp;1823,6),CalcRankKeyA,0),"")</f>
        <v/>
      </c>
      <c r="N1839" t="str">
        <f>IFERROR(MATCH($C$5&amp;"|"&amp;RIGHT("000000"&amp;1823,6),CalcRankKeyB,0),"")</f>
        <v/>
      </c>
    </row>
    <row r="1840" spans="1:14" x14ac:dyDescent="0.2">
      <c r="A1840" s="12">
        <v>1824</v>
      </c>
      <c r="B1840" s="13" t="str">
        <f t="shared" si="280"/>
        <v/>
      </c>
      <c r="C1840" s="13" t="str">
        <f t="shared" si="281"/>
        <v/>
      </c>
      <c r="D1840" s="13" t="str">
        <f t="shared" si="282"/>
        <v/>
      </c>
      <c r="E1840" s="14" t="str">
        <f t="shared" si="283"/>
        <v/>
      </c>
      <c r="F1840" s="14" t="str">
        <f t="shared" si="284"/>
        <v/>
      </c>
      <c r="G1840" s="14" t="str">
        <f t="shared" si="285"/>
        <v/>
      </c>
      <c r="H1840" s="14" t="str">
        <f t="shared" si="286"/>
        <v/>
      </c>
      <c r="I1840" s="15" t="str">
        <f t="shared" si="287"/>
        <v/>
      </c>
      <c r="J1840" s="15" t="str">
        <f t="shared" si="289"/>
        <v/>
      </c>
      <c r="K1840" s="16" t="str">
        <f t="shared" si="288"/>
        <v/>
      </c>
      <c r="M1840" t="str">
        <f>IFERROR(MATCH($C$5&amp;"|"&amp;RIGHT("000000"&amp;1824,6),CalcRankKeyA,0),"")</f>
        <v/>
      </c>
      <c r="N1840" t="str">
        <f>IFERROR(MATCH($C$5&amp;"|"&amp;RIGHT("000000"&amp;1824,6),CalcRankKeyB,0),"")</f>
        <v/>
      </c>
    </row>
    <row r="1841" spans="1:14" x14ac:dyDescent="0.2">
      <c r="A1841" s="7">
        <v>1825</v>
      </c>
      <c r="B1841" s="8" t="str">
        <f t="shared" si="280"/>
        <v/>
      </c>
      <c r="C1841" s="8" t="str">
        <f t="shared" si="281"/>
        <v/>
      </c>
      <c r="D1841" s="8" t="str">
        <f t="shared" si="282"/>
        <v/>
      </c>
      <c r="E1841" s="9" t="str">
        <f t="shared" si="283"/>
        <v/>
      </c>
      <c r="F1841" s="9" t="str">
        <f t="shared" si="284"/>
        <v/>
      </c>
      <c r="G1841" s="9" t="str">
        <f t="shared" si="285"/>
        <v/>
      </c>
      <c r="H1841" s="9" t="str">
        <f t="shared" si="286"/>
        <v/>
      </c>
      <c r="I1841" s="10" t="str">
        <f t="shared" si="287"/>
        <v/>
      </c>
      <c r="J1841" s="10" t="str">
        <f t="shared" si="289"/>
        <v/>
      </c>
      <c r="K1841" s="11" t="str">
        <f t="shared" si="288"/>
        <v/>
      </c>
      <c r="M1841" t="str">
        <f>IFERROR(MATCH($C$5&amp;"|"&amp;RIGHT("000000"&amp;1825,6),CalcRankKeyA,0),"")</f>
        <v/>
      </c>
      <c r="N1841" t="str">
        <f>IFERROR(MATCH($C$5&amp;"|"&amp;RIGHT("000000"&amp;1825,6),CalcRankKeyB,0),"")</f>
        <v/>
      </c>
    </row>
    <row r="1842" spans="1:14" x14ac:dyDescent="0.2">
      <c r="A1842" s="12">
        <v>1826</v>
      </c>
      <c r="B1842" s="13" t="str">
        <f t="shared" si="280"/>
        <v/>
      </c>
      <c r="C1842" s="13" t="str">
        <f t="shared" si="281"/>
        <v/>
      </c>
      <c r="D1842" s="13" t="str">
        <f t="shared" si="282"/>
        <v/>
      </c>
      <c r="E1842" s="14" t="str">
        <f t="shared" si="283"/>
        <v/>
      </c>
      <c r="F1842" s="14" t="str">
        <f t="shared" si="284"/>
        <v/>
      </c>
      <c r="G1842" s="14" t="str">
        <f t="shared" si="285"/>
        <v/>
      </c>
      <c r="H1842" s="14" t="str">
        <f t="shared" si="286"/>
        <v/>
      </c>
      <c r="I1842" s="15" t="str">
        <f t="shared" si="287"/>
        <v/>
      </c>
      <c r="J1842" s="15" t="str">
        <f t="shared" si="289"/>
        <v/>
      </c>
      <c r="K1842" s="16" t="str">
        <f t="shared" si="288"/>
        <v/>
      </c>
      <c r="M1842" t="str">
        <f>IFERROR(MATCH($C$5&amp;"|"&amp;RIGHT("000000"&amp;1826,6),CalcRankKeyA,0),"")</f>
        <v/>
      </c>
      <c r="N1842" t="str">
        <f>IFERROR(MATCH($C$5&amp;"|"&amp;RIGHT("000000"&amp;1826,6),CalcRankKeyB,0),"")</f>
        <v/>
      </c>
    </row>
    <row r="1843" spans="1:14" x14ac:dyDescent="0.2">
      <c r="A1843" s="7">
        <v>1827</v>
      </c>
      <c r="B1843" s="8" t="str">
        <f t="shared" si="280"/>
        <v/>
      </c>
      <c r="C1843" s="8" t="str">
        <f t="shared" si="281"/>
        <v/>
      </c>
      <c r="D1843" s="8" t="str">
        <f t="shared" si="282"/>
        <v/>
      </c>
      <c r="E1843" s="9" t="str">
        <f t="shared" si="283"/>
        <v/>
      </c>
      <c r="F1843" s="9" t="str">
        <f t="shared" si="284"/>
        <v/>
      </c>
      <c r="G1843" s="9" t="str">
        <f t="shared" si="285"/>
        <v/>
      </c>
      <c r="H1843" s="9" t="str">
        <f t="shared" si="286"/>
        <v/>
      </c>
      <c r="I1843" s="10" t="str">
        <f t="shared" si="287"/>
        <v/>
      </c>
      <c r="J1843" s="10" t="str">
        <f t="shared" si="289"/>
        <v/>
      </c>
      <c r="K1843" s="11" t="str">
        <f t="shared" si="288"/>
        <v/>
      </c>
      <c r="M1843" t="str">
        <f>IFERROR(MATCH($C$5&amp;"|"&amp;RIGHT("000000"&amp;1827,6),CalcRankKeyA,0),"")</f>
        <v/>
      </c>
      <c r="N1843" t="str">
        <f>IFERROR(MATCH($C$5&amp;"|"&amp;RIGHT("000000"&amp;1827,6),CalcRankKeyB,0),"")</f>
        <v/>
      </c>
    </row>
    <row r="1844" spans="1:14" x14ac:dyDescent="0.2">
      <c r="A1844" s="12">
        <v>1828</v>
      </c>
      <c r="B1844" s="13" t="str">
        <f t="shared" si="280"/>
        <v/>
      </c>
      <c r="C1844" s="13" t="str">
        <f t="shared" si="281"/>
        <v/>
      </c>
      <c r="D1844" s="13" t="str">
        <f t="shared" si="282"/>
        <v/>
      </c>
      <c r="E1844" s="14" t="str">
        <f t="shared" si="283"/>
        <v/>
      </c>
      <c r="F1844" s="14" t="str">
        <f t="shared" si="284"/>
        <v/>
      </c>
      <c r="G1844" s="14" t="str">
        <f t="shared" si="285"/>
        <v/>
      </c>
      <c r="H1844" s="14" t="str">
        <f t="shared" si="286"/>
        <v/>
      </c>
      <c r="I1844" s="15" t="str">
        <f t="shared" si="287"/>
        <v/>
      </c>
      <c r="J1844" s="15" t="str">
        <f t="shared" si="289"/>
        <v/>
      </c>
      <c r="K1844" s="16" t="str">
        <f t="shared" si="288"/>
        <v/>
      </c>
      <c r="M1844" t="str">
        <f>IFERROR(MATCH($C$5&amp;"|"&amp;RIGHT("000000"&amp;1828,6),CalcRankKeyA,0),"")</f>
        <v/>
      </c>
      <c r="N1844" t="str">
        <f>IFERROR(MATCH($C$5&amp;"|"&amp;RIGHT("000000"&amp;1828,6),CalcRankKeyB,0),"")</f>
        <v/>
      </c>
    </row>
    <row r="1845" spans="1:14" x14ac:dyDescent="0.2">
      <c r="A1845" s="7">
        <v>1829</v>
      </c>
      <c r="B1845" s="8" t="str">
        <f t="shared" si="280"/>
        <v/>
      </c>
      <c r="C1845" s="8" t="str">
        <f t="shared" si="281"/>
        <v/>
      </c>
      <c r="D1845" s="8" t="str">
        <f t="shared" si="282"/>
        <v/>
      </c>
      <c r="E1845" s="9" t="str">
        <f t="shared" si="283"/>
        <v/>
      </c>
      <c r="F1845" s="9" t="str">
        <f t="shared" si="284"/>
        <v/>
      </c>
      <c r="G1845" s="9" t="str">
        <f t="shared" si="285"/>
        <v/>
      </c>
      <c r="H1845" s="9" t="str">
        <f t="shared" si="286"/>
        <v/>
      </c>
      <c r="I1845" s="10" t="str">
        <f t="shared" si="287"/>
        <v/>
      </c>
      <c r="J1845" s="10" t="str">
        <f t="shared" si="289"/>
        <v/>
      </c>
      <c r="K1845" s="11" t="str">
        <f t="shared" si="288"/>
        <v/>
      </c>
      <c r="M1845" t="str">
        <f>IFERROR(MATCH($C$5&amp;"|"&amp;RIGHT("000000"&amp;1829,6),CalcRankKeyA,0),"")</f>
        <v/>
      </c>
      <c r="N1845" t="str">
        <f>IFERROR(MATCH($C$5&amp;"|"&amp;RIGHT("000000"&amp;1829,6),CalcRankKeyB,0),"")</f>
        <v/>
      </c>
    </row>
    <row r="1846" spans="1:14" x14ac:dyDescent="0.2">
      <c r="A1846" s="12">
        <v>1830</v>
      </c>
      <c r="B1846" s="13" t="str">
        <f t="shared" si="280"/>
        <v/>
      </c>
      <c r="C1846" s="13" t="str">
        <f t="shared" si="281"/>
        <v/>
      </c>
      <c r="D1846" s="13" t="str">
        <f t="shared" si="282"/>
        <v/>
      </c>
      <c r="E1846" s="14" t="str">
        <f t="shared" si="283"/>
        <v/>
      </c>
      <c r="F1846" s="14" t="str">
        <f t="shared" si="284"/>
        <v/>
      </c>
      <c r="G1846" s="14" t="str">
        <f t="shared" si="285"/>
        <v/>
      </c>
      <c r="H1846" s="14" t="str">
        <f t="shared" si="286"/>
        <v/>
      </c>
      <c r="I1846" s="15" t="str">
        <f t="shared" si="287"/>
        <v/>
      </c>
      <c r="J1846" s="15" t="str">
        <f t="shared" si="289"/>
        <v/>
      </c>
      <c r="K1846" s="16" t="str">
        <f t="shared" si="288"/>
        <v/>
      </c>
      <c r="M1846" t="str">
        <f>IFERROR(MATCH($C$5&amp;"|"&amp;RIGHT("000000"&amp;1830,6),CalcRankKeyA,0),"")</f>
        <v/>
      </c>
      <c r="N1846" t="str">
        <f>IFERROR(MATCH($C$5&amp;"|"&amp;RIGHT("000000"&amp;1830,6),CalcRankKeyB,0),"")</f>
        <v/>
      </c>
    </row>
    <row r="1847" spans="1:14" x14ac:dyDescent="0.2">
      <c r="A1847" s="7">
        <v>1831</v>
      </c>
      <c r="B1847" s="8" t="str">
        <f t="shared" si="280"/>
        <v/>
      </c>
      <c r="C1847" s="8" t="str">
        <f t="shared" si="281"/>
        <v/>
      </c>
      <c r="D1847" s="8" t="str">
        <f t="shared" si="282"/>
        <v/>
      </c>
      <c r="E1847" s="9" t="str">
        <f t="shared" si="283"/>
        <v/>
      </c>
      <c r="F1847" s="9" t="str">
        <f t="shared" si="284"/>
        <v/>
      </c>
      <c r="G1847" s="9" t="str">
        <f t="shared" si="285"/>
        <v/>
      </c>
      <c r="H1847" s="9" t="str">
        <f t="shared" si="286"/>
        <v/>
      </c>
      <c r="I1847" s="10" t="str">
        <f t="shared" si="287"/>
        <v/>
      </c>
      <c r="J1847" s="10" t="str">
        <f t="shared" si="289"/>
        <v/>
      </c>
      <c r="K1847" s="11" t="str">
        <f t="shared" si="288"/>
        <v/>
      </c>
      <c r="M1847" t="str">
        <f>IFERROR(MATCH($C$5&amp;"|"&amp;RIGHT("000000"&amp;1831,6),CalcRankKeyA,0),"")</f>
        <v/>
      </c>
      <c r="N1847" t="str">
        <f>IFERROR(MATCH($C$5&amp;"|"&amp;RIGHT("000000"&amp;1831,6),CalcRankKeyB,0),"")</f>
        <v/>
      </c>
    </row>
    <row r="1848" spans="1:14" x14ac:dyDescent="0.2">
      <c r="A1848" s="12">
        <v>1832</v>
      </c>
      <c r="B1848" s="13" t="str">
        <f t="shared" si="280"/>
        <v/>
      </c>
      <c r="C1848" s="13" t="str">
        <f t="shared" si="281"/>
        <v/>
      </c>
      <c r="D1848" s="13" t="str">
        <f t="shared" si="282"/>
        <v/>
      </c>
      <c r="E1848" s="14" t="str">
        <f t="shared" si="283"/>
        <v/>
      </c>
      <c r="F1848" s="14" t="str">
        <f t="shared" si="284"/>
        <v/>
      </c>
      <c r="G1848" s="14" t="str">
        <f t="shared" si="285"/>
        <v/>
      </c>
      <c r="H1848" s="14" t="str">
        <f t="shared" si="286"/>
        <v/>
      </c>
      <c r="I1848" s="15" t="str">
        <f t="shared" si="287"/>
        <v/>
      </c>
      <c r="J1848" s="15" t="str">
        <f t="shared" si="289"/>
        <v/>
      </c>
      <c r="K1848" s="16" t="str">
        <f t="shared" si="288"/>
        <v/>
      </c>
      <c r="M1848" t="str">
        <f>IFERROR(MATCH($C$5&amp;"|"&amp;RIGHT("000000"&amp;1832,6),CalcRankKeyA,0),"")</f>
        <v/>
      </c>
      <c r="N1848" t="str">
        <f>IFERROR(MATCH($C$5&amp;"|"&amp;RIGHT("000000"&amp;1832,6),CalcRankKeyB,0),"")</f>
        <v/>
      </c>
    </row>
    <row r="1849" spans="1:14" x14ac:dyDescent="0.2">
      <c r="A1849" s="7">
        <v>1833</v>
      </c>
      <c r="B1849" s="8" t="str">
        <f t="shared" si="280"/>
        <v/>
      </c>
      <c r="C1849" s="8" t="str">
        <f t="shared" si="281"/>
        <v/>
      </c>
      <c r="D1849" s="8" t="str">
        <f t="shared" si="282"/>
        <v/>
      </c>
      <c r="E1849" s="9" t="str">
        <f t="shared" si="283"/>
        <v/>
      </c>
      <c r="F1849" s="9" t="str">
        <f t="shared" si="284"/>
        <v/>
      </c>
      <c r="G1849" s="9" t="str">
        <f t="shared" si="285"/>
        <v/>
      </c>
      <c r="H1849" s="9" t="str">
        <f t="shared" si="286"/>
        <v/>
      </c>
      <c r="I1849" s="10" t="str">
        <f t="shared" si="287"/>
        <v/>
      </c>
      <c r="J1849" s="10" t="str">
        <f t="shared" si="289"/>
        <v/>
      </c>
      <c r="K1849" s="11" t="str">
        <f t="shared" si="288"/>
        <v/>
      </c>
      <c r="M1849" t="str">
        <f>IFERROR(MATCH($C$5&amp;"|"&amp;RIGHT("000000"&amp;1833,6),CalcRankKeyA,0),"")</f>
        <v/>
      </c>
      <c r="N1849" t="str">
        <f>IFERROR(MATCH($C$5&amp;"|"&amp;RIGHT("000000"&amp;1833,6),CalcRankKeyB,0),"")</f>
        <v/>
      </c>
    </row>
    <row r="1850" spans="1:14" x14ac:dyDescent="0.2">
      <c r="A1850" s="12">
        <v>1834</v>
      </c>
      <c r="B1850" s="13" t="str">
        <f t="shared" si="280"/>
        <v/>
      </c>
      <c r="C1850" s="13" t="str">
        <f t="shared" si="281"/>
        <v/>
      </c>
      <c r="D1850" s="13" t="str">
        <f t="shared" si="282"/>
        <v/>
      </c>
      <c r="E1850" s="14" t="str">
        <f t="shared" si="283"/>
        <v/>
      </c>
      <c r="F1850" s="14" t="str">
        <f t="shared" si="284"/>
        <v/>
      </c>
      <c r="G1850" s="14" t="str">
        <f t="shared" si="285"/>
        <v/>
      </c>
      <c r="H1850" s="14" t="str">
        <f t="shared" si="286"/>
        <v/>
      </c>
      <c r="I1850" s="15" t="str">
        <f t="shared" si="287"/>
        <v/>
      </c>
      <c r="J1850" s="15" t="str">
        <f t="shared" si="289"/>
        <v/>
      </c>
      <c r="K1850" s="16" t="str">
        <f t="shared" si="288"/>
        <v/>
      </c>
      <c r="M1850" t="str">
        <f>IFERROR(MATCH($C$5&amp;"|"&amp;RIGHT("000000"&amp;1834,6),CalcRankKeyA,0),"")</f>
        <v/>
      </c>
      <c r="N1850" t="str">
        <f>IFERROR(MATCH($C$5&amp;"|"&amp;RIGHT("000000"&amp;1834,6),CalcRankKeyB,0),"")</f>
        <v/>
      </c>
    </row>
    <row r="1851" spans="1:14" x14ac:dyDescent="0.2">
      <c r="A1851" s="7">
        <v>1835</v>
      </c>
      <c r="B1851" s="8" t="str">
        <f t="shared" si="280"/>
        <v/>
      </c>
      <c r="C1851" s="8" t="str">
        <f t="shared" si="281"/>
        <v/>
      </c>
      <c r="D1851" s="8" t="str">
        <f t="shared" si="282"/>
        <v/>
      </c>
      <c r="E1851" s="9" t="str">
        <f t="shared" si="283"/>
        <v/>
      </c>
      <c r="F1851" s="9" t="str">
        <f t="shared" si="284"/>
        <v/>
      </c>
      <c r="G1851" s="9" t="str">
        <f t="shared" si="285"/>
        <v/>
      </c>
      <c r="H1851" s="9" t="str">
        <f t="shared" si="286"/>
        <v/>
      </c>
      <c r="I1851" s="10" t="str">
        <f t="shared" si="287"/>
        <v/>
      </c>
      <c r="J1851" s="10" t="str">
        <f t="shared" si="289"/>
        <v/>
      </c>
      <c r="K1851" s="11" t="str">
        <f t="shared" si="288"/>
        <v/>
      </c>
      <c r="M1851" t="str">
        <f>IFERROR(MATCH($C$5&amp;"|"&amp;RIGHT("000000"&amp;1835,6),CalcRankKeyA,0),"")</f>
        <v/>
      </c>
      <c r="N1851" t="str">
        <f>IFERROR(MATCH($C$5&amp;"|"&amp;RIGHT("000000"&amp;1835,6),CalcRankKeyB,0),"")</f>
        <v/>
      </c>
    </row>
    <row r="1852" spans="1:14" x14ac:dyDescent="0.2">
      <c r="A1852" s="12">
        <v>1836</v>
      </c>
      <c r="B1852" s="13" t="str">
        <f t="shared" si="280"/>
        <v/>
      </c>
      <c r="C1852" s="13" t="str">
        <f t="shared" si="281"/>
        <v/>
      </c>
      <c r="D1852" s="13" t="str">
        <f t="shared" si="282"/>
        <v/>
      </c>
      <c r="E1852" s="14" t="str">
        <f t="shared" si="283"/>
        <v/>
      </c>
      <c r="F1852" s="14" t="str">
        <f t="shared" si="284"/>
        <v/>
      </c>
      <c r="G1852" s="14" t="str">
        <f t="shared" si="285"/>
        <v/>
      </c>
      <c r="H1852" s="14" t="str">
        <f t="shared" si="286"/>
        <v/>
      </c>
      <c r="I1852" s="15" t="str">
        <f t="shared" si="287"/>
        <v/>
      </c>
      <c r="J1852" s="15" t="str">
        <f t="shared" si="289"/>
        <v/>
      </c>
      <c r="K1852" s="16" t="str">
        <f t="shared" si="288"/>
        <v/>
      </c>
      <c r="M1852" t="str">
        <f>IFERROR(MATCH($C$5&amp;"|"&amp;RIGHT("000000"&amp;1836,6),CalcRankKeyA,0),"")</f>
        <v/>
      </c>
      <c r="N1852" t="str">
        <f>IFERROR(MATCH($C$5&amp;"|"&amp;RIGHT("000000"&amp;1836,6),CalcRankKeyB,0),"")</f>
        <v/>
      </c>
    </row>
    <row r="1853" spans="1:14" x14ac:dyDescent="0.2">
      <c r="A1853" s="7">
        <v>1837</v>
      </c>
      <c r="B1853" s="8" t="str">
        <f t="shared" si="280"/>
        <v/>
      </c>
      <c r="C1853" s="8" t="str">
        <f t="shared" si="281"/>
        <v/>
      </c>
      <c r="D1853" s="8" t="str">
        <f t="shared" si="282"/>
        <v/>
      </c>
      <c r="E1853" s="9" t="str">
        <f t="shared" si="283"/>
        <v/>
      </c>
      <c r="F1853" s="9" t="str">
        <f t="shared" si="284"/>
        <v/>
      </c>
      <c r="G1853" s="9" t="str">
        <f t="shared" si="285"/>
        <v/>
      </c>
      <c r="H1853" s="9" t="str">
        <f t="shared" si="286"/>
        <v/>
      </c>
      <c r="I1853" s="10" t="str">
        <f t="shared" si="287"/>
        <v/>
      </c>
      <c r="J1853" s="10" t="str">
        <f t="shared" si="289"/>
        <v/>
      </c>
      <c r="K1853" s="11" t="str">
        <f t="shared" si="288"/>
        <v/>
      </c>
      <c r="M1853" t="str">
        <f>IFERROR(MATCH($C$5&amp;"|"&amp;RIGHT("000000"&amp;1837,6),CalcRankKeyA,0),"")</f>
        <v/>
      </c>
      <c r="N1853" t="str">
        <f>IFERROR(MATCH($C$5&amp;"|"&amp;RIGHT("000000"&amp;1837,6),CalcRankKeyB,0),"")</f>
        <v/>
      </c>
    </row>
    <row r="1854" spans="1:14" x14ac:dyDescent="0.2">
      <c r="A1854" s="12">
        <v>1838</v>
      </c>
      <c r="B1854" s="13" t="str">
        <f t="shared" si="280"/>
        <v/>
      </c>
      <c r="C1854" s="13" t="str">
        <f t="shared" si="281"/>
        <v/>
      </c>
      <c r="D1854" s="13" t="str">
        <f t="shared" si="282"/>
        <v/>
      </c>
      <c r="E1854" s="14" t="str">
        <f t="shared" si="283"/>
        <v/>
      </c>
      <c r="F1854" s="14" t="str">
        <f t="shared" si="284"/>
        <v/>
      </c>
      <c r="G1854" s="14" t="str">
        <f t="shared" si="285"/>
        <v/>
      </c>
      <c r="H1854" s="14" t="str">
        <f t="shared" si="286"/>
        <v/>
      </c>
      <c r="I1854" s="15" t="str">
        <f t="shared" si="287"/>
        <v/>
      </c>
      <c r="J1854" s="15" t="str">
        <f t="shared" si="289"/>
        <v/>
      </c>
      <c r="K1854" s="16" t="str">
        <f t="shared" si="288"/>
        <v/>
      </c>
      <c r="M1854" t="str">
        <f>IFERROR(MATCH($C$5&amp;"|"&amp;RIGHT("000000"&amp;1838,6),CalcRankKeyA,0),"")</f>
        <v/>
      </c>
      <c r="N1854" t="str">
        <f>IFERROR(MATCH($C$5&amp;"|"&amp;RIGHT("000000"&amp;1838,6),CalcRankKeyB,0),"")</f>
        <v/>
      </c>
    </row>
    <row r="1855" spans="1:14" x14ac:dyDescent="0.2">
      <c r="A1855" s="7">
        <v>1839</v>
      </c>
      <c r="B1855" s="8" t="str">
        <f t="shared" si="280"/>
        <v/>
      </c>
      <c r="C1855" s="8" t="str">
        <f t="shared" si="281"/>
        <v/>
      </c>
      <c r="D1855" s="8" t="str">
        <f t="shared" si="282"/>
        <v/>
      </c>
      <c r="E1855" s="9" t="str">
        <f t="shared" si="283"/>
        <v/>
      </c>
      <c r="F1855" s="9" t="str">
        <f t="shared" si="284"/>
        <v/>
      </c>
      <c r="G1855" s="9" t="str">
        <f t="shared" si="285"/>
        <v/>
      </c>
      <c r="H1855" s="9" t="str">
        <f t="shared" si="286"/>
        <v/>
      </c>
      <c r="I1855" s="10" t="str">
        <f t="shared" si="287"/>
        <v/>
      </c>
      <c r="J1855" s="10" t="str">
        <f t="shared" si="289"/>
        <v/>
      </c>
      <c r="K1855" s="11" t="str">
        <f t="shared" si="288"/>
        <v/>
      </c>
      <c r="M1855" t="str">
        <f>IFERROR(MATCH($C$5&amp;"|"&amp;RIGHT("000000"&amp;1839,6),CalcRankKeyA,0),"")</f>
        <v/>
      </c>
      <c r="N1855" t="str">
        <f>IFERROR(MATCH($C$5&amp;"|"&amp;RIGHT("000000"&amp;1839,6),CalcRankKeyB,0),"")</f>
        <v/>
      </c>
    </row>
    <row r="1856" spans="1:14" x14ac:dyDescent="0.2">
      <c r="A1856" s="12">
        <v>1840</v>
      </c>
      <c r="B1856" s="13" t="str">
        <f t="shared" si="280"/>
        <v/>
      </c>
      <c r="C1856" s="13" t="str">
        <f t="shared" si="281"/>
        <v/>
      </c>
      <c r="D1856" s="13" t="str">
        <f t="shared" si="282"/>
        <v/>
      </c>
      <c r="E1856" s="14" t="str">
        <f t="shared" si="283"/>
        <v/>
      </c>
      <c r="F1856" s="14" t="str">
        <f t="shared" si="284"/>
        <v/>
      </c>
      <c r="G1856" s="14" t="str">
        <f t="shared" si="285"/>
        <v/>
      </c>
      <c r="H1856" s="14" t="str">
        <f t="shared" si="286"/>
        <v/>
      </c>
      <c r="I1856" s="15" t="str">
        <f t="shared" si="287"/>
        <v/>
      </c>
      <c r="J1856" s="15" t="str">
        <f t="shared" si="289"/>
        <v/>
      </c>
      <c r="K1856" s="16" t="str">
        <f t="shared" si="288"/>
        <v/>
      </c>
      <c r="M1856" t="str">
        <f>IFERROR(MATCH($C$5&amp;"|"&amp;RIGHT("000000"&amp;1840,6),CalcRankKeyA,0),"")</f>
        <v/>
      </c>
      <c r="N1856" t="str">
        <f>IFERROR(MATCH($C$5&amp;"|"&amp;RIGHT("000000"&amp;1840,6),CalcRankKeyB,0),"")</f>
        <v/>
      </c>
    </row>
    <row r="1857" spans="1:14" x14ac:dyDescent="0.2">
      <c r="A1857" s="7">
        <v>1841</v>
      </c>
      <c r="B1857" s="8" t="str">
        <f t="shared" si="280"/>
        <v/>
      </c>
      <c r="C1857" s="8" t="str">
        <f t="shared" si="281"/>
        <v/>
      </c>
      <c r="D1857" s="8" t="str">
        <f t="shared" si="282"/>
        <v/>
      </c>
      <c r="E1857" s="9" t="str">
        <f t="shared" si="283"/>
        <v/>
      </c>
      <c r="F1857" s="9" t="str">
        <f t="shared" si="284"/>
        <v/>
      </c>
      <c r="G1857" s="9" t="str">
        <f t="shared" si="285"/>
        <v/>
      </c>
      <c r="H1857" s="9" t="str">
        <f t="shared" si="286"/>
        <v/>
      </c>
      <c r="I1857" s="10" t="str">
        <f t="shared" si="287"/>
        <v/>
      </c>
      <c r="J1857" s="10" t="str">
        <f t="shared" si="289"/>
        <v/>
      </c>
      <c r="K1857" s="11" t="str">
        <f t="shared" si="288"/>
        <v/>
      </c>
      <c r="M1857" t="str">
        <f>IFERROR(MATCH($C$5&amp;"|"&amp;RIGHT("000000"&amp;1841,6),CalcRankKeyA,0),"")</f>
        <v/>
      </c>
      <c r="N1857" t="str">
        <f>IFERROR(MATCH($C$5&amp;"|"&amp;RIGHT("000000"&amp;1841,6),CalcRankKeyB,0),"")</f>
        <v/>
      </c>
    </row>
    <row r="1858" spans="1:14" x14ac:dyDescent="0.2">
      <c r="A1858" s="12">
        <v>1842</v>
      </c>
      <c r="B1858" s="13" t="str">
        <f t="shared" si="280"/>
        <v/>
      </c>
      <c r="C1858" s="13" t="str">
        <f t="shared" si="281"/>
        <v/>
      </c>
      <c r="D1858" s="13" t="str">
        <f t="shared" si="282"/>
        <v/>
      </c>
      <c r="E1858" s="14" t="str">
        <f t="shared" si="283"/>
        <v/>
      </c>
      <c r="F1858" s="14" t="str">
        <f t="shared" si="284"/>
        <v/>
      </c>
      <c r="G1858" s="14" t="str">
        <f t="shared" si="285"/>
        <v/>
      </c>
      <c r="H1858" s="14" t="str">
        <f t="shared" si="286"/>
        <v/>
      </c>
      <c r="I1858" s="15" t="str">
        <f t="shared" si="287"/>
        <v/>
      </c>
      <c r="J1858" s="15" t="str">
        <f t="shared" si="289"/>
        <v/>
      </c>
      <c r="K1858" s="16" t="str">
        <f t="shared" si="288"/>
        <v/>
      </c>
      <c r="M1858" t="str">
        <f>IFERROR(MATCH($C$5&amp;"|"&amp;RIGHT("000000"&amp;1842,6),CalcRankKeyA,0),"")</f>
        <v/>
      </c>
      <c r="N1858" t="str">
        <f>IFERROR(MATCH($C$5&amp;"|"&amp;RIGHT("000000"&amp;1842,6),CalcRankKeyB,0),"")</f>
        <v/>
      </c>
    </row>
    <row r="1859" spans="1:14" x14ac:dyDescent="0.2">
      <c r="A1859" s="7">
        <v>1843</v>
      </c>
      <c r="B1859" s="8" t="str">
        <f t="shared" si="280"/>
        <v/>
      </c>
      <c r="C1859" s="8" t="str">
        <f t="shared" si="281"/>
        <v/>
      </c>
      <c r="D1859" s="8" t="str">
        <f t="shared" si="282"/>
        <v/>
      </c>
      <c r="E1859" s="9" t="str">
        <f t="shared" si="283"/>
        <v/>
      </c>
      <c r="F1859" s="9" t="str">
        <f t="shared" si="284"/>
        <v/>
      </c>
      <c r="G1859" s="9" t="str">
        <f t="shared" si="285"/>
        <v/>
      </c>
      <c r="H1859" s="9" t="str">
        <f t="shared" si="286"/>
        <v/>
      </c>
      <c r="I1859" s="10" t="str">
        <f t="shared" si="287"/>
        <v/>
      </c>
      <c r="J1859" s="10" t="str">
        <f t="shared" si="289"/>
        <v/>
      </c>
      <c r="K1859" s="11" t="str">
        <f t="shared" si="288"/>
        <v/>
      </c>
      <c r="M1859" t="str">
        <f>IFERROR(MATCH($C$5&amp;"|"&amp;RIGHT("000000"&amp;1843,6),CalcRankKeyA,0),"")</f>
        <v/>
      </c>
      <c r="N1859" t="str">
        <f>IFERROR(MATCH($C$5&amp;"|"&amp;RIGHT("000000"&amp;1843,6),CalcRankKeyB,0),"")</f>
        <v/>
      </c>
    </row>
    <row r="1860" spans="1:14" x14ac:dyDescent="0.2">
      <c r="A1860" s="12">
        <v>1844</v>
      </c>
      <c r="B1860" s="13" t="str">
        <f t="shared" si="280"/>
        <v/>
      </c>
      <c r="C1860" s="13" t="str">
        <f t="shared" si="281"/>
        <v/>
      </c>
      <c r="D1860" s="13" t="str">
        <f t="shared" si="282"/>
        <v/>
      </c>
      <c r="E1860" s="14" t="str">
        <f t="shared" si="283"/>
        <v/>
      </c>
      <c r="F1860" s="14" t="str">
        <f t="shared" si="284"/>
        <v/>
      </c>
      <c r="G1860" s="14" t="str">
        <f t="shared" si="285"/>
        <v/>
      </c>
      <c r="H1860" s="14" t="str">
        <f t="shared" si="286"/>
        <v/>
      </c>
      <c r="I1860" s="15" t="str">
        <f t="shared" si="287"/>
        <v/>
      </c>
      <c r="J1860" s="15" t="str">
        <f t="shared" si="289"/>
        <v/>
      </c>
      <c r="K1860" s="16" t="str">
        <f t="shared" si="288"/>
        <v/>
      </c>
      <c r="M1860" t="str">
        <f>IFERROR(MATCH($C$5&amp;"|"&amp;RIGHT("000000"&amp;1844,6),CalcRankKeyA,0),"")</f>
        <v/>
      </c>
      <c r="N1860" t="str">
        <f>IFERROR(MATCH($C$5&amp;"|"&amp;RIGHT("000000"&amp;1844,6),CalcRankKeyB,0),"")</f>
        <v/>
      </c>
    </row>
    <row r="1861" spans="1:14" x14ac:dyDescent="0.2">
      <c r="A1861" s="7">
        <v>1845</v>
      </c>
      <c r="B1861" s="8" t="str">
        <f t="shared" si="280"/>
        <v/>
      </c>
      <c r="C1861" s="8" t="str">
        <f t="shared" si="281"/>
        <v/>
      </c>
      <c r="D1861" s="8" t="str">
        <f t="shared" si="282"/>
        <v/>
      </c>
      <c r="E1861" s="9" t="str">
        <f t="shared" si="283"/>
        <v/>
      </c>
      <c r="F1861" s="9" t="str">
        <f t="shared" si="284"/>
        <v/>
      </c>
      <c r="G1861" s="9" t="str">
        <f t="shared" si="285"/>
        <v/>
      </c>
      <c r="H1861" s="9" t="str">
        <f t="shared" si="286"/>
        <v/>
      </c>
      <c r="I1861" s="10" t="str">
        <f t="shared" si="287"/>
        <v/>
      </c>
      <c r="J1861" s="10" t="str">
        <f t="shared" si="289"/>
        <v/>
      </c>
      <c r="K1861" s="11" t="str">
        <f t="shared" si="288"/>
        <v/>
      </c>
      <c r="M1861" t="str">
        <f>IFERROR(MATCH($C$5&amp;"|"&amp;RIGHT("000000"&amp;1845,6),CalcRankKeyA,0),"")</f>
        <v/>
      </c>
      <c r="N1861" t="str">
        <f>IFERROR(MATCH($C$5&amp;"|"&amp;RIGHT("000000"&amp;1845,6),CalcRankKeyB,0),"")</f>
        <v/>
      </c>
    </row>
    <row r="1862" spans="1:14" x14ac:dyDescent="0.2">
      <c r="A1862" s="12">
        <v>1846</v>
      </c>
      <c r="B1862" s="13" t="str">
        <f t="shared" si="280"/>
        <v/>
      </c>
      <c r="C1862" s="13" t="str">
        <f t="shared" si="281"/>
        <v/>
      </c>
      <c r="D1862" s="13" t="str">
        <f t="shared" si="282"/>
        <v/>
      </c>
      <c r="E1862" s="14" t="str">
        <f t="shared" si="283"/>
        <v/>
      </c>
      <c r="F1862" s="14" t="str">
        <f t="shared" si="284"/>
        <v/>
      </c>
      <c r="G1862" s="14" t="str">
        <f t="shared" si="285"/>
        <v/>
      </c>
      <c r="H1862" s="14" t="str">
        <f t="shared" si="286"/>
        <v/>
      </c>
      <c r="I1862" s="15" t="str">
        <f t="shared" si="287"/>
        <v/>
      </c>
      <c r="J1862" s="15" t="str">
        <f t="shared" si="289"/>
        <v/>
      </c>
      <c r="K1862" s="16" t="str">
        <f t="shared" si="288"/>
        <v/>
      </c>
      <c r="M1862" t="str">
        <f>IFERROR(MATCH($C$5&amp;"|"&amp;RIGHT("000000"&amp;1846,6),CalcRankKeyA,0),"")</f>
        <v/>
      </c>
      <c r="N1862" t="str">
        <f>IFERROR(MATCH($C$5&amp;"|"&amp;RIGHT("000000"&amp;1846,6),CalcRankKeyB,0),"")</f>
        <v/>
      </c>
    </row>
    <row r="1863" spans="1:14" x14ac:dyDescent="0.2">
      <c r="A1863" s="7">
        <v>1847</v>
      </c>
      <c r="B1863" s="8" t="str">
        <f t="shared" si="280"/>
        <v/>
      </c>
      <c r="C1863" s="8" t="str">
        <f t="shared" si="281"/>
        <v/>
      </c>
      <c r="D1863" s="8" t="str">
        <f t="shared" si="282"/>
        <v/>
      </c>
      <c r="E1863" s="9" t="str">
        <f t="shared" si="283"/>
        <v/>
      </c>
      <c r="F1863" s="9" t="str">
        <f t="shared" si="284"/>
        <v/>
      </c>
      <c r="G1863" s="9" t="str">
        <f t="shared" si="285"/>
        <v/>
      </c>
      <c r="H1863" s="9" t="str">
        <f t="shared" si="286"/>
        <v/>
      </c>
      <c r="I1863" s="10" t="str">
        <f t="shared" si="287"/>
        <v/>
      </c>
      <c r="J1863" s="10" t="str">
        <f t="shared" si="289"/>
        <v/>
      </c>
      <c r="K1863" s="11" t="str">
        <f t="shared" si="288"/>
        <v/>
      </c>
      <c r="M1863" t="str">
        <f>IFERROR(MATCH($C$5&amp;"|"&amp;RIGHT("000000"&amp;1847,6),CalcRankKeyA,0),"")</f>
        <v/>
      </c>
      <c r="N1863" t="str">
        <f>IFERROR(MATCH($C$5&amp;"|"&amp;RIGHT("000000"&amp;1847,6),CalcRankKeyB,0),"")</f>
        <v/>
      </c>
    </row>
    <row r="1864" spans="1:14" x14ac:dyDescent="0.2">
      <c r="A1864" s="12">
        <v>1848</v>
      </c>
      <c r="B1864" s="13" t="str">
        <f t="shared" si="280"/>
        <v/>
      </c>
      <c r="C1864" s="13" t="str">
        <f t="shared" si="281"/>
        <v/>
      </c>
      <c r="D1864" s="13" t="str">
        <f t="shared" si="282"/>
        <v/>
      </c>
      <c r="E1864" s="14" t="str">
        <f t="shared" si="283"/>
        <v/>
      </c>
      <c r="F1864" s="14" t="str">
        <f t="shared" si="284"/>
        <v/>
      </c>
      <c r="G1864" s="14" t="str">
        <f t="shared" si="285"/>
        <v/>
      </c>
      <c r="H1864" s="14" t="str">
        <f t="shared" si="286"/>
        <v/>
      </c>
      <c r="I1864" s="15" t="str">
        <f t="shared" si="287"/>
        <v/>
      </c>
      <c r="J1864" s="15" t="str">
        <f t="shared" si="289"/>
        <v/>
      </c>
      <c r="K1864" s="16" t="str">
        <f t="shared" si="288"/>
        <v/>
      </c>
      <c r="M1864" t="str">
        <f>IFERROR(MATCH($C$5&amp;"|"&amp;RIGHT("000000"&amp;1848,6),CalcRankKeyA,0),"")</f>
        <v/>
      </c>
      <c r="N1864" t="str">
        <f>IFERROR(MATCH($C$5&amp;"|"&amp;RIGHT("000000"&amp;1848,6),CalcRankKeyB,0),"")</f>
        <v/>
      </c>
    </row>
    <row r="1865" spans="1:14" x14ac:dyDescent="0.2">
      <c r="A1865" s="7">
        <v>1849</v>
      </c>
      <c r="B1865" s="8" t="str">
        <f t="shared" si="280"/>
        <v/>
      </c>
      <c r="C1865" s="8" t="str">
        <f t="shared" si="281"/>
        <v/>
      </c>
      <c r="D1865" s="8" t="str">
        <f t="shared" si="282"/>
        <v/>
      </c>
      <c r="E1865" s="9" t="str">
        <f t="shared" si="283"/>
        <v/>
      </c>
      <c r="F1865" s="9" t="str">
        <f t="shared" si="284"/>
        <v/>
      </c>
      <c r="G1865" s="9" t="str">
        <f t="shared" si="285"/>
        <v/>
      </c>
      <c r="H1865" s="9" t="str">
        <f t="shared" si="286"/>
        <v/>
      </c>
      <c r="I1865" s="10" t="str">
        <f t="shared" si="287"/>
        <v/>
      </c>
      <c r="J1865" s="10" t="str">
        <f t="shared" si="289"/>
        <v/>
      </c>
      <c r="K1865" s="11" t="str">
        <f t="shared" si="288"/>
        <v/>
      </c>
      <c r="M1865" t="str">
        <f>IFERROR(MATCH($C$5&amp;"|"&amp;RIGHT("000000"&amp;1849,6),CalcRankKeyA,0),"")</f>
        <v/>
      </c>
      <c r="N1865" t="str">
        <f>IFERROR(MATCH($C$5&amp;"|"&amp;RIGHT("000000"&amp;1849,6),CalcRankKeyB,0),"")</f>
        <v/>
      </c>
    </row>
    <row r="1866" spans="1:14" x14ac:dyDescent="0.2">
      <c r="A1866" s="12">
        <v>1850</v>
      </c>
      <c r="B1866" s="13" t="str">
        <f t="shared" si="280"/>
        <v/>
      </c>
      <c r="C1866" s="13" t="str">
        <f t="shared" si="281"/>
        <v/>
      </c>
      <c r="D1866" s="13" t="str">
        <f t="shared" si="282"/>
        <v/>
      </c>
      <c r="E1866" s="14" t="str">
        <f t="shared" si="283"/>
        <v/>
      </c>
      <c r="F1866" s="14" t="str">
        <f t="shared" si="284"/>
        <v/>
      </c>
      <c r="G1866" s="14" t="str">
        <f t="shared" si="285"/>
        <v/>
      </c>
      <c r="H1866" s="14" t="str">
        <f t="shared" si="286"/>
        <v/>
      </c>
      <c r="I1866" s="15" t="str">
        <f t="shared" si="287"/>
        <v/>
      </c>
      <c r="J1866" s="15" t="str">
        <f t="shared" si="289"/>
        <v/>
      </c>
      <c r="K1866" s="16" t="str">
        <f t="shared" si="288"/>
        <v/>
      </c>
      <c r="M1866" t="str">
        <f>IFERROR(MATCH($C$5&amp;"|"&amp;RIGHT("000000"&amp;1850,6),CalcRankKeyA,0),"")</f>
        <v/>
      </c>
      <c r="N1866" t="str">
        <f>IFERROR(MATCH($C$5&amp;"|"&amp;RIGHT("000000"&amp;1850,6),CalcRankKeyB,0),"")</f>
        <v/>
      </c>
    </row>
    <row r="1867" spans="1:14" x14ac:dyDescent="0.2">
      <c r="A1867" s="7">
        <v>1851</v>
      </c>
      <c r="B1867" s="8" t="str">
        <f t="shared" si="280"/>
        <v/>
      </c>
      <c r="C1867" s="8" t="str">
        <f t="shared" si="281"/>
        <v/>
      </c>
      <c r="D1867" s="8" t="str">
        <f t="shared" si="282"/>
        <v/>
      </c>
      <c r="E1867" s="9" t="str">
        <f t="shared" si="283"/>
        <v/>
      </c>
      <c r="F1867" s="9" t="str">
        <f t="shared" si="284"/>
        <v/>
      </c>
      <c r="G1867" s="9" t="str">
        <f t="shared" si="285"/>
        <v/>
      </c>
      <c r="H1867" s="9" t="str">
        <f t="shared" si="286"/>
        <v/>
      </c>
      <c r="I1867" s="10" t="str">
        <f t="shared" si="287"/>
        <v/>
      </c>
      <c r="J1867" s="10" t="str">
        <f t="shared" si="289"/>
        <v/>
      </c>
      <c r="K1867" s="11" t="str">
        <f t="shared" si="288"/>
        <v/>
      </c>
      <c r="M1867" t="str">
        <f>IFERROR(MATCH($C$5&amp;"|"&amp;RIGHT("000000"&amp;1851,6),CalcRankKeyA,0),"")</f>
        <v/>
      </c>
      <c r="N1867" t="str">
        <f>IFERROR(MATCH($C$5&amp;"|"&amp;RIGHT("000000"&amp;1851,6),CalcRankKeyB,0),"")</f>
        <v/>
      </c>
    </row>
    <row r="1868" spans="1:14" x14ac:dyDescent="0.2">
      <c r="A1868" s="12">
        <v>1852</v>
      </c>
      <c r="B1868" s="13" t="str">
        <f t="shared" si="280"/>
        <v/>
      </c>
      <c r="C1868" s="13" t="str">
        <f t="shared" si="281"/>
        <v/>
      </c>
      <c r="D1868" s="13" t="str">
        <f t="shared" si="282"/>
        <v/>
      </c>
      <c r="E1868" s="14" t="str">
        <f t="shared" si="283"/>
        <v/>
      </c>
      <c r="F1868" s="14" t="str">
        <f t="shared" si="284"/>
        <v/>
      </c>
      <c r="G1868" s="14" t="str">
        <f t="shared" si="285"/>
        <v/>
      </c>
      <c r="H1868" s="14" t="str">
        <f t="shared" si="286"/>
        <v/>
      </c>
      <c r="I1868" s="15" t="str">
        <f t="shared" si="287"/>
        <v/>
      </c>
      <c r="J1868" s="15" t="str">
        <f t="shared" si="289"/>
        <v/>
      </c>
      <c r="K1868" s="16" t="str">
        <f t="shared" si="288"/>
        <v/>
      </c>
      <c r="M1868" t="str">
        <f>IFERROR(MATCH($C$5&amp;"|"&amp;RIGHT("000000"&amp;1852,6),CalcRankKeyA,0),"")</f>
        <v/>
      </c>
      <c r="N1868" t="str">
        <f>IFERROR(MATCH($C$5&amp;"|"&amp;RIGHT("000000"&amp;1852,6),CalcRankKeyB,0),"")</f>
        <v/>
      </c>
    </row>
    <row r="1869" spans="1:14" x14ac:dyDescent="0.2">
      <c r="A1869" s="7">
        <v>1853</v>
      </c>
      <c r="B1869" s="8" t="str">
        <f t="shared" si="280"/>
        <v/>
      </c>
      <c r="C1869" s="8" t="str">
        <f t="shared" si="281"/>
        <v/>
      </c>
      <c r="D1869" s="8" t="str">
        <f t="shared" si="282"/>
        <v/>
      </c>
      <c r="E1869" s="9" t="str">
        <f t="shared" si="283"/>
        <v/>
      </c>
      <c r="F1869" s="9" t="str">
        <f t="shared" si="284"/>
        <v/>
      </c>
      <c r="G1869" s="9" t="str">
        <f t="shared" si="285"/>
        <v/>
      </c>
      <c r="H1869" s="9" t="str">
        <f t="shared" si="286"/>
        <v/>
      </c>
      <c r="I1869" s="10" t="str">
        <f t="shared" si="287"/>
        <v/>
      </c>
      <c r="J1869" s="10" t="str">
        <f t="shared" si="289"/>
        <v/>
      </c>
      <c r="K1869" s="11" t="str">
        <f t="shared" si="288"/>
        <v/>
      </c>
      <c r="M1869" t="str">
        <f>IFERROR(MATCH($C$5&amp;"|"&amp;RIGHT("000000"&amp;1853,6),CalcRankKeyA,0),"")</f>
        <v/>
      </c>
      <c r="N1869" t="str">
        <f>IFERROR(MATCH($C$5&amp;"|"&amp;RIGHT("000000"&amp;1853,6),CalcRankKeyB,0),"")</f>
        <v/>
      </c>
    </row>
    <row r="1870" spans="1:14" x14ac:dyDescent="0.2">
      <c r="A1870" s="12">
        <v>1854</v>
      </c>
      <c r="B1870" s="13" t="str">
        <f t="shared" si="280"/>
        <v/>
      </c>
      <c r="C1870" s="13" t="str">
        <f t="shared" si="281"/>
        <v/>
      </c>
      <c r="D1870" s="13" t="str">
        <f t="shared" si="282"/>
        <v/>
      </c>
      <c r="E1870" s="14" t="str">
        <f t="shared" si="283"/>
        <v/>
      </c>
      <c r="F1870" s="14" t="str">
        <f t="shared" si="284"/>
        <v/>
      </c>
      <c r="G1870" s="14" t="str">
        <f t="shared" si="285"/>
        <v/>
      </c>
      <c r="H1870" s="14" t="str">
        <f t="shared" si="286"/>
        <v/>
      </c>
      <c r="I1870" s="15" t="str">
        <f t="shared" si="287"/>
        <v/>
      </c>
      <c r="J1870" s="15" t="str">
        <f t="shared" si="289"/>
        <v/>
      </c>
      <c r="K1870" s="16" t="str">
        <f t="shared" si="288"/>
        <v/>
      </c>
      <c r="M1870" t="str">
        <f>IFERROR(MATCH($C$5&amp;"|"&amp;RIGHT("000000"&amp;1854,6),CalcRankKeyA,0),"")</f>
        <v/>
      </c>
      <c r="N1870" t="str">
        <f>IFERROR(MATCH($C$5&amp;"|"&amp;RIGHT("000000"&amp;1854,6),CalcRankKeyB,0),"")</f>
        <v/>
      </c>
    </row>
    <row r="1871" spans="1:14" x14ac:dyDescent="0.2">
      <c r="A1871" s="7">
        <v>1855</v>
      </c>
      <c r="B1871" s="8" t="str">
        <f t="shared" si="280"/>
        <v/>
      </c>
      <c r="C1871" s="8" t="str">
        <f t="shared" si="281"/>
        <v/>
      </c>
      <c r="D1871" s="8" t="str">
        <f t="shared" si="282"/>
        <v/>
      </c>
      <c r="E1871" s="9" t="str">
        <f t="shared" si="283"/>
        <v/>
      </c>
      <c r="F1871" s="9" t="str">
        <f t="shared" si="284"/>
        <v/>
      </c>
      <c r="G1871" s="9" t="str">
        <f t="shared" si="285"/>
        <v/>
      </c>
      <c r="H1871" s="9" t="str">
        <f t="shared" si="286"/>
        <v/>
      </c>
      <c r="I1871" s="10" t="str">
        <f t="shared" si="287"/>
        <v/>
      </c>
      <c r="J1871" s="10" t="str">
        <f t="shared" si="289"/>
        <v/>
      </c>
      <c r="K1871" s="11" t="str">
        <f t="shared" si="288"/>
        <v/>
      </c>
      <c r="M1871" t="str">
        <f>IFERROR(MATCH($C$5&amp;"|"&amp;RIGHT("000000"&amp;1855,6),CalcRankKeyA,0),"")</f>
        <v/>
      </c>
      <c r="N1871" t="str">
        <f>IFERROR(MATCH($C$5&amp;"|"&amp;RIGHT("000000"&amp;1855,6),CalcRankKeyB,0),"")</f>
        <v/>
      </c>
    </row>
    <row r="1872" spans="1:14" x14ac:dyDescent="0.2">
      <c r="A1872" s="12">
        <v>1856</v>
      </c>
      <c r="B1872" s="13" t="str">
        <f t="shared" si="280"/>
        <v/>
      </c>
      <c r="C1872" s="13" t="str">
        <f t="shared" si="281"/>
        <v/>
      </c>
      <c r="D1872" s="13" t="str">
        <f t="shared" si="282"/>
        <v/>
      </c>
      <c r="E1872" s="14" t="str">
        <f t="shared" si="283"/>
        <v/>
      </c>
      <c r="F1872" s="14" t="str">
        <f t="shared" si="284"/>
        <v/>
      </c>
      <c r="G1872" s="14" t="str">
        <f t="shared" si="285"/>
        <v/>
      </c>
      <c r="H1872" s="14" t="str">
        <f t="shared" si="286"/>
        <v/>
      </c>
      <c r="I1872" s="15" t="str">
        <f t="shared" si="287"/>
        <v/>
      </c>
      <c r="J1872" s="15" t="str">
        <f t="shared" si="289"/>
        <v/>
      </c>
      <c r="K1872" s="16" t="str">
        <f t="shared" si="288"/>
        <v/>
      </c>
      <c r="M1872" t="str">
        <f>IFERROR(MATCH($C$5&amp;"|"&amp;RIGHT("000000"&amp;1856,6),CalcRankKeyA,0),"")</f>
        <v/>
      </c>
      <c r="N1872" t="str">
        <f>IFERROR(MATCH($C$5&amp;"|"&amp;RIGHT("000000"&amp;1856,6),CalcRankKeyB,0),"")</f>
        <v/>
      </c>
    </row>
    <row r="1873" spans="1:14" x14ac:dyDescent="0.2">
      <c r="A1873" s="7">
        <v>1857</v>
      </c>
      <c r="B1873" s="8" t="str">
        <f t="shared" ref="B1873:B1936" si="290">IF(AND($M1873="",$N1873=""),"",IF($M1873&lt;&gt;"",INDEX(CalcDateA,$M1873),INDEX(CalcDateB,$N1873)))</f>
        <v/>
      </c>
      <c r="C1873" s="8" t="str">
        <f t="shared" ref="C1873:C1936" si="291">IF($M1873&lt;&gt;"","خرید سبد",IF($N1873&lt;&gt;"",IF(N(INDEX(CalcDepB,$N1873))&gt;0,"دریافت بانکی","پرداخت بانکی"),""))</f>
        <v/>
      </c>
      <c r="D1873" s="8" t="str">
        <f t="shared" ref="D1873:D1936" si="292">IF($M1873&lt;&gt;"",IF(INDEX(CalcDocA,$M1873)="","—",INDEX(CalcDocA,$M1873)),IF($N1873&lt;&gt;"",INDEX(CalcBankB,$N1873),""))</f>
        <v/>
      </c>
      <c r="E1873" s="9" t="str">
        <f t="shared" ref="E1873:E1936" si="293">IF($N1873&lt;&gt;"",IF(INDEX(CalcDepB,$N1873)=0,"",INDEX(CalcDepB,$N1873)),"")</f>
        <v/>
      </c>
      <c r="F1873" s="9" t="str">
        <f t="shared" ref="F1873:F1936" si="294">IF($M1873&lt;&gt;"",IF(INDEX(CalcQtyA,$M1873)=0,"",INDEX(CalcQtyA,$M1873)),"")</f>
        <v/>
      </c>
      <c r="G1873" s="9" t="str">
        <f t="shared" ref="G1873:G1936" si="295">IF($M1873&lt;&gt;"",IF(INDEX(CalcPriceA,$M1873)=0,"",INDEX(CalcPriceA,$M1873)),"")</f>
        <v/>
      </c>
      <c r="H1873" s="9" t="str">
        <f t="shared" ref="H1873:H1936" si="296">IF($N1873&lt;&gt;"",IF(INDEX(CalcWitB,$N1873)=0,"",INDEX(CalcWitB,$N1873)),"")</f>
        <v/>
      </c>
      <c r="I1873" s="10" t="str">
        <f t="shared" ref="I1873:I1936" si="297">IF($M1873&lt;&gt;"",INDEX(CalcAmtA,$M1873),"")</f>
        <v/>
      </c>
      <c r="J1873" s="10" t="str">
        <f t="shared" si="289"/>
        <v/>
      </c>
      <c r="K1873" s="11" t="str">
        <f t="shared" ref="K1873:K1936" si="298">IF($M1873&lt;&gt;"",IF(INDEX(CalcNoteA,$M1873)="","—",INDEX(CalcNoteA,$M1873)),IF($N1873&lt;&gt;"",IF(INDEX(CalcNoteB,$N1873)="","—",INDEX(CalcNoteB,$N1873)),""))</f>
        <v/>
      </c>
      <c r="M1873" t="str">
        <f>IFERROR(MATCH($C$5&amp;"|"&amp;RIGHT("000000"&amp;1857,6),CalcRankKeyA,0),"")</f>
        <v/>
      </c>
      <c r="N1873" t="str">
        <f>IFERROR(MATCH($C$5&amp;"|"&amp;RIGHT("000000"&amp;1857,6),CalcRankKeyB,0),"")</f>
        <v/>
      </c>
    </row>
    <row r="1874" spans="1:14" x14ac:dyDescent="0.2">
      <c r="A1874" s="12">
        <v>1858</v>
      </c>
      <c r="B1874" s="13" t="str">
        <f t="shared" si="290"/>
        <v/>
      </c>
      <c r="C1874" s="13" t="str">
        <f t="shared" si="291"/>
        <v/>
      </c>
      <c r="D1874" s="13" t="str">
        <f t="shared" si="292"/>
        <v/>
      </c>
      <c r="E1874" s="14" t="str">
        <f t="shared" si="293"/>
        <v/>
      </c>
      <c r="F1874" s="14" t="str">
        <f t="shared" si="294"/>
        <v/>
      </c>
      <c r="G1874" s="14" t="str">
        <f t="shared" si="295"/>
        <v/>
      </c>
      <c r="H1874" s="14" t="str">
        <f t="shared" si="296"/>
        <v/>
      </c>
      <c r="I1874" s="15" t="str">
        <f t="shared" si="297"/>
        <v/>
      </c>
      <c r="J1874" s="15" t="str">
        <f t="shared" ref="J1874:J1937" si="299">IF($B1874="","",IF($J1873="",$C$8,$J1873)+IF($I1874="",0,$I1874)+IF($E1874="",0,$E1874)-IF($H1874="",0,$H1874))</f>
        <v/>
      </c>
      <c r="K1874" s="16" t="str">
        <f t="shared" si="298"/>
        <v/>
      </c>
      <c r="M1874" t="str">
        <f>IFERROR(MATCH($C$5&amp;"|"&amp;RIGHT("000000"&amp;1858,6),CalcRankKeyA,0),"")</f>
        <v/>
      </c>
      <c r="N1874" t="str">
        <f>IFERROR(MATCH($C$5&amp;"|"&amp;RIGHT("000000"&amp;1858,6),CalcRankKeyB,0),"")</f>
        <v/>
      </c>
    </row>
    <row r="1875" spans="1:14" x14ac:dyDescent="0.2">
      <c r="A1875" s="7">
        <v>1859</v>
      </c>
      <c r="B1875" s="8" t="str">
        <f t="shared" si="290"/>
        <v/>
      </c>
      <c r="C1875" s="8" t="str">
        <f t="shared" si="291"/>
        <v/>
      </c>
      <c r="D1875" s="8" t="str">
        <f t="shared" si="292"/>
        <v/>
      </c>
      <c r="E1875" s="9" t="str">
        <f t="shared" si="293"/>
        <v/>
      </c>
      <c r="F1875" s="9" t="str">
        <f t="shared" si="294"/>
        <v/>
      </c>
      <c r="G1875" s="9" t="str">
        <f t="shared" si="295"/>
        <v/>
      </c>
      <c r="H1875" s="9" t="str">
        <f t="shared" si="296"/>
        <v/>
      </c>
      <c r="I1875" s="10" t="str">
        <f t="shared" si="297"/>
        <v/>
      </c>
      <c r="J1875" s="10" t="str">
        <f t="shared" si="299"/>
        <v/>
      </c>
      <c r="K1875" s="11" t="str">
        <f t="shared" si="298"/>
        <v/>
      </c>
      <c r="M1875" t="str">
        <f>IFERROR(MATCH($C$5&amp;"|"&amp;RIGHT("000000"&amp;1859,6),CalcRankKeyA,0),"")</f>
        <v/>
      </c>
      <c r="N1875" t="str">
        <f>IFERROR(MATCH($C$5&amp;"|"&amp;RIGHT("000000"&amp;1859,6),CalcRankKeyB,0),"")</f>
        <v/>
      </c>
    </row>
    <row r="1876" spans="1:14" x14ac:dyDescent="0.2">
      <c r="A1876" s="12">
        <v>1860</v>
      </c>
      <c r="B1876" s="13" t="str">
        <f t="shared" si="290"/>
        <v/>
      </c>
      <c r="C1876" s="13" t="str">
        <f t="shared" si="291"/>
        <v/>
      </c>
      <c r="D1876" s="13" t="str">
        <f t="shared" si="292"/>
        <v/>
      </c>
      <c r="E1876" s="14" t="str">
        <f t="shared" si="293"/>
        <v/>
      </c>
      <c r="F1876" s="14" t="str">
        <f t="shared" si="294"/>
        <v/>
      </c>
      <c r="G1876" s="14" t="str">
        <f t="shared" si="295"/>
        <v/>
      </c>
      <c r="H1876" s="14" t="str">
        <f t="shared" si="296"/>
        <v/>
      </c>
      <c r="I1876" s="15" t="str">
        <f t="shared" si="297"/>
        <v/>
      </c>
      <c r="J1876" s="15" t="str">
        <f t="shared" si="299"/>
        <v/>
      </c>
      <c r="K1876" s="16" t="str">
        <f t="shared" si="298"/>
        <v/>
      </c>
      <c r="M1876" t="str">
        <f>IFERROR(MATCH($C$5&amp;"|"&amp;RIGHT("000000"&amp;1860,6),CalcRankKeyA,0),"")</f>
        <v/>
      </c>
      <c r="N1876" t="str">
        <f>IFERROR(MATCH($C$5&amp;"|"&amp;RIGHT("000000"&amp;1860,6),CalcRankKeyB,0),"")</f>
        <v/>
      </c>
    </row>
    <row r="1877" spans="1:14" x14ac:dyDescent="0.2">
      <c r="A1877" s="7">
        <v>1861</v>
      </c>
      <c r="B1877" s="8" t="str">
        <f t="shared" si="290"/>
        <v/>
      </c>
      <c r="C1877" s="8" t="str">
        <f t="shared" si="291"/>
        <v/>
      </c>
      <c r="D1877" s="8" t="str">
        <f t="shared" si="292"/>
        <v/>
      </c>
      <c r="E1877" s="9" t="str">
        <f t="shared" si="293"/>
        <v/>
      </c>
      <c r="F1877" s="9" t="str">
        <f t="shared" si="294"/>
        <v/>
      </c>
      <c r="G1877" s="9" t="str">
        <f t="shared" si="295"/>
        <v/>
      </c>
      <c r="H1877" s="9" t="str">
        <f t="shared" si="296"/>
        <v/>
      </c>
      <c r="I1877" s="10" t="str">
        <f t="shared" si="297"/>
        <v/>
      </c>
      <c r="J1877" s="10" t="str">
        <f t="shared" si="299"/>
        <v/>
      </c>
      <c r="K1877" s="11" t="str">
        <f t="shared" si="298"/>
        <v/>
      </c>
      <c r="M1877" t="str">
        <f>IFERROR(MATCH($C$5&amp;"|"&amp;RIGHT("000000"&amp;1861,6),CalcRankKeyA,0),"")</f>
        <v/>
      </c>
      <c r="N1877" t="str">
        <f>IFERROR(MATCH($C$5&amp;"|"&amp;RIGHT("000000"&amp;1861,6),CalcRankKeyB,0),"")</f>
        <v/>
      </c>
    </row>
    <row r="1878" spans="1:14" x14ac:dyDescent="0.2">
      <c r="A1878" s="12">
        <v>1862</v>
      </c>
      <c r="B1878" s="13" t="str">
        <f t="shared" si="290"/>
        <v/>
      </c>
      <c r="C1878" s="13" t="str">
        <f t="shared" si="291"/>
        <v/>
      </c>
      <c r="D1878" s="13" t="str">
        <f t="shared" si="292"/>
        <v/>
      </c>
      <c r="E1878" s="14" t="str">
        <f t="shared" si="293"/>
        <v/>
      </c>
      <c r="F1878" s="14" t="str">
        <f t="shared" si="294"/>
        <v/>
      </c>
      <c r="G1878" s="14" t="str">
        <f t="shared" si="295"/>
        <v/>
      </c>
      <c r="H1878" s="14" t="str">
        <f t="shared" si="296"/>
        <v/>
      </c>
      <c r="I1878" s="15" t="str">
        <f t="shared" si="297"/>
        <v/>
      </c>
      <c r="J1878" s="15" t="str">
        <f t="shared" si="299"/>
        <v/>
      </c>
      <c r="K1878" s="16" t="str">
        <f t="shared" si="298"/>
        <v/>
      </c>
      <c r="M1878" t="str">
        <f>IFERROR(MATCH($C$5&amp;"|"&amp;RIGHT("000000"&amp;1862,6),CalcRankKeyA,0),"")</f>
        <v/>
      </c>
      <c r="N1878" t="str">
        <f>IFERROR(MATCH($C$5&amp;"|"&amp;RIGHT("000000"&amp;1862,6),CalcRankKeyB,0),"")</f>
        <v/>
      </c>
    </row>
    <row r="1879" spans="1:14" x14ac:dyDescent="0.2">
      <c r="A1879" s="7">
        <v>1863</v>
      </c>
      <c r="B1879" s="8" t="str">
        <f t="shared" si="290"/>
        <v/>
      </c>
      <c r="C1879" s="8" t="str">
        <f t="shared" si="291"/>
        <v/>
      </c>
      <c r="D1879" s="8" t="str">
        <f t="shared" si="292"/>
        <v/>
      </c>
      <c r="E1879" s="9" t="str">
        <f t="shared" si="293"/>
        <v/>
      </c>
      <c r="F1879" s="9" t="str">
        <f t="shared" si="294"/>
        <v/>
      </c>
      <c r="G1879" s="9" t="str">
        <f t="shared" si="295"/>
        <v/>
      </c>
      <c r="H1879" s="9" t="str">
        <f t="shared" si="296"/>
        <v/>
      </c>
      <c r="I1879" s="10" t="str">
        <f t="shared" si="297"/>
        <v/>
      </c>
      <c r="J1879" s="10" t="str">
        <f t="shared" si="299"/>
        <v/>
      </c>
      <c r="K1879" s="11" t="str">
        <f t="shared" si="298"/>
        <v/>
      </c>
      <c r="M1879" t="str">
        <f>IFERROR(MATCH($C$5&amp;"|"&amp;RIGHT("000000"&amp;1863,6),CalcRankKeyA,0),"")</f>
        <v/>
      </c>
      <c r="N1879" t="str">
        <f>IFERROR(MATCH($C$5&amp;"|"&amp;RIGHT("000000"&amp;1863,6),CalcRankKeyB,0),"")</f>
        <v/>
      </c>
    </row>
    <row r="1880" spans="1:14" x14ac:dyDescent="0.2">
      <c r="A1880" s="12">
        <v>1864</v>
      </c>
      <c r="B1880" s="13" t="str">
        <f t="shared" si="290"/>
        <v/>
      </c>
      <c r="C1880" s="13" t="str">
        <f t="shared" si="291"/>
        <v/>
      </c>
      <c r="D1880" s="13" t="str">
        <f t="shared" si="292"/>
        <v/>
      </c>
      <c r="E1880" s="14" t="str">
        <f t="shared" si="293"/>
        <v/>
      </c>
      <c r="F1880" s="14" t="str">
        <f t="shared" si="294"/>
        <v/>
      </c>
      <c r="G1880" s="14" t="str">
        <f t="shared" si="295"/>
        <v/>
      </c>
      <c r="H1880" s="14" t="str">
        <f t="shared" si="296"/>
        <v/>
      </c>
      <c r="I1880" s="15" t="str">
        <f t="shared" si="297"/>
        <v/>
      </c>
      <c r="J1880" s="15" t="str">
        <f t="shared" si="299"/>
        <v/>
      </c>
      <c r="K1880" s="16" t="str">
        <f t="shared" si="298"/>
        <v/>
      </c>
      <c r="M1880" t="str">
        <f>IFERROR(MATCH($C$5&amp;"|"&amp;RIGHT("000000"&amp;1864,6),CalcRankKeyA,0),"")</f>
        <v/>
      </c>
      <c r="N1880" t="str">
        <f>IFERROR(MATCH($C$5&amp;"|"&amp;RIGHT("000000"&amp;1864,6),CalcRankKeyB,0),"")</f>
        <v/>
      </c>
    </row>
    <row r="1881" spans="1:14" x14ac:dyDescent="0.2">
      <c r="A1881" s="7">
        <v>1865</v>
      </c>
      <c r="B1881" s="8" t="str">
        <f t="shared" si="290"/>
        <v/>
      </c>
      <c r="C1881" s="8" t="str">
        <f t="shared" si="291"/>
        <v/>
      </c>
      <c r="D1881" s="8" t="str">
        <f t="shared" si="292"/>
        <v/>
      </c>
      <c r="E1881" s="9" t="str">
        <f t="shared" si="293"/>
        <v/>
      </c>
      <c r="F1881" s="9" t="str">
        <f t="shared" si="294"/>
        <v/>
      </c>
      <c r="G1881" s="9" t="str">
        <f t="shared" si="295"/>
        <v/>
      </c>
      <c r="H1881" s="9" t="str">
        <f t="shared" si="296"/>
        <v/>
      </c>
      <c r="I1881" s="10" t="str">
        <f t="shared" si="297"/>
        <v/>
      </c>
      <c r="J1881" s="10" t="str">
        <f t="shared" si="299"/>
        <v/>
      </c>
      <c r="K1881" s="11" t="str">
        <f t="shared" si="298"/>
        <v/>
      </c>
      <c r="M1881" t="str">
        <f>IFERROR(MATCH($C$5&amp;"|"&amp;RIGHT("000000"&amp;1865,6),CalcRankKeyA,0),"")</f>
        <v/>
      </c>
      <c r="N1881" t="str">
        <f>IFERROR(MATCH($C$5&amp;"|"&amp;RIGHT("000000"&amp;1865,6),CalcRankKeyB,0),"")</f>
        <v/>
      </c>
    </row>
    <row r="1882" spans="1:14" x14ac:dyDescent="0.2">
      <c r="A1882" s="12">
        <v>1866</v>
      </c>
      <c r="B1882" s="13" t="str">
        <f t="shared" si="290"/>
        <v/>
      </c>
      <c r="C1882" s="13" t="str">
        <f t="shared" si="291"/>
        <v/>
      </c>
      <c r="D1882" s="13" t="str">
        <f t="shared" si="292"/>
        <v/>
      </c>
      <c r="E1882" s="14" t="str">
        <f t="shared" si="293"/>
        <v/>
      </c>
      <c r="F1882" s="14" t="str">
        <f t="shared" si="294"/>
        <v/>
      </c>
      <c r="G1882" s="14" t="str">
        <f t="shared" si="295"/>
        <v/>
      </c>
      <c r="H1882" s="14" t="str">
        <f t="shared" si="296"/>
        <v/>
      </c>
      <c r="I1882" s="15" t="str">
        <f t="shared" si="297"/>
        <v/>
      </c>
      <c r="J1882" s="15" t="str">
        <f t="shared" si="299"/>
        <v/>
      </c>
      <c r="K1882" s="16" t="str">
        <f t="shared" si="298"/>
        <v/>
      </c>
      <c r="M1882" t="str">
        <f>IFERROR(MATCH($C$5&amp;"|"&amp;RIGHT("000000"&amp;1866,6),CalcRankKeyA,0),"")</f>
        <v/>
      </c>
      <c r="N1882" t="str">
        <f>IFERROR(MATCH($C$5&amp;"|"&amp;RIGHT("000000"&amp;1866,6),CalcRankKeyB,0),"")</f>
        <v/>
      </c>
    </row>
    <row r="1883" spans="1:14" x14ac:dyDescent="0.2">
      <c r="A1883" s="7">
        <v>1867</v>
      </c>
      <c r="B1883" s="8" t="str">
        <f t="shared" si="290"/>
        <v/>
      </c>
      <c r="C1883" s="8" t="str">
        <f t="shared" si="291"/>
        <v/>
      </c>
      <c r="D1883" s="8" t="str">
        <f t="shared" si="292"/>
        <v/>
      </c>
      <c r="E1883" s="9" t="str">
        <f t="shared" si="293"/>
        <v/>
      </c>
      <c r="F1883" s="9" t="str">
        <f t="shared" si="294"/>
        <v/>
      </c>
      <c r="G1883" s="9" t="str">
        <f t="shared" si="295"/>
        <v/>
      </c>
      <c r="H1883" s="9" t="str">
        <f t="shared" si="296"/>
        <v/>
      </c>
      <c r="I1883" s="10" t="str">
        <f t="shared" si="297"/>
        <v/>
      </c>
      <c r="J1883" s="10" t="str">
        <f t="shared" si="299"/>
        <v/>
      </c>
      <c r="K1883" s="11" t="str">
        <f t="shared" si="298"/>
        <v/>
      </c>
      <c r="M1883" t="str">
        <f>IFERROR(MATCH($C$5&amp;"|"&amp;RIGHT("000000"&amp;1867,6),CalcRankKeyA,0),"")</f>
        <v/>
      </c>
      <c r="N1883" t="str">
        <f>IFERROR(MATCH($C$5&amp;"|"&amp;RIGHT("000000"&amp;1867,6),CalcRankKeyB,0),"")</f>
        <v/>
      </c>
    </row>
    <row r="1884" spans="1:14" x14ac:dyDescent="0.2">
      <c r="A1884" s="12">
        <v>1868</v>
      </c>
      <c r="B1884" s="13" t="str">
        <f t="shared" si="290"/>
        <v/>
      </c>
      <c r="C1884" s="13" t="str">
        <f t="shared" si="291"/>
        <v/>
      </c>
      <c r="D1884" s="13" t="str">
        <f t="shared" si="292"/>
        <v/>
      </c>
      <c r="E1884" s="14" t="str">
        <f t="shared" si="293"/>
        <v/>
      </c>
      <c r="F1884" s="14" t="str">
        <f t="shared" si="294"/>
        <v/>
      </c>
      <c r="G1884" s="14" t="str">
        <f t="shared" si="295"/>
        <v/>
      </c>
      <c r="H1884" s="14" t="str">
        <f t="shared" si="296"/>
        <v/>
      </c>
      <c r="I1884" s="15" t="str">
        <f t="shared" si="297"/>
        <v/>
      </c>
      <c r="J1884" s="15" t="str">
        <f t="shared" si="299"/>
        <v/>
      </c>
      <c r="K1884" s="16" t="str">
        <f t="shared" si="298"/>
        <v/>
      </c>
      <c r="M1884" t="str">
        <f>IFERROR(MATCH($C$5&amp;"|"&amp;RIGHT("000000"&amp;1868,6),CalcRankKeyA,0),"")</f>
        <v/>
      </c>
      <c r="N1884" t="str">
        <f>IFERROR(MATCH($C$5&amp;"|"&amp;RIGHT("000000"&amp;1868,6),CalcRankKeyB,0),"")</f>
        <v/>
      </c>
    </row>
    <row r="1885" spans="1:14" x14ac:dyDescent="0.2">
      <c r="A1885" s="7">
        <v>1869</v>
      </c>
      <c r="B1885" s="8" t="str">
        <f t="shared" si="290"/>
        <v/>
      </c>
      <c r="C1885" s="8" t="str">
        <f t="shared" si="291"/>
        <v/>
      </c>
      <c r="D1885" s="8" t="str">
        <f t="shared" si="292"/>
        <v/>
      </c>
      <c r="E1885" s="9" t="str">
        <f t="shared" si="293"/>
        <v/>
      </c>
      <c r="F1885" s="9" t="str">
        <f t="shared" si="294"/>
        <v/>
      </c>
      <c r="G1885" s="9" t="str">
        <f t="shared" si="295"/>
        <v/>
      </c>
      <c r="H1885" s="9" t="str">
        <f t="shared" si="296"/>
        <v/>
      </c>
      <c r="I1885" s="10" t="str">
        <f t="shared" si="297"/>
        <v/>
      </c>
      <c r="J1885" s="10" t="str">
        <f t="shared" si="299"/>
        <v/>
      </c>
      <c r="K1885" s="11" t="str">
        <f t="shared" si="298"/>
        <v/>
      </c>
      <c r="M1885" t="str">
        <f>IFERROR(MATCH($C$5&amp;"|"&amp;RIGHT("000000"&amp;1869,6),CalcRankKeyA,0),"")</f>
        <v/>
      </c>
      <c r="N1885" t="str">
        <f>IFERROR(MATCH($C$5&amp;"|"&amp;RIGHT("000000"&amp;1869,6),CalcRankKeyB,0),"")</f>
        <v/>
      </c>
    </row>
    <row r="1886" spans="1:14" x14ac:dyDescent="0.2">
      <c r="A1886" s="12">
        <v>1870</v>
      </c>
      <c r="B1886" s="13" t="str">
        <f t="shared" si="290"/>
        <v/>
      </c>
      <c r="C1886" s="13" t="str">
        <f t="shared" si="291"/>
        <v/>
      </c>
      <c r="D1886" s="13" t="str">
        <f t="shared" si="292"/>
        <v/>
      </c>
      <c r="E1886" s="14" t="str">
        <f t="shared" si="293"/>
        <v/>
      </c>
      <c r="F1886" s="14" t="str">
        <f t="shared" si="294"/>
        <v/>
      </c>
      <c r="G1886" s="14" t="str">
        <f t="shared" si="295"/>
        <v/>
      </c>
      <c r="H1886" s="14" t="str">
        <f t="shared" si="296"/>
        <v/>
      </c>
      <c r="I1886" s="15" t="str">
        <f t="shared" si="297"/>
        <v/>
      </c>
      <c r="J1886" s="15" t="str">
        <f t="shared" si="299"/>
        <v/>
      </c>
      <c r="K1886" s="16" t="str">
        <f t="shared" si="298"/>
        <v/>
      </c>
      <c r="M1886" t="str">
        <f>IFERROR(MATCH($C$5&amp;"|"&amp;RIGHT("000000"&amp;1870,6),CalcRankKeyA,0),"")</f>
        <v/>
      </c>
      <c r="N1886" t="str">
        <f>IFERROR(MATCH($C$5&amp;"|"&amp;RIGHT("000000"&amp;1870,6),CalcRankKeyB,0),"")</f>
        <v/>
      </c>
    </row>
    <row r="1887" spans="1:14" x14ac:dyDescent="0.2">
      <c r="A1887" s="7">
        <v>1871</v>
      </c>
      <c r="B1887" s="8" t="str">
        <f t="shared" si="290"/>
        <v/>
      </c>
      <c r="C1887" s="8" t="str">
        <f t="shared" si="291"/>
        <v/>
      </c>
      <c r="D1887" s="8" t="str">
        <f t="shared" si="292"/>
        <v/>
      </c>
      <c r="E1887" s="9" t="str">
        <f t="shared" si="293"/>
        <v/>
      </c>
      <c r="F1887" s="9" t="str">
        <f t="shared" si="294"/>
        <v/>
      </c>
      <c r="G1887" s="9" t="str">
        <f t="shared" si="295"/>
        <v/>
      </c>
      <c r="H1887" s="9" t="str">
        <f t="shared" si="296"/>
        <v/>
      </c>
      <c r="I1887" s="10" t="str">
        <f t="shared" si="297"/>
        <v/>
      </c>
      <c r="J1887" s="10" t="str">
        <f t="shared" si="299"/>
        <v/>
      </c>
      <c r="K1887" s="11" t="str">
        <f t="shared" si="298"/>
        <v/>
      </c>
      <c r="M1887" t="str">
        <f>IFERROR(MATCH($C$5&amp;"|"&amp;RIGHT("000000"&amp;1871,6),CalcRankKeyA,0),"")</f>
        <v/>
      </c>
      <c r="N1887" t="str">
        <f>IFERROR(MATCH($C$5&amp;"|"&amp;RIGHT("000000"&amp;1871,6),CalcRankKeyB,0),"")</f>
        <v/>
      </c>
    </row>
    <row r="1888" spans="1:14" x14ac:dyDescent="0.2">
      <c r="A1888" s="12">
        <v>1872</v>
      </c>
      <c r="B1888" s="13" t="str">
        <f t="shared" si="290"/>
        <v/>
      </c>
      <c r="C1888" s="13" t="str">
        <f t="shared" si="291"/>
        <v/>
      </c>
      <c r="D1888" s="13" t="str">
        <f t="shared" si="292"/>
        <v/>
      </c>
      <c r="E1888" s="14" t="str">
        <f t="shared" si="293"/>
        <v/>
      </c>
      <c r="F1888" s="14" t="str">
        <f t="shared" si="294"/>
        <v/>
      </c>
      <c r="G1888" s="14" t="str">
        <f t="shared" si="295"/>
        <v/>
      </c>
      <c r="H1888" s="14" t="str">
        <f t="shared" si="296"/>
        <v/>
      </c>
      <c r="I1888" s="15" t="str">
        <f t="shared" si="297"/>
        <v/>
      </c>
      <c r="J1888" s="15" t="str">
        <f t="shared" si="299"/>
        <v/>
      </c>
      <c r="K1888" s="16" t="str">
        <f t="shared" si="298"/>
        <v/>
      </c>
      <c r="M1888" t="str">
        <f>IFERROR(MATCH($C$5&amp;"|"&amp;RIGHT("000000"&amp;1872,6),CalcRankKeyA,0),"")</f>
        <v/>
      </c>
      <c r="N1888" t="str">
        <f>IFERROR(MATCH($C$5&amp;"|"&amp;RIGHT("000000"&amp;1872,6),CalcRankKeyB,0),"")</f>
        <v/>
      </c>
    </row>
    <row r="1889" spans="1:14" x14ac:dyDescent="0.2">
      <c r="A1889" s="7">
        <v>1873</v>
      </c>
      <c r="B1889" s="8" t="str">
        <f t="shared" si="290"/>
        <v/>
      </c>
      <c r="C1889" s="8" t="str">
        <f t="shared" si="291"/>
        <v/>
      </c>
      <c r="D1889" s="8" t="str">
        <f t="shared" si="292"/>
        <v/>
      </c>
      <c r="E1889" s="9" t="str">
        <f t="shared" si="293"/>
        <v/>
      </c>
      <c r="F1889" s="9" t="str">
        <f t="shared" si="294"/>
        <v/>
      </c>
      <c r="G1889" s="9" t="str">
        <f t="shared" si="295"/>
        <v/>
      </c>
      <c r="H1889" s="9" t="str">
        <f t="shared" si="296"/>
        <v/>
      </c>
      <c r="I1889" s="10" t="str">
        <f t="shared" si="297"/>
        <v/>
      </c>
      <c r="J1889" s="10" t="str">
        <f t="shared" si="299"/>
        <v/>
      </c>
      <c r="K1889" s="11" t="str">
        <f t="shared" si="298"/>
        <v/>
      </c>
      <c r="M1889" t="str">
        <f>IFERROR(MATCH($C$5&amp;"|"&amp;RIGHT("000000"&amp;1873,6),CalcRankKeyA,0),"")</f>
        <v/>
      </c>
      <c r="N1889" t="str">
        <f>IFERROR(MATCH($C$5&amp;"|"&amp;RIGHT("000000"&amp;1873,6),CalcRankKeyB,0),"")</f>
        <v/>
      </c>
    </row>
    <row r="1890" spans="1:14" x14ac:dyDescent="0.2">
      <c r="A1890" s="12">
        <v>1874</v>
      </c>
      <c r="B1890" s="13" t="str">
        <f t="shared" si="290"/>
        <v/>
      </c>
      <c r="C1890" s="13" t="str">
        <f t="shared" si="291"/>
        <v/>
      </c>
      <c r="D1890" s="13" t="str">
        <f t="shared" si="292"/>
        <v/>
      </c>
      <c r="E1890" s="14" t="str">
        <f t="shared" si="293"/>
        <v/>
      </c>
      <c r="F1890" s="14" t="str">
        <f t="shared" si="294"/>
        <v/>
      </c>
      <c r="G1890" s="14" t="str">
        <f t="shared" si="295"/>
        <v/>
      </c>
      <c r="H1890" s="14" t="str">
        <f t="shared" si="296"/>
        <v/>
      </c>
      <c r="I1890" s="15" t="str">
        <f t="shared" si="297"/>
        <v/>
      </c>
      <c r="J1890" s="15" t="str">
        <f t="shared" si="299"/>
        <v/>
      </c>
      <c r="K1890" s="16" t="str">
        <f t="shared" si="298"/>
        <v/>
      </c>
      <c r="M1890" t="str">
        <f>IFERROR(MATCH($C$5&amp;"|"&amp;RIGHT("000000"&amp;1874,6),CalcRankKeyA,0),"")</f>
        <v/>
      </c>
      <c r="N1890" t="str">
        <f>IFERROR(MATCH($C$5&amp;"|"&amp;RIGHT("000000"&amp;1874,6),CalcRankKeyB,0),"")</f>
        <v/>
      </c>
    </row>
    <row r="1891" spans="1:14" x14ac:dyDescent="0.2">
      <c r="A1891" s="7">
        <v>1875</v>
      </c>
      <c r="B1891" s="8" t="str">
        <f t="shared" si="290"/>
        <v/>
      </c>
      <c r="C1891" s="8" t="str">
        <f t="shared" si="291"/>
        <v/>
      </c>
      <c r="D1891" s="8" t="str">
        <f t="shared" si="292"/>
        <v/>
      </c>
      <c r="E1891" s="9" t="str">
        <f t="shared" si="293"/>
        <v/>
      </c>
      <c r="F1891" s="9" t="str">
        <f t="shared" si="294"/>
        <v/>
      </c>
      <c r="G1891" s="9" t="str">
        <f t="shared" si="295"/>
        <v/>
      </c>
      <c r="H1891" s="9" t="str">
        <f t="shared" si="296"/>
        <v/>
      </c>
      <c r="I1891" s="10" t="str">
        <f t="shared" si="297"/>
        <v/>
      </c>
      <c r="J1891" s="10" t="str">
        <f t="shared" si="299"/>
        <v/>
      </c>
      <c r="K1891" s="11" t="str">
        <f t="shared" si="298"/>
        <v/>
      </c>
      <c r="M1891" t="str">
        <f>IFERROR(MATCH($C$5&amp;"|"&amp;RIGHT("000000"&amp;1875,6),CalcRankKeyA,0),"")</f>
        <v/>
      </c>
      <c r="N1891" t="str">
        <f>IFERROR(MATCH($C$5&amp;"|"&amp;RIGHT("000000"&amp;1875,6),CalcRankKeyB,0),"")</f>
        <v/>
      </c>
    </row>
    <row r="1892" spans="1:14" x14ac:dyDescent="0.2">
      <c r="A1892" s="12">
        <v>1876</v>
      </c>
      <c r="B1892" s="13" t="str">
        <f t="shared" si="290"/>
        <v/>
      </c>
      <c r="C1892" s="13" t="str">
        <f t="shared" si="291"/>
        <v/>
      </c>
      <c r="D1892" s="13" t="str">
        <f t="shared" si="292"/>
        <v/>
      </c>
      <c r="E1892" s="14" t="str">
        <f t="shared" si="293"/>
        <v/>
      </c>
      <c r="F1892" s="14" t="str">
        <f t="shared" si="294"/>
        <v/>
      </c>
      <c r="G1892" s="14" t="str">
        <f t="shared" si="295"/>
        <v/>
      </c>
      <c r="H1892" s="14" t="str">
        <f t="shared" si="296"/>
        <v/>
      </c>
      <c r="I1892" s="15" t="str">
        <f t="shared" si="297"/>
        <v/>
      </c>
      <c r="J1892" s="15" t="str">
        <f t="shared" si="299"/>
        <v/>
      </c>
      <c r="K1892" s="16" t="str">
        <f t="shared" si="298"/>
        <v/>
      </c>
      <c r="M1892" t="str">
        <f>IFERROR(MATCH($C$5&amp;"|"&amp;RIGHT("000000"&amp;1876,6),CalcRankKeyA,0),"")</f>
        <v/>
      </c>
      <c r="N1892" t="str">
        <f>IFERROR(MATCH($C$5&amp;"|"&amp;RIGHT("000000"&amp;1876,6),CalcRankKeyB,0),"")</f>
        <v/>
      </c>
    </row>
    <row r="1893" spans="1:14" x14ac:dyDescent="0.2">
      <c r="A1893" s="7">
        <v>1877</v>
      </c>
      <c r="B1893" s="8" t="str">
        <f t="shared" si="290"/>
        <v/>
      </c>
      <c r="C1893" s="8" t="str">
        <f t="shared" si="291"/>
        <v/>
      </c>
      <c r="D1893" s="8" t="str">
        <f t="shared" si="292"/>
        <v/>
      </c>
      <c r="E1893" s="9" t="str">
        <f t="shared" si="293"/>
        <v/>
      </c>
      <c r="F1893" s="9" t="str">
        <f t="shared" si="294"/>
        <v/>
      </c>
      <c r="G1893" s="9" t="str">
        <f t="shared" si="295"/>
        <v/>
      </c>
      <c r="H1893" s="9" t="str">
        <f t="shared" si="296"/>
        <v/>
      </c>
      <c r="I1893" s="10" t="str">
        <f t="shared" si="297"/>
        <v/>
      </c>
      <c r="J1893" s="10" t="str">
        <f t="shared" si="299"/>
        <v/>
      </c>
      <c r="K1893" s="11" t="str">
        <f t="shared" si="298"/>
        <v/>
      </c>
      <c r="M1893" t="str">
        <f>IFERROR(MATCH($C$5&amp;"|"&amp;RIGHT("000000"&amp;1877,6),CalcRankKeyA,0),"")</f>
        <v/>
      </c>
      <c r="N1893" t="str">
        <f>IFERROR(MATCH($C$5&amp;"|"&amp;RIGHT("000000"&amp;1877,6),CalcRankKeyB,0),"")</f>
        <v/>
      </c>
    </row>
    <row r="1894" spans="1:14" x14ac:dyDescent="0.2">
      <c r="A1894" s="12">
        <v>1878</v>
      </c>
      <c r="B1894" s="13" t="str">
        <f t="shared" si="290"/>
        <v/>
      </c>
      <c r="C1894" s="13" t="str">
        <f t="shared" si="291"/>
        <v/>
      </c>
      <c r="D1894" s="13" t="str">
        <f t="shared" si="292"/>
        <v/>
      </c>
      <c r="E1894" s="14" t="str">
        <f t="shared" si="293"/>
        <v/>
      </c>
      <c r="F1894" s="14" t="str">
        <f t="shared" si="294"/>
        <v/>
      </c>
      <c r="G1894" s="14" t="str">
        <f t="shared" si="295"/>
        <v/>
      </c>
      <c r="H1894" s="14" t="str">
        <f t="shared" si="296"/>
        <v/>
      </c>
      <c r="I1894" s="15" t="str">
        <f t="shared" si="297"/>
        <v/>
      </c>
      <c r="J1894" s="15" t="str">
        <f t="shared" si="299"/>
        <v/>
      </c>
      <c r="K1894" s="16" t="str">
        <f t="shared" si="298"/>
        <v/>
      </c>
      <c r="M1894" t="str">
        <f>IFERROR(MATCH($C$5&amp;"|"&amp;RIGHT("000000"&amp;1878,6),CalcRankKeyA,0),"")</f>
        <v/>
      </c>
      <c r="N1894" t="str">
        <f>IFERROR(MATCH($C$5&amp;"|"&amp;RIGHT("000000"&amp;1878,6),CalcRankKeyB,0),"")</f>
        <v/>
      </c>
    </row>
    <row r="1895" spans="1:14" x14ac:dyDescent="0.2">
      <c r="A1895" s="7">
        <v>1879</v>
      </c>
      <c r="B1895" s="8" t="str">
        <f t="shared" si="290"/>
        <v/>
      </c>
      <c r="C1895" s="8" t="str">
        <f t="shared" si="291"/>
        <v/>
      </c>
      <c r="D1895" s="8" t="str">
        <f t="shared" si="292"/>
        <v/>
      </c>
      <c r="E1895" s="9" t="str">
        <f t="shared" si="293"/>
        <v/>
      </c>
      <c r="F1895" s="9" t="str">
        <f t="shared" si="294"/>
        <v/>
      </c>
      <c r="G1895" s="9" t="str">
        <f t="shared" si="295"/>
        <v/>
      </c>
      <c r="H1895" s="9" t="str">
        <f t="shared" si="296"/>
        <v/>
      </c>
      <c r="I1895" s="10" t="str">
        <f t="shared" si="297"/>
        <v/>
      </c>
      <c r="J1895" s="10" t="str">
        <f t="shared" si="299"/>
        <v/>
      </c>
      <c r="K1895" s="11" t="str">
        <f t="shared" si="298"/>
        <v/>
      </c>
      <c r="M1895" t="str">
        <f>IFERROR(MATCH($C$5&amp;"|"&amp;RIGHT("000000"&amp;1879,6),CalcRankKeyA,0),"")</f>
        <v/>
      </c>
      <c r="N1895" t="str">
        <f>IFERROR(MATCH($C$5&amp;"|"&amp;RIGHT("000000"&amp;1879,6),CalcRankKeyB,0),"")</f>
        <v/>
      </c>
    </row>
    <row r="1896" spans="1:14" x14ac:dyDescent="0.2">
      <c r="A1896" s="12">
        <v>1880</v>
      </c>
      <c r="B1896" s="13" t="str">
        <f t="shared" si="290"/>
        <v/>
      </c>
      <c r="C1896" s="13" t="str">
        <f t="shared" si="291"/>
        <v/>
      </c>
      <c r="D1896" s="13" t="str">
        <f t="shared" si="292"/>
        <v/>
      </c>
      <c r="E1896" s="14" t="str">
        <f t="shared" si="293"/>
        <v/>
      </c>
      <c r="F1896" s="14" t="str">
        <f t="shared" si="294"/>
        <v/>
      </c>
      <c r="G1896" s="14" t="str">
        <f t="shared" si="295"/>
        <v/>
      </c>
      <c r="H1896" s="14" t="str">
        <f t="shared" si="296"/>
        <v/>
      </c>
      <c r="I1896" s="15" t="str">
        <f t="shared" si="297"/>
        <v/>
      </c>
      <c r="J1896" s="15" t="str">
        <f t="shared" si="299"/>
        <v/>
      </c>
      <c r="K1896" s="16" t="str">
        <f t="shared" si="298"/>
        <v/>
      </c>
      <c r="M1896" t="str">
        <f>IFERROR(MATCH($C$5&amp;"|"&amp;RIGHT("000000"&amp;1880,6),CalcRankKeyA,0),"")</f>
        <v/>
      </c>
      <c r="N1896" t="str">
        <f>IFERROR(MATCH($C$5&amp;"|"&amp;RIGHT("000000"&amp;1880,6),CalcRankKeyB,0),"")</f>
        <v/>
      </c>
    </row>
    <row r="1897" spans="1:14" x14ac:dyDescent="0.2">
      <c r="A1897" s="7">
        <v>1881</v>
      </c>
      <c r="B1897" s="8" t="str">
        <f t="shared" si="290"/>
        <v/>
      </c>
      <c r="C1897" s="8" t="str">
        <f t="shared" si="291"/>
        <v/>
      </c>
      <c r="D1897" s="8" t="str">
        <f t="shared" si="292"/>
        <v/>
      </c>
      <c r="E1897" s="9" t="str">
        <f t="shared" si="293"/>
        <v/>
      </c>
      <c r="F1897" s="9" t="str">
        <f t="shared" si="294"/>
        <v/>
      </c>
      <c r="G1897" s="9" t="str">
        <f t="shared" si="295"/>
        <v/>
      </c>
      <c r="H1897" s="9" t="str">
        <f t="shared" si="296"/>
        <v/>
      </c>
      <c r="I1897" s="10" t="str">
        <f t="shared" si="297"/>
        <v/>
      </c>
      <c r="J1897" s="10" t="str">
        <f t="shared" si="299"/>
        <v/>
      </c>
      <c r="K1897" s="11" t="str">
        <f t="shared" si="298"/>
        <v/>
      </c>
      <c r="M1897" t="str">
        <f>IFERROR(MATCH($C$5&amp;"|"&amp;RIGHT("000000"&amp;1881,6),CalcRankKeyA,0),"")</f>
        <v/>
      </c>
      <c r="N1897" t="str">
        <f>IFERROR(MATCH($C$5&amp;"|"&amp;RIGHT("000000"&amp;1881,6),CalcRankKeyB,0),"")</f>
        <v/>
      </c>
    </row>
    <row r="1898" spans="1:14" x14ac:dyDescent="0.2">
      <c r="A1898" s="12">
        <v>1882</v>
      </c>
      <c r="B1898" s="13" t="str">
        <f t="shared" si="290"/>
        <v/>
      </c>
      <c r="C1898" s="13" t="str">
        <f t="shared" si="291"/>
        <v/>
      </c>
      <c r="D1898" s="13" t="str">
        <f t="shared" si="292"/>
        <v/>
      </c>
      <c r="E1898" s="14" t="str">
        <f t="shared" si="293"/>
        <v/>
      </c>
      <c r="F1898" s="14" t="str">
        <f t="shared" si="294"/>
        <v/>
      </c>
      <c r="G1898" s="14" t="str">
        <f t="shared" si="295"/>
        <v/>
      </c>
      <c r="H1898" s="14" t="str">
        <f t="shared" si="296"/>
        <v/>
      </c>
      <c r="I1898" s="15" t="str">
        <f t="shared" si="297"/>
        <v/>
      </c>
      <c r="J1898" s="15" t="str">
        <f t="shared" si="299"/>
        <v/>
      </c>
      <c r="K1898" s="16" t="str">
        <f t="shared" si="298"/>
        <v/>
      </c>
      <c r="M1898" t="str">
        <f>IFERROR(MATCH($C$5&amp;"|"&amp;RIGHT("000000"&amp;1882,6),CalcRankKeyA,0),"")</f>
        <v/>
      </c>
      <c r="N1898" t="str">
        <f>IFERROR(MATCH($C$5&amp;"|"&amp;RIGHT("000000"&amp;1882,6),CalcRankKeyB,0),"")</f>
        <v/>
      </c>
    </row>
    <row r="1899" spans="1:14" x14ac:dyDescent="0.2">
      <c r="A1899" s="7">
        <v>1883</v>
      </c>
      <c r="B1899" s="8" t="str">
        <f t="shared" si="290"/>
        <v/>
      </c>
      <c r="C1899" s="8" t="str">
        <f t="shared" si="291"/>
        <v/>
      </c>
      <c r="D1899" s="8" t="str">
        <f t="shared" si="292"/>
        <v/>
      </c>
      <c r="E1899" s="9" t="str">
        <f t="shared" si="293"/>
        <v/>
      </c>
      <c r="F1899" s="9" t="str">
        <f t="shared" si="294"/>
        <v/>
      </c>
      <c r="G1899" s="9" t="str">
        <f t="shared" si="295"/>
        <v/>
      </c>
      <c r="H1899" s="9" t="str">
        <f t="shared" si="296"/>
        <v/>
      </c>
      <c r="I1899" s="10" t="str">
        <f t="shared" si="297"/>
        <v/>
      </c>
      <c r="J1899" s="10" t="str">
        <f t="shared" si="299"/>
        <v/>
      </c>
      <c r="K1899" s="11" t="str">
        <f t="shared" si="298"/>
        <v/>
      </c>
      <c r="M1899" t="str">
        <f>IFERROR(MATCH($C$5&amp;"|"&amp;RIGHT("000000"&amp;1883,6),CalcRankKeyA,0),"")</f>
        <v/>
      </c>
      <c r="N1899" t="str">
        <f>IFERROR(MATCH($C$5&amp;"|"&amp;RIGHT("000000"&amp;1883,6),CalcRankKeyB,0),"")</f>
        <v/>
      </c>
    </row>
    <row r="1900" spans="1:14" x14ac:dyDescent="0.2">
      <c r="A1900" s="12">
        <v>1884</v>
      </c>
      <c r="B1900" s="13" t="str">
        <f t="shared" si="290"/>
        <v/>
      </c>
      <c r="C1900" s="13" t="str">
        <f t="shared" si="291"/>
        <v/>
      </c>
      <c r="D1900" s="13" t="str">
        <f t="shared" si="292"/>
        <v/>
      </c>
      <c r="E1900" s="14" t="str">
        <f t="shared" si="293"/>
        <v/>
      </c>
      <c r="F1900" s="14" t="str">
        <f t="shared" si="294"/>
        <v/>
      </c>
      <c r="G1900" s="14" t="str">
        <f t="shared" si="295"/>
        <v/>
      </c>
      <c r="H1900" s="14" t="str">
        <f t="shared" si="296"/>
        <v/>
      </c>
      <c r="I1900" s="15" t="str">
        <f t="shared" si="297"/>
        <v/>
      </c>
      <c r="J1900" s="15" t="str">
        <f t="shared" si="299"/>
        <v/>
      </c>
      <c r="K1900" s="16" t="str">
        <f t="shared" si="298"/>
        <v/>
      </c>
      <c r="M1900" t="str">
        <f>IFERROR(MATCH($C$5&amp;"|"&amp;RIGHT("000000"&amp;1884,6),CalcRankKeyA,0),"")</f>
        <v/>
      </c>
      <c r="N1900" t="str">
        <f>IFERROR(MATCH($C$5&amp;"|"&amp;RIGHT("000000"&amp;1884,6),CalcRankKeyB,0),"")</f>
        <v/>
      </c>
    </row>
    <row r="1901" spans="1:14" x14ac:dyDescent="0.2">
      <c r="A1901" s="7">
        <v>1885</v>
      </c>
      <c r="B1901" s="8" t="str">
        <f t="shared" si="290"/>
        <v/>
      </c>
      <c r="C1901" s="8" t="str">
        <f t="shared" si="291"/>
        <v/>
      </c>
      <c r="D1901" s="8" t="str">
        <f t="shared" si="292"/>
        <v/>
      </c>
      <c r="E1901" s="9" t="str">
        <f t="shared" si="293"/>
        <v/>
      </c>
      <c r="F1901" s="9" t="str">
        <f t="shared" si="294"/>
        <v/>
      </c>
      <c r="G1901" s="9" t="str">
        <f t="shared" si="295"/>
        <v/>
      </c>
      <c r="H1901" s="9" t="str">
        <f t="shared" si="296"/>
        <v/>
      </c>
      <c r="I1901" s="10" t="str">
        <f t="shared" si="297"/>
        <v/>
      </c>
      <c r="J1901" s="10" t="str">
        <f t="shared" si="299"/>
        <v/>
      </c>
      <c r="K1901" s="11" t="str">
        <f t="shared" si="298"/>
        <v/>
      </c>
      <c r="M1901" t="str">
        <f>IFERROR(MATCH($C$5&amp;"|"&amp;RIGHT("000000"&amp;1885,6),CalcRankKeyA,0),"")</f>
        <v/>
      </c>
      <c r="N1901" t="str">
        <f>IFERROR(MATCH($C$5&amp;"|"&amp;RIGHT("000000"&amp;1885,6),CalcRankKeyB,0),"")</f>
        <v/>
      </c>
    </row>
    <row r="1902" spans="1:14" x14ac:dyDescent="0.2">
      <c r="A1902" s="12">
        <v>1886</v>
      </c>
      <c r="B1902" s="13" t="str">
        <f t="shared" si="290"/>
        <v/>
      </c>
      <c r="C1902" s="13" t="str">
        <f t="shared" si="291"/>
        <v/>
      </c>
      <c r="D1902" s="13" t="str">
        <f t="shared" si="292"/>
        <v/>
      </c>
      <c r="E1902" s="14" t="str">
        <f t="shared" si="293"/>
        <v/>
      </c>
      <c r="F1902" s="14" t="str">
        <f t="shared" si="294"/>
        <v/>
      </c>
      <c r="G1902" s="14" t="str">
        <f t="shared" si="295"/>
        <v/>
      </c>
      <c r="H1902" s="14" t="str">
        <f t="shared" si="296"/>
        <v/>
      </c>
      <c r="I1902" s="15" t="str">
        <f t="shared" si="297"/>
        <v/>
      </c>
      <c r="J1902" s="15" t="str">
        <f t="shared" si="299"/>
        <v/>
      </c>
      <c r="K1902" s="16" t="str">
        <f t="shared" si="298"/>
        <v/>
      </c>
      <c r="M1902" t="str">
        <f>IFERROR(MATCH($C$5&amp;"|"&amp;RIGHT("000000"&amp;1886,6),CalcRankKeyA,0),"")</f>
        <v/>
      </c>
      <c r="N1902" t="str">
        <f>IFERROR(MATCH($C$5&amp;"|"&amp;RIGHT("000000"&amp;1886,6),CalcRankKeyB,0),"")</f>
        <v/>
      </c>
    </row>
    <row r="1903" spans="1:14" x14ac:dyDescent="0.2">
      <c r="A1903" s="7">
        <v>1887</v>
      </c>
      <c r="B1903" s="8" t="str">
        <f t="shared" si="290"/>
        <v/>
      </c>
      <c r="C1903" s="8" t="str">
        <f t="shared" si="291"/>
        <v/>
      </c>
      <c r="D1903" s="8" t="str">
        <f t="shared" si="292"/>
        <v/>
      </c>
      <c r="E1903" s="9" t="str">
        <f t="shared" si="293"/>
        <v/>
      </c>
      <c r="F1903" s="9" t="str">
        <f t="shared" si="294"/>
        <v/>
      </c>
      <c r="G1903" s="9" t="str">
        <f t="shared" si="295"/>
        <v/>
      </c>
      <c r="H1903" s="9" t="str">
        <f t="shared" si="296"/>
        <v/>
      </c>
      <c r="I1903" s="10" t="str">
        <f t="shared" si="297"/>
        <v/>
      </c>
      <c r="J1903" s="10" t="str">
        <f t="shared" si="299"/>
        <v/>
      </c>
      <c r="K1903" s="11" t="str">
        <f t="shared" si="298"/>
        <v/>
      </c>
      <c r="M1903" t="str">
        <f>IFERROR(MATCH($C$5&amp;"|"&amp;RIGHT("000000"&amp;1887,6),CalcRankKeyA,0),"")</f>
        <v/>
      </c>
      <c r="N1903" t="str">
        <f>IFERROR(MATCH($C$5&amp;"|"&amp;RIGHT("000000"&amp;1887,6),CalcRankKeyB,0),"")</f>
        <v/>
      </c>
    </row>
    <row r="1904" spans="1:14" x14ac:dyDescent="0.2">
      <c r="A1904" s="12">
        <v>1888</v>
      </c>
      <c r="B1904" s="13" t="str">
        <f t="shared" si="290"/>
        <v/>
      </c>
      <c r="C1904" s="13" t="str">
        <f t="shared" si="291"/>
        <v/>
      </c>
      <c r="D1904" s="13" t="str">
        <f t="shared" si="292"/>
        <v/>
      </c>
      <c r="E1904" s="14" t="str">
        <f t="shared" si="293"/>
        <v/>
      </c>
      <c r="F1904" s="14" t="str">
        <f t="shared" si="294"/>
        <v/>
      </c>
      <c r="G1904" s="14" t="str">
        <f t="shared" si="295"/>
        <v/>
      </c>
      <c r="H1904" s="14" t="str">
        <f t="shared" si="296"/>
        <v/>
      </c>
      <c r="I1904" s="15" t="str">
        <f t="shared" si="297"/>
        <v/>
      </c>
      <c r="J1904" s="15" t="str">
        <f t="shared" si="299"/>
        <v/>
      </c>
      <c r="K1904" s="16" t="str">
        <f t="shared" si="298"/>
        <v/>
      </c>
      <c r="M1904" t="str">
        <f>IFERROR(MATCH($C$5&amp;"|"&amp;RIGHT("000000"&amp;1888,6),CalcRankKeyA,0),"")</f>
        <v/>
      </c>
      <c r="N1904" t="str">
        <f>IFERROR(MATCH($C$5&amp;"|"&amp;RIGHT("000000"&amp;1888,6),CalcRankKeyB,0),"")</f>
        <v/>
      </c>
    </row>
    <row r="1905" spans="1:14" x14ac:dyDescent="0.2">
      <c r="A1905" s="7">
        <v>1889</v>
      </c>
      <c r="B1905" s="8" t="str">
        <f t="shared" si="290"/>
        <v/>
      </c>
      <c r="C1905" s="8" t="str">
        <f t="shared" si="291"/>
        <v/>
      </c>
      <c r="D1905" s="8" t="str">
        <f t="shared" si="292"/>
        <v/>
      </c>
      <c r="E1905" s="9" t="str">
        <f t="shared" si="293"/>
        <v/>
      </c>
      <c r="F1905" s="9" t="str">
        <f t="shared" si="294"/>
        <v/>
      </c>
      <c r="G1905" s="9" t="str">
        <f t="shared" si="295"/>
        <v/>
      </c>
      <c r="H1905" s="9" t="str">
        <f t="shared" si="296"/>
        <v/>
      </c>
      <c r="I1905" s="10" t="str">
        <f t="shared" si="297"/>
        <v/>
      </c>
      <c r="J1905" s="10" t="str">
        <f t="shared" si="299"/>
        <v/>
      </c>
      <c r="K1905" s="11" t="str">
        <f t="shared" si="298"/>
        <v/>
      </c>
      <c r="M1905" t="str">
        <f>IFERROR(MATCH($C$5&amp;"|"&amp;RIGHT("000000"&amp;1889,6),CalcRankKeyA,0),"")</f>
        <v/>
      </c>
      <c r="N1905" t="str">
        <f>IFERROR(MATCH($C$5&amp;"|"&amp;RIGHT("000000"&amp;1889,6),CalcRankKeyB,0),"")</f>
        <v/>
      </c>
    </row>
    <row r="1906" spans="1:14" x14ac:dyDescent="0.2">
      <c r="A1906" s="12">
        <v>1890</v>
      </c>
      <c r="B1906" s="13" t="str">
        <f t="shared" si="290"/>
        <v/>
      </c>
      <c r="C1906" s="13" t="str">
        <f t="shared" si="291"/>
        <v/>
      </c>
      <c r="D1906" s="13" t="str">
        <f t="shared" si="292"/>
        <v/>
      </c>
      <c r="E1906" s="14" t="str">
        <f t="shared" si="293"/>
        <v/>
      </c>
      <c r="F1906" s="14" t="str">
        <f t="shared" si="294"/>
        <v/>
      </c>
      <c r="G1906" s="14" t="str">
        <f t="shared" si="295"/>
        <v/>
      </c>
      <c r="H1906" s="14" t="str">
        <f t="shared" si="296"/>
        <v/>
      </c>
      <c r="I1906" s="15" t="str">
        <f t="shared" si="297"/>
        <v/>
      </c>
      <c r="J1906" s="15" t="str">
        <f t="shared" si="299"/>
        <v/>
      </c>
      <c r="K1906" s="16" t="str">
        <f t="shared" si="298"/>
        <v/>
      </c>
      <c r="M1906" t="str">
        <f>IFERROR(MATCH($C$5&amp;"|"&amp;RIGHT("000000"&amp;1890,6),CalcRankKeyA,0),"")</f>
        <v/>
      </c>
      <c r="N1906" t="str">
        <f>IFERROR(MATCH($C$5&amp;"|"&amp;RIGHT("000000"&amp;1890,6),CalcRankKeyB,0),"")</f>
        <v/>
      </c>
    </row>
    <row r="1907" spans="1:14" x14ac:dyDescent="0.2">
      <c r="A1907" s="7">
        <v>1891</v>
      </c>
      <c r="B1907" s="8" t="str">
        <f t="shared" si="290"/>
        <v/>
      </c>
      <c r="C1907" s="8" t="str">
        <f t="shared" si="291"/>
        <v/>
      </c>
      <c r="D1907" s="8" t="str">
        <f t="shared" si="292"/>
        <v/>
      </c>
      <c r="E1907" s="9" t="str">
        <f t="shared" si="293"/>
        <v/>
      </c>
      <c r="F1907" s="9" t="str">
        <f t="shared" si="294"/>
        <v/>
      </c>
      <c r="G1907" s="9" t="str">
        <f t="shared" si="295"/>
        <v/>
      </c>
      <c r="H1907" s="9" t="str">
        <f t="shared" si="296"/>
        <v/>
      </c>
      <c r="I1907" s="10" t="str">
        <f t="shared" si="297"/>
        <v/>
      </c>
      <c r="J1907" s="10" t="str">
        <f t="shared" si="299"/>
        <v/>
      </c>
      <c r="K1907" s="11" t="str">
        <f t="shared" si="298"/>
        <v/>
      </c>
      <c r="M1907" t="str">
        <f>IFERROR(MATCH($C$5&amp;"|"&amp;RIGHT("000000"&amp;1891,6),CalcRankKeyA,0),"")</f>
        <v/>
      </c>
      <c r="N1907" t="str">
        <f>IFERROR(MATCH($C$5&amp;"|"&amp;RIGHT("000000"&amp;1891,6),CalcRankKeyB,0),"")</f>
        <v/>
      </c>
    </row>
    <row r="1908" spans="1:14" x14ac:dyDescent="0.2">
      <c r="A1908" s="12">
        <v>1892</v>
      </c>
      <c r="B1908" s="13" t="str">
        <f t="shared" si="290"/>
        <v/>
      </c>
      <c r="C1908" s="13" t="str">
        <f t="shared" si="291"/>
        <v/>
      </c>
      <c r="D1908" s="13" t="str">
        <f t="shared" si="292"/>
        <v/>
      </c>
      <c r="E1908" s="14" t="str">
        <f t="shared" si="293"/>
        <v/>
      </c>
      <c r="F1908" s="14" t="str">
        <f t="shared" si="294"/>
        <v/>
      </c>
      <c r="G1908" s="14" t="str">
        <f t="shared" si="295"/>
        <v/>
      </c>
      <c r="H1908" s="14" t="str">
        <f t="shared" si="296"/>
        <v/>
      </c>
      <c r="I1908" s="15" t="str">
        <f t="shared" si="297"/>
        <v/>
      </c>
      <c r="J1908" s="15" t="str">
        <f t="shared" si="299"/>
        <v/>
      </c>
      <c r="K1908" s="16" t="str">
        <f t="shared" si="298"/>
        <v/>
      </c>
      <c r="M1908" t="str">
        <f>IFERROR(MATCH($C$5&amp;"|"&amp;RIGHT("000000"&amp;1892,6),CalcRankKeyA,0),"")</f>
        <v/>
      </c>
      <c r="N1908" t="str">
        <f>IFERROR(MATCH($C$5&amp;"|"&amp;RIGHT("000000"&amp;1892,6),CalcRankKeyB,0),"")</f>
        <v/>
      </c>
    </row>
    <row r="1909" spans="1:14" x14ac:dyDescent="0.2">
      <c r="A1909" s="7">
        <v>1893</v>
      </c>
      <c r="B1909" s="8" t="str">
        <f t="shared" si="290"/>
        <v/>
      </c>
      <c r="C1909" s="8" t="str">
        <f t="shared" si="291"/>
        <v/>
      </c>
      <c r="D1909" s="8" t="str">
        <f t="shared" si="292"/>
        <v/>
      </c>
      <c r="E1909" s="9" t="str">
        <f t="shared" si="293"/>
        <v/>
      </c>
      <c r="F1909" s="9" t="str">
        <f t="shared" si="294"/>
        <v/>
      </c>
      <c r="G1909" s="9" t="str">
        <f t="shared" si="295"/>
        <v/>
      </c>
      <c r="H1909" s="9" t="str">
        <f t="shared" si="296"/>
        <v/>
      </c>
      <c r="I1909" s="10" t="str">
        <f t="shared" si="297"/>
        <v/>
      </c>
      <c r="J1909" s="10" t="str">
        <f t="shared" si="299"/>
        <v/>
      </c>
      <c r="K1909" s="11" t="str">
        <f t="shared" si="298"/>
        <v/>
      </c>
      <c r="M1909" t="str">
        <f>IFERROR(MATCH($C$5&amp;"|"&amp;RIGHT("000000"&amp;1893,6),CalcRankKeyA,0),"")</f>
        <v/>
      </c>
      <c r="N1909" t="str">
        <f>IFERROR(MATCH($C$5&amp;"|"&amp;RIGHT("000000"&amp;1893,6),CalcRankKeyB,0),"")</f>
        <v/>
      </c>
    </row>
    <row r="1910" spans="1:14" x14ac:dyDescent="0.2">
      <c r="A1910" s="12">
        <v>1894</v>
      </c>
      <c r="B1910" s="13" t="str">
        <f t="shared" si="290"/>
        <v/>
      </c>
      <c r="C1910" s="13" t="str">
        <f t="shared" si="291"/>
        <v/>
      </c>
      <c r="D1910" s="13" t="str">
        <f t="shared" si="292"/>
        <v/>
      </c>
      <c r="E1910" s="14" t="str">
        <f t="shared" si="293"/>
        <v/>
      </c>
      <c r="F1910" s="14" t="str">
        <f t="shared" si="294"/>
        <v/>
      </c>
      <c r="G1910" s="14" t="str">
        <f t="shared" si="295"/>
        <v/>
      </c>
      <c r="H1910" s="14" t="str">
        <f t="shared" si="296"/>
        <v/>
      </c>
      <c r="I1910" s="15" t="str">
        <f t="shared" si="297"/>
        <v/>
      </c>
      <c r="J1910" s="15" t="str">
        <f t="shared" si="299"/>
        <v/>
      </c>
      <c r="K1910" s="16" t="str">
        <f t="shared" si="298"/>
        <v/>
      </c>
      <c r="M1910" t="str">
        <f>IFERROR(MATCH($C$5&amp;"|"&amp;RIGHT("000000"&amp;1894,6),CalcRankKeyA,0),"")</f>
        <v/>
      </c>
      <c r="N1910" t="str">
        <f>IFERROR(MATCH($C$5&amp;"|"&amp;RIGHT("000000"&amp;1894,6),CalcRankKeyB,0),"")</f>
        <v/>
      </c>
    </row>
    <row r="1911" spans="1:14" x14ac:dyDescent="0.2">
      <c r="A1911" s="7">
        <v>1895</v>
      </c>
      <c r="B1911" s="8" t="str">
        <f t="shared" si="290"/>
        <v/>
      </c>
      <c r="C1911" s="8" t="str">
        <f t="shared" si="291"/>
        <v/>
      </c>
      <c r="D1911" s="8" t="str">
        <f t="shared" si="292"/>
        <v/>
      </c>
      <c r="E1911" s="9" t="str">
        <f t="shared" si="293"/>
        <v/>
      </c>
      <c r="F1911" s="9" t="str">
        <f t="shared" si="294"/>
        <v/>
      </c>
      <c r="G1911" s="9" t="str">
        <f t="shared" si="295"/>
        <v/>
      </c>
      <c r="H1911" s="9" t="str">
        <f t="shared" si="296"/>
        <v/>
      </c>
      <c r="I1911" s="10" t="str">
        <f t="shared" si="297"/>
        <v/>
      </c>
      <c r="J1911" s="10" t="str">
        <f t="shared" si="299"/>
        <v/>
      </c>
      <c r="K1911" s="11" t="str">
        <f t="shared" si="298"/>
        <v/>
      </c>
      <c r="M1911" t="str">
        <f>IFERROR(MATCH($C$5&amp;"|"&amp;RIGHT("000000"&amp;1895,6),CalcRankKeyA,0),"")</f>
        <v/>
      </c>
      <c r="N1911" t="str">
        <f>IFERROR(MATCH($C$5&amp;"|"&amp;RIGHT("000000"&amp;1895,6),CalcRankKeyB,0),"")</f>
        <v/>
      </c>
    </row>
    <row r="1912" spans="1:14" x14ac:dyDescent="0.2">
      <c r="A1912" s="12">
        <v>1896</v>
      </c>
      <c r="B1912" s="13" t="str">
        <f t="shared" si="290"/>
        <v/>
      </c>
      <c r="C1912" s="13" t="str">
        <f t="shared" si="291"/>
        <v/>
      </c>
      <c r="D1912" s="13" t="str">
        <f t="shared" si="292"/>
        <v/>
      </c>
      <c r="E1912" s="14" t="str">
        <f t="shared" si="293"/>
        <v/>
      </c>
      <c r="F1912" s="14" t="str">
        <f t="shared" si="294"/>
        <v/>
      </c>
      <c r="G1912" s="14" t="str">
        <f t="shared" si="295"/>
        <v/>
      </c>
      <c r="H1912" s="14" t="str">
        <f t="shared" si="296"/>
        <v/>
      </c>
      <c r="I1912" s="15" t="str">
        <f t="shared" si="297"/>
        <v/>
      </c>
      <c r="J1912" s="15" t="str">
        <f t="shared" si="299"/>
        <v/>
      </c>
      <c r="K1912" s="16" t="str">
        <f t="shared" si="298"/>
        <v/>
      </c>
      <c r="M1912" t="str">
        <f>IFERROR(MATCH($C$5&amp;"|"&amp;RIGHT("000000"&amp;1896,6),CalcRankKeyA,0),"")</f>
        <v/>
      </c>
      <c r="N1912" t="str">
        <f>IFERROR(MATCH($C$5&amp;"|"&amp;RIGHT("000000"&amp;1896,6),CalcRankKeyB,0),"")</f>
        <v/>
      </c>
    </row>
    <row r="1913" spans="1:14" x14ac:dyDescent="0.2">
      <c r="A1913" s="7">
        <v>1897</v>
      </c>
      <c r="B1913" s="8" t="str">
        <f t="shared" si="290"/>
        <v/>
      </c>
      <c r="C1913" s="8" t="str">
        <f t="shared" si="291"/>
        <v/>
      </c>
      <c r="D1913" s="8" t="str">
        <f t="shared" si="292"/>
        <v/>
      </c>
      <c r="E1913" s="9" t="str">
        <f t="shared" si="293"/>
        <v/>
      </c>
      <c r="F1913" s="9" t="str">
        <f t="shared" si="294"/>
        <v/>
      </c>
      <c r="G1913" s="9" t="str">
        <f t="shared" si="295"/>
        <v/>
      </c>
      <c r="H1913" s="9" t="str">
        <f t="shared" si="296"/>
        <v/>
      </c>
      <c r="I1913" s="10" t="str">
        <f t="shared" si="297"/>
        <v/>
      </c>
      <c r="J1913" s="10" t="str">
        <f t="shared" si="299"/>
        <v/>
      </c>
      <c r="K1913" s="11" t="str">
        <f t="shared" si="298"/>
        <v/>
      </c>
      <c r="M1913" t="str">
        <f>IFERROR(MATCH($C$5&amp;"|"&amp;RIGHT("000000"&amp;1897,6),CalcRankKeyA,0),"")</f>
        <v/>
      </c>
      <c r="N1913" t="str">
        <f>IFERROR(MATCH($C$5&amp;"|"&amp;RIGHT("000000"&amp;1897,6),CalcRankKeyB,0),"")</f>
        <v/>
      </c>
    </row>
    <row r="1914" spans="1:14" x14ac:dyDescent="0.2">
      <c r="A1914" s="12">
        <v>1898</v>
      </c>
      <c r="B1914" s="13" t="str">
        <f t="shared" si="290"/>
        <v/>
      </c>
      <c r="C1914" s="13" t="str">
        <f t="shared" si="291"/>
        <v/>
      </c>
      <c r="D1914" s="13" t="str">
        <f t="shared" si="292"/>
        <v/>
      </c>
      <c r="E1914" s="14" t="str">
        <f t="shared" si="293"/>
        <v/>
      </c>
      <c r="F1914" s="14" t="str">
        <f t="shared" si="294"/>
        <v/>
      </c>
      <c r="G1914" s="14" t="str">
        <f t="shared" si="295"/>
        <v/>
      </c>
      <c r="H1914" s="14" t="str">
        <f t="shared" si="296"/>
        <v/>
      </c>
      <c r="I1914" s="15" t="str">
        <f t="shared" si="297"/>
        <v/>
      </c>
      <c r="J1914" s="15" t="str">
        <f t="shared" si="299"/>
        <v/>
      </c>
      <c r="K1914" s="16" t="str">
        <f t="shared" si="298"/>
        <v/>
      </c>
      <c r="M1914" t="str">
        <f>IFERROR(MATCH($C$5&amp;"|"&amp;RIGHT("000000"&amp;1898,6),CalcRankKeyA,0),"")</f>
        <v/>
      </c>
      <c r="N1914" t="str">
        <f>IFERROR(MATCH($C$5&amp;"|"&amp;RIGHT("000000"&amp;1898,6),CalcRankKeyB,0),"")</f>
        <v/>
      </c>
    </row>
    <row r="1915" spans="1:14" x14ac:dyDescent="0.2">
      <c r="A1915" s="7">
        <v>1899</v>
      </c>
      <c r="B1915" s="8" t="str">
        <f t="shared" si="290"/>
        <v/>
      </c>
      <c r="C1915" s="8" t="str">
        <f t="shared" si="291"/>
        <v/>
      </c>
      <c r="D1915" s="8" t="str">
        <f t="shared" si="292"/>
        <v/>
      </c>
      <c r="E1915" s="9" t="str">
        <f t="shared" si="293"/>
        <v/>
      </c>
      <c r="F1915" s="9" t="str">
        <f t="shared" si="294"/>
        <v/>
      </c>
      <c r="G1915" s="9" t="str">
        <f t="shared" si="295"/>
        <v/>
      </c>
      <c r="H1915" s="9" t="str">
        <f t="shared" si="296"/>
        <v/>
      </c>
      <c r="I1915" s="10" t="str">
        <f t="shared" si="297"/>
        <v/>
      </c>
      <c r="J1915" s="10" t="str">
        <f t="shared" si="299"/>
        <v/>
      </c>
      <c r="K1915" s="11" t="str">
        <f t="shared" si="298"/>
        <v/>
      </c>
      <c r="M1915" t="str">
        <f>IFERROR(MATCH($C$5&amp;"|"&amp;RIGHT("000000"&amp;1899,6),CalcRankKeyA,0),"")</f>
        <v/>
      </c>
      <c r="N1915" t="str">
        <f>IFERROR(MATCH($C$5&amp;"|"&amp;RIGHT("000000"&amp;1899,6),CalcRankKeyB,0),"")</f>
        <v/>
      </c>
    </row>
    <row r="1916" spans="1:14" x14ac:dyDescent="0.2">
      <c r="A1916" s="12">
        <v>1900</v>
      </c>
      <c r="B1916" s="13" t="str">
        <f t="shared" si="290"/>
        <v/>
      </c>
      <c r="C1916" s="13" t="str">
        <f t="shared" si="291"/>
        <v/>
      </c>
      <c r="D1916" s="13" t="str">
        <f t="shared" si="292"/>
        <v/>
      </c>
      <c r="E1916" s="14" t="str">
        <f t="shared" si="293"/>
        <v/>
      </c>
      <c r="F1916" s="14" t="str">
        <f t="shared" si="294"/>
        <v/>
      </c>
      <c r="G1916" s="14" t="str">
        <f t="shared" si="295"/>
        <v/>
      </c>
      <c r="H1916" s="14" t="str">
        <f t="shared" si="296"/>
        <v/>
      </c>
      <c r="I1916" s="15" t="str">
        <f t="shared" si="297"/>
        <v/>
      </c>
      <c r="J1916" s="15" t="str">
        <f t="shared" si="299"/>
        <v/>
      </c>
      <c r="K1916" s="16" t="str">
        <f t="shared" si="298"/>
        <v/>
      </c>
      <c r="M1916" t="str">
        <f>IFERROR(MATCH($C$5&amp;"|"&amp;RIGHT("000000"&amp;1900,6),CalcRankKeyA,0),"")</f>
        <v/>
      </c>
      <c r="N1916" t="str">
        <f>IFERROR(MATCH($C$5&amp;"|"&amp;RIGHT("000000"&amp;1900,6),CalcRankKeyB,0),"")</f>
        <v/>
      </c>
    </row>
    <row r="1917" spans="1:14" x14ac:dyDescent="0.2">
      <c r="A1917" s="7">
        <v>1901</v>
      </c>
      <c r="B1917" s="8" t="str">
        <f t="shared" si="290"/>
        <v/>
      </c>
      <c r="C1917" s="8" t="str">
        <f t="shared" si="291"/>
        <v/>
      </c>
      <c r="D1917" s="8" t="str">
        <f t="shared" si="292"/>
        <v/>
      </c>
      <c r="E1917" s="9" t="str">
        <f t="shared" si="293"/>
        <v/>
      </c>
      <c r="F1917" s="9" t="str">
        <f t="shared" si="294"/>
        <v/>
      </c>
      <c r="G1917" s="9" t="str">
        <f t="shared" si="295"/>
        <v/>
      </c>
      <c r="H1917" s="9" t="str">
        <f t="shared" si="296"/>
        <v/>
      </c>
      <c r="I1917" s="10" t="str">
        <f t="shared" si="297"/>
        <v/>
      </c>
      <c r="J1917" s="10" t="str">
        <f t="shared" si="299"/>
        <v/>
      </c>
      <c r="K1917" s="11" t="str">
        <f t="shared" si="298"/>
        <v/>
      </c>
      <c r="M1917" t="str">
        <f>IFERROR(MATCH($C$5&amp;"|"&amp;RIGHT("000000"&amp;1901,6),CalcRankKeyA,0),"")</f>
        <v/>
      </c>
      <c r="N1917" t="str">
        <f>IFERROR(MATCH($C$5&amp;"|"&amp;RIGHT("000000"&amp;1901,6),CalcRankKeyB,0),"")</f>
        <v/>
      </c>
    </row>
    <row r="1918" spans="1:14" x14ac:dyDescent="0.2">
      <c r="A1918" s="12">
        <v>1902</v>
      </c>
      <c r="B1918" s="13" t="str">
        <f t="shared" si="290"/>
        <v/>
      </c>
      <c r="C1918" s="13" t="str">
        <f t="shared" si="291"/>
        <v/>
      </c>
      <c r="D1918" s="13" t="str">
        <f t="shared" si="292"/>
        <v/>
      </c>
      <c r="E1918" s="14" t="str">
        <f t="shared" si="293"/>
        <v/>
      </c>
      <c r="F1918" s="14" t="str">
        <f t="shared" si="294"/>
        <v/>
      </c>
      <c r="G1918" s="14" t="str">
        <f t="shared" si="295"/>
        <v/>
      </c>
      <c r="H1918" s="14" t="str">
        <f t="shared" si="296"/>
        <v/>
      </c>
      <c r="I1918" s="15" t="str">
        <f t="shared" si="297"/>
        <v/>
      </c>
      <c r="J1918" s="15" t="str">
        <f t="shared" si="299"/>
        <v/>
      </c>
      <c r="K1918" s="16" t="str">
        <f t="shared" si="298"/>
        <v/>
      </c>
      <c r="M1918" t="str">
        <f>IFERROR(MATCH($C$5&amp;"|"&amp;RIGHT("000000"&amp;1902,6),CalcRankKeyA,0),"")</f>
        <v/>
      </c>
      <c r="N1918" t="str">
        <f>IFERROR(MATCH($C$5&amp;"|"&amp;RIGHT("000000"&amp;1902,6),CalcRankKeyB,0),"")</f>
        <v/>
      </c>
    </row>
    <row r="1919" spans="1:14" x14ac:dyDescent="0.2">
      <c r="A1919" s="7">
        <v>1903</v>
      </c>
      <c r="B1919" s="8" t="str">
        <f t="shared" si="290"/>
        <v/>
      </c>
      <c r="C1919" s="8" t="str">
        <f t="shared" si="291"/>
        <v/>
      </c>
      <c r="D1919" s="8" t="str">
        <f t="shared" si="292"/>
        <v/>
      </c>
      <c r="E1919" s="9" t="str">
        <f t="shared" si="293"/>
        <v/>
      </c>
      <c r="F1919" s="9" t="str">
        <f t="shared" si="294"/>
        <v/>
      </c>
      <c r="G1919" s="9" t="str">
        <f t="shared" si="295"/>
        <v/>
      </c>
      <c r="H1919" s="9" t="str">
        <f t="shared" si="296"/>
        <v/>
      </c>
      <c r="I1919" s="10" t="str">
        <f t="shared" si="297"/>
        <v/>
      </c>
      <c r="J1919" s="10" t="str">
        <f t="shared" si="299"/>
        <v/>
      </c>
      <c r="K1919" s="11" t="str">
        <f t="shared" si="298"/>
        <v/>
      </c>
      <c r="M1919" t="str">
        <f>IFERROR(MATCH($C$5&amp;"|"&amp;RIGHT("000000"&amp;1903,6),CalcRankKeyA,0),"")</f>
        <v/>
      </c>
      <c r="N1919" t="str">
        <f>IFERROR(MATCH($C$5&amp;"|"&amp;RIGHT("000000"&amp;1903,6),CalcRankKeyB,0),"")</f>
        <v/>
      </c>
    </row>
    <row r="1920" spans="1:14" x14ac:dyDescent="0.2">
      <c r="A1920" s="12">
        <v>1904</v>
      </c>
      <c r="B1920" s="13" t="str">
        <f t="shared" si="290"/>
        <v/>
      </c>
      <c r="C1920" s="13" t="str">
        <f t="shared" si="291"/>
        <v/>
      </c>
      <c r="D1920" s="13" t="str">
        <f t="shared" si="292"/>
        <v/>
      </c>
      <c r="E1920" s="14" t="str">
        <f t="shared" si="293"/>
        <v/>
      </c>
      <c r="F1920" s="14" t="str">
        <f t="shared" si="294"/>
        <v/>
      </c>
      <c r="G1920" s="14" t="str">
        <f t="shared" si="295"/>
        <v/>
      </c>
      <c r="H1920" s="14" t="str">
        <f t="shared" si="296"/>
        <v/>
      </c>
      <c r="I1920" s="15" t="str">
        <f t="shared" si="297"/>
        <v/>
      </c>
      <c r="J1920" s="15" t="str">
        <f t="shared" si="299"/>
        <v/>
      </c>
      <c r="K1920" s="16" t="str">
        <f t="shared" si="298"/>
        <v/>
      </c>
      <c r="M1920" t="str">
        <f>IFERROR(MATCH($C$5&amp;"|"&amp;RIGHT("000000"&amp;1904,6),CalcRankKeyA,0),"")</f>
        <v/>
      </c>
      <c r="N1920" t="str">
        <f>IFERROR(MATCH($C$5&amp;"|"&amp;RIGHT("000000"&amp;1904,6),CalcRankKeyB,0),"")</f>
        <v/>
      </c>
    </row>
    <row r="1921" spans="1:14" x14ac:dyDescent="0.2">
      <c r="A1921" s="7">
        <v>1905</v>
      </c>
      <c r="B1921" s="8" t="str">
        <f t="shared" si="290"/>
        <v/>
      </c>
      <c r="C1921" s="8" t="str">
        <f t="shared" si="291"/>
        <v/>
      </c>
      <c r="D1921" s="8" t="str">
        <f t="shared" si="292"/>
        <v/>
      </c>
      <c r="E1921" s="9" t="str">
        <f t="shared" si="293"/>
        <v/>
      </c>
      <c r="F1921" s="9" t="str">
        <f t="shared" si="294"/>
        <v/>
      </c>
      <c r="G1921" s="9" t="str">
        <f t="shared" si="295"/>
        <v/>
      </c>
      <c r="H1921" s="9" t="str">
        <f t="shared" si="296"/>
        <v/>
      </c>
      <c r="I1921" s="10" t="str">
        <f t="shared" si="297"/>
        <v/>
      </c>
      <c r="J1921" s="10" t="str">
        <f t="shared" si="299"/>
        <v/>
      </c>
      <c r="K1921" s="11" t="str">
        <f t="shared" si="298"/>
        <v/>
      </c>
      <c r="M1921" t="str">
        <f>IFERROR(MATCH($C$5&amp;"|"&amp;RIGHT("000000"&amp;1905,6),CalcRankKeyA,0),"")</f>
        <v/>
      </c>
      <c r="N1921" t="str">
        <f>IFERROR(MATCH($C$5&amp;"|"&amp;RIGHT("000000"&amp;1905,6),CalcRankKeyB,0),"")</f>
        <v/>
      </c>
    </row>
    <row r="1922" spans="1:14" x14ac:dyDescent="0.2">
      <c r="A1922" s="12">
        <v>1906</v>
      </c>
      <c r="B1922" s="13" t="str">
        <f t="shared" si="290"/>
        <v/>
      </c>
      <c r="C1922" s="13" t="str">
        <f t="shared" si="291"/>
        <v/>
      </c>
      <c r="D1922" s="13" t="str">
        <f t="shared" si="292"/>
        <v/>
      </c>
      <c r="E1922" s="14" t="str">
        <f t="shared" si="293"/>
        <v/>
      </c>
      <c r="F1922" s="14" t="str">
        <f t="shared" si="294"/>
        <v/>
      </c>
      <c r="G1922" s="14" t="str">
        <f t="shared" si="295"/>
        <v/>
      </c>
      <c r="H1922" s="14" t="str">
        <f t="shared" si="296"/>
        <v/>
      </c>
      <c r="I1922" s="15" t="str">
        <f t="shared" si="297"/>
        <v/>
      </c>
      <c r="J1922" s="15" t="str">
        <f t="shared" si="299"/>
        <v/>
      </c>
      <c r="K1922" s="16" t="str">
        <f t="shared" si="298"/>
        <v/>
      </c>
      <c r="M1922" t="str">
        <f>IFERROR(MATCH($C$5&amp;"|"&amp;RIGHT("000000"&amp;1906,6),CalcRankKeyA,0),"")</f>
        <v/>
      </c>
      <c r="N1922" t="str">
        <f>IFERROR(MATCH($C$5&amp;"|"&amp;RIGHT("000000"&amp;1906,6),CalcRankKeyB,0),"")</f>
        <v/>
      </c>
    </row>
    <row r="1923" spans="1:14" x14ac:dyDescent="0.2">
      <c r="A1923" s="7">
        <v>1907</v>
      </c>
      <c r="B1923" s="8" t="str">
        <f t="shared" si="290"/>
        <v/>
      </c>
      <c r="C1923" s="8" t="str">
        <f t="shared" si="291"/>
        <v/>
      </c>
      <c r="D1923" s="8" t="str">
        <f t="shared" si="292"/>
        <v/>
      </c>
      <c r="E1923" s="9" t="str">
        <f t="shared" si="293"/>
        <v/>
      </c>
      <c r="F1923" s="9" t="str">
        <f t="shared" si="294"/>
        <v/>
      </c>
      <c r="G1923" s="9" t="str">
        <f t="shared" si="295"/>
        <v/>
      </c>
      <c r="H1923" s="9" t="str">
        <f t="shared" si="296"/>
        <v/>
      </c>
      <c r="I1923" s="10" t="str">
        <f t="shared" si="297"/>
        <v/>
      </c>
      <c r="J1923" s="10" t="str">
        <f t="shared" si="299"/>
        <v/>
      </c>
      <c r="K1923" s="11" t="str">
        <f t="shared" si="298"/>
        <v/>
      </c>
      <c r="M1923" t="str">
        <f>IFERROR(MATCH($C$5&amp;"|"&amp;RIGHT("000000"&amp;1907,6),CalcRankKeyA,0),"")</f>
        <v/>
      </c>
      <c r="N1923" t="str">
        <f>IFERROR(MATCH($C$5&amp;"|"&amp;RIGHT("000000"&amp;1907,6),CalcRankKeyB,0),"")</f>
        <v/>
      </c>
    </row>
    <row r="1924" spans="1:14" x14ac:dyDescent="0.2">
      <c r="A1924" s="12">
        <v>1908</v>
      </c>
      <c r="B1924" s="13" t="str">
        <f t="shared" si="290"/>
        <v/>
      </c>
      <c r="C1924" s="13" t="str">
        <f t="shared" si="291"/>
        <v/>
      </c>
      <c r="D1924" s="13" t="str">
        <f t="shared" si="292"/>
        <v/>
      </c>
      <c r="E1924" s="14" t="str">
        <f t="shared" si="293"/>
        <v/>
      </c>
      <c r="F1924" s="14" t="str">
        <f t="shared" si="294"/>
        <v/>
      </c>
      <c r="G1924" s="14" t="str">
        <f t="shared" si="295"/>
        <v/>
      </c>
      <c r="H1924" s="14" t="str">
        <f t="shared" si="296"/>
        <v/>
      </c>
      <c r="I1924" s="15" t="str">
        <f t="shared" si="297"/>
        <v/>
      </c>
      <c r="J1924" s="15" t="str">
        <f t="shared" si="299"/>
        <v/>
      </c>
      <c r="K1924" s="16" t="str">
        <f t="shared" si="298"/>
        <v/>
      </c>
      <c r="M1924" t="str">
        <f>IFERROR(MATCH($C$5&amp;"|"&amp;RIGHT("000000"&amp;1908,6),CalcRankKeyA,0),"")</f>
        <v/>
      </c>
      <c r="N1924" t="str">
        <f>IFERROR(MATCH($C$5&amp;"|"&amp;RIGHT("000000"&amp;1908,6),CalcRankKeyB,0),"")</f>
        <v/>
      </c>
    </row>
    <row r="1925" spans="1:14" x14ac:dyDescent="0.2">
      <c r="A1925" s="7">
        <v>1909</v>
      </c>
      <c r="B1925" s="8" t="str">
        <f t="shared" si="290"/>
        <v/>
      </c>
      <c r="C1925" s="8" t="str">
        <f t="shared" si="291"/>
        <v/>
      </c>
      <c r="D1925" s="8" t="str">
        <f t="shared" si="292"/>
        <v/>
      </c>
      <c r="E1925" s="9" t="str">
        <f t="shared" si="293"/>
        <v/>
      </c>
      <c r="F1925" s="9" t="str">
        <f t="shared" si="294"/>
        <v/>
      </c>
      <c r="G1925" s="9" t="str">
        <f t="shared" si="295"/>
        <v/>
      </c>
      <c r="H1925" s="9" t="str">
        <f t="shared" si="296"/>
        <v/>
      </c>
      <c r="I1925" s="10" t="str">
        <f t="shared" si="297"/>
        <v/>
      </c>
      <c r="J1925" s="10" t="str">
        <f t="shared" si="299"/>
        <v/>
      </c>
      <c r="K1925" s="11" t="str">
        <f t="shared" si="298"/>
        <v/>
      </c>
      <c r="M1925" t="str">
        <f>IFERROR(MATCH($C$5&amp;"|"&amp;RIGHT("000000"&amp;1909,6),CalcRankKeyA,0),"")</f>
        <v/>
      </c>
      <c r="N1925" t="str">
        <f>IFERROR(MATCH($C$5&amp;"|"&amp;RIGHT("000000"&amp;1909,6),CalcRankKeyB,0),"")</f>
        <v/>
      </c>
    </row>
    <row r="1926" spans="1:14" x14ac:dyDescent="0.2">
      <c r="A1926" s="12">
        <v>1910</v>
      </c>
      <c r="B1926" s="13" t="str">
        <f t="shared" si="290"/>
        <v/>
      </c>
      <c r="C1926" s="13" t="str">
        <f t="shared" si="291"/>
        <v/>
      </c>
      <c r="D1926" s="13" t="str">
        <f t="shared" si="292"/>
        <v/>
      </c>
      <c r="E1926" s="14" t="str">
        <f t="shared" si="293"/>
        <v/>
      </c>
      <c r="F1926" s="14" t="str">
        <f t="shared" si="294"/>
        <v/>
      </c>
      <c r="G1926" s="14" t="str">
        <f t="shared" si="295"/>
        <v/>
      </c>
      <c r="H1926" s="14" t="str">
        <f t="shared" si="296"/>
        <v/>
      </c>
      <c r="I1926" s="15" t="str">
        <f t="shared" si="297"/>
        <v/>
      </c>
      <c r="J1926" s="15" t="str">
        <f t="shared" si="299"/>
        <v/>
      </c>
      <c r="K1926" s="16" t="str">
        <f t="shared" si="298"/>
        <v/>
      </c>
      <c r="M1926" t="str">
        <f>IFERROR(MATCH($C$5&amp;"|"&amp;RIGHT("000000"&amp;1910,6),CalcRankKeyA,0),"")</f>
        <v/>
      </c>
      <c r="N1926" t="str">
        <f>IFERROR(MATCH($C$5&amp;"|"&amp;RIGHT("000000"&amp;1910,6),CalcRankKeyB,0),"")</f>
        <v/>
      </c>
    </row>
    <row r="1927" spans="1:14" x14ac:dyDescent="0.2">
      <c r="A1927" s="7">
        <v>1911</v>
      </c>
      <c r="B1927" s="8" t="str">
        <f t="shared" si="290"/>
        <v/>
      </c>
      <c r="C1927" s="8" t="str">
        <f t="shared" si="291"/>
        <v/>
      </c>
      <c r="D1927" s="8" t="str">
        <f t="shared" si="292"/>
        <v/>
      </c>
      <c r="E1927" s="9" t="str">
        <f t="shared" si="293"/>
        <v/>
      </c>
      <c r="F1927" s="9" t="str">
        <f t="shared" si="294"/>
        <v/>
      </c>
      <c r="G1927" s="9" t="str">
        <f t="shared" si="295"/>
        <v/>
      </c>
      <c r="H1927" s="9" t="str">
        <f t="shared" si="296"/>
        <v/>
      </c>
      <c r="I1927" s="10" t="str">
        <f t="shared" si="297"/>
        <v/>
      </c>
      <c r="J1927" s="10" t="str">
        <f t="shared" si="299"/>
        <v/>
      </c>
      <c r="K1927" s="11" t="str">
        <f t="shared" si="298"/>
        <v/>
      </c>
      <c r="M1927" t="str">
        <f>IFERROR(MATCH($C$5&amp;"|"&amp;RIGHT("000000"&amp;1911,6),CalcRankKeyA,0),"")</f>
        <v/>
      </c>
      <c r="N1927" t="str">
        <f>IFERROR(MATCH($C$5&amp;"|"&amp;RIGHT("000000"&amp;1911,6),CalcRankKeyB,0),"")</f>
        <v/>
      </c>
    </row>
    <row r="1928" spans="1:14" x14ac:dyDescent="0.2">
      <c r="A1928" s="12">
        <v>1912</v>
      </c>
      <c r="B1928" s="13" t="str">
        <f t="shared" si="290"/>
        <v/>
      </c>
      <c r="C1928" s="13" t="str">
        <f t="shared" si="291"/>
        <v/>
      </c>
      <c r="D1928" s="13" t="str">
        <f t="shared" si="292"/>
        <v/>
      </c>
      <c r="E1928" s="14" t="str">
        <f t="shared" si="293"/>
        <v/>
      </c>
      <c r="F1928" s="14" t="str">
        <f t="shared" si="294"/>
        <v/>
      </c>
      <c r="G1928" s="14" t="str">
        <f t="shared" si="295"/>
        <v/>
      </c>
      <c r="H1928" s="14" t="str">
        <f t="shared" si="296"/>
        <v/>
      </c>
      <c r="I1928" s="15" t="str">
        <f t="shared" si="297"/>
        <v/>
      </c>
      <c r="J1928" s="15" t="str">
        <f t="shared" si="299"/>
        <v/>
      </c>
      <c r="K1928" s="16" t="str">
        <f t="shared" si="298"/>
        <v/>
      </c>
      <c r="M1928" t="str">
        <f>IFERROR(MATCH($C$5&amp;"|"&amp;RIGHT("000000"&amp;1912,6),CalcRankKeyA,0),"")</f>
        <v/>
      </c>
      <c r="N1928" t="str">
        <f>IFERROR(MATCH($C$5&amp;"|"&amp;RIGHT("000000"&amp;1912,6),CalcRankKeyB,0),"")</f>
        <v/>
      </c>
    </row>
    <row r="1929" spans="1:14" x14ac:dyDescent="0.2">
      <c r="A1929" s="7">
        <v>1913</v>
      </c>
      <c r="B1929" s="8" t="str">
        <f t="shared" si="290"/>
        <v/>
      </c>
      <c r="C1929" s="8" t="str">
        <f t="shared" si="291"/>
        <v/>
      </c>
      <c r="D1929" s="8" t="str">
        <f t="shared" si="292"/>
        <v/>
      </c>
      <c r="E1929" s="9" t="str">
        <f t="shared" si="293"/>
        <v/>
      </c>
      <c r="F1929" s="9" t="str">
        <f t="shared" si="294"/>
        <v/>
      </c>
      <c r="G1929" s="9" t="str">
        <f t="shared" si="295"/>
        <v/>
      </c>
      <c r="H1929" s="9" t="str">
        <f t="shared" si="296"/>
        <v/>
      </c>
      <c r="I1929" s="10" t="str">
        <f t="shared" si="297"/>
        <v/>
      </c>
      <c r="J1929" s="10" t="str">
        <f t="shared" si="299"/>
        <v/>
      </c>
      <c r="K1929" s="11" t="str">
        <f t="shared" si="298"/>
        <v/>
      </c>
      <c r="M1929" t="str">
        <f>IFERROR(MATCH($C$5&amp;"|"&amp;RIGHT("000000"&amp;1913,6),CalcRankKeyA,0),"")</f>
        <v/>
      </c>
      <c r="N1929" t="str">
        <f>IFERROR(MATCH($C$5&amp;"|"&amp;RIGHT("000000"&amp;1913,6),CalcRankKeyB,0),"")</f>
        <v/>
      </c>
    </row>
    <row r="1930" spans="1:14" x14ac:dyDescent="0.2">
      <c r="A1930" s="12">
        <v>1914</v>
      </c>
      <c r="B1930" s="13" t="str">
        <f t="shared" si="290"/>
        <v/>
      </c>
      <c r="C1930" s="13" t="str">
        <f t="shared" si="291"/>
        <v/>
      </c>
      <c r="D1930" s="13" t="str">
        <f t="shared" si="292"/>
        <v/>
      </c>
      <c r="E1930" s="14" t="str">
        <f t="shared" si="293"/>
        <v/>
      </c>
      <c r="F1930" s="14" t="str">
        <f t="shared" si="294"/>
        <v/>
      </c>
      <c r="G1930" s="14" t="str">
        <f t="shared" si="295"/>
        <v/>
      </c>
      <c r="H1930" s="14" t="str">
        <f t="shared" si="296"/>
        <v/>
      </c>
      <c r="I1930" s="15" t="str">
        <f t="shared" si="297"/>
        <v/>
      </c>
      <c r="J1930" s="15" t="str">
        <f t="shared" si="299"/>
        <v/>
      </c>
      <c r="K1930" s="16" t="str">
        <f t="shared" si="298"/>
        <v/>
      </c>
      <c r="M1930" t="str">
        <f>IFERROR(MATCH($C$5&amp;"|"&amp;RIGHT("000000"&amp;1914,6),CalcRankKeyA,0),"")</f>
        <v/>
      </c>
      <c r="N1930" t="str">
        <f>IFERROR(MATCH($C$5&amp;"|"&amp;RIGHT("000000"&amp;1914,6),CalcRankKeyB,0),"")</f>
        <v/>
      </c>
    </row>
    <row r="1931" spans="1:14" x14ac:dyDescent="0.2">
      <c r="A1931" s="7">
        <v>1915</v>
      </c>
      <c r="B1931" s="8" t="str">
        <f t="shared" si="290"/>
        <v/>
      </c>
      <c r="C1931" s="8" t="str">
        <f t="shared" si="291"/>
        <v/>
      </c>
      <c r="D1931" s="8" t="str">
        <f t="shared" si="292"/>
        <v/>
      </c>
      <c r="E1931" s="9" t="str">
        <f t="shared" si="293"/>
        <v/>
      </c>
      <c r="F1931" s="9" t="str">
        <f t="shared" si="294"/>
        <v/>
      </c>
      <c r="G1931" s="9" t="str">
        <f t="shared" si="295"/>
        <v/>
      </c>
      <c r="H1931" s="9" t="str">
        <f t="shared" si="296"/>
        <v/>
      </c>
      <c r="I1931" s="10" t="str">
        <f t="shared" si="297"/>
        <v/>
      </c>
      <c r="J1931" s="10" t="str">
        <f t="shared" si="299"/>
        <v/>
      </c>
      <c r="K1931" s="11" t="str">
        <f t="shared" si="298"/>
        <v/>
      </c>
      <c r="M1931" t="str">
        <f>IFERROR(MATCH($C$5&amp;"|"&amp;RIGHT("000000"&amp;1915,6),CalcRankKeyA,0),"")</f>
        <v/>
      </c>
      <c r="N1931" t="str">
        <f>IFERROR(MATCH($C$5&amp;"|"&amp;RIGHT("000000"&amp;1915,6),CalcRankKeyB,0),"")</f>
        <v/>
      </c>
    </row>
    <row r="1932" spans="1:14" x14ac:dyDescent="0.2">
      <c r="A1932" s="12">
        <v>1916</v>
      </c>
      <c r="B1932" s="13" t="str">
        <f t="shared" si="290"/>
        <v/>
      </c>
      <c r="C1932" s="13" t="str">
        <f t="shared" si="291"/>
        <v/>
      </c>
      <c r="D1932" s="13" t="str">
        <f t="shared" si="292"/>
        <v/>
      </c>
      <c r="E1932" s="14" t="str">
        <f t="shared" si="293"/>
        <v/>
      </c>
      <c r="F1932" s="14" t="str">
        <f t="shared" si="294"/>
        <v/>
      </c>
      <c r="G1932" s="14" t="str">
        <f t="shared" si="295"/>
        <v/>
      </c>
      <c r="H1932" s="14" t="str">
        <f t="shared" si="296"/>
        <v/>
      </c>
      <c r="I1932" s="15" t="str">
        <f t="shared" si="297"/>
        <v/>
      </c>
      <c r="J1932" s="15" t="str">
        <f t="shared" si="299"/>
        <v/>
      </c>
      <c r="K1932" s="16" t="str">
        <f t="shared" si="298"/>
        <v/>
      </c>
      <c r="M1932" t="str">
        <f>IFERROR(MATCH($C$5&amp;"|"&amp;RIGHT("000000"&amp;1916,6),CalcRankKeyA,0),"")</f>
        <v/>
      </c>
      <c r="N1932" t="str">
        <f>IFERROR(MATCH($C$5&amp;"|"&amp;RIGHT("000000"&amp;1916,6),CalcRankKeyB,0),"")</f>
        <v/>
      </c>
    </row>
    <row r="1933" spans="1:14" x14ac:dyDescent="0.2">
      <c r="A1933" s="7">
        <v>1917</v>
      </c>
      <c r="B1933" s="8" t="str">
        <f t="shared" si="290"/>
        <v/>
      </c>
      <c r="C1933" s="8" t="str">
        <f t="shared" si="291"/>
        <v/>
      </c>
      <c r="D1933" s="8" t="str">
        <f t="shared" si="292"/>
        <v/>
      </c>
      <c r="E1933" s="9" t="str">
        <f t="shared" si="293"/>
        <v/>
      </c>
      <c r="F1933" s="9" t="str">
        <f t="shared" si="294"/>
        <v/>
      </c>
      <c r="G1933" s="9" t="str">
        <f t="shared" si="295"/>
        <v/>
      </c>
      <c r="H1933" s="9" t="str">
        <f t="shared" si="296"/>
        <v/>
      </c>
      <c r="I1933" s="10" t="str">
        <f t="shared" si="297"/>
        <v/>
      </c>
      <c r="J1933" s="10" t="str">
        <f t="shared" si="299"/>
        <v/>
      </c>
      <c r="K1933" s="11" t="str">
        <f t="shared" si="298"/>
        <v/>
      </c>
      <c r="M1933" t="str">
        <f>IFERROR(MATCH($C$5&amp;"|"&amp;RIGHT("000000"&amp;1917,6),CalcRankKeyA,0),"")</f>
        <v/>
      </c>
      <c r="N1933" t="str">
        <f>IFERROR(MATCH($C$5&amp;"|"&amp;RIGHT("000000"&amp;1917,6),CalcRankKeyB,0),"")</f>
        <v/>
      </c>
    </row>
    <row r="1934" spans="1:14" x14ac:dyDescent="0.2">
      <c r="A1934" s="12">
        <v>1918</v>
      </c>
      <c r="B1934" s="13" t="str">
        <f t="shared" si="290"/>
        <v/>
      </c>
      <c r="C1934" s="13" t="str">
        <f t="shared" si="291"/>
        <v/>
      </c>
      <c r="D1934" s="13" t="str">
        <f t="shared" si="292"/>
        <v/>
      </c>
      <c r="E1934" s="14" t="str">
        <f t="shared" si="293"/>
        <v/>
      </c>
      <c r="F1934" s="14" t="str">
        <f t="shared" si="294"/>
        <v/>
      </c>
      <c r="G1934" s="14" t="str">
        <f t="shared" si="295"/>
        <v/>
      </c>
      <c r="H1934" s="14" t="str">
        <f t="shared" si="296"/>
        <v/>
      </c>
      <c r="I1934" s="15" t="str">
        <f t="shared" si="297"/>
        <v/>
      </c>
      <c r="J1934" s="15" t="str">
        <f t="shared" si="299"/>
        <v/>
      </c>
      <c r="K1934" s="16" t="str">
        <f t="shared" si="298"/>
        <v/>
      </c>
      <c r="M1934" t="str">
        <f>IFERROR(MATCH($C$5&amp;"|"&amp;RIGHT("000000"&amp;1918,6),CalcRankKeyA,0),"")</f>
        <v/>
      </c>
      <c r="N1934" t="str">
        <f>IFERROR(MATCH($C$5&amp;"|"&amp;RIGHT("000000"&amp;1918,6),CalcRankKeyB,0),"")</f>
        <v/>
      </c>
    </row>
    <row r="1935" spans="1:14" x14ac:dyDescent="0.2">
      <c r="A1935" s="7">
        <v>1919</v>
      </c>
      <c r="B1935" s="8" t="str">
        <f t="shared" si="290"/>
        <v/>
      </c>
      <c r="C1935" s="8" t="str">
        <f t="shared" si="291"/>
        <v/>
      </c>
      <c r="D1935" s="8" t="str">
        <f t="shared" si="292"/>
        <v/>
      </c>
      <c r="E1935" s="9" t="str">
        <f t="shared" si="293"/>
        <v/>
      </c>
      <c r="F1935" s="9" t="str">
        <f t="shared" si="294"/>
        <v/>
      </c>
      <c r="G1935" s="9" t="str">
        <f t="shared" si="295"/>
        <v/>
      </c>
      <c r="H1935" s="9" t="str">
        <f t="shared" si="296"/>
        <v/>
      </c>
      <c r="I1935" s="10" t="str">
        <f t="shared" si="297"/>
        <v/>
      </c>
      <c r="J1935" s="10" t="str">
        <f t="shared" si="299"/>
        <v/>
      </c>
      <c r="K1935" s="11" t="str">
        <f t="shared" si="298"/>
        <v/>
      </c>
      <c r="M1935" t="str">
        <f>IFERROR(MATCH($C$5&amp;"|"&amp;RIGHT("000000"&amp;1919,6),CalcRankKeyA,0),"")</f>
        <v/>
      </c>
      <c r="N1935" t="str">
        <f>IFERROR(MATCH($C$5&amp;"|"&amp;RIGHT("000000"&amp;1919,6),CalcRankKeyB,0),"")</f>
        <v/>
      </c>
    </row>
    <row r="1936" spans="1:14" x14ac:dyDescent="0.2">
      <c r="A1936" s="12">
        <v>1920</v>
      </c>
      <c r="B1936" s="13" t="str">
        <f t="shared" si="290"/>
        <v/>
      </c>
      <c r="C1936" s="13" t="str">
        <f t="shared" si="291"/>
        <v/>
      </c>
      <c r="D1936" s="13" t="str">
        <f t="shared" si="292"/>
        <v/>
      </c>
      <c r="E1936" s="14" t="str">
        <f t="shared" si="293"/>
        <v/>
      </c>
      <c r="F1936" s="14" t="str">
        <f t="shared" si="294"/>
        <v/>
      </c>
      <c r="G1936" s="14" t="str">
        <f t="shared" si="295"/>
        <v/>
      </c>
      <c r="H1936" s="14" t="str">
        <f t="shared" si="296"/>
        <v/>
      </c>
      <c r="I1936" s="15" t="str">
        <f t="shared" si="297"/>
        <v/>
      </c>
      <c r="J1936" s="15" t="str">
        <f t="shared" si="299"/>
        <v/>
      </c>
      <c r="K1936" s="16" t="str">
        <f t="shared" si="298"/>
        <v/>
      </c>
      <c r="M1936" t="str">
        <f>IFERROR(MATCH($C$5&amp;"|"&amp;RIGHT("000000"&amp;1920,6),CalcRankKeyA,0),"")</f>
        <v/>
      </c>
      <c r="N1936" t="str">
        <f>IFERROR(MATCH($C$5&amp;"|"&amp;RIGHT("000000"&amp;1920,6),CalcRankKeyB,0),"")</f>
        <v/>
      </c>
    </row>
    <row r="1937" spans="1:14" x14ac:dyDescent="0.2">
      <c r="A1937" s="7">
        <v>1921</v>
      </c>
      <c r="B1937" s="8" t="str">
        <f t="shared" ref="B1937:B2000" si="300">IF(AND($M1937="",$N1937=""),"",IF($M1937&lt;&gt;"",INDEX(CalcDateA,$M1937),INDEX(CalcDateB,$N1937)))</f>
        <v/>
      </c>
      <c r="C1937" s="8" t="str">
        <f t="shared" ref="C1937:C2000" si="301">IF($M1937&lt;&gt;"","خرید سبد",IF($N1937&lt;&gt;"",IF(N(INDEX(CalcDepB,$N1937))&gt;0,"دریافت بانکی","پرداخت بانکی"),""))</f>
        <v/>
      </c>
      <c r="D1937" s="8" t="str">
        <f t="shared" ref="D1937:D2000" si="302">IF($M1937&lt;&gt;"",IF(INDEX(CalcDocA,$M1937)="","—",INDEX(CalcDocA,$M1937)),IF($N1937&lt;&gt;"",INDEX(CalcBankB,$N1937),""))</f>
        <v/>
      </c>
      <c r="E1937" s="9" t="str">
        <f t="shared" ref="E1937:E2000" si="303">IF($N1937&lt;&gt;"",IF(INDEX(CalcDepB,$N1937)=0,"",INDEX(CalcDepB,$N1937)),"")</f>
        <v/>
      </c>
      <c r="F1937" s="9" t="str">
        <f t="shared" ref="F1937:F2000" si="304">IF($M1937&lt;&gt;"",IF(INDEX(CalcQtyA,$M1937)=0,"",INDEX(CalcQtyA,$M1937)),"")</f>
        <v/>
      </c>
      <c r="G1937" s="9" t="str">
        <f t="shared" ref="G1937:G2000" si="305">IF($M1937&lt;&gt;"",IF(INDEX(CalcPriceA,$M1937)=0,"",INDEX(CalcPriceA,$M1937)),"")</f>
        <v/>
      </c>
      <c r="H1937" s="9" t="str">
        <f t="shared" ref="H1937:H2000" si="306">IF($N1937&lt;&gt;"",IF(INDEX(CalcWitB,$N1937)=0,"",INDEX(CalcWitB,$N1937)),"")</f>
        <v/>
      </c>
      <c r="I1937" s="10" t="str">
        <f t="shared" ref="I1937:I2000" si="307">IF($M1937&lt;&gt;"",INDEX(CalcAmtA,$M1937),"")</f>
        <v/>
      </c>
      <c r="J1937" s="10" t="str">
        <f t="shared" si="299"/>
        <v/>
      </c>
      <c r="K1937" s="11" t="str">
        <f t="shared" ref="K1937:K2000" si="308">IF($M1937&lt;&gt;"",IF(INDEX(CalcNoteA,$M1937)="","—",INDEX(CalcNoteA,$M1937)),IF($N1937&lt;&gt;"",IF(INDEX(CalcNoteB,$N1937)="","—",INDEX(CalcNoteB,$N1937)),""))</f>
        <v/>
      </c>
      <c r="M1937" t="str">
        <f>IFERROR(MATCH($C$5&amp;"|"&amp;RIGHT("000000"&amp;1921,6),CalcRankKeyA,0),"")</f>
        <v/>
      </c>
      <c r="N1937" t="str">
        <f>IFERROR(MATCH($C$5&amp;"|"&amp;RIGHT("000000"&amp;1921,6),CalcRankKeyB,0),"")</f>
        <v/>
      </c>
    </row>
    <row r="1938" spans="1:14" x14ac:dyDescent="0.2">
      <c r="A1938" s="12">
        <v>1922</v>
      </c>
      <c r="B1938" s="13" t="str">
        <f t="shared" si="300"/>
        <v/>
      </c>
      <c r="C1938" s="13" t="str">
        <f t="shared" si="301"/>
        <v/>
      </c>
      <c r="D1938" s="13" t="str">
        <f t="shared" si="302"/>
        <v/>
      </c>
      <c r="E1938" s="14" t="str">
        <f t="shared" si="303"/>
        <v/>
      </c>
      <c r="F1938" s="14" t="str">
        <f t="shared" si="304"/>
        <v/>
      </c>
      <c r="G1938" s="14" t="str">
        <f t="shared" si="305"/>
        <v/>
      </c>
      <c r="H1938" s="14" t="str">
        <f t="shared" si="306"/>
        <v/>
      </c>
      <c r="I1938" s="15" t="str">
        <f t="shared" si="307"/>
        <v/>
      </c>
      <c r="J1938" s="15" t="str">
        <f t="shared" ref="J1938:J2001" si="309">IF($B1938="","",IF($J1937="",$C$8,$J1937)+IF($I1938="",0,$I1938)+IF($E1938="",0,$E1938)-IF($H1938="",0,$H1938))</f>
        <v/>
      </c>
      <c r="K1938" s="16" t="str">
        <f t="shared" si="308"/>
        <v/>
      </c>
      <c r="M1938" t="str">
        <f>IFERROR(MATCH($C$5&amp;"|"&amp;RIGHT("000000"&amp;1922,6),CalcRankKeyA,0),"")</f>
        <v/>
      </c>
      <c r="N1938" t="str">
        <f>IFERROR(MATCH($C$5&amp;"|"&amp;RIGHT("000000"&amp;1922,6),CalcRankKeyB,0),"")</f>
        <v/>
      </c>
    </row>
    <row r="1939" spans="1:14" x14ac:dyDescent="0.2">
      <c r="A1939" s="7">
        <v>1923</v>
      </c>
      <c r="B1939" s="8" t="str">
        <f t="shared" si="300"/>
        <v/>
      </c>
      <c r="C1939" s="8" t="str">
        <f t="shared" si="301"/>
        <v/>
      </c>
      <c r="D1939" s="8" t="str">
        <f t="shared" si="302"/>
        <v/>
      </c>
      <c r="E1939" s="9" t="str">
        <f t="shared" si="303"/>
        <v/>
      </c>
      <c r="F1939" s="9" t="str">
        <f t="shared" si="304"/>
        <v/>
      </c>
      <c r="G1939" s="9" t="str">
        <f t="shared" si="305"/>
        <v/>
      </c>
      <c r="H1939" s="9" t="str">
        <f t="shared" si="306"/>
        <v/>
      </c>
      <c r="I1939" s="10" t="str">
        <f t="shared" si="307"/>
        <v/>
      </c>
      <c r="J1939" s="10" t="str">
        <f t="shared" si="309"/>
        <v/>
      </c>
      <c r="K1939" s="11" t="str">
        <f t="shared" si="308"/>
        <v/>
      </c>
      <c r="M1939" t="str">
        <f>IFERROR(MATCH($C$5&amp;"|"&amp;RIGHT("000000"&amp;1923,6),CalcRankKeyA,0),"")</f>
        <v/>
      </c>
      <c r="N1939" t="str">
        <f>IFERROR(MATCH($C$5&amp;"|"&amp;RIGHT("000000"&amp;1923,6),CalcRankKeyB,0),"")</f>
        <v/>
      </c>
    </row>
    <row r="1940" spans="1:14" x14ac:dyDescent="0.2">
      <c r="A1940" s="12">
        <v>1924</v>
      </c>
      <c r="B1940" s="13" t="str">
        <f t="shared" si="300"/>
        <v/>
      </c>
      <c r="C1940" s="13" t="str">
        <f t="shared" si="301"/>
        <v/>
      </c>
      <c r="D1940" s="13" t="str">
        <f t="shared" si="302"/>
        <v/>
      </c>
      <c r="E1940" s="14" t="str">
        <f t="shared" si="303"/>
        <v/>
      </c>
      <c r="F1940" s="14" t="str">
        <f t="shared" si="304"/>
        <v/>
      </c>
      <c r="G1940" s="14" t="str">
        <f t="shared" si="305"/>
        <v/>
      </c>
      <c r="H1940" s="14" t="str">
        <f t="shared" si="306"/>
        <v/>
      </c>
      <c r="I1940" s="15" t="str">
        <f t="shared" si="307"/>
        <v/>
      </c>
      <c r="J1940" s="15" t="str">
        <f t="shared" si="309"/>
        <v/>
      </c>
      <c r="K1940" s="16" t="str">
        <f t="shared" si="308"/>
        <v/>
      </c>
      <c r="M1940" t="str">
        <f>IFERROR(MATCH($C$5&amp;"|"&amp;RIGHT("000000"&amp;1924,6),CalcRankKeyA,0),"")</f>
        <v/>
      </c>
      <c r="N1940" t="str">
        <f>IFERROR(MATCH($C$5&amp;"|"&amp;RIGHT("000000"&amp;1924,6),CalcRankKeyB,0),"")</f>
        <v/>
      </c>
    </row>
    <row r="1941" spans="1:14" x14ac:dyDescent="0.2">
      <c r="A1941" s="7">
        <v>1925</v>
      </c>
      <c r="B1941" s="8" t="str">
        <f t="shared" si="300"/>
        <v/>
      </c>
      <c r="C1941" s="8" t="str">
        <f t="shared" si="301"/>
        <v/>
      </c>
      <c r="D1941" s="8" t="str">
        <f t="shared" si="302"/>
        <v/>
      </c>
      <c r="E1941" s="9" t="str">
        <f t="shared" si="303"/>
        <v/>
      </c>
      <c r="F1941" s="9" t="str">
        <f t="shared" si="304"/>
        <v/>
      </c>
      <c r="G1941" s="9" t="str">
        <f t="shared" si="305"/>
        <v/>
      </c>
      <c r="H1941" s="9" t="str">
        <f t="shared" si="306"/>
        <v/>
      </c>
      <c r="I1941" s="10" t="str">
        <f t="shared" si="307"/>
        <v/>
      </c>
      <c r="J1941" s="10" t="str">
        <f t="shared" si="309"/>
        <v/>
      </c>
      <c r="K1941" s="11" t="str">
        <f t="shared" si="308"/>
        <v/>
      </c>
      <c r="M1941" t="str">
        <f>IFERROR(MATCH($C$5&amp;"|"&amp;RIGHT("000000"&amp;1925,6),CalcRankKeyA,0),"")</f>
        <v/>
      </c>
      <c r="N1941" t="str">
        <f>IFERROR(MATCH($C$5&amp;"|"&amp;RIGHT("000000"&amp;1925,6),CalcRankKeyB,0),"")</f>
        <v/>
      </c>
    </row>
    <row r="1942" spans="1:14" x14ac:dyDescent="0.2">
      <c r="A1942" s="12">
        <v>1926</v>
      </c>
      <c r="B1942" s="13" t="str">
        <f t="shared" si="300"/>
        <v/>
      </c>
      <c r="C1942" s="13" t="str">
        <f t="shared" si="301"/>
        <v/>
      </c>
      <c r="D1942" s="13" t="str">
        <f t="shared" si="302"/>
        <v/>
      </c>
      <c r="E1942" s="14" t="str">
        <f t="shared" si="303"/>
        <v/>
      </c>
      <c r="F1942" s="14" t="str">
        <f t="shared" si="304"/>
        <v/>
      </c>
      <c r="G1942" s="14" t="str">
        <f t="shared" si="305"/>
        <v/>
      </c>
      <c r="H1942" s="14" t="str">
        <f t="shared" si="306"/>
        <v/>
      </c>
      <c r="I1942" s="15" t="str">
        <f t="shared" si="307"/>
        <v/>
      </c>
      <c r="J1942" s="15" t="str">
        <f t="shared" si="309"/>
        <v/>
      </c>
      <c r="K1942" s="16" t="str">
        <f t="shared" si="308"/>
        <v/>
      </c>
      <c r="M1942" t="str">
        <f>IFERROR(MATCH($C$5&amp;"|"&amp;RIGHT("000000"&amp;1926,6),CalcRankKeyA,0),"")</f>
        <v/>
      </c>
      <c r="N1942" t="str">
        <f>IFERROR(MATCH($C$5&amp;"|"&amp;RIGHT("000000"&amp;1926,6),CalcRankKeyB,0),"")</f>
        <v/>
      </c>
    </row>
    <row r="1943" spans="1:14" x14ac:dyDescent="0.2">
      <c r="A1943" s="7">
        <v>1927</v>
      </c>
      <c r="B1943" s="8" t="str">
        <f t="shared" si="300"/>
        <v/>
      </c>
      <c r="C1943" s="8" t="str">
        <f t="shared" si="301"/>
        <v/>
      </c>
      <c r="D1943" s="8" t="str">
        <f t="shared" si="302"/>
        <v/>
      </c>
      <c r="E1943" s="9" t="str">
        <f t="shared" si="303"/>
        <v/>
      </c>
      <c r="F1943" s="9" t="str">
        <f t="shared" si="304"/>
        <v/>
      </c>
      <c r="G1943" s="9" t="str">
        <f t="shared" si="305"/>
        <v/>
      </c>
      <c r="H1943" s="9" t="str">
        <f t="shared" si="306"/>
        <v/>
      </c>
      <c r="I1943" s="10" t="str">
        <f t="shared" si="307"/>
        <v/>
      </c>
      <c r="J1943" s="10" t="str">
        <f t="shared" si="309"/>
        <v/>
      </c>
      <c r="K1943" s="11" t="str">
        <f t="shared" si="308"/>
        <v/>
      </c>
      <c r="M1943" t="str">
        <f>IFERROR(MATCH($C$5&amp;"|"&amp;RIGHT("000000"&amp;1927,6),CalcRankKeyA,0),"")</f>
        <v/>
      </c>
      <c r="N1943" t="str">
        <f>IFERROR(MATCH($C$5&amp;"|"&amp;RIGHT("000000"&amp;1927,6),CalcRankKeyB,0),"")</f>
        <v/>
      </c>
    </row>
    <row r="1944" spans="1:14" x14ac:dyDescent="0.2">
      <c r="A1944" s="12">
        <v>1928</v>
      </c>
      <c r="B1944" s="13" t="str">
        <f t="shared" si="300"/>
        <v/>
      </c>
      <c r="C1944" s="13" t="str">
        <f t="shared" si="301"/>
        <v/>
      </c>
      <c r="D1944" s="13" t="str">
        <f t="shared" si="302"/>
        <v/>
      </c>
      <c r="E1944" s="14" t="str">
        <f t="shared" si="303"/>
        <v/>
      </c>
      <c r="F1944" s="14" t="str">
        <f t="shared" si="304"/>
        <v/>
      </c>
      <c r="G1944" s="14" t="str">
        <f t="shared" si="305"/>
        <v/>
      </c>
      <c r="H1944" s="14" t="str">
        <f t="shared" si="306"/>
        <v/>
      </c>
      <c r="I1944" s="15" t="str">
        <f t="shared" si="307"/>
        <v/>
      </c>
      <c r="J1944" s="15" t="str">
        <f t="shared" si="309"/>
        <v/>
      </c>
      <c r="K1944" s="16" t="str">
        <f t="shared" si="308"/>
        <v/>
      </c>
      <c r="M1944" t="str">
        <f>IFERROR(MATCH($C$5&amp;"|"&amp;RIGHT("000000"&amp;1928,6),CalcRankKeyA,0),"")</f>
        <v/>
      </c>
      <c r="N1944" t="str">
        <f>IFERROR(MATCH($C$5&amp;"|"&amp;RIGHT("000000"&amp;1928,6),CalcRankKeyB,0),"")</f>
        <v/>
      </c>
    </row>
    <row r="1945" spans="1:14" x14ac:dyDescent="0.2">
      <c r="A1945" s="7">
        <v>1929</v>
      </c>
      <c r="B1945" s="8" t="str">
        <f t="shared" si="300"/>
        <v/>
      </c>
      <c r="C1945" s="8" t="str">
        <f t="shared" si="301"/>
        <v/>
      </c>
      <c r="D1945" s="8" t="str">
        <f t="shared" si="302"/>
        <v/>
      </c>
      <c r="E1945" s="9" t="str">
        <f t="shared" si="303"/>
        <v/>
      </c>
      <c r="F1945" s="9" t="str">
        <f t="shared" si="304"/>
        <v/>
      </c>
      <c r="G1945" s="9" t="str">
        <f t="shared" si="305"/>
        <v/>
      </c>
      <c r="H1945" s="9" t="str">
        <f t="shared" si="306"/>
        <v/>
      </c>
      <c r="I1945" s="10" t="str">
        <f t="shared" si="307"/>
        <v/>
      </c>
      <c r="J1945" s="10" t="str">
        <f t="shared" si="309"/>
        <v/>
      </c>
      <c r="K1945" s="11" t="str">
        <f t="shared" si="308"/>
        <v/>
      </c>
      <c r="M1945" t="str">
        <f>IFERROR(MATCH($C$5&amp;"|"&amp;RIGHT("000000"&amp;1929,6),CalcRankKeyA,0),"")</f>
        <v/>
      </c>
      <c r="N1945" t="str">
        <f>IFERROR(MATCH($C$5&amp;"|"&amp;RIGHT("000000"&amp;1929,6),CalcRankKeyB,0),"")</f>
        <v/>
      </c>
    </row>
    <row r="1946" spans="1:14" x14ac:dyDescent="0.2">
      <c r="A1946" s="12">
        <v>1930</v>
      </c>
      <c r="B1946" s="13" t="str">
        <f t="shared" si="300"/>
        <v/>
      </c>
      <c r="C1946" s="13" t="str">
        <f t="shared" si="301"/>
        <v/>
      </c>
      <c r="D1946" s="13" t="str">
        <f t="shared" si="302"/>
        <v/>
      </c>
      <c r="E1946" s="14" t="str">
        <f t="shared" si="303"/>
        <v/>
      </c>
      <c r="F1946" s="14" t="str">
        <f t="shared" si="304"/>
        <v/>
      </c>
      <c r="G1946" s="14" t="str">
        <f t="shared" si="305"/>
        <v/>
      </c>
      <c r="H1946" s="14" t="str">
        <f t="shared" si="306"/>
        <v/>
      </c>
      <c r="I1946" s="15" t="str">
        <f t="shared" si="307"/>
        <v/>
      </c>
      <c r="J1946" s="15" t="str">
        <f t="shared" si="309"/>
        <v/>
      </c>
      <c r="K1946" s="16" t="str">
        <f t="shared" si="308"/>
        <v/>
      </c>
      <c r="M1946" t="str">
        <f>IFERROR(MATCH($C$5&amp;"|"&amp;RIGHT("000000"&amp;1930,6),CalcRankKeyA,0),"")</f>
        <v/>
      </c>
      <c r="N1946" t="str">
        <f>IFERROR(MATCH($C$5&amp;"|"&amp;RIGHT("000000"&amp;1930,6),CalcRankKeyB,0),"")</f>
        <v/>
      </c>
    </row>
    <row r="1947" spans="1:14" x14ac:dyDescent="0.2">
      <c r="A1947" s="7">
        <v>1931</v>
      </c>
      <c r="B1947" s="8" t="str">
        <f t="shared" si="300"/>
        <v/>
      </c>
      <c r="C1947" s="8" t="str">
        <f t="shared" si="301"/>
        <v/>
      </c>
      <c r="D1947" s="8" t="str">
        <f t="shared" si="302"/>
        <v/>
      </c>
      <c r="E1947" s="9" t="str">
        <f t="shared" si="303"/>
        <v/>
      </c>
      <c r="F1947" s="9" t="str">
        <f t="shared" si="304"/>
        <v/>
      </c>
      <c r="G1947" s="9" t="str">
        <f t="shared" si="305"/>
        <v/>
      </c>
      <c r="H1947" s="9" t="str">
        <f t="shared" si="306"/>
        <v/>
      </c>
      <c r="I1947" s="10" t="str">
        <f t="shared" si="307"/>
        <v/>
      </c>
      <c r="J1947" s="10" t="str">
        <f t="shared" si="309"/>
        <v/>
      </c>
      <c r="K1947" s="11" t="str">
        <f t="shared" si="308"/>
        <v/>
      </c>
      <c r="M1947" t="str">
        <f>IFERROR(MATCH($C$5&amp;"|"&amp;RIGHT("000000"&amp;1931,6),CalcRankKeyA,0),"")</f>
        <v/>
      </c>
      <c r="N1947" t="str">
        <f>IFERROR(MATCH($C$5&amp;"|"&amp;RIGHT("000000"&amp;1931,6),CalcRankKeyB,0),"")</f>
        <v/>
      </c>
    </row>
    <row r="1948" spans="1:14" x14ac:dyDescent="0.2">
      <c r="A1948" s="12">
        <v>1932</v>
      </c>
      <c r="B1948" s="13" t="str">
        <f t="shared" si="300"/>
        <v/>
      </c>
      <c r="C1948" s="13" t="str">
        <f t="shared" si="301"/>
        <v/>
      </c>
      <c r="D1948" s="13" t="str">
        <f t="shared" si="302"/>
        <v/>
      </c>
      <c r="E1948" s="14" t="str">
        <f t="shared" si="303"/>
        <v/>
      </c>
      <c r="F1948" s="14" t="str">
        <f t="shared" si="304"/>
        <v/>
      </c>
      <c r="G1948" s="14" t="str">
        <f t="shared" si="305"/>
        <v/>
      </c>
      <c r="H1948" s="14" t="str">
        <f t="shared" si="306"/>
        <v/>
      </c>
      <c r="I1948" s="15" t="str">
        <f t="shared" si="307"/>
        <v/>
      </c>
      <c r="J1948" s="15" t="str">
        <f t="shared" si="309"/>
        <v/>
      </c>
      <c r="K1948" s="16" t="str">
        <f t="shared" si="308"/>
        <v/>
      </c>
      <c r="M1948" t="str">
        <f>IFERROR(MATCH($C$5&amp;"|"&amp;RIGHT("000000"&amp;1932,6),CalcRankKeyA,0),"")</f>
        <v/>
      </c>
      <c r="N1948" t="str">
        <f>IFERROR(MATCH($C$5&amp;"|"&amp;RIGHT("000000"&amp;1932,6),CalcRankKeyB,0),"")</f>
        <v/>
      </c>
    </row>
    <row r="1949" spans="1:14" x14ac:dyDescent="0.2">
      <c r="A1949" s="7">
        <v>1933</v>
      </c>
      <c r="B1949" s="8" t="str">
        <f t="shared" si="300"/>
        <v/>
      </c>
      <c r="C1949" s="8" t="str">
        <f t="shared" si="301"/>
        <v/>
      </c>
      <c r="D1949" s="8" t="str">
        <f t="shared" si="302"/>
        <v/>
      </c>
      <c r="E1949" s="9" t="str">
        <f t="shared" si="303"/>
        <v/>
      </c>
      <c r="F1949" s="9" t="str">
        <f t="shared" si="304"/>
        <v/>
      </c>
      <c r="G1949" s="9" t="str">
        <f t="shared" si="305"/>
        <v/>
      </c>
      <c r="H1949" s="9" t="str">
        <f t="shared" si="306"/>
        <v/>
      </c>
      <c r="I1949" s="10" t="str">
        <f t="shared" si="307"/>
        <v/>
      </c>
      <c r="J1949" s="10" t="str">
        <f t="shared" si="309"/>
        <v/>
      </c>
      <c r="K1949" s="11" t="str">
        <f t="shared" si="308"/>
        <v/>
      </c>
      <c r="M1949" t="str">
        <f>IFERROR(MATCH($C$5&amp;"|"&amp;RIGHT("000000"&amp;1933,6),CalcRankKeyA,0),"")</f>
        <v/>
      </c>
      <c r="N1949" t="str">
        <f>IFERROR(MATCH($C$5&amp;"|"&amp;RIGHT("000000"&amp;1933,6),CalcRankKeyB,0),"")</f>
        <v/>
      </c>
    </row>
    <row r="1950" spans="1:14" x14ac:dyDescent="0.2">
      <c r="A1950" s="12">
        <v>1934</v>
      </c>
      <c r="B1950" s="13" t="str">
        <f t="shared" si="300"/>
        <v/>
      </c>
      <c r="C1950" s="13" t="str">
        <f t="shared" si="301"/>
        <v/>
      </c>
      <c r="D1950" s="13" t="str">
        <f t="shared" si="302"/>
        <v/>
      </c>
      <c r="E1950" s="14" t="str">
        <f t="shared" si="303"/>
        <v/>
      </c>
      <c r="F1950" s="14" t="str">
        <f t="shared" si="304"/>
        <v/>
      </c>
      <c r="G1950" s="14" t="str">
        <f t="shared" si="305"/>
        <v/>
      </c>
      <c r="H1950" s="14" t="str">
        <f t="shared" si="306"/>
        <v/>
      </c>
      <c r="I1950" s="15" t="str">
        <f t="shared" si="307"/>
        <v/>
      </c>
      <c r="J1950" s="15" t="str">
        <f t="shared" si="309"/>
        <v/>
      </c>
      <c r="K1950" s="16" t="str">
        <f t="shared" si="308"/>
        <v/>
      </c>
      <c r="M1950" t="str">
        <f>IFERROR(MATCH($C$5&amp;"|"&amp;RIGHT("000000"&amp;1934,6),CalcRankKeyA,0),"")</f>
        <v/>
      </c>
      <c r="N1950" t="str">
        <f>IFERROR(MATCH($C$5&amp;"|"&amp;RIGHT("000000"&amp;1934,6),CalcRankKeyB,0),"")</f>
        <v/>
      </c>
    </row>
    <row r="1951" spans="1:14" x14ac:dyDescent="0.2">
      <c r="A1951" s="7">
        <v>1935</v>
      </c>
      <c r="B1951" s="8" t="str">
        <f t="shared" si="300"/>
        <v/>
      </c>
      <c r="C1951" s="8" t="str">
        <f t="shared" si="301"/>
        <v/>
      </c>
      <c r="D1951" s="8" t="str">
        <f t="shared" si="302"/>
        <v/>
      </c>
      <c r="E1951" s="9" t="str">
        <f t="shared" si="303"/>
        <v/>
      </c>
      <c r="F1951" s="9" t="str">
        <f t="shared" si="304"/>
        <v/>
      </c>
      <c r="G1951" s="9" t="str">
        <f t="shared" si="305"/>
        <v/>
      </c>
      <c r="H1951" s="9" t="str">
        <f t="shared" si="306"/>
        <v/>
      </c>
      <c r="I1951" s="10" t="str">
        <f t="shared" si="307"/>
        <v/>
      </c>
      <c r="J1951" s="10" t="str">
        <f t="shared" si="309"/>
        <v/>
      </c>
      <c r="K1951" s="11" t="str">
        <f t="shared" si="308"/>
        <v/>
      </c>
      <c r="M1951" t="str">
        <f>IFERROR(MATCH($C$5&amp;"|"&amp;RIGHT("000000"&amp;1935,6),CalcRankKeyA,0),"")</f>
        <v/>
      </c>
      <c r="N1951" t="str">
        <f>IFERROR(MATCH($C$5&amp;"|"&amp;RIGHT("000000"&amp;1935,6),CalcRankKeyB,0),"")</f>
        <v/>
      </c>
    </row>
    <row r="1952" spans="1:14" x14ac:dyDescent="0.2">
      <c r="A1952" s="12">
        <v>1936</v>
      </c>
      <c r="B1952" s="13" t="str">
        <f t="shared" si="300"/>
        <v/>
      </c>
      <c r="C1952" s="13" t="str">
        <f t="shared" si="301"/>
        <v/>
      </c>
      <c r="D1952" s="13" t="str">
        <f t="shared" si="302"/>
        <v/>
      </c>
      <c r="E1952" s="14" t="str">
        <f t="shared" si="303"/>
        <v/>
      </c>
      <c r="F1952" s="14" t="str">
        <f t="shared" si="304"/>
        <v/>
      </c>
      <c r="G1952" s="14" t="str">
        <f t="shared" si="305"/>
        <v/>
      </c>
      <c r="H1952" s="14" t="str">
        <f t="shared" si="306"/>
        <v/>
      </c>
      <c r="I1952" s="15" t="str">
        <f t="shared" si="307"/>
        <v/>
      </c>
      <c r="J1952" s="15" t="str">
        <f t="shared" si="309"/>
        <v/>
      </c>
      <c r="K1952" s="16" t="str">
        <f t="shared" si="308"/>
        <v/>
      </c>
      <c r="M1952" t="str">
        <f>IFERROR(MATCH($C$5&amp;"|"&amp;RIGHT("000000"&amp;1936,6),CalcRankKeyA,0),"")</f>
        <v/>
      </c>
      <c r="N1952" t="str">
        <f>IFERROR(MATCH($C$5&amp;"|"&amp;RIGHT("000000"&amp;1936,6),CalcRankKeyB,0),"")</f>
        <v/>
      </c>
    </row>
    <row r="1953" spans="1:14" x14ac:dyDescent="0.2">
      <c r="A1953" s="7">
        <v>1937</v>
      </c>
      <c r="B1953" s="8" t="str">
        <f t="shared" si="300"/>
        <v/>
      </c>
      <c r="C1953" s="8" t="str">
        <f t="shared" si="301"/>
        <v/>
      </c>
      <c r="D1953" s="8" t="str">
        <f t="shared" si="302"/>
        <v/>
      </c>
      <c r="E1953" s="9" t="str">
        <f t="shared" si="303"/>
        <v/>
      </c>
      <c r="F1953" s="9" t="str">
        <f t="shared" si="304"/>
        <v/>
      </c>
      <c r="G1953" s="9" t="str">
        <f t="shared" si="305"/>
        <v/>
      </c>
      <c r="H1953" s="9" t="str">
        <f t="shared" si="306"/>
        <v/>
      </c>
      <c r="I1953" s="10" t="str">
        <f t="shared" si="307"/>
        <v/>
      </c>
      <c r="J1953" s="10" t="str">
        <f t="shared" si="309"/>
        <v/>
      </c>
      <c r="K1953" s="11" t="str">
        <f t="shared" si="308"/>
        <v/>
      </c>
      <c r="M1953" t="str">
        <f>IFERROR(MATCH($C$5&amp;"|"&amp;RIGHT("000000"&amp;1937,6),CalcRankKeyA,0),"")</f>
        <v/>
      </c>
      <c r="N1953" t="str">
        <f>IFERROR(MATCH($C$5&amp;"|"&amp;RIGHT("000000"&amp;1937,6),CalcRankKeyB,0),"")</f>
        <v/>
      </c>
    </row>
    <row r="1954" spans="1:14" x14ac:dyDescent="0.2">
      <c r="A1954" s="12">
        <v>1938</v>
      </c>
      <c r="B1954" s="13" t="str">
        <f t="shared" si="300"/>
        <v/>
      </c>
      <c r="C1954" s="13" t="str">
        <f t="shared" si="301"/>
        <v/>
      </c>
      <c r="D1954" s="13" t="str">
        <f t="shared" si="302"/>
        <v/>
      </c>
      <c r="E1954" s="14" t="str">
        <f t="shared" si="303"/>
        <v/>
      </c>
      <c r="F1954" s="14" t="str">
        <f t="shared" si="304"/>
        <v/>
      </c>
      <c r="G1954" s="14" t="str">
        <f t="shared" si="305"/>
        <v/>
      </c>
      <c r="H1954" s="14" t="str">
        <f t="shared" si="306"/>
        <v/>
      </c>
      <c r="I1954" s="15" t="str">
        <f t="shared" si="307"/>
        <v/>
      </c>
      <c r="J1954" s="15" t="str">
        <f t="shared" si="309"/>
        <v/>
      </c>
      <c r="K1954" s="16" t="str">
        <f t="shared" si="308"/>
        <v/>
      </c>
      <c r="M1954" t="str">
        <f>IFERROR(MATCH($C$5&amp;"|"&amp;RIGHT("000000"&amp;1938,6),CalcRankKeyA,0),"")</f>
        <v/>
      </c>
      <c r="N1954" t="str">
        <f>IFERROR(MATCH($C$5&amp;"|"&amp;RIGHT("000000"&amp;1938,6),CalcRankKeyB,0),"")</f>
        <v/>
      </c>
    </row>
    <row r="1955" spans="1:14" x14ac:dyDescent="0.2">
      <c r="A1955" s="7">
        <v>1939</v>
      </c>
      <c r="B1955" s="8" t="str">
        <f t="shared" si="300"/>
        <v/>
      </c>
      <c r="C1955" s="8" t="str">
        <f t="shared" si="301"/>
        <v/>
      </c>
      <c r="D1955" s="8" t="str">
        <f t="shared" si="302"/>
        <v/>
      </c>
      <c r="E1955" s="9" t="str">
        <f t="shared" si="303"/>
        <v/>
      </c>
      <c r="F1955" s="9" t="str">
        <f t="shared" si="304"/>
        <v/>
      </c>
      <c r="G1955" s="9" t="str">
        <f t="shared" si="305"/>
        <v/>
      </c>
      <c r="H1955" s="9" t="str">
        <f t="shared" si="306"/>
        <v/>
      </c>
      <c r="I1955" s="10" t="str">
        <f t="shared" si="307"/>
        <v/>
      </c>
      <c r="J1955" s="10" t="str">
        <f t="shared" si="309"/>
        <v/>
      </c>
      <c r="K1955" s="11" t="str">
        <f t="shared" si="308"/>
        <v/>
      </c>
      <c r="M1955" t="str">
        <f>IFERROR(MATCH($C$5&amp;"|"&amp;RIGHT("000000"&amp;1939,6),CalcRankKeyA,0),"")</f>
        <v/>
      </c>
      <c r="N1955" t="str">
        <f>IFERROR(MATCH($C$5&amp;"|"&amp;RIGHT("000000"&amp;1939,6),CalcRankKeyB,0),"")</f>
        <v/>
      </c>
    </row>
    <row r="1956" spans="1:14" x14ac:dyDescent="0.2">
      <c r="A1956" s="12">
        <v>1940</v>
      </c>
      <c r="B1956" s="13" t="str">
        <f t="shared" si="300"/>
        <v/>
      </c>
      <c r="C1956" s="13" t="str">
        <f t="shared" si="301"/>
        <v/>
      </c>
      <c r="D1956" s="13" t="str">
        <f t="shared" si="302"/>
        <v/>
      </c>
      <c r="E1956" s="14" t="str">
        <f t="shared" si="303"/>
        <v/>
      </c>
      <c r="F1956" s="14" t="str">
        <f t="shared" si="304"/>
        <v/>
      </c>
      <c r="G1956" s="14" t="str">
        <f t="shared" si="305"/>
        <v/>
      </c>
      <c r="H1956" s="14" t="str">
        <f t="shared" si="306"/>
        <v/>
      </c>
      <c r="I1956" s="15" t="str">
        <f t="shared" si="307"/>
        <v/>
      </c>
      <c r="J1956" s="15" t="str">
        <f t="shared" si="309"/>
        <v/>
      </c>
      <c r="K1956" s="16" t="str">
        <f t="shared" si="308"/>
        <v/>
      </c>
      <c r="M1956" t="str">
        <f>IFERROR(MATCH($C$5&amp;"|"&amp;RIGHT("000000"&amp;1940,6),CalcRankKeyA,0),"")</f>
        <v/>
      </c>
      <c r="N1956" t="str">
        <f>IFERROR(MATCH($C$5&amp;"|"&amp;RIGHT("000000"&amp;1940,6),CalcRankKeyB,0),"")</f>
        <v/>
      </c>
    </row>
    <row r="1957" spans="1:14" x14ac:dyDescent="0.2">
      <c r="A1957" s="7">
        <v>1941</v>
      </c>
      <c r="B1957" s="8" t="str">
        <f t="shared" si="300"/>
        <v/>
      </c>
      <c r="C1957" s="8" t="str">
        <f t="shared" si="301"/>
        <v/>
      </c>
      <c r="D1957" s="8" t="str">
        <f t="shared" si="302"/>
        <v/>
      </c>
      <c r="E1957" s="9" t="str">
        <f t="shared" si="303"/>
        <v/>
      </c>
      <c r="F1957" s="9" t="str">
        <f t="shared" si="304"/>
        <v/>
      </c>
      <c r="G1957" s="9" t="str">
        <f t="shared" si="305"/>
        <v/>
      </c>
      <c r="H1957" s="9" t="str">
        <f t="shared" si="306"/>
        <v/>
      </c>
      <c r="I1957" s="10" t="str">
        <f t="shared" si="307"/>
        <v/>
      </c>
      <c r="J1957" s="10" t="str">
        <f t="shared" si="309"/>
        <v/>
      </c>
      <c r="K1957" s="11" t="str">
        <f t="shared" si="308"/>
        <v/>
      </c>
      <c r="M1957" t="str">
        <f>IFERROR(MATCH($C$5&amp;"|"&amp;RIGHT("000000"&amp;1941,6),CalcRankKeyA,0),"")</f>
        <v/>
      </c>
      <c r="N1957" t="str">
        <f>IFERROR(MATCH($C$5&amp;"|"&amp;RIGHT("000000"&amp;1941,6),CalcRankKeyB,0),"")</f>
        <v/>
      </c>
    </row>
    <row r="1958" spans="1:14" x14ac:dyDescent="0.2">
      <c r="A1958" s="12">
        <v>1942</v>
      </c>
      <c r="B1958" s="13" t="str">
        <f t="shared" si="300"/>
        <v/>
      </c>
      <c r="C1958" s="13" t="str">
        <f t="shared" si="301"/>
        <v/>
      </c>
      <c r="D1958" s="13" t="str">
        <f t="shared" si="302"/>
        <v/>
      </c>
      <c r="E1958" s="14" t="str">
        <f t="shared" si="303"/>
        <v/>
      </c>
      <c r="F1958" s="14" t="str">
        <f t="shared" si="304"/>
        <v/>
      </c>
      <c r="G1958" s="14" t="str">
        <f t="shared" si="305"/>
        <v/>
      </c>
      <c r="H1958" s="14" t="str">
        <f t="shared" si="306"/>
        <v/>
      </c>
      <c r="I1958" s="15" t="str">
        <f t="shared" si="307"/>
        <v/>
      </c>
      <c r="J1958" s="15" t="str">
        <f t="shared" si="309"/>
        <v/>
      </c>
      <c r="K1958" s="16" t="str">
        <f t="shared" si="308"/>
        <v/>
      </c>
      <c r="M1958" t="str">
        <f>IFERROR(MATCH($C$5&amp;"|"&amp;RIGHT("000000"&amp;1942,6),CalcRankKeyA,0),"")</f>
        <v/>
      </c>
      <c r="N1958" t="str">
        <f>IFERROR(MATCH($C$5&amp;"|"&amp;RIGHT("000000"&amp;1942,6),CalcRankKeyB,0),"")</f>
        <v/>
      </c>
    </row>
    <row r="1959" spans="1:14" x14ac:dyDescent="0.2">
      <c r="A1959" s="7">
        <v>1943</v>
      </c>
      <c r="B1959" s="8" t="str">
        <f t="shared" si="300"/>
        <v/>
      </c>
      <c r="C1959" s="8" t="str">
        <f t="shared" si="301"/>
        <v/>
      </c>
      <c r="D1959" s="8" t="str">
        <f t="shared" si="302"/>
        <v/>
      </c>
      <c r="E1959" s="9" t="str">
        <f t="shared" si="303"/>
        <v/>
      </c>
      <c r="F1959" s="9" t="str">
        <f t="shared" si="304"/>
        <v/>
      </c>
      <c r="G1959" s="9" t="str">
        <f t="shared" si="305"/>
        <v/>
      </c>
      <c r="H1959" s="9" t="str">
        <f t="shared" si="306"/>
        <v/>
      </c>
      <c r="I1959" s="10" t="str">
        <f t="shared" si="307"/>
        <v/>
      </c>
      <c r="J1959" s="10" t="str">
        <f t="shared" si="309"/>
        <v/>
      </c>
      <c r="K1959" s="11" t="str">
        <f t="shared" si="308"/>
        <v/>
      </c>
      <c r="M1959" t="str">
        <f>IFERROR(MATCH($C$5&amp;"|"&amp;RIGHT("000000"&amp;1943,6),CalcRankKeyA,0),"")</f>
        <v/>
      </c>
      <c r="N1959" t="str">
        <f>IFERROR(MATCH($C$5&amp;"|"&amp;RIGHT("000000"&amp;1943,6),CalcRankKeyB,0),"")</f>
        <v/>
      </c>
    </row>
    <row r="1960" spans="1:14" x14ac:dyDescent="0.2">
      <c r="A1960" s="12">
        <v>1944</v>
      </c>
      <c r="B1960" s="13" t="str">
        <f t="shared" si="300"/>
        <v/>
      </c>
      <c r="C1960" s="13" t="str">
        <f t="shared" si="301"/>
        <v/>
      </c>
      <c r="D1960" s="13" t="str">
        <f t="shared" si="302"/>
        <v/>
      </c>
      <c r="E1960" s="14" t="str">
        <f t="shared" si="303"/>
        <v/>
      </c>
      <c r="F1960" s="14" t="str">
        <f t="shared" si="304"/>
        <v/>
      </c>
      <c r="G1960" s="14" t="str">
        <f t="shared" si="305"/>
        <v/>
      </c>
      <c r="H1960" s="14" t="str">
        <f t="shared" si="306"/>
        <v/>
      </c>
      <c r="I1960" s="15" t="str">
        <f t="shared" si="307"/>
        <v/>
      </c>
      <c r="J1960" s="15" t="str">
        <f t="shared" si="309"/>
        <v/>
      </c>
      <c r="K1960" s="16" t="str">
        <f t="shared" si="308"/>
        <v/>
      </c>
      <c r="M1960" t="str">
        <f>IFERROR(MATCH($C$5&amp;"|"&amp;RIGHT("000000"&amp;1944,6),CalcRankKeyA,0),"")</f>
        <v/>
      </c>
      <c r="N1960" t="str">
        <f>IFERROR(MATCH($C$5&amp;"|"&amp;RIGHT("000000"&amp;1944,6),CalcRankKeyB,0),"")</f>
        <v/>
      </c>
    </row>
    <row r="1961" spans="1:14" x14ac:dyDescent="0.2">
      <c r="A1961" s="7">
        <v>1945</v>
      </c>
      <c r="B1961" s="8" t="str">
        <f t="shared" si="300"/>
        <v/>
      </c>
      <c r="C1961" s="8" t="str">
        <f t="shared" si="301"/>
        <v/>
      </c>
      <c r="D1961" s="8" t="str">
        <f t="shared" si="302"/>
        <v/>
      </c>
      <c r="E1961" s="9" t="str">
        <f t="shared" si="303"/>
        <v/>
      </c>
      <c r="F1961" s="9" t="str">
        <f t="shared" si="304"/>
        <v/>
      </c>
      <c r="G1961" s="9" t="str">
        <f t="shared" si="305"/>
        <v/>
      </c>
      <c r="H1961" s="9" t="str">
        <f t="shared" si="306"/>
        <v/>
      </c>
      <c r="I1961" s="10" t="str">
        <f t="shared" si="307"/>
        <v/>
      </c>
      <c r="J1961" s="10" t="str">
        <f t="shared" si="309"/>
        <v/>
      </c>
      <c r="K1961" s="11" t="str">
        <f t="shared" si="308"/>
        <v/>
      </c>
      <c r="M1961" t="str">
        <f>IFERROR(MATCH($C$5&amp;"|"&amp;RIGHT("000000"&amp;1945,6),CalcRankKeyA,0),"")</f>
        <v/>
      </c>
      <c r="N1961" t="str">
        <f>IFERROR(MATCH($C$5&amp;"|"&amp;RIGHT("000000"&amp;1945,6),CalcRankKeyB,0),"")</f>
        <v/>
      </c>
    </row>
    <row r="1962" spans="1:14" x14ac:dyDescent="0.2">
      <c r="A1962" s="12">
        <v>1946</v>
      </c>
      <c r="B1962" s="13" t="str">
        <f t="shared" si="300"/>
        <v/>
      </c>
      <c r="C1962" s="13" t="str">
        <f t="shared" si="301"/>
        <v/>
      </c>
      <c r="D1962" s="13" t="str">
        <f t="shared" si="302"/>
        <v/>
      </c>
      <c r="E1962" s="14" t="str">
        <f t="shared" si="303"/>
        <v/>
      </c>
      <c r="F1962" s="14" t="str">
        <f t="shared" si="304"/>
        <v/>
      </c>
      <c r="G1962" s="14" t="str">
        <f t="shared" si="305"/>
        <v/>
      </c>
      <c r="H1962" s="14" t="str">
        <f t="shared" si="306"/>
        <v/>
      </c>
      <c r="I1962" s="15" t="str">
        <f t="shared" si="307"/>
        <v/>
      </c>
      <c r="J1962" s="15" t="str">
        <f t="shared" si="309"/>
        <v/>
      </c>
      <c r="K1962" s="16" t="str">
        <f t="shared" si="308"/>
        <v/>
      </c>
      <c r="M1962" t="str">
        <f>IFERROR(MATCH($C$5&amp;"|"&amp;RIGHT("000000"&amp;1946,6),CalcRankKeyA,0),"")</f>
        <v/>
      </c>
      <c r="N1962" t="str">
        <f>IFERROR(MATCH($C$5&amp;"|"&amp;RIGHT("000000"&amp;1946,6),CalcRankKeyB,0),"")</f>
        <v/>
      </c>
    </row>
    <row r="1963" spans="1:14" x14ac:dyDescent="0.2">
      <c r="A1963" s="7">
        <v>1947</v>
      </c>
      <c r="B1963" s="8" t="str">
        <f t="shared" si="300"/>
        <v/>
      </c>
      <c r="C1963" s="8" t="str">
        <f t="shared" si="301"/>
        <v/>
      </c>
      <c r="D1963" s="8" t="str">
        <f t="shared" si="302"/>
        <v/>
      </c>
      <c r="E1963" s="9" t="str">
        <f t="shared" si="303"/>
        <v/>
      </c>
      <c r="F1963" s="9" t="str">
        <f t="shared" si="304"/>
        <v/>
      </c>
      <c r="G1963" s="9" t="str">
        <f t="shared" si="305"/>
        <v/>
      </c>
      <c r="H1963" s="9" t="str">
        <f t="shared" si="306"/>
        <v/>
      </c>
      <c r="I1963" s="10" t="str">
        <f t="shared" si="307"/>
        <v/>
      </c>
      <c r="J1963" s="10" t="str">
        <f t="shared" si="309"/>
        <v/>
      </c>
      <c r="K1963" s="11" t="str">
        <f t="shared" si="308"/>
        <v/>
      </c>
      <c r="M1963" t="str">
        <f>IFERROR(MATCH($C$5&amp;"|"&amp;RIGHT("000000"&amp;1947,6),CalcRankKeyA,0),"")</f>
        <v/>
      </c>
      <c r="N1963" t="str">
        <f>IFERROR(MATCH($C$5&amp;"|"&amp;RIGHT("000000"&amp;1947,6),CalcRankKeyB,0),"")</f>
        <v/>
      </c>
    </row>
    <row r="1964" spans="1:14" x14ac:dyDescent="0.2">
      <c r="A1964" s="12">
        <v>1948</v>
      </c>
      <c r="B1964" s="13" t="str">
        <f t="shared" si="300"/>
        <v/>
      </c>
      <c r="C1964" s="13" t="str">
        <f t="shared" si="301"/>
        <v/>
      </c>
      <c r="D1964" s="13" t="str">
        <f t="shared" si="302"/>
        <v/>
      </c>
      <c r="E1964" s="14" t="str">
        <f t="shared" si="303"/>
        <v/>
      </c>
      <c r="F1964" s="14" t="str">
        <f t="shared" si="304"/>
        <v/>
      </c>
      <c r="G1964" s="14" t="str">
        <f t="shared" si="305"/>
        <v/>
      </c>
      <c r="H1964" s="14" t="str">
        <f t="shared" si="306"/>
        <v/>
      </c>
      <c r="I1964" s="15" t="str">
        <f t="shared" si="307"/>
        <v/>
      </c>
      <c r="J1964" s="15" t="str">
        <f t="shared" si="309"/>
        <v/>
      </c>
      <c r="K1964" s="16" t="str">
        <f t="shared" si="308"/>
        <v/>
      </c>
      <c r="M1964" t="str">
        <f>IFERROR(MATCH($C$5&amp;"|"&amp;RIGHT("000000"&amp;1948,6),CalcRankKeyA,0),"")</f>
        <v/>
      </c>
      <c r="N1964" t="str">
        <f>IFERROR(MATCH($C$5&amp;"|"&amp;RIGHT("000000"&amp;1948,6),CalcRankKeyB,0),"")</f>
        <v/>
      </c>
    </row>
    <row r="1965" spans="1:14" x14ac:dyDescent="0.2">
      <c r="A1965" s="7">
        <v>1949</v>
      </c>
      <c r="B1965" s="8" t="str">
        <f t="shared" si="300"/>
        <v/>
      </c>
      <c r="C1965" s="8" t="str">
        <f t="shared" si="301"/>
        <v/>
      </c>
      <c r="D1965" s="8" t="str">
        <f t="shared" si="302"/>
        <v/>
      </c>
      <c r="E1965" s="9" t="str">
        <f t="shared" si="303"/>
        <v/>
      </c>
      <c r="F1965" s="9" t="str">
        <f t="shared" si="304"/>
        <v/>
      </c>
      <c r="G1965" s="9" t="str">
        <f t="shared" si="305"/>
        <v/>
      </c>
      <c r="H1965" s="9" t="str">
        <f t="shared" si="306"/>
        <v/>
      </c>
      <c r="I1965" s="10" t="str">
        <f t="shared" si="307"/>
        <v/>
      </c>
      <c r="J1965" s="10" t="str">
        <f t="shared" si="309"/>
        <v/>
      </c>
      <c r="K1965" s="11" t="str">
        <f t="shared" si="308"/>
        <v/>
      </c>
      <c r="M1965" t="str">
        <f>IFERROR(MATCH($C$5&amp;"|"&amp;RIGHT("000000"&amp;1949,6),CalcRankKeyA,0),"")</f>
        <v/>
      </c>
      <c r="N1965" t="str">
        <f>IFERROR(MATCH($C$5&amp;"|"&amp;RIGHT("000000"&amp;1949,6),CalcRankKeyB,0),"")</f>
        <v/>
      </c>
    </row>
    <row r="1966" spans="1:14" x14ac:dyDescent="0.2">
      <c r="A1966" s="12">
        <v>1950</v>
      </c>
      <c r="B1966" s="13" t="str">
        <f t="shared" si="300"/>
        <v/>
      </c>
      <c r="C1966" s="13" t="str">
        <f t="shared" si="301"/>
        <v/>
      </c>
      <c r="D1966" s="13" t="str">
        <f t="shared" si="302"/>
        <v/>
      </c>
      <c r="E1966" s="14" t="str">
        <f t="shared" si="303"/>
        <v/>
      </c>
      <c r="F1966" s="14" t="str">
        <f t="shared" si="304"/>
        <v/>
      </c>
      <c r="G1966" s="14" t="str">
        <f t="shared" si="305"/>
        <v/>
      </c>
      <c r="H1966" s="14" t="str">
        <f t="shared" si="306"/>
        <v/>
      </c>
      <c r="I1966" s="15" t="str">
        <f t="shared" si="307"/>
        <v/>
      </c>
      <c r="J1966" s="15" t="str">
        <f t="shared" si="309"/>
        <v/>
      </c>
      <c r="K1966" s="16" t="str">
        <f t="shared" si="308"/>
        <v/>
      </c>
      <c r="M1966" t="str">
        <f>IFERROR(MATCH($C$5&amp;"|"&amp;RIGHT("000000"&amp;1950,6),CalcRankKeyA,0),"")</f>
        <v/>
      </c>
      <c r="N1966" t="str">
        <f>IFERROR(MATCH($C$5&amp;"|"&amp;RIGHT("000000"&amp;1950,6),CalcRankKeyB,0),"")</f>
        <v/>
      </c>
    </row>
    <row r="1967" spans="1:14" x14ac:dyDescent="0.2">
      <c r="A1967" s="7">
        <v>1951</v>
      </c>
      <c r="B1967" s="8" t="str">
        <f t="shared" si="300"/>
        <v/>
      </c>
      <c r="C1967" s="8" t="str">
        <f t="shared" si="301"/>
        <v/>
      </c>
      <c r="D1967" s="8" t="str">
        <f t="shared" si="302"/>
        <v/>
      </c>
      <c r="E1967" s="9" t="str">
        <f t="shared" si="303"/>
        <v/>
      </c>
      <c r="F1967" s="9" t="str">
        <f t="shared" si="304"/>
        <v/>
      </c>
      <c r="G1967" s="9" t="str">
        <f t="shared" si="305"/>
        <v/>
      </c>
      <c r="H1967" s="9" t="str">
        <f t="shared" si="306"/>
        <v/>
      </c>
      <c r="I1967" s="10" t="str">
        <f t="shared" si="307"/>
        <v/>
      </c>
      <c r="J1967" s="10" t="str">
        <f t="shared" si="309"/>
        <v/>
      </c>
      <c r="K1967" s="11" t="str">
        <f t="shared" si="308"/>
        <v/>
      </c>
      <c r="M1967" t="str">
        <f>IFERROR(MATCH($C$5&amp;"|"&amp;RIGHT("000000"&amp;1951,6),CalcRankKeyA,0),"")</f>
        <v/>
      </c>
      <c r="N1967" t="str">
        <f>IFERROR(MATCH($C$5&amp;"|"&amp;RIGHT("000000"&amp;1951,6),CalcRankKeyB,0),"")</f>
        <v/>
      </c>
    </row>
    <row r="1968" spans="1:14" x14ac:dyDescent="0.2">
      <c r="A1968" s="12">
        <v>1952</v>
      </c>
      <c r="B1968" s="13" t="str">
        <f t="shared" si="300"/>
        <v/>
      </c>
      <c r="C1968" s="13" t="str">
        <f t="shared" si="301"/>
        <v/>
      </c>
      <c r="D1968" s="13" t="str">
        <f t="shared" si="302"/>
        <v/>
      </c>
      <c r="E1968" s="14" t="str">
        <f t="shared" si="303"/>
        <v/>
      </c>
      <c r="F1968" s="14" t="str">
        <f t="shared" si="304"/>
        <v/>
      </c>
      <c r="G1968" s="14" t="str">
        <f t="shared" si="305"/>
        <v/>
      </c>
      <c r="H1968" s="14" t="str">
        <f t="shared" si="306"/>
        <v/>
      </c>
      <c r="I1968" s="15" t="str">
        <f t="shared" si="307"/>
        <v/>
      </c>
      <c r="J1968" s="15" t="str">
        <f t="shared" si="309"/>
        <v/>
      </c>
      <c r="K1968" s="16" t="str">
        <f t="shared" si="308"/>
        <v/>
      </c>
      <c r="M1968" t="str">
        <f>IFERROR(MATCH($C$5&amp;"|"&amp;RIGHT("000000"&amp;1952,6),CalcRankKeyA,0),"")</f>
        <v/>
      </c>
      <c r="N1968" t="str">
        <f>IFERROR(MATCH($C$5&amp;"|"&amp;RIGHT("000000"&amp;1952,6),CalcRankKeyB,0),"")</f>
        <v/>
      </c>
    </row>
    <row r="1969" spans="1:14" x14ac:dyDescent="0.2">
      <c r="A1969" s="7">
        <v>1953</v>
      </c>
      <c r="B1969" s="8" t="str">
        <f t="shared" si="300"/>
        <v/>
      </c>
      <c r="C1969" s="8" t="str">
        <f t="shared" si="301"/>
        <v/>
      </c>
      <c r="D1969" s="8" t="str">
        <f t="shared" si="302"/>
        <v/>
      </c>
      <c r="E1969" s="9" t="str">
        <f t="shared" si="303"/>
        <v/>
      </c>
      <c r="F1969" s="9" t="str">
        <f t="shared" si="304"/>
        <v/>
      </c>
      <c r="G1969" s="9" t="str">
        <f t="shared" si="305"/>
        <v/>
      </c>
      <c r="H1969" s="9" t="str">
        <f t="shared" si="306"/>
        <v/>
      </c>
      <c r="I1969" s="10" t="str">
        <f t="shared" si="307"/>
        <v/>
      </c>
      <c r="J1969" s="10" t="str">
        <f t="shared" si="309"/>
        <v/>
      </c>
      <c r="K1969" s="11" t="str">
        <f t="shared" si="308"/>
        <v/>
      </c>
      <c r="M1969" t="str">
        <f>IFERROR(MATCH($C$5&amp;"|"&amp;RIGHT("000000"&amp;1953,6),CalcRankKeyA,0),"")</f>
        <v/>
      </c>
      <c r="N1969" t="str">
        <f>IFERROR(MATCH($C$5&amp;"|"&amp;RIGHT("000000"&amp;1953,6),CalcRankKeyB,0),"")</f>
        <v/>
      </c>
    </row>
    <row r="1970" spans="1:14" x14ac:dyDescent="0.2">
      <c r="A1970" s="12">
        <v>1954</v>
      </c>
      <c r="B1970" s="13" t="str">
        <f t="shared" si="300"/>
        <v/>
      </c>
      <c r="C1970" s="13" t="str">
        <f t="shared" si="301"/>
        <v/>
      </c>
      <c r="D1970" s="13" t="str">
        <f t="shared" si="302"/>
        <v/>
      </c>
      <c r="E1970" s="14" t="str">
        <f t="shared" si="303"/>
        <v/>
      </c>
      <c r="F1970" s="14" t="str">
        <f t="shared" si="304"/>
        <v/>
      </c>
      <c r="G1970" s="14" t="str">
        <f t="shared" si="305"/>
        <v/>
      </c>
      <c r="H1970" s="14" t="str">
        <f t="shared" si="306"/>
        <v/>
      </c>
      <c r="I1970" s="15" t="str">
        <f t="shared" si="307"/>
        <v/>
      </c>
      <c r="J1970" s="15" t="str">
        <f t="shared" si="309"/>
        <v/>
      </c>
      <c r="K1970" s="16" t="str">
        <f t="shared" si="308"/>
        <v/>
      </c>
      <c r="M1970" t="str">
        <f>IFERROR(MATCH($C$5&amp;"|"&amp;RIGHT("000000"&amp;1954,6),CalcRankKeyA,0),"")</f>
        <v/>
      </c>
      <c r="N1970" t="str">
        <f>IFERROR(MATCH($C$5&amp;"|"&amp;RIGHT("000000"&amp;1954,6),CalcRankKeyB,0),"")</f>
        <v/>
      </c>
    </row>
    <row r="1971" spans="1:14" x14ac:dyDescent="0.2">
      <c r="A1971" s="7">
        <v>1955</v>
      </c>
      <c r="B1971" s="8" t="str">
        <f t="shared" si="300"/>
        <v/>
      </c>
      <c r="C1971" s="8" t="str">
        <f t="shared" si="301"/>
        <v/>
      </c>
      <c r="D1971" s="8" t="str">
        <f t="shared" si="302"/>
        <v/>
      </c>
      <c r="E1971" s="9" t="str">
        <f t="shared" si="303"/>
        <v/>
      </c>
      <c r="F1971" s="9" t="str">
        <f t="shared" si="304"/>
        <v/>
      </c>
      <c r="G1971" s="9" t="str">
        <f t="shared" si="305"/>
        <v/>
      </c>
      <c r="H1971" s="9" t="str">
        <f t="shared" si="306"/>
        <v/>
      </c>
      <c r="I1971" s="10" t="str">
        <f t="shared" si="307"/>
        <v/>
      </c>
      <c r="J1971" s="10" t="str">
        <f t="shared" si="309"/>
        <v/>
      </c>
      <c r="K1971" s="11" t="str">
        <f t="shared" si="308"/>
        <v/>
      </c>
      <c r="M1971" t="str">
        <f>IFERROR(MATCH($C$5&amp;"|"&amp;RIGHT("000000"&amp;1955,6),CalcRankKeyA,0),"")</f>
        <v/>
      </c>
      <c r="N1971" t="str">
        <f>IFERROR(MATCH($C$5&amp;"|"&amp;RIGHT("000000"&amp;1955,6),CalcRankKeyB,0),"")</f>
        <v/>
      </c>
    </row>
    <row r="1972" spans="1:14" x14ac:dyDescent="0.2">
      <c r="A1972" s="12">
        <v>1956</v>
      </c>
      <c r="B1972" s="13" t="str">
        <f t="shared" si="300"/>
        <v/>
      </c>
      <c r="C1972" s="13" t="str">
        <f t="shared" si="301"/>
        <v/>
      </c>
      <c r="D1972" s="13" t="str">
        <f t="shared" si="302"/>
        <v/>
      </c>
      <c r="E1972" s="14" t="str">
        <f t="shared" si="303"/>
        <v/>
      </c>
      <c r="F1972" s="14" t="str">
        <f t="shared" si="304"/>
        <v/>
      </c>
      <c r="G1972" s="14" t="str">
        <f t="shared" si="305"/>
        <v/>
      </c>
      <c r="H1972" s="14" t="str">
        <f t="shared" si="306"/>
        <v/>
      </c>
      <c r="I1972" s="15" t="str">
        <f t="shared" si="307"/>
        <v/>
      </c>
      <c r="J1972" s="15" t="str">
        <f t="shared" si="309"/>
        <v/>
      </c>
      <c r="K1972" s="16" t="str">
        <f t="shared" si="308"/>
        <v/>
      </c>
      <c r="M1972" t="str">
        <f>IFERROR(MATCH($C$5&amp;"|"&amp;RIGHT("000000"&amp;1956,6),CalcRankKeyA,0),"")</f>
        <v/>
      </c>
      <c r="N1972" t="str">
        <f>IFERROR(MATCH($C$5&amp;"|"&amp;RIGHT("000000"&amp;1956,6),CalcRankKeyB,0),"")</f>
        <v/>
      </c>
    </row>
    <row r="1973" spans="1:14" x14ac:dyDescent="0.2">
      <c r="A1973" s="7">
        <v>1957</v>
      </c>
      <c r="B1973" s="8" t="str">
        <f t="shared" si="300"/>
        <v/>
      </c>
      <c r="C1973" s="8" t="str">
        <f t="shared" si="301"/>
        <v/>
      </c>
      <c r="D1973" s="8" t="str">
        <f t="shared" si="302"/>
        <v/>
      </c>
      <c r="E1973" s="9" t="str">
        <f t="shared" si="303"/>
        <v/>
      </c>
      <c r="F1973" s="9" t="str">
        <f t="shared" si="304"/>
        <v/>
      </c>
      <c r="G1973" s="9" t="str">
        <f t="shared" si="305"/>
        <v/>
      </c>
      <c r="H1973" s="9" t="str">
        <f t="shared" si="306"/>
        <v/>
      </c>
      <c r="I1973" s="10" t="str">
        <f t="shared" si="307"/>
        <v/>
      </c>
      <c r="J1973" s="10" t="str">
        <f t="shared" si="309"/>
        <v/>
      </c>
      <c r="K1973" s="11" t="str">
        <f t="shared" si="308"/>
        <v/>
      </c>
      <c r="M1973" t="str">
        <f>IFERROR(MATCH($C$5&amp;"|"&amp;RIGHT("000000"&amp;1957,6),CalcRankKeyA,0),"")</f>
        <v/>
      </c>
      <c r="N1973" t="str">
        <f>IFERROR(MATCH($C$5&amp;"|"&amp;RIGHT("000000"&amp;1957,6),CalcRankKeyB,0),"")</f>
        <v/>
      </c>
    </row>
    <row r="1974" spans="1:14" x14ac:dyDescent="0.2">
      <c r="A1974" s="12">
        <v>1958</v>
      </c>
      <c r="B1974" s="13" t="str">
        <f t="shared" si="300"/>
        <v/>
      </c>
      <c r="C1974" s="13" t="str">
        <f t="shared" si="301"/>
        <v/>
      </c>
      <c r="D1974" s="13" t="str">
        <f t="shared" si="302"/>
        <v/>
      </c>
      <c r="E1974" s="14" t="str">
        <f t="shared" si="303"/>
        <v/>
      </c>
      <c r="F1974" s="14" t="str">
        <f t="shared" si="304"/>
        <v/>
      </c>
      <c r="G1974" s="14" t="str">
        <f t="shared" si="305"/>
        <v/>
      </c>
      <c r="H1974" s="14" t="str">
        <f t="shared" si="306"/>
        <v/>
      </c>
      <c r="I1974" s="15" t="str">
        <f t="shared" si="307"/>
        <v/>
      </c>
      <c r="J1974" s="15" t="str">
        <f t="shared" si="309"/>
        <v/>
      </c>
      <c r="K1974" s="16" t="str">
        <f t="shared" si="308"/>
        <v/>
      </c>
      <c r="M1974" t="str">
        <f>IFERROR(MATCH($C$5&amp;"|"&amp;RIGHT("000000"&amp;1958,6),CalcRankKeyA,0),"")</f>
        <v/>
      </c>
      <c r="N1974" t="str">
        <f>IFERROR(MATCH($C$5&amp;"|"&amp;RIGHT("000000"&amp;1958,6),CalcRankKeyB,0),"")</f>
        <v/>
      </c>
    </row>
    <row r="1975" spans="1:14" x14ac:dyDescent="0.2">
      <c r="A1975" s="7">
        <v>1959</v>
      </c>
      <c r="B1975" s="8" t="str">
        <f t="shared" si="300"/>
        <v/>
      </c>
      <c r="C1975" s="8" t="str">
        <f t="shared" si="301"/>
        <v/>
      </c>
      <c r="D1975" s="8" t="str">
        <f t="shared" si="302"/>
        <v/>
      </c>
      <c r="E1975" s="9" t="str">
        <f t="shared" si="303"/>
        <v/>
      </c>
      <c r="F1975" s="9" t="str">
        <f t="shared" si="304"/>
        <v/>
      </c>
      <c r="G1975" s="9" t="str">
        <f t="shared" si="305"/>
        <v/>
      </c>
      <c r="H1975" s="9" t="str">
        <f t="shared" si="306"/>
        <v/>
      </c>
      <c r="I1975" s="10" t="str">
        <f t="shared" si="307"/>
        <v/>
      </c>
      <c r="J1975" s="10" t="str">
        <f t="shared" si="309"/>
        <v/>
      </c>
      <c r="K1975" s="11" t="str">
        <f t="shared" si="308"/>
        <v/>
      </c>
      <c r="M1975" t="str">
        <f>IFERROR(MATCH($C$5&amp;"|"&amp;RIGHT("000000"&amp;1959,6),CalcRankKeyA,0),"")</f>
        <v/>
      </c>
      <c r="N1975" t="str">
        <f>IFERROR(MATCH($C$5&amp;"|"&amp;RIGHT("000000"&amp;1959,6),CalcRankKeyB,0),"")</f>
        <v/>
      </c>
    </row>
    <row r="1976" spans="1:14" x14ac:dyDescent="0.2">
      <c r="A1976" s="12">
        <v>1960</v>
      </c>
      <c r="B1976" s="13" t="str">
        <f t="shared" si="300"/>
        <v/>
      </c>
      <c r="C1976" s="13" t="str">
        <f t="shared" si="301"/>
        <v/>
      </c>
      <c r="D1976" s="13" t="str">
        <f t="shared" si="302"/>
        <v/>
      </c>
      <c r="E1976" s="14" t="str">
        <f t="shared" si="303"/>
        <v/>
      </c>
      <c r="F1976" s="14" t="str">
        <f t="shared" si="304"/>
        <v/>
      </c>
      <c r="G1976" s="14" t="str">
        <f t="shared" si="305"/>
        <v/>
      </c>
      <c r="H1976" s="14" t="str">
        <f t="shared" si="306"/>
        <v/>
      </c>
      <c r="I1976" s="15" t="str">
        <f t="shared" si="307"/>
        <v/>
      </c>
      <c r="J1976" s="15" t="str">
        <f t="shared" si="309"/>
        <v/>
      </c>
      <c r="K1976" s="16" t="str">
        <f t="shared" si="308"/>
        <v/>
      </c>
      <c r="M1976" t="str">
        <f>IFERROR(MATCH($C$5&amp;"|"&amp;RIGHT("000000"&amp;1960,6),CalcRankKeyA,0),"")</f>
        <v/>
      </c>
      <c r="N1976" t="str">
        <f>IFERROR(MATCH($C$5&amp;"|"&amp;RIGHT("000000"&amp;1960,6),CalcRankKeyB,0),"")</f>
        <v/>
      </c>
    </row>
    <row r="1977" spans="1:14" x14ac:dyDescent="0.2">
      <c r="A1977" s="7">
        <v>1961</v>
      </c>
      <c r="B1977" s="8" t="str">
        <f t="shared" si="300"/>
        <v/>
      </c>
      <c r="C1977" s="8" t="str">
        <f t="shared" si="301"/>
        <v/>
      </c>
      <c r="D1977" s="8" t="str">
        <f t="shared" si="302"/>
        <v/>
      </c>
      <c r="E1977" s="9" t="str">
        <f t="shared" si="303"/>
        <v/>
      </c>
      <c r="F1977" s="9" t="str">
        <f t="shared" si="304"/>
        <v/>
      </c>
      <c r="G1977" s="9" t="str">
        <f t="shared" si="305"/>
        <v/>
      </c>
      <c r="H1977" s="9" t="str">
        <f t="shared" si="306"/>
        <v/>
      </c>
      <c r="I1977" s="10" t="str">
        <f t="shared" si="307"/>
        <v/>
      </c>
      <c r="J1977" s="10" t="str">
        <f t="shared" si="309"/>
        <v/>
      </c>
      <c r="K1977" s="11" t="str">
        <f t="shared" si="308"/>
        <v/>
      </c>
      <c r="M1977" t="str">
        <f>IFERROR(MATCH($C$5&amp;"|"&amp;RIGHT("000000"&amp;1961,6),CalcRankKeyA,0),"")</f>
        <v/>
      </c>
      <c r="N1977" t="str">
        <f>IFERROR(MATCH($C$5&amp;"|"&amp;RIGHT("000000"&amp;1961,6),CalcRankKeyB,0),"")</f>
        <v/>
      </c>
    </row>
    <row r="1978" spans="1:14" x14ac:dyDescent="0.2">
      <c r="A1978" s="12">
        <v>1962</v>
      </c>
      <c r="B1978" s="13" t="str">
        <f t="shared" si="300"/>
        <v/>
      </c>
      <c r="C1978" s="13" t="str">
        <f t="shared" si="301"/>
        <v/>
      </c>
      <c r="D1978" s="13" t="str">
        <f t="shared" si="302"/>
        <v/>
      </c>
      <c r="E1978" s="14" t="str">
        <f t="shared" si="303"/>
        <v/>
      </c>
      <c r="F1978" s="14" t="str">
        <f t="shared" si="304"/>
        <v/>
      </c>
      <c r="G1978" s="14" t="str">
        <f t="shared" si="305"/>
        <v/>
      </c>
      <c r="H1978" s="14" t="str">
        <f t="shared" si="306"/>
        <v/>
      </c>
      <c r="I1978" s="15" t="str">
        <f t="shared" si="307"/>
        <v/>
      </c>
      <c r="J1978" s="15" t="str">
        <f t="shared" si="309"/>
        <v/>
      </c>
      <c r="K1978" s="16" t="str">
        <f t="shared" si="308"/>
        <v/>
      </c>
      <c r="M1978" t="str">
        <f>IFERROR(MATCH($C$5&amp;"|"&amp;RIGHT("000000"&amp;1962,6),CalcRankKeyA,0),"")</f>
        <v/>
      </c>
      <c r="N1978" t="str">
        <f>IFERROR(MATCH($C$5&amp;"|"&amp;RIGHT("000000"&amp;1962,6),CalcRankKeyB,0),"")</f>
        <v/>
      </c>
    </row>
    <row r="1979" spans="1:14" x14ac:dyDescent="0.2">
      <c r="A1979" s="7">
        <v>1963</v>
      </c>
      <c r="B1979" s="8" t="str">
        <f t="shared" si="300"/>
        <v/>
      </c>
      <c r="C1979" s="8" t="str">
        <f t="shared" si="301"/>
        <v/>
      </c>
      <c r="D1979" s="8" t="str">
        <f t="shared" si="302"/>
        <v/>
      </c>
      <c r="E1979" s="9" t="str">
        <f t="shared" si="303"/>
        <v/>
      </c>
      <c r="F1979" s="9" t="str">
        <f t="shared" si="304"/>
        <v/>
      </c>
      <c r="G1979" s="9" t="str">
        <f t="shared" si="305"/>
        <v/>
      </c>
      <c r="H1979" s="9" t="str">
        <f t="shared" si="306"/>
        <v/>
      </c>
      <c r="I1979" s="10" t="str">
        <f t="shared" si="307"/>
        <v/>
      </c>
      <c r="J1979" s="10" t="str">
        <f t="shared" si="309"/>
        <v/>
      </c>
      <c r="K1979" s="11" t="str">
        <f t="shared" si="308"/>
        <v/>
      </c>
      <c r="M1979" t="str">
        <f>IFERROR(MATCH($C$5&amp;"|"&amp;RIGHT("000000"&amp;1963,6),CalcRankKeyA,0),"")</f>
        <v/>
      </c>
      <c r="N1979" t="str">
        <f>IFERROR(MATCH($C$5&amp;"|"&amp;RIGHT("000000"&amp;1963,6),CalcRankKeyB,0),"")</f>
        <v/>
      </c>
    </row>
    <row r="1980" spans="1:14" x14ac:dyDescent="0.2">
      <c r="A1980" s="12">
        <v>1964</v>
      </c>
      <c r="B1980" s="13" t="str">
        <f t="shared" si="300"/>
        <v/>
      </c>
      <c r="C1980" s="13" t="str">
        <f t="shared" si="301"/>
        <v/>
      </c>
      <c r="D1980" s="13" t="str">
        <f t="shared" si="302"/>
        <v/>
      </c>
      <c r="E1980" s="14" t="str">
        <f t="shared" si="303"/>
        <v/>
      </c>
      <c r="F1980" s="14" t="str">
        <f t="shared" si="304"/>
        <v/>
      </c>
      <c r="G1980" s="14" t="str">
        <f t="shared" si="305"/>
        <v/>
      </c>
      <c r="H1980" s="14" t="str">
        <f t="shared" si="306"/>
        <v/>
      </c>
      <c r="I1980" s="15" t="str">
        <f t="shared" si="307"/>
        <v/>
      </c>
      <c r="J1980" s="15" t="str">
        <f t="shared" si="309"/>
        <v/>
      </c>
      <c r="K1980" s="16" t="str">
        <f t="shared" si="308"/>
        <v/>
      </c>
      <c r="M1980" t="str">
        <f>IFERROR(MATCH($C$5&amp;"|"&amp;RIGHT("000000"&amp;1964,6),CalcRankKeyA,0),"")</f>
        <v/>
      </c>
      <c r="N1980" t="str">
        <f>IFERROR(MATCH($C$5&amp;"|"&amp;RIGHT("000000"&amp;1964,6),CalcRankKeyB,0),"")</f>
        <v/>
      </c>
    </row>
    <row r="1981" spans="1:14" x14ac:dyDescent="0.2">
      <c r="A1981" s="7">
        <v>1965</v>
      </c>
      <c r="B1981" s="8" t="str">
        <f t="shared" si="300"/>
        <v/>
      </c>
      <c r="C1981" s="8" t="str">
        <f t="shared" si="301"/>
        <v/>
      </c>
      <c r="D1981" s="8" t="str">
        <f t="shared" si="302"/>
        <v/>
      </c>
      <c r="E1981" s="9" t="str">
        <f t="shared" si="303"/>
        <v/>
      </c>
      <c r="F1981" s="9" t="str">
        <f t="shared" si="304"/>
        <v/>
      </c>
      <c r="G1981" s="9" t="str">
        <f t="shared" si="305"/>
        <v/>
      </c>
      <c r="H1981" s="9" t="str">
        <f t="shared" si="306"/>
        <v/>
      </c>
      <c r="I1981" s="10" t="str">
        <f t="shared" si="307"/>
        <v/>
      </c>
      <c r="J1981" s="10" t="str">
        <f t="shared" si="309"/>
        <v/>
      </c>
      <c r="K1981" s="11" t="str">
        <f t="shared" si="308"/>
        <v/>
      </c>
      <c r="M1981" t="str">
        <f>IFERROR(MATCH($C$5&amp;"|"&amp;RIGHT("000000"&amp;1965,6),CalcRankKeyA,0),"")</f>
        <v/>
      </c>
      <c r="N1981" t="str">
        <f>IFERROR(MATCH($C$5&amp;"|"&amp;RIGHT("000000"&amp;1965,6),CalcRankKeyB,0),"")</f>
        <v/>
      </c>
    </row>
    <row r="1982" spans="1:14" x14ac:dyDescent="0.2">
      <c r="A1982" s="12">
        <v>1966</v>
      </c>
      <c r="B1982" s="13" t="str">
        <f t="shared" si="300"/>
        <v/>
      </c>
      <c r="C1982" s="13" t="str">
        <f t="shared" si="301"/>
        <v/>
      </c>
      <c r="D1982" s="13" t="str">
        <f t="shared" si="302"/>
        <v/>
      </c>
      <c r="E1982" s="14" t="str">
        <f t="shared" si="303"/>
        <v/>
      </c>
      <c r="F1982" s="14" t="str">
        <f t="shared" si="304"/>
        <v/>
      </c>
      <c r="G1982" s="14" t="str">
        <f t="shared" si="305"/>
        <v/>
      </c>
      <c r="H1982" s="14" t="str">
        <f t="shared" si="306"/>
        <v/>
      </c>
      <c r="I1982" s="15" t="str">
        <f t="shared" si="307"/>
        <v/>
      </c>
      <c r="J1982" s="15" t="str">
        <f t="shared" si="309"/>
        <v/>
      </c>
      <c r="K1982" s="16" t="str">
        <f t="shared" si="308"/>
        <v/>
      </c>
      <c r="M1982" t="str">
        <f>IFERROR(MATCH($C$5&amp;"|"&amp;RIGHT("000000"&amp;1966,6),CalcRankKeyA,0),"")</f>
        <v/>
      </c>
      <c r="N1982" t="str">
        <f>IFERROR(MATCH($C$5&amp;"|"&amp;RIGHT("000000"&amp;1966,6),CalcRankKeyB,0),"")</f>
        <v/>
      </c>
    </row>
    <row r="1983" spans="1:14" x14ac:dyDescent="0.2">
      <c r="A1983" s="7">
        <v>1967</v>
      </c>
      <c r="B1983" s="8" t="str">
        <f t="shared" si="300"/>
        <v/>
      </c>
      <c r="C1983" s="8" t="str">
        <f t="shared" si="301"/>
        <v/>
      </c>
      <c r="D1983" s="8" t="str">
        <f t="shared" si="302"/>
        <v/>
      </c>
      <c r="E1983" s="9" t="str">
        <f t="shared" si="303"/>
        <v/>
      </c>
      <c r="F1983" s="9" t="str">
        <f t="shared" si="304"/>
        <v/>
      </c>
      <c r="G1983" s="9" t="str">
        <f t="shared" si="305"/>
        <v/>
      </c>
      <c r="H1983" s="9" t="str">
        <f t="shared" si="306"/>
        <v/>
      </c>
      <c r="I1983" s="10" t="str">
        <f t="shared" si="307"/>
        <v/>
      </c>
      <c r="J1983" s="10" t="str">
        <f t="shared" si="309"/>
        <v/>
      </c>
      <c r="K1983" s="11" t="str">
        <f t="shared" si="308"/>
        <v/>
      </c>
      <c r="M1983" t="str">
        <f>IFERROR(MATCH($C$5&amp;"|"&amp;RIGHT("000000"&amp;1967,6),CalcRankKeyA,0),"")</f>
        <v/>
      </c>
      <c r="N1983" t="str">
        <f>IFERROR(MATCH($C$5&amp;"|"&amp;RIGHT("000000"&amp;1967,6),CalcRankKeyB,0),"")</f>
        <v/>
      </c>
    </row>
    <row r="1984" spans="1:14" x14ac:dyDescent="0.2">
      <c r="A1984" s="12">
        <v>1968</v>
      </c>
      <c r="B1984" s="13" t="str">
        <f t="shared" si="300"/>
        <v/>
      </c>
      <c r="C1984" s="13" t="str">
        <f t="shared" si="301"/>
        <v/>
      </c>
      <c r="D1984" s="13" t="str">
        <f t="shared" si="302"/>
        <v/>
      </c>
      <c r="E1984" s="14" t="str">
        <f t="shared" si="303"/>
        <v/>
      </c>
      <c r="F1984" s="14" t="str">
        <f t="shared" si="304"/>
        <v/>
      </c>
      <c r="G1984" s="14" t="str">
        <f t="shared" si="305"/>
        <v/>
      </c>
      <c r="H1984" s="14" t="str">
        <f t="shared" si="306"/>
        <v/>
      </c>
      <c r="I1984" s="15" t="str">
        <f t="shared" si="307"/>
        <v/>
      </c>
      <c r="J1984" s="15" t="str">
        <f t="shared" si="309"/>
        <v/>
      </c>
      <c r="K1984" s="16" t="str">
        <f t="shared" si="308"/>
        <v/>
      </c>
      <c r="M1984" t="str">
        <f>IFERROR(MATCH($C$5&amp;"|"&amp;RIGHT("000000"&amp;1968,6),CalcRankKeyA,0),"")</f>
        <v/>
      </c>
      <c r="N1984" t="str">
        <f>IFERROR(MATCH($C$5&amp;"|"&amp;RIGHT("000000"&amp;1968,6),CalcRankKeyB,0),"")</f>
        <v/>
      </c>
    </row>
    <row r="1985" spans="1:14" x14ac:dyDescent="0.2">
      <c r="A1985" s="7">
        <v>1969</v>
      </c>
      <c r="B1985" s="8" t="str">
        <f t="shared" si="300"/>
        <v/>
      </c>
      <c r="C1985" s="8" t="str">
        <f t="shared" si="301"/>
        <v/>
      </c>
      <c r="D1985" s="8" t="str">
        <f t="shared" si="302"/>
        <v/>
      </c>
      <c r="E1985" s="9" t="str">
        <f t="shared" si="303"/>
        <v/>
      </c>
      <c r="F1985" s="9" t="str">
        <f t="shared" si="304"/>
        <v/>
      </c>
      <c r="G1985" s="9" t="str">
        <f t="shared" si="305"/>
        <v/>
      </c>
      <c r="H1985" s="9" t="str">
        <f t="shared" si="306"/>
        <v/>
      </c>
      <c r="I1985" s="10" t="str">
        <f t="shared" si="307"/>
        <v/>
      </c>
      <c r="J1985" s="10" t="str">
        <f t="shared" si="309"/>
        <v/>
      </c>
      <c r="K1985" s="11" t="str">
        <f t="shared" si="308"/>
        <v/>
      </c>
      <c r="M1985" t="str">
        <f>IFERROR(MATCH($C$5&amp;"|"&amp;RIGHT("000000"&amp;1969,6),CalcRankKeyA,0),"")</f>
        <v/>
      </c>
      <c r="N1985" t="str">
        <f>IFERROR(MATCH($C$5&amp;"|"&amp;RIGHT("000000"&amp;1969,6),CalcRankKeyB,0),"")</f>
        <v/>
      </c>
    </row>
    <row r="1986" spans="1:14" x14ac:dyDescent="0.2">
      <c r="A1986" s="12">
        <v>1970</v>
      </c>
      <c r="B1986" s="13" t="str">
        <f t="shared" si="300"/>
        <v/>
      </c>
      <c r="C1986" s="13" t="str">
        <f t="shared" si="301"/>
        <v/>
      </c>
      <c r="D1986" s="13" t="str">
        <f t="shared" si="302"/>
        <v/>
      </c>
      <c r="E1986" s="14" t="str">
        <f t="shared" si="303"/>
        <v/>
      </c>
      <c r="F1986" s="14" t="str">
        <f t="shared" si="304"/>
        <v/>
      </c>
      <c r="G1986" s="14" t="str">
        <f t="shared" si="305"/>
        <v/>
      </c>
      <c r="H1986" s="14" t="str">
        <f t="shared" si="306"/>
        <v/>
      </c>
      <c r="I1986" s="15" t="str">
        <f t="shared" si="307"/>
        <v/>
      </c>
      <c r="J1986" s="15" t="str">
        <f t="shared" si="309"/>
        <v/>
      </c>
      <c r="K1986" s="16" t="str">
        <f t="shared" si="308"/>
        <v/>
      </c>
      <c r="M1986" t="str">
        <f>IFERROR(MATCH($C$5&amp;"|"&amp;RIGHT("000000"&amp;1970,6),CalcRankKeyA,0),"")</f>
        <v/>
      </c>
      <c r="N1986" t="str">
        <f>IFERROR(MATCH($C$5&amp;"|"&amp;RIGHT("000000"&amp;1970,6),CalcRankKeyB,0),"")</f>
        <v/>
      </c>
    </row>
    <row r="1987" spans="1:14" x14ac:dyDescent="0.2">
      <c r="A1987" s="7">
        <v>1971</v>
      </c>
      <c r="B1987" s="8" t="str">
        <f t="shared" si="300"/>
        <v/>
      </c>
      <c r="C1987" s="8" t="str">
        <f t="shared" si="301"/>
        <v/>
      </c>
      <c r="D1987" s="8" t="str">
        <f t="shared" si="302"/>
        <v/>
      </c>
      <c r="E1987" s="9" t="str">
        <f t="shared" si="303"/>
        <v/>
      </c>
      <c r="F1987" s="9" t="str">
        <f t="shared" si="304"/>
        <v/>
      </c>
      <c r="G1987" s="9" t="str">
        <f t="shared" si="305"/>
        <v/>
      </c>
      <c r="H1987" s="9" t="str">
        <f t="shared" si="306"/>
        <v/>
      </c>
      <c r="I1987" s="10" t="str">
        <f t="shared" si="307"/>
        <v/>
      </c>
      <c r="J1987" s="10" t="str">
        <f t="shared" si="309"/>
        <v/>
      </c>
      <c r="K1987" s="11" t="str">
        <f t="shared" si="308"/>
        <v/>
      </c>
      <c r="M1987" t="str">
        <f>IFERROR(MATCH($C$5&amp;"|"&amp;RIGHT("000000"&amp;1971,6),CalcRankKeyA,0),"")</f>
        <v/>
      </c>
      <c r="N1987" t="str">
        <f>IFERROR(MATCH($C$5&amp;"|"&amp;RIGHT("000000"&amp;1971,6),CalcRankKeyB,0),"")</f>
        <v/>
      </c>
    </row>
    <row r="1988" spans="1:14" x14ac:dyDescent="0.2">
      <c r="A1988" s="12">
        <v>1972</v>
      </c>
      <c r="B1988" s="13" t="str">
        <f t="shared" si="300"/>
        <v/>
      </c>
      <c r="C1988" s="13" t="str">
        <f t="shared" si="301"/>
        <v/>
      </c>
      <c r="D1988" s="13" t="str">
        <f t="shared" si="302"/>
        <v/>
      </c>
      <c r="E1988" s="14" t="str">
        <f t="shared" si="303"/>
        <v/>
      </c>
      <c r="F1988" s="14" t="str">
        <f t="shared" si="304"/>
        <v/>
      </c>
      <c r="G1988" s="14" t="str">
        <f t="shared" si="305"/>
        <v/>
      </c>
      <c r="H1988" s="14" t="str">
        <f t="shared" si="306"/>
        <v/>
      </c>
      <c r="I1988" s="15" t="str">
        <f t="shared" si="307"/>
        <v/>
      </c>
      <c r="J1988" s="15" t="str">
        <f t="shared" si="309"/>
        <v/>
      </c>
      <c r="K1988" s="16" t="str">
        <f t="shared" si="308"/>
        <v/>
      </c>
      <c r="M1988" t="str">
        <f>IFERROR(MATCH($C$5&amp;"|"&amp;RIGHT("000000"&amp;1972,6),CalcRankKeyA,0),"")</f>
        <v/>
      </c>
      <c r="N1988" t="str">
        <f>IFERROR(MATCH($C$5&amp;"|"&amp;RIGHT("000000"&amp;1972,6),CalcRankKeyB,0),"")</f>
        <v/>
      </c>
    </row>
    <row r="1989" spans="1:14" x14ac:dyDescent="0.2">
      <c r="A1989" s="7">
        <v>1973</v>
      </c>
      <c r="B1989" s="8" t="str">
        <f t="shared" si="300"/>
        <v/>
      </c>
      <c r="C1989" s="8" t="str">
        <f t="shared" si="301"/>
        <v/>
      </c>
      <c r="D1989" s="8" t="str">
        <f t="shared" si="302"/>
        <v/>
      </c>
      <c r="E1989" s="9" t="str">
        <f t="shared" si="303"/>
        <v/>
      </c>
      <c r="F1989" s="9" t="str">
        <f t="shared" si="304"/>
        <v/>
      </c>
      <c r="G1989" s="9" t="str">
        <f t="shared" si="305"/>
        <v/>
      </c>
      <c r="H1989" s="9" t="str">
        <f t="shared" si="306"/>
        <v/>
      </c>
      <c r="I1989" s="10" t="str">
        <f t="shared" si="307"/>
        <v/>
      </c>
      <c r="J1989" s="10" t="str">
        <f t="shared" si="309"/>
        <v/>
      </c>
      <c r="K1989" s="11" t="str">
        <f t="shared" si="308"/>
        <v/>
      </c>
      <c r="M1989" t="str">
        <f>IFERROR(MATCH($C$5&amp;"|"&amp;RIGHT("000000"&amp;1973,6),CalcRankKeyA,0),"")</f>
        <v/>
      </c>
      <c r="N1989" t="str">
        <f>IFERROR(MATCH($C$5&amp;"|"&amp;RIGHT("000000"&amp;1973,6),CalcRankKeyB,0),"")</f>
        <v/>
      </c>
    </row>
    <row r="1990" spans="1:14" x14ac:dyDescent="0.2">
      <c r="A1990" s="12">
        <v>1974</v>
      </c>
      <c r="B1990" s="13" t="str">
        <f t="shared" si="300"/>
        <v/>
      </c>
      <c r="C1990" s="13" t="str">
        <f t="shared" si="301"/>
        <v/>
      </c>
      <c r="D1990" s="13" t="str">
        <f t="shared" si="302"/>
        <v/>
      </c>
      <c r="E1990" s="14" t="str">
        <f t="shared" si="303"/>
        <v/>
      </c>
      <c r="F1990" s="14" t="str">
        <f t="shared" si="304"/>
        <v/>
      </c>
      <c r="G1990" s="14" t="str">
        <f t="shared" si="305"/>
        <v/>
      </c>
      <c r="H1990" s="14" t="str">
        <f t="shared" si="306"/>
        <v/>
      </c>
      <c r="I1990" s="15" t="str">
        <f t="shared" si="307"/>
        <v/>
      </c>
      <c r="J1990" s="15" t="str">
        <f t="shared" si="309"/>
        <v/>
      </c>
      <c r="K1990" s="16" t="str">
        <f t="shared" si="308"/>
        <v/>
      </c>
      <c r="M1990" t="str">
        <f>IFERROR(MATCH($C$5&amp;"|"&amp;RIGHT("000000"&amp;1974,6),CalcRankKeyA,0),"")</f>
        <v/>
      </c>
      <c r="N1990" t="str">
        <f>IFERROR(MATCH($C$5&amp;"|"&amp;RIGHT("000000"&amp;1974,6),CalcRankKeyB,0),"")</f>
        <v/>
      </c>
    </row>
    <row r="1991" spans="1:14" x14ac:dyDescent="0.2">
      <c r="A1991" s="7">
        <v>1975</v>
      </c>
      <c r="B1991" s="8" t="str">
        <f t="shared" si="300"/>
        <v/>
      </c>
      <c r="C1991" s="8" t="str">
        <f t="shared" si="301"/>
        <v/>
      </c>
      <c r="D1991" s="8" t="str">
        <f t="shared" si="302"/>
        <v/>
      </c>
      <c r="E1991" s="9" t="str">
        <f t="shared" si="303"/>
        <v/>
      </c>
      <c r="F1991" s="9" t="str">
        <f t="shared" si="304"/>
        <v/>
      </c>
      <c r="G1991" s="9" t="str">
        <f t="shared" si="305"/>
        <v/>
      </c>
      <c r="H1991" s="9" t="str">
        <f t="shared" si="306"/>
        <v/>
      </c>
      <c r="I1991" s="10" t="str">
        <f t="shared" si="307"/>
        <v/>
      </c>
      <c r="J1991" s="10" t="str">
        <f t="shared" si="309"/>
        <v/>
      </c>
      <c r="K1991" s="11" t="str">
        <f t="shared" si="308"/>
        <v/>
      </c>
      <c r="M1991" t="str">
        <f>IFERROR(MATCH($C$5&amp;"|"&amp;RIGHT("000000"&amp;1975,6),CalcRankKeyA,0),"")</f>
        <v/>
      </c>
      <c r="N1991" t="str">
        <f>IFERROR(MATCH($C$5&amp;"|"&amp;RIGHT("000000"&amp;1975,6),CalcRankKeyB,0),"")</f>
        <v/>
      </c>
    </row>
    <row r="1992" spans="1:14" x14ac:dyDescent="0.2">
      <c r="A1992" s="12">
        <v>1976</v>
      </c>
      <c r="B1992" s="13" t="str">
        <f t="shared" si="300"/>
        <v/>
      </c>
      <c r="C1992" s="13" t="str">
        <f t="shared" si="301"/>
        <v/>
      </c>
      <c r="D1992" s="13" t="str">
        <f t="shared" si="302"/>
        <v/>
      </c>
      <c r="E1992" s="14" t="str">
        <f t="shared" si="303"/>
        <v/>
      </c>
      <c r="F1992" s="14" t="str">
        <f t="shared" si="304"/>
        <v/>
      </c>
      <c r="G1992" s="14" t="str">
        <f t="shared" si="305"/>
        <v/>
      </c>
      <c r="H1992" s="14" t="str">
        <f t="shared" si="306"/>
        <v/>
      </c>
      <c r="I1992" s="15" t="str">
        <f t="shared" si="307"/>
        <v/>
      </c>
      <c r="J1992" s="15" t="str">
        <f t="shared" si="309"/>
        <v/>
      </c>
      <c r="K1992" s="16" t="str">
        <f t="shared" si="308"/>
        <v/>
      </c>
      <c r="M1992" t="str">
        <f>IFERROR(MATCH($C$5&amp;"|"&amp;RIGHT("000000"&amp;1976,6),CalcRankKeyA,0),"")</f>
        <v/>
      </c>
      <c r="N1992" t="str">
        <f>IFERROR(MATCH($C$5&amp;"|"&amp;RIGHT("000000"&amp;1976,6),CalcRankKeyB,0),"")</f>
        <v/>
      </c>
    </row>
    <row r="1993" spans="1:14" x14ac:dyDescent="0.2">
      <c r="A1993" s="7">
        <v>1977</v>
      </c>
      <c r="B1993" s="8" t="str">
        <f t="shared" si="300"/>
        <v/>
      </c>
      <c r="C1993" s="8" t="str">
        <f t="shared" si="301"/>
        <v/>
      </c>
      <c r="D1993" s="8" t="str">
        <f t="shared" si="302"/>
        <v/>
      </c>
      <c r="E1993" s="9" t="str">
        <f t="shared" si="303"/>
        <v/>
      </c>
      <c r="F1993" s="9" t="str">
        <f t="shared" si="304"/>
        <v/>
      </c>
      <c r="G1993" s="9" t="str">
        <f t="shared" si="305"/>
        <v/>
      </c>
      <c r="H1993" s="9" t="str">
        <f t="shared" si="306"/>
        <v/>
      </c>
      <c r="I1993" s="10" t="str">
        <f t="shared" si="307"/>
        <v/>
      </c>
      <c r="J1993" s="10" t="str">
        <f t="shared" si="309"/>
        <v/>
      </c>
      <c r="K1993" s="11" t="str">
        <f t="shared" si="308"/>
        <v/>
      </c>
      <c r="M1993" t="str">
        <f>IFERROR(MATCH($C$5&amp;"|"&amp;RIGHT("000000"&amp;1977,6),CalcRankKeyA,0),"")</f>
        <v/>
      </c>
      <c r="N1993" t="str">
        <f>IFERROR(MATCH($C$5&amp;"|"&amp;RIGHT("000000"&amp;1977,6),CalcRankKeyB,0),"")</f>
        <v/>
      </c>
    </row>
    <row r="1994" spans="1:14" x14ac:dyDescent="0.2">
      <c r="A1994" s="12">
        <v>1978</v>
      </c>
      <c r="B1994" s="13" t="str">
        <f t="shared" si="300"/>
        <v/>
      </c>
      <c r="C1994" s="13" t="str">
        <f t="shared" si="301"/>
        <v/>
      </c>
      <c r="D1994" s="13" t="str">
        <f t="shared" si="302"/>
        <v/>
      </c>
      <c r="E1994" s="14" t="str">
        <f t="shared" si="303"/>
        <v/>
      </c>
      <c r="F1994" s="14" t="str">
        <f t="shared" si="304"/>
        <v/>
      </c>
      <c r="G1994" s="14" t="str">
        <f t="shared" si="305"/>
        <v/>
      </c>
      <c r="H1994" s="14" t="str">
        <f t="shared" si="306"/>
        <v/>
      </c>
      <c r="I1994" s="15" t="str">
        <f t="shared" si="307"/>
        <v/>
      </c>
      <c r="J1994" s="15" t="str">
        <f t="shared" si="309"/>
        <v/>
      </c>
      <c r="K1994" s="16" t="str">
        <f t="shared" si="308"/>
        <v/>
      </c>
      <c r="M1994" t="str">
        <f>IFERROR(MATCH($C$5&amp;"|"&amp;RIGHT("000000"&amp;1978,6),CalcRankKeyA,0),"")</f>
        <v/>
      </c>
      <c r="N1994" t="str">
        <f>IFERROR(MATCH($C$5&amp;"|"&amp;RIGHT("000000"&amp;1978,6),CalcRankKeyB,0),"")</f>
        <v/>
      </c>
    </row>
    <row r="1995" spans="1:14" x14ac:dyDescent="0.2">
      <c r="A1995" s="7">
        <v>1979</v>
      </c>
      <c r="B1995" s="8" t="str">
        <f t="shared" si="300"/>
        <v/>
      </c>
      <c r="C1995" s="8" t="str">
        <f t="shared" si="301"/>
        <v/>
      </c>
      <c r="D1995" s="8" t="str">
        <f t="shared" si="302"/>
        <v/>
      </c>
      <c r="E1995" s="9" t="str">
        <f t="shared" si="303"/>
        <v/>
      </c>
      <c r="F1995" s="9" t="str">
        <f t="shared" si="304"/>
        <v/>
      </c>
      <c r="G1995" s="9" t="str">
        <f t="shared" si="305"/>
        <v/>
      </c>
      <c r="H1995" s="9" t="str">
        <f t="shared" si="306"/>
        <v/>
      </c>
      <c r="I1995" s="10" t="str">
        <f t="shared" si="307"/>
        <v/>
      </c>
      <c r="J1995" s="10" t="str">
        <f t="shared" si="309"/>
        <v/>
      </c>
      <c r="K1995" s="11" t="str">
        <f t="shared" si="308"/>
        <v/>
      </c>
      <c r="M1995" t="str">
        <f>IFERROR(MATCH($C$5&amp;"|"&amp;RIGHT("000000"&amp;1979,6),CalcRankKeyA,0),"")</f>
        <v/>
      </c>
      <c r="N1995" t="str">
        <f>IFERROR(MATCH($C$5&amp;"|"&amp;RIGHT("000000"&amp;1979,6),CalcRankKeyB,0),"")</f>
        <v/>
      </c>
    </row>
    <row r="1996" spans="1:14" x14ac:dyDescent="0.2">
      <c r="A1996" s="12">
        <v>1980</v>
      </c>
      <c r="B1996" s="13" t="str">
        <f t="shared" si="300"/>
        <v/>
      </c>
      <c r="C1996" s="13" t="str">
        <f t="shared" si="301"/>
        <v/>
      </c>
      <c r="D1996" s="13" t="str">
        <f t="shared" si="302"/>
        <v/>
      </c>
      <c r="E1996" s="14" t="str">
        <f t="shared" si="303"/>
        <v/>
      </c>
      <c r="F1996" s="14" t="str">
        <f t="shared" si="304"/>
        <v/>
      </c>
      <c r="G1996" s="14" t="str">
        <f t="shared" si="305"/>
        <v/>
      </c>
      <c r="H1996" s="14" t="str">
        <f t="shared" si="306"/>
        <v/>
      </c>
      <c r="I1996" s="15" t="str">
        <f t="shared" si="307"/>
        <v/>
      </c>
      <c r="J1996" s="15" t="str">
        <f t="shared" si="309"/>
        <v/>
      </c>
      <c r="K1996" s="16" t="str">
        <f t="shared" si="308"/>
        <v/>
      </c>
      <c r="M1996" t="str">
        <f>IFERROR(MATCH($C$5&amp;"|"&amp;RIGHT("000000"&amp;1980,6),CalcRankKeyA,0),"")</f>
        <v/>
      </c>
      <c r="N1996" t="str">
        <f>IFERROR(MATCH($C$5&amp;"|"&amp;RIGHT("000000"&amp;1980,6),CalcRankKeyB,0),"")</f>
        <v/>
      </c>
    </row>
    <row r="1997" spans="1:14" x14ac:dyDescent="0.2">
      <c r="A1997" s="7">
        <v>1981</v>
      </c>
      <c r="B1997" s="8" t="str">
        <f t="shared" si="300"/>
        <v/>
      </c>
      <c r="C1997" s="8" t="str">
        <f t="shared" si="301"/>
        <v/>
      </c>
      <c r="D1997" s="8" t="str">
        <f t="shared" si="302"/>
        <v/>
      </c>
      <c r="E1997" s="9" t="str">
        <f t="shared" si="303"/>
        <v/>
      </c>
      <c r="F1997" s="9" t="str">
        <f t="shared" si="304"/>
        <v/>
      </c>
      <c r="G1997" s="9" t="str">
        <f t="shared" si="305"/>
        <v/>
      </c>
      <c r="H1997" s="9" t="str">
        <f t="shared" si="306"/>
        <v/>
      </c>
      <c r="I1997" s="10" t="str">
        <f t="shared" si="307"/>
        <v/>
      </c>
      <c r="J1997" s="10" t="str">
        <f t="shared" si="309"/>
        <v/>
      </c>
      <c r="K1997" s="11" t="str">
        <f t="shared" si="308"/>
        <v/>
      </c>
      <c r="M1997" t="str">
        <f>IFERROR(MATCH($C$5&amp;"|"&amp;RIGHT("000000"&amp;1981,6),CalcRankKeyA,0),"")</f>
        <v/>
      </c>
      <c r="N1997" t="str">
        <f>IFERROR(MATCH($C$5&amp;"|"&amp;RIGHT("000000"&amp;1981,6),CalcRankKeyB,0),"")</f>
        <v/>
      </c>
    </row>
    <row r="1998" spans="1:14" x14ac:dyDescent="0.2">
      <c r="A1998" s="12">
        <v>1982</v>
      </c>
      <c r="B1998" s="13" t="str">
        <f t="shared" si="300"/>
        <v/>
      </c>
      <c r="C1998" s="13" t="str">
        <f t="shared" si="301"/>
        <v/>
      </c>
      <c r="D1998" s="13" t="str">
        <f t="shared" si="302"/>
        <v/>
      </c>
      <c r="E1998" s="14" t="str">
        <f t="shared" si="303"/>
        <v/>
      </c>
      <c r="F1998" s="14" t="str">
        <f t="shared" si="304"/>
        <v/>
      </c>
      <c r="G1998" s="14" t="str">
        <f t="shared" si="305"/>
        <v/>
      </c>
      <c r="H1998" s="14" t="str">
        <f t="shared" si="306"/>
        <v/>
      </c>
      <c r="I1998" s="15" t="str">
        <f t="shared" si="307"/>
        <v/>
      </c>
      <c r="J1998" s="15" t="str">
        <f t="shared" si="309"/>
        <v/>
      </c>
      <c r="K1998" s="16" t="str">
        <f t="shared" si="308"/>
        <v/>
      </c>
      <c r="M1998" t="str">
        <f>IFERROR(MATCH($C$5&amp;"|"&amp;RIGHT("000000"&amp;1982,6),CalcRankKeyA,0),"")</f>
        <v/>
      </c>
      <c r="N1998" t="str">
        <f>IFERROR(MATCH($C$5&amp;"|"&amp;RIGHT("000000"&amp;1982,6),CalcRankKeyB,0),"")</f>
        <v/>
      </c>
    </row>
    <row r="1999" spans="1:14" x14ac:dyDescent="0.2">
      <c r="A1999" s="7">
        <v>1983</v>
      </c>
      <c r="B1999" s="8" t="str">
        <f t="shared" si="300"/>
        <v/>
      </c>
      <c r="C1999" s="8" t="str">
        <f t="shared" si="301"/>
        <v/>
      </c>
      <c r="D1999" s="8" t="str">
        <f t="shared" si="302"/>
        <v/>
      </c>
      <c r="E1999" s="9" t="str">
        <f t="shared" si="303"/>
        <v/>
      </c>
      <c r="F1999" s="9" t="str">
        <f t="shared" si="304"/>
        <v/>
      </c>
      <c r="G1999" s="9" t="str">
        <f t="shared" si="305"/>
        <v/>
      </c>
      <c r="H1999" s="9" t="str">
        <f t="shared" si="306"/>
        <v/>
      </c>
      <c r="I1999" s="10" t="str">
        <f t="shared" si="307"/>
        <v/>
      </c>
      <c r="J1999" s="10" t="str">
        <f t="shared" si="309"/>
        <v/>
      </c>
      <c r="K1999" s="11" t="str">
        <f t="shared" si="308"/>
        <v/>
      </c>
      <c r="M1999" t="str">
        <f>IFERROR(MATCH($C$5&amp;"|"&amp;RIGHT("000000"&amp;1983,6),CalcRankKeyA,0),"")</f>
        <v/>
      </c>
      <c r="N1999" t="str">
        <f>IFERROR(MATCH($C$5&amp;"|"&amp;RIGHT("000000"&amp;1983,6),CalcRankKeyB,0),"")</f>
        <v/>
      </c>
    </row>
    <row r="2000" spans="1:14" x14ac:dyDescent="0.2">
      <c r="A2000" s="12">
        <v>1984</v>
      </c>
      <c r="B2000" s="13" t="str">
        <f t="shared" si="300"/>
        <v/>
      </c>
      <c r="C2000" s="13" t="str">
        <f t="shared" si="301"/>
        <v/>
      </c>
      <c r="D2000" s="13" t="str">
        <f t="shared" si="302"/>
        <v/>
      </c>
      <c r="E2000" s="14" t="str">
        <f t="shared" si="303"/>
        <v/>
      </c>
      <c r="F2000" s="14" t="str">
        <f t="shared" si="304"/>
        <v/>
      </c>
      <c r="G2000" s="14" t="str">
        <f t="shared" si="305"/>
        <v/>
      </c>
      <c r="H2000" s="14" t="str">
        <f t="shared" si="306"/>
        <v/>
      </c>
      <c r="I2000" s="15" t="str">
        <f t="shared" si="307"/>
        <v/>
      </c>
      <c r="J2000" s="15" t="str">
        <f t="shared" si="309"/>
        <v/>
      </c>
      <c r="K2000" s="16" t="str">
        <f t="shared" si="308"/>
        <v/>
      </c>
      <c r="M2000" t="str">
        <f>IFERROR(MATCH($C$5&amp;"|"&amp;RIGHT("000000"&amp;1984,6),CalcRankKeyA,0),"")</f>
        <v/>
      </c>
      <c r="N2000" t="str">
        <f>IFERROR(MATCH($C$5&amp;"|"&amp;RIGHT("000000"&amp;1984,6),CalcRankKeyB,0),"")</f>
        <v/>
      </c>
    </row>
    <row r="2001" spans="1:14" x14ac:dyDescent="0.2">
      <c r="A2001" s="7">
        <v>1985</v>
      </c>
      <c r="B2001" s="8" t="str">
        <f t="shared" ref="B2001:B2016" si="310">IF(AND($M2001="",$N2001=""),"",IF($M2001&lt;&gt;"",INDEX(CalcDateA,$M2001),INDEX(CalcDateB,$N2001)))</f>
        <v/>
      </c>
      <c r="C2001" s="8" t="str">
        <f t="shared" ref="C2001:C2016" si="311">IF($M2001&lt;&gt;"","خرید سبد",IF($N2001&lt;&gt;"",IF(N(INDEX(CalcDepB,$N2001))&gt;0,"دریافت بانکی","پرداخت بانکی"),""))</f>
        <v/>
      </c>
      <c r="D2001" s="8" t="str">
        <f t="shared" ref="D2001:D2016" si="312">IF($M2001&lt;&gt;"",IF(INDEX(CalcDocA,$M2001)="","—",INDEX(CalcDocA,$M2001)),IF($N2001&lt;&gt;"",INDEX(CalcBankB,$N2001),""))</f>
        <v/>
      </c>
      <c r="E2001" s="9" t="str">
        <f t="shared" ref="E2001:E2016" si="313">IF($N2001&lt;&gt;"",IF(INDEX(CalcDepB,$N2001)=0,"",INDEX(CalcDepB,$N2001)),"")</f>
        <v/>
      </c>
      <c r="F2001" s="9" t="str">
        <f t="shared" ref="F2001:F2016" si="314">IF($M2001&lt;&gt;"",IF(INDEX(CalcQtyA,$M2001)=0,"",INDEX(CalcQtyA,$M2001)),"")</f>
        <v/>
      </c>
      <c r="G2001" s="9" t="str">
        <f t="shared" ref="G2001:G2016" si="315">IF($M2001&lt;&gt;"",IF(INDEX(CalcPriceA,$M2001)=0,"",INDEX(CalcPriceA,$M2001)),"")</f>
        <v/>
      </c>
      <c r="H2001" s="9" t="str">
        <f t="shared" ref="H2001:H2016" si="316">IF($N2001&lt;&gt;"",IF(INDEX(CalcWitB,$N2001)=0,"",INDEX(CalcWitB,$N2001)),"")</f>
        <v/>
      </c>
      <c r="I2001" s="10" t="str">
        <f t="shared" ref="I2001:I2016" si="317">IF($M2001&lt;&gt;"",INDEX(CalcAmtA,$M2001),"")</f>
        <v/>
      </c>
      <c r="J2001" s="10" t="str">
        <f t="shared" si="309"/>
        <v/>
      </c>
      <c r="K2001" s="11" t="str">
        <f t="shared" ref="K2001:K2016" si="318">IF($M2001&lt;&gt;"",IF(INDEX(CalcNoteA,$M2001)="","—",INDEX(CalcNoteA,$M2001)),IF($N2001&lt;&gt;"",IF(INDEX(CalcNoteB,$N2001)="","—",INDEX(CalcNoteB,$N2001)),""))</f>
        <v/>
      </c>
      <c r="M2001" t="str">
        <f>IFERROR(MATCH($C$5&amp;"|"&amp;RIGHT("000000"&amp;1985,6),CalcRankKeyA,0),"")</f>
        <v/>
      </c>
      <c r="N2001" t="str">
        <f>IFERROR(MATCH($C$5&amp;"|"&amp;RIGHT("000000"&amp;1985,6),CalcRankKeyB,0),"")</f>
        <v/>
      </c>
    </row>
    <row r="2002" spans="1:14" x14ac:dyDescent="0.2">
      <c r="A2002" s="12">
        <v>1986</v>
      </c>
      <c r="B2002" s="13" t="str">
        <f t="shared" si="310"/>
        <v/>
      </c>
      <c r="C2002" s="13" t="str">
        <f t="shared" si="311"/>
        <v/>
      </c>
      <c r="D2002" s="13" t="str">
        <f t="shared" si="312"/>
        <v/>
      </c>
      <c r="E2002" s="14" t="str">
        <f t="shared" si="313"/>
        <v/>
      </c>
      <c r="F2002" s="14" t="str">
        <f t="shared" si="314"/>
        <v/>
      </c>
      <c r="G2002" s="14" t="str">
        <f t="shared" si="315"/>
        <v/>
      </c>
      <c r="H2002" s="14" t="str">
        <f t="shared" si="316"/>
        <v/>
      </c>
      <c r="I2002" s="15" t="str">
        <f t="shared" si="317"/>
        <v/>
      </c>
      <c r="J2002" s="15" t="str">
        <f t="shared" ref="J2002:J2016" si="319">IF($B2002="","",IF($J2001="",$C$8,$J2001)+IF($I2002="",0,$I2002)+IF($E2002="",0,$E2002)-IF($H2002="",0,$H2002))</f>
        <v/>
      </c>
      <c r="K2002" s="16" t="str">
        <f t="shared" si="318"/>
        <v/>
      </c>
      <c r="M2002" t="str">
        <f>IFERROR(MATCH($C$5&amp;"|"&amp;RIGHT("000000"&amp;1986,6),CalcRankKeyA,0),"")</f>
        <v/>
      </c>
      <c r="N2002" t="str">
        <f>IFERROR(MATCH($C$5&amp;"|"&amp;RIGHT("000000"&amp;1986,6),CalcRankKeyB,0),"")</f>
        <v/>
      </c>
    </row>
    <row r="2003" spans="1:14" x14ac:dyDescent="0.2">
      <c r="A2003" s="7">
        <v>1987</v>
      </c>
      <c r="B2003" s="8" t="str">
        <f t="shared" si="310"/>
        <v/>
      </c>
      <c r="C2003" s="8" t="str">
        <f t="shared" si="311"/>
        <v/>
      </c>
      <c r="D2003" s="8" t="str">
        <f t="shared" si="312"/>
        <v/>
      </c>
      <c r="E2003" s="9" t="str">
        <f t="shared" si="313"/>
        <v/>
      </c>
      <c r="F2003" s="9" t="str">
        <f t="shared" si="314"/>
        <v/>
      </c>
      <c r="G2003" s="9" t="str">
        <f t="shared" si="315"/>
        <v/>
      </c>
      <c r="H2003" s="9" t="str">
        <f t="shared" si="316"/>
        <v/>
      </c>
      <c r="I2003" s="10" t="str">
        <f t="shared" si="317"/>
        <v/>
      </c>
      <c r="J2003" s="10" t="str">
        <f t="shared" si="319"/>
        <v/>
      </c>
      <c r="K2003" s="11" t="str">
        <f t="shared" si="318"/>
        <v/>
      </c>
      <c r="M2003" t="str">
        <f>IFERROR(MATCH($C$5&amp;"|"&amp;RIGHT("000000"&amp;1987,6),CalcRankKeyA,0),"")</f>
        <v/>
      </c>
      <c r="N2003" t="str">
        <f>IFERROR(MATCH($C$5&amp;"|"&amp;RIGHT("000000"&amp;1987,6),CalcRankKeyB,0),"")</f>
        <v/>
      </c>
    </row>
    <row r="2004" spans="1:14" x14ac:dyDescent="0.2">
      <c r="A2004" s="12">
        <v>1988</v>
      </c>
      <c r="B2004" s="13" t="str">
        <f t="shared" si="310"/>
        <v/>
      </c>
      <c r="C2004" s="13" t="str">
        <f t="shared" si="311"/>
        <v/>
      </c>
      <c r="D2004" s="13" t="str">
        <f t="shared" si="312"/>
        <v/>
      </c>
      <c r="E2004" s="14" t="str">
        <f t="shared" si="313"/>
        <v/>
      </c>
      <c r="F2004" s="14" t="str">
        <f t="shared" si="314"/>
        <v/>
      </c>
      <c r="G2004" s="14" t="str">
        <f t="shared" si="315"/>
        <v/>
      </c>
      <c r="H2004" s="14" t="str">
        <f t="shared" si="316"/>
        <v/>
      </c>
      <c r="I2004" s="15" t="str">
        <f t="shared" si="317"/>
        <v/>
      </c>
      <c r="J2004" s="15" t="str">
        <f t="shared" si="319"/>
        <v/>
      </c>
      <c r="K2004" s="16" t="str">
        <f t="shared" si="318"/>
        <v/>
      </c>
      <c r="M2004" t="str">
        <f>IFERROR(MATCH($C$5&amp;"|"&amp;RIGHT("000000"&amp;1988,6),CalcRankKeyA,0),"")</f>
        <v/>
      </c>
      <c r="N2004" t="str">
        <f>IFERROR(MATCH($C$5&amp;"|"&amp;RIGHT("000000"&amp;1988,6),CalcRankKeyB,0),"")</f>
        <v/>
      </c>
    </row>
    <row r="2005" spans="1:14" x14ac:dyDescent="0.2">
      <c r="A2005" s="7">
        <v>1989</v>
      </c>
      <c r="B2005" s="8" t="str">
        <f t="shared" si="310"/>
        <v/>
      </c>
      <c r="C2005" s="8" t="str">
        <f t="shared" si="311"/>
        <v/>
      </c>
      <c r="D2005" s="8" t="str">
        <f t="shared" si="312"/>
        <v/>
      </c>
      <c r="E2005" s="9" t="str">
        <f t="shared" si="313"/>
        <v/>
      </c>
      <c r="F2005" s="9" t="str">
        <f t="shared" si="314"/>
        <v/>
      </c>
      <c r="G2005" s="9" t="str">
        <f t="shared" si="315"/>
        <v/>
      </c>
      <c r="H2005" s="9" t="str">
        <f t="shared" si="316"/>
        <v/>
      </c>
      <c r="I2005" s="10" t="str">
        <f t="shared" si="317"/>
        <v/>
      </c>
      <c r="J2005" s="10" t="str">
        <f t="shared" si="319"/>
        <v/>
      </c>
      <c r="K2005" s="11" t="str">
        <f t="shared" si="318"/>
        <v/>
      </c>
      <c r="M2005" t="str">
        <f>IFERROR(MATCH($C$5&amp;"|"&amp;RIGHT("000000"&amp;1989,6),CalcRankKeyA,0),"")</f>
        <v/>
      </c>
      <c r="N2005" t="str">
        <f>IFERROR(MATCH($C$5&amp;"|"&amp;RIGHT("000000"&amp;1989,6),CalcRankKeyB,0),"")</f>
        <v/>
      </c>
    </row>
    <row r="2006" spans="1:14" x14ac:dyDescent="0.2">
      <c r="A2006" s="12">
        <v>1990</v>
      </c>
      <c r="B2006" s="13" t="str">
        <f t="shared" si="310"/>
        <v/>
      </c>
      <c r="C2006" s="13" t="str">
        <f t="shared" si="311"/>
        <v/>
      </c>
      <c r="D2006" s="13" t="str">
        <f t="shared" si="312"/>
        <v/>
      </c>
      <c r="E2006" s="14" t="str">
        <f t="shared" si="313"/>
        <v/>
      </c>
      <c r="F2006" s="14" t="str">
        <f t="shared" si="314"/>
        <v/>
      </c>
      <c r="G2006" s="14" t="str">
        <f t="shared" si="315"/>
        <v/>
      </c>
      <c r="H2006" s="14" t="str">
        <f t="shared" si="316"/>
        <v/>
      </c>
      <c r="I2006" s="15" t="str">
        <f t="shared" si="317"/>
        <v/>
      </c>
      <c r="J2006" s="15" t="str">
        <f t="shared" si="319"/>
        <v/>
      </c>
      <c r="K2006" s="16" t="str">
        <f t="shared" si="318"/>
        <v/>
      </c>
      <c r="M2006" t="str">
        <f>IFERROR(MATCH($C$5&amp;"|"&amp;RIGHT("000000"&amp;1990,6),CalcRankKeyA,0),"")</f>
        <v/>
      </c>
      <c r="N2006" t="str">
        <f>IFERROR(MATCH($C$5&amp;"|"&amp;RIGHT("000000"&amp;1990,6),CalcRankKeyB,0),"")</f>
        <v/>
      </c>
    </row>
    <row r="2007" spans="1:14" x14ac:dyDescent="0.2">
      <c r="A2007" s="7">
        <v>1991</v>
      </c>
      <c r="B2007" s="8" t="str">
        <f t="shared" si="310"/>
        <v/>
      </c>
      <c r="C2007" s="8" t="str">
        <f t="shared" si="311"/>
        <v/>
      </c>
      <c r="D2007" s="8" t="str">
        <f t="shared" si="312"/>
        <v/>
      </c>
      <c r="E2007" s="9" t="str">
        <f t="shared" si="313"/>
        <v/>
      </c>
      <c r="F2007" s="9" t="str">
        <f t="shared" si="314"/>
        <v/>
      </c>
      <c r="G2007" s="9" t="str">
        <f t="shared" si="315"/>
        <v/>
      </c>
      <c r="H2007" s="9" t="str">
        <f t="shared" si="316"/>
        <v/>
      </c>
      <c r="I2007" s="10" t="str">
        <f t="shared" si="317"/>
        <v/>
      </c>
      <c r="J2007" s="10" t="str">
        <f t="shared" si="319"/>
        <v/>
      </c>
      <c r="K2007" s="11" t="str">
        <f t="shared" si="318"/>
        <v/>
      </c>
      <c r="M2007" t="str">
        <f>IFERROR(MATCH($C$5&amp;"|"&amp;RIGHT("000000"&amp;1991,6),CalcRankKeyA,0),"")</f>
        <v/>
      </c>
      <c r="N2007" t="str">
        <f>IFERROR(MATCH($C$5&amp;"|"&amp;RIGHT("000000"&amp;1991,6),CalcRankKeyB,0),"")</f>
        <v/>
      </c>
    </row>
    <row r="2008" spans="1:14" x14ac:dyDescent="0.2">
      <c r="A2008" s="12">
        <v>1992</v>
      </c>
      <c r="B2008" s="13" t="str">
        <f t="shared" si="310"/>
        <v/>
      </c>
      <c r="C2008" s="13" t="str">
        <f t="shared" si="311"/>
        <v/>
      </c>
      <c r="D2008" s="13" t="str">
        <f t="shared" si="312"/>
        <v/>
      </c>
      <c r="E2008" s="14" t="str">
        <f t="shared" si="313"/>
        <v/>
      </c>
      <c r="F2008" s="14" t="str">
        <f t="shared" si="314"/>
        <v/>
      </c>
      <c r="G2008" s="14" t="str">
        <f t="shared" si="315"/>
        <v/>
      </c>
      <c r="H2008" s="14" t="str">
        <f t="shared" si="316"/>
        <v/>
      </c>
      <c r="I2008" s="15" t="str">
        <f t="shared" si="317"/>
        <v/>
      </c>
      <c r="J2008" s="15" t="str">
        <f t="shared" si="319"/>
        <v/>
      </c>
      <c r="K2008" s="16" t="str">
        <f t="shared" si="318"/>
        <v/>
      </c>
      <c r="M2008" t="str">
        <f>IFERROR(MATCH($C$5&amp;"|"&amp;RIGHT("000000"&amp;1992,6),CalcRankKeyA,0),"")</f>
        <v/>
      </c>
      <c r="N2008" t="str">
        <f>IFERROR(MATCH($C$5&amp;"|"&amp;RIGHT("000000"&amp;1992,6),CalcRankKeyB,0),"")</f>
        <v/>
      </c>
    </row>
    <row r="2009" spans="1:14" x14ac:dyDescent="0.2">
      <c r="A2009" s="7">
        <v>1993</v>
      </c>
      <c r="B2009" s="8" t="str">
        <f t="shared" si="310"/>
        <v/>
      </c>
      <c r="C2009" s="8" t="str">
        <f t="shared" si="311"/>
        <v/>
      </c>
      <c r="D2009" s="8" t="str">
        <f t="shared" si="312"/>
        <v/>
      </c>
      <c r="E2009" s="9" t="str">
        <f t="shared" si="313"/>
        <v/>
      </c>
      <c r="F2009" s="9" t="str">
        <f t="shared" si="314"/>
        <v/>
      </c>
      <c r="G2009" s="9" t="str">
        <f t="shared" si="315"/>
        <v/>
      </c>
      <c r="H2009" s="9" t="str">
        <f t="shared" si="316"/>
        <v/>
      </c>
      <c r="I2009" s="10" t="str">
        <f t="shared" si="317"/>
        <v/>
      </c>
      <c r="J2009" s="10" t="str">
        <f t="shared" si="319"/>
        <v/>
      </c>
      <c r="K2009" s="11" t="str">
        <f t="shared" si="318"/>
        <v/>
      </c>
      <c r="M2009" t="str">
        <f>IFERROR(MATCH($C$5&amp;"|"&amp;RIGHT("000000"&amp;1993,6),CalcRankKeyA,0),"")</f>
        <v/>
      </c>
      <c r="N2009" t="str">
        <f>IFERROR(MATCH($C$5&amp;"|"&amp;RIGHT("000000"&amp;1993,6),CalcRankKeyB,0),"")</f>
        <v/>
      </c>
    </row>
    <row r="2010" spans="1:14" x14ac:dyDescent="0.2">
      <c r="A2010" s="12">
        <v>1994</v>
      </c>
      <c r="B2010" s="13" t="str">
        <f t="shared" si="310"/>
        <v/>
      </c>
      <c r="C2010" s="13" t="str">
        <f t="shared" si="311"/>
        <v/>
      </c>
      <c r="D2010" s="13" t="str">
        <f t="shared" si="312"/>
        <v/>
      </c>
      <c r="E2010" s="14" t="str">
        <f t="shared" si="313"/>
        <v/>
      </c>
      <c r="F2010" s="14" t="str">
        <f t="shared" si="314"/>
        <v/>
      </c>
      <c r="G2010" s="14" t="str">
        <f t="shared" si="315"/>
        <v/>
      </c>
      <c r="H2010" s="14" t="str">
        <f t="shared" si="316"/>
        <v/>
      </c>
      <c r="I2010" s="15" t="str">
        <f t="shared" si="317"/>
        <v/>
      </c>
      <c r="J2010" s="15" t="str">
        <f t="shared" si="319"/>
        <v/>
      </c>
      <c r="K2010" s="16" t="str">
        <f t="shared" si="318"/>
        <v/>
      </c>
      <c r="M2010" t="str">
        <f>IFERROR(MATCH($C$5&amp;"|"&amp;RIGHT("000000"&amp;1994,6),CalcRankKeyA,0),"")</f>
        <v/>
      </c>
      <c r="N2010" t="str">
        <f>IFERROR(MATCH($C$5&amp;"|"&amp;RIGHT("000000"&amp;1994,6),CalcRankKeyB,0),"")</f>
        <v/>
      </c>
    </row>
    <row r="2011" spans="1:14" x14ac:dyDescent="0.2">
      <c r="A2011" s="7">
        <v>1995</v>
      </c>
      <c r="B2011" s="8" t="str">
        <f t="shared" si="310"/>
        <v/>
      </c>
      <c r="C2011" s="8" t="str">
        <f t="shared" si="311"/>
        <v/>
      </c>
      <c r="D2011" s="8" t="str">
        <f t="shared" si="312"/>
        <v/>
      </c>
      <c r="E2011" s="9" t="str">
        <f t="shared" si="313"/>
        <v/>
      </c>
      <c r="F2011" s="9" t="str">
        <f t="shared" si="314"/>
        <v/>
      </c>
      <c r="G2011" s="9" t="str">
        <f t="shared" si="315"/>
        <v/>
      </c>
      <c r="H2011" s="9" t="str">
        <f t="shared" si="316"/>
        <v/>
      </c>
      <c r="I2011" s="10" t="str">
        <f t="shared" si="317"/>
        <v/>
      </c>
      <c r="J2011" s="10" t="str">
        <f t="shared" si="319"/>
        <v/>
      </c>
      <c r="K2011" s="11" t="str">
        <f t="shared" si="318"/>
        <v/>
      </c>
      <c r="M2011" t="str">
        <f>IFERROR(MATCH($C$5&amp;"|"&amp;RIGHT("000000"&amp;1995,6),CalcRankKeyA,0),"")</f>
        <v/>
      </c>
      <c r="N2011" t="str">
        <f>IFERROR(MATCH($C$5&amp;"|"&amp;RIGHT("000000"&amp;1995,6),CalcRankKeyB,0),"")</f>
        <v/>
      </c>
    </row>
    <row r="2012" spans="1:14" x14ac:dyDescent="0.2">
      <c r="A2012" s="12">
        <v>1996</v>
      </c>
      <c r="B2012" s="13" t="str">
        <f t="shared" si="310"/>
        <v/>
      </c>
      <c r="C2012" s="13" t="str">
        <f t="shared" si="311"/>
        <v/>
      </c>
      <c r="D2012" s="13" t="str">
        <f t="shared" si="312"/>
        <v/>
      </c>
      <c r="E2012" s="14" t="str">
        <f t="shared" si="313"/>
        <v/>
      </c>
      <c r="F2012" s="14" t="str">
        <f t="shared" si="314"/>
        <v/>
      </c>
      <c r="G2012" s="14" t="str">
        <f t="shared" si="315"/>
        <v/>
      </c>
      <c r="H2012" s="14" t="str">
        <f t="shared" si="316"/>
        <v/>
      </c>
      <c r="I2012" s="15" t="str">
        <f t="shared" si="317"/>
        <v/>
      </c>
      <c r="J2012" s="15" t="str">
        <f t="shared" si="319"/>
        <v/>
      </c>
      <c r="K2012" s="16" t="str">
        <f t="shared" si="318"/>
        <v/>
      </c>
      <c r="M2012" t="str">
        <f>IFERROR(MATCH($C$5&amp;"|"&amp;RIGHT("000000"&amp;1996,6),CalcRankKeyA,0),"")</f>
        <v/>
      </c>
      <c r="N2012" t="str">
        <f>IFERROR(MATCH($C$5&amp;"|"&amp;RIGHT("000000"&amp;1996,6),CalcRankKeyB,0),"")</f>
        <v/>
      </c>
    </row>
    <row r="2013" spans="1:14" x14ac:dyDescent="0.2">
      <c r="A2013" s="7">
        <v>1997</v>
      </c>
      <c r="B2013" s="8" t="str">
        <f t="shared" si="310"/>
        <v/>
      </c>
      <c r="C2013" s="8" t="str">
        <f t="shared" si="311"/>
        <v/>
      </c>
      <c r="D2013" s="8" t="str">
        <f t="shared" si="312"/>
        <v/>
      </c>
      <c r="E2013" s="9" t="str">
        <f t="shared" si="313"/>
        <v/>
      </c>
      <c r="F2013" s="9" t="str">
        <f t="shared" si="314"/>
        <v/>
      </c>
      <c r="G2013" s="9" t="str">
        <f t="shared" si="315"/>
        <v/>
      </c>
      <c r="H2013" s="9" t="str">
        <f t="shared" si="316"/>
        <v/>
      </c>
      <c r="I2013" s="10" t="str">
        <f t="shared" si="317"/>
        <v/>
      </c>
      <c r="J2013" s="10" t="str">
        <f t="shared" si="319"/>
        <v/>
      </c>
      <c r="K2013" s="11" t="str">
        <f t="shared" si="318"/>
        <v/>
      </c>
      <c r="M2013" t="str">
        <f>IFERROR(MATCH($C$5&amp;"|"&amp;RIGHT("000000"&amp;1997,6),CalcRankKeyA,0),"")</f>
        <v/>
      </c>
      <c r="N2013" t="str">
        <f>IFERROR(MATCH($C$5&amp;"|"&amp;RIGHT("000000"&amp;1997,6),CalcRankKeyB,0),"")</f>
        <v/>
      </c>
    </row>
    <row r="2014" spans="1:14" x14ac:dyDescent="0.2">
      <c r="A2014" s="12">
        <v>1998</v>
      </c>
      <c r="B2014" s="13" t="str">
        <f t="shared" si="310"/>
        <v/>
      </c>
      <c r="C2014" s="13" t="str">
        <f t="shared" si="311"/>
        <v/>
      </c>
      <c r="D2014" s="13" t="str">
        <f t="shared" si="312"/>
        <v/>
      </c>
      <c r="E2014" s="14" t="str">
        <f t="shared" si="313"/>
        <v/>
      </c>
      <c r="F2014" s="14" t="str">
        <f t="shared" si="314"/>
        <v/>
      </c>
      <c r="G2014" s="14" t="str">
        <f t="shared" si="315"/>
        <v/>
      </c>
      <c r="H2014" s="14" t="str">
        <f t="shared" si="316"/>
        <v/>
      </c>
      <c r="I2014" s="15" t="str">
        <f t="shared" si="317"/>
        <v/>
      </c>
      <c r="J2014" s="15" t="str">
        <f t="shared" si="319"/>
        <v/>
      </c>
      <c r="K2014" s="16" t="str">
        <f t="shared" si="318"/>
        <v/>
      </c>
      <c r="M2014" t="str">
        <f>IFERROR(MATCH($C$5&amp;"|"&amp;RIGHT("000000"&amp;1998,6),CalcRankKeyA,0),"")</f>
        <v/>
      </c>
      <c r="N2014" t="str">
        <f>IFERROR(MATCH($C$5&amp;"|"&amp;RIGHT("000000"&amp;1998,6),CalcRankKeyB,0),"")</f>
        <v/>
      </c>
    </row>
    <row r="2015" spans="1:14" x14ac:dyDescent="0.2">
      <c r="A2015" s="7">
        <v>1999</v>
      </c>
      <c r="B2015" s="8" t="str">
        <f t="shared" si="310"/>
        <v/>
      </c>
      <c r="C2015" s="8" t="str">
        <f t="shared" si="311"/>
        <v/>
      </c>
      <c r="D2015" s="8" t="str">
        <f t="shared" si="312"/>
        <v/>
      </c>
      <c r="E2015" s="9" t="str">
        <f t="shared" si="313"/>
        <v/>
      </c>
      <c r="F2015" s="9" t="str">
        <f t="shared" si="314"/>
        <v/>
      </c>
      <c r="G2015" s="9" t="str">
        <f t="shared" si="315"/>
        <v/>
      </c>
      <c r="H2015" s="9" t="str">
        <f t="shared" si="316"/>
        <v/>
      </c>
      <c r="I2015" s="10" t="str">
        <f t="shared" si="317"/>
        <v/>
      </c>
      <c r="J2015" s="10" t="str">
        <f t="shared" si="319"/>
        <v/>
      </c>
      <c r="K2015" s="11" t="str">
        <f t="shared" si="318"/>
        <v/>
      </c>
      <c r="M2015" t="str">
        <f>IFERROR(MATCH($C$5&amp;"|"&amp;RIGHT("000000"&amp;1999,6),CalcRankKeyA,0),"")</f>
        <v/>
      </c>
      <c r="N2015" t="str">
        <f>IFERROR(MATCH($C$5&amp;"|"&amp;RIGHT("000000"&amp;1999,6),CalcRankKeyB,0),"")</f>
        <v/>
      </c>
    </row>
    <row r="2016" spans="1:14" x14ac:dyDescent="0.2">
      <c r="A2016" s="12">
        <v>2000</v>
      </c>
      <c r="B2016" s="13" t="str">
        <f t="shared" si="310"/>
        <v/>
      </c>
      <c r="C2016" s="13" t="str">
        <f t="shared" si="311"/>
        <v/>
      </c>
      <c r="D2016" s="13" t="str">
        <f t="shared" si="312"/>
        <v/>
      </c>
      <c r="E2016" s="14" t="str">
        <f t="shared" si="313"/>
        <v/>
      </c>
      <c r="F2016" s="14" t="str">
        <f t="shared" si="314"/>
        <v/>
      </c>
      <c r="G2016" s="14" t="str">
        <f t="shared" si="315"/>
        <v/>
      </c>
      <c r="H2016" s="14" t="str">
        <f t="shared" si="316"/>
        <v/>
      </c>
      <c r="I2016" s="15" t="str">
        <f t="shared" si="317"/>
        <v/>
      </c>
      <c r="J2016" s="15" t="str">
        <f t="shared" si="319"/>
        <v/>
      </c>
      <c r="K2016" s="16" t="str">
        <f t="shared" si="318"/>
        <v/>
      </c>
      <c r="M2016" t="str">
        <f>IFERROR(MATCH($C$5&amp;"|"&amp;RIGHT("000000"&amp;2000,6),CalcRankKeyA,0),"")</f>
        <v/>
      </c>
      <c r="N2016" t="str">
        <f>IFERROR(MATCH($C$5&amp;"|"&amp;RIGHT("000000"&amp;2000,6),CalcRankKeyB,0),"")</f>
        <v/>
      </c>
    </row>
  </sheetData>
  <mergeCells count="31">
    <mergeCell ref="A1:K1"/>
    <mergeCell ref="A6:B6"/>
    <mergeCell ref="C10:D10"/>
    <mergeCell ref="A7:B7"/>
    <mergeCell ref="E10:F10"/>
    <mergeCell ref="G10:H10"/>
    <mergeCell ref="E5:K5"/>
    <mergeCell ref="C7:K7"/>
    <mergeCell ref="E8:K8"/>
    <mergeCell ref="I10:K10"/>
    <mergeCell ref="A3:K3"/>
    <mergeCell ref="A5:B5"/>
    <mergeCell ref="C11:D11"/>
    <mergeCell ref="E11:F11"/>
    <mergeCell ref="A2:K2"/>
    <mergeCell ref="A8:B8"/>
    <mergeCell ref="C8:D8"/>
    <mergeCell ref="C6:K6"/>
    <mergeCell ref="A11:B11"/>
    <mergeCell ref="G11:H11"/>
    <mergeCell ref="C5:D5"/>
    <mergeCell ref="I11:K11"/>
    <mergeCell ref="A10:B10"/>
    <mergeCell ref="A14:B14"/>
    <mergeCell ref="G14:H14"/>
    <mergeCell ref="C14:D14"/>
    <mergeCell ref="E14:F14"/>
    <mergeCell ref="E13:F13"/>
    <mergeCell ref="G13:H13"/>
    <mergeCell ref="A13:B13"/>
    <mergeCell ref="C13:D13"/>
  </mergeCells>
  <conditionalFormatting sqref="C17:C2016">
    <cfRule type="cellIs" dxfId="2" priority="1" operator="equal">
      <formula>"خرید سبد"</formula>
    </cfRule>
    <cfRule type="cellIs" dxfId="1" priority="2" operator="equal">
      <formula>"پرداخت بانکی"</formula>
    </cfRule>
  </conditionalFormatting>
  <conditionalFormatting sqref="J17:J2016">
    <cfRule type="cellIs" dxfId="0" priority="3" operator="lessThan">
      <formula>0</formula>
    </cfRule>
  </conditionalFormatting>
  <dataValidations count="1">
    <dataValidation type="custom" errorStyle="warning" allowBlank="1" showInputMessage="1" errorTitle="کد نامعتبر" error="کد از فایل INFO (شیت Accounts) — مثل S004" promptTitle="کد فروشنده سبد" prompt="کد را وارد کنید؛ کل کارتکس خودکار به‌روز می‌شود." sqref="C5">
      <formula1>OR($C$5="",COUNTIF(AcctCodes,$C$5)&gt;0)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کارتکس فروشنده سبد —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D32"/>
    <pageSetUpPr fitToPage="1"/>
  </sheetPr>
  <dimension ref="A1:I1045"/>
  <sheetViews>
    <sheetView showGridLines="0" rightToLeft="1" zoomScale="95" workbookViewId="0">
      <pane ySplit="10" topLeftCell="A11" activePane="bottomLeft" state="frozen"/>
      <selection pane="bottomLeft"/>
    </sheetView>
  </sheetViews>
  <sheetFormatPr defaultRowHeight="14.25" x14ac:dyDescent="0.2"/>
  <cols>
    <col min="1" max="1" width="5.5" customWidth="1"/>
    <col min="2" max="2" width="10" customWidth="1"/>
    <col min="3" max="3" width="26" customWidth="1"/>
    <col min="4" max="4" width="11" customWidth="1"/>
    <col min="5" max="7" width="15" customWidth="1"/>
    <col min="8" max="8" width="16" customWidth="1"/>
    <col min="9" max="9" width="11" customWidth="1"/>
  </cols>
  <sheetData>
    <row r="1" spans="1:9" ht="26.1" customHeight="1" x14ac:dyDescent="0.2">
      <c r="A1" s="28" t="str">
        <f>IF(Sync!$N$6="","مازندشت",Sync!$N$6)&amp;" — "&amp;IF(Sync!$N$9="","سورتینگ و بسته‌بندی مرکبات",Sync!$N$9)</f>
        <v>250000000 — 90000000</v>
      </c>
      <c r="B1" s="28"/>
      <c r="C1" s="28"/>
      <c r="D1" s="28"/>
      <c r="E1" s="28"/>
      <c r="F1" s="28"/>
      <c r="G1" s="28"/>
      <c r="H1" s="28"/>
      <c r="I1" s="28"/>
    </row>
    <row r="2" spans="1:9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27"/>
      <c r="C2" s="27"/>
      <c r="D2" s="27"/>
      <c r="E2" s="27"/>
      <c r="F2" s="27"/>
      <c r="G2" s="27"/>
      <c r="H2" s="27"/>
      <c r="I2" s="27"/>
    </row>
    <row r="3" spans="1:9" ht="24" customHeight="1" x14ac:dyDescent="0.2">
      <c r="A3" s="26" t="s">
        <v>55</v>
      </c>
      <c r="B3" s="26"/>
      <c r="C3" s="26"/>
      <c r="D3" s="26"/>
      <c r="E3" s="26"/>
      <c r="F3" s="26"/>
      <c r="G3" s="26"/>
      <c r="H3" s="26"/>
      <c r="I3" s="26"/>
    </row>
    <row r="4" spans="1:9" x14ac:dyDescent="0.2">
      <c r="A4" s="29" t="s">
        <v>56</v>
      </c>
      <c r="B4" s="29"/>
      <c r="C4" s="29"/>
      <c r="D4" s="29"/>
      <c r="E4" s="29"/>
      <c r="F4" s="29"/>
      <c r="G4" s="29"/>
      <c r="H4" s="29"/>
      <c r="I4" s="29"/>
    </row>
    <row r="5" spans="1:9" ht="12.95" customHeight="1" x14ac:dyDescent="0.2">
      <c r="A5" s="33" t="s">
        <v>57</v>
      </c>
      <c r="B5" s="33"/>
      <c r="C5" s="33" t="s">
        <v>58</v>
      </c>
      <c r="D5" s="33"/>
      <c r="E5" s="33" t="s">
        <v>59</v>
      </c>
      <c r="F5" s="33"/>
      <c r="G5" s="33" t="s">
        <v>60</v>
      </c>
      <c r="H5" s="33"/>
    </row>
    <row r="6" spans="1:9" ht="20.100000000000001" customHeight="1" x14ac:dyDescent="0.2">
      <c r="A6" s="30" t="e">
        <f>SUM(CalcAmtA)</f>
        <v>#REF!</v>
      </c>
      <c r="B6" s="30"/>
      <c r="C6" s="30">
        <f>SUMPRODUCT(SUMIF(CalcPartyB,PkBskParty,CalcWitB))</f>
        <v>179500000</v>
      </c>
      <c r="D6" s="30"/>
      <c r="E6" s="30" t="e">
        <f>SUM(CalcAmtA)-SUMPRODUCT(SUMIF(CalcPartyB,PkBskParty,CalcWitB))+SUMPRODUCT(SUMIF(CalcPartyB,PkBskParty,CalcDepB))</f>
        <v>#REF!</v>
      </c>
      <c r="F6" s="30"/>
      <c r="G6" s="32">
        <f>NBskParty</f>
        <v>3</v>
      </c>
      <c r="H6" s="32"/>
    </row>
    <row r="8" spans="1:9" x14ac:dyDescent="0.2">
      <c r="A8" s="41" t="s">
        <v>61</v>
      </c>
      <c r="B8" s="41"/>
      <c r="C8" s="41"/>
      <c r="D8" s="41"/>
      <c r="E8" s="41"/>
      <c r="F8" s="41"/>
      <c r="G8" s="41"/>
      <c r="H8" s="41"/>
      <c r="I8" s="41"/>
    </row>
    <row r="9" spans="1:9" ht="30" customHeight="1" x14ac:dyDescent="0.2">
      <c r="A9" s="1" t="s">
        <v>2</v>
      </c>
      <c r="B9" s="1" t="s">
        <v>62</v>
      </c>
      <c r="C9" s="1" t="s">
        <v>7</v>
      </c>
      <c r="D9" s="1" t="s">
        <v>45</v>
      </c>
      <c r="E9" s="1" t="s">
        <v>63</v>
      </c>
      <c r="F9" s="1" t="s">
        <v>64</v>
      </c>
      <c r="G9" s="1" t="s">
        <v>65</v>
      </c>
      <c r="H9" s="1" t="s">
        <v>48</v>
      </c>
      <c r="I9" s="1" t="s">
        <v>37</v>
      </c>
    </row>
    <row r="10" spans="1:9" ht="12.95" customHeight="1" x14ac:dyDescent="0.2">
      <c r="A10" s="7">
        <f>IF($B10="","",1)</f>
        <v>1</v>
      </c>
      <c r="B10" s="17" t="str">
        <f>IF(1&gt;NBskParty,"",INDEX(PkBskParty,1))</f>
        <v>S001</v>
      </c>
      <c r="C10" s="11" t="str">
        <f t="shared" ref="C10:C73" si="0">IF($B10="","",IFERROR(IF(VLOOKUP($B10,AcctTbl,4,0)="","(بدون نام)",VLOOKUP($B10,AcctTbl,4,0)),"—"))</f>
        <v>حسن کوچکزاده</v>
      </c>
      <c r="D10" s="9" t="e">
        <f t="shared" ref="D10:D73" si="1">IF($B10="","",SUMIF(CalcPartyA,$B10,CalcQtyA))</f>
        <v>#REF!</v>
      </c>
      <c r="E10" s="9" t="e">
        <f t="shared" ref="E10:E73" si="2">IF($B10="","",SUMIF(CalcPartyA,$B10,CalcAmtA))</f>
        <v>#REF!</v>
      </c>
      <c r="F10" s="9">
        <f t="shared" ref="F10:F73" si="3">IF($B10="","",SUMIF(CalcPartyB,$B10,CalcWitB))</f>
        <v>95000000</v>
      </c>
      <c r="G10" s="9">
        <f t="shared" ref="G10:G73" si="4">IF($B10="","",SUMIF(CalcPartyB,$B10,CalcDepB))</f>
        <v>0</v>
      </c>
      <c r="H10" s="10" t="e">
        <f t="shared" ref="H10:H73" si="5">IF($B10="","",$E10-$F10+$G10)</f>
        <v>#REF!</v>
      </c>
      <c r="I10" s="8" t="e">
        <f t="shared" ref="I10:I73" si="6">IF($B10="","",IF(ROUND($H10,0)&gt;0,"● بستانکار",IF(ROUND($H10,0)&lt;0,"● بدهکار","تسویه")))</f>
        <v>#REF!</v>
      </c>
    </row>
    <row r="11" spans="1:9" x14ac:dyDescent="0.2">
      <c r="A11" s="12">
        <f>IF($B11="","",2)</f>
        <v>2</v>
      </c>
      <c r="B11" s="18" t="str">
        <f>IF(2&gt;NBskParty,"",INDEX(PkBskParty,2))</f>
        <v>S002</v>
      </c>
      <c r="C11" s="16" t="str">
        <f t="shared" si="0"/>
        <v>سید محمد موسویان</v>
      </c>
      <c r="D11" s="14">
        <f t="shared" si="1"/>
        <v>7473</v>
      </c>
      <c r="E11" s="14">
        <f t="shared" si="2"/>
        <v>202765000</v>
      </c>
      <c r="F11" s="14">
        <f t="shared" si="3"/>
        <v>84500000</v>
      </c>
      <c r="G11" s="14">
        <f t="shared" si="4"/>
        <v>0</v>
      </c>
      <c r="H11" s="15">
        <f t="shared" si="5"/>
        <v>118265000</v>
      </c>
      <c r="I11" s="13" t="str">
        <f t="shared" si="6"/>
        <v>● بستانکار</v>
      </c>
    </row>
    <row r="12" spans="1:9" x14ac:dyDescent="0.2">
      <c r="A12" s="7">
        <f>IF($B12="","",3)</f>
        <v>3</v>
      </c>
      <c r="B12" s="17" t="str">
        <f>IF(3&gt;NBskParty,"",INDEX(PkBskParty,3))</f>
        <v>S003</v>
      </c>
      <c r="C12" s="11" t="str">
        <f t="shared" si="0"/>
        <v>سید ربیع موسویان</v>
      </c>
      <c r="D12" s="9">
        <f t="shared" si="1"/>
        <v>2891</v>
      </c>
      <c r="E12" s="9">
        <f t="shared" si="2"/>
        <v>127197000</v>
      </c>
      <c r="F12" s="9">
        <f t="shared" si="3"/>
        <v>0</v>
      </c>
      <c r="G12" s="9">
        <f t="shared" si="4"/>
        <v>0</v>
      </c>
      <c r="H12" s="10">
        <f t="shared" si="5"/>
        <v>127197000</v>
      </c>
      <c r="I12" s="8" t="str">
        <f t="shared" si="6"/>
        <v>● بستانکار</v>
      </c>
    </row>
    <row r="13" spans="1:9" x14ac:dyDescent="0.2">
      <c r="A13" s="12" t="str">
        <f>IF($B13="","",4)</f>
        <v/>
      </c>
      <c r="B13" s="18" t="str">
        <f>IF(4&gt;NBskParty,"",INDEX(PkBskParty,4))</f>
        <v/>
      </c>
      <c r="C13" s="16" t="str">
        <f t="shared" si="0"/>
        <v/>
      </c>
      <c r="D13" s="14" t="str">
        <f t="shared" si="1"/>
        <v/>
      </c>
      <c r="E13" s="14" t="str">
        <f t="shared" si="2"/>
        <v/>
      </c>
      <c r="F13" s="14" t="str">
        <f t="shared" si="3"/>
        <v/>
      </c>
      <c r="G13" s="14" t="str">
        <f t="shared" si="4"/>
        <v/>
      </c>
      <c r="H13" s="15" t="str">
        <f t="shared" si="5"/>
        <v/>
      </c>
      <c r="I13" s="13" t="str">
        <f t="shared" si="6"/>
        <v/>
      </c>
    </row>
    <row r="14" spans="1:9" x14ac:dyDescent="0.2">
      <c r="A14" s="7" t="str">
        <f>IF($B14="","",5)</f>
        <v/>
      </c>
      <c r="B14" s="17" t="str">
        <f>IF(5&gt;NBskParty,"",INDEX(PkBskParty,5))</f>
        <v/>
      </c>
      <c r="C14" s="11" t="str">
        <f t="shared" si="0"/>
        <v/>
      </c>
      <c r="D14" s="9" t="str">
        <f t="shared" si="1"/>
        <v/>
      </c>
      <c r="E14" s="9" t="str">
        <f t="shared" si="2"/>
        <v/>
      </c>
      <c r="F14" s="9" t="str">
        <f t="shared" si="3"/>
        <v/>
      </c>
      <c r="G14" s="9" t="str">
        <f t="shared" si="4"/>
        <v/>
      </c>
      <c r="H14" s="10" t="str">
        <f t="shared" si="5"/>
        <v/>
      </c>
      <c r="I14" s="8" t="str">
        <f t="shared" si="6"/>
        <v/>
      </c>
    </row>
    <row r="15" spans="1:9" x14ac:dyDescent="0.2">
      <c r="A15" s="12" t="str">
        <f>IF($B15="","",6)</f>
        <v/>
      </c>
      <c r="B15" s="18" t="str">
        <f>IF(6&gt;NBskParty,"",INDEX(PkBskParty,6))</f>
        <v/>
      </c>
      <c r="C15" s="16" t="str">
        <f t="shared" si="0"/>
        <v/>
      </c>
      <c r="D15" s="14" t="str">
        <f t="shared" si="1"/>
        <v/>
      </c>
      <c r="E15" s="14" t="str">
        <f t="shared" si="2"/>
        <v/>
      </c>
      <c r="F15" s="14" t="str">
        <f t="shared" si="3"/>
        <v/>
      </c>
      <c r="G15" s="14" t="str">
        <f t="shared" si="4"/>
        <v/>
      </c>
      <c r="H15" s="15" t="str">
        <f t="shared" si="5"/>
        <v/>
      </c>
      <c r="I15" s="13" t="str">
        <f t="shared" si="6"/>
        <v/>
      </c>
    </row>
    <row r="16" spans="1:9" x14ac:dyDescent="0.2">
      <c r="A16" s="7" t="str">
        <f>IF($B16="","",7)</f>
        <v/>
      </c>
      <c r="B16" s="17" t="str">
        <f>IF(7&gt;NBskParty,"",INDEX(PkBskParty,7))</f>
        <v/>
      </c>
      <c r="C16" s="11" t="str">
        <f t="shared" si="0"/>
        <v/>
      </c>
      <c r="D16" s="9" t="str">
        <f t="shared" si="1"/>
        <v/>
      </c>
      <c r="E16" s="9" t="str">
        <f t="shared" si="2"/>
        <v/>
      </c>
      <c r="F16" s="9" t="str">
        <f t="shared" si="3"/>
        <v/>
      </c>
      <c r="G16" s="9" t="str">
        <f t="shared" si="4"/>
        <v/>
      </c>
      <c r="H16" s="10" t="str">
        <f t="shared" si="5"/>
        <v/>
      </c>
      <c r="I16" s="8" t="str">
        <f t="shared" si="6"/>
        <v/>
      </c>
    </row>
    <row r="17" spans="1:9" x14ac:dyDescent="0.2">
      <c r="A17" s="12" t="str">
        <f>IF($B17="","",8)</f>
        <v/>
      </c>
      <c r="B17" s="18" t="str">
        <f>IF(8&gt;NBskParty,"",INDEX(PkBskParty,8))</f>
        <v/>
      </c>
      <c r="C17" s="16" t="str">
        <f t="shared" si="0"/>
        <v/>
      </c>
      <c r="D17" s="14" t="str">
        <f t="shared" si="1"/>
        <v/>
      </c>
      <c r="E17" s="14" t="str">
        <f t="shared" si="2"/>
        <v/>
      </c>
      <c r="F17" s="14" t="str">
        <f t="shared" si="3"/>
        <v/>
      </c>
      <c r="G17" s="14" t="str">
        <f t="shared" si="4"/>
        <v/>
      </c>
      <c r="H17" s="15" t="str">
        <f t="shared" si="5"/>
        <v/>
      </c>
      <c r="I17" s="13" t="str">
        <f t="shared" si="6"/>
        <v/>
      </c>
    </row>
    <row r="18" spans="1:9" x14ac:dyDescent="0.2">
      <c r="A18" s="7" t="str">
        <f>IF($B18="","",9)</f>
        <v/>
      </c>
      <c r="B18" s="17" t="str">
        <f>IF(9&gt;NBskParty,"",INDEX(PkBskParty,9))</f>
        <v/>
      </c>
      <c r="C18" s="11" t="str">
        <f t="shared" si="0"/>
        <v/>
      </c>
      <c r="D18" s="9" t="str">
        <f t="shared" si="1"/>
        <v/>
      </c>
      <c r="E18" s="9" t="str">
        <f t="shared" si="2"/>
        <v/>
      </c>
      <c r="F18" s="9" t="str">
        <f t="shared" si="3"/>
        <v/>
      </c>
      <c r="G18" s="9" t="str">
        <f t="shared" si="4"/>
        <v/>
      </c>
      <c r="H18" s="10" t="str">
        <f t="shared" si="5"/>
        <v/>
      </c>
      <c r="I18" s="8" t="str">
        <f t="shared" si="6"/>
        <v/>
      </c>
    </row>
    <row r="19" spans="1:9" x14ac:dyDescent="0.2">
      <c r="A19" s="12" t="str">
        <f>IF($B19="","",10)</f>
        <v/>
      </c>
      <c r="B19" s="18" t="str">
        <f>IF(10&gt;NBskParty,"",INDEX(PkBskParty,10))</f>
        <v/>
      </c>
      <c r="C19" s="16" t="str">
        <f t="shared" si="0"/>
        <v/>
      </c>
      <c r="D19" s="14" t="str">
        <f t="shared" si="1"/>
        <v/>
      </c>
      <c r="E19" s="14" t="str">
        <f t="shared" si="2"/>
        <v/>
      </c>
      <c r="F19" s="14" t="str">
        <f t="shared" si="3"/>
        <v/>
      </c>
      <c r="G19" s="14" t="str">
        <f t="shared" si="4"/>
        <v/>
      </c>
      <c r="H19" s="15" t="str">
        <f t="shared" si="5"/>
        <v/>
      </c>
      <c r="I19" s="13" t="str">
        <f t="shared" si="6"/>
        <v/>
      </c>
    </row>
    <row r="20" spans="1:9" x14ac:dyDescent="0.2">
      <c r="A20" s="7" t="str">
        <f>IF($B20="","",11)</f>
        <v/>
      </c>
      <c r="B20" s="17" t="str">
        <f>IF(11&gt;NBskParty,"",INDEX(PkBskParty,11))</f>
        <v/>
      </c>
      <c r="C20" s="11" t="str">
        <f t="shared" si="0"/>
        <v/>
      </c>
      <c r="D20" s="9" t="str">
        <f t="shared" si="1"/>
        <v/>
      </c>
      <c r="E20" s="9" t="str">
        <f t="shared" si="2"/>
        <v/>
      </c>
      <c r="F20" s="9" t="str">
        <f t="shared" si="3"/>
        <v/>
      </c>
      <c r="G20" s="9" t="str">
        <f t="shared" si="4"/>
        <v/>
      </c>
      <c r="H20" s="10" t="str">
        <f t="shared" si="5"/>
        <v/>
      </c>
      <c r="I20" s="8" t="str">
        <f t="shared" si="6"/>
        <v/>
      </c>
    </row>
    <row r="21" spans="1:9" x14ac:dyDescent="0.2">
      <c r="A21" s="12" t="str">
        <f>IF($B21="","",12)</f>
        <v/>
      </c>
      <c r="B21" s="18" t="str">
        <f>IF(12&gt;NBskParty,"",INDEX(PkBskParty,12))</f>
        <v/>
      </c>
      <c r="C21" s="16" t="str">
        <f t="shared" si="0"/>
        <v/>
      </c>
      <c r="D21" s="14" t="str">
        <f t="shared" si="1"/>
        <v/>
      </c>
      <c r="E21" s="14" t="str">
        <f t="shared" si="2"/>
        <v/>
      </c>
      <c r="F21" s="14" t="str">
        <f t="shared" si="3"/>
        <v/>
      </c>
      <c r="G21" s="14" t="str">
        <f t="shared" si="4"/>
        <v/>
      </c>
      <c r="H21" s="15" t="str">
        <f t="shared" si="5"/>
        <v/>
      </c>
      <c r="I21" s="13" t="str">
        <f t="shared" si="6"/>
        <v/>
      </c>
    </row>
    <row r="22" spans="1:9" x14ac:dyDescent="0.2">
      <c r="A22" s="7" t="str">
        <f>IF($B22="","",13)</f>
        <v/>
      </c>
      <c r="B22" s="17" t="str">
        <f>IF(13&gt;NBskParty,"",INDEX(PkBskParty,13))</f>
        <v/>
      </c>
      <c r="C22" s="11" t="str">
        <f t="shared" si="0"/>
        <v/>
      </c>
      <c r="D22" s="9" t="str">
        <f t="shared" si="1"/>
        <v/>
      </c>
      <c r="E22" s="9" t="str">
        <f t="shared" si="2"/>
        <v/>
      </c>
      <c r="F22" s="9" t="str">
        <f t="shared" si="3"/>
        <v/>
      </c>
      <c r="G22" s="9" t="str">
        <f t="shared" si="4"/>
        <v/>
      </c>
      <c r="H22" s="10" t="str">
        <f t="shared" si="5"/>
        <v/>
      </c>
      <c r="I22" s="8" t="str">
        <f t="shared" si="6"/>
        <v/>
      </c>
    </row>
    <row r="23" spans="1:9" x14ac:dyDescent="0.2">
      <c r="A23" s="12" t="str">
        <f>IF($B23="","",14)</f>
        <v/>
      </c>
      <c r="B23" s="18" t="str">
        <f>IF(14&gt;NBskParty,"",INDEX(PkBskParty,14))</f>
        <v/>
      </c>
      <c r="C23" s="16" t="str">
        <f t="shared" si="0"/>
        <v/>
      </c>
      <c r="D23" s="14" t="str">
        <f t="shared" si="1"/>
        <v/>
      </c>
      <c r="E23" s="14" t="str">
        <f t="shared" si="2"/>
        <v/>
      </c>
      <c r="F23" s="14" t="str">
        <f t="shared" si="3"/>
        <v/>
      </c>
      <c r="G23" s="14" t="str">
        <f t="shared" si="4"/>
        <v/>
      </c>
      <c r="H23" s="15" t="str">
        <f t="shared" si="5"/>
        <v/>
      </c>
      <c r="I23" s="13" t="str">
        <f t="shared" si="6"/>
        <v/>
      </c>
    </row>
    <row r="24" spans="1:9" x14ac:dyDescent="0.2">
      <c r="A24" s="7" t="str">
        <f>IF($B24="","",15)</f>
        <v/>
      </c>
      <c r="B24" s="17" t="str">
        <f>IF(15&gt;NBskParty,"",INDEX(PkBskParty,15))</f>
        <v/>
      </c>
      <c r="C24" s="11" t="str">
        <f t="shared" si="0"/>
        <v/>
      </c>
      <c r="D24" s="9" t="str">
        <f t="shared" si="1"/>
        <v/>
      </c>
      <c r="E24" s="9" t="str">
        <f t="shared" si="2"/>
        <v/>
      </c>
      <c r="F24" s="9" t="str">
        <f t="shared" si="3"/>
        <v/>
      </c>
      <c r="G24" s="9" t="str">
        <f t="shared" si="4"/>
        <v/>
      </c>
      <c r="H24" s="10" t="str">
        <f t="shared" si="5"/>
        <v/>
      </c>
      <c r="I24" s="8" t="str">
        <f t="shared" si="6"/>
        <v/>
      </c>
    </row>
    <row r="25" spans="1:9" x14ac:dyDescent="0.2">
      <c r="A25" s="12" t="str">
        <f>IF($B25="","",16)</f>
        <v/>
      </c>
      <c r="B25" s="18" t="str">
        <f>IF(16&gt;NBskParty,"",INDEX(PkBskParty,16))</f>
        <v/>
      </c>
      <c r="C25" s="16" t="str">
        <f t="shared" si="0"/>
        <v/>
      </c>
      <c r="D25" s="14" t="str">
        <f t="shared" si="1"/>
        <v/>
      </c>
      <c r="E25" s="14" t="str">
        <f t="shared" si="2"/>
        <v/>
      </c>
      <c r="F25" s="14" t="str">
        <f t="shared" si="3"/>
        <v/>
      </c>
      <c r="G25" s="14" t="str">
        <f t="shared" si="4"/>
        <v/>
      </c>
      <c r="H25" s="15" t="str">
        <f t="shared" si="5"/>
        <v/>
      </c>
      <c r="I25" s="13" t="str">
        <f t="shared" si="6"/>
        <v/>
      </c>
    </row>
    <row r="26" spans="1:9" x14ac:dyDescent="0.2">
      <c r="A26" s="7" t="str">
        <f>IF($B26="","",17)</f>
        <v/>
      </c>
      <c r="B26" s="17" t="str">
        <f>IF(17&gt;NBskParty,"",INDEX(PkBskParty,17))</f>
        <v/>
      </c>
      <c r="C26" s="11" t="str">
        <f t="shared" si="0"/>
        <v/>
      </c>
      <c r="D26" s="9" t="str">
        <f t="shared" si="1"/>
        <v/>
      </c>
      <c r="E26" s="9" t="str">
        <f t="shared" si="2"/>
        <v/>
      </c>
      <c r="F26" s="9" t="str">
        <f t="shared" si="3"/>
        <v/>
      </c>
      <c r="G26" s="9" t="str">
        <f t="shared" si="4"/>
        <v/>
      </c>
      <c r="H26" s="10" t="str">
        <f t="shared" si="5"/>
        <v/>
      </c>
      <c r="I26" s="8" t="str">
        <f t="shared" si="6"/>
        <v/>
      </c>
    </row>
    <row r="27" spans="1:9" x14ac:dyDescent="0.2">
      <c r="A27" s="12" t="str">
        <f>IF($B27="","",18)</f>
        <v/>
      </c>
      <c r="B27" s="18" t="str">
        <f>IF(18&gt;NBskParty,"",INDEX(PkBskParty,18))</f>
        <v/>
      </c>
      <c r="C27" s="16" t="str">
        <f t="shared" si="0"/>
        <v/>
      </c>
      <c r="D27" s="14" t="str">
        <f t="shared" si="1"/>
        <v/>
      </c>
      <c r="E27" s="14" t="str">
        <f t="shared" si="2"/>
        <v/>
      </c>
      <c r="F27" s="14" t="str">
        <f t="shared" si="3"/>
        <v/>
      </c>
      <c r="G27" s="14" t="str">
        <f t="shared" si="4"/>
        <v/>
      </c>
      <c r="H27" s="15" t="str">
        <f t="shared" si="5"/>
        <v/>
      </c>
      <c r="I27" s="13" t="str">
        <f t="shared" si="6"/>
        <v/>
      </c>
    </row>
    <row r="28" spans="1:9" x14ac:dyDescent="0.2">
      <c r="A28" s="7" t="str">
        <f>IF($B28="","",19)</f>
        <v/>
      </c>
      <c r="B28" s="17" t="str">
        <f>IF(19&gt;NBskParty,"",INDEX(PkBskParty,19))</f>
        <v/>
      </c>
      <c r="C28" s="11" t="str">
        <f t="shared" si="0"/>
        <v/>
      </c>
      <c r="D28" s="9" t="str">
        <f t="shared" si="1"/>
        <v/>
      </c>
      <c r="E28" s="9" t="str">
        <f t="shared" si="2"/>
        <v/>
      </c>
      <c r="F28" s="9" t="str">
        <f t="shared" si="3"/>
        <v/>
      </c>
      <c r="G28" s="9" t="str">
        <f t="shared" si="4"/>
        <v/>
      </c>
      <c r="H28" s="10" t="str">
        <f t="shared" si="5"/>
        <v/>
      </c>
      <c r="I28" s="8" t="str">
        <f t="shared" si="6"/>
        <v/>
      </c>
    </row>
    <row r="29" spans="1:9" x14ac:dyDescent="0.2">
      <c r="A29" s="12" t="str">
        <f>IF($B29="","",20)</f>
        <v/>
      </c>
      <c r="B29" s="18" t="str">
        <f>IF(20&gt;NBskParty,"",INDEX(PkBskParty,20))</f>
        <v/>
      </c>
      <c r="C29" s="16" t="str">
        <f t="shared" si="0"/>
        <v/>
      </c>
      <c r="D29" s="14" t="str">
        <f t="shared" si="1"/>
        <v/>
      </c>
      <c r="E29" s="14" t="str">
        <f t="shared" si="2"/>
        <v/>
      </c>
      <c r="F29" s="14" t="str">
        <f t="shared" si="3"/>
        <v/>
      </c>
      <c r="G29" s="14" t="str">
        <f t="shared" si="4"/>
        <v/>
      </c>
      <c r="H29" s="15" t="str">
        <f t="shared" si="5"/>
        <v/>
      </c>
      <c r="I29" s="13" t="str">
        <f t="shared" si="6"/>
        <v/>
      </c>
    </row>
    <row r="30" spans="1:9" x14ac:dyDescent="0.2">
      <c r="A30" s="7" t="str">
        <f>IF($B30="","",21)</f>
        <v/>
      </c>
      <c r="B30" s="17" t="str">
        <f>IF(21&gt;NBskParty,"",INDEX(PkBskParty,21))</f>
        <v/>
      </c>
      <c r="C30" s="11" t="str">
        <f t="shared" si="0"/>
        <v/>
      </c>
      <c r="D30" s="9" t="str">
        <f t="shared" si="1"/>
        <v/>
      </c>
      <c r="E30" s="9" t="str">
        <f t="shared" si="2"/>
        <v/>
      </c>
      <c r="F30" s="9" t="str">
        <f t="shared" si="3"/>
        <v/>
      </c>
      <c r="G30" s="9" t="str">
        <f t="shared" si="4"/>
        <v/>
      </c>
      <c r="H30" s="10" t="str">
        <f t="shared" si="5"/>
        <v/>
      </c>
      <c r="I30" s="8" t="str">
        <f t="shared" si="6"/>
        <v/>
      </c>
    </row>
    <row r="31" spans="1:9" x14ac:dyDescent="0.2">
      <c r="A31" s="12" t="str">
        <f>IF($B31="","",22)</f>
        <v/>
      </c>
      <c r="B31" s="18" t="str">
        <f>IF(22&gt;NBskParty,"",INDEX(PkBskParty,22))</f>
        <v/>
      </c>
      <c r="C31" s="16" t="str">
        <f t="shared" si="0"/>
        <v/>
      </c>
      <c r="D31" s="14" t="str">
        <f t="shared" si="1"/>
        <v/>
      </c>
      <c r="E31" s="14" t="str">
        <f t="shared" si="2"/>
        <v/>
      </c>
      <c r="F31" s="14" t="str">
        <f t="shared" si="3"/>
        <v/>
      </c>
      <c r="G31" s="14" t="str">
        <f t="shared" si="4"/>
        <v/>
      </c>
      <c r="H31" s="15" t="str">
        <f t="shared" si="5"/>
        <v/>
      </c>
      <c r="I31" s="13" t="str">
        <f t="shared" si="6"/>
        <v/>
      </c>
    </row>
    <row r="32" spans="1:9" x14ac:dyDescent="0.2">
      <c r="A32" s="7" t="str">
        <f>IF($B32="","",23)</f>
        <v/>
      </c>
      <c r="B32" s="17" t="str">
        <f>IF(23&gt;NBskParty,"",INDEX(PkBskParty,23))</f>
        <v/>
      </c>
      <c r="C32" s="11" t="str">
        <f t="shared" si="0"/>
        <v/>
      </c>
      <c r="D32" s="9" t="str">
        <f t="shared" si="1"/>
        <v/>
      </c>
      <c r="E32" s="9" t="str">
        <f t="shared" si="2"/>
        <v/>
      </c>
      <c r="F32" s="9" t="str">
        <f t="shared" si="3"/>
        <v/>
      </c>
      <c r="G32" s="9" t="str">
        <f t="shared" si="4"/>
        <v/>
      </c>
      <c r="H32" s="10" t="str">
        <f t="shared" si="5"/>
        <v/>
      </c>
      <c r="I32" s="8" t="str">
        <f t="shared" si="6"/>
        <v/>
      </c>
    </row>
    <row r="33" spans="1:9" x14ac:dyDescent="0.2">
      <c r="A33" s="12" t="str">
        <f>IF($B33="","",24)</f>
        <v/>
      </c>
      <c r="B33" s="18" t="str">
        <f>IF(24&gt;NBskParty,"",INDEX(PkBskParty,24))</f>
        <v/>
      </c>
      <c r="C33" s="16" t="str">
        <f t="shared" si="0"/>
        <v/>
      </c>
      <c r="D33" s="14" t="str">
        <f t="shared" si="1"/>
        <v/>
      </c>
      <c r="E33" s="14" t="str">
        <f t="shared" si="2"/>
        <v/>
      </c>
      <c r="F33" s="14" t="str">
        <f t="shared" si="3"/>
        <v/>
      </c>
      <c r="G33" s="14" t="str">
        <f t="shared" si="4"/>
        <v/>
      </c>
      <c r="H33" s="15" t="str">
        <f t="shared" si="5"/>
        <v/>
      </c>
      <c r="I33" s="13" t="str">
        <f t="shared" si="6"/>
        <v/>
      </c>
    </row>
    <row r="34" spans="1:9" x14ac:dyDescent="0.2">
      <c r="A34" s="7" t="str">
        <f>IF($B34="","",25)</f>
        <v/>
      </c>
      <c r="B34" s="17" t="str">
        <f>IF(25&gt;NBskParty,"",INDEX(PkBskParty,25))</f>
        <v/>
      </c>
      <c r="C34" s="11" t="str">
        <f t="shared" si="0"/>
        <v/>
      </c>
      <c r="D34" s="9" t="str">
        <f t="shared" si="1"/>
        <v/>
      </c>
      <c r="E34" s="9" t="str">
        <f t="shared" si="2"/>
        <v/>
      </c>
      <c r="F34" s="9" t="str">
        <f t="shared" si="3"/>
        <v/>
      </c>
      <c r="G34" s="9" t="str">
        <f t="shared" si="4"/>
        <v/>
      </c>
      <c r="H34" s="10" t="str">
        <f t="shared" si="5"/>
        <v/>
      </c>
      <c r="I34" s="8" t="str">
        <f t="shared" si="6"/>
        <v/>
      </c>
    </row>
    <row r="35" spans="1:9" x14ac:dyDescent="0.2">
      <c r="A35" s="12" t="str">
        <f>IF($B35="","",26)</f>
        <v/>
      </c>
      <c r="B35" s="18" t="str">
        <f>IF(26&gt;NBskParty,"",INDEX(PkBskParty,26))</f>
        <v/>
      </c>
      <c r="C35" s="16" t="str">
        <f t="shared" si="0"/>
        <v/>
      </c>
      <c r="D35" s="14" t="str">
        <f t="shared" si="1"/>
        <v/>
      </c>
      <c r="E35" s="14" t="str">
        <f t="shared" si="2"/>
        <v/>
      </c>
      <c r="F35" s="14" t="str">
        <f t="shared" si="3"/>
        <v/>
      </c>
      <c r="G35" s="14" t="str">
        <f t="shared" si="4"/>
        <v/>
      </c>
      <c r="H35" s="15" t="str">
        <f t="shared" si="5"/>
        <v/>
      </c>
      <c r="I35" s="13" t="str">
        <f t="shared" si="6"/>
        <v/>
      </c>
    </row>
    <row r="36" spans="1:9" x14ac:dyDescent="0.2">
      <c r="A36" s="7" t="str">
        <f>IF($B36="","",27)</f>
        <v/>
      </c>
      <c r="B36" s="17" t="str">
        <f>IF(27&gt;NBskParty,"",INDEX(PkBskParty,27))</f>
        <v/>
      </c>
      <c r="C36" s="11" t="str">
        <f t="shared" si="0"/>
        <v/>
      </c>
      <c r="D36" s="9" t="str">
        <f t="shared" si="1"/>
        <v/>
      </c>
      <c r="E36" s="9" t="str">
        <f t="shared" si="2"/>
        <v/>
      </c>
      <c r="F36" s="9" t="str">
        <f t="shared" si="3"/>
        <v/>
      </c>
      <c r="G36" s="9" t="str">
        <f t="shared" si="4"/>
        <v/>
      </c>
      <c r="H36" s="10" t="str">
        <f t="shared" si="5"/>
        <v/>
      </c>
      <c r="I36" s="8" t="str">
        <f t="shared" si="6"/>
        <v/>
      </c>
    </row>
    <row r="37" spans="1:9" x14ac:dyDescent="0.2">
      <c r="A37" s="12" t="str">
        <f>IF($B37="","",28)</f>
        <v/>
      </c>
      <c r="B37" s="18" t="str">
        <f>IF(28&gt;NBskParty,"",INDEX(PkBskParty,28))</f>
        <v/>
      </c>
      <c r="C37" s="16" t="str">
        <f t="shared" si="0"/>
        <v/>
      </c>
      <c r="D37" s="14" t="str">
        <f t="shared" si="1"/>
        <v/>
      </c>
      <c r="E37" s="14" t="str">
        <f t="shared" si="2"/>
        <v/>
      </c>
      <c r="F37" s="14" t="str">
        <f t="shared" si="3"/>
        <v/>
      </c>
      <c r="G37" s="14" t="str">
        <f t="shared" si="4"/>
        <v/>
      </c>
      <c r="H37" s="15" t="str">
        <f t="shared" si="5"/>
        <v/>
      </c>
      <c r="I37" s="13" t="str">
        <f t="shared" si="6"/>
        <v/>
      </c>
    </row>
    <row r="38" spans="1:9" x14ac:dyDescent="0.2">
      <c r="A38" s="7" t="str">
        <f>IF($B38="","",29)</f>
        <v/>
      </c>
      <c r="B38" s="17" t="str">
        <f>IF(29&gt;NBskParty,"",INDEX(PkBskParty,29))</f>
        <v/>
      </c>
      <c r="C38" s="11" t="str">
        <f t="shared" si="0"/>
        <v/>
      </c>
      <c r="D38" s="9" t="str">
        <f t="shared" si="1"/>
        <v/>
      </c>
      <c r="E38" s="9" t="str">
        <f t="shared" si="2"/>
        <v/>
      </c>
      <c r="F38" s="9" t="str">
        <f t="shared" si="3"/>
        <v/>
      </c>
      <c r="G38" s="9" t="str">
        <f t="shared" si="4"/>
        <v/>
      </c>
      <c r="H38" s="10" t="str">
        <f t="shared" si="5"/>
        <v/>
      </c>
      <c r="I38" s="8" t="str">
        <f t="shared" si="6"/>
        <v/>
      </c>
    </row>
    <row r="39" spans="1:9" x14ac:dyDescent="0.2">
      <c r="A39" s="12" t="str">
        <f>IF($B39="","",30)</f>
        <v/>
      </c>
      <c r="B39" s="18" t="str">
        <f>IF(30&gt;NBskParty,"",INDEX(PkBskParty,30))</f>
        <v/>
      </c>
      <c r="C39" s="16" t="str">
        <f t="shared" si="0"/>
        <v/>
      </c>
      <c r="D39" s="14" t="str">
        <f t="shared" si="1"/>
        <v/>
      </c>
      <c r="E39" s="14" t="str">
        <f t="shared" si="2"/>
        <v/>
      </c>
      <c r="F39" s="14" t="str">
        <f t="shared" si="3"/>
        <v/>
      </c>
      <c r="G39" s="14" t="str">
        <f t="shared" si="4"/>
        <v/>
      </c>
      <c r="H39" s="15" t="str">
        <f t="shared" si="5"/>
        <v/>
      </c>
      <c r="I39" s="13" t="str">
        <f t="shared" si="6"/>
        <v/>
      </c>
    </row>
    <row r="40" spans="1:9" x14ac:dyDescent="0.2">
      <c r="A40" s="7" t="str">
        <f>IF($B40="","",31)</f>
        <v/>
      </c>
      <c r="B40" s="17" t="str">
        <f>IF(31&gt;NBskParty,"",INDEX(PkBskParty,31))</f>
        <v/>
      </c>
      <c r="C40" s="11" t="str">
        <f t="shared" si="0"/>
        <v/>
      </c>
      <c r="D40" s="9" t="str">
        <f t="shared" si="1"/>
        <v/>
      </c>
      <c r="E40" s="9" t="str">
        <f t="shared" si="2"/>
        <v/>
      </c>
      <c r="F40" s="9" t="str">
        <f t="shared" si="3"/>
        <v/>
      </c>
      <c r="G40" s="9" t="str">
        <f t="shared" si="4"/>
        <v/>
      </c>
      <c r="H40" s="10" t="str">
        <f t="shared" si="5"/>
        <v/>
      </c>
      <c r="I40" s="8" t="str">
        <f t="shared" si="6"/>
        <v/>
      </c>
    </row>
    <row r="41" spans="1:9" x14ac:dyDescent="0.2">
      <c r="A41" s="12" t="str">
        <f>IF($B41="","",32)</f>
        <v/>
      </c>
      <c r="B41" s="18" t="str">
        <f>IF(32&gt;NBskParty,"",INDEX(PkBskParty,32))</f>
        <v/>
      </c>
      <c r="C41" s="16" t="str">
        <f t="shared" si="0"/>
        <v/>
      </c>
      <c r="D41" s="14" t="str">
        <f t="shared" si="1"/>
        <v/>
      </c>
      <c r="E41" s="14" t="str">
        <f t="shared" si="2"/>
        <v/>
      </c>
      <c r="F41" s="14" t="str">
        <f t="shared" si="3"/>
        <v/>
      </c>
      <c r="G41" s="14" t="str">
        <f t="shared" si="4"/>
        <v/>
      </c>
      <c r="H41" s="15" t="str">
        <f t="shared" si="5"/>
        <v/>
      </c>
      <c r="I41" s="13" t="str">
        <f t="shared" si="6"/>
        <v/>
      </c>
    </row>
    <row r="42" spans="1:9" x14ac:dyDescent="0.2">
      <c r="A42" s="7" t="str">
        <f>IF($B42="","",33)</f>
        <v/>
      </c>
      <c r="B42" s="17" t="str">
        <f>IF(33&gt;NBskParty,"",INDEX(PkBskParty,33))</f>
        <v/>
      </c>
      <c r="C42" s="11" t="str">
        <f t="shared" si="0"/>
        <v/>
      </c>
      <c r="D42" s="9" t="str">
        <f t="shared" si="1"/>
        <v/>
      </c>
      <c r="E42" s="9" t="str">
        <f t="shared" si="2"/>
        <v/>
      </c>
      <c r="F42" s="9" t="str">
        <f t="shared" si="3"/>
        <v/>
      </c>
      <c r="G42" s="9" t="str">
        <f t="shared" si="4"/>
        <v/>
      </c>
      <c r="H42" s="10" t="str">
        <f t="shared" si="5"/>
        <v/>
      </c>
      <c r="I42" s="8" t="str">
        <f t="shared" si="6"/>
        <v/>
      </c>
    </row>
    <row r="43" spans="1:9" x14ac:dyDescent="0.2">
      <c r="A43" s="12" t="str">
        <f>IF($B43="","",34)</f>
        <v/>
      </c>
      <c r="B43" s="18" t="str">
        <f>IF(34&gt;NBskParty,"",INDEX(PkBskParty,34))</f>
        <v/>
      </c>
      <c r="C43" s="16" t="str">
        <f t="shared" si="0"/>
        <v/>
      </c>
      <c r="D43" s="14" t="str">
        <f t="shared" si="1"/>
        <v/>
      </c>
      <c r="E43" s="14" t="str">
        <f t="shared" si="2"/>
        <v/>
      </c>
      <c r="F43" s="14" t="str">
        <f t="shared" si="3"/>
        <v/>
      </c>
      <c r="G43" s="14" t="str">
        <f t="shared" si="4"/>
        <v/>
      </c>
      <c r="H43" s="15" t="str">
        <f t="shared" si="5"/>
        <v/>
      </c>
      <c r="I43" s="13" t="str">
        <f t="shared" si="6"/>
        <v/>
      </c>
    </row>
    <row r="44" spans="1:9" x14ac:dyDescent="0.2">
      <c r="A44" s="7" t="str">
        <f>IF($B44="","",35)</f>
        <v/>
      </c>
      <c r="B44" s="17" t="str">
        <f>IF(35&gt;NBskParty,"",INDEX(PkBskParty,35))</f>
        <v/>
      </c>
      <c r="C44" s="11" t="str">
        <f t="shared" si="0"/>
        <v/>
      </c>
      <c r="D44" s="9" t="str">
        <f t="shared" si="1"/>
        <v/>
      </c>
      <c r="E44" s="9" t="str">
        <f t="shared" si="2"/>
        <v/>
      </c>
      <c r="F44" s="9" t="str">
        <f t="shared" si="3"/>
        <v/>
      </c>
      <c r="G44" s="9" t="str">
        <f t="shared" si="4"/>
        <v/>
      </c>
      <c r="H44" s="10" t="str">
        <f t="shared" si="5"/>
        <v/>
      </c>
      <c r="I44" s="8" t="str">
        <f t="shared" si="6"/>
        <v/>
      </c>
    </row>
    <row r="45" spans="1:9" x14ac:dyDescent="0.2">
      <c r="A45" s="12" t="str">
        <f>IF($B45="","",36)</f>
        <v/>
      </c>
      <c r="B45" s="18" t="str">
        <f>IF(36&gt;NBskParty,"",INDEX(PkBskParty,36))</f>
        <v/>
      </c>
      <c r="C45" s="16" t="str">
        <f t="shared" si="0"/>
        <v/>
      </c>
      <c r="D45" s="14" t="str">
        <f t="shared" si="1"/>
        <v/>
      </c>
      <c r="E45" s="14" t="str">
        <f t="shared" si="2"/>
        <v/>
      </c>
      <c r="F45" s="14" t="str">
        <f t="shared" si="3"/>
        <v/>
      </c>
      <c r="G45" s="14" t="str">
        <f t="shared" si="4"/>
        <v/>
      </c>
      <c r="H45" s="15" t="str">
        <f t="shared" si="5"/>
        <v/>
      </c>
      <c r="I45" s="13" t="str">
        <f t="shared" si="6"/>
        <v/>
      </c>
    </row>
    <row r="46" spans="1:9" x14ac:dyDescent="0.2">
      <c r="A46" s="7" t="str">
        <f>IF($B46="","",37)</f>
        <v/>
      </c>
      <c r="B46" s="17" t="str">
        <f>IF(37&gt;NBskParty,"",INDEX(PkBskParty,37))</f>
        <v/>
      </c>
      <c r="C46" s="11" t="str">
        <f t="shared" si="0"/>
        <v/>
      </c>
      <c r="D46" s="9" t="str">
        <f t="shared" si="1"/>
        <v/>
      </c>
      <c r="E46" s="9" t="str">
        <f t="shared" si="2"/>
        <v/>
      </c>
      <c r="F46" s="9" t="str">
        <f t="shared" si="3"/>
        <v/>
      </c>
      <c r="G46" s="9" t="str">
        <f t="shared" si="4"/>
        <v/>
      </c>
      <c r="H46" s="10" t="str">
        <f t="shared" si="5"/>
        <v/>
      </c>
      <c r="I46" s="8" t="str">
        <f t="shared" si="6"/>
        <v/>
      </c>
    </row>
    <row r="47" spans="1:9" x14ac:dyDescent="0.2">
      <c r="A47" s="12" t="str">
        <f>IF($B47="","",38)</f>
        <v/>
      </c>
      <c r="B47" s="18" t="str">
        <f>IF(38&gt;NBskParty,"",INDEX(PkBskParty,38))</f>
        <v/>
      </c>
      <c r="C47" s="16" t="str">
        <f t="shared" si="0"/>
        <v/>
      </c>
      <c r="D47" s="14" t="str">
        <f t="shared" si="1"/>
        <v/>
      </c>
      <c r="E47" s="14" t="str">
        <f t="shared" si="2"/>
        <v/>
      </c>
      <c r="F47" s="14" t="str">
        <f t="shared" si="3"/>
        <v/>
      </c>
      <c r="G47" s="14" t="str">
        <f t="shared" si="4"/>
        <v/>
      </c>
      <c r="H47" s="15" t="str">
        <f t="shared" si="5"/>
        <v/>
      </c>
      <c r="I47" s="13" t="str">
        <f t="shared" si="6"/>
        <v/>
      </c>
    </row>
    <row r="48" spans="1:9" x14ac:dyDescent="0.2">
      <c r="A48" s="7" t="str">
        <f>IF($B48="","",39)</f>
        <v/>
      </c>
      <c r="B48" s="17" t="str">
        <f>IF(39&gt;NBskParty,"",INDEX(PkBskParty,39))</f>
        <v/>
      </c>
      <c r="C48" s="11" t="str">
        <f t="shared" si="0"/>
        <v/>
      </c>
      <c r="D48" s="9" t="str">
        <f t="shared" si="1"/>
        <v/>
      </c>
      <c r="E48" s="9" t="str">
        <f t="shared" si="2"/>
        <v/>
      </c>
      <c r="F48" s="9" t="str">
        <f t="shared" si="3"/>
        <v/>
      </c>
      <c r="G48" s="9" t="str">
        <f t="shared" si="4"/>
        <v/>
      </c>
      <c r="H48" s="10" t="str">
        <f t="shared" si="5"/>
        <v/>
      </c>
      <c r="I48" s="8" t="str">
        <f t="shared" si="6"/>
        <v/>
      </c>
    </row>
    <row r="49" spans="1:9" x14ac:dyDescent="0.2">
      <c r="A49" s="12" t="str">
        <f>IF($B49="","",40)</f>
        <v/>
      </c>
      <c r="B49" s="18" t="str">
        <f>IF(40&gt;NBskParty,"",INDEX(PkBskParty,40))</f>
        <v/>
      </c>
      <c r="C49" s="16" t="str">
        <f t="shared" si="0"/>
        <v/>
      </c>
      <c r="D49" s="14" t="str">
        <f t="shared" si="1"/>
        <v/>
      </c>
      <c r="E49" s="14" t="str">
        <f t="shared" si="2"/>
        <v/>
      </c>
      <c r="F49" s="14" t="str">
        <f t="shared" si="3"/>
        <v/>
      </c>
      <c r="G49" s="14" t="str">
        <f t="shared" si="4"/>
        <v/>
      </c>
      <c r="H49" s="15" t="str">
        <f t="shared" si="5"/>
        <v/>
      </c>
      <c r="I49" s="13" t="str">
        <f t="shared" si="6"/>
        <v/>
      </c>
    </row>
    <row r="50" spans="1:9" x14ac:dyDescent="0.2">
      <c r="A50" s="7" t="str">
        <f>IF($B50="","",41)</f>
        <v/>
      </c>
      <c r="B50" s="17" t="str">
        <f>IF(41&gt;NBskParty,"",INDEX(PkBskParty,41))</f>
        <v/>
      </c>
      <c r="C50" s="11" t="str">
        <f t="shared" si="0"/>
        <v/>
      </c>
      <c r="D50" s="9" t="str">
        <f t="shared" si="1"/>
        <v/>
      </c>
      <c r="E50" s="9" t="str">
        <f t="shared" si="2"/>
        <v/>
      </c>
      <c r="F50" s="9" t="str">
        <f t="shared" si="3"/>
        <v/>
      </c>
      <c r="G50" s="9" t="str">
        <f t="shared" si="4"/>
        <v/>
      </c>
      <c r="H50" s="10" t="str">
        <f t="shared" si="5"/>
        <v/>
      </c>
      <c r="I50" s="8" t="str">
        <f t="shared" si="6"/>
        <v/>
      </c>
    </row>
    <row r="51" spans="1:9" x14ac:dyDescent="0.2">
      <c r="A51" s="12" t="str">
        <f>IF($B51="","",42)</f>
        <v/>
      </c>
      <c r="B51" s="18" t="str">
        <f>IF(42&gt;NBskParty,"",INDEX(PkBskParty,42))</f>
        <v/>
      </c>
      <c r="C51" s="16" t="str">
        <f t="shared" si="0"/>
        <v/>
      </c>
      <c r="D51" s="14" t="str">
        <f t="shared" si="1"/>
        <v/>
      </c>
      <c r="E51" s="14" t="str">
        <f t="shared" si="2"/>
        <v/>
      </c>
      <c r="F51" s="14" t="str">
        <f t="shared" si="3"/>
        <v/>
      </c>
      <c r="G51" s="14" t="str">
        <f t="shared" si="4"/>
        <v/>
      </c>
      <c r="H51" s="15" t="str">
        <f t="shared" si="5"/>
        <v/>
      </c>
      <c r="I51" s="13" t="str">
        <f t="shared" si="6"/>
        <v/>
      </c>
    </row>
    <row r="52" spans="1:9" x14ac:dyDescent="0.2">
      <c r="A52" s="7" t="str">
        <f>IF($B52="","",43)</f>
        <v/>
      </c>
      <c r="B52" s="17" t="str">
        <f>IF(43&gt;NBskParty,"",INDEX(PkBskParty,43))</f>
        <v/>
      </c>
      <c r="C52" s="11" t="str">
        <f t="shared" si="0"/>
        <v/>
      </c>
      <c r="D52" s="9" t="str">
        <f t="shared" si="1"/>
        <v/>
      </c>
      <c r="E52" s="9" t="str">
        <f t="shared" si="2"/>
        <v/>
      </c>
      <c r="F52" s="9" t="str">
        <f t="shared" si="3"/>
        <v/>
      </c>
      <c r="G52" s="9" t="str">
        <f t="shared" si="4"/>
        <v/>
      </c>
      <c r="H52" s="10" t="str">
        <f t="shared" si="5"/>
        <v/>
      </c>
      <c r="I52" s="8" t="str">
        <f t="shared" si="6"/>
        <v/>
      </c>
    </row>
    <row r="53" spans="1:9" x14ac:dyDescent="0.2">
      <c r="A53" s="12" t="str">
        <f>IF($B53="","",44)</f>
        <v/>
      </c>
      <c r="B53" s="18" t="str">
        <f>IF(44&gt;NBskParty,"",INDEX(PkBskParty,44))</f>
        <v/>
      </c>
      <c r="C53" s="16" t="str">
        <f t="shared" si="0"/>
        <v/>
      </c>
      <c r="D53" s="14" t="str">
        <f t="shared" si="1"/>
        <v/>
      </c>
      <c r="E53" s="14" t="str">
        <f t="shared" si="2"/>
        <v/>
      </c>
      <c r="F53" s="14" t="str">
        <f t="shared" si="3"/>
        <v/>
      </c>
      <c r="G53" s="14" t="str">
        <f t="shared" si="4"/>
        <v/>
      </c>
      <c r="H53" s="15" t="str">
        <f t="shared" si="5"/>
        <v/>
      </c>
      <c r="I53" s="13" t="str">
        <f t="shared" si="6"/>
        <v/>
      </c>
    </row>
    <row r="54" spans="1:9" x14ac:dyDescent="0.2">
      <c r="A54" s="7" t="str">
        <f>IF($B54="","",45)</f>
        <v/>
      </c>
      <c r="B54" s="17" t="str">
        <f>IF(45&gt;NBskParty,"",INDEX(PkBskParty,45))</f>
        <v/>
      </c>
      <c r="C54" s="11" t="str">
        <f t="shared" si="0"/>
        <v/>
      </c>
      <c r="D54" s="9" t="str">
        <f t="shared" si="1"/>
        <v/>
      </c>
      <c r="E54" s="9" t="str">
        <f t="shared" si="2"/>
        <v/>
      </c>
      <c r="F54" s="9" t="str">
        <f t="shared" si="3"/>
        <v/>
      </c>
      <c r="G54" s="9" t="str">
        <f t="shared" si="4"/>
        <v/>
      </c>
      <c r="H54" s="10" t="str">
        <f t="shared" si="5"/>
        <v/>
      </c>
      <c r="I54" s="8" t="str">
        <f t="shared" si="6"/>
        <v/>
      </c>
    </row>
    <row r="55" spans="1:9" x14ac:dyDescent="0.2">
      <c r="A55" s="12" t="str">
        <f>IF($B55="","",46)</f>
        <v/>
      </c>
      <c r="B55" s="18" t="str">
        <f>IF(46&gt;NBskParty,"",INDEX(PkBskParty,46))</f>
        <v/>
      </c>
      <c r="C55" s="16" t="str">
        <f t="shared" si="0"/>
        <v/>
      </c>
      <c r="D55" s="14" t="str">
        <f t="shared" si="1"/>
        <v/>
      </c>
      <c r="E55" s="14" t="str">
        <f t="shared" si="2"/>
        <v/>
      </c>
      <c r="F55" s="14" t="str">
        <f t="shared" si="3"/>
        <v/>
      </c>
      <c r="G55" s="14" t="str">
        <f t="shared" si="4"/>
        <v/>
      </c>
      <c r="H55" s="15" t="str">
        <f t="shared" si="5"/>
        <v/>
      </c>
      <c r="I55" s="13" t="str">
        <f t="shared" si="6"/>
        <v/>
      </c>
    </row>
    <row r="56" spans="1:9" x14ac:dyDescent="0.2">
      <c r="A56" s="7" t="str">
        <f>IF($B56="","",47)</f>
        <v/>
      </c>
      <c r="B56" s="17" t="str">
        <f>IF(47&gt;NBskParty,"",INDEX(PkBskParty,47))</f>
        <v/>
      </c>
      <c r="C56" s="11" t="str">
        <f t="shared" si="0"/>
        <v/>
      </c>
      <c r="D56" s="9" t="str">
        <f t="shared" si="1"/>
        <v/>
      </c>
      <c r="E56" s="9" t="str">
        <f t="shared" si="2"/>
        <v/>
      </c>
      <c r="F56" s="9" t="str">
        <f t="shared" si="3"/>
        <v/>
      </c>
      <c r="G56" s="9" t="str">
        <f t="shared" si="4"/>
        <v/>
      </c>
      <c r="H56" s="10" t="str">
        <f t="shared" si="5"/>
        <v/>
      </c>
      <c r="I56" s="8" t="str">
        <f t="shared" si="6"/>
        <v/>
      </c>
    </row>
    <row r="57" spans="1:9" x14ac:dyDescent="0.2">
      <c r="A57" s="12" t="str">
        <f>IF($B57="","",48)</f>
        <v/>
      </c>
      <c r="B57" s="18" t="str">
        <f>IF(48&gt;NBskParty,"",INDEX(PkBskParty,48))</f>
        <v/>
      </c>
      <c r="C57" s="16" t="str">
        <f t="shared" si="0"/>
        <v/>
      </c>
      <c r="D57" s="14" t="str">
        <f t="shared" si="1"/>
        <v/>
      </c>
      <c r="E57" s="14" t="str">
        <f t="shared" si="2"/>
        <v/>
      </c>
      <c r="F57" s="14" t="str">
        <f t="shared" si="3"/>
        <v/>
      </c>
      <c r="G57" s="14" t="str">
        <f t="shared" si="4"/>
        <v/>
      </c>
      <c r="H57" s="15" t="str">
        <f t="shared" si="5"/>
        <v/>
      </c>
      <c r="I57" s="13" t="str">
        <f t="shared" si="6"/>
        <v/>
      </c>
    </row>
    <row r="58" spans="1:9" x14ac:dyDescent="0.2">
      <c r="A58" s="7" t="str">
        <f>IF($B58="","",49)</f>
        <v/>
      </c>
      <c r="B58" s="17" t="str">
        <f>IF(49&gt;NBskParty,"",INDEX(PkBskParty,49))</f>
        <v/>
      </c>
      <c r="C58" s="11" t="str">
        <f t="shared" si="0"/>
        <v/>
      </c>
      <c r="D58" s="9" t="str">
        <f t="shared" si="1"/>
        <v/>
      </c>
      <c r="E58" s="9" t="str">
        <f t="shared" si="2"/>
        <v/>
      </c>
      <c r="F58" s="9" t="str">
        <f t="shared" si="3"/>
        <v/>
      </c>
      <c r="G58" s="9" t="str">
        <f t="shared" si="4"/>
        <v/>
      </c>
      <c r="H58" s="10" t="str">
        <f t="shared" si="5"/>
        <v/>
      </c>
      <c r="I58" s="8" t="str">
        <f t="shared" si="6"/>
        <v/>
      </c>
    </row>
    <row r="59" spans="1:9" x14ac:dyDescent="0.2">
      <c r="A59" s="12" t="str">
        <f>IF($B59="","",50)</f>
        <v/>
      </c>
      <c r="B59" s="18" t="str">
        <f>IF(50&gt;NBskParty,"",INDEX(PkBskParty,50))</f>
        <v/>
      </c>
      <c r="C59" s="16" t="str">
        <f t="shared" si="0"/>
        <v/>
      </c>
      <c r="D59" s="14" t="str">
        <f t="shared" si="1"/>
        <v/>
      </c>
      <c r="E59" s="14" t="str">
        <f t="shared" si="2"/>
        <v/>
      </c>
      <c r="F59" s="14" t="str">
        <f t="shared" si="3"/>
        <v/>
      </c>
      <c r="G59" s="14" t="str">
        <f t="shared" si="4"/>
        <v/>
      </c>
      <c r="H59" s="15" t="str">
        <f t="shared" si="5"/>
        <v/>
      </c>
      <c r="I59" s="13" t="str">
        <f t="shared" si="6"/>
        <v/>
      </c>
    </row>
    <row r="60" spans="1:9" x14ac:dyDescent="0.2">
      <c r="A60" s="7" t="str">
        <f>IF($B60="","",51)</f>
        <v/>
      </c>
      <c r="B60" s="17" t="str">
        <f>IF(51&gt;NBskParty,"",INDEX(PkBskParty,51))</f>
        <v/>
      </c>
      <c r="C60" s="11" t="str">
        <f t="shared" si="0"/>
        <v/>
      </c>
      <c r="D60" s="9" t="str">
        <f t="shared" si="1"/>
        <v/>
      </c>
      <c r="E60" s="9" t="str">
        <f t="shared" si="2"/>
        <v/>
      </c>
      <c r="F60" s="9" t="str">
        <f t="shared" si="3"/>
        <v/>
      </c>
      <c r="G60" s="9" t="str">
        <f t="shared" si="4"/>
        <v/>
      </c>
      <c r="H60" s="10" t="str">
        <f t="shared" si="5"/>
        <v/>
      </c>
      <c r="I60" s="8" t="str">
        <f t="shared" si="6"/>
        <v/>
      </c>
    </row>
    <row r="61" spans="1:9" x14ac:dyDescent="0.2">
      <c r="A61" s="12" t="str">
        <f>IF($B61="","",52)</f>
        <v/>
      </c>
      <c r="B61" s="18" t="str">
        <f>IF(52&gt;NBskParty,"",INDEX(PkBskParty,52))</f>
        <v/>
      </c>
      <c r="C61" s="16" t="str">
        <f t="shared" si="0"/>
        <v/>
      </c>
      <c r="D61" s="14" t="str">
        <f t="shared" si="1"/>
        <v/>
      </c>
      <c r="E61" s="14" t="str">
        <f t="shared" si="2"/>
        <v/>
      </c>
      <c r="F61" s="14" t="str">
        <f t="shared" si="3"/>
        <v/>
      </c>
      <c r="G61" s="14" t="str">
        <f t="shared" si="4"/>
        <v/>
      </c>
      <c r="H61" s="15" t="str">
        <f t="shared" si="5"/>
        <v/>
      </c>
      <c r="I61" s="13" t="str">
        <f t="shared" si="6"/>
        <v/>
      </c>
    </row>
    <row r="62" spans="1:9" x14ac:dyDescent="0.2">
      <c r="A62" s="7" t="str">
        <f>IF($B62="","",53)</f>
        <v/>
      </c>
      <c r="B62" s="17" t="str">
        <f>IF(53&gt;NBskParty,"",INDEX(PkBskParty,53))</f>
        <v/>
      </c>
      <c r="C62" s="11" t="str">
        <f t="shared" si="0"/>
        <v/>
      </c>
      <c r="D62" s="9" t="str">
        <f t="shared" si="1"/>
        <v/>
      </c>
      <c r="E62" s="9" t="str">
        <f t="shared" si="2"/>
        <v/>
      </c>
      <c r="F62" s="9" t="str">
        <f t="shared" si="3"/>
        <v/>
      </c>
      <c r="G62" s="9" t="str">
        <f t="shared" si="4"/>
        <v/>
      </c>
      <c r="H62" s="10" t="str">
        <f t="shared" si="5"/>
        <v/>
      </c>
      <c r="I62" s="8" t="str">
        <f t="shared" si="6"/>
        <v/>
      </c>
    </row>
    <row r="63" spans="1:9" x14ac:dyDescent="0.2">
      <c r="A63" s="12" t="str">
        <f>IF($B63="","",54)</f>
        <v/>
      </c>
      <c r="B63" s="18" t="str">
        <f>IF(54&gt;NBskParty,"",INDEX(PkBskParty,54))</f>
        <v/>
      </c>
      <c r="C63" s="16" t="str">
        <f t="shared" si="0"/>
        <v/>
      </c>
      <c r="D63" s="14" t="str">
        <f t="shared" si="1"/>
        <v/>
      </c>
      <c r="E63" s="14" t="str">
        <f t="shared" si="2"/>
        <v/>
      </c>
      <c r="F63" s="14" t="str">
        <f t="shared" si="3"/>
        <v/>
      </c>
      <c r="G63" s="14" t="str">
        <f t="shared" si="4"/>
        <v/>
      </c>
      <c r="H63" s="15" t="str">
        <f t="shared" si="5"/>
        <v/>
      </c>
      <c r="I63" s="13" t="str">
        <f t="shared" si="6"/>
        <v/>
      </c>
    </row>
    <row r="64" spans="1:9" x14ac:dyDescent="0.2">
      <c r="A64" s="7" t="str">
        <f>IF($B64="","",55)</f>
        <v/>
      </c>
      <c r="B64" s="17" t="str">
        <f>IF(55&gt;NBskParty,"",INDEX(PkBskParty,55))</f>
        <v/>
      </c>
      <c r="C64" s="11" t="str">
        <f t="shared" si="0"/>
        <v/>
      </c>
      <c r="D64" s="9" t="str">
        <f t="shared" si="1"/>
        <v/>
      </c>
      <c r="E64" s="9" t="str">
        <f t="shared" si="2"/>
        <v/>
      </c>
      <c r="F64" s="9" t="str">
        <f t="shared" si="3"/>
        <v/>
      </c>
      <c r="G64" s="9" t="str">
        <f t="shared" si="4"/>
        <v/>
      </c>
      <c r="H64" s="10" t="str">
        <f t="shared" si="5"/>
        <v/>
      </c>
      <c r="I64" s="8" t="str">
        <f t="shared" si="6"/>
        <v/>
      </c>
    </row>
    <row r="65" spans="1:9" x14ac:dyDescent="0.2">
      <c r="A65" s="12" t="str">
        <f>IF($B65="","",56)</f>
        <v/>
      </c>
      <c r="B65" s="18" t="str">
        <f>IF(56&gt;NBskParty,"",INDEX(PkBskParty,56))</f>
        <v/>
      </c>
      <c r="C65" s="16" t="str">
        <f t="shared" si="0"/>
        <v/>
      </c>
      <c r="D65" s="14" t="str">
        <f t="shared" si="1"/>
        <v/>
      </c>
      <c r="E65" s="14" t="str">
        <f t="shared" si="2"/>
        <v/>
      </c>
      <c r="F65" s="14" t="str">
        <f t="shared" si="3"/>
        <v/>
      </c>
      <c r="G65" s="14" t="str">
        <f t="shared" si="4"/>
        <v/>
      </c>
      <c r="H65" s="15" t="str">
        <f t="shared" si="5"/>
        <v/>
      </c>
      <c r="I65" s="13" t="str">
        <f t="shared" si="6"/>
        <v/>
      </c>
    </row>
    <row r="66" spans="1:9" x14ac:dyDescent="0.2">
      <c r="A66" s="7" t="str">
        <f>IF($B66="","",57)</f>
        <v/>
      </c>
      <c r="B66" s="17" t="str">
        <f>IF(57&gt;NBskParty,"",INDEX(PkBskParty,57))</f>
        <v/>
      </c>
      <c r="C66" s="11" t="str">
        <f t="shared" si="0"/>
        <v/>
      </c>
      <c r="D66" s="9" t="str">
        <f t="shared" si="1"/>
        <v/>
      </c>
      <c r="E66" s="9" t="str">
        <f t="shared" si="2"/>
        <v/>
      </c>
      <c r="F66" s="9" t="str">
        <f t="shared" si="3"/>
        <v/>
      </c>
      <c r="G66" s="9" t="str">
        <f t="shared" si="4"/>
        <v/>
      </c>
      <c r="H66" s="10" t="str">
        <f t="shared" si="5"/>
        <v/>
      </c>
      <c r="I66" s="8" t="str">
        <f t="shared" si="6"/>
        <v/>
      </c>
    </row>
    <row r="67" spans="1:9" x14ac:dyDescent="0.2">
      <c r="A67" s="12" t="str">
        <f>IF($B67="","",58)</f>
        <v/>
      </c>
      <c r="B67" s="18" t="str">
        <f>IF(58&gt;NBskParty,"",INDEX(PkBskParty,58))</f>
        <v/>
      </c>
      <c r="C67" s="16" t="str">
        <f t="shared" si="0"/>
        <v/>
      </c>
      <c r="D67" s="14" t="str">
        <f t="shared" si="1"/>
        <v/>
      </c>
      <c r="E67" s="14" t="str">
        <f t="shared" si="2"/>
        <v/>
      </c>
      <c r="F67" s="14" t="str">
        <f t="shared" si="3"/>
        <v/>
      </c>
      <c r="G67" s="14" t="str">
        <f t="shared" si="4"/>
        <v/>
      </c>
      <c r="H67" s="15" t="str">
        <f t="shared" si="5"/>
        <v/>
      </c>
      <c r="I67" s="13" t="str">
        <f t="shared" si="6"/>
        <v/>
      </c>
    </row>
    <row r="68" spans="1:9" x14ac:dyDescent="0.2">
      <c r="A68" s="7" t="str">
        <f>IF($B68="","",59)</f>
        <v/>
      </c>
      <c r="B68" s="17" t="str">
        <f>IF(59&gt;NBskParty,"",INDEX(PkBskParty,59))</f>
        <v/>
      </c>
      <c r="C68" s="11" t="str">
        <f t="shared" si="0"/>
        <v/>
      </c>
      <c r="D68" s="9" t="str">
        <f t="shared" si="1"/>
        <v/>
      </c>
      <c r="E68" s="9" t="str">
        <f t="shared" si="2"/>
        <v/>
      </c>
      <c r="F68" s="9" t="str">
        <f t="shared" si="3"/>
        <v/>
      </c>
      <c r="G68" s="9" t="str">
        <f t="shared" si="4"/>
        <v/>
      </c>
      <c r="H68" s="10" t="str">
        <f t="shared" si="5"/>
        <v/>
      </c>
      <c r="I68" s="8" t="str">
        <f t="shared" si="6"/>
        <v/>
      </c>
    </row>
    <row r="69" spans="1:9" x14ac:dyDescent="0.2">
      <c r="A69" s="12" t="str">
        <f>IF($B69="","",60)</f>
        <v/>
      </c>
      <c r="B69" s="18" t="str">
        <f>IF(60&gt;NBskParty,"",INDEX(PkBskParty,60))</f>
        <v/>
      </c>
      <c r="C69" s="16" t="str">
        <f t="shared" si="0"/>
        <v/>
      </c>
      <c r="D69" s="14" t="str">
        <f t="shared" si="1"/>
        <v/>
      </c>
      <c r="E69" s="14" t="str">
        <f t="shared" si="2"/>
        <v/>
      </c>
      <c r="F69" s="14" t="str">
        <f t="shared" si="3"/>
        <v/>
      </c>
      <c r="G69" s="14" t="str">
        <f t="shared" si="4"/>
        <v/>
      </c>
      <c r="H69" s="15" t="str">
        <f t="shared" si="5"/>
        <v/>
      </c>
      <c r="I69" s="13" t="str">
        <f t="shared" si="6"/>
        <v/>
      </c>
    </row>
    <row r="70" spans="1:9" x14ac:dyDescent="0.2">
      <c r="A70" s="7" t="str">
        <f>IF($B70="","",61)</f>
        <v/>
      </c>
      <c r="B70" s="17" t="str">
        <f>IF(61&gt;NBskParty,"",INDEX(PkBskParty,61))</f>
        <v/>
      </c>
      <c r="C70" s="11" t="str">
        <f t="shared" si="0"/>
        <v/>
      </c>
      <c r="D70" s="9" t="str">
        <f t="shared" si="1"/>
        <v/>
      </c>
      <c r="E70" s="9" t="str">
        <f t="shared" si="2"/>
        <v/>
      </c>
      <c r="F70" s="9" t="str">
        <f t="shared" si="3"/>
        <v/>
      </c>
      <c r="G70" s="9" t="str">
        <f t="shared" si="4"/>
        <v/>
      </c>
      <c r="H70" s="10" t="str">
        <f t="shared" si="5"/>
        <v/>
      </c>
      <c r="I70" s="8" t="str">
        <f t="shared" si="6"/>
        <v/>
      </c>
    </row>
    <row r="71" spans="1:9" x14ac:dyDescent="0.2">
      <c r="A71" s="12" t="str">
        <f>IF($B71="","",62)</f>
        <v/>
      </c>
      <c r="B71" s="18" t="str">
        <f>IF(62&gt;NBskParty,"",INDEX(PkBskParty,62))</f>
        <v/>
      </c>
      <c r="C71" s="16" t="str">
        <f t="shared" si="0"/>
        <v/>
      </c>
      <c r="D71" s="14" t="str">
        <f t="shared" si="1"/>
        <v/>
      </c>
      <c r="E71" s="14" t="str">
        <f t="shared" si="2"/>
        <v/>
      </c>
      <c r="F71" s="14" t="str">
        <f t="shared" si="3"/>
        <v/>
      </c>
      <c r="G71" s="14" t="str">
        <f t="shared" si="4"/>
        <v/>
      </c>
      <c r="H71" s="15" t="str">
        <f t="shared" si="5"/>
        <v/>
      </c>
      <c r="I71" s="13" t="str">
        <f t="shared" si="6"/>
        <v/>
      </c>
    </row>
    <row r="72" spans="1:9" x14ac:dyDescent="0.2">
      <c r="A72" s="7" t="str">
        <f>IF($B72="","",63)</f>
        <v/>
      </c>
      <c r="B72" s="17" t="str">
        <f>IF(63&gt;NBskParty,"",INDEX(PkBskParty,63))</f>
        <v/>
      </c>
      <c r="C72" s="11" t="str">
        <f t="shared" si="0"/>
        <v/>
      </c>
      <c r="D72" s="9" t="str">
        <f t="shared" si="1"/>
        <v/>
      </c>
      <c r="E72" s="9" t="str">
        <f t="shared" si="2"/>
        <v/>
      </c>
      <c r="F72" s="9" t="str">
        <f t="shared" si="3"/>
        <v/>
      </c>
      <c r="G72" s="9" t="str">
        <f t="shared" si="4"/>
        <v/>
      </c>
      <c r="H72" s="10" t="str">
        <f t="shared" si="5"/>
        <v/>
      </c>
      <c r="I72" s="8" t="str">
        <f t="shared" si="6"/>
        <v/>
      </c>
    </row>
    <row r="73" spans="1:9" x14ac:dyDescent="0.2">
      <c r="A73" s="12" t="str">
        <f>IF($B73="","",64)</f>
        <v/>
      </c>
      <c r="B73" s="18" t="str">
        <f>IF(64&gt;NBskParty,"",INDEX(PkBskParty,64))</f>
        <v/>
      </c>
      <c r="C73" s="16" t="str">
        <f t="shared" si="0"/>
        <v/>
      </c>
      <c r="D73" s="14" t="str">
        <f t="shared" si="1"/>
        <v/>
      </c>
      <c r="E73" s="14" t="str">
        <f t="shared" si="2"/>
        <v/>
      </c>
      <c r="F73" s="14" t="str">
        <f t="shared" si="3"/>
        <v/>
      </c>
      <c r="G73" s="14" t="str">
        <f t="shared" si="4"/>
        <v/>
      </c>
      <c r="H73" s="15" t="str">
        <f t="shared" si="5"/>
        <v/>
      </c>
      <c r="I73" s="13" t="str">
        <f t="shared" si="6"/>
        <v/>
      </c>
    </row>
    <row r="74" spans="1:9" x14ac:dyDescent="0.2">
      <c r="A74" s="7" t="str">
        <f>IF($B74="","",65)</f>
        <v/>
      </c>
      <c r="B74" s="17" t="str">
        <f>IF(65&gt;NBskParty,"",INDEX(PkBskParty,65))</f>
        <v/>
      </c>
      <c r="C74" s="11" t="str">
        <f t="shared" ref="C74:C137" si="7">IF($B74="","",IFERROR(IF(VLOOKUP($B74,AcctTbl,4,0)="","(بدون نام)",VLOOKUP($B74,AcctTbl,4,0)),"—"))</f>
        <v/>
      </c>
      <c r="D74" s="9" t="str">
        <f t="shared" ref="D74:D137" si="8">IF($B74="","",SUMIF(CalcPartyA,$B74,CalcQtyA))</f>
        <v/>
      </c>
      <c r="E74" s="9" t="str">
        <f t="shared" ref="E74:E137" si="9">IF($B74="","",SUMIF(CalcPartyA,$B74,CalcAmtA))</f>
        <v/>
      </c>
      <c r="F74" s="9" t="str">
        <f t="shared" ref="F74:F137" si="10">IF($B74="","",SUMIF(CalcPartyB,$B74,CalcWitB))</f>
        <v/>
      </c>
      <c r="G74" s="9" t="str">
        <f t="shared" ref="G74:G137" si="11">IF($B74="","",SUMIF(CalcPartyB,$B74,CalcDepB))</f>
        <v/>
      </c>
      <c r="H74" s="10" t="str">
        <f t="shared" ref="H74:H137" si="12">IF($B74="","",$E74-$F74+$G74)</f>
        <v/>
      </c>
      <c r="I74" s="8" t="str">
        <f t="shared" ref="I74:I137" si="13">IF($B74="","",IF(ROUND($H74,0)&gt;0,"● بستانکار",IF(ROUND($H74,0)&lt;0,"● بدهکار","تسویه")))</f>
        <v/>
      </c>
    </row>
    <row r="75" spans="1:9" x14ac:dyDescent="0.2">
      <c r="A75" s="12" t="str">
        <f>IF($B75="","",66)</f>
        <v/>
      </c>
      <c r="B75" s="18" t="str">
        <f>IF(66&gt;NBskParty,"",INDEX(PkBskParty,66))</f>
        <v/>
      </c>
      <c r="C75" s="16" t="str">
        <f t="shared" si="7"/>
        <v/>
      </c>
      <c r="D75" s="14" t="str">
        <f t="shared" si="8"/>
        <v/>
      </c>
      <c r="E75" s="14" t="str">
        <f t="shared" si="9"/>
        <v/>
      </c>
      <c r="F75" s="14" t="str">
        <f t="shared" si="10"/>
        <v/>
      </c>
      <c r="G75" s="14" t="str">
        <f t="shared" si="11"/>
        <v/>
      </c>
      <c r="H75" s="15" t="str">
        <f t="shared" si="12"/>
        <v/>
      </c>
      <c r="I75" s="13" t="str">
        <f t="shared" si="13"/>
        <v/>
      </c>
    </row>
    <row r="76" spans="1:9" x14ac:dyDescent="0.2">
      <c r="A76" s="7" t="str">
        <f>IF($B76="","",67)</f>
        <v/>
      </c>
      <c r="B76" s="17" t="str">
        <f>IF(67&gt;NBskParty,"",INDEX(PkBskParty,67))</f>
        <v/>
      </c>
      <c r="C76" s="11" t="str">
        <f t="shared" si="7"/>
        <v/>
      </c>
      <c r="D76" s="9" t="str">
        <f t="shared" si="8"/>
        <v/>
      </c>
      <c r="E76" s="9" t="str">
        <f t="shared" si="9"/>
        <v/>
      </c>
      <c r="F76" s="9" t="str">
        <f t="shared" si="10"/>
        <v/>
      </c>
      <c r="G76" s="9" t="str">
        <f t="shared" si="11"/>
        <v/>
      </c>
      <c r="H76" s="10" t="str">
        <f t="shared" si="12"/>
        <v/>
      </c>
      <c r="I76" s="8" t="str">
        <f t="shared" si="13"/>
        <v/>
      </c>
    </row>
    <row r="77" spans="1:9" x14ac:dyDescent="0.2">
      <c r="A77" s="12" t="str">
        <f>IF($B77="","",68)</f>
        <v/>
      </c>
      <c r="B77" s="18" t="str">
        <f>IF(68&gt;NBskParty,"",INDEX(PkBskParty,68))</f>
        <v/>
      </c>
      <c r="C77" s="16" t="str">
        <f t="shared" si="7"/>
        <v/>
      </c>
      <c r="D77" s="14" t="str">
        <f t="shared" si="8"/>
        <v/>
      </c>
      <c r="E77" s="14" t="str">
        <f t="shared" si="9"/>
        <v/>
      </c>
      <c r="F77" s="14" t="str">
        <f t="shared" si="10"/>
        <v/>
      </c>
      <c r="G77" s="14" t="str">
        <f t="shared" si="11"/>
        <v/>
      </c>
      <c r="H77" s="15" t="str">
        <f t="shared" si="12"/>
        <v/>
      </c>
      <c r="I77" s="13" t="str">
        <f t="shared" si="13"/>
        <v/>
      </c>
    </row>
    <row r="78" spans="1:9" x14ac:dyDescent="0.2">
      <c r="A78" s="7" t="str">
        <f>IF($B78="","",69)</f>
        <v/>
      </c>
      <c r="B78" s="17" t="str">
        <f>IF(69&gt;NBskParty,"",INDEX(PkBskParty,69))</f>
        <v/>
      </c>
      <c r="C78" s="11" t="str">
        <f t="shared" si="7"/>
        <v/>
      </c>
      <c r="D78" s="9" t="str">
        <f t="shared" si="8"/>
        <v/>
      </c>
      <c r="E78" s="9" t="str">
        <f t="shared" si="9"/>
        <v/>
      </c>
      <c r="F78" s="9" t="str">
        <f t="shared" si="10"/>
        <v/>
      </c>
      <c r="G78" s="9" t="str">
        <f t="shared" si="11"/>
        <v/>
      </c>
      <c r="H78" s="10" t="str">
        <f t="shared" si="12"/>
        <v/>
      </c>
      <c r="I78" s="8" t="str">
        <f t="shared" si="13"/>
        <v/>
      </c>
    </row>
    <row r="79" spans="1:9" x14ac:dyDescent="0.2">
      <c r="A79" s="12" t="str">
        <f>IF($B79="","",70)</f>
        <v/>
      </c>
      <c r="B79" s="18" t="str">
        <f>IF(70&gt;NBskParty,"",INDEX(PkBskParty,70))</f>
        <v/>
      </c>
      <c r="C79" s="16" t="str">
        <f t="shared" si="7"/>
        <v/>
      </c>
      <c r="D79" s="14" t="str">
        <f t="shared" si="8"/>
        <v/>
      </c>
      <c r="E79" s="14" t="str">
        <f t="shared" si="9"/>
        <v/>
      </c>
      <c r="F79" s="14" t="str">
        <f t="shared" si="10"/>
        <v/>
      </c>
      <c r="G79" s="14" t="str">
        <f t="shared" si="11"/>
        <v/>
      </c>
      <c r="H79" s="15" t="str">
        <f t="shared" si="12"/>
        <v/>
      </c>
      <c r="I79" s="13" t="str">
        <f t="shared" si="13"/>
        <v/>
      </c>
    </row>
    <row r="80" spans="1:9" x14ac:dyDescent="0.2">
      <c r="A80" s="7" t="str">
        <f>IF($B80="","",71)</f>
        <v/>
      </c>
      <c r="B80" s="17" t="str">
        <f>IF(71&gt;NBskParty,"",INDEX(PkBskParty,71))</f>
        <v/>
      </c>
      <c r="C80" s="11" t="str">
        <f t="shared" si="7"/>
        <v/>
      </c>
      <c r="D80" s="9" t="str">
        <f t="shared" si="8"/>
        <v/>
      </c>
      <c r="E80" s="9" t="str">
        <f t="shared" si="9"/>
        <v/>
      </c>
      <c r="F80" s="9" t="str">
        <f t="shared" si="10"/>
        <v/>
      </c>
      <c r="G80" s="9" t="str">
        <f t="shared" si="11"/>
        <v/>
      </c>
      <c r="H80" s="10" t="str">
        <f t="shared" si="12"/>
        <v/>
      </c>
      <c r="I80" s="8" t="str">
        <f t="shared" si="13"/>
        <v/>
      </c>
    </row>
    <row r="81" spans="1:9" x14ac:dyDescent="0.2">
      <c r="A81" s="12" t="str">
        <f>IF($B81="","",72)</f>
        <v/>
      </c>
      <c r="B81" s="18" t="str">
        <f>IF(72&gt;NBskParty,"",INDEX(PkBskParty,72))</f>
        <v/>
      </c>
      <c r="C81" s="16" t="str">
        <f t="shared" si="7"/>
        <v/>
      </c>
      <c r="D81" s="14" t="str">
        <f t="shared" si="8"/>
        <v/>
      </c>
      <c r="E81" s="14" t="str">
        <f t="shared" si="9"/>
        <v/>
      </c>
      <c r="F81" s="14" t="str">
        <f t="shared" si="10"/>
        <v/>
      </c>
      <c r="G81" s="14" t="str">
        <f t="shared" si="11"/>
        <v/>
      </c>
      <c r="H81" s="15" t="str">
        <f t="shared" si="12"/>
        <v/>
      </c>
      <c r="I81" s="13" t="str">
        <f t="shared" si="13"/>
        <v/>
      </c>
    </row>
    <row r="82" spans="1:9" x14ac:dyDescent="0.2">
      <c r="A82" s="7" t="str">
        <f>IF($B82="","",73)</f>
        <v/>
      </c>
      <c r="B82" s="17" t="str">
        <f>IF(73&gt;NBskParty,"",INDEX(PkBskParty,73))</f>
        <v/>
      </c>
      <c r="C82" s="11" t="str">
        <f t="shared" si="7"/>
        <v/>
      </c>
      <c r="D82" s="9" t="str">
        <f t="shared" si="8"/>
        <v/>
      </c>
      <c r="E82" s="9" t="str">
        <f t="shared" si="9"/>
        <v/>
      </c>
      <c r="F82" s="9" t="str">
        <f t="shared" si="10"/>
        <v/>
      </c>
      <c r="G82" s="9" t="str">
        <f t="shared" si="11"/>
        <v/>
      </c>
      <c r="H82" s="10" t="str">
        <f t="shared" si="12"/>
        <v/>
      </c>
      <c r="I82" s="8" t="str">
        <f t="shared" si="13"/>
        <v/>
      </c>
    </row>
    <row r="83" spans="1:9" x14ac:dyDescent="0.2">
      <c r="A83" s="12" t="str">
        <f>IF($B83="","",74)</f>
        <v/>
      </c>
      <c r="B83" s="18" t="str">
        <f>IF(74&gt;NBskParty,"",INDEX(PkBskParty,74))</f>
        <v/>
      </c>
      <c r="C83" s="16" t="str">
        <f t="shared" si="7"/>
        <v/>
      </c>
      <c r="D83" s="14" t="str">
        <f t="shared" si="8"/>
        <v/>
      </c>
      <c r="E83" s="14" t="str">
        <f t="shared" si="9"/>
        <v/>
      </c>
      <c r="F83" s="14" t="str">
        <f t="shared" si="10"/>
        <v/>
      </c>
      <c r="G83" s="14" t="str">
        <f t="shared" si="11"/>
        <v/>
      </c>
      <c r="H83" s="15" t="str">
        <f t="shared" si="12"/>
        <v/>
      </c>
      <c r="I83" s="13" t="str">
        <f t="shared" si="13"/>
        <v/>
      </c>
    </row>
    <row r="84" spans="1:9" x14ac:dyDescent="0.2">
      <c r="A84" s="7" t="str">
        <f>IF($B84="","",75)</f>
        <v/>
      </c>
      <c r="B84" s="17" t="str">
        <f>IF(75&gt;NBskParty,"",INDEX(PkBskParty,75))</f>
        <v/>
      </c>
      <c r="C84" s="11" t="str">
        <f t="shared" si="7"/>
        <v/>
      </c>
      <c r="D84" s="9" t="str">
        <f t="shared" si="8"/>
        <v/>
      </c>
      <c r="E84" s="9" t="str">
        <f t="shared" si="9"/>
        <v/>
      </c>
      <c r="F84" s="9" t="str">
        <f t="shared" si="10"/>
        <v/>
      </c>
      <c r="G84" s="9" t="str">
        <f t="shared" si="11"/>
        <v/>
      </c>
      <c r="H84" s="10" t="str">
        <f t="shared" si="12"/>
        <v/>
      </c>
      <c r="I84" s="8" t="str">
        <f t="shared" si="13"/>
        <v/>
      </c>
    </row>
    <row r="85" spans="1:9" x14ac:dyDescent="0.2">
      <c r="A85" s="12" t="str">
        <f>IF($B85="","",76)</f>
        <v/>
      </c>
      <c r="B85" s="18" t="str">
        <f>IF(76&gt;NBskParty,"",INDEX(PkBskParty,76))</f>
        <v/>
      </c>
      <c r="C85" s="16" t="str">
        <f t="shared" si="7"/>
        <v/>
      </c>
      <c r="D85" s="14" t="str">
        <f t="shared" si="8"/>
        <v/>
      </c>
      <c r="E85" s="14" t="str">
        <f t="shared" si="9"/>
        <v/>
      </c>
      <c r="F85" s="14" t="str">
        <f t="shared" si="10"/>
        <v/>
      </c>
      <c r="G85" s="14" t="str">
        <f t="shared" si="11"/>
        <v/>
      </c>
      <c r="H85" s="15" t="str">
        <f t="shared" si="12"/>
        <v/>
      </c>
      <c r="I85" s="13" t="str">
        <f t="shared" si="13"/>
        <v/>
      </c>
    </row>
    <row r="86" spans="1:9" x14ac:dyDescent="0.2">
      <c r="A86" s="7" t="str">
        <f>IF($B86="","",77)</f>
        <v/>
      </c>
      <c r="B86" s="17" t="str">
        <f>IF(77&gt;NBskParty,"",INDEX(PkBskParty,77))</f>
        <v/>
      </c>
      <c r="C86" s="11" t="str">
        <f t="shared" si="7"/>
        <v/>
      </c>
      <c r="D86" s="9" t="str">
        <f t="shared" si="8"/>
        <v/>
      </c>
      <c r="E86" s="9" t="str">
        <f t="shared" si="9"/>
        <v/>
      </c>
      <c r="F86" s="9" t="str">
        <f t="shared" si="10"/>
        <v/>
      </c>
      <c r="G86" s="9" t="str">
        <f t="shared" si="11"/>
        <v/>
      </c>
      <c r="H86" s="10" t="str">
        <f t="shared" si="12"/>
        <v/>
      </c>
      <c r="I86" s="8" t="str">
        <f t="shared" si="13"/>
        <v/>
      </c>
    </row>
    <row r="87" spans="1:9" x14ac:dyDescent="0.2">
      <c r="A87" s="12" t="str">
        <f>IF($B87="","",78)</f>
        <v/>
      </c>
      <c r="B87" s="18" t="str">
        <f>IF(78&gt;NBskParty,"",INDEX(PkBskParty,78))</f>
        <v/>
      </c>
      <c r="C87" s="16" t="str">
        <f t="shared" si="7"/>
        <v/>
      </c>
      <c r="D87" s="14" t="str">
        <f t="shared" si="8"/>
        <v/>
      </c>
      <c r="E87" s="14" t="str">
        <f t="shared" si="9"/>
        <v/>
      </c>
      <c r="F87" s="14" t="str">
        <f t="shared" si="10"/>
        <v/>
      </c>
      <c r="G87" s="14" t="str">
        <f t="shared" si="11"/>
        <v/>
      </c>
      <c r="H87" s="15" t="str">
        <f t="shared" si="12"/>
        <v/>
      </c>
      <c r="I87" s="13" t="str">
        <f t="shared" si="13"/>
        <v/>
      </c>
    </row>
    <row r="88" spans="1:9" x14ac:dyDescent="0.2">
      <c r="A88" s="7" t="str">
        <f>IF($B88="","",79)</f>
        <v/>
      </c>
      <c r="B88" s="17" t="str">
        <f>IF(79&gt;NBskParty,"",INDEX(PkBskParty,79))</f>
        <v/>
      </c>
      <c r="C88" s="11" t="str">
        <f t="shared" si="7"/>
        <v/>
      </c>
      <c r="D88" s="9" t="str">
        <f t="shared" si="8"/>
        <v/>
      </c>
      <c r="E88" s="9" t="str">
        <f t="shared" si="9"/>
        <v/>
      </c>
      <c r="F88" s="9" t="str">
        <f t="shared" si="10"/>
        <v/>
      </c>
      <c r="G88" s="9" t="str">
        <f t="shared" si="11"/>
        <v/>
      </c>
      <c r="H88" s="10" t="str">
        <f t="shared" si="12"/>
        <v/>
      </c>
      <c r="I88" s="8" t="str">
        <f t="shared" si="13"/>
        <v/>
      </c>
    </row>
    <row r="89" spans="1:9" x14ac:dyDescent="0.2">
      <c r="A89" s="12" t="str">
        <f>IF($B89="","",80)</f>
        <v/>
      </c>
      <c r="B89" s="18" t="str">
        <f>IF(80&gt;NBskParty,"",INDEX(PkBskParty,80))</f>
        <v/>
      </c>
      <c r="C89" s="16" t="str">
        <f t="shared" si="7"/>
        <v/>
      </c>
      <c r="D89" s="14" t="str">
        <f t="shared" si="8"/>
        <v/>
      </c>
      <c r="E89" s="14" t="str">
        <f t="shared" si="9"/>
        <v/>
      </c>
      <c r="F89" s="14" t="str">
        <f t="shared" si="10"/>
        <v/>
      </c>
      <c r="G89" s="14" t="str">
        <f t="shared" si="11"/>
        <v/>
      </c>
      <c r="H89" s="15" t="str">
        <f t="shared" si="12"/>
        <v/>
      </c>
      <c r="I89" s="13" t="str">
        <f t="shared" si="13"/>
        <v/>
      </c>
    </row>
    <row r="90" spans="1:9" x14ac:dyDescent="0.2">
      <c r="A90" s="7" t="str">
        <f>IF($B90="","",81)</f>
        <v/>
      </c>
      <c r="B90" s="17" t="str">
        <f>IF(81&gt;NBskParty,"",INDEX(PkBskParty,81))</f>
        <v/>
      </c>
      <c r="C90" s="11" t="str">
        <f t="shared" si="7"/>
        <v/>
      </c>
      <c r="D90" s="9" t="str">
        <f t="shared" si="8"/>
        <v/>
      </c>
      <c r="E90" s="9" t="str">
        <f t="shared" si="9"/>
        <v/>
      </c>
      <c r="F90" s="9" t="str">
        <f t="shared" si="10"/>
        <v/>
      </c>
      <c r="G90" s="9" t="str">
        <f t="shared" si="11"/>
        <v/>
      </c>
      <c r="H90" s="10" t="str">
        <f t="shared" si="12"/>
        <v/>
      </c>
      <c r="I90" s="8" t="str">
        <f t="shared" si="13"/>
        <v/>
      </c>
    </row>
    <row r="91" spans="1:9" x14ac:dyDescent="0.2">
      <c r="A91" s="12" t="str">
        <f>IF($B91="","",82)</f>
        <v/>
      </c>
      <c r="B91" s="18" t="str">
        <f>IF(82&gt;NBskParty,"",INDEX(PkBskParty,82))</f>
        <v/>
      </c>
      <c r="C91" s="16" t="str">
        <f t="shared" si="7"/>
        <v/>
      </c>
      <c r="D91" s="14" t="str">
        <f t="shared" si="8"/>
        <v/>
      </c>
      <c r="E91" s="14" t="str">
        <f t="shared" si="9"/>
        <v/>
      </c>
      <c r="F91" s="14" t="str">
        <f t="shared" si="10"/>
        <v/>
      </c>
      <c r="G91" s="14" t="str">
        <f t="shared" si="11"/>
        <v/>
      </c>
      <c r="H91" s="15" t="str">
        <f t="shared" si="12"/>
        <v/>
      </c>
      <c r="I91" s="13" t="str">
        <f t="shared" si="13"/>
        <v/>
      </c>
    </row>
    <row r="92" spans="1:9" x14ac:dyDescent="0.2">
      <c r="A92" s="7" t="str">
        <f>IF($B92="","",83)</f>
        <v/>
      </c>
      <c r="B92" s="17" t="str">
        <f>IF(83&gt;NBskParty,"",INDEX(PkBskParty,83))</f>
        <v/>
      </c>
      <c r="C92" s="11" t="str">
        <f t="shared" si="7"/>
        <v/>
      </c>
      <c r="D92" s="9" t="str">
        <f t="shared" si="8"/>
        <v/>
      </c>
      <c r="E92" s="9" t="str">
        <f t="shared" si="9"/>
        <v/>
      </c>
      <c r="F92" s="9" t="str">
        <f t="shared" si="10"/>
        <v/>
      </c>
      <c r="G92" s="9" t="str">
        <f t="shared" si="11"/>
        <v/>
      </c>
      <c r="H92" s="10" t="str">
        <f t="shared" si="12"/>
        <v/>
      </c>
      <c r="I92" s="8" t="str">
        <f t="shared" si="13"/>
        <v/>
      </c>
    </row>
    <row r="93" spans="1:9" x14ac:dyDescent="0.2">
      <c r="A93" s="12" t="str">
        <f>IF($B93="","",84)</f>
        <v/>
      </c>
      <c r="B93" s="18" t="str">
        <f>IF(84&gt;NBskParty,"",INDEX(PkBskParty,84))</f>
        <v/>
      </c>
      <c r="C93" s="16" t="str">
        <f t="shared" si="7"/>
        <v/>
      </c>
      <c r="D93" s="14" t="str">
        <f t="shared" si="8"/>
        <v/>
      </c>
      <c r="E93" s="14" t="str">
        <f t="shared" si="9"/>
        <v/>
      </c>
      <c r="F93" s="14" t="str">
        <f t="shared" si="10"/>
        <v/>
      </c>
      <c r="G93" s="14" t="str">
        <f t="shared" si="11"/>
        <v/>
      </c>
      <c r="H93" s="15" t="str">
        <f t="shared" si="12"/>
        <v/>
      </c>
      <c r="I93" s="13" t="str">
        <f t="shared" si="13"/>
        <v/>
      </c>
    </row>
    <row r="94" spans="1:9" x14ac:dyDescent="0.2">
      <c r="A94" s="7" t="str">
        <f>IF($B94="","",85)</f>
        <v/>
      </c>
      <c r="B94" s="17" t="str">
        <f>IF(85&gt;NBskParty,"",INDEX(PkBskParty,85))</f>
        <v/>
      </c>
      <c r="C94" s="11" t="str">
        <f t="shared" si="7"/>
        <v/>
      </c>
      <c r="D94" s="9" t="str">
        <f t="shared" si="8"/>
        <v/>
      </c>
      <c r="E94" s="9" t="str">
        <f t="shared" si="9"/>
        <v/>
      </c>
      <c r="F94" s="9" t="str">
        <f t="shared" si="10"/>
        <v/>
      </c>
      <c r="G94" s="9" t="str">
        <f t="shared" si="11"/>
        <v/>
      </c>
      <c r="H94" s="10" t="str">
        <f t="shared" si="12"/>
        <v/>
      </c>
      <c r="I94" s="8" t="str">
        <f t="shared" si="13"/>
        <v/>
      </c>
    </row>
    <row r="95" spans="1:9" x14ac:dyDescent="0.2">
      <c r="A95" s="12" t="str">
        <f>IF($B95="","",86)</f>
        <v/>
      </c>
      <c r="B95" s="18" t="str">
        <f>IF(86&gt;NBskParty,"",INDEX(PkBskParty,86))</f>
        <v/>
      </c>
      <c r="C95" s="16" t="str">
        <f t="shared" si="7"/>
        <v/>
      </c>
      <c r="D95" s="14" t="str">
        <f t="shared" si="8"/>
        <v/>
      </c>
      <c r="E95" s="14" t="str">
        <f t="shared" si="9"/>
        <v/>
      </c>
      <c r="F95" s="14" t="str">
        <f t="shared" si="10"/>
        <v/>
      </c>
      <c r="G95" s="14" t="str">
        <f t="shared" si="11"/>
        <v/>
      </c>
      <c r="H95" s="15" t="str">
        <f t="shared" si="12"/>
        <v/>
      </c>
      <c r="I95" s="13" t="str">
        <f t="shared" si="13"/>
        <v/>
      </c>
    </row>
    <row r="96" spans="1:9" x14ac:dyDescent="0.2">
      <c r="A96" s="7" t="str">
        <f>IF($B96="","",87)</f>
        <v/>
      </c>
      <c r="B96" s="17" t="str">
        <f>IF(87&gt;NBskParty,"",INDEX(PkBskParty,87))</f>
        <v/>
      </c>
      <c r="C96" s="11" t="str">
        <f t="shared" si="7"/>
        <v/>
      </c>
      <c r="D96" s="9" t="str">
        <f t="shared" si="8"/>
        <v/>
      </c>
      <c r="E96" s="9" t="str">
        <f t="shared" si="9"/>
        <v/>
      </c>
      <c r="F96" s="9" t="str">
        <f t="shared" si="10"/>
        <v/>
      </c>
      <c r="G96" s="9" t="str">
        <f t="shared" si="11"/>
        <v/>
      </c>
      <c r="H96" s="10" t="str">
        <f t="shared" si="12"/>
        <v/>
      </c>
      <c r="I96" s="8" t="str">
        <f t="shared" si="13"/>
        <v/>
      </c>
    </row>
    <row r="97" spans="1:9" x14ac:dyDescent="0.2">
      <c r="A97" s="12" t="str">
        <f>IF($B97="","",88)</f>
        <v/>
      </c>
      <c r="B97" s="18" t="str">
        <f>IF(88&gt;NBskParty,"",INDEX(PkBskParty,88))</f>
        <v/>
      </c>
      <c r="C97" s="16" t="str">
        <f t="shared" si="7"/>
        <v/>
      </c>
      <c r="D97" s="14" t="str">
        <f t="shared" si="8"/>
        <v/>
      </c>
      <c r="E97" s="14" t="str">
        <f t="shared" si="9"/>
        <v/>
      </c>
      <c r="F97" s="14" t="str">
        <f t="shared" si="10"/>
        <v/>
      </c>
      <c r="G97" s="14" t="str">
        <f t="shared" si="11"/>
        <v/>
      </c>
      <c r="H97" s="15" t="str">
        <f t="shared" si="12"/>
        <v/>
      </c>
      <c r="I97" s="13" t="str">
        <f t="shared" si="13"/>
        <v/>
      </c>
    </row>
    <row r="98" spans="1:9" x14ac:dyDescent="0.2">
      <c r="A98" s="7" t="str">
        <f>IF($B98="","",89)</f>
        <v/>
      </c>
      <c r="B98" s="17" t="str">
        <f>IF(89&gt;NBskParty,"",INDEX(PkBskParty,89))</f>
        <v/>
      </c>
      <c r="C98" s="11" t="str">
        <f t="shared" si="7"/>
        <v/>
      </c>
      <c r="D98" s="9" t="str">
        <f t="shared" si="8"/>
        <v/>
      </c>
      <c r="E98" s="9" t="str">
        <f t="shared" si="9"/>
        <v/>
      </c>
      <c r="F98" s="9" t="str">
        <f t="shared" si="10"/>
        <v/>
      </c>
      <c r="G98" s="9" t="str">
        <f t="shared" si="11"/>
        <v/>
      </c>
      <c r="H98" s="10" t="str">
        <f t="shared" si="12"/>
        <v/>
      </c>
      <c r="I98" s="8" t="str">
        <f t="shared" si="13"/>
        <v/>
      </c>
    </row>
    <row r="99" spans="1:9" x14ac:dyDescent="0.2">
      <c r="A99" s="12" t="str">
        <f>IF($B99="","",90)</f>
        <v/>
      </c>
      <c r="B99" s="18" t="str">
        <f>IF(90&gt;NBskParty,"",INDEX(PkBskParty,90))</f>
        <v/>
      </c>
      <c r="C99" s="16" t="str">
        <f t="shared" si="7"/>
        <v/>
      </c>
      <c r="D99" s="14" t="str">
        <f t="shared" si="8"/>
        <v/>
      </c>
      <c r="E99" s="14" t="str">
        <f t="shared" si="9"/>
        <v/>
      </c>
      <c r="F99" s="14" t="str">
        <f t="shared" si="10"/>
        <v/>
      </c>
      <c r="G99" s="14" t="str">
        <f t="shared" si="11"/>
        <v/>
      </c>
      <c r="H99" s="15" t="str">
        <f t="shared" si="12"/>
        <v/>
      </c>
      <c r="I99" s="13" t="str">
        <f t="shared" si="13"/>
        <v/>
      </c>
    </row>
    <row r="100" spans="1:9" x14ac:dyDescent="0.2">
      <c r="A100" s="7" t="str">
        <f>IF($B100="","",91)</f>
        <v/>
      </c>
      <c r="B100" s="17" t="str">
        <f>IF(91&gt;NBskParty,"",INDEX(PkBskParty,91))</f>
        <v/>
      </c>
      <c r="C100" s="11" t="str">
        <f t="shared" si="7"/>
        <v/>
      </c>
      <c r="D100" s="9" t="str">
        <f t="shared" si="8"/>
        <v/>
      </c>
      <c r="E100" s="9" t="str">
        <f t="shared" si="9"/>
        <v/>
      </c>
      <c r="F100" s="9" t="str">
        <f t="shared" si="10"/>
        <v/>
      </c>
      <c r="G100" s="9" t="str">
        <f t="shared" si="11"/>
        <v/>
      </c>
      <c r="H100" s="10" t="str">
        <f t="shared" si="12"/>
        <v/>
      </c>
      <c r="I100" s="8" t="str">
        <f t="shared" si="13"/>
        <v/>
      </c>
    </row>
    <row r="101" spans="1:9" x14ac:dyDescent="0.2">
      <c r="A101" s="12" t="str">
        <f>IF($B101="","",92)</f>
        <v/>
      </c>
      <c r="B101" s="18" t="str">
        <f>IF(92&gt;NBskParty,"",INDEX(PkBskParty,92))</f>
        <v/>
      </c>
      <c r="C101" s="16" t="str">
        <f t="shared" si="7"/>
        <v/>
      </c>
      <c r="D101" s="14" t="str">
        <f t="shared" si="8"/>
        <v/>
      </c>
      <c r="E101" s="14" t="str">
        <f t="shared" si="9"/>
        <v/>
      </c>
      <c r="F101" s="14" t="str">
        <f t="shared" si="10"/>
        <v/>
      </c>
      <c r="G101" s="14" t="str">
        <f t="shared" si="11"/>
        <v/>
      </c>
      <c r="H101" s="15" t="str">
        <f t="shared" si="12"/>
        <v/>
      </c>
      <c r="I101" s="13" t="str">
        <f t="shared" si="13"/>
        <v/>
      </c>
    </row>
    <row r="102" spans="1:9" x14ac:dyDescent="0.2">
      <c r="A102" s="7" t="str">
        <f>IF($B102="","",93)</f>
        <v/>
      </c>
      <c r="B102" s="17" t="str">
        <f>IF(93&gt;NBskParty,"",INDEX(PkBskParty,93))</f>
        <v/>
      </c>
      <c r="C102" s="11" t="str">
        <f t="shared" si="7"/>
        <v/>
      </c>
      <c r="D102" s="9" t="str">
        <f t="shared" si="8"/>
        <v/>
      </c>
      <c r="E102" s="9" t="str">
        <f t="shared" si="9"/>
        <v/>
      </c>
      <c r="F102" s="9" t="str">
        <f t="shared" si="10"/>
        <v/>
      </c>
      <c r="G102" s="9" t="str">
        <f t="shared" si="11"/>
        <v/>
      </c>
      <c r="H102" s="10" t="str">
        <f t="shared" si="12"/>
        <v/>
      </c>
      <c r="I102" s="8" t="str">
        <f t="shared" si="13"/>
        <v/>
      </c>
    </row>
    <row r="103" spans="1:9" x14ac:dyDescent="0.2">
      <c r="A103" s="12" t="str">
        <f>IF($B103="","",94)</f>
        <v/>
      </c>
      <c r="B103" s="18" t="str">
        <f>IF(94&gt;NBskParty,"",INDEX(PkBskParty,94))</f>
        <v/>
      </c>
      <c r="C103" s="16" t="str">
        <f t="shared" si="7"/>
        <v/>
      </c>
      <c r="D103" s="14" t="str">
        <f t="shared" si="8"/>
        <v/>
      </c>
      <c r="E103" s="14" t="str">
        <f t="shared" si="9"/>
        <v/>
      </c>
      <c r="F103" s="14" t="str">
        <f t="shared" si="10"/>
        <v/>
      </c>
      <c r="G103" s="14" t="str">
        <f t="shared" si="11"/>
        <v/>
      </c>
      <c r="H103" s="15" t="str">
        <f t="shared" si="12"/>
        <v/>
      </c>
      <c r="I103" s="13" t="str">
        <f t="shared" si="13"/>
        <v/>
      </c>
    </row>
    <row r="104" spans="1:9" x14ac:dyDescent="0.2">
      <c r="A104" s="7" t="str">
        <f>IF($B104="","",95)</f>
        <v/>
      </c>
      <c r="B104" s="17" t="str">
        <f>IF(95&gt;NBskParty,"",INDEX(PkBskParty,95))</f>
        <v/>
      </c>
      <c r="C104" s="11" t="str">
        <f t="shared" si="7"/>
        <v/>
      </c>
      <c r="D104" s="9" t="str">
        <f t="shared" si="8"/>
        <v/>
      </c>
      <c r="E104" s="9" t="str">
        <f t="shared" si="9"/>
        <v/>
      </c>
      <c r="F104" s="9" t="str">
        <f t="shared" si="10"/>
        <v/>
      </c>
      <c r="G104" s="9" t="str">
        <f t="shared" si="11"/>
        <v/>
      </c>
      <c r="H104" s="10" t="str">
        <f t="shared" si="12"/>
        <v/>
      </c>
      <c r="I104" s="8" t="str">
        <f t="shared" si="13"/>
        <v/>
      </c>
    </row>
    <row r="105" spans="1:9" x14ac:dyDescent="0.2">
      <c r="A105" s="12" t="str">
        <f>IF($B105="","",96)</f>
        <v/>
      </c>
      <c r="B105" s="18" t="str">
        <f>IF(96&gt;NBskParty,"",INDEX(PkBskParty,96))</f>
        <v/>
      </c>
      <c r="C105" s="16" t="str">
        <f t="shared" si="7"/>
        <v/>
      </c>
      <c r="D105" s="14" t="str">
        <f t="shared" si="8"/>
        <v/>
      </c>
      <c r="E105" s="14" t="str">
        <f t="shared" si="9"/>
        <v/>
      </c>
      <c r="F105" s="14" t="str">
        <f t="shared" si="10"/>
        <v/>
      </c>
      <c r="G105" s="14" t="str">
        <f t="shared" si="11"/>
        <v/>
      </c>
      <c r="H105" s="15" t="str">
        <f t="shared" si="12"/>
        <v/>
      </c>
      <c r="I105" s="13" t="str">
        <f t="shared" si="13"/>
        <v/>
      </c>
    </row>
    <row r="106" spans="1:9" x14ac:dyDescent="0.2">
      <c r="A106" s="7" t="str">
        <f>IF($B106="","",97)</f>
        <v/>
      </c>
      <c r="B106" s="17" t="str">
        <f>IF(97&gt;NBskParty,"",INDEX(PkBskParty,97))</f>
        <v/>
      </c>
      <c r="C106" s="11" t="str">
        <f t="shared" si="7"/>
        <v/>
      </c>
      <c r="D106" s="9" t="str">
        <f t="shared" si="8"/>
        <v/>
      </c>
      <c r="E106" s="9" t="str">
        <f t="shared" si="9"/>
        <v/>
      </c>
      <c r="F106" s="9" t="str">
        <f t="shared" si="10"/>
        <v/>
      </c>
      <c r="G106" s="9" t="str">
        <f t="shared" si="11"/>
        <v/>
      </c>
      <c r="H106" s="10" t="str">
        <f t="shared" si="12"/>
        <v/>
      </c>
      <c r="I106" s="8" t="str">
        <f t="shared" si="13"/>
        <v/>
      </c>
    </row>
    <row r="107" spans="1:9" x14ac:dyDescent="0.2">
      <c r="A107" s="12" t="str">
        <f>IF($B107="","",98)</f>
        <v/>
      </c>
      <c r="B107" s="18" t="str">
        <f>IF(98&gt;NBskParty,"",INDEX(PkBskParty,98))</f>
        <v/>
      </c>
      <c r="C107" s="16" t="str">
        <f t="shared" si="7"/>
        <v/>
      </c>
      <c r="D107" s="14" t="str">
        <f t="shared" si="8"/>
        <v/>
      </c>
      <c r="E107" s="14" t="str">
        <f t="shared" si="9"/>
        <v/>
      </c>
      <c r="F107" s="14" t="str">
        <f t="shared" si="10"/>
        <v/>
      </c>
      <c r="G107" s="14" t="str">
        <f t="shared" si="11"/>
        <v/>
      </c>
      <c r="H107" s="15" t="str">
        <f t="shared" si="12"/>
        <v/>
      </c>
      <c r="I107" s="13" t="str">
        <f t="shared" si="13"/>
        <v/>
      </c>
    </row>
    <row r="108" spans="1:9" x14ac:dyDescent="0.2">
      <c r="A108" s="7" t="str">
        <f>IF($B108="","",99)</f>
        <v/>
      </c>
      <c r="B108" s="17" t="str">
        <f>IF(99&gt;NBskParty,"",INDEX(PkBskParty,99))</f>
        <v/>
      </c>
      <c r="C108" s="11" t="str">
        <f t="shared" si="7"/>
        <v/>
      </c>
      <c r="D108" s="9" t="str">
        <f t="shared" si="8"/>
        <v/>
      </c>
      <c r="E108" s="9" t="str">
        <f t="shared" si="9"/>
        <v/>
      </c>
      <c r="F108" s="9" t="str">
        <f t="shared" si="10"/>
        <v/>
      </c>
      <c r="G108" s="9" t="str">
        <f t="shared" si="11"/>
        <v/>
      </c>
      <c r="H108" s="10" t="str">
        <f t="shared" si="12"/>
        <v/>
      </c>
      <c r="I108" s="8" t="str">
        <f t="shared" si="13"/>
        <v/>
      </c>
    </row>
    <row r="109" spans="1:9" x14ac:dyDescent="0.2">
      <c r="A109" s="12" t="str">
        <f>IF($B109="","",100)</f>
        <v/>
      </c>
      <c r="B109" s="18" t="str">
        <f>IF(100&gt;NBskParty,"",INDEX(PkBskParty,100))</f>
        <v/>
      </c>
      <c r="C109" s="16" t="str">
        <f t="shared" si="7"/>
        <v/>
      </c>
      <c r="D109" s="14" t="str">
        <f t="shared" si="8"/>
        <v/>
      </c>
      <c r="E109" s="14" t="str">
        <f t="shared" si="9"/>
        <v/>
      </c>
      <c r="F109" s="14" t="str">
        <f t="shared" si="10"/>
        <v/>
      </c>
      <c r="G109" s="14" t="str">
        <f t="shared" si="11"/>
        <v/>
      </c>
      <c r="H109" s="15" t="str">
        <f t="shared" si="12"/>
        <v/>
      </c>
      <c r="I109" s="13" t="str">
        <f t="shared" si="13"/>
        <v/>
      </c>
    </row>
    <row r="110" spans="1:9" x14ac:dyDescent="0.2">
      <c r="A110" s="7" t="str">
        <f>IF($B110="","",101)</f>
        <v/>
      </c>
      <c r="B110" s="17" t="str">
        <f>IF(101&gt;NBskParty,"",INDEX(PkBskParty,101))</f>
        <v/>
      </c>
      <c r="C110" s="11" t="str">
        <f t="shared" si="7"/>
        <v/>
      </c>
      <c r="D110" s="9" t="str">
        <f t="shared" si="8"/>
        <v/>
      </c>
      <c r="E110" s="9" t="str">
        <f t="shared" si="9"/>
        <v/>
      </c>
      <c r="F110" s="9" t="str">
        <f t="shared" si="10"/>
        <v/>
      </c>
      <c r="G110" s="9" t="str">
        <f t="shared" si="11"/>
        <v/>
      </c>
      <c r="H110" s="10" t="str">
        <f t="shared" si="12"/>
        <v/>
      </c>
      <c r="I110" s="8" t="str">
        <f t="shared" si="13"/>
        <v/>
      </c>
    </row>
    <row r="111" spans="1:9" x14ac:dyDescent="0.2">
      <c r="A111" s="12" t="str">
        <f>IF($B111="","",102)</f>
        <v/>
      </c>
      <c r="B111" s="18" t="str">
        <f>IF(102&gt;NBskParty,"",INDEX(PkBskParty,102))</f>
        <v/>
      </c>
      <c r="C111" s="16" t="str">
        <f t="shared" si="7"/>
        <v/>
      </c>
      <c r="D111" s="14" t="str">
        <f t="shared" si="8"/>
        <v/>
      </c>
      <c r="E111" s="14" t="str">
        <f t="shared" si="9"/>
        <v/>
      </c>
      <c r="F111" s="14" t="str">
        <f t="shared" si="10"/>
        <v/>
      </c>
      <c r="G111" s="14" t="str">
        <f t="shared" si="11"/>
        <v/>
      </c>
      <c r="H111" s="15" t="str">
        <f t="shared" si="12"/>
        <v/>
      </c>
      <c r="I111" s="13" t="str">
        <f t="shared" si="13"/>
        <v/>
      </c>
    </row>
    <row r="112" spans="1:9" x14ac:dyDescent="0.2">
      <c r="A112" s="7" t="str">
        <f>IF($B112="","",103)</f>
        <v/>
      </c>
      <c r="B112" s="17" t="str">
        <f>IF(103&gt;NBskParty,"",INDEX(PkBskParty,103))</f>
        <v/>
      </c>
      <c r="C112" s="11" t="str">
        <f t="shared" si="7"/>
        <v/>
      </c>
      <c r="D112" s="9" t="str">
        <f t="shared" si="8"/>
        <v/>
      </c>
      <c r="E112" s="9" t="str">
        <f t="shared" si="9"/>
        <v/>
      </c>
      <c r="F112" s="9" t="str">
        <f t="shared" si="10"/>
        <v/>
      </c>
      <c r="G112" s="9" t="str">
        <f t="shared" si="11"/>
        <v/>
      </c>
      <c r="H112" s="10" t="str">
        <f t="shared" si="12"/>
        <v/>
      </c>
      <c r="I112" s="8" t="str">
        <f t="shared" si="13"/>
        <v/>
      </c>
    </row>
    <row r="113" spans="1:9" x14ac:dyDescent="0.2">
      <c r="A113" s="12" t="str">
        <f>IF($B113="","",104)</f>
        <v/>
      </c>
      <c r="B113" s="18" t="str">
        <f>IF(104&gt;NBskParty,"",INDEX(PkBskParty,104))</f>
        <v/>
      </c>
      <c r="C113" s="16" t="str">
        <f t="shared" si="7"/>
        <v/>
      </c>
      <c r="D113" s="14" t="str">
        <f t="shared" si="8"/>
        <v/>
      </c>
      <c r="E113" s="14" t="str">
        <f t="shared" si="9"/>
        <v/>
      </c>
      <c r="F113" s="14" t="str">
        <f t="shared" si="10"/>
        <v/>
      </c>
      <c r="G113" s="14" t="str">
        <f t="shared" si="11"/>
        <v/>
      </c>
      <c r="H113" s="15" t="str">
        <f t="shared" si="12"/>
        <v/>
      </c>
      <c r="I113" s="13" t="str">
        <f t="shared" si="13"/>
        <v/>
      </c>
    </row>
    <row r="114" spans="1:9" x14ac:dyDescent="0.2">
      <c r="A114" s="7" t="str">
        <f>IF($B114="","",105)</f>
        <v/>
      </c>
      <c r="B114" s="17" t="str">
        <f>IF(105&gt;NBskParty,"",INDEX(PkBskParty,105))</f>
        <v/>
      </c>
      <c r="C114" s="11" t="str">
        <f t="shared" si="7"/>
        <v/>
      </c>
      <c r="D114" s="9" t="str">
        <f t="shared" si="8"/>
        <v/>
      </c>
      <c r="E114" s="9" t="str">
        <f t="shared" si="9"/>
        <v/>
      </c>
      <c r="F114" s="9" t="str">
        <f t="shared" si="10"/>
        <v/>
      </c>
      <c r="G114" s="9" t="str">
        <f t="shared" si="11"/>
        <v/>
      </c>
      <c r="H114" s="10" t="str">
        <f t="shared" si="12"/>
        <v/>
      </c>
      <c r="I114" s="8" t="str">
        <f t="shared" si="13"/>
        <v/>
      </c>
    </row>
    <row r="115" spans="1:9" x14ac:dyDescent="0.2">
      <c r="A115" s="12" t="str">
        <f>IF($B115="","",106)</f>
        <v/>
      </c>
      <c r="B115" s="18" t="str">
        <f>IF(106&gt;NBskParty,"",INDEX(PkBskParty,106))</f>
        <v/>
      </c>
      <c r="C115" s="16" t="str">
        <f t="shared" si="7"/>
        <v/>
      </c>
      <c r="D115" s="14" t="str">
        <f t="shared" si="8"/>
        <v/>
      </c>
      <c r="E115" s="14" t="str">
        <f t="shared" si="9"/>
        <v/>
      </c>
      <c r="F115" s="14" t="str">
        <f t="shared" si="10"/>
        <v/>
      </c>
      <c r="G115" s="14" t="str">
        <f t="shared" si="11"/>
        <v/>
      </c>
      <c r="H115" s="15" t="str">
        <f t="shared" si="12"/>
        <v/>
      </c>
      <c r="I115" s="13" t="str">
        <f t="shared" si="13"/>
        <v/>
      </c>
    </row>
    <row r="116" spans="1:9" x14ac:dyDescent="0.2">
      <c r="A116" s="7" t="str">
        <f>IF($B116="","",107)</f>
        <v/>
      </c>
      <c r="B116" s="17" t="str">
        <f>IF(107&gt;NBskParty,"",INDEX(PkBskParty,107))</f>
        <v/>
      </c>
      <c r="C116" s="11" t="str">
        <f t="shared" si="7"/>
        <v/>
      </c>
      <c r="D116" s="9" t="str">
        <f t="shared" si="8"/>
        <v/>
      </c>
      <c r="E116" s="9" t="str">
        <f t="shared" si="9"/>
        <v/>
      </c>
      <c r="F116" s="9" t="str">
        <f t="shared" si="10"/>
        <v/>
      </c>
      <c r="G116" s="9" t="str">
        <f t="shared" si="11"/>
        <v/>
      </c>
      <c r="H116" s="10" t="str">
        <f t="shared" si="12"/>
        <v/>
      </c>
      <c r="I116" s="8" t="str">
        <f t="shared" si="13"/>
        <v/>
      </c>
    </row>
    <row r="117" spans="1:9" x14ac:dyDescent="0.2">
      <c r="A117" s="12" t="str">
        <f>IF($B117="","",108)</f>
        <v/>
      </c>
      <c r="B117" s="18" t="str">
        <f>IF(108&gt;NBskParty,"",INDEX(PkBskParty,108))</f>
        <v/>
      </c>
      <c r="C117" s="16" t="str">
        <f t="shared" si="7"/>
        <v/>
      </c>
      <c r="D117" s="14" t="str">
        <f t="shared" si="8"/>
        <v/>
      </c>
      <c r="E117" s="14" t="str">
        <f t="shared" si="9"/>
        <v/>
      </c>
      <c r="F117" s="14" t="str">
        <f t="shared" si="10"/>
        <v/>
      </c>
      <c r="G117" s="14" t="str">
        <f t="shared" si="11"/>
        <v/>
      </c>
      <c r="H117" s="15" t="str">
        <f t="shared" si="12"/>
        <v/>
      </c>
      <c r="I117" s="13" t="str">
        <f t="shared" si="13"/>
        <v/>
      </c>
    </row>
    <row r="118" spans="1:9" x14ac:dyDescent="0.2">
      <c r="A118" s="7" t="str">
        <f>IF($B118="","",109)</f>
        <v/>
      </c>
      <c r="B118" s="17" t="str">
        <f>IF(109&gt;NBskParty,"",INDEX(PkBskParty,109))</f>
        <v/>
      </c>
      <c r="C118" s="11" t="str">
        <f t="shared" si="7"/>
        <v/>
      </c>
      <c r="D118" s="9" t="str">
        <f t="shared" si="8"/>
        <v/>
      </c>
      <c r="E118" s="9" t="str">
        <f t="shared" si="9"/>
        <v/>
      </c>
      <c r="F118" s="9" t="str">
        <f t="shared" si="10"/>
        <v/>
      </c>
      <c r="G118" s="9" t="str">
        <f t="shared" si="11"/>
        <v/>
      </c>
      <c r="H118" s="10" t="str">
        <f t="shared" si="12"/>
        <v/>
      </c>
      <c r="I118" s="8" t="str">
        <f t="shared" si="13"/>
        <v/>
      </c>
    </row>
    <row r="119" spans="1:9" x14ac:dyDescent="0.2">
      <c r="A119" s="12" t="str">
        <f>IF($B119="","",110)</f>
        <v/>
      </c>
      <c r="B119" s="18" t="str">
        <f>IF(110&gt;NBskParty,"",INDEX(PkBskParty,110))</f>
        <v/>
      </c>
      <c r="C119" s="16" t="str">
        <f t="shared" si="7"/>
        <v/>
      </c>
      <c r="D119" s="14" t="str">
        <f t="shared" si="8"/>
        <v/>
      </c>
      <c r="E119" s="14" t="str">
        <f t="shared" si="9"/>
        <v/>
      </c>
      <c r="F119" s="14" t="str">
        <f t="shared" si="10"/>
        <v/>
      </c>
      <c r="G119" s="14" t="str">
        <f t="shared" si="11"/>
        <v/>
      </c>
      <c r="H119" s="15" t="str">
        <f t="shared" si="12"/>
        <v/>
      </c>
      <c r="I119" s="13" t="str">
        <f t="shared" si="13"/>
        <v/>
      </c>
    </row>
    <row r="120" spans="1:9" x14ac:dyDescent="0.2">
      <c r="A120" s="7" t="str">
        <f>IF($B120="","",111)</f>
        <v/>
      </c>
      <c r="B120" s="17" t="str">
        <f>IF(111&gt;NBskParty,"",INDEX(PkBskParty,111))</f>
        <v/>
      </c>
      <c r="C120" s="11" t="str">
        <f t="shared" si="7"/>
        <v/>
      </c>
      <c r="D120" s="9" t="str">
        <f t="shared" si="8"/>
        <v/>
      </c>
      <c r="E120" s="9" t="str">
        <f t="shared" si="9"/>
        <v/>
      </c>
      <c r="F120" s="9" t="str">
        <f t="shared" si="10"/>
        <v/>
      </c>
      <c r="G120" s="9" t="str">
        <f t="shared" si="11"/>
        <v/>
      </c>
      <c r="H120" s="10" t="str">
        <f t="shared" si="12"/>
        <v/>
      </c>
      <c r="I120" s="8" t="str">
        <f t="shared" si="13"/>
        <v/>
      </c>
    </row>
    <row r="121" spans="1:9" x14ac:dyDescent="0.2">
      <c r="A121" s="12" t="str">
        <f>IF($B121="","",112)</f>
        <v/>
      </c>
      <c r="B121" s="18" t="str">
        <f>IF(112&gt;NBskParty,"",INDEX(PkBskParty,112))</f>
        <v/>
      </c>
      <c r="C121" s="16" t="str">
        <f t="shared" si="7"/>
        <v/>
      </c>
      <c r="D121" s="14" t="str">
        <f t="shared" si="8"/>
        <v/>
      </c>
      <c r="E121" s="14" t="str">
        <f t="shared" si="9"/>
        <v/>
      </c>
      <c r="F121" s="14" t="str">
        <f t="shared" si="10"/>
        <v/>
      </c>
      <c r="G121" s="14" t="str">
        <f t="shared" si="11"/>
        <v/>
      </c>
      <c r="H121" s="15" t="str">
        <f t="shared" si="12"/>
        <v/>
      </c>
      <c r="I121" s="13" t="str">
        <f t="shared" si="13"/>
        <v/>
      </c>
    </row>
    <row r="122" spans="1:9" x14ac:dyDescent="0.2">
      <c r="A122" s="7" t="str">
        <f>IF($B122="","",113)</f>
        <v/>
      </c>
      <c r="B122" s="17" t="str">
        <f>IF(113&gt;NBskParty,"",INDEX(PkBskParty,113))</f>
        <v/>
      </c>
      <c r="C122" s="11" t="str">
        <f t="shared" si="7"/>
        <v/>
      </c>
      <c r="D122" s="9" t="str">
        <f t="shared" si="8"/>
        <v/>
      </c>
      <c r="E122" s="9" t="str">
        <f t="shared" si="9"/>
        <v/>
      </c>
      <c r="F122" s="9" t="str">
        <f t="shared" si="10"/>
        <v/>
      </c>
      <c r="G122" s="9" t="str">
        <f t="shared" si="11"/>
        <v/>
      </c>
      <c r="H122" s="10" t="str">
        <f t="shared" si="12"/>
        <v/>
      </c>
      <c r="I122" s="8" t="str">
        <f t="shared" si="13"/>
        <v/>
      </c>
    </row>
    <row r="123" spans="1:9" x14ac:dyDescent="0.2">
      <c r="A123" s="12" t="str">
        <f>IF($B123="","",114)</f>
        <v/>
      </c>
      <c r="B123" s="18" t="str">
        <f>IF(114&gt;NBskParty,"",INDEX(PkBskParty,114))</f>
        <v/>
      </c>
      <c r="C123" s="16" t="str">
        <f t="shared" si="7"/>
        <v/>
      </c>
      <c r="D123" s="14" t="str">
        <f t="shared" si="8"/>
        <v/>
      </c>
      <c r="E123" s="14" t="str">
        <f t="shared" si="9"/>
        <v/>
      </c>
      <c r="F123" s="14" t="str">
        <f t="shared" si="10"/>
        <v/>
      </c>
      <c r="G123" s="14" t="str">
        <f t="shared" si="11"/>
        <v/>
      </c>
      <c r="H123" s="15" t="str">
        <f t="shared" si="12"/>
        <v/>
      </c>
      <c r="I123" s="13" t="str">
        <f t="shared" si="13"/>
        <v/>
      </c>
    </row>
    <row r="124" spans="1:9" x14ac:dyDescent="0.2">
      <c r="A124" s="7" t="str">
        <f>IF($B124="","",115)</f>
        <v/>
      </c>
      <c r="B124" s="17" t="str">
        <f>IF(115&gt;NBskParty,"",INDEX(PkBskParty,115))</f>
        <v/>
      </c>
      <c r="C124" s="11" t="str">
        <f t="shared" si="7"/>
        <v/>
      </c>
      <c r="D124" s="9" t="str">
        <f t="shared" si="8"/>
        <v/>
      </c>
      <c r="E124" s="9" t="str">
        <f t="shared" si="9"/>
        <v/>
      </c>
      <c r="F124" s="9" t="str">
        <f t="shared" si="10"/>
        <v/>
      </c>
      <c r="G124" s="9" t="str">
        <f t="shared" si="11"/>
        <v/>
      </c>
      <c r="H124" s="10" t="str">
        <f t="shared" si="12"/>
        <v/>
      </c>
      <c r="I124" s="8" t="str">
        <f t="shared" si="13"/>
        <v/>
      </c>
    </row>
    <row r="125" spans="1:9" x14ac:dyDescent="0.2">
      <c r="A125" s="12" t="str">
        <f>IF($B125="","",116)</f>
        <v/>
      </c>
      <c r="B125" s="18" t="str">
        <f>IF(116&gt;NBskParty,"",INDEX(PkBskParty,116))</f>
        <v/>
      </c>
      <c r="C125" s="16" t="str">
        <f t="shared" si="7"/>
        <v/>
      </c>
      <c r="D125" s="14" t="str">
        <f t="shared" si="8"/>
        <v/>
      </c>
      <c r="E125" s="14" t="str">
        <f t="shared" si="9"/>
        <v/>
      </c>
      <c r="F125" s="14" t="str">
        <f t="shared" si="10"/>
        <v/>
      </c>
      <c r="G125" s="14" t="str">
        <f t="shared" si="11"/>
        <v/>
      </c>
      <c r="H125" s="15" t="str">
        <f t="shared" si="12"/>
        <v/>
      </c>
      <c r="I125" s="13" t="str">
        <f t="shared" si="13"/>
        <v/>
      </c>
    </row>
    <row r="126" spans="1:9" x14ac:dyDescent="0.2">
      <c r="A126" s="7" t="str">
        <f>IF($B126="","",117)</f>
        <v/>
      </c>
      <c r="B126" s="17" t="str">
        <f>IF(117&gt;NBskParty,"",INDEX(PkBskParty,117))</f>
        <v/>
      </c>
      <c r="C126" s="11" t="str">
        <f t="shared" si="7"/>
        <v/>
      </c>
      <c r="D126" s="9" t="str">
        <f t="shared" si="8"/>
        <v/>
      </c>
      <c r="E126" s="9" t="str">
        <f t="shared" si="9"/>
        <v/>
      </c>
      <c r="F126" s="9" t="str">
        <f t="shared" si="10"/>
        <v/>
      </c>
      <c r="G126" s="9" t="str">
        <f t="shared" si="11"/>
        <v/>
      </c>
      <c r="H126" s="10" t="str">
        <f t="shared" si="12"/>
        <v/>
      </c>
      <c r="I126" s="8" t="str">
        <f t="shared" si="13"/>
        <v/>
      </c>
    </row>
    <row r="127" spans="1:9" x14ac:dyDescent="0.2">
      <c r="A127" s="12" t="str">
        <f>IF($B127="","",118)</f>
        <v/>
      </c>
      <c r="B127" s="18" t="str">
        <f>IF(118&gt;NBskParty,"",INDEX(PkBskParty,118))</f>
        <v/>
      </c>
      <c r="C127" s="16" t="str">
        <f t="shared" si="7"/>
        <v/>
      </c>
      <c r="D127" s="14" t="str">
        <f t="shared" si="8"/>
        <v/>
      </c>
      <c r="E127" s="14" t="str">
        <f t="shared" si="9"/>
        <v/>
      </c>
      <c r="F127" s="14" t="str">
        <f t="shared" si="10"/>
        <v/>
      </c>
      <c r="G127" s="14" t="str">
        <f t="shared" si="11"/>
        <v/>
      </c>
      <c r="H127" s="15" t="str">
        <f t="shared" si="12"/>
        <v/>
      </c>
      <c r="I127" s="13" t="str">
        <f t="shared" si="13"/>
        <v/>
      </c>
    </row>
    <row r="128" spans="1:9" x14ac:dyDescent="0.2">
      <c r="A128" s="7" t="str">
        <f>IF($B128="","",119)</f>
        <v/>
      </c>
      <c r="B128" s="17" t="str">
        <f>IF(119&gt;NBskParty,"",INDEX(PkBskParty,119))</f>
        <v/>
      </c>
      <c r="C128" s="11" t="str">
        <f t="shared" si="7"/>
        <v/>
      </c>
      <c r="D128" s="9" t="str">
        <f t="shared" si="8"/>
        <v/>
      </c>
      <c r="E128" s="9" t="str">
        <f t="shared" si="9"/>
        <v/>
      </c>
      <c r="F128" s="9" t="str">
        <f t="shared" si="10"/>
        <v/>
      </c>
      <c r="G128" s="9" t="str">
        <f t="shared" si="11"/>
        <v/>
      </c>
      <c r="H128" s="10" t="str">
        <f t="shared" si="12"/>
        <v/>
      </c>
      <c r="I128" s="8" t="str">
        <f t="shared" si="13"/>
        <v/>
      </c>
    </row>
    <row r="129" spans="1:9" x14ac:dyDescent="0.2">
      <c r="A129" s="12" t="str">
        <f>IF($B129="","",120)</f>
        <v/>
      </c>
      <c r="B129" s="18" t="str">
        <f>IF(120&gt;NBskParty,"",INDEX(PkBskParty,120))</f>
        <v/>
      </c>
      <c r="C129" s="16" t="str">
        <f t="shared" si="7"/>
        <v/>
      </c>
      <c r="D129" s="14" t="str">
        <f t="shared" si="8"/>
        <v/>
      </c>
      <c r="E129" s="14" t="str">
        <f t="shared" si="9"/>
        <v/>
      </c>
      <c r="F129" s="14" t="str">
        <f t="shared" si="10"/>
        <v/>
      </c>
      <c r="G129" s="14" t="str">
        <f t="shared" si="11"/>
        <v/>
      </c>
      <c r="H129" s="15" t="str">
        <f t="shared" si="12"/>
        <v/>
      </c>
      <c r="I129" s="13" t="str">
        <f t="shared" si="13"/>
        <v/>
      </c>
    </row>
    <row r="130" spans="1:9" x14ac:dyDescent="0.2">
      <c r="A130" s="7" t="str">
        <f>IF($B130="","",121)</f>
        <v/>
      </c>
      <c r="B130" s="17" t="str">
        <f>IF(121&gt;NBskParty,"",INDEX(PkBskParty,121))</f>
        <v/>
      </c>
      <c r="C130" s="11" t="str">
        <f t="shared" si="7"/>
        <v/>
      </c>
      <c r="D130" s="9" t="str">
        <f t="shared" si="8"/>
        <v/>
      </c>
      <c r="E130" s="9" t="str">
        <f t="shared" si="9"/>
        <v/>
      </c>
      <c r="F130" s="9" t="str">
        <f t="shared" si="10"/>
        <v/>
      </c>
      <c r="G130" s="9" t="str">
        <f t="shared" si="11"/>
        <v/>
      </c>
      <c r="H130" s="10" t="str">
        <f t="shared" si="12"/>
        <v/>
      </c>
      <c r="I130" s="8" t="str">
        <f t="shared" si="13"/>
        <v/>
      </c>
    </row>
    <row r="131" spans="1:9" x14ac:dyDescent="0.2">
      <c r="A131" s="12" t="str">
        <f>IF($B131="","",122)</f>
        <v/>
      </c>
      <c r="B131" s="18" t="str">
        <f>IF(122&gt;NBskParty,"",INDEX(PkBskParty,122))</f>
        <v/>
      </c>
      <c r="C131" s="16" t="str">
        <f t="shared" si="7"/>
        <v/>
      </c>
      <c r="D131" s="14" t="str">
        <f t="shared" si="8"/>
        <v/>
      </c>
      <c r="E131" s="14" t="str">
        <f t="shared" si="9"/>
        <v/>
      </c>
      <c r="F131" s="14" t="str">
        <f t="shared" si="10"/>
        <v/>
      </c>
      <c r="G131" s="14" t="str">
        <f t="shared" si="11"/>
        <v/>
      </c>
      <c r="H131" s="15" t="str">
        <f t="shared" si="12"/>
        <v/>
      </c>
      <c r="I131" s="13" t="str">
        <f t="shared" si="13"/>
        <v/>
      </c>
    </row>
    <row r="132" spans="1:9" x14ac:dyDescent="0.2">
      <c r="A132" s="7" t="str">
        <f>IF($B132="","",123)</f>
        <v/>
      </c>
      <c r="B132" s="17" t="str">
        <f>IF(123&gt;NBskParty,"",INDEX(PkBskParty,123))</f>
        <v/>
      </c>
      <c r="C132" s="11" t="str">
        <f t="shared" si="7"/>
        <v/>
      </c>
      <c r="D132" s="9" t="str">
        <f t="shared" si="8"/>
        <v/>
      </c>
      <c r="E132" s="9" t="str">
        <f t="shared" si="9"/>
        <v/>
      </c>
      <c r="F132" s="9" t="str">
        <f t="shared" si="10"/>
        <v/>
      </c>
      <c r="G132" s="9" t="str">
        <f t="shared" si="11"/>
        <v/>
      </c>
      <c r="H132" s="10" t="str">
        <f t="shared" si="12"/>
        <v/>
      </c>
      <c r="I132" s="8" t="str">
        <f t="shared" si="13"/>
        <v/>
      </c>
    </row>
    <row r="133" spans="1:9" x14ac:dyDescent="0.2">
      <c r="A133" s="12" t="str">
        <f>IF($B133="","",124)</f>
        <v/>
      </c>
      <c r="B133" s="18" t="str">
        <f>IF(124&gt;NBskParty,"",INDEX(PkBskParty,124))</f>
        <v/>
      </c>
      <c r="C133" s="16" t="str">
        <f t="shared" si="7"/>
        <v/>
      </c>
      <c r="D133" s="14" t="str">
        <f t="shared" si="8"/>
        <v/>
      </c>
      <c r="E133" s="14" t="str">
        <f t="shared" si="9"/>
        <v/>
      </c>
      <c r="F133" s="14" t="str">
        <f t="shared" si="10"/>
        <v/>
      </c>
      <c r="G133" s="14" t="str">
        <f t="shared" si="11"/>
        <v/>
      </c>
      <c r="H133" s="15" t="str">
        <f t="shared" si="12"/>
        <v/>
      </c>
      <c r="I133" s="13" t="str">
        <f t="shared" si="13"/>
        <v/>
      </c>
    </row>
    <row r="134" spans="1:9" x14ac:dyDescent="0.2">
      <c r="A134" s="7" t="str">
        <f>IF($B134="","",125)</f>
        <v/>
      </c>
      <c r="B134" s="17" t="str">
        <f>IF(125&gt;NBskParty,"",INDEX(PkBskParty,125))</f>
        <v/>
      </c>
      <c r="C134" s="11" t="str">
        <f t="shared" si="7"/>
        <v/>
      </c>
      <c r="D134" s="9" t="str">
        <f t="shared" si="8"/>
        <v/>
      </c>
      <c r="E134" s="9" t="str">
        <f t="shared" si="9"/>
        <v/>
      </c>
      <c r="F134" s="9" t="str">
        <f t="shared" si="10"/>
        <v/>
      </c>
      <c r="G134" s="9" t="str">
        <f t="shared" si="11"/>
        <v/>
      </c>
      <c r="H134" s="10" t="str">
        <f t="shared" si="12"/>
        <v/>
      </c>
      <c r="I134" s="8" t="str">
        <f t="shared" si="13"/>
        <v/>
      </c>
    </row>
    <row r="135" spans="1:9" x14ac:dyDescent="0.2">
      <c r="A135" s="12" t="str">
        <f>IF($B135="","",126)</f>
        <v/>
      </c>
      <c r="B135" s="18" t="str">
        <f>IF(126&gt;NBskParty,"",INDEX(PkBskParty,126))</f>
        <v/>
      </c>
      <c r="C135" s="16" t="str">
        <f t="shared" si="7"/>
        <v/>
      </c>
      <c r="D135" s="14" t="str">
        <f t="shared" si="8"/>
        <v/>
      </c>
      <c r="E135" s="14" t="str">
        <f t="shared" si="9"/>
        <v/>
      </c>
      <c r="F135" s="14" t="str">
        <f t="shared" si="10"/>
        <v/>
      </c>
      <c r="G135" s="14" t="str">
        <f t="shared" si="11"/>
        <v/>
      </c>
      <c r="H135" s="15" t="str">
        <f t="shared" si="12"/>
        <v/>
      </c>
      <c r="I135" s="13" t="str">
        <f t="shared" si="13"/>
        <v/>
      </c>
    </row>
    <row r="136" spans="1:9" x14ac:dyDescent="0.2">
      <c r="A136" s="7" t="str">
        <f>IF($B136="","",127)</f>
        <v/>
      </c>
      <c r="B136" s="17" t="str">
        <f>IF(127&gt;NBskParty,"",INDEX(PkBskParty,127))</f>
        <v/>
      </c>
      <c r="C136" s="11" t="str">
        <f t="shared" si="7"/>
        <v/>
      </c>
      <c r="D136" s="9" t="str">
        <f t="shared" si="8"/>
        <v/>
      </c>
      <c r="E136" s="9" t="str">
        <f t="shared" si="9"/>
        <v/>
      </c>
      <c r="F136" s="9" t="str">
        <f t="shared" si="10"/>
        <v/>
      </c>
      <c r="G136" s="9" t="str">
        <f t="shared" si="11"/>
        <v/>
      </c>
      <c r="H136" s="10" t="str">
        <f t="shared" si="12"/>
        <v/>
      </c>
      <c r="I136" s="8" t="str">
        <f t="shared" si="13"/>
        <v/>
      </c>
    </row>
    <row r="137" spans="1:9" x14ac:dyDescent="0.2">
      <c r="A137" s="12" t="str">
        <f>IF($B137="","",128)</f>
        <v/>
      </c>
      <c r="B137" s="18" t="str">
        <f>IF(128&gt;NBskParty,"",INDEX(PkBskParty,128))</f>
        <v/>
      </c>
      <c r="C137" s="16" t="str">
        <f t="shared" si="7"/>
        <v/>
      </c>
      <c r="D137" s="14" t="str">
        <f t="shared" si="8"/>
        <v/>
      </c>
      <c r="E137" s="14" t="str">
        <f t="shared" si="9"/>
        <v/>
      </c>
      <c r="F137" s="14" t="str">
        <f t="shared" si="10"/>
        <v/>
      </c>
      <c r="G137" s="14" t="str">
        <f t="shared" si="11"/>
        <v/>
      </c>
      <c r="H137" s="15" t="str">
        <f t="shared" si="12"/>
        <v/>
      </c>
      <c r="I137" s="13" t="str">
        <f t="shared" si="13"/>
        <v/>
      </c>
    </row>
    <row r="138" spans="1:9" x14ac:dyDescent="0.2">
      <c r="A138" s="7" t="str">
        <f>IF($B138="","",129)</f>
        <v/>
      </c>
      <c r="B138" s="17" t="str">
        <f>IF(129&gt;NBskParty,"",INDEX(PkBskParty,129))</f>
        <v/>
      </c>
      <c r="C138" s="11" t="str">
        <f t="shared" ref="C138:C201" si="14">IF($B138="","",IFERROR(IF(VLOOKUP($B138,AcctTbl,4,0)="","(بدون نام)",VLOOKUP($B138,AcctTbl,4,0)),"—"))</f>
        <v/>
      </c>
      <c r="D138" s="9" t="str">
        <f t="shared" ref="D138:D201" si="15">IF($B138="","",SUMIF(CalcPartyA,$B138,CalcQtyA))</f>
        <v/>
      </c>
      <c r="E138" s="9" t="str">
        <f t="shared" ref="E138:E201" si="16">IF($B138="","",SUMIF(CalcPartyA,$B138,CalcAmtA))</f>
        <v/>
      </c>
      <c r="F138" s="9" t="str">
        <f t="shared" ref="F138:F201" si="17">IF($B138="","",SUMIF(CalcPartyB,$B138,CalcWitB))</f>
        <v/>
      </c>
      <c r="G138" s="9" t="str">
        <f t="shared" ref="G138:G201" si="18">IF($B138="","",SUMIF(CalcPartyB,$B138,CalcDepB))</f>
        <v/>
      </c>
      <c r="H138" s="10" t="str">
        <f t="shared" ref="H138:H201" si="19">IF($B138="","",$E138-$F138+$G138)</f>
        <v/>
      </c>
      <c r="I138" s="8" t="str">
        <f t="shared" ref="I138:I201" si="20">IF($B138="","",IF(ROUND($H138,0)&gt;0,"● بستانکار",IF(ROUND($H138,0)&lt;0,"● بدهکار","تسویه")))</f>
        <v/>
      </c>
    </row>
    <row r="139" spans="1:9" x14ac:dyDescent="0.2">
      <c r="A139" s="12" t="str">
        <f>IF($B139="","",130)</f>
        <v/>
      </c>
      <c r="B139" s="18" t="str">
        <f>IF(130&gt;NBskParty,"",INDEX(PkBskParty,130))</f>
        <v/>
      </c>
      <c r="C139" s="16" t="str">
        <f t="shared" si="14"/>
        <v/>
      </c>
      <c r="D139" s="14" t="str">
        <f t="shared" si="15"/>
        <v/>
      </c>
      <c r="E139" s="14" t="str">
        <f t="shared" si="16"/>
        <v/>
      </c>
      <c r="F139" s="14" t="str">
        <f t="shared" si="17"/>
        <v/>
      </c>
      <c r="G139" s="14" t="str">
        <f t="shared" si="18"/>
        <v/>
      </c>
      <c r="H139" s="15" t="str">
        <f t="shared" si="19"/>
        <v/>
      </c>
      <c r="I139" s="13" t="str">
        <f t="shared" si="20"/>
        <v/>
      </c>
    </row>
    <row r="140" spans="1:9" x14ac:dyDescent="0.2">
      <c r="A140" s="7" t="str">
        <f>IF($B140="","",131)</f>
        <v/>
      </c>
      <c r="B140" s="17" t="str">
        <f>IF(131&gt;NBskParty,"",INDEX(PkBskParty,131))</f>
        <v/>
      </c>
      <c r="C140" s="11" t="str">
        <f t="shared" si="14"/>
        <v/>
      </c>
      <c r="D140" s="9" t="str">
        <f t="shared" si="15"/>
        <v/>
      </c>
      <c r="E140" s="9" t="str">
        <f t="shared" si="16"/>
        <v/>
      </c>
      <c r="F140" s="9" t="str">
        <f t="shared" si="17"/>
        <v/>
      </c>
      <c r="G140" s="9" t="str">
        <f t="shared" si="18"/>
        <v/>
      </c>
      <c r="H140" s="10" t="str">
        <f t="shared" si="19"/>
        <v/>
      </c>
      <c r="I140" s="8" t="str">
        <f t="shared" si="20"/>
        <v/>
      </c>
    </row>
    <row r="141" spans="1:9" x14ac:dyDescent="0.2">
      <c r="A141" s="12" t="str">
        <f>IF($B141="","",132)</f>
        <v/>
      </c>
      <c r="B141" s="18" t="str">
        <f>IF(132&gt;NBskParty,"",INDEX(PkBskParty,132))</f>
        <v/>
      </c>
      <c r="C141" s="16" t="str">
        <f t="shared" si="14"/>
        <v/>
      </c>
      <c r="D141" s="14" t="str">
        <f t="shared" si="15"/>
        <v/>
      </c>
      <c r="E141" s="14" t="str">
        <f t="shared" si="16"/>
        <v/>
      </c>
      <c r="F141" s="14" t="str">
        <f t="shared" si="17"/>
        <v/>
      </c>
      <c r="G141" s="14" t="str">
        <f t="shared" si="18"/>
        <v/>
      </c>
      <c r="H141" s="15" t="str">
        <f t="shared" si="19"/>
        <v/>
      </c>
      <c r="I141" s="13" t="str">
        <f t="shared" si="20"/>
        <v/>
      </c>
    </row>
    <row r="142" spans="1:9" x14ac:dyDescent="0.2">
      <c r="A142" s="7" t="str">
        <f>IF($B142="","",133)</f>
        <v/>
      </c>
      <c r="B142" s="17" t="str">
        <f>IF(133&gt;NBskParty,"",INDEX(PkBskParty,133))</f>
        <v/>
      </c>
      <c r="C142" s="11" t="str">
        <f t="shared" si="14"/>
        <v/>
      </c>
      <c r="D142" s="9" t="str">
        <f t="shared" si="15"/>
        <v/>
      </c>
      <c r="E142" s="9" t="str">
        <f t="shared" si="16"/>
        <v/>
      </c>
      <c r="F142" s="9" t="str">
        <f t="shared" si="17"/>
        <v/>
      </c>
      <c r="G142" s="9" t="str">
        <f t="shared" si="18"/>
        <v/>
      </c>
      <c r="H142" s="10" t="str">
        <f t="shared" si="19"/>
        <v/>
      </c>
      <c r="I142" s="8" t="str">
        <f t="shared" si="20"/>
        <v/>
      </c>
    </row>
    <row r="143" spans="1:9" x14ac:dyDescent="0.2">
      <c r="A143" s="12" t="str">
        <f>IF($B143="","",134)</f>
        <v/>
      </c>
      <c r="B143" s="18" t="str">
        <f>IF(134&gt;NBskParty,"",INDEX(PkBskParty,134))</f>
        <v/>
      </c>
      <c r="C143" s="16" t="str">
        <f t="shared" si="14"/>
        <v/>
      </c>
      <c r="D143" s="14" t="str">
        <f t="shared" si="15"/>
        <v/>
      </c>
      <c r="E143" s="14" t="str">
        <f t="shared" si="16"/>
        <v/>
      </c>
      <c r="F143" s="14" t="str">
        <f t="shared" si="17"/>
        <v/>
      </c>
      <c r="G143" s="14" t="str">
        <f t="shared" si="18"/>
        <v/>
      </c>
      <c r="H143" s="15" t="str">
        <f t="shared" si="19"/>
        <v/>
      </c>
      <c r="I143" s="13" t="str">
        <f t="shared" si="20"/>
        <v/>
      </c>
    </row>
    <row r="144" spans="1:9" x14ac:dyDescent="0.2">
      <c r="A144" s="7" t="str">
        <f>IF($B144="","",135)</f>
        <v/>
      </c>
      <c r="B144" s="17" t="str">
        <f>IF(135&gt;NBskParty,"",INDEX(PkBskParty,135))</f>
        <v/>
      </c>
      <c r="C144" s="11" t="str">
        <f t="shared" si="14"/>
        <v/>
      </c>
      <c r="D144" s="9" t="str">
        <f t="shared" si="15"/>
        <v/>
      </c>
      <c r="E144" s="9" t="str">
        <f t="shared" si="16"/>
        <v/>
      </c>
      <c r="F144" s="9" t="str">
        <f t="shared" si="17"/>
        <v/>
      </c>
      <c r="G144" s="9" t="str">
        <f t="shared" si="18"/>
        <v/>
      </c>
      <c r="H144" s="10" t="str">
        <f t="shared" si="19"/>
        <v/>
      </c>
      <c r="I144" s="8" t="str">
        <f t="shared" si="20"/>
        <v/>
      </c>
    </row>
    <row r="145" spans="1:9" x14ac:dyDescent="0.2">
      <c r="A145" s="12" t="str">
        <f>IF($B145="","",136)</f>
        <v/>
      </c>
      <c r="B145" s="18" t="str">
        <f>IF(136&gt;NBskParty,"",INDEX(PkBskParty,136))</f>
        <v/>
      </c>
      <c r="C145" s="16" t="str">
        <f t="shared" si="14"/>
        <v/>
      </c>
      <c r="D145" s="14" t="str">
        <f t="shared" si="15"/>
        <v/>
      </c>
      <c r="E145" s="14" t="str">
        <f t="shared" si="16"/>
        <v/>
      </c>
      <c r="F145" s="14" t="str">
        <f t="shared" si="17"/>
        <v/>
      </c>
      <c r="G145" s="14" t="str">
        <f t="shared" si="18"/>
        <v/>
      </c>
      <c r="H145" s="15" t="str">
        <f t="shared" si="19"/>
        <v/>
      </c>
      <c r="I145" s="13" t="str">
        <f t="shared" si="20"/>
        <v/>
      </c>
    </row>
    <row r="146" spans="1:9" x14ac:dyDescent="0.2">
      <c r="A146" s="7" t="str">
        <f>IF($B146="","",137)</f>
        <v/>
      </c>
      <c r="B146" s="17" t="str">
        <f>IF(137&gt;NBskParty,"",INDEX(PkBskParty,137))</f>
        <v/>
      </c>
      <c r="C146" s="11" t="str">
        <f t="shared" si="14"/>
        <v/>
      </c>
      <c r="D146" s="9" t="str">
        <f t="shared" si="15"/>
        <v/>
      </c>
      <c r="E146" s="9" t="str">
        <f t="shared" si="16"/>
        <v/>
      </c>
      <c r="F146" s="9" t="str">
        <f t="shared" si="17"/>
        <v/>
      </c>
      <c r="G146" s="9" t="str">
        <f t="shared" si="18"/>
        <v/>
      </c>
      <c r="H146" s="10" t="str">
        <f t="shared" si="19"/>
        <v/>
      </c>
      <c r="I146" s="8" t="str">
        <f t="shared" si="20"/>
        <v/>
      </c>
    </row>
    <row r="147" spans="1:9" x14ac:dyDescent="0.2">
      <c r="A147" s="12" t="str">
        <f>IF($B147="","",138)</f>
        <v/>
      </c>
      <c r="B147" s="18" t="str">
        <f>IF(138&gt;NBskParty,"",INDEX(PkBskParty,138))</f>
        <v/>
      </c>
      <c r="C147" s="16" t="str">
        <f t="shared" si="14"/>
        <v/>
      </c>
      <c r="D147" s="14" t="str">
        <f t="shared" si="15"/>
        <v/>
      </c>
      <c r="E147" s="14" t="str">
        <f t="shared" si="16"/>
        <v/>
      </c>
      <c r="F147" s="14" t="str">
        <f t="shared" si="17"/>
        <v/>
      </c>
      <c r="G147" s="14" t="str">
        <f t="shared" si="18"/>
        <v/>
      </c>
      <c r="H147" s="15" t="str">
        <f t="shared" si="19"/>
        <v/>
      </c>
      <c r="I147" s="13" t="str">
        <f t="shared" si="20"/>
        <v/>
      </c>
    </row>
    <row r="148" spans="1:9" x14ac:dyDescent="0.2">
      <c r="A148" s="7" t="str">
        <f>IF($B148="","",139)</f>
        <v/>
      </c>
      <c r="B148" s="17" t="str">
        <f>IF(139&gt;NBskParty,"",INDEX(PkBskParty,139))</f>
        <v/>
      </c>
      <c r="C148" s="11" t="str">
        <f t="shared" si="14"/>
        <v/>
      </c>
      <c r="D148" s="9" t="str">
        <f t="shared" si="15"/>
        <v/>
      </c>
      <c r="E148" s="9" t="str">
        <f t="shared" si="16"/>
        <v/>
      </c>
      <c r="F148" s="9" t="str">
        <f t="shared" si="17"/>
        <v/>
      </c>
      <c r="G148" s="9" t="str">
        <f t="shared" si="18"/>
        <v/>
      </c>
      <c r="H148" s="10" t="str">
        <f t="shared" si="19"/>
        <v/>
      </c>
      <c r="I148" s="8" t="str">
        <f t="shared" si="20"/>
        <v/>
      </c>
    </row>
    <row r="149" spans="1:9" x14ac:dyDescent="0.2">
      <c r="A149" s="12" t="str">
        <f>IF($B149="","",140)</f>
        <v/>
      </c>
      <c r="B149" s="18" t="str">
        <f>IF(140&gt;NBskParty,"",INDEX(PkBskParty,140))</f>
        <v/>
      </c>
      <c r="C149" s="16" t="str">
        <f t="shared" si="14"/>
        <v/>
      </c>
      <c r="D149" s="14" t="str">
        <f t="shared" si="15"/>
        <v/>
      </c>
      <c r="E149" s="14" t="str">
        <f t="shared" si="16"/>
        <v/>
      </c>
      <c r="F149" s="14" t="str">
        <f t="shared" si="17"/>
        <v/>
      </c>
      <c r="G149" s="14" t="str">
        <f t="shared" si="18"/>
        <v/>
      </c>
      <c r="H149" s="15" t="str">
        <f t="shared" si="19"/>
        <v/>
      </c>
      <c r="I149" s="13" t="str">
        <f t="shared" si="20"/>
        <v/>
      </c>
    </row>
    <row r="150" spans="1:9" x14ac:dyDescent="0.2">
      <c r="A150" s="7" t="str">
        <f>IF($B150="","",141)</f>
        <v/>
      </c>
      <c r="B150" s="17" t="str">
        <f>IF(141&gt;NBskParty,"",INDEX(PkBskParty,141))</f>
        <v/>
      </c>
      <c r="C150" s="11" t="str">
        <f t="shared" si="14"/>
        <v/>
      </c>
      <c r="D150" s="9" t="str">
        <f t="shared" si="15"/>
        <v/>
      </c>
      <c r="E150" s="9" t="str">
        <f t="shared" si="16"/>
        <v/>
      </c>
      <c r="F150" s="9" t="str">
        <f t="shared" si="17"/>
        <v/>
      </c>
      <c r="G150" s="9" t="str">
        <f t="shared" si="18"/>
        <v/>
      </c>
      <c r="H150" s="10" t="str">
        <f t="shared" si="19"/>
        <v/>
      </c>
      <c r="I150" s="8" t="str">
        <f t="shared" si="20"/>
        <v/>
      </c>
    </row>
    <row r="151" spans="1:9" x14ac:dyDescent="0.2">
      <c r="A151" s="12" t="str">
        <f>IF($B151="","",142)</f>
        <v/>
      </c>
      <c r="B151" s="18" t="str">
        <f>IF(142&gt;NBskParty,"",INDEX(PkBskParty,142))</f>
        <v/>
      </c>
      <c r="C151" s="16" t="str">
        <f t="shared" si="14"/>
        <v/>
      </c>
      <c r="D151" s="14" t="str">
        <f t="shared" si="15"/>
        <v/>
      </c>
      <c r="E151" s="14" t="str">
        <f t="shared" si="16"/>
        <v/>
      </c>
      <c r="F151" s="14" t="str">
        <f t="shared" si="17"/>
        <v/>
      </c>
      <c r="G151" s="14" t="str">
        <f t="shared" si="18"/>
        <v/>
      </c>
      <c r="H151" s="15" t="str">
        <f t="shared" si="19"/>
        <v/>
      </c>
      <c r="I151" s="13" t="str">
        <f t="shared" si="20"/>
        <v/>
      </c>
    </row>
    <row r="152" spans="1:9" x14ac:dyDescent="0.2">
      <c r="A152" s="7" t="str">
        <f>IF($B152="","",143)</f>
        <v/>
      </c>
      <c r="B152" s="17" t="str">
        <f>IF(143&gt;NBskParty,"",INDEX(PkBskParty,143))</f>
        <v/>
      </c>
      <c r="C152" s="11" t="str">
        <f t="shared" si="14"/>
        <v/>
      </c>
      <c r="D152" s="9" t="str">
        <f t="shared" si="15"/>
        <v/>
      </c>
      <c r="E152" s="9" t="str">
        <f t="shared" si="16"/>
        <v/>
      </c>
      <c r="F152" s="9" t="str">
        <f t="shared" si="17"/>
        <v/>
      </c>
      <c r="G152" s="9" t="str">
        <f t="shared" si="18"/>
        <v/>
      </c>
      <c r="H152" s="10" t="str">
        <f t="shared" si="19"/>
        <v/>
      </c>
      <c r="I152" s="8" t="str">
        <f t="shared" si="20"/>
        <v/>
      </c>
    </row>
    <row r="153" spans="1:9" x14ac:dyDescent="0.2">
      <c r="A153" s="12" t="str">
        <f>IF($B153="","",144)</f>
        <v/>
      </c>
      <c r="B153" s="18" t="str">
        <f>IF(144&gt;NBskParty,"",INDEX(PkBskParty,144))</f>
        <v/>
      </c>
      <c r="C153" s="16" t="str">
        <f t="shared" si="14"/>
        <v/>
      </c>
      <c r="D153" s="14" t="str">
        <f t="shared" si="15"/>
        <v/>
      </c>
      <c r="E153" s="14" t="str">
        <f t="shared" si="16"/>
        <v/>
      </c>
      <c r="F153" s="14" t="str">
        <f t="shared" si="17"/>
        <v/>
      </c>
      <c r="G153" s="14" t="str">
        <f t="shared" si="18"/>
        <v/>
      </c>
      <c r="H153" s="15" t="str">
        <f t="shared" si="19"/>
        <v/>
      </c>
      <c r="I153" s="13" t="str">
        <f t="shared" si="20"/>
        <v/>
      </c>
    </row>
    <row r="154" spans="1:9" x14ac:dyDescent="0.2">
      <c r="A154" s="7" t="str">
        <f>IF($B154="","",145)</f>
        <v/>
      </c>
      <c r="B154" s="17" t="str">
        <f>IF(145&gt;NBskParty,"",INDEX(PkBskParty,145))</f>
        <v/>
      </c>
      <c r="C154" s="11" t="str">
        <f t="shared" si="14"/>
        <v/>
      </c>
      <c r="D154" s="9" t="str">
        <f t="shared" si="15"/>
        <v/>
      </c>
      <c r="E154" s="9" t="str">
        <f t="shared" si="16"/>
        <v/>
      </c>
      <c r="F154" s="9" t="str">
        <f t="shared" si="17"/>
        <v/>
      </c>
      <c r="G154" s="9" t="str">
        <f t="shared" si="18"/>
        <v/>
      </c>
      <c r="H154" s="10" t="str">
        <f t="shared" si="19"/>
        <v/>
      </c>
      <c r="I154" s="8" t="str">
        <f t="shared" si="20"/>
        <v/>
      </c>
    </row>
    <row r="155" spans="1:9" x14ac:dyDescent="0.2">
      <c r="A155" s="12" t="str">
        <f>IF($B155="","",146)</f>
        <v/>
      </c>
      <c r="B155" s="18" t="str">
        <f>IF(146&gt;NBskParty,"",INDEX(PkBskParty,146))</f>
        <v/>
      </c>
      <c r="C155" s="16" t="str">
        <f t="shared" si="14"/>
        <v/>
      </c>
      <c r="D155" s="14" t="str">
        <f t="shared" si="15"/>
        <v/>
      </c>
      <c r="E155" s="14" t="str">
        <f t="shared" si="16"/>
        <v/>
      </c>
      <c r="F155" s="14" t="str">
        <f t="shared" si="17"/>
        <v/>
      </c>
      <c r="G155" s="14" t="str">
        <f t="shared" si="18"/>
        <v/>
      </c>
      <c r="H155" s="15" t="str">
        <f t="shared" si="19"/>
        <v/>
      </c>
      <c r="I155" s="13" t="str">
        <f t="shared" si="20"/>
        <v/>
      </c>
    </row>
    <row r="156" spans="1:9" x14ac:dyDescent="0.2">
      <c r="A156" s="7" t="str">
        <f>IF($B156="","",147)</f>
        <v/>
      </c>
      <c r="B156" s="17" t="str">
        <f>IF(147&gt;NBskParty,"",INDEX(PkBskParty,147))</f>
        <v/>
      </c>
      <c r="C156" s="11" t="str">
        <f t="shared" si="14"/>
        <v/>
      </c>
      <c r="D156" s="9" t="str">
        <f t="shared" si="15"/>
        <v/>
      </c>
      <c r="E156" s="9" t="str">
        <f t="shared" si="16"/>
        <v/>
      </c>
      <c r="F156" s="9" t="str">
        <f t="shared" si="17"/>
        <v/>
      </c>
      <c r="G156" s="9" t="str">
        <f t="shared" si="18"/>
        <v/>
      </c>
      <c r="H156" s="10" t="str">
        <f t="shared" si="19"/>
        <v/>
      </c>
      <c r="I156" s="8" t="str">
        <f t="shared" si="20"/>
        <v/>
      </c>
    </row>
    <row r="157" spans="1:9" x14ac:dyDescent="0.2">
      <c r="A157" s="12" t="str">
        <f>IF($B157="","",148)</f>
        <v/>
      </c>
      <c r="B157" s="18" t="str">
        <f>IF(148&gt;NBskParty,"",INDEX(PkBskParty,148))</f>
        <v/>
      </c>
      <c r="C157" s="16" t="str">
        <f t="shared" si="14"/>
        <v/>
      </c>
      <c r="D157" s="14" t="str">
        <f t="shared" si="15"/>
        <v/>
      </c>
      <c r="E157" s="14" t="str">
        <f t="shared" si="16"/>
        <v/>
      </c>
      <c r="F157" s="14" t="str">
        <f t="shared" si="17"/>
        <v/>
      </c>
      <c r="G157" s="14" t="str">
        <f t="shared" si="18"/>
        <v/>
      </c>
      <c r="H157" s="15" t="str">
        <f t="shared" si="19"/>
        <v/>
      </c>
      <c r="I157" s="13" t="str">
        <f t="shared" si="20"/>
        <v/>
      </c>
    </row>
    <row r="158" spans="1:9" x14ac:dyDescent="0.2">
      <c r="A158" s="7" t="str">
        <f>IF($B158="","",149)</f>
        <v/>
      </c>
      <c r="B158" s="17" t="str">
        <f>IF(149&gt;NBskParty,"",INDEX(PkBskParty,149))</f>
        <v/>
      </c>
      <c r="C158" s="11" t="str">
        <f t="shared" si="14"/>
        <v/>
      </c>
      <c r="D158" s="9" t="str">
        <f t="shared" si="15"/>
        <v/>
      </c>
      <c r="E158" s="9" t="str">
        <f t="shared" si="16"/>
        <v/>
      </c>
      <c r="F158" s="9" t="str">
        <f t="shared" si="17"/>
        <v/>
      </c>
      <c r="G158" s="9" t="str">
        <f t="shared" si="18"/>
        <v/>
      </c>
      <c r="H158" s="10" t="str">
        <f t="shared" si="19"/>
        <v/>
      </c>
      <c r="I158" s="8" t="str">
        <f t="shared" si="20"/>
        <v/>
      </c>
    </row>
    <row r="159" spans="1:9" x14ac:dyDescent="0.2">
      <c r="A159" s="12" t="str">
        <f>IF($B159="","",150)</f>
        <v/>
      </c>
      <c r="B159" s="18" t="str">
        <f>IF(150&gt;NBskParty,"",INDEX(PkBskParty,150))</f>
        <v/>
      </c>
      <c r="C159" s="16" t="str">
        <f t="shared" si="14"/>
        <v/>
      </c>
      <c r="D159" s="14" t="str">
        <f t="shared" si="15"/>
        <v/>
      </c>
      <c r="E159" s="14" t="str">
        <f t="shared" si="16"/>
        <v/>
      </c>
      <c r="F159" s="14" t="str">
        <f t="shared" si="17"/>
        <v/>
      </c>
      <c r="G159" s="14" t="str">
        <f t="shared" si="18"/>
        <v/>
      </c>
      <c r="H159" s="15" t="str">
        <f t="shared" si="19"/>
        <v/>
      </c>
      <c r="I159" s="13" t="str">
        <f t="shared" si="20"/>
        <v/>
      </c>
    </row>
    <row r="160" spans="1:9" x14ac:dyDescent="0.2">
      <c r="A160" s="7" t="str">
        <f>IF($B160="","",151)</f>
        <v/>
      </c>
      <c r="B160" s="17" t="str">
        <f>IF(151&gt;NBskParty,"",INDEX(PkBskParty,151))</f>
        <v/>
      </c>
      <c r="C160" s="11" t="str">
        <f t="shared" si="14"/>
        <v/>
      </c>
      <c r="D160" s="9" t="str">
        <f t="shared" si="15"/>
        <v/>
      </c>
      <c r="E160" s="9" t="str">
        <f t="shared" si="16"/>
        <v/>
      </c>
      <c r="F160" s="9" t="str">
        <f t="shared" si="17"/>
        <v/>
      </c>
      <c r="G160" s="9" t="str">
        <f t="shared" si="18"/>
        <v/>
      </c>
      <c r="H160" s="10" t="str">
        <f t="shared" si="19"/>
        <v/>
      </c>
      <c r="I160" s="8" t="str">
        <f t="shared" si="20"/>
        <v/>
      </c>
    </row>
    <row r="161" spans="1:9" x14ac:dyDescent="0.2">
      <c r="A161" s="12" t="str">
        <f>IF($B161="","",152)</f>
        <v/>
      </c>
      <c r="B161" s="18" t="str">
        <f>IF(152&gt;NBskParty,"",INDEX(PkBskParty,152))</f>
        <v/>
      </c>
      <c r="C161" s="16" t="str">
        <f t="shared" si="14"/>
        <v/>
      </c>
      <c r="D161" s="14" t="str">
        <f t="shared" si="15"/>
        <v/>
      </c>
      <c r="E161" s="14" t="str">
        <f t="shared" si="16"/>
        <v/>
      </c>
      <c r="F161" s="14" t="str">
        <f t="shared" si="17"/>
        <v/>
      </c>
      <c r="G161" s="14" t="str">
        <f t="shared" si="18"/>
        <v/>
      </c>
      <c r="H161" s="15" t="str">
        <f t="shared" si="19"/>
        <v/>
      </c>
      <c r="I161" s="13" t="str">
        <f t="shared" si="20"/>
        <v/>
      </c>
    </row>
    <row r="162" spans="1:9" x14ac:dyDescent="0.2">
      <c r="A162" s="7" t="str">
        <f>IF($B162="","",153)</f>
        <v/>
      </c>
      <c r="B162" s="17" t="str">
        <f>IF(153&gt;NBskParty,"",INDEX(PkBskParty,153))</f>
        <v/>
      </c>
      <c r="C162" s="11" t="str">
        <f t="shared" si="14"/>
        <v/>
      </c>
      <c r="D162" s="9" t="str">
        <f t="shared" si="15"/>
        <v/>
      </c>
      <c r="E162" s="9" t="str">
        <f t="shared" si="16"/>
        <v/>
      </c>
      <c r="F162" s="9" t="str">
        <f t="shared" si="17"/>
        <v/>
      </c>
      <c r="G162" s="9" t="str">
        <f t="shared" si="18"/>
        <v/>
      </c>
      <c r="H162" s="10" t="str">
        <f t="shared" si="19"/>
        <v/>
      </c>
      <c r="I162" s="8" t="str">
        <f t="shared" si="20"/>
        <v/>
      </c>
    </row>
    <row r="163" spans="1:9" x14ac:dyDescent="0.2">
      <c r="A163" s="12" t="str">
        <f>IF($B163="","",154)</f>
        <v/>
      </c>
      <c r="B163" s="18" t="str">
        <f>IF(154&gt;NBskParty,"",INDEX(PkBskParty,154))</f>
        <v/>
      </c>
      <c r="C163" s="16" t="str">
        <f t="shared" si="14"/>
        <v/>
      </c>
      <c r="D163" s="14" t="str">
        <f t="shared" si="15"/>
        <v/>
      </c>
      <c r="E163" s="14" t="str">
        <f t="shared" si="16"/>
        <v/>
      </c>
      <c r="F163" s="14" t="str">
        <f t="shared" si="17"/>
        <v/>
      </c>
      <c r="G163" s="14" t="str">
        <f t="shared" si="18"/>
        <v/>
      </c>
      <c r="H163" s="15" t="str">
        <f t="shared" si="19"/>
        <v/>
      </c>
      <c r="I163" s="13" t="str">
        <f t="shared" si="20"/>
        <v/>
      </c>
    </row>
    <row r="164" spans="1:9" x14ac:dyDescent="0.2">
      <c r="A164" s="7" t="str">
        <f>IF($B164="","",155)</f>
        <v/>
      </c>
      <c r="B164" s="17" t="str">
        <f>IF(155&gt;NBskParty,"",INDEX(PkBskParty,155))</f>
        <v/>
      </c>
      <c r="C164" s="11" t="str">
        <f t="shared" si="14"/>
        <v/>
      </c>
      <c r="D164" s="9" t="str">
        <f t="shared" si="15"/>
        <v/>
      </c>
      <c r="E164" s="9" t="str">
        <f t="shared" si="16"/>
        <v/>
      </c>
      <c r="F164" s="9" t="str">
        <f t="shared" si="17"/>
        <v/>
      </c>
      <c r="G164" s="9" t="str">
        <f t="shared" si="18"/>
        <v/>
      </c>
      <c r="H164" s="10" t="str">
        <f t="shared" si="19"/>
        <v/>
      </c>
      <c r="I164" s="8" t="str">
        <f t="shared" si="20"/>
        <v/>
      </c>
    </row>
    <row r="165" spans="1:9" x14ac:dyDescent="0.2">
      <c r="A165" s="12" t="str">
        <f>IF($B165="","",156)</f>
        <v/>
      </c>
      <c r="B165" s="18" t="str">
        <f>IF(156&gt;NBskParty,"",INDEX(PkBskParty,156))</f>
        <v/>
      </c>
      <c r="C165" s="16" t="str">
        <f t="shared" si="14"/>
        <v/>
      </c>
      <c r="D165" s="14" t="str">
        <f t="shared" si="15"/>
        <v/>
      </c>
      <c r="E165" s="14" t="str">
        <f t="shared" si="16"/>
        <v/>
      </c>
      <c r="F165" s="14" t="str">
        <f t="shared" si="17"/>
        <v/>
      </c>
      <c r="G165" s="14" t="str">
        <f t="shared" si="18"/>
        <v/>
      </c>
      <c r="H165" s="15" t="str">
        <f t="shared" si="19"/>
        <v/>
      </c>
      <c r="I165" s="13" t="str">
        <f t="shared" si="20"/>
        <v/>
      </c>
    </row>
    <row r="166" spans="1:9" x14ac:dyDescent="0.2">
      <c r="A166" s="7" t="str">
        <f>IF($B166="","",157)</f>
        <v/>
      </c>
      <c r="B166" s="17" t="str">
        <f>IF(157&gt;NBskParty,"",INDEX(PkBskParty,157))</f>
        <v/>
      </c>
      <c r="C166" s="11" t="str">
        <f t="shared" si="14"/>
        <v/>
      </c>
      <c r="D166" s="9" t="str">
        <f t="shared" si="15"/>
        <v/>
      </c>
      <c r="E166" s="9" t="str">
        <f t="shared" si="16"/>
        <v/>
      </c>
      <c r="F166" s="9" t="str">
        <f t="shared" si="17"/>
        <v/>
      </c>
      <c r="G166" s="9" t="str">
        <f t="shared" si="18"/>
        <v/>
      </c>
      <c r="H166" s="10" t="str">
        <f t="shared" si="19"/>
        <v/>
      </c>
      <c r="I166" s="8" t="str">
        <f t="shared" si="20"/>
        <v/>
      </c>
    </row>
    <row r="167" spans="1:9" x14ac:dyDescent="0.2">
      <c r="A167" s="12" t="str">
        <f>IF($B167="","",158)</f>
        <v/>
      </c>
      <c r="B167" s="18" t="str">
        <f>IF(158&gt;NBskParty,"",INDEX(PkBskParty,158))</f>
        <v/>
      </c>
      <c r="C167" s="16" t="str">
        <f t="shared" si="14"/>
        <v/>
      </c>
      <c r="D167" s="14" t="str">
        <f t="shared" si="15"/>
        <v/>
      </c>
      <c r="E167" s="14" t="str">
        <f t="shared" si="16"/>
        <v/>
      </c>
      <c r="F167" s="14" t="str">
        <f t="shared" si="17"/>
        <v/>
      </c>
      <c r="G167" s="14" t="str">
        <f t="shared" si="18"/>
        <v/>
      </c>
      <c r="H167" s="15" t="str">
        <f t="shared" si="19"/>
        <v/>
      </c>
      <c r="I167" s="13" t="str">
        <f t="shared" si="20"/>
        <v/>
      </c>
    </row>
    <row r="168" spans="1:9" x14ac:dyDescent="0.2">
      <c r="A168" s="7" t="str">
        <f>IF($B168="","",159)</f>
        <v/>
      </c>
      <c r="B168" s="17" t="str">
        <f>IF(159&gt;NBskParty,"",INDEX(PkBskParty,159))</f>
        <v/>
      </c>
      <c r="C168" s="11" t="str">
        <f t="shared" si="14"/>
        <v/>
      </c>
      <c r="D168" s="9" t="str">
        <f t="shared" si="15"/>
        <v/>
      </c>
      <c r="E168" s="9" t="str">
        <f t="shared" si="16"/>
        <v/>
      </c>
      <c r="F168" s="9" t="str">
        <f t="shared" si="17"/>
        <v/>
      </c>
      <c r="G168" s="9" t="str">
        <f t="shared" si="18"/>
        <v/>
      </c>
      <c r="H168" s="10" t="str">
        <f t="shared" si="19"/>
        <v/>
      </c>
      <c r="I168" s="8" t="str">
        <f t="shared" si="20"/>
        <v/>
      </c>
    </row>
    <row r="169" spans="1:9" x14ac:dyDescent="0.2">
      <c r="A169" s="12" t="str">
        <f>IF($B169="","",160)</f>
        <v/>
      </c>
      <c r="B169" s="18" t="str">
        <f>IF(160&gt;NBskParty,"",INDEX(PkBskParty,160))</f>
        <v/>
      </c>
      <c r="C169" s="16" t="str">
        <f t="shared" si="14"/>
        <v/>
      </c>
      <c r="D169" s="14" t="str">
        <f t="shared" si="15"/>
        <v/>
      </c>
      <c r="E169" s="14" t="str">
        <f t="shared" si="16"/>
        <v/>
      </c>
      <c r="F169" s="14" t="str">
        <f t="shared" si="17"/>
        <v/>
      </c>
      <c r="G169" s="14" t="str">
        <f t="shared" si="18"/>
        <v/>
      </c>
      <c r="H169" s="15" t="str">
        <f t="shared" si="19"/>
        <v/>
      </c>
      <c r="I169" s="13" t="str">
        <f t="shared" si="20"/>
        <v/>
      </c>
    </row>
    <row r="170" spans="1:9" x14ac:dyDescent="0.2">
      <c r="A170" s="7" t="str">
        <f>IF($B170="","",161)</f>
        <v/>
      </c>
      <c r="B170" s="17" t="str">
        <f>IF(161&gt;NBskParty,"",INDEX(PkBskParty,161))</f>
        <v/>
      </c>
      <c r="C170" s="11" t="str">
        <f t="shared" si="14"/>
        <v/>
      </c>
      <c r="D170" s="9" t="str">
        <f t="shared" si="15"/>
        <v/>
      </c>
      <c r="E170" s="9" t="str">
        <f t="shared" si="16"/>
        <v/>
      </c>
      <c r="F170" s="9" t="str">
        <f t="shared" si="17"/>
        <v/>
      </c>
      <c r="G170" s="9" t="str">
        <f t="shared" si="18"/>
        <v/>
      </c>
      <c r="H170" s="10" t="str">
        <f t="shared" si="19"/>
        <v/>
      </c>
      <c r="I170" s="8" t="str">
        <f t="shared" si="20"/>
        <v/>
      </c>
    </row>
    <row r="171" spans="1:9" x14ac:dyDescent="0.2">
      <c r="A171" s="12" t="str">
        <f>IF($B171="","",162)</f>
        <v/>
      </c>
      <c r="B171" s="18" t="str">
        <f>IF(162&gt;NBskParty,"",INDEX(PkBskParty,162))</f>
        <v/>
      </c>
      <c r="C171" s="16" t="str">
        <f t="shared" si="14"/>
        <v/>
      </c>
      <c r="D171" s="14" t="str">
        <f t="shared" si="15"/>
        <v/>
      </c>
      <c r="E171" s="14" t="str">
        <f t="shared" si="16"/>
        <v/>
      </c>
      <c r="F171" s="14" t="str">
        <f t="shared" si="17"/>
        <v/>
      </c>
      <c r="G171" s="14" t="str">
        <f t="shared" si="18"/>
        <v/>
      </c>
      <c r="H171" s="15" t="str">
        <f t="shared" si="19"/>
        <v/>
      </c>
      <c r="I171" s="13" t="str">
        <f t="shared" si="20"/>
        <v/>
      </c>
    </row>
    <row r="172" spans="1:9" x14ac:dyDescent="0.2">
      <c r="A172" s="7" t="str">
        <f>IF($B172="","",163)</f>
        <v/>
      </c>
      <c r="B172" s="17" t="str">
        <f>IF(163&gt;NBskParty,"",INDEX(PkBskParty,163))</f>
        <v/>
      </c>
      <c r="C172" s="11" t="str">
        <f t="shared" si="14"/>
        <v/>
      </c>
      <c r="D172" s="9" t="str">
        <f t="shared" si="15"/>
        <v/>
      </c>
      <c r="E172" s="9" t="str">
        <f t="shared" si="16"/>
        <v/>
      </c>
      <c r="F172" s="9" t="str">
        <f t="shared" si="17"/>
        <v/>
      </c>
      <c r="G172" s="9" t="str">
        <f t="shared" si="18"/>
        <v/>
      </c>
      <c r="H172" s="10" t="str">
        <f t="shared" si="19"/>
        <v/>
      </c>
      <c r="I172" s="8" t="str">
        <f t="shared" si="20"/>
        <v/>
      </c>
    </row>
    <row r="173" spans="1:9" x14ac:dyDescent="0.2">
      <c r="A173" s="12" t="str">
        <f>IF($B173="","",164)</f>
        <v/>
      </c>
      <c r="B173" s="18" t="str">
        <f>IF(164&gt;NBskParty,"",INDEX(PkBskParty,164))</f>
        <v/>
      </c>
      <c r="C173" s="16" t="str">
        <f t="shared" si="14"/>
        <v/>
      </c>
      <c r="D173" s="14" t="str">
        <f t="shared" si="15"/>
        <v/>
      </c>
      <c r="E173" s="14" t="str">
        <f t="shared" si="16"/>
        <v/>
      </c>
      <c r="F173" s="14" t="str">
        <f t="shared" si="17"/>
        <v/>
      </c>
      <c r="G173" s="14" t="str">
        <f t="shared" si="18"/>
        <v/>
      </c>
      <c r="H173" s="15" t="str">
        <f t="shared" si="19"/>
        <v/>
      </c>
      <c r="I173" s="13" t="str">
        <f t="shared" si="20"/>
        <v/>
      </c>
    </row>
    <row r="174" spans="1:9" x14ac:dyDescent="0.2">
      <c r="A174" s="7" t="str">
        <f>IF($B174="","",165)</f>
        <v/>
      </c>
      <c r="B174" s="17" t="str">
        <f>IF(165&gt;NBskParty,"",INDEX(PkBskParty,165))</f>
        <v/>
      </c>
      <c r="C174" s="11" t="str">
        <f t="shared" si="14"/>
        <v/>
      </c>
      <c r="D174" s="9" t="str">
        <f t="shared" si="15"/>
        <v/>
      </c>
      <c r="E174" s="9" t="str">
        <f t="shared" si="16"/>
        <v/>
      </c>
      <c r="F174" s="9" t="str">
        <f t="shared" si="17"/>
        <v/>
      </c>
      <c r="G174" s="9" t="str">
        <f t="shared" si="18"/>
        <v/>
      </c>
      <c r="H174" s="10" t="str">
        <f t="shared" si="19"/>
        <v/>
      </c>
      <c r="I174" s="8" t="str">
        <f t="shared" si="20"/>
        <v/>
      </c>
    </row>
    <row r="175" spans="1:9" x14ac:dyDescent="0.2">
      <c r="A175" s="12" t="str">
        <f>IF($B175="","",166)</f>
        <v/>
      </c>
      <c r="B175" s="18" t="str">
        <f>IF(166&gt;NBskParty,"",INDEX(PkBskParty,166))</f>
        <v/>
      </c>
      <c r="C175" s="16" t="str">
        <f t="shared" si="14"/>
        <v/>
      </c>
      <c r="D175" s="14" t="str">
        <f t="shared" si="15"/>
        <v/>
      </c>
      <c r="E175" s="14" t="str">
        <f t="shared" si="16"/>
        <v/>
      </c>
      <c r="F175" s="14" t="str">
        <f t="shared" si="17"/>
        <v/>
      </c>
      <c r="G175" s="14" t="str">
        <f t="shared" si="18"/>
        <v/>
      </c>
      <c r="H175" s="15" t="str">
        <f t="shared" si="19"/>
        <v/>
      </c>
      <c r="I175" s="13" t="str">
        <f t="shared" si="20"/>
        <v/>
      </c>
    </row>
    <row r="176" spans="1:9" x14ac:dyDescent="0.2">
      <c r="A176" s="7" t="str">
        <f>IF($B176="","",167)</f>
        <v/>
      </c>
      <c r="B176" s="17" t="str">
        <f>IF(167&gt;NBskParty,"",INDEX(PkBskParty,167))</f>
        <v/>
      </c>
      <c r="C176" s="11" t="str">
        <f t="shared" si="14"/>
        <v/>
      </c>
      <c r="D176" s="9" t="str">
        <f t="shared" si="15"/>
        <v/>
      </c>
      <c r="E176" s="9" t="str">
        <f t="shared" si="16"/>
        <v/>
      </c>
      <c r="F176" s="9" t="str">
        <f t="shared" si="17"/>
        <v/>
      </c>
      <c r="G176" s="9" t="str">
        <f t="shared" si="18"/>
        <v/>
      </c>
      <c r="H176" s="10" t="str">
        <f t="shared" si="19"/>
        <v/>
      </c>
      <c r="I176" s="8" t="str">
        <f t="shared" si="20"/>
        <v/>
      </c>
    </row>
    <row r="177" spans="1:9" x14ac:dyDescent="0.2">
      <c r="A177" s="12" t="str">
        <f>IF($B177="","",168)</f>
        <v/>
      </c>
      <c r="B177" s="18" t="str">
        <f>IF(168&gt;NBskParty,"",INDEX(PkBskParty,168))</f>
        <v/>
      </c>
      <c r="C177" s="16" t="str">
        <f t="shared" si="14"/>
        <v/>
      </c>
      <c r="D177" s="14" t="str">
        <f t="shared" si="15"/>
        <v/>
      </c>
      <c r="E177" s="14" t="str">
        <f t="shared" si="16"/>
        <v/>
      </c>
      <c r="F177" s="14" t="str">
        <f t="shared" si="17"/>
        <v/>
      </c>
      <c r="G177" s="14" t="str">
        <f t="shared" si="18"/>
        <v/>
      </c>
      <c r="H177" s="15" t="str">
        <f t="shared" si="19"/>
        <v/>
      </c>
      <c r="I177" s="13" t="str">
        <f t="shared" si="20"/>
        <v/>
      </c>
    </row>
    <row r="178" spans="1:9" x14ac:dyDescent="0.2">
      <c r="A178" s="7" t="str">
        <f>IF($B178="","",169)</f>
        <v/>
      </c>
      <c r="B178" s="17" t="str">
        <f>IF(169&gt;NBskParty,"",INDEX(PkBskParty,169))</f>
        <v/>
      </c>
      <c r="C178" s="11" t="str">
        <f t="shared" si="14"/>
        <v/>
      </c>
      <c r="D178" s="9" t="str">
        <f t="shared" si="15"/>
        <v/>
      </c>
      <c r="E178" s="9" t="str">
        <f t="shared" si="16"/>
        <v/>
      </c>
      <c r="F178" s="9" t="str">
        <f t="shared" si="17"/>
        <v/>
      </c>
      <c r="G178" s="9" t="str">
        <f t="shared" si="18"/>
        <v/>
      </c>
      <c r="H178" s="10" t="str">
        <f t="shared" si="19"/>
        <v/>
      </c>
      <c r="I178" s="8" t="str">
        <f t="shared" si="20"/>
        <v/>
      </c>
    </row>
    <row r="179" spans="1:9" x14ac:dyDescent="0.2">
      <c r="A179" s="12" t="str">
        <f>IF($B179="","",170)</f>
        <v/>
      </c>
      <c r="B179" s="18" t="str">
        <f>IF(170&gt;NBskParty,"",INDEX(PkBskParty,170))</f>
        <v/>
      </c>
      <c r="C179" s="16" t="str">
        <f t="shared" si="14"/>
        <v/>
      </c>
      <c r="D179" s="14" t="str">
        <f t="shared" si="15"/>
        <v/>
      </c>
      <c r="E179" s="14" t="str">
        <f t="shared" si="16"/>
        <v/>
      </c>
      <c r="F179" s="14" t="str">
        <f t="shared" si="17"/>
        <v/>
      </c>
      <c r="G179" s="14" t="str">
        <f t="shared" si="18"/>
        <v/>
      </c>
      <c r="H179" s="15" t="str">
        <f t="shared" si="19"/>
        <v/>
      </c>
      <c r="I179" s="13" t="str">
        <f t="shared" si="20"/>
        <v/>
      </c>
    </row>
    <row r="180" spans="1:9" x14ac:dyDescent="0.2">
      <c r="A180" s="7" t="str">
        <f>IF($B180="","",171)</f>
        <v/>
      </c>
      <c r="B180" s="17" t="str">
        <f>IF(171&gt;NBskParty,"",INDEX(PkBskParty,171))</f>
        <v/>
      </c>
      <c r="C180" s="11" t="str">
        <f t="shared" si="14"/>
        <v/>
      </c>
      <c r="D180" s="9" t="str">
        <f t="shared" si="15"/>
        <v/>
      </c>
      <c r="E180" s="9" t="str">
        <f t="shared" si="16"/>
        <v/>
      </c>
      <c r="F180" s="9" t="str">
        <f t="shared" si="17"/>
        <v/>
      </c>
      <c r="G180" s="9" t="str">
        <f t="shared" si="18"/>
        <v/>
      </c>
      <c r="H180" s="10" t="str">
        <f t="shared" si="19"/>
        <v/>
      </c>
      <c r="I180" s="8" t="str">
        <f t="shared" si="20"/>
        <v/>
      </c>
    </row>
    <row r="181" spans="1:9" x14ac:dyDescent="0.2">
      <c r="A181" s="12" t="str">
        <f>IF($B181="","",172)</f>
        <v/>
      </c>
      <c r="B181" s="18" t="str">
        <f>IF(172&gt;NBskParty,"",INDEX(PkBskParty,172))</f>
        <v/>
      </c>
      <c r="C181" s="16" t="str">
        <f t="shared" si="14"/>
        <v/>
      </c>
      <c r="D181" s="14" t="str">
        <f t="shared" si="15"/>
        <v/>
      </c>
      <c r="E181" s="14" t="str">
        <f t="shared" si="16"/>
        <v/>
      </c>
      <c r="F181" s="14" t="str">
        <f t="shared" si="17"/>
        <v/>
      </c>
      <c r="G181" s="14" t="str">
        <f t="shared" si="18"/>
        <v/>
      </c>
      <c r="H181" s="15" t="str">
        <f t="shared" si="19"/>
        <v/>
      </c>
      <c r="I181" s="13" t="str">
        <f t="shared" si="20"/>
        <v/>
      </c>
    </row>
    <row r="182" spans="1:9" x14ac:dyDescent="0.2">
      <c r="A182" s="7" t="str">
        <f>IF($B182="","",173)</f>
        <v/>
      </c>
      <c r="B182" s="17" t="str">
        <f>IF(173&gt;NBskParty,"",INDEX(PkBskParty,173))</f>
        <v/>
      </c>
      <c r="C182" s="11" t="str">
        <f t="shared" si="14"/>
        <v/>
      </c>
      <c r="D182" s="9" t="str">
        <f t="shared" si="15"/>
        <v/>
      </c>
      <c r="E182" s="9" t="str">
        <f t="shared" si="16"/>
        <v/>
      </c>
      <c r="F182" s="9" t="str">
        <f t="shared" si="17"/>
        <v/>
      </c>
      <c r="G182" s="9" t="str">
        <f t="shared" si="18"/>
        <v/>
      </c>
      <c r="H182" s="10" t="str">
        <f t="shared" si="19"/>
        <v/>
      </c>
      <c r="I182" s="8" t="str">
        <f t="shared" si="20"/>
        <v/>
      </c>
    </row>
    <row r="183" spans="1:9" x14ac:dyDescent="0.2">
      <c r="A183" s="12" t="str">
        <f>IF($B183="","",174)</f>
        <v/>
      </c>
      <c r="B183" s="18" t="str">
        <f>IF(174&gt;NBskParty,"",INDEX(PkBskParty,174))</f>
        <v/>
      </c>
      <c r="C183" s="16" t="str">
        <f t="shared" si="14"/>
        <v/>
      </c>
      <c r="D183" s="14" t="str">
        <f t="shared" si="15"/>
        <v/>
      </c>
      <c r="E183" s="14" t="str">
        <f t="shared" si="16"/>
        <v/>
      </c>
      <c r="F183" s="14" t="str">
        <f t="shared" si="17"/>
        <v/>
      </c>
      <c r="G183" s="14" t="str">
        <f t="shared" si="18"/>
        <v/>
      </c>
      <c r="H183" s="15" t="str">
        <f t="shared" si="19"/>
        <v/>
      </c>
      <c r="I183" s="13" t="str">
        <f t="shared" si="20"/>
        <v/>
      </c>
    </row>
    <row r="184" spans="1:9" x14ac:dyDescent="0.2">
      <c r="A184" s="7" t="str">
        <f>IF($B184="","",175)</f>
        <v/>
      </c>
      <c r="B184" s="17" t="str">
        <f>IF(175&gt;NBskParty,"",INDEX(PkBskParty,175))</f>
        <v/>
      </c>
      <c r="C184" s="11" t="str">
        <f t="shared" si="14"/>
        <v/>
      </c>
      <c r="D184" s="9" t="str">
        <f t="shared" si="15"/>
        <v/>
      </c>
      <c r="E184" s="9" t="str">
        <f t="shared" si="16"/>
        <v/>
      </c>
      <c r="F184" s="9" t="str">
        <f t="shared" si="17"/>
        <v/>
      </c>
      <c r="G184" s="9" t="str">
        <f t="shared" si="18"/>
        <v/>
      </c>
      <c r="H184" s="10" t="str">
        <f t="shared" si="19"/>
        <v/>
      </c>
      <c r="I184" s="8" t="str">
        <f t="shared" si="20"/>
        <v/>
      </c>
    </row>
    <row r="185" spans="1:9" x14ac:dyDescent="0.2">
      <c r="A185" s="12" t="str">
        <f>IF($B185="","",176)</f>
        <v/>
      </c>
      <c r="B185" s="18" t="str">
        <f>IF(176&gt;NBskParty,"",INDEX(PkBskParty,176))</f>
        <v/>
      </c>
      <c r="C185" s="16" t="str">
        <f t="shared" si="14"/>
        <v/>
      </c>
      <c r="D185" s="14" t="str">
        <f t="shared" si="15"/>
        <v/>
      </c>
      <c r="E185" s="14" t="str">
        <f t="shared" si="16"/>
        <v/>
      </c>
      <c r="F185" s="14" t="str">
        <f t="shared" si="17"/>
        <v/>
      </c>
      <c r="G185" s="14" t="str">
        <f t="shared" si="18"/>
        <v/>
      </c>
      <c r="H185" s="15" t="str">
        <f t="shared" si="19"/>
        <v/>
      </c>
      <c r="I185" s="13" t="str">
        <f t="shared" si="20"/>
        <v/>
      </c>
    </row>
    <row r="186" spans="1:9" x14ac:dyDescent="0.2">
      <c r="A186" s="7" t="str">
        <f>IF($B186="","",177)</f>
        <v/>
      </c>
      <c r="B186" s="17" t="str">
        <f>IF(177&gt;NBskParty,"",INDEX(PkBskParty,177))</f>
        <v/>
      </c>
      <c r="C186" s="11" t="str">
        <f t="shared" si="14"/>
        <v/>
      </c>
      <c r="D186" s="9" t="str">
        <f t="shared" si="15"/>
        <v/>
      </c>
      <c r="E186" s="9" t="str">
        <f t="shared" si="16"/>
        <v/>
      </c>
      <c r="F186" s="9" t="str">
        <f t="shared" si="17"/>
        <v/>
      </c>
      <c r="G186" s="9" t="str">
        <f t="shared" si="18"/>
        <v/>
      </c>
      <c r="H186" s="10" t="str">
        <f t="shared" si="19"/>
        <v/>
      </c>
      <c r="I186" s="8" t="str">
        <f t="shared" si="20"/>
        <v/>
      </c>
    </row>
    <row r="187" spans="1:9" x14ac:dyDescent="0.2">
      <c r="A187" s="12" t="str">
        <f>IF($B187="","",178)</f>
        <v/>
      </c>
      <c r="B187" s="18" t="str">
        <f>IF(178&gt;NBskParty,"",INDEX(PkBskParty,178))</f>
        <v/>
      </c>
      <c r="C187" s="16" t="str">
        <f t="shared" si="14"/>
        <v/>
      </c>
      <c r="D187" s="14" t="str">
        <f t="shared" si="15"/>
        <v/>
      </c>
      <c r="E187" s="14" t="str">
        <f t="shared" si="16"/>
        <v/>
      </c>
      <c r="F187" s="14" t="str">
        <f t="shared" si="17"/>
        <v/>
      </c>
      <c r="G187" s="14" t="str">
        <f t="shared" si="18"/>
        <v/>
      </c>
      <c r="H187" s="15" t="str">
        <f t="shared" si="19"/>
        <v/>
      </c>
      <c r="I187" s="13" t="str">
        <f t="shared" si="20"/>
        <v/>
      </c>
    </row>
    <row r="188" spans="1:9" x14ac:dyDescent="0.2">
      <c r="A188" s="7" t="str">
        <f>IF($B188="","",179)</f>
        <v/>
      </c>
      <c r="B188" s="17" t="str">
        <f>IF(179&gt;NBskParty,"",INDEX(PkBskParty,179))</f>
        <v/>
      </c>
      <c r="C188" s="11" t="str">
        <f t="shared" si="14"/>
        <v/>
      </c>
      <c r="D188" s="9" t="str">
        <f t="shared" si="15"/>
        <v/>
      </c>
      <c r="E188" s="9" t="str">
        <f t="shared" si="16"/>
        <v/>
      </c>
      <c r="F188" s="9" t="str">
        <f t="shared" si="17"/>
        <v/>
      </c>
      <c r="G188" s="9" t="str">
        <f t="shared" si="18"/>
        <v/>
      </c>
      <c r="H188" s="10" t="str">
        <f t="shared" si="19"/>
        <v/>
      </c>
      <c r="I188" s="8" t="str">
        <f t="shared" si="20"/>
        <v/>
      </c>
    </row>
    <row r="189" spans="1:9" x14ac:dyDescent="0.2">
      <c r="A189" s="12" t="str">
        <f>IF($B189="","",180)</f>
        <v/>
      </c>
      <c r="B189" s="18" t="str">
        <f>IF(180&gt;NBskParty,"",INDEX(PkBskParty,180))</f>
        <v/>
      </c>
      <c r="C189" s="16" t="str">
        <f t="shared" si="14"/>
        <v/>
      </c>
      <c r="D189" s="14" t="str">
        <f t="shared" si="15"/>
        <v/>
      </c>
      <c r="E189" s="14" t="str">
        <f t="shared" si="16"/>
        <v/>
      </c>
      <c r="F189" s="14" t="str">
        <f t="shared" si="17"/>
        <v/>
      </c>
      <c r="G189" s="14" t="str">
        <f t="shared" si="18"/>
        <v/>
      </c>
      <c r="H189" s="15" t="str">
        <f t="shared" si="19"/>
        <v/>
      </c>
      <c r="I189" s="13" t="str">
        <f t="shared" si="20"/>
        <v/>
      </c>
    </row>
    <row r="190" spans="1:9" x14ac:dyDescent="0.2">
      <c r="A190" s="7" t="str">
        <f>IF($B190="","",181)</f>
        <v/>
      </c>
      <c r="B190" s="17" t="str">
        <f>IF(181&gt;NBskParty,"",INDEX(PkBskParty,181))</f>
        <v/>
      </c>
      <c r="C190" s="11" t="str">
        <f t="shared" si="14"/>
        <v/>
      </c>
      <c r="D190" s="9" t="str">
        <f t="shared" si="15"/>
        <v/>
      </c>
      <c r="E190" s="9" t="str">
        <f t="shared" si="16"/>
        <v/>
      </c>
      <c r="F190" s="9" t="str">
        <f t="shared" si="17"/>
        <v/>
      </c>
      <c r="G190" s="9" t="str">
        <f t="shared" si="18"/>
        <v/>
      </c>
      <c r="H190" s="10" t="str">
        <f t="shared" si="19"/>
        <v/>
      </c>
      <c r="I190" s="8" t="str">
        <f t="shared" si="20"/>
        <v/>
      </c>
    </row>
    <row r="191" spans="1:9" x14ac:dyDescent="0.2">
      <c r="A191" s="12" t="str">
        <f>IF($B191="","",182)</f>
        <v/>
      </c>
      <c r="B191" s="18" t="str">
        <f>IF(182&gt;NBskParty,"",INDEX(PkBskParty,182))</f>
        <v/>
      </c>
      <c r="C191" s="16" t="str">
        <f t="shared" si="14"/>
        <v/>
      </c>
      <c r="D191" s="14" t="str">
        <f t="shared" si="15"/>
        <v/>
      </c>
      <c r="E191" s="14" t="str">
        <f t="shared" si="16"/>
        <v/>
      </c>
      <c r="F191" s="14" t="str">
        <f t="shared" si="17"/>
        <v/>
      </c>
      <c r="G191" s="14" t="str">
        <f t="shared" si="18"/>
        <v/>
      </c>
      <c r="H191" s="15" t="str">
        <f t="shared" si="19"/>
        <v/>
      </c>
      <c r="I191" s="13" t="str">
        <f t="shared" si="20"/>
        <v/>
      </c>
    </row>
    <row r="192" spans="1:9" x14ac:dyDescent="0.2">
      <c r="A192" s="7" t="str">
        <f>IF($B192="","",183)</f>
        <v/>
      </c>
      <c r="B192" s="17" t="str">
        <f>IF(183&gt;NBskParty,"",INDEX(PkBskParty,183))</f>
        <v/>
      </c>
      <c r="C192" s="11" t="str">
        <f t="shared" si="14"/>
        <v/>
      </c>
      <c r="D192" s="9" t="str">
        <f t="shared" si="15"/>
        <v/>
      </c>
      <c r="E192" s="9" t="str">
        <f t="shared" si="16"/>
        <v/>
      </c>
      <c r="F192" s="9" t="str">
        <f t="shared" si="17"/>
        <v/>
      </c>
      <c r="G192" s="9" t="str">
        <f t="shared" si="18"/>
        <v/>
      </c>
      <c r="H192" s="10" t="str">
        <f t="shared" si="19"/>
        <v/>
      </c>
      <c r="I192" s="8" t="str">
        <f t="shared" si="20"/>
        <v/>
      </c>
    </row>
    <row r="193" spans="1:9" x14ac:dyDescent="0.2">
      <c r="A193" s="12" t="str">
        <f>IF($B193="","",184)</f>
        <v/>
      </c>
      <c r="B193" s="18" t="str">
        <f>IF(184&gt;NBskParty,"",INDEX(PkBskParty,184))</f>
        <v/>
      </c>
      <c r="C193" s="16" t="str">
        <f t="shared" si="14"/>
        <v/>
      </c>
      <c r="D193" s="14" t="str">
        <f t="shared" si="15"/>
        <v/>
      </c>
      <c r="E193" s="14" t="str">
        <f t="shared" si="16"/>
        <v/>
      </c>
      <c r="F193" s="14" t="str">
        <f t="shared" si="17"/>
        <v/>
      </c>
      <c r="G193" s="14" t="str">
        <f t="shared" si="18"/>
        <v/>
      </c>
      <c r="H193" s="15" t="str">
        <f t="shared" si="19"/>
        <v/>
      </c>
      <c r="I193" s="13" t="str">
        <f t="shared" si="20"/>
        <v/>
      </c>
    </row>
    <row r="194" spans="1:9" x14ac:dyDescent="0.2">
      <c r="A194" s="7" t="str">
        <f>IF($B194="","",185)</f>
        <v/>
      </c>
      <c r="B194" s="17" t="str">
        <f>IF(185&gt;NBskParty,"",INDEX(PkBskParty,185))</f>
        <v/>
      </c>
      <c r="C194" s="11" t="str">
        <f t="shared" si="14"/>
        <v/>
      </c>
      <c r="D194" s="9" t="str">
        <f t="shared" si="15"/>
        <v/>
      </c>
      <c r="E194" s="9" t="str">
        <f t="shared" si="16"/>
        <v/>
      </c>
      <c r="F194" s="9" t="str">
        <f t="shared" si="17"/>
        <v/>
      </c>
      <c r="G194" s="9" t="str">
        <f t="shared" si="18"/>
        <v/>
      </c>
      <c r="H194" s="10" t="str">
        <f t="shared" si="19"/>
        <v/>
      </c>
      <c r="I194" s="8" t="str">
        <f t="shared" si="20"/>
        <v/>
      </c>
    </row>
    <row r="195" spans="1:9" x14ac:dyDescent="0.2">
      <c r="A195" s="12" t="str">
        <f>IF($B195="","",186)</f>
        <v/>
      </c>
      <c r="B195" s="18" t="str">
        <f>IF(186&gt;NBskParty,"",INDEX(PkBskParty,186))</f>
        <v/>
      </c>
      <c r="C195" s="16" t="str">
        <f t="shared" si="14"/>
        <v/>
      </c>
      <c r="D195" s="14" t="str">
        <f t="shared" si="15"/>
        <v/>
      </c>
      <c r="E195" s="14" t="str">
        <f t="shared" si="16"/>
        <v/>
      </c>
      <c r="F195" s="14" t="str">
        <f t="shared" si="17"/>
        <v/>
      </c>
      <c r="G195" s="14" t="str">
        <f t="shared" si="18"/>
        <v/>
      </c>
      <c r="H195" s="15" t="str">
        <f t="shared" si="19"/>
        <v/>
      </c>
      <c r="I195" s="13" t="str">
        <f t="shared" si="20"/>
        <v/>
      </c>
    </row>
    <row r="196" spans="1:9" x14ac:dyDescent="0.2">
      <c r="A196" s="7" t="str">
        <f>IF($B196="","",187)</f>
        <v/>
      </c>
      <c r="B196" s="17" t="str">
        <f>IF(187&gt;NBskParty,"",INDEX(PkBskParty,187))</f>
        <v/>
      </c>
      <c r="C196" s="11" t="str">
        <f t="shared" si="14"/>
        <v/>
      </c>
      <c r="D196" s="9" t="str">
        <f t="shared" si="15"/>
        <v/>
      </c>
      <c r="E196" s="9" t="str">
        <f t="shared" si="16"/>
        <v/>
      </c>
      <c r="F196" s="9" t="str">
        <f t="shared" si="17"/>
        <v/>
      </c>
      <c r="G196" s="9" t="str">
        <f t="shared" si="18"/>
        <v/>
      </c>
      <c r="H196" s="10" t="str">
        <f t="shared" si="19"/>
        <v/>
      </c>
      <c r="I196" s="8" t="str">
        <f t="shared" si="20"/>
        <v/>
      </c>
    </row>
    <row r="197" spans="1:9" x14ac:dyDescent="0.2">
      <c r="A197" s="12" t="str">
        <f>IF($B197="","",188)</f>
        <v/>
      </c>
      <c r="B197" s="18" t="str">
        <f>IF(188&gt;NBskParty,"",INDEX(PkBskParty,188))</f>
        <v/>
      </c>
      <c r="C197" s="16" t="str">
        <f t="shared" si="14"/>
        <v/>
      </c>
      <c r="D197" s="14" t="str">
        <f t="shared" si="15"/>
        <v/>
      </c>
      <c r="E197" s="14" t="str">
        <f t="shared" si="16"/>
        <v/>
      </c>
      <c r="F197" s="14" t="str">
        <f t="shared" si="17"/>
        <v/>
      </c>
      <c r="G197" s="14" t="str">
        <f t="shared" si="18"/>
        <v/>
      </c>
      <c r="H197" s="15" t="str">
        <f t="shared" si="19"/>
        <v/>
      </c>
      <c r="I197" s="13" t="str">
        <f t="shared" si="20"/>
        <v/>
      </c>
    </row>
    <row r="198" spans="1:9" x14ac:dyDescent="0.2">
      <c r="A198" s="7" t="str">
        <f>IF($B198="","",189)</f>
        <v/>
      </c>
      <c r="B198" s="17" t="str">
        <f>IF(189&gt;NBskParty,"",INDEX(PkBskParty,189))</f>
        <v/>
      </c>
      <c r="C198" s="11" t="str">
        <f t="shared" si="14"/>
        <v/>
      </c>
      <c r="D198" s="9" t="str">
        <f t="shared" si="15"/>
        <v/>
      </c>
      <c r="E198" s="9" t="str">
        <f t="shared" si="16"/>
        <v/>
      </c>
      <c r="F198" s="9" t="str">
        <f t="shared" si="17"/>
        <v/>
      </c>
      <c r="G198" s="9" t="str">
        <f t="shared" si="18"/>
        <v/>
      </c>
      <c r="H198" s="10" t="str">
        <f t="shared" si="19"/>
        <v/>
      </c>
      <c r="I198" s="8" t="str">
        <f t="shared" si="20"/>
        <v/>
      </c>
    </row>
    <row r="199" spans="1:9" x14ac:dyDescent="0.2">
      <c r="A199" s="12" t="str">
        <f>IF($B199="","",190)</f>
        <v/>
      </c>
      <c r="B199" s="18" t="str">
        <f>IF(190&gt;NBskParty,"",INDEX(PkBskParty,190))</f>
        <v/>
      </c>
      <c r="C199" s="16" t="str">
        <f t="shared" si="14"/>
        <v/>
      </c>
      <c r="D199" s="14" t="str">
        <f t="shared" si="15"/>
        <v/>
      </c>
      <c r="E199" s="14" t="str">
        <f t="shared" si="16"/>
        <v/>
      </c>
      <c r="F199" s="14" t="str">
        <f t="shared" si="17"/>
        <v/>
      </c>
      <c r="G199" s="14" t="str">
        <f t="shared" si="18"/>
        <v/>
      </c>
      <c r="H199" s="15" t="str">
        <f t="shared" si="19"/>
        <v/>
      </c>
      <c r="I199" s="13" t="str">
        <f t="shared" si="20"/>
        <v/>
      </c>
    </row>
    <row r="200" spans="1:9" x14ac:dyDescent="0.2">
      <c r="A200" s="7" t="str">
        <f>IF($B200="","",191)</f>
        <v/>
      </c>
      <c r="B200" s="17" t="str">
        <f>IF(191&gt;NBskParty,"",INDEX(PkBskParty,191))</f>
        <v/>
      </c>
      <c r="C200" s="11" t="str">
        <f t="shared" si="14"/>
        <v/>
      </c>
      <c r="D200" s="9" t="str">
        <f t="shared" si="15"/>
        <v/>
      </c>
      <c r="E200" s="9" t="str">
        <f t="shared" si="16"/>
        <v/>
      </c>
      <c r="F200" s="9" t="str">
        <f t="shared" si="17"/>
        <v/>
      </c>
      <c r="G200" s="9" t="str">
        <f t="shared" si="18"/>
        <v/>
      </c>
      <c r="H200" s="10" t="str">
        <f t="shared" si="19"/>
        <v/>
      </c>
      <c r="I200" s="8" t="str">
        <f t="shared" si="20"/>
        <v/>
      </c>
    </row>
    <row r="201" spans="1:9" x14ac:dyDescent="0.2">
      <c r="A201" s="12" t="str">
        <f>IF($B201="","",192)</f>
        <v/>
      </c>
      <c r="B201" s="18" t="str">
        <f>IF(192&gt;NBskParty,"",INDEX(PkBskParty,192))</f>
        <v/>
      </c>
      <c r="C201" s="16" t="str">
        <f t="shared" si="14"/>
        <v/>
      </c>
      <c r="D201" s="14" t="str">
        <f t="shared" si="15"/>
        <v/>
      </c>
      <c r="E201" s="14" t="str">
        <f t="shared" si="16"/>
        <v/>
      </c>
      <c r="F201" s="14" t="str">
        <f t="shared" si="17"/>
        <v/>
      </c>
      <c r="G201" s="14" t="str">
        <f t="shared" si="18"/>
        <v/>
      </c>
      <c r="H201" s="15" t="str">
        <f t="shared" si="19"/>
        <v/>
      </c>
      <c r="I201" s="13" t="str">
        <f t="shared" si="20"/>
        <v/>
      </c>
    </row>
    <row r="202" spans="1:9" x14ac:dyDescent="0.2">
      <c r="A202" s="7" t="str">
        <f>IF($B202="","",193)</f>
        <v/>
      </c>
      <c r="B202" s="17" t="str">
        <f>IF(193&gt;NBskParty,"",INDEX(PkBskParty,193))</f>
        <v/>
      </c>
      <c r="C202" s="11" t="str">
        <f t="shared" ref="C202:C265" si="21">IF($B202="","",IFERROR(IF(VLOOKUP($B202,AcctTbl,4,0)="","(بدون نام)",VLOOKUP($B202,AcctTbl,4,0)),"—"))</f>
        <v/>
      </c>
      <c r="D202" s="9" t="str">
        <f t="shared" ref="D202:D265" si="22">IF($B202="","",SUMIF(CalcPartyA,$B202,CalcQtyA))</f>
        <v/>
      </c>
      <c r="E202" s="9" t="str">
        <f t="shared" ref="E202:E265" si="23">IF($B202="","",SUMIF(CalcPartyA,$B202,CalcAmtA))</f>
        <v/>
      </c>
      <c r="F202" s="9" t="str">
        <f t="shared" ref="F202:F265" si="24">IF($B202="","",SUMIF(CalcPartyB,$B202,CalcWitB))</f>
        <v/>
      </c>
      <c r="G202" s="9" t="str">
        <f t="shared" ref="G202:G265" si="25">IF($B202="","",SUMIF(CalcPartyB,$B202,CalcDepB))</f>
        <v/>
      </c>
      <c r="H202" s="10" t="str">
        <f t="shared" ref="H202:H265" si="26">IF($B202="","",$E202-$F202+$G202)</f>
        <v/>
      </c>
      <c r="I202" s="8" t="str">
        <f t="shared" ref="I202:I265" si="27">IF($B202="","",IF(ROUND($H202,0)&gt;0,"● بستانکار",IF(ROUND($H202,0)&lt;0,"● بدهکار","تسویه")))</f>
        <v/>
      </c>
    </row>
    <row r="203" spans="1:9" x14ac:dyDescent="0.2">
      <c r="A203" s="12" t="str">
        <f>IF($B203="","",194)</f>
        <v/>
      </c>
      <c r="B203" s="18" t="str">
        <f>IF(194&gt;NBskParty,"",INDEX(PkBskParty,194))</f>
        <v/>
      </c>
      <c r="C203" s="16" t="str">
        <f t="shared" si="21"/>
        <v/>
      </c>
      <c r="D203" s="14" t="str">
        <f t="shared" si="22"/>
        <v/>
      </c>
      <c r="E203" s="14" t="str">
        <f t="shared" si="23"/>
        <v/>
      </c>
      <c r="F203" s="14" t="str">
        <f t="shared" si="24"/>
        <v/>
      </c>
      <c r="G203" s="14" t="str">
        <f t="shared" si="25"/>
        <v/>
      </c>
      <c r="H203" s="15" t="str">
        <f t="shared" si="26"/>
        <v/>
      </c>
      <c r="I203" s="13" t="str">
        <f t="shared" si="27"/>
        <v/>
      </c>
    </row>
    <row r="204" spans="1:9" x14ac:dyDescent="0.2">
      <c r="A204" s="7" t="str">
        <f>IF($B204="","",195)</f>
        <v/>
      </c>
      <c r="B204" s="17" t="str">
        <f>IF(195&gt;NBskParty,"",INDEX(PkBskParty,195))</f>
        <v/>
      </c>
      <c r="C204" s="11" t="str">
        <f t="shared" si="21"/>
        <v/>
      </c>
      <c r="D204" s="9" t="str">
        <f t="shared" si="22"/>
        <v/>
      </c>
      <c r="E204" s="9" t="str">
        <f t="shared" si="23"/>
        <v/>
      </c>
      <c r="F204" s="9" t="str">
        <f t="shared" si="24"/>
        <v/>
      </c>
      <c r="G204" s="9" t="str">
        <f t="shared" si="25"/>
        <v/>
      </c>
      <c r="H204" s="10" t="str">
        <f t="shared" si="26"/>
        <v/>
      </c>
      <c r="I204" s="8" t="str">
        <f t="shared" si="27"/>
        <v/>
      </c>
    </row>
    <row r="205" spans="1:9" x14ac:dyDescent="0.2">
      <c r="A205" s="12" t="str">
        <f>IF($B205="","",196)</f>
        <v/>
      </c>
      <c r="B205" s="18" t="str">
        <f>IF(196&gt;NBskParty,"",INDEX(PkBskParty,196))</f>
        <v/>
      </c>
      <c r="C205" s="16" t="str">
        <f t="shared" si="21"/>
        <v/>
      </c>
      <c r="D205" s="14" t="str">
        <f t="shared" si="22"/>
        <v/>
      </c>
      <c r="E205" s="14" t="str">
        <f t="shared" si="23"/>
        <v/>
      </c>
      <c r="F205" s="14" t="str">
        <f t="shared" si="24"/>
        <v/>
      </c>
      <c r="G205" s="14" t="str">
        <f t="shared" si="25"/>
        <v/>
      </c>
      <c r="H205" s="15" t="str">
        <f t="shared" si="26"/>
        <v/>
      </c>
      <c r="I205" s="13" t="str">
        <f t="shared" si="27"/>
        <v/>
      </c>
    </row>
    <row r="206" spans="1:9" x14ac:dyDescent="0.2">
      <c r="A206" s="7" t="str">
        <f>IF($B206="","",197)</f>
        <v/>
      </c>
      <c r="B206" s="17" t="str">
        <f>IF(197&gt;NBskParty,"",INDEX(PkBskParty,197))</f>
        <v/>
      </c>
      <c r="C206" s="11" t="str">
        <f t="shared" si="21"/>
        <v/>
      </c>
      <c r="D206" s="9" t="str">
        <f t="shared" si="22"/>
        <v/>
      </c>
      <c r="E206" s="9" t="str">
        <f t="shared" si="23"/>
        <v/>
      </c>
      <c r="F206" s="9" t="str">
        <f t="shared" si="24"/>
        <v/>
      </c>
      <c r="G206" s="9" t="str">
        <f t="shared" si="25"/>
        <v/>
      </c>
      <c r="H206" s="10" t="str">
        <f t="shared" si="26"/>
        <v/>
      </c>
      <c r="I206" s="8" t="str">
        <f t="shared" si="27"/>
        <v/>
      </c>
    </row>
    <row r="207" spans="1:9" x14ac:dyDescent="0.2">
      <c r="A207" s="12" t="str">
        <f>IF($B207="","",198)</f>
        <v/>
      </c>
      <c r="B207" s="18" t="str">
        <f>IF(198&gt;NBskParty,"",INDEX(PkBskParty,198))</f>
        <v/>
      </c>
      <c r="C207" s="16" t="str">
        <f t="shared" si="21"/>
        <v/>
      </c>
      <c r="D207" s="14" t="str">
        <f t="shared" si="22"/>
        <v/>
      </c>
      <c r="E207" s="14" t="str">
        <f t="shared" si="23"/>
        <v/>
      </c>
      <c r="F207" s="14" t="str">
        <f t="shared" si="24"/>
        <v/>
      </c>
      <c r="G207" s="14" t="str">
        <f t="shared" si="25"/>
        <v/>
      </c>
      <c r="H207" s="15" t="str">
        <f t="shared" si="26"/>
        <v/>
      </c>
      <c r="I207" s="13" t="str">
        <f t="shared" si="27"/>
        <v/>
      </c>
    </row>
    <row r="208" spans="1:9" x14ac:dyDescent="0.2">
      <c r="A208" s="7" t="str">
        <f>IF($B208="","",199)</f>
        <v/>
      </c>
      <c r="B208" s="17" t="str">
        <f>IF(199&gt;NBskParty,"",INDEX(PkBskParty,199))</f>
        <v/>
      </c>
      <c r="C208" s="11" t="str">
        <f t="shared" si="21"/>
        <v/>
      </c>
      <c r="D208" s="9" t="str">
        <f t="shared" si="22"/>
        <v/>
      </c>
      <c r="E208" s="9" t="str">
        <f t="shared" si="23"/>
        <v/>
      </c>
      <c r="F208" s="9" t="str">
        <f t="shared" si="24"/>
        <v/>
      </c>
      <c r="G208" s="9" t="str">
        <f t="shared" si="25"/>
        <v/>
      </c>
      <c r="H208" s="10" t="str">
        <f t="shared" si="26"/>
        <v/>
      </c>
      <c r="I208" s="8" t="str">
        <f t="shared" si="27"/>
        <v/>
      </c>
    </row>
    <row r="209" spans="1:9" x14ac:dyDescent="0.2">
      <c r="A209" s="12" t="str">
        <f>IF($B209="","",200)</f>
        <v/>
      </c>
      <c r="B209" s="18" t="str">
        <f>IF(200&gt;NBskParty,"",INDEX(PkBskParty,200))</f>
        <v/>
      </c>
      <c r="C209" s="16" t="str">
        <f t="shared" si="21"/>
        <v/>
      </c>
      <c r="D209" s="14" t="str">
        <f t="shared" si="22"/>
        <v/>
      </c>
      <c r="E209" s="14" t="str">
        <f t="shared" si="23"/>
        <v/>
      </c>
      <c r="F209" s="14" t="str">
        <f t="shared" si="24"/>
        <v/>
      </c>
      <c r="G209" s="14" t="str">
        <f t="shared" si="25"/>
        <v/>
      </c>
      <c r="H209" s="15" t="str">
        <f t="shared" si="26"/>
        <v/>
      </c>
      <c r="I209" s="13" t="str">
        <f t="shared" si="27"/>
        <v/>
      </c>
    </row>
    <row r="210" spans="1:9" x14ac:dyDescent="0.2">
      <c r="A210" s="7" t="str">
        <f>IF($B210="","",201)</f>
        <v/>
      </c>
      <c r="B210" s="17" t="str">
        <f>IF(201&gt;NBskParty,"",INDEX(PkBskParty,201))</f>
        <v/>
      </c>
      <c r="C210" s="11" t="str">
        <f t="shared" si="21"/>
        <v/>
      </c>
      <c r="D210" s="9" t="str">
        <f t="shared" si="22"/>
        <v/>
      </c>
      <c r="E210" s="9" t="str">
        <f t="shared" si="23"/>
        <v/>
      </c>
      <c r="F210" s="9" t="str">
        <f t="shared" si="24"/>
        <v/>
      </c>
      <c r="G210" s="9" t="str">
        <f t="shared" si="25"/>
        <v/>
      </c>
      <c r="H210" s="10" t="str">
        <f t="shared" si="26"/>
        <v/>
      </c>
      <c r="I210" s="8" t="str">
        <f t="shared" si="27"/>
        <v/>
      </c>
    </row>
    <row r="211" spans="1:9" x14ac:dyDescent="0.2">
      <c r="A211" s="12" t="str">
        <f>IF($B211="","",202)</f>
        <v/>
      </c>
      <c r="B211" s="18" t="str">
        <f>IF(202&gt;NBskParty,"",INDEX(PkBskParty,202))</f>
        <v/>
      </c>
      <c r="C211" s="16" t="str">
        <f t="shared" si="21"/>
        <v/>
      </c>
      <c r="D211" s="14" t="str">
        <f t="shared" si="22"/>
        <v/>
      </c>
      <c r="E211" s="14" t="str">
        <f t="shared" si="23"/>
        <v/>
      </c>
      <c r="F211" s="14" t="str">
        <f t="shared" si="24"/>
        <v/>
      </c>
      <c r="G211" s="14" t="str">
        <f t="shared" si="25"/>
        <v/>
      </c>
      <c r="H211" s="15" t="str">
        <f t="shared" si="26"/>
        <v/>
      </c>
      <c r="I211" s="13" t="str">
        <f t="shared" si="27"/>
        <v/>
      </c>
    </row>
    <row r="212" spans="1:9" x14ac:dyDescent="0.2">
      <c r="A212" s="7" t="str">
        <f>IF($B212="","",203)</f>
        <v/>
      </c>
      <c r="B212" s="17" t="str">
        <f>IF(203&gt;NBskParty,"",INDEX(PkBskParty,203))</f>
        <v/>
      </c>
      <c r="C212" s="11" t="str">
        <f t="shared" si="21"/>
        <v/>
      </c>
      <c r="D212" s="9" t="str">
        <f t="shared" si="22"/>
        <v/>
      </c>
      <c r="E212" s="9" t="str">
        <f t="shared" si="23"/>
        <v/>
      </c>
      <c r="F212" s="9" t="str">
        <f t="shared" si="24"/>
        <v/>
      </c>
      <c r="G212" s="9" t="str">
        <f t="shared" si="25"/>
        <v/>
      </c>
      <c r="H212" s="10" t="str">
        <f t="shared" si="26"/>
        <v/>
      </c>
      <c r="I212" s="8" t="str">
        <f t="shared" si="27"/>
        <v/>
      </c>
    </row>
    <row r="213" spans="1:9" x14ac:dyDescent="0.2">
      <c r="A213" s="12" t="str">
        <f>IF($B213="","",204)</f>
        <v/>
      </c>
      <c r="B213" s="18" t="str">
        <f>IF(204&gt;NBskParty,"",INDEX(PkBskParty,204))</f>
        <v/>
      </c>
      <c r="C213" s="16" t="str">
        <f t="shared" si="21"/>
        <v/>
      </c>
      <c r="D213" s="14" t="str">
        <f t="shared" si="22"/>
        <v/>
      </c>
      <c r="E213" s="14" t="str">
        <f t="shared" si="23"/>
        <v/>
      </c>
      <c r="F213" s="14" t="str">
        <f t="shared" si="24"/>
        <v/>
      </c>
      <c r="G213" s="14" t="str">
        <f t="shared" si="25"/>
        <v/>
      </c>
      <c r="H213" s="15" t="str">
        <f t="shared" si="26"/>
        <v/>
      </c>
      <c r="I213" s="13" t="str">
        <f t="shared" si="27"/>
        <v/>
      </c>
    </row>
    <row r="214" spans="1:9" x14ac:dyDescent="0.2">
      <c r="A214" s="7" t="str">
        <f>IF($B214="","",205)</f>
        <v/>
      </c>
      <c r="B214" s="17" t="str">
        <f>IF(205&gt;NBskParty,"",INDEX(PkBskParty,205))</f>
        <v/>
      </c>
      <c r="C214" s="11" t="str">
        <f t="shared" si="21"/>
        <v/>
      </c>
      <c r="D214" s="9" t="str">
        <f t="shared" si="22"/>
        <v/>
      </c>
      <c r="E214" s="9" t="str">
        <f t="shared" si="23"/>
        <v/>
      </c>
      <c r="F214" s="9" t="str">
        <f t="shared" si="24"/>
        <v/>
      </c>
      <c r="G214" s="9" t="str">
        <f t="shared" si="25"/>
        <v/>
      </c>
      <c r="H214" s="10" t="str">
        <f t="shared" si="26"/>
        <v/>
      </c>
      <c r="I214" s="8" t="str">
        <f t="shared" si="27"/>
        <v/>
      </c>
    </row>
    <row r="215" spans="1:9" x14ac:dyDescent="0.2">
      <c r="A215" s="12" t="str">
        <f>IF($B215="","",206)</f>
        <v/>
      </c>
      <c r="B215" s="18" t="str">
        <f>IF(206&gt;NBskParty,"",INDEX(PkBskParty,206))</f>
        <v/>
      </c>
      <c r="C215" s="16" t="str">
        <f t="shared" si="21"/>
        <v/>
      </c>
      <c r="D215" s="14" t="str">
        <f t="shared" si="22"/>
        <v/>
      </c>
      <c r="E215" s="14" t="str">
        <f t="shared" si="23"/>
        <v/>
      </c>
      <c r="F215" s="14" t="str">
        <f t="shared" si="24"/>
        <v/>
      </c>
      <c r="G215" s="14" t="str">
        <f t="shared" si="25"/>
        <v/>
      </c>
      <c r="H215" s="15" t="str">
        <f t="shared" si="26"/>
        <v/>
      </c>
      <c r="I215" s="13" t="str">
        <f t="shared" si="27"/>
        <v/>
      </c>
    </row>
    <row r="216" spans="1:9" x14ac:dyDescent="0.2">
      <c r="A216" s="7" t="str">
        <f>IF($B216="","",207)</f>
        <v/>
      </c>
      <c r="B216" s="17" t="str">
        <f>IF(207&gt;NBskParty,"",INDEX(PkBskParty,207))</f>
        <v/>
      </c>
      <c r="C216" s="11" t="str">
        <f t="shared" si="21"/>
        <v/>
      </c>
      <c r="D216" s="9" t="str">
        <f t="shared" si="22"/>
        <v/>
      </c>
      <c r="E216" s="9" t="str">
        <f t="shared" si="23"/>
        <v/>
      </c>
      <c r="F216" s="9" t="str">
        <f t="shared" si="24"/>
        <v/>
      </c>
      <c r="G216" s="9" t="str">
        <f t="shared" si="25"/>
        <v/>
      </c>
      <c r="H216" s="10" t="str">
        <f t="shared" si="26"/>
        <v/>
      </c>
      <c r="I216" s="8" t="str">
        <f t="shared" si="27"/>
        <v/>
      </c>
    </row>
    <row r="217" spans="1:9" x14ac:dyDescent="0.2">
      <c r="A217" s="12" t="str">
        <f>IF($B217="","",208)</f>
        <v/>
      </c>
      <c r="B217" s="18" t="str">
        <f>IF(208&gt;NBskParty,"",INDEX(PkBskParty,208))</f>
        <v/>
      </c>
      <c r="C217" s="16" t="str">
        <f t="shared" si="21"/>
        <v/>
      </c>
      <c r="D217" s="14" t="str">
        <f t="shared" si="22"/>
        <v/>
      </c>
      <c r="E217" s="14" t="str">
        <f t="shared" si="23"/>
        <v/>
      </c>
      <c r="F217" s="14" t="str">
        <f t="shared" si="24"/>
        <v/>
      </c>
      <c r="G217" s="14" t="str">
        <f t="shared" si="25"/>
        <v/>
      </c>
      <c r="H217" s="15" t="str">
        <f t="shared" si="26"/>
        <v/>
      </c>
      <c r="I217" s="13" t="str">
        <f t="shared" si="27"/>
        <v/>
      </c>
    </row>
    <row r="218" spans="1:9" x14ac:dyDescent="0.2">
      <c r="A218" s="7" t="str">
        <f>IF($B218="","",209)</f>
        <v/>
      </c>
      <c r="B218" s="17" t="str">
        <f>IF(209&gt;NBskParty,"",INDEX(PkBskParty,209))</f>
        <v/>
      </c>
      <c r="C218" s="11" t="str">
        <f t="shared" si="21"/>
        <v/>
      </c>
      <c r="D218" s="9" t="str">
        <f t="shared" si="22"/>
        <v/>
      </c>
      <c r="E218" s="9" t="str">
        <f t="shared" si="23"/>
        <v/>
      </c>
      <c r="F218" s="9" t="str">
        <f t="shared" si="24"/>
        <v/>
      </c>
      <c r="G218" s="9" t="str">
        <f t="shared" si="25"/>
        <v/>
      </c>
      <c r="H218" s="10" t="str">
        <f t="shared" si="26"/>
        <v/>
      </c>
      <c r="I218" s="8" t="str">
        <f t="shared" si="27"/>
        <v/>
      </c>
    </row>
    <row r="219" spans="1:9" x14ac:dyDescent="0.2">
      <c r="A219" s="12" t="str">
        <f>IF($B219="","",210)</f>
        <v/>
      </c>
      <c r="B219" s="18" t="str">
        <f>IF(210&gt;NBskParty,"",INDEX(PkBskParty,210))</f>
        <v/>
      </c>
      <c r="C219" s="16" t="str">
        <f t="shared" si="21"/>
        <v/>
      </c>
      <c r="D219" s="14" t="str">
        <f t="shared" si="22"/>
        <v/>
      </c>
      <c r="E219" s="14" t="str">
        <f t="shared" si="23"/>
        <v/>
      </c>
      <c r="F219" s="14" t="str">
        <f t="shared" si="24"/>
        <v/>
      </c>
      <c r="G219" s="14" t="str">
        <f t="shared" si="25"/>
        <v/>
      </c>
      <c r="H219" s="15" t="str">
        <f t="shared" si="26"/>
        <v/>
      </c>
      <c r="I219" s="13" t="str">
        <f t="shared" si="27"/>
        <v/>
      </c>
    </row>
    <row r="220" spans="1:9" x14ac:dyDescent="0.2">
      <c r="A220" s="7" t="str">
        <f>IF($B220="","",211)</f>
        <v/>
      </c>
      <c r="B220" s="17" t="str">
        <f>IF(211&gt;NBskParty,"",INDEX(PkBskParty,211))</f>
        <v/>
      </c>
      <c r="C220" s="11" t="str">
        <f t="shared" si="21"/>
        <v/>
      </c>
      <c r="D220" s="9" t="str">
        <f t="shared" si="22"/>
        <v/>
      </c>
      <c r="E220" s="9" t="str">
        <f t="shared" si="23"/>
        <v/>
      </c>
      <c r="F220" s="9" t="str">
        <f t="shared" si="24"/>
        <v/>
      </c>
      <c r="G220" s="9" t="str">
        <f t="shared" si="25"/>
        <v/>
      </c>
      <c r="H220" s="10" t="str">
        <f t="shared" si="26"/>
        <v/>
      </c>
      <c r="I220" s="8" t="str">
        <f t="shared" si="27"/>
        <v/>
      </c>
    </row>
    <row r="221" spans="1:9" x14ac:dyDescent="0.2">
      <c r="A221" s="12" t="str">
        <f>IF($B221="","",212)</f>
        <v/>
      </c>
      <c r="B221" s="18" t="str">
        <f>IF(212&gt;NBskParty,"",INDEX(PkBskParty,212))</f>
        <v/>
      </c>
      <c r="C221" s="16" t="str">
        <f t="shared" si="21"/>
        <v/>
      </c>
      <c r="D221" s="14" t="str">
        <f t="shared" si="22"/>
        <v/>
      </c>
      <c r="E221" s="14" t="str">
        <f t="shared" si="23"/>
        <v/>
      </c>
      <c r="F221" s="14" t="str">
        <f t="shared" si="24"/>
        <v/>
      </c>
      <c r="G221" s="14" t="str">
        <f t="shared" si="25"/>
        <v/>
      </c>
      <c r="H221" s="15" t="str">
        <f t="shared" si="26"/>
        <v/>
      </c>
      <c r="I221" s="13" t="str">
        <f t="shared" si="27"/>
        <v/>
      </c>
    </row>
    <row r="222" spans="1:9" x14ac:dyDescent="0.2">
      <c r="A222" s="7" t="str">
        <f>IF($B222="","",213)</f>
        <v/>
      </c>
      <c r="B222" s="17" t="str">
        <f>IF(213&gt;NBskParty,"",INDEX(PkBskParty,213))</f>
        <v/>
      </c>
      <c r="C222" s="11" t="str">
        <f t="shared" si="21"/>
        <v/>
      </c>
      <c r="D222" s="9" t="str">
        <f t="shared" si="22"/>
        <v/>
      </c>
      <c r="E222" s="9" t="str">
        <f t="shared" si="23"/>
        <v/>
      </c>
      <c r="F222" s="9" t="str">
        <f t="shared" si="24"/>
        <v/>
      </c>
      <c r="G222" s="9" t="str">
        <f t="shared" si="25"/>
        <v/>
      </c>
      <c r="H222" s="10" t="str">
        <f t="shared" si="26"/>
        <v/>
      </c>
      <c r="I222" s="8" t="str">
        <f t="shared" si="27"/>
        <v/>
      </c>
    </row>
    <row r="223" spans="1:9" x14ac:dyDescent="0.2">
      <c r="A223" s="12" t="str">
        <f>IF($B223="","",214)</f>
        <v/>
      </c>
      <c r="B223" s="18" t="str">
        <f>IF(214&gt;NBskParty,"",INDEX(PkBskParty,214))</f>
        <v/>
      </c>
      <c r="C223" s="16" t="str">
        <f t="shared" si="21"/>
        <v/>
      </c>
      <c r="D223" s="14" t="str">
        <f t="shared" si="22"/>
        <v/>
      </c>
      <c r="E223" s="14" t="str">
        <f t="shared" si="23"/>
        <v/>
      </c>
      <c r="F223" s="14" t="str">
        <f t="shared" si="24"/>
        <v/>
      </c>
      <c r="G223" s="14" t="str">
        <f t="shared" si="25"/>
        <v/>
      </c>
      <c r="H223" s="15" t="str">
        <f t="shared" si="26"/>
        <v/>
      </c>
      <c r="I223" s="13" t="str">
        <f t="shared" si="27"/>
        <v/>
      </c>
    </row>
    <row r="224" spans="1:9" x14ac:dyDescent="0.2">
      <c r="A224" s="7" t="str">
        <f>IF($B224="","",215)</f>
        <v/>
      </c>
      <c r="B224" s="17" t="str">
        <f>IF(215&gt;NBskParty,"",INDEX(PkBskParty,215))</f>
        <v/>
      </c>
      <c r="C224" s="11" t="str">
        <f t="shared" si="21"/>
        <v/>
      </c>
      <c r="D224" s="9" t="str">
        <f t="shared" si="22"/>
        <v/>
      </c>
      <c r="E224" s="9" t="str">
        <f t="shared" si="23"/>
        <v/>
      </c>
      <c r="F224" s="9" t="str">
        <f t="shared" si="24"/>
        <v/>
      </c>
      <c r="G224" s="9" t="str">
        <f t="shared" si="25"/>
        <v/>
      </c>
      <c r="H224" s="10" t="str">
        <f t="shared" si="26"/>
        <v/>
      </c>
      <c r="I224" s="8" t="str">
        <f t="shared" si="27"/>
        <v/>
      </c>
    </row>
    <row r="225" spans="1:9" x14ac:dyDescent="0.2">
      <c r="A225" s="12" t="str">
        <f>IF($B225="","",216)</f>
        <v/>
      </c>
      <c r="B225" s="18" t="str">
        <f>IF(216&gt;NBskParty,"",INDEX(PkBskParty,216))</f>
        <v/>
      </c>
      <c r="C225" s="16" t="str">
        <f t="shared" si="21"/>
        <v/>
      </c>
      <c r="D225" s="14" t="str">
        <f t="shared" si="22"/>
        <v/>
      </c>
      <c r="E225" s="14" t="str">
        <f t="shared" si="23"/>
        <v/>
      </c>
      <c r="F225" s="14" t="str">
        <f t="shared" si="24"/>
        <v/>
      </c>
      <c r="G225" s="14" t="str">
        <f t="shared" si="25"/>
        <v/>
      </c>
      <c r="H225" s="15" t="str">
        <f t="shared" si="26"/>
        <v/>
      </c>
      <c r="I225" s="13" t="str">
        <f t="shared" si="27"/>
        <v/>
      </c>
    </row>
    <row r="226" spans="1:9" x14ac:dyDescent="0.2">
      <c r="A226" s="7" t="str">
        <f>IF($B226="","",217)</f>
        <v/>
      </c>
      <c r="B226" s="17" t="str">
        <f>IF(217&gt;NBskParty,"",INDEX(PkBskParty,217))</f>
        <v/>
      </c>
      <c r="C226" s="11" t="str">
        <f t="shared" si="21"/>
        <v/>
      </c>
      <c r="D226" s="9" t="str">
        <f t="shared" si="22"/>
        <v/>
      </c>
      <c r="E226" s="9" t="str">
        <f t="shared" si="23"/>
        <v/>
      </c>
      <c r="F226" s="9" t="str">
        <f t="shared" si="24"/>
        <v/>
      </c>
      <c r="G226" s="9" t="str">
        <f t="shared" si="25"/>
        <v/>
      </c>
      <c r="H226" s="10" t="str">
        <f t="shared" si="26"/>
        <v/>
      </c>
      <c r="I226" s="8" t="str">
        <f t="shared" si="27"/>
        <v/>
      </c>
    </row>
    <row r="227" spans="1:9" x14ac:dyDescent="0.2">
      <c r="A227" s="12" t="str">
        <f>IF($B227="","",218)</f>
        <v/>
      </c>
      <c r="B227" s="18" t="str">
        <f>IF(218&gt;NBskParty,"",INDEX(PkBskParty,218))</f>
        <v/>
      </c>
      <c r="C227" s="16" t="str">
        <f t="shared" si="21"/>
        <v/>
      </c>
      <c r="D227" s="14" t="str">
        <f t="shared" si="22"/>
        <v/>
      </c>
      <c r="E227" s="14" t="str">
        <f t="shared" si="23"/>
        <v/>
      </c>
      <c r="F227" s="14" t="str">
        <f t="shared" si="24"/>
        <v/>
      </c>
      <c r="G227" s="14" t="str">
        <f t="shared" si="25"/>
        <v/>
      </c>
      <c r="H227" s="15" t="str">
        <f t="shared" si="26"/>
        <v/>
      </c>
      <c r="I227" s="13" t="str">
        <f t="shared" si="27"/>
        <v/>
      </c>
    </row>
    <row r="228" spans="1:9" x14ac:dyDescent="0.2">
      <c r="A228" s="7" t="str">
        <f>IF($B228="","",219)</f>
        <v/>
      </c>
      <c r="B228" s="17" t="str">
        <f>IF(219&gt;NBskParty,"",INDEX(PkBskParty,219))</f>
        <v/>
      </c>
      <c r="C228" s="11" t="str">
        <f t="shared" si="21"/>
        <v/>
      </c>
      <c r="D228" s="9" t="str">
        <f t="shared" si="22"/>
        <v/>
      </c>
      <c r="E228" s="9" t="str">
        <f t="shared" si="23"/>
        <v/>
      </c>
      <c r="F228" s="9" t="str">
        <f t="shared" si="24"/>
        <v/>
      </c>
      <c r="G228" s="9" t="str">
        <f t="shared" si="25"/>
        <v/>
      </c>
      <c r="H228" s="10" t="str">
        <f t="shared" si="26"/>
        <v/>
      </c>
      <c r="I228" s="8" t="str">
        <f t="shared" si="27"/>
        <v/>
      </c>
    </row>
    <row r="229" spans="1:9" x14ac:dyDescent="0.2">
      <c r="A229" s="12" t="str">
        <f>IF($B229="","",220)</f>
        <v/>
      </c>
      <c r="B229" s="18" t="str">
        <f>IF(220&gt;NBskParty,"",INDEX(PkBskParty,220))</f>
        <v/>
      </c>
      <c r="C229" s="16" t="str">
        <f t="shared" si="21"/>
        <v/>
      </c>
      <c r="D229" s="14" t="str">
        <f t="shared" si="22"/>
        <v/>
      </c>
      <c r="E229" s="14" t="str">
        <f t="shared" si="23"/>
        <v/>
      </c>
      <c r="F229" s="14" t="str">
        <f t="shared" si="24"/>
        <v/>
      </c>
      <c r="G229" s="14" t="str">
        <f t="shared" si="25"/>
        <v/>
      </c>
      <c r="H229" s="15" t="str">
        <f t="shared" si="26"/>
        <v/>
      </c>
      <c r="I229" s="13" t="str">
        <f t="shared" si="27"/>
        <v/>
      </c>
    </row>
    <row r="230" spans="1:9" x14ac:dyDescent="0.2">
      <c r="A230" s="7" t="str">
        <f>IF($B230="","",221)</f>
        <v/>
      </c>
      <c r="B230" s="17" t="str">
        <f>IF(221&gt;NBskParty,"",INDEX(PkBskParty,221))</f>
        <v/>
      </c>
      <c r="C230" s="11" t="str">
        <f t="shared" si="21"/>
        <v/>
      </c>
      <c r="D230" s="9" t="str">
        <f t="shared" si="22"/>
        <v/>
      </c>
      <c r="E230" s="9" t="str">
        <f t="shared" si="23"/>
        <v/>
      </c>
      <c r="F230" s="9" t="str">
        <f t="shared" si="24"/>
        <v/>
      </c>
      <c r="G230" s="9" t="str">
        <f t="shared" si="25"/>
        <v/>
      </c>
      <c r="H230" s="10" t="str">
        <f t="shared" si="26"/>
        <v/>
      </c>
      <c r="I230" s="8" t="str">
        <f t="shared" si="27"/>
        <v/>
      </c>
    </row>
    <row r="231" spans="1:9" x14ac:dyDescent="0.2">
      <c r="A231" s="12" t="str">
        <f>IF($B231="","",222)</f>
        <v/>
      </c>
      <c r="B231" s="18" t="str">
        <f>IF(222&gt;NBskParty,"",INDEX(PkBskParty,222))</f>
        <v/>
      </c>
      <c r="C231" s="16" t="str">
        <f t="shared" si="21"/>
        <v/>
      </c>
      <c r="D231" s="14" t="str">
        <f t="shared" si="22"/>
        <v/>
      </c>
      <c r="E231" s="14" t="str">
        <f t="shared" si="23"/>
        <v/>
      </c>
      <c r="F231" s="14" t="str">
        <f t="shared" si="24"/>
        <v/>
      </c>
      <c r="G231" s="14" t="str">
        <f t="shared" si="25"/>
        <v/>
      </c>
      <c r="H231" s="15" t="str">
        <f t="shared" si="26"/>
        <v/>
      </c>
      <c r="I231" s="13" t="str">
        <f t="shared" si="27"/>
        <v/>
      </c>
    </row>
    <row r="232" spans="1:9" x14ac:dyDescent="0.2">
      <c r="A232" s="7" t="str">
        <f>IF($B232="","",223)</f>
        <v/>
      </c>
      <c r="B232" s="17" t="str">
        <f>IF(223&gt;NBskParty,"",INDEX(PkBskParty,223))</f>
        <v/>
      </c>
      <c r="C232" s="11" t="str">
        <f t="shared" si="21"/>
        <v/>
      </c>
      <c r="D232" s="9" t="str">
        <f t="shared" si="22"/>
        <v/>
      </c>
      <c r="E232" s="9" t="str">
        <f t="shared" si="23"/>
        <v/>
      </c>
      <c r="F232" s="9" t="str">
        <f t="shared" si="24"/>
        <v/>
      </c>
      <c r="G232" s="9" t="str">
        <f t="shared" si="25"/>
        <v/>
      </c>
      <c r="H232" s="10" t="str">
        <f t="shared" si="26"/>
        <v/>
      </c>
      <c r="I232" s="8" t="str">
        <f t="shared" si="27"/>
        <v/>
      </c>
    </row>
    <row r="233" spans="1:9" x14ac:dyDescent="0.2">
      <c r="A233" s="12" t="str">
        <f>IF($B233="","",224)</f>
        <v/>
      </c>
      <c r="B233" s="18" t="str">
        <f>IF(224&gt;NBskParty,"",INDEX(PkBskParty,224))</f>
        <v/>
      </c>
      <c r="C233" s="16" t="str">
        <f t="shared" si="21"/>
        <v/>
      </c>
      <c r="D233" s="14" t="str">
        <f t="shared" si="22"/>
        <v/>
      </c>
      <c r="E233" s="14" t="str">
        <f t="shared" si="23"/>
        <v/>
      </c>
      <c r="F233" s="14" t="str">
        <f t="shared" si="24"/>
        <v/>
      </c>
      <c r="G233" s="14" t="str">
        <f t="shared" si="25"/>
        <v/>
      </c>
      <c r="H233" s="15" t="str">
        <f t="shared" si="26"/>
        <v/>
      </c>
      <c r="I233" s="13" t="str">
        <f t="shared" si="27"/>
        <v/>
      </c>
    </row>
    <row r="234" spans="1:9" x14ac:dyDescent="0.2">
      <c r="A234" s="7" t="str">
        <f>IF($B234="","",225)</f>
        <v/>
      </c>
      <c r="B234" s="17" t="str">
        <f>IF(225&gt;NBskParty,"",INDEX(PkBskParty,225))</f>
        <v/>
      </c>
      <c r="C234" s="11" t="str">
        <f t="shared" si="21"/>
        <v/>
      </c>
      <c r="D234" s="9" t="str">
        <f t="shared" si="22"/>
        <v/>
      </c>
      <c r="E234" s="9" t="str">
        <f t="shared" si="23"/>
        <v/>
      </c>
      <c r="F234" s="9" t="str">
        <f t="shared" si="24"/>
        <v/>
      </c>
      <c r="G234" s="9" t="str">
        <f t="shared" si="25"/>
        <v/>
      </c>
      <c r="H234" s="10" t="str">
        <f t="shared" si="26"/>
        <v/>
      </c>
      <c r="I234" s="8" t="str">
        <f t="shared" si="27"/>
        <v/>
      </c>
    </row>
    <row r="235" spans="1:9" x14ac:dyDescent="0.2">
      <c r="A235" s="12" t="str">
        <f>IF($B235="","",226)</f>
        <v/>
      </c>
      <c r="B235" s="18" t="str">
        <f>IF(226&gt;NBskParty,"",INDEX(PkBskParty,226))</f>
        <v/>
      </c>
      <c r="C235" s="16" t="str">
        <f t="shared" si="21"/>
        <v/>
      </c>
      <c r="D235" s="14" t="str">
        <f t="shared" si="22"/>
        <v/>
      </c>
      <c r="E235" s="14" t="str">
        <f t="shared" si="23"/>
        <v/>
      </c>
      <c r="F235" s="14" t="str">
        <f t="shared" si="24"/>
        <v/>
      </c>
      <c r="G235" s="14" t="str">
        <f t="shared" si="25"/>
        <v/>
      </c>
      <c r="H235" s="15" t="str">
        <f t="shared" si="26"/>
        <v/>
      </c>
      <c r="I235" s="13" t="str">
        <f t="shared" si="27"/>
        <v/>
      </c>
    </row>
    <row r="236" spans="1:9" x14ac:dyDescent="0.2">
      <c r="A236" s="7" t="str">
        <f>IF($B236="","",227)</f>
        <v/>
      </c>
      <c r="B236" s="17" t="str">
        <f>IF(227&gt;NBskParty,"",INDEX(PkBskParty,227))</f>
        <v/>
      </c>
      <c r="C236" s="11" t="str">
        <f t="shared" si="21"/>
        <v/>
      </c>
      <c r="D236" s="9" t="str">
        <f t="shared" si="22"/>
        <v/>
      </c>
      <c r="E236" s="9" t="str">
        <f t="shared" si="23"/>
        <v/>
      </c>
      <c r="F236" s="9" t="str">
        <f t="shared" si="24"/>
        <v/>
      </c>
      <c r="G236" s="9" t="str">
        <f t="shared" si="25"/>
        <v/>
      </c>
      <c r="H236" s="10" t="str">
        <f t="shared" si="26"/>
        <v/>
      </c>
      <c r="I236" s="8" t="str">
        <f t="shared" si="27"/>
        <v/>
      </c>
    </row>
    <row r="237" spans="1:9" x14ac:dyDescent="0.2">
      <c r="A237" s="12" t="str">
        <f>IF($B237="","",228)</f>
        <v/>
      </c>
      <c r="B237" s="18" t="str">
        <f>IF(228&gt;NBskParty,"",INDEX(PkBskParty,228))</f>
        <v/>
      </c>
      <c r="C237" s="16" t="str">
        <f t="shared" si="21"/>
        <v/>
      </c>
      <c r="D237" s="14" t="str">
        <f t="shared" si="22"/>
        <v/>
      </c>
      <c r="E237" s="14" t="str">
        <f t="shared" si="23"/>
        <v/>
      </c>
      <c r="F237" s="14" t="str">
        <f t="shared" si="24"/>
        <v/>
      </c>
      <c r="G237" s="14" t="str">
        <f t="shared" si="25"/>
        <v/>
      </c>
      <c r="H237" s="15" t="str">
        <f t="shared" si="26"/>
        <v/>
      </c>
      <c r="I237" s="13" t="str">
        <f t="shared" si="27"/>
        <v/>
      </c>
    </row>
    <row r="238" spans="1:9" x14ac:dyDescent="0.2">
      <c r="A238" s="7" t="str">
        <f>IF($B238="","",229)</f>
        <v/>
      </c>
      <c r="B238" s="17" t="str">
        <f>IF(229&gt;NBskParty,"",INDEX(PkBskParty,229))</f>
        <v/>
      </c>
      <c r="C238" s="11" t="str">
        <f t="shared" si="21"/>
        <v/>
      </c>
      <c r="D238" s="9" t="str">
        <f t="shared" si="22"/>
        <v/>
      </c>
      <c r="E238" s="9" t="str">
        <f t="shared" si="23"/>
        <v/>
      </c>
      <c r="F238" s="9" t="str">
        <f t="shared" si="24"/>
        <v/>
      </c>
      <c r="G238" s="9" t="str">
        <f t="shared" si="25"/>
        <v/>
      </c>
      <c r="H238" s="10" t="str">
        <f t="shared" si="26"/>
        <v/>
      </c>
      <c r="I238" s="8" t="str">
        <f t="shared" si="27"/>
        <v/>
      </c>
    </row>
    <row r="239" spans="1:9" x14ac:dyDescent="0.2">
      <c r="A239" s="12" t="str">
        <f>IF($B239="","",230)</f>
        <v/>
      </c>
      <c r="B239" s="18" t="str">
        <f>IF(230&gt;NBskParty,"",INDEX(PkBskParty,230))</f>
        <v/>
      </c>
      <c r="C239" s="16" t="str">
        <f t="shared" si="21"/>
        <v/>
      </c>
      <c r="D239" s="14" t="str">
        <f t="shared" si="22"/>
        <v/>
      </c>
      <c r="E239" s="14" t="str">
        <f t="shared" si="23"/>
        <v/>
      </c>
      <c r="F239" s="14" t="str">
        <f t="shared" si="24"/>
        <v/>
      </c>
      <c r="G239" s="14" t="str">
        <f t="shared" si="25"/>
        <v/>
      </c>
      <c r="H239" s="15" t="str">
        <f t="shared" si="26"/>
        <v/>
      </c>
      <c r="I239" s="13" t="str">
        <f t="shared" si="27"/>
        <v/>
      </c>
    </row>
    <row r="240" spans="1:9" x14ac:dyDescent="0.2">
      <c r="A240" s="7" t="str">
        <f>IF($B240="","",231)</f>
        <v/>
      </c>
      <c r="B240" s="17" t="str">
        <f>IF(231&gt;NBskParty,"",INDEX(PkBskParty,231))</f>
        <v/>
      </c>
      <c r="C240" s="11" t="str">
        <f t="shared" si="21"/>
        <v/>
      </c>
      <c r="D240" s="9" t="str">
        <f t="shared" si="22"/>
        <v/>
      </c>
      <c r="E240" s="9" t="str">
        <f t="shared" si="23"/>
        <v/>
      </c>
      <c r="F240" s="9" t="str">
        <f t="shared" si="24"/>
        <v/>
      </c>
      <c r="G240" s="9" t="str">
        <f t="shared" si="25"/>
        <v/>
      </c>
      <c r="H240" s="10" t="str">
        <f t="shared" si="26"/>
        <v/>
      </c>
      <c r="I240" s="8" t="str">
        <f t="shared" si="27"/>
        <v/>
      </c>
    </row>
    <row r="241" spans="1:9" x14ac:dyDescent="0.2">
      <c r="A241" s="12" t="str">
        <f>IF($B241="","",232)</f>
        <v/>
      </c>
      <c r="B241" s="18" t="str">
        <f>IF(232&gt;NBskParty,"",INDEX(PkBskParty,232))</f>
        <v/>
      </c>
      <c r="C241" s="16" t="str">
        <f t="shared" si="21"/>
        <v/>
      </c>
      <c r="D241" s="14" t="str">
        <f t="shared" si="22"/>
        <v/>
      </c>
      <c r="E241" s="14" t="str">
        <f t="shared" si="23"/>
        <v/>
      </c>
      <c r="F241" s="14" t="str">
        <f t="shared" si="24"/>
        <v/>
      </c>
      <c r="G241" s="14" t="str">
        <f t="shared" si="25"/>
        <v/>
      </c>
      <c r="H241" s="15" t="str">
        <f t="shared" si="26"/>
        <v/>
      </c>
      <c r="I241" s="13" t="str">
        <f t="shared" si="27"/>
        <v/>
      </c>
    </row>
    <row r="242" spans="1:9" x14ac:dyDescent="0.2">
      <c r="A242" s="7" t="str">
        <f>IF($B242="","",233)</f>
        <v/>
      </c>
      <c r="B242" s="17" t="str">
        <f>IF(233&gt;NBskParty,"",INDEX(PkBskParty,233))</f>
        <v/>
      </c>
      <c r="C242" s="11" t="str">
        <f t="shared" si="21"/>
        <v/>
      </c>
      <c r="D242" s="9" t="str">
        <f t="shared" si="22"/>
        <v/>
      </c>
      <c r="E242" s="9" t="str">
        <f t="shared" si="23"/>
        <v/>
      </c>
      <c r="F242" s="9" t="str">
        <f t="shared" si="24"/>
        <v/>
      </c>
      <c r="G242" s="9" t="str">
        <f t="shared" si="25"/>
        <v/>
      </c>
      <c r="H242" s="10" t="str">
        <f t="shared" si="26"/>
        <v/>
      </c>
      <c r="I242" s="8" t="str">
        <f t="shared" si="27"/>
        <v/>
      </c>
    </row>
    <row r="243" spans="1:9" x14ac:dyDescent="0.2">
      <c r="A243" s="12" t="str">
        <f>IF($B243="","",234)</f>
        <v/>
      </c>
      <c r="B243" s="18" t="str">
        <f>IF(234&gt;NBskParty,"",INDEX(PkBskParty,234))</f>
        <v/>
      </c>
      <c r="C243" s="16" t="str">
        <f t="shared" si="21"/>
        <v/>
      </c>
      <c r="D243" s="14" t="str">
        <f t="shared" si="22"/>
        <v/>
      </c>
      <c r="E243" s="14" t="str">
        <f t="shared" si="23"/>
        <v/>
      </c>
      <c r="F243" s="14" t="str">
        <f t="shared" si="24"/>
        <v/>
      </c>
      <c r="G243" s="14" t="str">
        <f t="shared" si="25"/>
        <v/>
      </c>
      <c r="H243" s="15" t="str">
        <f t="shared" si="26"/>
        <v/>
      </c>
      <c r="I243" s="13" t="str">
        <f t="shared" si="27"/>
        <v/>
      </c>
    </row>
    <row r="244" spans="1:9" x14ac:dyDescent="0.2">
      <c r="A244" s="7" t="str">
        <f>IF($B244="","",235)</f>
        <v/>
      </c>
      <c r="B244" s="17" t="str">
        <f>IF(235&gt;NBskParty,"",INDEX(PkBskParty,235))</f>
        <v/>
      </c>
      <c r="C244" s="11" t="str">
        <f t="shared" si="21"/>
        <v/>
      </c>
      <c r="D244" s="9" t="str">
        <f t="shared" si="22"/>
        <v/>
      </c>
      <c r="E244" s="9" t="str">
        <f t="shared" si="23"/>
        <v/>
      </c>
      <c r="F244" s="9" t="str">
        <f t="shared" si="24"/>
        <v/>
      </c>
      <c r="G244" s="9" t="str">
        <f t="shared" si="25"/>
        <v/>
      </c>
      <c r="H244" s="10" t="str">
        <f t="shared" si="26"/>
        <v/>
      </c>
      <c r="I244" s="8" t="str">
        <f t="shared" si="27"/>
        <v/>
      </c>
    </row>
    <row r="245" spans="1:9" x14ac:dyDescent="0.2">
      <c r="A245" s="12" t="str">
        <f>IF($B245="","",236)</f>
        <v/>
      </c>
      <c r="B245" s="18" t="str">
        <f>IF(236&gt;NBskParty,"",INDEX(PkBskParty,236))</f>
        <v/>
      </c>
      <c r="C245" s="16" t="str">
        <f t="shared" si="21"/>
        <v/>
      </c>
      <c r="D245" s="14" t="str">
        <f t="shared" si="22"/>
        <v/>
      </c>
      <c r="E245" s="14" t="str">
        <f t="shared" si="23"/>
        <v/>
      </c>
      <c r="F245" s="14" t="str">
        <f t="shared" si="24"/>
        <v/>
      </c>
      <c r="G245" s="14" t="str">
        <f t="shared" si="25"/>
        <v/>
      </c>
      <c r="H245" s="15" t="str">
        <f t="shared" si="26"/>
        <v/>
      </c>
      <c r="I245" s="13" t="str">
        <f t="shared" si="27"/>
        <v/>
      </c>
    </row>
    <row r="246" spans="1:9" x14ac:dyDescent="0.2">
      <c r="A246" s="7" t="str">
        <f>IF($B246="","",237)</f>
        <v/>
      </c>
      <c r="B246" s="17" t="str">
        <f>IF(237&gt;NBskParty,"",INDEX(PkBskParty,237))</f>
        <v/>
      </c>
      <c r="C246" s="11" t="str">
        <f t="shared" si="21"/>
        <v/>
      </c>
      <c r="D246" s="9" t="str">
        <f t="shared" si="22"/>
        <v/>
      </c>
      <c r="E246" s="9" t="str">
        <f t="shared" si="23"/>
        <v/>
      </c>
      <c r="F246" s="9" t="str">
        <f t="shared" si="24"/>
        <v/>
      </c>
      <c r="G246" s="9" t="str">
        <f t="shared" si="25"/>
        <v/>
      </c>
      <c r="H246" s="10" t="str">
        <f t="shared" si="26"/>
        <v/>
      </c>
      <c r="I246" s="8" t="str">
        <f t="shared" si="27"/>
        <v/>
      </c>
    </row>
    <row r="247" spans="1:9" x14ac:dyDescent="0.2">
      <c r="A247" s="12" t="str">
        <f>IF($B247="","",238)</f>
        <v/>
      </c>
      <c r="B247" s="18" t="str">
        <f>IF(238&gt;NBskParty,"",INDEX(PkBskParty,238))</f>
        <v/>
      </c>
      <c r="C247" s="16" t="str">
        <f t="shared" si="21"/>
        <v/>
      </c>
      <c r="D247" s="14" t="str">
        <f t="shared" si="22"/>
        <v/>
      </c>
      <c r="E247" s="14" t="str">
        <f t="shared" si="23"/>
        <v/>
      </c>
      <c r="F247" s="14" t="str">
        <f t="shared" si="24"/>
        <v/>
      </c>
      <c r="G247" s="14" t="str">
        <f t="shared" si="25"/>
        <v/>
      </c>
      <c r="H247" s="15" t="str">
        <f t="shared" si="26"/>
        <v/>
      </c>
      <c r="I247" s="13" t="str">
        <f t="shared" si="27"/>
        <v/>
      </c>
    </row>
    <row r="248" spans="1:9" x14ac:dyDescent="0.2">
      <c r="A248" s="7" t="str">
        <f>IF($B248="","",239)</f>
        <v/>
      </c>
      <c r="B248" s="17" t="str">
        <f>IF(239&gt;NBskParty,"",INDEX(PkBskParty,239))</f>
        <v/>
      </c>
      <c r="C248" s="11" t="str">
        <f t="shared" si="21"/>
        <v/>
      </c>
      <c r="D248" s="9" t="str">
        <f t="shared" si="22"/>
        <v/>
      </c>
      <c r="E248" s="9" t="str">
        <f t="shared" si="23"/>
        <v/>
      </c>
      <c r="F248" s="9" t="str">
        <f t="shared" si="24"/>
        <v/>
      </c>
      <c r="G248" s="9" t="str">
        <f t="shared" si="25"/>
        <v/>
      </c>
      <c r="H248" s="10" t="str">
        <f t="shared" si="26"/>
        <v/>
      </c>
      <c r="I248" s="8" t="str">
        <f t="shared" si="27"/>
        <v/>
      </c>
    </row>
    <row r="249" spans="1:9" x14ac:dyDescent="0.2">
      <c r="A249" s="12" t="str">
        <f>IF($B249="","",240)</f>
        <v/>
      </c>
      <c r="B249" s="18" t="str">
        <f>IF(240&gt;NBskParty,"",INDEX(PkBskParty,240))</f>
        <v/>
      </c>
      <c r="C249" s="16" t="str">
        <f t="shared" si="21"/>
        <v/>
      </c>
      <c r="D249" s="14" t="str">
        <f t="shared" si="22"/>
        <v/>
      </c>
      <c r="E249" s="14" t="str">
        <f t="shared" si="23"/>
        <v/>
      </c>
      <c r="F249" s="14" t="str">
        <f t="shared" si="24"/>
        <v/>
      </c>
      <c r="G249" s="14" t="str">
        <f t="shared" si="25"/>
        <v/>
      </c>
      <c r="H249" s="15" t="str">
        <f t="shared" si="26"/>
        <v/>
      </c>
      <c r="I249" s="13" t="str">
        <f t="shared" si="27"/>
        <v/>
      </c>
    </row>
    <row r="250" spans="1:9" x14ac:dyDescent="0.2">
      <c r="A250" s="7" t="str">
        <f>IF($B250="","",241)</f>
        <v/>
      </c>
      <c r="B250" s="17" t="str">
        <f>IF(241&gt;NBskParty,"",INDEX(PkBskParty,241))</f>
        <v/>
      </c>
      <c r="C250" s="11" t="str">
        <f t="shared" si="21"/>
        <v/>
      </c>
      <c r="D250" s="9" t="str">
        <f t="shared" si="22"/>
        <v/>
      </c>
      <c r="E250" s="9" t="str">
        <f t="shared" si="23"/>
        <v/>
      </c>
      <c r="F250" s="9" t="str">
        <f t="shared" si="24"/>
        <v/>
      </c>
      <c r="G250" s="9" t="str">
        <f t="shared" si="25"/>
        <v/>
      </c>
      <c r="H250" s="10" t="str">
        <f t="shared" si="26"/>
        <v/>
      </c>
      <c r="I250" s="8" t="str">
        <f t="shared" si="27"/>
        <v/>
      </c>
    </row>
    <row r="251" spans="1:9" x14ac:dyDescent="0.2">
      <c r="A251" s="12" t="str">
        <f>IF($B251="","",242)</f>
        <v/>
      </c>
      <c r="B251" s="18" t="str">
        <f>IF(242&gt;NBskParty,"",INDEX(PkBskParty,242))</f>
        <v/>
      </c>
      <c r="C251" s="16" t="str">
        <f t="shared" si="21"/>
        <v/>
      </c>
      <c r="D251" s="14" t="str">
        <f t="shared" si="22"/>
        <v/>
      </c>
      <c r="E251" s="14" t="str">
        <f t="shared" si="23"/>
        <v/>
      </c>
      <c r="F251" s="14" t="str">
        <f t="shared" si="24"/>
        <v/>
      </c>
      <c r="G251" s="14" t="str">
        <f t="shared" si="25"/>
        <v/>
      </c>
      <c r="H251" s="15" t="str">
        <f t="shared" si="26"/>
        <v/>
      </c>
      <c r="I251" s="13" t="str">
        <f t="shared" si="27"/>
        <v/>
      </c>
    </row>
    <row r="252" spans="1:9" x14ac:dyDescent="0.2">
      <c r="A252" s="7" t="str">
        <f>IF($B252="","",243)</f>
        <v/>
      </c>
      <c r="B252" s="17" t="str">
        <f>IF(243&gt;NBskParty,"",INDEX(PkBskParty,243))</f>
        <v/>
      </c>
      <c r="C252" s="11" t="str">
        <f t="shared" si="21"/>
        <v/>
      </c>
      <c r="D252" s="9" t="str">
        <f t="shared" si="22"/>
        <v/>
      </c>
      <c r="E252" s="9" t="str">
        <f t="shared" si="23"/>
        <v/>
      </c>
      <c r="F252" s="9" t="str">
        <f t="shared" si="24"/>
        <v/>
      </c>
      <c r="G252" s="9" t="str">
        <f t="shared" si="25"/>
        <v/>
      </c>
      <c r="H252" s="10" t="str">
        <f t="shared" si="26"/>
        <v/>
      </c>
      <c r="I252" s="8" t="str">
        <f t="shared" si="27"/>
        <v/>
      </c>
    </row>
    <row r="253" spans="1:9" x14ac:dyDescent="0.2">
      <c r="A253" s="12" t="str">
        <f>IF($B253="","",244)</f>
        <v/>
      </c>
      <c r="B253" s="18" t="str">
        <f>IF(244&gt;NBskParty,"",INDEX(PkBskParty,244))</f>
        <v/>
      </c>
      <c r="C253" s="16" t="str">
        <f t="shared" si="21"/>
        <v/>
      </c>
      <c r="D253" s="14" t="str">
        <f t="shared" si="22"/>
        <v/>
      </c>
      <c r="E253" s="14" t="str">
        <f t="shared" si="23"/>
        <v/>
      </c>
      <c r="F253" s="14" t="str">
        <f t="shared" si="24"/>
        <v/>
      </c>
      <c r="G253" s="14" t="str">
        <f t="shared" si="25"/>
        <v/>
      </c>
      <c r="H253" s="15" t="str">
        <f t="shared" si="26"/>
        <v/>
      </c>
      <c r="I253" s="13" t="str">
        <f t="shared" si="27"/>
        <v/>
      </c>
    </row>
    <row r="254" spans="1:9" x14ac:dyDescent="0.2">
      <c r="A254" s="7" t="str">
        <f>IF($B254="","",245)</f>
        <v/>
      </c>
      <c r="B254" s="17" t="str">
        <f>IF(245&gt;NBskParty,"",INDEX(PkBskParty,245))</f>
        <v/>
      </c>
      <c r="C254" s="11" t="str">
        <f t="shared" si="21"/>
        <v/>
      </c>
      <c r="D254" s="9" t="str">
        <f t="shared" si="22"/>
        <v/>
      </c>
      <c r="E254" s="9" t="str">
        <f t="shared" si="23"/>
        <v/>
      </c>
      <c r="F254" s="9" t="str">
        <f t="shared" si="24"/>
        <v/>
      </c>
      <c r="G254" s="9" t="str">
        <f t="shared" si="25"/>
        <v/>
      </c>
      <c r="H254" s="10" t="str">
        <f t="shared" si="26"/>
        <v/>
      </c>
      <c r="I254" s="8" t="str">
        <f t="shared" si="27"/>
        <v/>
      </c>
    </row>
    <row r="255" spans="1:9" x14ac:dyDescent="0.2">
      <c r="A255" s="12" t="str">
        <f>IF($B255="","",246)</f>
        <v/>
      </c>
      <c r="B255" s="18" t="str">
        <f>IF(246&gt;NBskParty,"",INDEX(PkBskParty,246))</f>
        <v/>
      </c>
      <c r="C255" s="16" t="str">
        <f t="shared" si="21"/>
        <v/>
      </c>
      <c r="D255" s="14" t="str">
        <f t="shared" si="22"/>
        <v/>
      </c>
      <c r="E255" s="14" t="str">
        <f t="shared" si="23"/>
        <v/>
      </c>
      <c r="F255" s="14" t="str">
        <f t="shared" si="24"/>
        <v/>
      </c>
      <c r="G255" s="14" t="str">
        <f t="shared" si="25"/>
        <v/>
      </c>
      <c r="H255" s="15" t="str">
        <f t="shared" si="26"/>
        <v/>
      </c>
      <c r="I255" s="13" t="str">
        <f t="shared" si="27"/>
        <v/>
      </c>
    </row>
    <row r="256" spans="1:9" x14ac:dyDescent="0.2">
      <c r="A256" s="7" t="str">
        <f>IF($B256="","",247)</f>
        <v/>
      </c>
      <c r="B256" s="17" t="str">
        <f>IF(247&gt;NBskParty,"",INDEX(PkBskParty,247))</f>
        <v/>
      </c>
      <c r="C256" s="11" t="str">
        <f t="shared" si="21"/>
        <v/>
      </c>
      <c r="D256" s="9" t="str">
        <f t="shared" si="22"/>
        <v/>
      </c>
      <c r="E256" s="9" t="str">
        <f t="shared" si="23"/>
        <v/>
      </c>
      <c r="F256" s="9" t="str">
        <f t="shared" si="24"/>
        <v/>
      </c>
      <c r="G256" s="9" t="str">
        <f t="shared" si="25"/>
        <v/>
      </c>
      <c r="H256" s="10" t="str">
        <f t="shared" si="26"/>
        <v/>
      </c>
      <c r="I256" s="8" t="str">
        <f t="shared" si="27"/>
        <v/>
      </c>
    </row>
    <row r="257" spans="1:9" x14ac:dyDescent="0.2">
      <c r="A257" s="12" t="str">
        <f>IF($B257="","",248)</f>
        <v/>
      </c>
      <c r="B257" s="18" t="str">
        <f>IF(248&gt;NBskParty,"",INDEX(PkBskParty,248))</f>
        <v/>
      </c>
      <c r="C257" s="16" t="str">
        <f t="shared" si="21"/>
        <v/>
      </c>
      <c r="D257" s="14" t="str">
        <f t="shared" si="22"/>
        <v/>
      </c>
      <c r="E257" s="14" t="str">
        <f t="shared" si="23"/>
        <v/>
      </c>
      <c r="F257" s="14" t="str">
        <f t="shared" si="24"/>
        <v/>
      </c>
      <c r="G257" s="14" t="str">
        <f t="shared" si="25"/>
        <v/>
      </c>
      <c r="H257" s="15" t="str">
        <f t="shared" si="26"/>
        <v/>
      </c>
      <c r="I257" s="13" t="str">
        <f t="shared" si="27"/>
        <v/>
      </c>
    </row>
    <row r="258" spans="1:9" x14ac:dyDescent="0.2">
      <c r="A258" s="7" t="str">
        <f>IF($B258="","",249)</f>
        <v/>
      </c>
      <c r="B258" s="17" t="str">
        <f>IF(249&gt;NBskParty,"",INDEX(PkBskParty,249))</f>
        <v/>
      </c>
      <c r="C258" s="11" t="str">
        <f t="shared" si="21"/>
        <v/>
      </c>
      <c r="D258" s="9" t="str">
        <f t="shared" si="22"/>
        <v/>
      </c>
      <c r="E258" s="9" t="str">
        <f t="shared" si="23"/>
        <v/>
      </c>
      <c r="F258" s="9" t="str">
        <f t="shared" si="24"/>
        <v/>
      </c>
      <c r="G258" s="9" t="str">
        <f t="shared" si="25"/>
        <v/>
      </c>
      <c r="H258" s="10" t="str">
        <f t="shared" si="26"/>
        <v/>
      </c>
      <c r="I258" s="8" t="str">
        <f t="shared" si="27"/>
        <v/>
      </c>
    </row>
    <row r="259" spans="1:9" x14ac:dyDescent="0.2">
      <c r="A259" s="12" t="str">
        <f>IF($B259="","",250)</f>
        <v/>
      </c>
      <c r="B259" s="18" t="str">
        <f>IF(250&gt;NBskParty,"",INDEX(PkBskParty,250))</f>
        <v/>
      </c>
      <c r="C259" s="16" t="str">
        <f t="shared" si="21"/>
        <v/>
      </c>
      <c r="D259" s="14" t="str">
        <f t="shared" si="22"/>
        <v/>
      </c>
      <c r="E259" s="14" t="str">
        <f t="shared" si="23"/>
        <v/>
      </c>
      <c r="F259" s="14" t="str">
        <f t="shared" si="24"/>
        <v/>
      </c>
      <c r="G259" s="14" t="str">
        <f t="shared" si="25"/>
        <v/>
      </c>
      <c r="H259" s="15" t="str">
        <f t="shared" si="26"/>
        <v/>
      </c>
      <c r="I259" s="13" t="str">
        <f t="shared" si="27"/>
        <v/>
      </c>
    </row>
    <row r="260" spans="1:9" x14ac:dyDescent="0.2">
      <c r="A260" s="7" t="str">
        <f>IF($B260="","",251)</f>
        <v/>
      </c>
      <c r="B260" s="17" t="str">
        <f>IF(251&gt;NBskParty,"",INDEX(PkBskParty,251))</f>
        <v/>
      </c>
      <c r="C260" s="11" t="str">
        <f t="shared" si="21"/>
        <v/>
      </c>
      <c r="D260" s="9" t="str">
        <f t="shared" si="22"/>
        <v/>
      </c>
      <c r="E260" s="9" t="str">
        <f t="shared" si="23"/>
        <v/>
      </c>
      <c r="F260" s="9" t="str">
        <f t="shared" si="24"/>
        <v/>
      </c>
      <c r="G260" s="9" t="str">
        <f t="shared" si="25"/>
        <v/>
      </c>
      <c r="H260" s="10" t="str">
        <f t="shared" si="26"/>
        <v/>
      </c>
      <c r="I260" s="8" t="str">
        <f t="shared" si="27"/>
        <v/>
      </c>
    </row>
    <row r="261" spans="1:9" x14ac:dyDescent="0.2">
      <c r="A261" s="12" t="str">
        <f>IF($B261="","",252)</f>
        <v/>
      </c>
      <c r="B261" s="18" t="str">
        <f>IF(252&gt;NBskParty,"",INDEX(PkBskParty,252))</f>
        <v/>
      </c>
      <c r="C261" s="16" t="str">
        <f t="shared" si="21"/>
        <v/>
      </c>
      <c r="D261" s="14" t="str">
        <f t="shared" si="22"/>
        <v/>
      </c>
      <c r="E261" s="14" t="str">
        <f t="shared" si="23"/>
        <v/>
      </c>
      <c r="F261" s="14" t="str">
        <f t="shared" si="24"/>
        <v/>
      </c>
      <c r="G261" s="14" t="str">
        <f t="shared" si="25"/>
        <v/>
      </c>
      <c r="H261" s="15" t="str">
        <f t="shared" si="26"/>
        <v/>
      </c>
      <c r="I261" s="13" t="str">
        <f t="shared" si="27"/>
        <v/>
      </c>
    </row>
    <row r="262" spans="1:9" x14ac:dyDescent="0.2">
      <c r="A262" s="7" t="str">
        <f>IF($B262="","",253)</f>
        <v/>
      </c>
      <c r="B262" s="17" t="str">
        <f>IF(253&gt;NBskParty,"",INDEX(PkBskParty,253))</f>
        <v/>
      </c>
      <c r="C262" s="11" t="str">
        <f t="shared" si="21"/>
        <v/>
      </c>
      <c r="D262" s="9" t="str">
        <f t="shared" si="22"/>
        <v/>
      </c>
      <c r="E262" s="9" t="str">
        <f t="shared" si="23"/>
        <v/>
      </c>
      <c r="F262" s="9" t="str">
        <f t="shared" si="24"/>
        <v/>
      </c>
      <c r="G262" s="9" t="str">
        <f t="shared" si="25"/>
        <v/>
      </c>
      <c r="H262" s="10" t="str">
        <f t="shared" si="26"/>
        <v/>
      </c>
      <c r="I262" s="8" t="str">
        <f t="shared" si="27"/>
        <v/>
      </c>
    </row>
    <row r="263" spans="1:9" x14ac:dyDescent="0.2">
      <c r="A263" s="12" t="str">
        <f>IF($B263="","",254)</f>
        <v/>
      </c>
      <c r="B263" s="18" t="str">
        <f>IF(254&gt;NBskParty,"",INDEX(PkBskParty,254))</f>
        <v/>
      </c>
      <c r="C263" s="16" t="str">
        <f t="shared" si="21"/>
        <v/>
      </c>
      <c r="D263" s="14" t="str">
        <f t="shared" si="22"/>
        <v/>
      </c>
      <c r="E263" s="14" t="str">
        <f t="shared" si="23"/>
        <v/>
      </c>
      <c r="F263" s="14" t="str">
        <f t="shared" si="24"/>
        <v/>
      </c>
      <c r="G263" s="14" t="str">
        <f t="shared" si="25"/>
        <v/>
      </c>
      <c r="H263" s="15" t="str">
        <f t="shared" si="26"/>
        <v/>
      </c>
      <c r="I263" s="13" t="str">
        <f t="shared" si="27"/>
        <v/>
      </c>
    </row>
    <row r="264" spans="1:9" x14ac:dyDescent="0.2">
      <c r="A264" s="7" t="str">
        <f>IF($B264="","",255)</f>
        <v/>
      </c>
      <c r="B264" s="17" t="str">
        <f>IF(255&gt;NBskParty,"",INDEX(PkBskParty,255))</f>
        <v/>
      </c>
      <c r="C264" s="11" t="str">
        <f t="shared" si="21"/>
        <v/>
      </c>
      <c r="D264" s="9" t="str">
        <f t="shared" si="22"/>
        <v/>
      </c>
      <c r="E264" s="9" t="str">
        <f t="shared" si="23"/>
        <v/>
      </c>
      <c r="F264" s="9" t="str">
        <f t="shared" si="24"/>
        <v/>
      </c>
      <c r="G264" s="9" t="str">
        <f t="shared" si="25"/>
        <v/>
      </c>
      <c r="H264" s="10" t="str">
        <f t="shared" si="26"/>
        <v/>
      </c>
      <c r="I264" s="8" t="str">
        <f t="shared" si="27"/>
        <v/>
      </c>
    </row>
    <row r="265" spans="1:9" x14ac:dyDescent="0.2">
      <c r="A265" s="12" t="str">
        <f>IF($B265="","",256)</f>
        <v/>
      </c>
      <c r="B265" s="18" t="str">
        <f>IF(256&gt;NBskParty,"",INDEX(PkBskParty,256))</f>
        <v/>
      </c>
      <c r="C265" s="16" t="str">
        <f t="shared" si="21"/>
        <v/>
      </c>
      <c r="D265" s="14" t="str">
        <f t="shared" si="22"/>
        <v/>
      </c>
      <c r="E265" s="14" t="str">
        <f t="shared" si="23"/>
        <v/>
      </c>
      <c r="F265" s="14" t="str">
        <f t="shared" si="24"/>
        <v/>
      </c>
      <c r="G265" s="14" t="str">
        <f t="shared" si="25"/>
        <v/>
      </c>
      <c r="H265" s="15" t="str">
        <f t="shared" si="26"/>
        <v/>
      </c>
      <c r="I265" s="13" t="str">
        <f t="shared" si="27"/>
        <v/>
      </c>
    </row>
    <row r="266" spans="1:9" x14ac:dyDescent="0.2">
      <c r="A266" s="7" t="str">
        <f>IF($B266="","",257)</f>
        <v/>
      </c>
      <c r="B266" s="17" t="str">
        <f>IF(257&gt;NBskParty,"",INDEX(PkBskParty,257))</f>
        <v/>
      </c>
      <c r="C266" s="11" t="str">
        <f t="shared" ref="C266:C329" si="28">IF($B266="","",IFERROR(IF(VLOOKUP($B266,AcctTbl,4,0)="","(بدون نام)",VLOOKUP($B266,AcctTbl,4,0)),"—"))</f>
        <v/>
      </c>
      <c r="D266" s="9" t="str">
        <f t="shared" ref="D266:D329" si="29">IF($B266="","",SUMIF(CalcPartyA,$B266,CalcQtyA))</f>
        <v/>
      </c>
      <c r="E266" s="9" t="str">
        <f t="shared" ref="E266:E329" si="30">IF($B266="","",SUMIF(CalcPartyA,$B266,CalcAmtA))</f>
        <v/>
      </c>
      <c r="F266" s="9" t="str">
        <f t="shared" ref="F266:F329" si="31">IF($B266="","",SUMIF(CalcPartyB,$B266,CalcWitB))</f>
        <v/>
      </c>
      <c r="G266" s="9" t="str">
        <f t="shared" ref="G266:G329" si="32">IF($B266="","",SUMIF(CalcPartyB,$B266,CalcDepB))</f>
        <v/>
      </c>
      <c r="H266" s="10" t="str">
        <f t="shared" ref="H266:H329" si="33">IF($B266="","",$E266-$F266+$G266)</f>
        <v/>
      </c>
      <c r="I266" s="8" t="str">
        <f t="shared" ref="I266:I329" si="34">IF($B266="","",IF(ROUND($H266,0)&gt;0,"● بستانکار",IF(ROUND($H266,0)&lt;0,"● بدهکار","تسویه")))</f>
        <v/>
      </c>
    </row>
    <row r="267" spans="1:9" x14ac:dyDescent="0.2">
      <c r="A267" s="12" t="str">
        <f>IF($B267="","",258)</f>
        <v/>
      </c>
      <c r="B267" s="18" t="str">
        <f>IF(258&gt;NBskParty,"",INDEX(PkBskParty,258))</f>
        <v/>
      </c>
      <c r="C267" s="16" t="str">
        <f t="shared" si="28"/>
        <v/>
      </c>
      <c r="D267" s="14" t="str">
        <f t="shared" si="29"/>
        <v/>
      </c>
      <c r="E267" s="14" t="str">
        <f t="shared" si="30"/>
        <v/>
      </c>
      <c r="F267" s="14" t="str">
        <f t="shared" si="31"/>
        <v/>
      </c>
      <c r="G267" s="14" t="str">
        <f t="shared" si="32"/>
        <v/>
      </c>
      <c r="H267" s="15" t="str">
        <f t="shared" si="33"/>
        <v/>
      </c>
      <c r="I267" s="13" t="str">
        <f t="shared" si="34"/>
        <v/>
      </c>
    </row>
    <row r="268" spans="1:9" x14ac:dyDescent="0.2">
      <c r="A268" s="7" t="str">
        <f>IF($B268="","",259)</f>
        <v/>
      </c>
      <c r="B268" s="17" t="str">
        <f>IF(259&gt;NBskParty,"",INDEX(PkBskParty,259))</f>
        <v/>
      </c>
      <c r="C268" s="11" t="str">
        <f t="shared" si="28"/>
        <v/>
      </c>
      <c r="D268" s="9" t="str">
        <f t="shared" si="29"/>
        <v/>
      </c>
      <c r="E268" s="9" t="str">
        <f t="shared" si="30"/>
        <v/>
      </c>
      <c r="F268" s="9" t="str">
        <f t="shared" si="31"/>
        <v/>
      </c>
      <c r="G268" s="9" t="str">
        <f t="shared" si="32"/>
        <v/>
      </c>
      <c r="H268" s="10" t="str">
        <f t="shared" si="33"/>
        <v/>
      </c>
      <c r="I268" s="8" t="str">
        <f t="shared" si="34"/>
        <v/>
      </c>
    </row>
    <row r="269" spans="1:9" x14ac:dyDescent="0.2">
      <c r="A269" s="12" t="str">
        <f>IF($B269="","",260)</f>
        <v/>
      </c>
      <c r="B269" s="18" t="str">
        <f>IF(260&gt;NBskParty,"",INDEX(PkBskParty,260))</f>
        <v/>
      </c>
      <c r="C269" s="16" t="str">
        <f t="shared" si="28"/>
        <v/>
      </c>
      <c r="D269" s="14" t="str">
        <f t="shared" si="29"/>
        <v/>
      </c>
      <c r="E269" s="14" t="str">
        <f t="shared" si="30"/>
        <v/>
      </c>
      <c r="F269" s="14" t="str">
        <f t="shared" si="31"/>
        <v/>
      </c>
      <c r="G269" s="14" t="str">
        <f t="shared" si="32"/>
        <v/>
      </c>
      <c r="H269" s="15" t="str">
        <f t="shared" si="33"/>
        <v/>
      </c>
      <c r="I269" s="13" t="str">
        <f t="shared" si="34"/>
        <v/>
      </c>
    </row>
    <row r="270" spans="1:9" x14ac:dyDescent="0.2">
      <c r="A270" s="7" t="str">
        <f>IF($B270="","",261)</f>
        <v/>
      </c>
      <c r="B270" s="17" t="str">
        <f>IF(261&gt;NBskParty,"",INDEX(PkBskParty,261))</f>
        <v/>
      </c>
      <c r="C270" s="11" t="str">
        <f t="shared" si="28"/>
        <v/>
      </c>
      <c r="D270" s="9" t="str">
        <f t="shared" si="29"/>
        <v/>
      </c>
      <c r="E270" s="9" t="str">
        <f t="shared" si="30"/>
        <v/>
      </c>
      <c r="F270" s="9" t="str">
        <f t="shared" si="31"/>
        <v/>
      </c>
      <c r="G270" s="9" t="str">
        <f t="shared" si="32"/>
        <v/>
      </c>
      <c r="H270" s="10" t="str">
        <f t="shared" si="33"/>
        <v/>
      </c>
      <c r="I270" s="8" t="str">
        <f t="shared" si="34"/>
        <v/>
      </c>
    </row>
    <row r="271" spans="1:9" x14ac:dyDescent="0.2">
      <c r="A271" s="12" t="str">
        <f>IF($B271="","",262)</f>
        <v/>
      </c>
      <c r="B271" s="18" t="str">
        <f>IF(262&gt;NBskParty,"",INDEX(PkBskParty,262))</f>
        <v/>
      </c>
      <c r="C271" s="16" t="str">
        <f t="shared" si="28"/>
        <v/>
      </c>
      <c r="D271" s="14" t="str">
        <f t="shared" si="29"/>
        <v/>
      </c>
      <c r="E271" s="14" t="str">
        <f t="shared" si="30"/>
        <v/>
      </c>
      <c r="F271" s="14" t="str">
        <f t="shared" si="31"/>
        <v/>
      </c>
      <c r="G271" s="14" t="str">
        <f t="shared" si="32"/>
        <v/>
      </c>
      <c r="H271" s="15" t="str">
        <f t="shared" si="33"/>
        <v/>
      </c>
      <c r="I271" s="13" t="str">
        <f t="shared" si="34"/>
        <v/>
      </c>
    </row>
    <row r="272" spans="1:9" x14ac:dyDescent="0.2">
      <c r="A272" s="7" t="str">
        <f>IF($B272="","",263)</f>
        <v/>
      </c>
      <c r="B272" s="17" t="str">
        <f>IF(263&gt;NBskParty,"",INDEX(PkBskParty,263))</f>
        <v/>
      </c>
      <c r="C272" s="11" t="str">
        <f t="shared" si="28"/>
        <v/>
      </c>
      <c r="D272" s="9" t="str">
        <f t="shared" si="29"/>
        <v/>
      </c>
      <c r="E272" s="9" t="str">
        <f t="shared" si="30"/>
        <v/>
      </c>
      <c r="F272" s="9" t="str">
        <f t="shared" si="31"/>
        <v/>
      </c>
      <c r="G272" s="9" t="str">
        <f t="shared" si="32"/>
        <v/>
      </c>
      <c r="H272" s="10" t="str">
        <f t="shared" si="33"/>
        <v/>
      </c>
      <c r="I272" s="8" t="str">
        <f t="shared" si="34"/>
        <v/>
      </c>
    </row>
    <row r="273" spans="1:9" x14ac:dyDescent="0.2">
      <c r="A273" s="12" t="str">
        <f>IF($B273="","",264)</f>
        <v/>
      </c>
      <c r="B273" s="18" t="str">
        <f>IF(264&gt;NBskParty,"",INDEX(PkBskParty,264))</f>
        <v/>
      </c>
      <c r="C273" s="16" t="str">
        <f t="shared" si="28"/>
        <v/>
      </c>
      <c r="D273" s="14" t="str">
        <f t="shared" si="29"/>
        <v/>
      </c>
      <c r="E273" s="14" t="str">
        <f t="shared" si="30"/>
        <v/>
      </c>
      <c r="F273" s="14" t="str">
        <f t="shared" si="31"/>
        <v/>
      </c>
      <c r="G273" s="14" t="str">
        <f t="shared" si="32"/>
        <v/>
      </c>
      <c r="H273" s="15" t="str">
        <f t="shared" si="33"/>
        <v/>
      </c>
      <c r="I273" s="13" t="str">
        <f t="shared" si="34"/>
        <v/>
      </c>
    </row>
    <row r="274" spans="1:9" x14ac:dyDescent="0.2">
      <c r="A274" s="7" t="str">
        <f>IF($B274="","",265)</f>
        <v/>
      </c>
      <c r="B274" s="17" t="str">
        <f>IF(265&gt;NBskParty,"",INDEX(PkBskParty,265))</f>
        <v/>
      </c>
      <c r="C274" s="11" t="str">
        <f t="shared" si="28"/>
        <v/>
      </c>
      <c r="D274" s="9" t="str">
        <f t="shared" si="29"/>
        <v/>
      </c>
      <c r="E274" s="9" t="str">
        <f t="shared" si="30"/>
        <v/>
      </c>
      <c r="F274" s="9" t="str">
        <f t="shared" si="31"/>
        <v/>
      </c>
      <c r="G274" s="9" t="str">
        <f t="shared" si="32"/>
        <v/>
      </c>
      <c r="H274" s="10" t="str">
        <f t="shared" si="33"/>
        <v/>
      </c>
      <c r="I274" s="8" t="str">
        <f t="shared" si="34"/>
        <v/>
      </c>
    </row>
    <row r="275" spans="1:9" x14ac:dyDescent="0.2">
      <c r="A275" s="12" t="str">
        <f>IF($B275="","",266)</f>
        <v/>
      </c>
      <c r="B275" s="18" t="str">
        <f>IF(266&gt;NBskParty,"",INDEX(PkBskParty,266))</f>
        <v/>
      </c>
      <c r="C275" s="16" t="str">
        <f t="shared" si="28"/>
        <v/>
      </c>
      <c r="D275" s="14" t="str">
        <f t="shared" si="29"/>
        <v/>
      </c>
      <c r="E275" s="14" t="str">
        <f t="shared" si="30"/>
        <v/>
      </c>
      <c r="F275" s="14" t="str">
        <f t="shared" si="31"/>
        <v/>
      </c>
      <c r="G275" s="14" t="str">
        <f t="shared" si="32"/>
        <v/>
      </c>
      <c r="H275" s="15" t="str">
        <f t="shared" si="33"/>
        <v/>
      </c>
      <c r="I275" s="13" t="str">
        <f t="shared" si="34"/>
        <v/>
      </c>
    </row>
    <row r="276" spans="1:9" x14ac:dyDescent="0.2">
      <c r="A276" s="7" t="str">
        <f>IF($B276="","",267)</f>
        <v/>
      </c>
      <c r="B276" s="17" t="str">
        <f>IF(267&gt;NBskParty,"",INDEX(PkBskParty,267))</f>
        <v/>
      </c>
      <c r="C276" s="11" t="str">
        <f t="shared" si="28"/>
        <v/>
      </c>
      <c r="D276" s="9" t="str">
        <f t="shared" si="29"/>
        <v/>
      </c>
      <c r="E276" s="9" t="str">
        <f t="shared" si="30"/>
        <v/>
      </c>
      <c r="F276" s="9" t="str">
        <f t="shared" si="31"/>
        <v/>
      </c>
      <c r="G276" s="9" t="str">
        <f t="shared" si="32"/>
        <v/>
      </c>
      <c r="H276" s="10" t="str">
        <f t="shared" si="33"/>
        <v/>
      </c>
      <c r="I276" s="8" t="str">
        <f t="shared" si="34"/>
        <v/>
      </c>
    </row>
    <row r="277" spans="1:9" x14ac:dyDescent="0.2">
      <c r="A277" s="12" t="str">
        <f>IF($B277="","",268)</f>
        <v/>
      </c>
      <c r="B277" s="18" t="str">
        <f>IF(268&gt;NBskParty,"",INDEX(PkBskParty,268))</f>
        <v/>
      </c>
      <c r="C277" s="16" t="str">
        <f t="shared" si="28"/>
        <v/>
      </c>
      <c r="D277" s="14" t="str">
        <f t="shared" si="29"/>
        <v/>
      </c>
      <c r="E277" s="14" t="str">
        <f t="shared" si="30"/>
        <v/>
      </c>
      <c r="F277" s="14" t="str">
        <f t="shared" si="31"/>
        <v/>
      </c>
      <c r="G277" s="14" t="str">
        <f t="shared" si="32"/>
        <v/>
      </c>
      <c r="H277" s="15" t="str">
        <f t="shared" si="33"/>
        <v/>
      </c>
      <c r="I277" s="13" t="str">
        <f t="shared" si="34"/>
        <v/>
      </c>
    </row>
    <row r="278" spans="1:9" x14ac:dyDescent="0.2">
      <c r="A278" s="7" t="str">
        <f>IF($B278="","",269)</f>
        <v/>
      </c>
      <c r="B278" s="17" t="str">
        <f>IF(269&gt;NBskParty,"",INDEX(PkBskParty,269))</f>
        <v/>
      </c>
      <c r="C278" s="11" t="str">
        <f t="shared" si="28"/>
        <v/>
      </c>
      <c r="D278" s="9" t="str">
        <f t="shared" si="29"/>
        <v/>
      </c>
      <c r="E278" s="9" t="str">
        <f t="shared" si="30"/>
        <v/>
      </c>
      <c r="F278" s="9" t="str">
        <f t="shared" si="31"/>
        <v/>
      </c>
      <c r="G278" s="9" t="str">
        <f t="shared" si="32"/>
        <v/>
      </c>
      <c r="H278" s="10" t="str">
        <f t="shared" si="33"/>
        <v/>
      </c>
      <c r="I278" s="8" t="str">
        <f t="shared" si="34"/>
        <v/>
      </c>
    </row>
    <row r="279" spans="1:9" x14ac:dyDescent="0.2">
      <c r="A279" s="12" t="str">
        <f>IF($B279="","",270)</f>
        <v/>
      </c>
      <c r="B279" s="18" t="str">
        <f>IF(270&gt;NBskParty,"",INDEX(PkBskParty,270))</f>
        <v/>
      </c>
      <c r="C279" s="16" t="str">
        <f t="shared" si="28"/>
        <v/>
      </c>
      <c r="D279" s="14" t="str">
        <f t="shared" si="29"/>
        <v/>
      </c>
      <c r="E279" s="14" t="str">
        <f t="shared" si="30"/>
        <v/>
      </c>
      <c r="F279" s="14" t="str">
        <f t="shared" si="31"/>
        <v/>
      </c>
      <c r="G279" s="14" t="str">
        <f t="shared" si="32"/>
        <v/>
      </c>
      <c r="H279" s="15" t="str">
        <f t="shared" si="33"/>
        <v/>
      </c>
      <c r="I279" s="13" t="str">
        <f t="shared" si="34"/>
        <v/>
      </c>
    </row>
    <row r="280" spans="1:9" x14ac:dyDescent="0.2">
      <c r="A280" s="7" t="str">
        <f>IF($B280="","",271)</f>
        <v/>
      </c>
      <c r="B280" s="17" t="str">
        <f>IF(271&gt;NBskParty,"",INDEX(PkBskParty,271))</f>
        <v/>
      </c>
      <c r="C280" s="11" t="str">
        <f t="shared" si="28"/>
        <v/>
      </c>
      <c r="D280" s="9" t="str">
        <f t="shared" si="29"/>
        <v/>
      </c>
      <c r="E280" s="9" t="str">
        <f t="shared" si="30"/>
        <v/>
      </c>
      <c r="F280" s="9" t="str">
        <f t="shared" si="31"/>
        <v/>
      </c>
      <c r="G280" s="9" t="str">
        <f t="shared" si="32"/>
        <v/>
      </c>
      <c r="H280" s="10" t="str">
        <f t="shared" si="33"/>
        <v/>
      </c>
      <c r="I280" s="8" t="str">
        <f t="shared" si="34"/>
        <v/>
      </c>
    </row>
    <row r="281" spans="1:9" x14ac:dyDescent="0.2">
      <c r="A281" s="12" t="str">
        <f>IF($B281="","",272)</f>
        <v/>
      </c>
      <c r="B281" s="18" t="str">
        <f>IF(272&gt;NBskParty,"",INDEX(PkBskParty,272))</f>
        <v/>
      </c>
      <c r="C281" s="16" t="str">
        <f t="shared" si="28"/>
        <v/>
      </c>
      <c r="D281" s="14" t="str">
        <f t="shared" si="29"/>
        <v/>
      </c>
      <c r="E281" s="14" t="str">
        <f t="shared" si="30"/>
        <v/>
      </c>
      <c r="F281" s="14" t="str">
        <f t="shared" si="31"/>
        <v/>
      </c>
      <c r="G281" s="14" t="str">
        <f t="shared" si="32"/>
        <v/>
      </c>
      <c r="H281" s="15" t="str">
        <f t="shared" si="33"/>
        <v/>
      </c>
      <c r="I281" s="13" t="str">
        <f t="shared" si="34"/>
        <v/>
      </c>
    </row>
    <row r="282" spans="1:9" x14ac:dyDescent="0.2">
      <c r="A282" s="7" t="str">
        <f>IF($B282="","",273)</f>
        <v/>
      </c>
      <c r="B282" s="17" t="str">
        <f>IF(273&gt;NBskParty,"",INDEX(PkBskParty,273))</f>
        <v/>
      </c>
      <c r="C282" s="11" t="str">
        <f t="shared" si="28"/>
        <v/>
      </c>
      <c r="D282" s="9" t="str">
        <f t="shared" si="29"/>
        <v/>
      </c>
      <c r="E282" s="9" t="str">
        <f t="shared" si="30"/>
        <v/>
      </c>
      <c r="F282" s="9" t="str">
        <f t="shared" si="31"/>
        <v/>
      </c>
      <c r="G282" s="9" t="str">
        <f t="shared" si="32"/>
        <v/>
      </c>
      <c r="H282" s="10" t="str">
        <f t="shared" si="33"/>
        <v/>
      </c>
      <c r="I282" s="8" t="str">
        <f t="shared" si="34"/>
        <v/>
      </c>
    </row>
    <row r="283" spans="1:9" x14ac:dyDescent="0.2">
      <c r="A283" s="12" t="str">
        <f>IF($B283="","",274)</f>
        <v/>
      </c>
      <c r="B283" s="18" t="str">
        <f>IF(274&gt;NBskParty,"",INDEX(PkBskParty,274))</f>
        <v/>
      </c>
      <c r="C283" s="16" t="str">
        <f t="shared" si="28"/>
        <v/>
      </c>
      <c r="D283" s="14" t="str">
        <f t="shared" si="29"/>
        <v/>
      </c>
      <c r="E283" s="14" t="str">
        <f t="shared" si="30"/>
        <v/>
      </c>
      <c r="F283" s="14" t="str">
        <f t="shared" si="31"/>
        <v/>
      </c>
      <c r="G283" s="14" t="str">
        <f t="shared" si="32"/>
        <v/>
      </c>
      <c r="H283" s="15" t="str">
        <f t="shared" si="33"/>
        <v/>
      </c>
      <c r="I283" s="13" t="str">
        <f t="shared" si="34"/>
        <v/>
      </c>
    </row>
    <row r="284" spans="1:9" x14ac:dyDescent="0.2">
      <c r="A284" s="7" t="str">
        <f>IF($B284="","",275)</f>
        <v/>
      </c>
      <c r="B284" s="17" t="str">
        <f>IF(275&gt;NBskParty,"",INDEX(PkBskParty,275))</f>
        <v/>
      </c>
      <c r="C284" s="11" t="str">
        <f t="shared" si="28"/>
        <v/>
      </c>
      <c r="D284" s="9" t="str">
        <f t="shared" si="29"/>
        <v/>
      </c>
      <c r="E284" s="9" t="str">
        <f t="shared" si="30"/>
        <v/>
      </c>
      <c r="F284" s="9" t="str">
        <f t="shared" si="31"/>
        <v/>
      </c>
      <c r="G284" s="9" t="str">
        <f t="shared" si="32"/>
        <v/>
      </c>
      <c r="H284" s="10" t="str">
        <f t="shared" si="33"/>
        <v/>
      </c>
      <c r="I284" s="8" t="str">
        <f t="shared" si="34"/>
        <v/>
      </c>
    </row>
    <row r="285" spans="1:9" x14ac:dyDescent="0.2">
      <c r="A285" s="12" t="str">
        <f>IF($B285="","",276)</f>
        <v/>
      </c>
      <c r="B285" s="18" t="str">
        <f>IF(276&gt;NBskParty,"",INDEX(PkBskParty,276))</f>
        <v/>
      </c>
      <c r="C285" s="16" t="str">
        <f t="shared" si="28"/>
        <v/>
      </c>
      <c r="D285" s="14" t="str">
        <f t="shared" si="29"/>
        <v/>
      </c>
      <c r="E285" s="14" t="str">
        <f t="shared" si="30"/>
        <v/>
      </c>
      <c r="F285" s="14" t="str">
        <f t="shared" si="31"/>
        <v/>
      </c>
      <c r="G285" s="14" t="str">
        <f t="shared" si="32"/>
        <v/>
      </c>
      <c r="H285" s="15" t="str">
        <f t="shared" si="33"/>
        <v/>
      </c>
      <c r="I285" s="13" t="str">
        <f t="shared" si="34"/>
        <v/>
      </c>
    </row>
    <row r="286" spans="1:9" x14ac:dyDescent="0.2">
      <c r="A286" s="7" t="str">
        <f>IF($B286="","",277)</f>
        <v/>
      </c>
      <c r="B286" s="17" t="str">
        <f>IF(277&gt;NBskParty,"",INDEX(PkBskParty,277))</f>
        <v/>
      </c>
      <c r="C286" s="11" t="str">
        <f t="shared" si="28"/>
        <v/>
      </c>
      <c r="D286" s="9" t="str">
        <f t="shared" si="29"/>
        <v/>
      </c>
      <c r="E286" s="9" t="str">
        <f t="shared" si="30"/>
        <v/>
      </c>
      <c r="F286" s="9" t="str">
        <f t="shared" si="31"/>
        <v/>
      </c>
      <c r="G286" s="9" t="str">
        <f t="shared" si="32"/>
        <v/>
      </c>
      <c r="H286" s="10" t="str">
        <f t="shared" si="33"/>
        <v/>
      </c>
      <c r="I286" s="8" t="str">
        <f t="shared" si="34"/>
        <v/>
      </c>
    </row>
    <row r="287" spans="1:9" x14ac:dyDescent="0.2">
      <c r="A287" s="12" t="str">
        <f>IF($B287="","",278)</f>
        <v/>
      </c>
      <c r="B287" s="18" t="str">
        <f>IF(278&gt;NBskParty,"",INDEX(PkBskParty,278))</f>
        <v/>
      </c>
      <c r="C287" s="16" t="str">
        <f t="shared" si="28"/>
        <v/>
      </c>
      <c r="D287" s="14" t="str">
        <f t="shared" si="29"/>
        <v/>
      </c>
      <c r="E287" s="14" t="str">
        <f t="shared" si="30"/>
        <v/>
      </c>
      <c r="F287" s="14" t="str">
        <f t="shared" si="31"/>
        <v/>
      </c>
      <c r="G287" s="14" t="str">
        <f t="shared" si="32"/>
        <v/>
      </c>
      <c r="H287" s="15" t="str">
        <f t="shared" si="33"/>
        <v/>
      </c>
      <c r="I287" s="13" t="str">
        <f t="shared" si="34"/>
        <v/>
      </c>
    </row>
    <row r="288" spans="1:9" x14ac:dyDescent="0.2">
      <c r="A288" s="7" t="str">
        <f>IF($B288="","",279)</f>
        <v/>
      </c>
      <c r="B288" s="17" t="str">
        <f>IF(279&gt;NBskParty,"",INDEX(PkBskParty,279))</f>
        <v/>
      </c>
      <c r="C288" s="11" t="str">
        <f t="shared" si="28"/>
        <v/>
      </c>
      <c r="D288" s="9" t="str">
        <f t="shared" si="29"/>
        <v/>
      </c>
      <c r="E288" s="9" t="str">
        <f t="shared" si="30"/>
        <v/>
      </c>
      <c r="F288" s="9" t="str">
        <f t="shared" si="31"/>
        <v/>
      </c>
      <c r="G288" s="9" t="str">
        <f t="shared" si="32"/>
        <v/>
      </c>
      <c r="H288" s="10" t="str">
        <f t="shared" si="33"/>
        <v/>
      </c>
      <c r="I288" s="8" t="str">
        <f t="shared" si="34"/>
        <v/>
      </c>
    </row>
    <row r="289" spans="1:9" x14ac:dyDescent="0.2">
      <c r="A289" s="12" t="str">
        <f>IF($B289="","",280)</f>
        <v/>
      </c>
      <c r="B289" s="18" t="str">
        <f>IF(280&gt;NBskParty,"",INDEX(PkBskParty,280))</f>
        <v/>
      </c>
      <c r="C289" s="16" t="str">
        <f t="shared" si="28"/>
        <v/>
      </c>
      <c r="D289" s="14" t="str">
        <f t="shared" si="29"/>
        <v/>
      </c>
      <c r="E289" s="14" t="str">
        <f t="shared" si="30"/>
        <v/>
      </c>
      <c r="F289" s="14" t="str">
        <f t="shared" si="31"/>
        <v/>
      </c>
      <c r="G289" s="14" t="str">
        <f t="shared" si="32"/>
        <v/>
      </c>
      <c r="H289" s="15" t="str">
        <f t="shared" si="33"/>
        <v/>
      </c>
      <c r="I289" s="13" t="str">
        <f t="shared" si="34"/>
        <v/>
      </c>
    </row>
    <row r="290" spans="1:9" x14ac:dyDescent="0.2">
      <c r="A290" s="7" t="str">
        <f>IF($B290="","",281)</f>
        <v/>
      </c>
      <c r="B290" s="17" t="str">
        <f>IF(281&gt;NBskParty,"",INDEX(PkBskParty,281))</f>
        <v/>
      </c>
      <c r="C290" s="11" t="str">
        <f t="shared" si="28"/>
        <v/>
      </c>
      <c r="D290" s="9" t="str">
        <f t="shared" si="29"/>
        <v/>
      </c>
      <c r="E290" s="9" t="str">
        <f t="shared" si="30"/>
        <v/>
      </c>
      <c r="F290" s="9" t="str">
        <f t="shared" si="31"/>
        <v/>
      </c>
      <c r="G290" s="9" t="str">
        <f t="shared" si="32"/>
        <v/>
      </c>
      <c r="H290" s="10" t="str">
        <f t="shared" si="33"/>
        <v/>
      </c>
      <c r="I290" s="8" t="str">
        <f t="shared" si="34"/>
        <v/>
      </c>
    </row>
    <row r="291" spans="1:9" x14ac:dyDescent="0.2">
      <c r="A291" s="12" t="str">
        <f>IF($B291="","",282)</f>
        <v/>
      </c>
      <c r="B291" s="18" t="str">
        <f>IF(282&gt;NBskParty,"",INDEX(PkBskParty,282))</f>
        <v/>
      </c>
      <c r="C291" s="16" t="str">
        <f t="shared" si="28"/>
        <v/>
      </c>
      <c r="D291" s="14" t="str">
        <f t="shared" si="29"/>
        <v/>
      </c>
      <c r="E291" s="14" t="str">
        <f t="shared" si="30"/>
        <v/>
      </c>
      <c r="F291" s="14" t="str">
        <f t="shared" si="31"/>
        <v/>
      </c>
      <c r="G291" s="14" t="str">
        <f t="shared" si="32"/>
        <v/>
      </c>
      <c r="H291" s="15" t="str">
        <f t="shared" si="33"/>
        <v/>
      </c>
      <c r="I291" s="13" t="str">
        <f t="shared" si="34"/>
        <v/>
      </c>
    </row>
    <row r="292" spans="1:9" x14ac:dyDescent="0.2">
      <c r="A292" s="7" t="str">
        <f>IF($B292="","",283)</f>
        <v/>
      </c>
      <c r="B292" s="17" t="str">
        <f>IF(283&gt;NBskParty,"",INDEX(PkBskParty,283))</f>
        <v/>
      </c>
      <c r="C292" s="11" t="str">
        <f t="shared" si="28"/>
        <v/>
      </c>
      <c r="D292" s="9" t="str">
        <f t="shared" si="29"/>
        <v/>
      </c>
      <c r="E292" s="9" t="str">
        <f t="shared" si="30"/>
        <v/>
      </c>
      <c r="F292" s="9" t="str">
        <f t="shared" si="31"/>
        <v/>
      </c>
      <c r="G292" s="9" t="str">
        <f t="shared" si="32"/>
        <v/>
      </c>
      <c r="H292" s="10" t="str">
        <f t="shared" si="33"/>
        <v/>
      </c>
      <c r="I292" s="8" t="str">
        <f t="shared" si="34"/>
        <v/>
      </c>
    </row>
    <row r="293" spans="1:9" x14ac:dyDescent="0.2">
      <c r="A293" s="12" t="str">
        <f>IF($B293="","",284)</f>
        <v/>
      </c>
      <c r="B293" s="18" t="str">
        <f>IF(284&gt;NBskParty,"",INDEX(PkBskParty,284))</f>
        <v/>
      </c>
      <c r="C293" s="16" t="str">
        <f t="shared" si="28"/>
        <v/>
      </c>
      <c r="D293" s="14" t="str">
        <f t="shared" si="29"/>
        <v/>
      </c>
      <c r="E293" s="14" t="str">
        <f t="shared" si="30"/>
        <v/>
      </c>
      <c r="F293" s="14" t="str">
        <f t="shared" si="31"/>
        <v/>
      </c>
      <c r="G293" s="14" t="str">
        <f t="shared" si="32"/>
        <v/>
      </c>
      <c r="H293" s="15" t="str">
        <f t="shared" si="33"/>
        <v/>
      </c>
      <c r="I293" s="13" t="str">
        <f t="shared" si="34"/>
        <v/>
      </c>
    </row>
    <row r="294" spans="1:9" x14ac:dyDescent="0.2">
      <c r="A294" s="7" t="str">
        <f>IF($B294="","",285)</f>
        <v/>
      </c>
      <c r="B294" s="17" t="str">
        <f>IF(285&gt;NBskParty,"",INDEX(PkBskParty,285))</f>
        <v/>
      </c>
      <c r="C294" s="11" t="str">
        <f t="shared" si="28"/>
        <v/>
      </c>
      <c r="D294" s="9" t="str">
        <f t="shared" si="29"/>
        <v/>
      </c>
      <c r="E294" s="9" t="str">
        <f t="shared" si="30"/>
        <v/>
      </c>
      <c r="F294" s="9" t="str">
        <f t="shared" si="31"/>
        <v/>
      </c>
      <c r="G294" s="9" t="str">
        <f t="shared" si="32"/>
        <v/>
      </c>
      <c r="H294" s="10" t="str">
        <f t="shared" si="33"/>
        <v/>
      </c>
      <c r="I294" s="8" t="str">
        <f t="shared" si="34"/>
        <v/>
      </c>
    </row>
    <row r="295" spans="1:9" x14ac:dyDescent="0.2">
      <c r="A295" s="12" t="str">
        <f>IF($B295="","",286)</f>
        <v/>
      </c>
      <c r="B295" s="18" t="str">
        <f>IF(286&gt;NBskParty,"",INDEX(PkBskParty,286))</f>
        <v/>
      </c>
      <c r="C295" s="16" t="str">
        <f t="shared" si="28"/>
        <v/>
      </c>
      <c r="D295" s="14" t="str">
        <f t="shared" si="29"/>
        <v/>
      </c>
      <c r="E295" s="14" t="str">
        <f t="shared" si="30"/>
        <v/>
      </c>
      <c r="F295" s="14" t="str">
        <f t="shared" si="31"/>
        <v/>
      </c>
      <c r="G295" s="14" t="str">
        <f t="shared" si="32"/>
        <v/>
      </c>
      <c r="H295" s="15" t="str">
        <f t="shared" si="33"/>
        <v/>
      </c>
      <c r="I295" s="13" t="str">
        <f t="shared" si="34"/>
        <v/>
      </c>
    </row>
    <row r="296" spans="1:9" x14ac:dyDescent="0.2">
      <c r="A296" s="7" t="str">
        <f>IF($B296="","",287)</f>
        <v/>
      </c>
      <c r="B296" s="17" t="str">
        <f>IF(287&gt;NBskParty,"",INDEX(PkBskParty,287))</f>
        <v/>
      </c>
      <c r="C296" s="11" t="str">
        <f t="shared" si="28"/>
        <v/>
      </c>
      <c r="D296" s="9" t="str">
        <f t="shared" si="29"/>
        <v/>
      </c>
      <c r="E296" s="9" t="str">
        <f t="shared" si="30"/>
        <v/>
      </c>
      <c r="F296" s="9" t="str">
        <f t="shared" si="31"/>
        <v/>
      </c>
      <c r="G296" s="9" t="str">
        <f t="shared" si="32"/>
        <v/>
      </c>
      <c r="H296" s="10" t="str">
        <f t="shared" si="33"/>
        <v/>
      </c>
      <c r="I296" s="8" t="str">
        <f t="shared" si="34"/>
        <v/>
      </c>
    </row>
    <row r="297" spans="1:9" x14ac:dyDescent="0.2">
      <c r="A297" s="12" t="str">
        <f>IF($B297="","",288)</f>
        <v/>
      </c>
      <c r="B297" s="18" t="str">
        <f>IF(288&gt;NBskParty,"",INDEX(PkBskParty,288))</f>
        <v/>
      </c>
      <c r="C297" s="16" t="str">
        <f t="shared" si="28"/>
        <v/>
      </c>
      <c r="D297" s="14" t="str">
        <f t="shared" si="29"/>
        <v/>
      </c>
      <c r="E297" s="14" t="str">
        <f t="shared" si="30"/>
        <v/>
      </c>
      <c r="F297" s="14" t="str">
        <f t="shared" si="31"/>
        <v/>
      </c>
      <c r="G297" s="14" t="str">
        <f t="shared" si="32"/>
        <v/>
      </c>
      <c r="H297" s="15" t="str">
        <f t="shared" si="33"/>
        <v/>
      </c>
      <c r="I297" s="13" t="str">
        <f t="shared" si="34"/>
        <v/>
      </c>
    </row>
    <row r="298" spans="1:9" x14ac:dyDescent="0.2">
      <c r="A298" s="7" t="str">
        <f>IF($B298="","",289)</f>
        <v/>
      </c>
      <c r="B298" s="17" t="str">
        <f>IF(289&gt;NBskParty,"",INDEX(PkBskParty,289))</f>
        <v/>
      </c>
      <c r="C298" s="11" t="str">
        <f t="shared" si="28"/>
        <v/>
      </c>
      <c r="D298" s="9" t="str">
        <f t="shared" si="29"/>
        <v/>
      </c>
      <c r="E298" s="9" t="str">
        <f t="shared" si="30"/>
        <v/>
      </c>
      <c r="F298" s="9" t="str">
        <f t="shared" si="31"/>
        <v/>
      </c>
      <c r="G298" s="9" t="str">
        <f t="shared" si="32"/>
        <v/>
      </c>
      <c r="H298" s="10" t="str">
        <f t="shared" si="33"/>
        <v/>
      </c>
      <c r="I298" s="8" t="str">
        <f t="shared" si="34"/>
        <v/>
      </c>
    </row>
    <row r="299" spans="1:9" x14ac:dyDescent="0.2">
      <c r="A299" s="12" t="str">
        <f>IF($B299="","",290)</f>
        <v/>
      </c>
      <c r="B299" s="18" t="str">
        <f>IF(290&gt;NBskParty,"",INDEX(PkBskParty,290))</f>
        <v/>
      </c>
      <c r="C299" s="16" t="str">
        <f t="shared" si="28"/>
        <v/>
      </c>
      <c r="D299" s="14" t="str">
        <f t="shared" si="29"/>
        <v/>
      </c>
      <c r="E299" s="14" t="str">
        <f t="shared" si="30"/>
        <v/>
      </c>
      <c r="F299" s="14" t="str">
        <f t="shared" si="31"/>
        <v/>
      </c>
      <c r="G299" s="14" t="str">
        <f t="shared" si="32"/>
        <v/>
      </c>
      <c r="H299" s="15" t="str">
        <f t="shared" si="33"/>
        <v/>
      </c>
      <c r="I299" s="13" t="str">
        <f t="shared" si="34"/>
        <v/>
      </c>
    </row>
    <row r="300" spans="1:9" x14ac:dyDescent="0.2">
      <c r="A300" s="7" t="str">
        <f>IF($B300="","",291)</f>
        <v/>
      </c>
      <c r="B300" s="17" t="str">
        <f>IF(291&gt;NBskParty,"",INDEX(PkBskParty,291))</f>
        <v/>
      </c>
      <c r="C300" s="11" t="str">
        <f t="shared" si="28"/>
        <v/>
      </c>
      <c r="D300" s="9" t="str">
        <f t="shared" si="29"/>
        <v/>
      </c>
      <c r="E300" s="9" t="str">
        <f t="shared" si="30"/>
        <v/>
      </c>
      <c r="F300" s="9" t="str">
        <f t="shared" si="31"/>
        <v/>
      </c>
      <c r="G300" s="9" t="str">
        <f t="shared" si="32"/>
        <v/>
      </c>
      <c r="H300" s="10" t="str">
        <f t="shared" si="33"/>
        <v/>
      </c>
      <c r="I300" s="8" t="str">
        <f t="shared" si="34"/>
        <v/>
      </c>
    </row>
    <row r="301" spans="1:9" x14ac:dyDescent="0.2">
      <c r="A301" s="12" t="str">
        <f>IF($B301="","",292)</f>
        <v/>
      </c>
      <c r="B301" s="18" t="str">
        <f>IF(292&gt;NBskParty,"",INDEX(PkBskParty,292))</f>
        <v/>
      </c>
      <c r="C301" s="16" t="str">
        <f t="shared" si="28"/>
        <v/>
      </c>
      <c r="D301" s="14" t="str">
        <f t="shared" si="29"/>
        <v/>
      </c>
      <c r="E301" s="14" t="str">
        <f t="shared" si="30"/>
        <v/>
      </c>
      <c r="F301" s="14" t="str">
        <f t="shared" si="31"/>
        <v/>
      </c>
      <c r="G301" s="14" t="str">
        <f t="shared" si="32"/>
        <v/>
      </c>
      <c r="H301" s="15" t="str">
        <f t="shared" si="33"/>
        <v/>
      </c>
      <c r="I301" s="13" t="str">
        <f t="shared" si="34"/>
        <v/>
      </c>
    </row>
    <row r="302" spans="1:9" x14ac:dyDescent="0.2">
      <c r="A302" s="7" t="str">
        <f>IF($B302="","",293)</f>
        <v/>
      </c>
      <c r="B302" s="17" t="str">
        <f>IF(293&gt;NBskParty,"",INDEX(PkBskParty,293))</f>
        <v/>
      </c>
      <c r="C302" s="11" t="str">
        <f t="shared" si="28"/>
        <v/>
      </c>
      <c r="D302" s="9" t="str">
        <f t="shared" si="29"/>
        <v/>
      </c>
      <c r="E302" s="9" t="str">
        <f t="shared" si="30"/>
        <v/>
      </c>
      <c r="F302" s="9" t="str">
        <f t="shared" si="31"/>
        <v/>
      </c>
      <c r="G302" s="9" t="str">
        <f t="shared" si="32"/>
        <v/>
      </c>
      <c r="H302" s="10" t="str">
        <f t="shared" si="33"/>
        <v/>
      </c>
      <c r="I302" s="8" t="str">
        <f t="shared" si="34"/>
        <v/>
      </c>
    </row>
    <row r="303" spans="1:9" x14ac:dyDescent="0.2">
      <c r="A303" s="12" t="str">
        <f>IF($B303="","",294)</f>
        <v/>
      </c>
      <c r="B303" s="18" t="str">
        <f>IF(294&gt;NBskParty,"",INDEX(PkBskParty,294))</f>
        <v/>
      </c>
      <c r="C303" s="16" t="str">
        <f t="shared" si="28"/>
        <v/>
      </c>
      <c r="D303" s="14" t="str">
        <f t="shared" si="29"/>
        <v/>
      </c>
      <c r="E303" s="14" t="str">
        <f t="shared" si="30"/>
        <v/>
      </c>
      <c r="F303" s="14" t="str">
        <f t="shared" si="31"/>
        <v/>
      </c>
      <c r="G303" s="14" t="str">
        <f t="shared" si="32"/>
        <v/>
      </c>
      <c r="H303" s="15" t="str">
        <f t="shared" si="33"/>
        <v/>
      </c>
      <c r="I303" s="13" t="str">
        <f t="shared" si="34"/>
        <v/>
      </c>
    </row>
    <row r="304" spans="1:9" x14ac:dyDescent="0.2">
      <c r="A304" s="7" t="str">
        <f>IF($B304="","",295)</f>
        <v/>
      </c>
      <c r="B304" s="17" t="str">
        <f>IF(295&gt;NBskParty,"",INDEX(PkBskParty,295))</f>
        <v/>
      </c>
      <c r="C304" s="11" t="str">
        <f t="shared" si="28"/>
        <v/>
      </c>
      <c r="D304" s="9" t="str">
        <f t="shared" si="29"/>
        <v/>
      </c>
      <c r="E304" s="9" t="str">
        <f t="shared" si="30"/>
        <v/>
      </c>
      <c r="F304" s="9" t="str">
        <f t="shared" si="31"/>
        <v/>
      </c>
      <c r="G304" s="9" t="str">
        <f t="shared" si="32"/>
        <v/>
      </c>
      <c r="H304" s="10" t="str">
        <f t="shared" si="33"/>
        <v/>
      </c>
      <c r="I304" s="8" t="str">
        <f t="shared" si="34"/>
        <v/>
      </c>
    </row>
    <row r="305" spans="1:9" x14ac:dyDescent="0.2">
      <c r="A305" s="12" t="str">
        <f>IF($B305="","",296)</f>
        <v/>
      </c>
      <c r="B305" s="18" t="str">
        <f>IF(296&gt;NBskParty,"",INDEX(PkBskParty,296))</f>
        <v/>
      </c>
      <c r="C305" s="16" t="str">
        <f t="shared" si="28"/>
        <v/>
      </c>
      <c r="D305" s="14" t="str">
        <f t="shared" si="29"/>
        <v/>
      </c>
      <c r="E305" s="14" t="str">
        <f t="shared" si="30"/>
        <v/>
      </c>
      <c r="F305" s="14" t="str">
        <f t="shared" si="31"/>
        <v/>
      </c>
      <c r="G305" s="14" t="str">
        <f t="shared" si="32"/>
        <v/>
      </c>
      <c r="H305" s="15" t="str">
        <f t="shared" si="33"/>
        <v/>
      </c>
      <c r="I305" s="13" t="str">
        <f t="shared" si="34"/>
        <v/>
      </c>
    </row>
    <row r="306" spans="1:9" x14ac:dyDescent="0.2">
      <c r="A306" s="7" t="str">
        <f>IF($B306="","",297)</f>
        <v/>
      </c>
      <c r="B306" s="17" t="str">
        <f>IF(297&gt;NBskParty,"",INDEX(PkBskParty,297))</f>
        <v/>
      </c>
      <c r="C306" s="11" t="str">
        <f t="shared" si="28"/>
        <v/>
      </c>
      <c r="D306" s="9" t="str">
        <f t="shared" si="29"/>
        <v/>
      </c>
      <c r="E306" s="9" t="str">
        <f t="shared" si="30"/>
        <v/>
      </c>
      <c r="F306" s="9" t="str">
        <f t="shared" si="31"/>
        <v/>
      </c>
      <c r="G306" s="9" t="str">
        <f t="shared" si="32"/>
        <v/>
      </c>
      <c r="H306" s="10" t="str">
        <f t="shared" si="33"/>
        <v/>
      </c>
      <c r="I306" s="8" t="str">
        <f t="shared" si="34"/>
        <v/>
      </c>
    </row>
    <row r="307" spans="1:9" x14ac:dyDescent="0.2">
      <c r="A307" s="12" t="str">
        <f>IF($B307="","",298)</f>
        <v/>
      </c>
      <c r="B307" s="18" t="str">
        <f>IF(298&gt;NBskParty,"",INDEX(PkBskParty,298))</f>
        <v/>
      </c>
      <c r="C307" s="16" t="str">
        <f t="shared" si="28"/>
        <v/>
      </c>
      <c r="D307" s="14" t="str">
        <f t="shared" si="29"/>
        <v/>
      </c>
      <c r="E307" s="14" t="str">
        <f t="shared" si="30"/>
        <v/>
      </c>
      <c r="F307" s="14" t="str">
        <f t="shared" si="31"/>
        <v/>
      </c>
      <c r="G307" s="14" t="str">
        <f t="shared" si="32"/>
        <v/>
      </c>
      <c r="H307" s="15" t="str">
        <f t="shared" si="33"/>
        <v/>
      </c>
      <c r="I307" s="13" t="str">
        <f t="shared" si="34"/>
        <v/>
      </c>
    </row>
    <row r="308" spans="1:9" x14ac:dyDescent="0.2">
      <c r="A308" s="7" t="str">
        <f>IF($B308="","",299)</f>
        <v/>
      </c>
      <c r="B308" s="17" t="str">
        <f>IF(299&gt;NBskParty,"",INDEX(PkBskParty,299))</f>
        <v/>
      </c>
      <c r="C308" s="11" t="str">
        <f t="shared" si="28"/>
        <v/>
      </c>
      <c r="D308" s="9" t="str">
        <f t="shared" si="29"/>
        <v/>
      </c>
      <c r="E308" s="9" t="str">
        <f t="shared" si="30"/>
        <v/>
      </c>
      <c r="F308" s="9" t="str">
        <f t="shared" si="31"/>
        <v/>
      </c>
      <c r="G308" s="9" t="str">
        <f t="shared" si="32"/>
        <v/>
      </c>
      <c r="H308" s="10" t="str">
        <f t="shared" si="33"/>
        <v/>
      </c>
      <c r="I308" s="8" t="str">
        <f t="shared" si="34"/>
        <v/>
      </c>
    </row>
    <row r="309" spans="1:9" x14ac:dyDescent="0.2">
      <c r="A309" s="12" t="str">
        <f>IF($B309="","",300)</f>
        <v/>
      </c>
      <c r="B309" s="18" t="str">
        <f>IF(300&gt;NBskParty,"",INDEX(PkBskParty,300))</f>
        <v/>
      </c>
      <c r="C309" s="16" t="str">
        <f t="shared" si="28"/>
        <v/>
      </c>
      <c r="D309" s="14" t="str">
        <f t="shared" si="29"/>
        <v/>
      </c>
      <c r="E309" s="14" t="str">
        <f t="shared" si="30"/>
        <v/>
      </c>
      <c r="F309" s="14" t="str">
        <f t="shared" si="31"/>
        <v/>
      </c>
      <c r="G309" s="14" t="str">
        <f t="shared" si="32"/>
        <v/>
      </c>
      <c r="H309" s="15" t="str">
        <f t="shared" si="33"/>
        <v/>
      </c>
      <c r="I309" s="13" t="str">
        <f t="shared" si="34"/>
        <v/>
      </c>
    </row>
    <row r="310" spans="1:9" x14ac:dyDescent="0.2">
      <c r="A310" s="7" t="str">
        <f>IF($B310="","",301)</f>
        <v/>
      </c>
      <c r="B310" s="17" t="str">
        <f>IF(301&gt;NBskParty,"",INDEX(PkBskParty,301))</f>
        <v/>
      </c>
      <c r="C310" s="11" t="str">
        <f t="shared" si="28"/>
        <v/>
      </c>
      <c r="D310" s="9" t="str">
        <f t="shared" si="29"/>
        <v/>
      </c>
      <c r="E310" s="9" t="str">
        <f t="shared" si="30"/>
        <v/>
      </c>
      <c r="F310" s="9" t="str">
        <f t="shared" si="31"/>
        <v/>
      </c>
      <c r="G310" s="9" t="str">
        <f t="shared" si="32"/>
        <v/>
      </c>
      <c r="H310" s="10" t="str">
        <f t="shared" si="33"/>
        <v/>
      </c>
      <c r="I310" s="8" t="str">
        <f t="shared" si="34"/>
        <v/>
      </c>
    </row>
    <row r="311" spans="1:9" x14ac:dyDescent="0.2">
      <c r="A311" s="12" t="str">
        <f>IF($B311="","",302)</f>
        <v/>
      </c>
      <c r="B311" s="18" t="str">
        <f>IF(302&gt;NBskParty,"",INDEX(PkBskParty,302))</f>
        <v/>
      </c>
      <c r="C311" s="16" t="str">
        <f t="shared" si="28"/>
        <v/>
      </c>
      <c r="D311" s="14" t="str">
        <f t="shared" si="29"/>
        <v/>
      </c>
      <c r="E311" s="14" t="str">
        <f t="shared" si="30"/>
        <v/>
      </c>
      <c r="F311" s="14" t="str">
        <f t="shared" si="31"/>
        <v/>
      </c>
      <c r="G311" s="14" t="str">
        <f t="shared" si="32"/>
        <v/>
      </c>
      <c r="H311" s="15" t="str">
        <f t="shared" si="33"/>
        <v/>
      </c>
      <c r="I311" s="13" t="str">
        <f t="shared" si="34"/>
        <v/>
      </c>
    </row>
    <row r="312" spans="1:9" x14ac:dyDescent="0.2">
      <c r="A312" s="7" t="str">
        <f>IF($B312="","",303)</f>
        <v/>
      </c>
      <c r="B312" s="17" t="str">
        <f>IF(303&gt;NBskParty,"",INDEX(PkBskParty,303))</f>
        <v/>
      </c>
      <c r="C312" s="11" t="str">
        <f t="shared" si="28"/>
        <v/>
      </c>
      <c r="D312" s="9" t="str">
        <f t="shared" si="29"/>
        <v/>
      </c>
      <c r="E312" s="9" t="str">
        <f t="shared" si="30"/>
        <v/>
      </c>
      <c r="F312" s="9" t="str">
        <f t="shared" si="31"/>
        <v/>
      </c>
      <c r="G312" s="9" t="str">
        <f t="shared" si="32"/>
        <v/>
      </c>
      <c r="H312" s="10" t="str">
        <f t="shared" si="33"/>
        <v/>
      </c>
      <c r="I312" s="8" t="str">
        <f t="shared" si="34"/>
        <v/>
      </c>
    </row>
    <row r="313" spans="1:9" x14ac:dyDescent="0.2">
      <c r="A313" s="12" t="str">
        <f>IF($B313="","",304)</f>
        <v/>
      </c>
      <c r="B313" s="18" t="str">
        <f>IF(304&gt;NBskParty,"",INDEX(PkBskParty,304))</f>
        <v/>
      </c>
      <c r="C313" s="16" t="str">
        <f t="shared" si="28"/>
        <v/>
      </c>
      <c r="D313" s="14" t="str">
        <f t="shared" si="29"/>
        <v/>
      </c>
      <c r="E313" s="14" t="str">
        <f t="shared" si="30"/>
        <v/>
      </c>
      <c r="F313" s="14" t="str">
        <f t="shared" si="31"/>
        <v/>
      </c>
      <c r="G313" s="14" t="str">
        <f t="shared" si="32"/>
        <v/>
      </c>
      <c r="H313" s="15" t="str">
        <f t="shared" si="33"/>
        <v/>
      </c>
      <c r="I313" s="13" t="str">
        <f t="shared" si="34"/>
        <v/>
      </c>
    </row>
    <row r="314" spans="1:9" x14ac:dyDescent="0.2">
      <c r="A314" s="7" t="str">
        <f>IF($B314="","",305)</f>
        <v/>
      </c>
      <c r="B314" s="17" t="str">
        <f>IF(305&gt;NBskParty,"",INDEX(PkBskParty,305))</f>
        <v/>
      </c>
      <c r="C314" s="11" t="str">
        <f t="shared" si="28"/>
        <v/>
      </c>
      <c r="D314" s="9" t="str">
        <f t="shared" si="29"/>
        <v/>
      </c>
      <c r="E314" s="9" t="str">
        <f t="shared" si="30"/>
        <v/>
      </c>
      <c r="F314" s="9" t="str">
        <f t="shared" si="31"/>
        <v/>
      </c>
      <c r="G314" s="9" t="str">
        <f t="shared" si="32"/>
        <v/>
      </c>
      <c r="H314" s="10" t="str">
        <f t="shared" si="33"/>
        <v/>
      </c>
      <c r="I314" s="8" t="str">
        <f t="shared" si="34"/>
        <v/>
      </c>
    </row>
    <row r="315" spans="1:9" x14ac:dyDescent="0.2">
      <c r="A315" s="12" t="str">
        <f>IF($B315="","",306)</f>
        <v/>
      </c>
      <c r="B315" s="18" t="str">
        <f>IF(306&gt;NBskParty,"",INDEX(PkBskParty,306))</f>
        <v/>
      </c>
      <c r="C315" s="16" t="str">
        <f t="shared" si="28"/>
        <v/>
      </c>
      <c r="D315" s="14" t="str">
        <f t="shared" si="29"/>
        <v/>
      </c>
      <c r="E315" s="14" t="str">
        <f t="shared" si="30"/>
        <v/>
      </c>
      <c r="F315" s="14" t="str">
        <f t="shared" si="31"/>
        <v/>
      </c>
      <c r="G315" s="14" t="str">
        <f t="shared" si="32"/>
        <v/>
      </c>
      <c r="H315" s="15" t="str">
        <f t="shared" si="33"/>
        <v/>
      </c>
      <c r="I315" s="13" t="str">
        <f t="shared" si="34"/>
        <v/>
      </c>
    </row>
    <row r="316" spans="1:9" x14ac:dyDescent="0.2">
      <c r="A316" s="7" t="str">
        <f>IF($B316="","",307)</f>
        <v/>
      </c>
      <c r="B316" s="17" t="str">
        <f>IF(307&gt;NBskParty,"",INDEX(PkBskParty,307))</f>
        <v/>
      </c>
      <c r="C316" s="11" t="str">
        <f t="shared" si="28"/>
        <v/>
      </c>
      <c r="D316" s="9" t="str">
        <f t="shared" si="29"/>
        <v/>
      </c>
      <c r="E316" s="9" t="str">
        <f t="shared" si="30"/>
        <v/>
      </c>
      <c r="F316" s="9" t="str">
        <f t="shared" si="31"/>
        <v/>
      </c>
      <c r="G316" s="9" t="str">
        <f t="shared" si="32"/>
        <v/>
      </c>
      <c r="H316" s="10" t="str">
        <f t="shared" si="33"/>
        <v/>
      </c>
      <c r="I316" s="8" t="str">
        <f t="shared" si="34"/>
        <v/>
      </c>
    </row>
    <row r="317" spans="1:9" x14ac:dyDescent="0.2">
      <c r="A317" s="12" t="str">
        <f>IF($B317="","",308)</f>
        <v/>
      </c>
      <c r="B317" s="18" t="str">
        <f>IF(308&gt;NBskParty,"",INDEX(PkBskParty,308))</f>
        <v/>
      </c>
      <c r="C317" s="16" t="str">
        <f t="shared" si="28"/>
        <v/>
      </c>
      <c r="D317" s="14" t="str">
        <f t="shared" si="29"/>
        <v/>
      </c>
      <c r="E317" s="14" t="str">
        <f t="shared" si="30"/>
        <v/>
      </c>
      <c r="F317" s="14" t="str">
        <f t="shared" si="31"/>
        <v/>
      </c>
      <c r="G317" s="14" t="str">
        <f t="shared" si="32"/>
        <v/>
      </c>
      <c r="H317" s="15" t="str">
        <f t="shared" si="33"/>
        <v/>
      </c>
      <c r="I317" s="13" t="str">
        <f t="shared" si="34"/>
        <v/>
      </c>
    </row>
    <row r="318" spans="1:9" x14ac:dyDescent="0.2">
      <c r="A318" s="7" t="str">
        <f>IF($B318="","",309)</f>
        <v/>
      </c>
      <c r="B318" s="17" t="str">
        <f>IF(309&gt;NBskParty,"",INDEX(PkBskParty,309))</f>
        <v/>
      </c>
      <c r="C318" s="11" t="str">
        <f t="shared" si="28"/>
        <v/>
      </c>
      <c r="D318" s="9" t="str">
        <f t="shared" si="29"/>
        <v/>
      </c>
      <c r="E318" s="9" t="str">
        <f t="shared" si="30"/>
        <v/>
      </c>
      <c r="F318" s="9" t="str">
        <f t="shared" si="31"/>
        <v/>
      </c>
      <c r="G318" s="9" t="str">
        <f t="shared" si="32"/>
        <v/>
      </c>
      <c r="H318" s="10" t="str">
        <f t="shared" si="33"/>
        <v/>
      </c>
      <c r="I318" s="8" t="str">
        <f t="shared" si="34"/>
        <v/>
      </c>
    </row>
    <row r="319" spans="1:9" x14ac:dyDescent="0.2">
      <c r="A319" s="12" t="str">
        <f>IF($B319="","",310)</f>
        <v/>
      </c>
      <c r="B319" s="18" t="str">
        <f>IF(310&gt;NBskParty,"",INDEX(PkBskParty,310))</f>
        <v/>
      </c>
      <c r="C319" s="16" t="str">
        <f t="shared" si="28"/>
        <v/>
      </c>
      <c r="D319" s="14" t="str">
        <f t="shared" si="29"/>
        <v/>
      </c>
      <c r="E319" s="14" t="str">
        <f t="shared" si="30"/>
        <v/>
      </c>
      <c r="F319" s="14" t="str">
        <f t="shared" si="31"/>
        <v/>
      </c>
      <c r="G319" s="14" t="str">
        <f t="shared" si="32"/>
        <v/>
      </c>
      <c r="H319" s="15" t="str">
        <f t="shared" si="33"/>
        <v/>
      </c>
      <c r="I319" s="13" t="str">
        <f t="shared" si="34"/>
        <v/>
      </c>
    </row>
    <row r="320" spans="1:9" x14ac:dyDescent="0.2">
      <c r="A320" s="7" t="str">
        <f>IF($B320="","",311)</f>
        <v/>
      </c>
      <c r="B320" s="17" t="str">
        <f>IF(311&gt;NBskParty,"",INDEX(PkBskParty,311))</f>
        <v/>
      </c>
      <c r="C320" s="11" t="str">
        <f t="shared" si="28"/>
        <v/>
      </c>
      <c r="D320" s="9" t="str">
        <f t="shared" si="29"/>
        <v/>
      </c>
      <c r="E320" s="9" t="str">
        <f t="shared" si="30"/>
        <v/>
      </c>
      <c r="F320" s="9" t="str">
        <f t="shared" si="31"/>
        <v/>
      </c>
      <c r="G320" s="9" t="str">
        <f t="shared" si="32"/>
        <v/>
      </c>
      <c r="H320" s="10" t="str">
        <f t="shared" si="33"/>
        <v/>
      </c>
      <c r="I320" s="8" t="str">
        <f t="shared" si="34"/>
        <v/>
      </c>
    </row>
    <row r="321" spans="1:9" x14ac:dyDescent="0.2">
      <c r="A321" s="12" t="str">
        <f>IF($B321="","",312)</f>
        <v/>
      </c>
      <c r="B321" s="18" t="str">
        <f>IF(312&gt;NBskParty,"",INDEX(PkBskParty,312))</f>
        <v/>
      </c>
      <c r="C321" s="16" t="str">
        <f t="shared" si="28"/>
        <v/>
      </c>
      <c r="D321" s="14" t="str">
        <f t="shared" si="29"/>
        <v/>
      </c>
      <c r="E321" s="14" t="str">
        <f t="shared" si="30"/>
        <v/>
      </c>
      <c r="F321" s="14" t="str">
        <f t="shared" si="31"/>
        <v/>
      </c>
      <c r="G321" s="14" t="str">
        <f t="shared" si="32"/>
        <v/>
      </c>
      <c r="H321" s="15" t="str">
        <f t="shared" si="33"/>
        <v/>
      </c>
      <c r="I321" s="13" t="str">
        <f t="shared" si="34"/>
        <v/>
      </c>
    </row>
    <row r="322" spans="1:9" x14ac:dyDescent="0.2">
      <c r="A322" s="7" t="str">
        <f>IF($B322="","",313)</f>
        <v/>
      </c>
      <c r="B322" s="17" t="str">
        <f>IF(313&gt;NBskParty,"",INDEX(PkBskParty,313))</f>
        <v/>
      </c>
      <c r="C322" s="11" t="str">
        <f t="shared" si="28"/>
        <v/>
      </c>
      <c r="D322" s="9" t="str">
        <f t="shared" si="29"/>
        <v/>
      </c>
      <c r="E322" s="9" t="str">
        <f t="shared" si="30"/>
        <v/>
      </c>
      <c r="F322" s="9" t="str">
        <f t="shared" si="31"/>
        <v/>
      </c>
      <c r="G322" s="9" t="str">
        <f t="shared" si="32"/>
        <v/>
      </c>
      <c r="H322" s="10" t="str">
        <f t="shared" si="33"/>
        <v/>
      </c>
      <c r="I322" s="8" t="str">
        <f t="shared" si="34"/>
        <v/>
      </c>
    </row>
    <row r="323" spans="1:9" x14ac:dyDescent="0.2">
      <c r="A323" s="12" t="str">
        <f>IF($B323="","",314)</f>
        <v/>
      </c>
      <c r="B323" s="18" t="str">
        <f>IF(314&gt;NBskParty,"",INDEX(PkBskParty,314))</f>
        <v/>
      </c>
      <c r="C323" s="16" t="str">
        <f t="shared" si="28"/>
        <v/>
      </c>
      <c r="D323" s="14" t="str">
        <f t="shared" si="29"/>
        <v/>
      </c>
      <c r="E323" s="14" t="str">
        <f t="shared" si="30"/>
        <v/>
      </c>
      <c r="F323" s="14" t="str">
        <f t="shared" si="31"/>
        <v/>
      </c>
      <c r="G323" s="14" t="str">
        <f t="shared" si="32"/>
        <v/>
      </c>
      <c r="H323" s="15" t="str">
        <f t="shared" si="33"/>
        <v/>
      </c>
      <c r="I323" s="13" t="str">
        <f t="shared" si="34"/>
        <v/>
      </c>
    </row>
    <row r="324" spans="1:9" x14ac:dyDescent="0.2">
      <c r="A324" s="7" t="str">
        <f>IF($B324="","",315)</f>
        <v/>
      </c>
      <c r="B324" s="17" t="str">
        <f>IF(315&gt;NBskParty,"",INDEX(PkBskParty,315))</f>
        <v/>
      </c>
      <c r="C324" s="11" t="str">
        <f t="shared" si="28"/>
        <v/>
      </c>
      <c r="D324" s="9" t="str">
        <f t="shared" si="29"/>
        <v/>
      </c>
      <c r="E324" s="9" t="str">
        <f t="shared" si="30"/>
        <v/>
      </c>
      <c r="F324" s="9" t="str">
        <f t="shared" si="31"/>
        <v/>
      </c>
      <c r="G324" s="9" t="str">
        <f t="shared" si="32"/>
        <v/>
      </c>
      <c r="H324" s="10" t="str">
        <f t="shared" si="33"/>
        <v/>
      </c>
      <c r="I324" s="8" t="str">
        <f t="shared" si="34"/>
        <v/>
      </c>
    </row>
    <row r="325" spans="1:9" x14ac:dyDescent="0.2">
      <c r="A325" s="12" t="str">
        <f>IF($B325="","",316)</f>
        <v/>
      </c>
      <c r="B325" s="18" t="str">
        <f>IF(316&gt;NBskParty,"",INDEX(PkBskParty,316))</f>
        <v/>
      </c>
      <c r="C325" s="16" t="str">
        <f t="shared" si="28"/>
        <v/>
      </c>
      <c r="D325" s="14" t="str">
        <f t="shared" si="29"/>
        <v/>
      </c>
      <c r="E325" s="14" t="str">
        <f t="shared" si="30"/>
        <v/>
      </c>
      <c r="F325" s="14" t="str">
        <f t="shared" si="31"/>
        <v/>
      </c>
      <c r="G325" s="14" t="str">
        <f t="shared" si="32"/>
        <v/>
      </c>
      <c r="H325" s="15" t="str">
        <f t="shared" si="33"/>
        <v/>
      </c>
      <c r="I325" s="13" t="str">
        <f t="shared" si="34"/>
        <v/>
      </c>
    </row>
    <row r="326" spans="1:9" x14ac:dyDescent="0.2">
      <c r="A326" s="7" t="str">
        <f>IF($B326="","",317)</f>
        <v/>
      </c>
      <c r="B326" s="17" t="str">
        <f>IF(317&gt;NBskParty,"",INDEX(PkBskParty,317))</f>
        <v/>
      </c>
      <c r="C326" s="11" t="str">
        <f t="shared" si="28"/>
        <v/>
      </c>
      <c r="D326" s="9" t="str">
        <f t="shared" si="29"/>
        <v/>
      </c>
      <c r="E326" s="9" t="str">
        <f t="shared" si="30"/>
        <v/>
      </c>
      <c r="F326" s="9" t="str">
        <f t="shared" si="31"/>
        <v/>
      </c>
      <c r="G326" s="9" t="str">
        <f t="shared" si="32"/>
        <v/>
      </c>
      <c r="H326" s="10" t="str">
        <f t="shared" si="33"/>
        <v/>
      </c>
      <c r="I326" s="8" t="str">
        <f t="shared" si="34"/>
        <v/>
      </c>
    </row>
    <row r="327" spans="1:9" x14ac:dyDescent="0.2">
      <c r="A327" s="12" t="str">
        <f>IF($B327="","",318)</f>
        <v/>
      </c>
      <c r="B327" s="18" t="str">
        <f>IF(318&gt;NBskParty,"",INDEX(PkBskParty,318))</f>
        <v/>
      </c>
      <c r="C327" s="16" t="str">
        <f t="shared" si="28"/>
        <v/>
      </c>
      <c r="D327" s="14" t="str">
        <f t="shared" si="29"/>
        <v/>
      </c>
      <c r="E327" s="14" t="str">
        <f t="shared" si="30"/>
        <v/>
      </c>
      <c r="F327" s="14" t="str">
        <f t="shared" si="31"/>
        <v/>
      </c>
      <c r="G327" s="14" t="str">
        <f t="shared" si="32"/>
        <v/>
      </c>
      <c r="H327" s="15" t="str">
        <f t="shared" si="33"/>
        <v/>
      </c>
      <c r="I327" s="13" t="str">
        <f t="shared" si="34"/>
        <v/>
      </c>
    </row>
    <row r="328" spans="1:9" x14ac:dyDescent="0.2">
      <c r="A328" s="7" t="str">
        <f>IF($B328="","",319)</f>
        <v/>
      </c>
      <c r="B328" s="17" t="str">
        <f>IF(319&gt;NBskParty,"",INDEX(PkBskParty,319))</f>
        <v/>
      </c>
      <c r="C328" s="11" t="str">
        <f t="shared" si="28"/>
        <v/>
      </c>
      <c r="D328" s="9" t="str">
        <f t="shared" si="29"/>
        <v/>
      </c>
      <c r="E328" s="9" t="str">
        <f t="shared" si="30"/>
        <v/>
      </c>
      <c r="F328" s="9" t="str">
        <f t="shared" si="31"/>
        <v/>
      </c>
      <c r="G328" s="9" t="str">
        <f t="shared" si="32"/>
        <v/>
      </c>
      <c r="H328" s="10" t="str">
        <f t="shared" si="33"/>
        <v/>
      </c>
      <c r="I328" s="8" t="str">
        <f t="shared" si="34"/>
        <v/>
      </c>
    </row>
    <row r="329" spans="1:9" x14ac:dyDescent="0.2">
      <c r="A329" s="12" t="str">
        <f>IF($B329="","",320)</f>
        <v/>
      </c>
      <c r="B329" s="18" t="str">
        <f>IF(320&gt;NBskParty,"",INDEX(PkBskParty,320))</f>
        <v/>
      </c>
      <c r="C329" s="16" t="str">
        <f t="shared" si="28"/>
        <v/>
      </c>
      <c r="D329" s="14" t="str">
        <f t="shared" si="29"/>
        <v/>
      </c>
      <c r="E329" s="14" t="str">
        <f t="shared" si="30"/>
        <v/>
      </c>
      <c r="F329" s="14" t="str">
        <f t="shared" si="31"/>
        <v/>
      </c>
      <c r="G329" s="14" t="str">
        <f t="shared" si="32"/>
        <v/>
      </c>
      <c r="H329" s="15" t="str">
        <f t="shared" si="33"/>
        <v/>
      </c>
      <c r="I329" s="13" t="str">
        <f t="shared" si="34"/>
        <v/>
      </c>
    </row>
    <row r="330" spans="1:9" x14ac:dyDescent="0.2">
      <c r="A330" s="7" t="str">
        <f>IF($B330="","",321)</f>
        <v/>
      </c>
      <c r="B330" s="17" t="str">
        <f>IF(321&gt;NBskParty,"",INDEX(PkBskParty,321))</f>
        <v/>
      </c>
      <c r="C330" s="11" t="str">
        <f t="shared" ref="C330:C393" si="35">IF($B330="","",IFERROR(IF(VLOOKUP($B330,AcctTbl,4,0)="","(بدون نام)",VLOOKUP($B330,AcctTbl,4,0)),"—"))</f>
        <v/>
      </c>
      <c r="D330" s="9" t="str">
        <f t="shared" ref="D330:D393" si="36">IF($B330="","",SUMIF(CalcPartyA,$B330,CalcQtyA))</f>
        <v/>
      </c>
      <c r="E330" s="9" t="str">
        <f t="shared" ref="E330:E393" si="37">IF($B330="","",SUMIF(CalcPartyA,$B330,CalcAmtA))</f>
        <v/>
      </c>
      <c r="F330" s="9" t="str">
        <f t="shared" ref="F330:F393" si="38">IF($B330="","",SUMIF(CalcPartyB,$B330,CalcWitB))</f>
        <v/>
      </c>
      <c r="G330" s="9" t="str">
        <f t="shared" ref="G330:G393" si="39">IF($B330="","",SUMIF(CalcPartyB,$B330,CalcDepB))</f>
        <v/>
      </c>
      <c r="H330" s="10" t="str">
        <f t="shared" ref="H330:H393" si="40">IF($B330="","",$E330-$F330+$G330)</f>
        <v/>
      </c>
      <c r="I330" s="8" t="str">
        <f t="shared" ref="I330:I393" si="41">IF($B330="","",IF(ROUND($H330,0)&gt;0,"● بستانکار",IF(ROUND($H330,0)&lt;0,"● بدهکار","تسویه")))</f>
        <v/>
      </c>
    </row>
    <row r="331" spans="1:9" x14ac:dyDescent="0.2">
      <c r="A331" s="12" t="str">
        <f>IF($B331="","",322)</f>
        <v/>
      </c>
      <c r="B331" s="18" t="str">
        <f>IF(322&gt;NBskParty,"",INDEX(PkBskParty,322))</f>
        <v/>
      </c>
      <c r="C331" s="16" t="str">
        <f t="shared" si="35"/>
        <v/>
      </c>
      <c r="D331" s="14" t="str">
        <f t="shared" si="36"/>
        <v/>
      </c>
      <c r="E331" s="14" t="str">
        <f t="shared" si="37"/>
        <v/>
      </c>
      <c r="F331" s="14" t="str">
        <f t="shared" si="38"/>
        <v/>
      </c>
      <c r="G331" s="14" t="str">
        <f t="shared" si="39"/>
        <v/>
      </c>
      <c r="H331" s="15" t="str">
        <f t="shared" si="40"/>
        <v/>
      </c>
      <c r="I331" s="13" t="str">
        <f t="shared" si="41"/>
        <v/>
      </c>
    </row>
    <row r="332" spans="1:9" x14ac:dyDescent="0.2">
      <c r="A332" s="7" t="str">
        <f>IF($B332="","",323)</f>
        <v/>
      </c>
      <c r="B332" s="17" t="str">
        <f>IF(323&gt;NBskParty,"",INDEX(PkBskParty,323))</f>
        <v/>
      </c>
      <c r="C332" s="11" t="str">
        <f t="shared" si="35"/>
        <v/>
      </c>
      <c r="D332" s="9" t="str">
        <f t="shared" si="36"/>
        <v/>
      </c>
      <c r="E332" s="9" t="str">
        <f t="shared" si="37"/>
        <v/>
      </c>
      <c r="F332" s="9" t="str">
        <f t="shared" si="38"/>
        <v/>
      </c>
      <c r="G332" s="9" t="str">
        <f t="shared" si="39"/>
        <v/>
      </c>
      <c r="H332" s="10" t="str">
        <f t="shared" si="40"/>
        <v/>
      </c>
      <c r="I332" s="8" t="str">
        <f t="shared" si="41"/>
        <v/>
      </c>
    </row>
    <row r="333" spans="1:9" x14ac:dyDescent="0.2">
      <c r="A333" s="12" t="str">
        <f>IF($B333="","",324)</f>
        <v/>
      </c>
      <c r="B333" s="18" t="str">
        <f>IF(324&gt;NBskParty,"",INDEX(PkBskParty,324))</f>
        <v/>
      </c>
      <c r="C333" s="16" t="str">
        <f t="shared" si="35"/>
        <v/>
      </c>
      <c r="D333" s="14" t="str">
        <f t="shared" si="36"/>
        <v/>
      </c>
      <c r="E333" s="14" t="str">
        <f t="shared" si="37"/>
        <v/>
      </c>
      <c r="F333" s="14" t="str">
        <f t="shared" si="38"/>
        <v/>
      </c>
      <c r="G333" s="14" t="str">
        <f t="shared" si="39"/>
        <v/>
      </c>
      <c r="H333" s="15" t="str">
        <f t="shared" si="40"/>
        <v/>
      </c>
      <c r="I333" s="13" t="str">
        <f t="shared" si="41"/>
        <v/>
      </c>
    </row>
    <row r="334" spans="1:9" x14ac:dyDescent="0.2">
      <c r="A334" s="7" t="str">
        <f>IF($B334="","",325)</f>
        <v/>
      </c>
      <c r="B334" s="17" t="str">
        <f>IF(325&gt;NBskParty,"",INDEX(PkBskParty,325))</f>
        <v/>
      </c>
      <c r="C334" s="11" t="str">
        <f t="shared" si="35"/>
        <v/>
      </c>
      <c r="D334" s="9" t="str">
        <f t="shared" si="36"/>
        <v/>
      </c>
      <c r="E334" s="9" t="str">
        <f t="shared" si="37"/>
        <v/>
      </c>
      <c r="F334" s="9" t="str">
        <f t="shared" si="38"/>
        <v/>
      </c>
      <c r="G334" s="9" t="str">
        <f t="shared" si="39"/>
        <v/>
      </c>
      <c r="H334" s="10" t="str">
        <f t="shared" si="40"/>
        <v/>
      </c>
      <c r="I334" s="8" t="str">
        <f t="shared" si="41"/>
        <v/>
      </c>
    </row>
    <row r="335" spans="1:9" x14ac:dyDescent="0.2">
      <c r="A335" s="12" t="str">
        <f>IF($B335="","",326)</f>
        <v/>
      </c>
      <c r="B335" s="18" t="str">
        <f>IF(326&gt;NBskParty,"",INDEX(PkBskParty,326))</f>
        <v/>
      </c>
      <c r="C335" s="16" t="str">
        <f t="shared" si="35"/>
        <v/>
      </c>
      <c r="D335" s="14" t="str">
        <f t="shared" si="36"/>
        <v/>
      </c>
      <c r="E335" s="14" t="str">
        <f t="shared" si="37"/>
        <v/>
      </c>
      <c r="F335" s="14" t="str">
        <f t="shared" si="38"/>
        <v/>
      </c>
      <c r="G335" s="14" t="str">
        <f t="shared" si="39"/>
        <v/>
      </c>
      <c r="H335" s="15" t="str">
        <f t="shared" si="40"/>
        <v/>
      </c>
      <c r="I335" s="13" t="str">
        <f t="shared" si="41"/>
        <v/>
      </c>
    </row>
    <row r="336" spans="1:9" x14ac:dyDescent="0.2">
      <c r="A336" s="7" t="str">
        <f>IF($B336="","",327)</f>
        <v/>
      </c>
      <c r="B336" s="17" t="str">
        <f>IF(327&gt;NBskParty,"",INDEX(PkBskParty,327))</f>
        <v/>
      </c>
      <c r="C336" s="11" t="str">
        <f t="shared" si="35"/>
        <v/>
      </c>
      <c r="D336" s="9" t="str">
        <f t="shared" si="36"/>
        <v/>
      </c>
      <c r="E336" s="9" t="str">
        <f t="shared" si="37"/>
        <v/>
      </c>
      <c r="F336" s="9" t="str">
        <f t="shared" si="38"/>
        <v/>
      </c>
      <c r="G336" s="9" t="str">
        <f t="shared" si="39"/>
        <v/>
      </c>
      <c r="H336" s="10" t="str">
        <f t="shared" si="40"/>
        <v/>
      </c>
      <c r="I336" s="8" t="str">
        <f t="shared" si="41"/>
        <v/>
      </c>
    </row>
    <row r="337" spans="1:9" x14ac:dyDescent="0.2">
      <c r="A337" s="12" t="str">
        <f>IF($B337="","",328)</f>
        <v/>
      </c>
      <c r="B337" s="18" t="str">
        <f>IF(328&gt;NBskParty,"",INDEX(PkBskParty,328))</f>
        <v/>
      </c>
      <c r="C337" s="16" t="str">
        <f t="shared" si="35"/>
        <v/>
      </c>
      <c r="D337" s="14" t="str">
        <f t="shared" si="36"/>
        <v/>
      </c>
      <c r="E337" s="14" t="str">
        <f t="shared" si="37"/>
        <v/>
      </c>
      <c r="F337" s="14" t="str">
        <f t="shared" si="38"/>
        <v/>
      </c>
      <c r="G337" s="14" t="str">
        <f t="shared" si="39"/>
        <v/>
      </c>
      <c r="H337" s="15" t="str">
        <f t="shared" si="40"/>
        <v/>
      </c>
      <c r="I337" s="13" t="str">
        <f t="shared" si="41"/>
        <v/>
      </c>
    </row>
    <row r="338" spans="1:9" x14ac:dyDescent="0.2">
      <c r="A338" s="7" t="str">
        <f>IF($B338="","",329)</f>
        <v/>
      </c>
      <c r="B338" s="17" t="str">
        <f>IF(329&gt;NBskParty,"",INDEX(PkBskParty,329))</f>
        <v/>
      </c>
      <c r="C338" s="11" t="str">
        <f t="shared" si="35"/>
        <v/>
      </c>
      <c r="D338" s="9" t="str">
        <f t="shared" si="36"/>
        <v/>
      </c>
      <c r="E338" s="9" t="str">
        <f t="shared" si="37"/>
        <v/>
      </c>
      <c r="F338" s="9" t="str">
        <f t="shared" si="38"/>
        <v/>
      </c>
      <c r="G338" s="9" t="str">
        <f t="shared" si="39"/>
        <v/>
      </c>
      <c r="H338" s="10" t="str">
        <f t="shared" si="40"/>
        <v/>
      </c>
      <c r="I338" s="8" t="str">
        <f t="shared" si="41"/>
        <v/>
      </c>
    </row>
    <row r="339" spans="1:9" x14ac:dyDescent="0.2">
      <c r="A339" s="12" t="str">
        <f>IF($B339="","",330)</f>
        <v/>
      </c>
      <c r="B339" s="18" t="str">
        <f>IF(330&gt;NBskParty,"",INDEX(PkBskParty,330))</f>
        <v/>
      </c>
      <c r="C339" s="16" t="str">
        <f t="shared" si="35"/>
        <v/>
      </c>
      <c r="D339" s="14" t="str">
        <f t="shared" si="36"/>
        <v/>
      </c>
      <c r="E339" s="14" t="str">
        <f t="shared" si="37"/>
        <v/>
      </c>
      <c r="F339" s="14" t="str">
        <f t="shared" si="38"/>
        <v/>
      </c>
      <c r="G339" s="14" t="str">
        <f t="shared" si="39"/>
        <v/>
      </c>
      <c r="H339" s="15" t="str">
        <f t="shared" si="40"/>
        <v/>
      </c>
      <c r="I339" s="13" t="str">
        <f t="shared" si="41"/>
        <v/>
      </c>
    </row>
    <row r="340" spans="1:9" x14ac:dyDescent="0.2">
      <c r="A340" s="7" t="str">
        <f>IF($B340="","",331)</f>
        <v/>
      </c>
      <c r="B340" s="17" t="str">
        <f>IF(331&gt;NBskParty,"",INDEX(PkBskParty,331))</f>
        <v/>
      </c>
      <c r="C340" s="11" t="str">
        <f t="shared" si="35"/>
        <v/>
      </c>
      <c r="D340" s="9" t="str">
        <f t="shared" si="36"/>
        <v/>
      </c>
      <c r="E340" s="9" t="str">
        <f t="shared" si="37"/>
        <v/>
      </c>
      <c r="F340" s="9" t="str">
        <f t="shared" si="38"/>
        <v/>
      </c>
      <c r="G340" s="9" t="str">
        <f t="shared" si="39"/>
        <v/>
      </c>
      <c r="H340" s="10" t="str">
        <f t="shared" si="40"/>
        <v/>
      </c>
      <c r="I340" s="8" t="str">
        <f t="shared" si="41"/>
        <v/>
      </c>
    </row>
    <row r="341" spans="1:9" x14ac:dyDescent="0.2">
      <c r="A341" s="12" t="str">
        <f>IF($B341="","",332)</f>
        <v/>
      </c>
      <c r="B341" s="18" t="str">
        <f>IF(332&gt;NBskParty,"",INDEX(PkBskParty,332))</f>
        <v/>
      </c>
      <c r="C341" s="16" t="str">
        <f t="shared" si="35"/>
        <v/>
      </c>
      <c r="D341" s="14" t="str">
        <f t="shared" si="36"/>
        <v/>
      </c>
      <c r="E341" s="14" t="str">
        <f t="shared" si="37"/>
        <v/>
      </c>
      <c r="F341" s="14" t="str">
        <f t="shared" si="38"/>
        <v/>
      </c>
      <c r="G341" s="14" t="str">
        <f t="shared" si="39"/>
        <v/>
      </c>
      <c r="H341" s="15" t="str">
        <f t="shared" si="40"/>
        <v/>
      </c>
      <c r="I341" s="13" t="str">
        <f t="shared" si="41"/>
        <v/>
      </c>
    </row>
    <row r="342" spans="1:9" x14ac:dyDescent="0.2">
      <c r="A342" s="7" t="str">
        <f>IF($B342="","",333)</f>
        <v/>
      </c>
      <c r="B342" s="17" t="str">
        <f>IF(333&gt;NBskParty,"",INDEX(PkBskParty,333))</f>
        <v/>
      </c>
      <c r="C342" s="11" t="str">
        <f t="shared" si="35"/>
        <v/>
      </c>
      <c r="D342" s="9" t="str">
        <f t="shared" si="36"/>
        <v/>
      </c>
      <c r="E342" s="9" t="str">
        <f t="shared" si="37"/>
        <v/>
      </c>
      <c r="F342" s="9" t="str">
        <f t="shared" si="38"/>
        <v/>
      </c>
      <c r="G342" s="9" t="str">
        <f t="shared" si="39"/>
        <v/>
      </c>
      <c r="H342" s="10" t="str">
        <f t="shared" si="40"/>
        <v/>
      </c>
      <c r="I342" s="8" t="str">
        <f t="shared" si="41"/>
        <v/>
      </c>
    </row>
    <row r="343" spans="1:9" x14ac:dyDescent="0.2">
      <c r="A343" s="12" t="str">
        <f>IF($B343="","",334)</f>
        <v/>
      </c>
      <c r="B343" s="18" t="str">
        <f>IF(334&gt;NBskParty,"",INDEX(PkBskParty,334))</f>
        <v/>
      </c>
      <c r="C343" s="16" t="str">
        <f t="shared" si="35"/>
        <v/>
      </c>
      <c r="D343" s="14" t="str">
        <f t="shared" si="36"/>
        <v/>
      </c>
      <c r="E343" s="14" t="str">
        <f t="shared" si="37"/>
        <v/>
      </c>
      <c r="F343" s="14" t="str">
        <f t="shared" si="38"/>
        <v/>
      </c>
      <c r="G343" s="14" t="str">
        <f t="shared" si="39"/>
        <v/>
      </c>
      <c r="H343" s="15" t="str">
        <f t="shared" si="40"/>
        <v/>
      </c>
      <c r="I343" s="13" t="str">
        <f t="shared" si="41"/>
        <v/>
      </c>
    </row>
    <row r="344" spans="1:9" x14ac:dyDescent="0.2">
      <c r="A344" s="7" t="str">
        <f>IF($B344="","",335)</f>
        <v/>
      </c>
      <c r="B344" s="17" t="str">
        <f>IF(335&gt;NBskParty,"",INDEX(PkBskParty,335))</f>
        <v/>
      </c>
      <c r="C344" s="11" t="str">
        <f t="shared" si="35"/>
        <v/>
      </c>
      <c r="D344" s="9" t="str">
        <f t="shared" si="36"/>
        <v/>
      </c>
      <c r="E344" s="9" t="str">
        <f t="shared" si="37"/>
        <v/>
      </c>
      <c r="F344" s="9" t="str">
        <f t="shared" si="38"/>
        <v/>
      </c>
      <c r="G344" s="9" t="str">
        <f t="shared" si="39"/>
        <v/>
      </c>
      <c r="H344" s="10" t="str">
        <f t="shared" si="40"/>
        <v/>
      </c>
      <c r="I344" s="8" t="str">
        <f t="shared" si="41"/>
        <v/>
      </c>
    </row>
    <row r="345" spans="1:9" x14ac:dyDescent="0.2">
      <c r="A345" s="12" t="str">
        <f>IF($B345="","",336)</f>
        <v/>
      </c>
      <c r="B345" s="18" t="str">
        <f>IF(336&gt;NBskParty,"",INDEX(PkBskParty,336))</f>
        <v/>
      </c>
      <c r="C345" s="16" t="str">
        <f t="shared" si="35"/>
        <v/>
      </c>
      <c r="D345" s="14" t="str">
        <f t="shared" si="36"/>
        <v/>
      </c>
      <c r="E345" s="14" t="str">
        <f t="shared" si="37"/>
        <v/>
      </c>
      <c r="F345" s="14" t="str">
        <f t="shared" si="38"/>
        <v/>
      </c>
      <c r="G345" s="14" t="str">
        <f t="shared" si="39"/>
        <v/>
      </c>
      <c r="H345" s="15" t="str">
        <f t="shared" si="40"/>
        <v/>
      </c>
      <c r="I345" s="13" t="str">
        <f t="shared" si="41"/>
        <v/>
      </c>
    </row>
    <row r="346" spans="1:9" x14ac:dyDescent="0.2">
      <c r="A346" s="7" t="str">
        <f>IF($B346="","",337)</f>
        <v/>
      </c>
      <c r="B346" s="17" t="str">
        <f>IF(337&gt;NBskParty,"",INDEX(PkBskParty,337))</f>
        <v/>
      </c>
      <c r="C346" s="11" t="str">
        <f t="shared" si="35"/>
        <v/>
      </c>
      <c r="D346" s="9" t="str">
        <f t="shared" si="36"/>
        <v/>
      </c>
      <c r="E346" s="9" t="str">
        <f t="shared" si="37"/>
        <v/>
      </c>
      <c r="F346" s="9" t="str">
        <f t="shared" si="38"/>
        <v/>
      </c>
      <c r="G346" s="9" t="str">
        <f t="shared" si="39"/>
        <v/>
      </c>
      <c r="H346" s="10" t="str">
        <f t="shared" si="40"/>
        <v/>
      </c>
      <c r="I346" s="8" t="str">
        <f t="shared" si="41"/>
        <v/>
      </c>
    </row>
    <row r="347" spans="1:9" x14ac:dyDescent="0.2">
      <c r="A347" s="12" t="str">
        <f>IF($B347="","",338)</f>
        <v/>
      </c>
      <c r="B347" s="18" t="str">
        <f>IF(338&gt;NBskParty,"",INDEX(PkBskParty,338))</f>
        <v/>
      </c>
      <c r="C347" s="16" t="str">
        <f t="shared" si="35"/>
        <v/>
      </c>
      <c r="D347" s="14" t="str">
        <f t="shared" si="36"/>
        <v/>
      </c>
      <c r="E347" s="14" t="str">
        <f t="shared" si="37"/>
        <v/>
      </c>
      <c r="F347" s="14" t="str">
        <f t="shared" si="38"/>
        <v/>
      </c>
      <c r="G347" s="14" t="str">
        <f t="shared" si="39"/>
        <v/>
      </c>
      <c r="H347" s="15" t="str">
        <f t="shared" si="40"/>
        <v/>
      </c>
      <c r="I347" s="13" t="str">
        <f t="shared" si="41"/>
        <v/>
      </c>
    </row>
    <row r="348" spans="1:9" x14ac:dyDescent="0.2">
      <c r="A348" s="7" t="str">
        <f>IF($B348="","",339)</f>
        <v/>
      </c>
      <c r="B348" s="17" t="str">
        <f>IF(339&gt;NBskParty,"",INDEX(PkBskParty,339))</f>
        <v/>
      </c>
      <c r="C348" s="11" t="str">
        <f t="shared" si="35"/>
        <v/>
      </c>
      <c r="D348" s="9" t="str">
        <f t="shared" si="36"/>
        <v/>
      </c>
      <c r="E348" s="9" t="str">
        <f t="shared" si="37"/>
        <v/>
      </c>
      <c r="F348" s="9" t="str">
        <f t="shared" si="38"/>
        <v/>
      </c>
      <c r="G348" s="9" t="str">
        <f t="shared" si="39"/>
        <v/>
      </c>
      <c r="H348" s="10" t="str">
        <f t="shared" si="40"/>
        <v/>
      </c>
      <c r="I348" s="8" t="str">
        <f t="shared" si="41"/>
        <v/>
      </c>
    </row>
    <row r="349" spans="1:9" x14ac:dyDescent="0.2">
      <c r="A349" s="12" t="str">
        <f>IF($B349="","",340)</f>
        <v/>
      </c>
      <c r="B349" s="18" t="str">
        <f>IF(340&gt;NBskParty,"",INDEX(PkBskParty,340))</f>
        <v/>
      </c>
      <c r="C349" s="16" t="str">
        <f t="shared" si="35"/>
        <v/>
      </c>
      <c r="D349" s="14" t="str">
        <f t="shared" si="36"/>
        <v/>
      </c>
      <c r="E349" s="14" t="str">
        <f t="shared" si="37"/>
        <v/>
      </c>
      <c r="F349" s="14" t="str">
        <f t="shared" si="38"/>
        <v/>
      </c>
      <c r="G349" s="14" t="str">
        <f t="shared" si="39"/>
        <v/>
      </c>
      <c r="H349" s="15" t="str">
        <f t="shared" si="40"/>
        <v/>
      </c>
      <c r="I349" s="13" t="str">
        <f t="shared" si="41"/>
        <v/>
      </c>
    </row>
    <row r="350" spans="1:9" x14ac:dyDescent="0.2">
      <c r="A350" s="7" t="str">
        <f>IF($B350="","",341)</f>
        <v/>
      </c>
      <c r="B350" s="17" t="str">
        <f>IF(341&gt;NBskParty,"",INDEX(PkBskParty,341))</f>
        <v/>
      </c>
      <c r="C350" s="11" t="str">
        <f t="shared" si="35"/>
        <v/>
      </c>
      <c r="D350" s="9" t="str">
        <f t="shared" si="36"/>
        <v/>
      </c>
      <c r="E350" s="9" t="str">
        <f t="shared" si="37"/>
        <v/>
      </c>
      <c r="F350" s="9" t="str">
        <f t="shared" si="38"/>
        <v/>
      </c>
      <c r="G350" s="9" t="str">
        <f t="shared" si="39"/>
        <v/>
      </c>
      <c r="H350" s="10" t="str">
        <f t="shared" si="40"/>
        <v/>
      </c>
      <c r="I350" s="8" t="str">
        <f t="shared" si="41"/>
        <v/>
      </c>
    </row>
    <row r="351" spans="1:9" x14ac:dyDescent="0.2">
      <c r="A351" s="12" t="str">
        <f>IF($B351="","",342)</f>
        <v/>
      </c>
      <c r="B351" s="18" t="str">
        <f>IF(342&gt;NBskParty,"",INDEX(PkBskParty,342))</f>
        <v/>
      </c>
      <c r="C351" s="16" t="str">
        <f t="shared" si="35"/>
        <v/>
      </c>
      <c r="D351" s="14" t="str">
        <f t="shared" si="36"/>
        <v/>
      </c>
      <c r="E351" s="14" t="str">
        <f t="shared" si="37"/>
        <v/>
      </c>
      <c r="F351" s="14" t="str">
        <f t="shared" si="38"/>
        <v/>
      </c>
      <c r="G351" s="14" t="str">
        <f t="shared" si="39"/>
        <v/>
      </c>
      <c r="H351" s="15" t="str">
        <f t="shared" si="40"/>
        <v/>
      </c>
      <c r="I351" s="13" t="str">
        <f t="shared" si="41"/>
        <v/>
      </c>
    </row>
    <row r="352" spans="1:9" x14ac:dyDescent="0.2">
      <c r="A352" s="7" t="str">
        <f>IF($B352="","",343)</f>
        <v/>
      </c>
      <c r="B352" s="17" t="str">
        <f>IF(343&gt;NBskParty,"",INDEX(PkBskParty,343))</f>
        <v/>
      </c>
      <c r="C352" s="11" t="str">
        <f t="shared" si="35"/>
        <v/>
      </c>
      <c r="D352" s="9" t="str">
        <f t="shared" si="36"/>
        <v/>
      </c>
      <c r="E352" s="9" t="str">
        <f t="shared" si="37"/>
        <v/>
      </c>
      <c r="F352" s="9" t="str">
        <f t="shared" si="38"/>
        <v/>
      </c>
      <c r="G352" s="9" t="str">
        <f t="shared" si="39"/>
        <v/>
      </c>
      <c r="H352" s="10" t="str">
        <f t="shared" si="40"/>
        <v/>
      </c>
      <c r="I352" s="8" t="str">
        <f t="shared" si="41"/>
        <v/>
      </c>
    </row>
    <row r="353" spans="1:9" x14ac:dyDescent="0.2">
      <c r="A353" s="12" t="str">
        <f>IF($B353="","",344)</f>
        <v/>
      </c>
      <c r="B353" s="18" t="str">
        <f>IF(344&gt;NBskParty,"",INDEX(PkBskParty,344))</f>
        <v/>
      </c>
      <c r="C353" s="16" t="str">
        <f t="shared" si="35"/>
        <v/>
      </c>
      <c r="D353" s="14" t="str">
        <f t="shared" si="36"/>
        <v/>
      </c>
      <c r="E353" s="14" t="str">
        <f t="shared" si="37"/>
        <v/>
      </c>
      <c r="F353" s="14" t="str">
        <f t="shared" si="38"/>
        <v/>
      </c>
      <c r="G353" s="14" t="str">
        <f t="shared" si="39"/>
        <v/>
      </c>
      <c r="H353" s="15" t="str">
        <f t="shared" si="40"/>
        <v/>
      </c>
      <c r="I353" s="13" t="str">
        <f t="shared" si="41"/>
        <v/>
      </c>
    </row>
    <row r="354" spans="1:9" x14ac:dyDescent="0.2">
      <c r="A354" s="7" t="str">
        <f>IF($B354="","",345)</f>
        <v/>
      </c>
      <c r="B354" s="17" t="str">
        <f>IF(345&gt;NBskParty,"",INDEX(PkBskParty,345))</f>
        <v/>
      </c>
      <c r="C354" s="11" t="str">
        <f t="shared" si="35"/>
        <v/>
      </c>
      <c r="D354" s="9" t="str">
        <f t="shared" si="36"/>
        <v/>
      </c>
      <c r="E354" s="9" t="str">
        <f t="shared" si="37"/>
        <v/>
      </c>
      <c r="F354" s="9" t="str">
        <f t="shared" si="38"/>
        <v/>
      </c>
      <c r="G354" s="9" t="str">
        <f t="shared" si="39"/>
        <v/>
      </c>
      <c r="H354" s="10" t="str">
        <f t="shared" si="40"/>
        <v/>
      </c>
      <c r="I354" s="8" t="str">
        <f t="shared" si="41"/>
        <v/>
      </c>
    </row>
    <row r="355" spans="1:9" x14ac:dyDescent="0.2">
      <c r="A355" s="12" t="str">
        <f>IF($B355="","",346)</f>
        <v/>
      </c>
      <c r="B355" s="18" t="str">
        <f>IF(346&gt;NBskParty,"",INDEX(PkBskParty,346))</f>
        <v/>
      </c>
      <c r="C355" s="16" t="str">
        <f t="shared" si="35"/>
        <v/>
      </c>
      <c r="D355" s="14" t="str">
        <f t="shared" si="36"/>
        <v/>
      </c>
      <c r="E355" s="14" t="str">
        <f t="shared" si="37"/>
        <v/>
      </c>
      <c r="F355" s="14" t="str">
        <f t="shared" si="38"/>
        <v/>
      </c>
      <c r="G355" s="14" t="str">
        <f t="shared" si="39"/>
        <v/>
      </c>
      <c r="H355" s="15" t="str">
        <f t="shared" si="40"/>
        <v/>
      </c>
      <c r="I355" s="13" t="str">
        <f t="shared" si="41"/>
        <v/>
      </c>
    </row>
    <row r="356" spans="1:9" x14ac:dyDescent="0.2">
      <c r="A356" s="7" t="str">
        <f>IF($B356="","",347)</f>
        <v/>
      </c>
      <c r="B356" s="17" t="str">
        <f>IF(347&gt;NBskParty,"",INDEX(PkBskParty,347))</f>
        <v/>
      </c>
      <c r="C356" s="11" t="str">
        <f t="shared" si="35"/>
        <v/>
      </c>
      <c r="D356" s="9" t="str">
        <f t="shared" si="36"/>
        <v/>
      </c>
      <c r="E356" s="9" t="str">
        <f t="shared" si="37"/>
        <v/>
      </c>
      <c r="F356" s="9" t="str">
        <f t="shared" si="38"/>
        <v/>
      </c>
      <c r="G356" s="9" t="str">
        <f t="shared" si="39"/>
        <v/>
      </c>
      <c r="H356" s="10" t="str">
        <f t="shared" si="40"/>
        <v/>
      </c>
      <c r="I356" s="8" t="str">
        <f t="shared" si="41"/>
        <v/>
      </c>
    </row>
    <row r="357" spans="1:9" x14ac:dyDescent="0.2">
      <c r="A357" s="12" t="str">
        <f>IF($B357="","",348)</f>
        <v/>
      </c>
      <c r="B357" s="18" t="str">
        <f>IF(348&gt;NBskParty,"",INDEX(PkBskParty,348))</f>
        <v/>
      </c>
      <c r="C357" s="16" t="str">
        <f t="shared" si="35"/>
        <v/>
      </c>
      <c r="D357" s="14" t="str">
        <f t="shared" si="36"/>
        <v/>
      </c>
      <c r="E357" s="14" t="str">
        <f t="shared" si="37"/>
        <v/>
      </c>
      <c r="F357" s="14" t="str">
        <f t="shared" si="38"/>
        <v/>
      </c>
      <c r="G357" s="14" t="str">
        <f t="shared" si="39"/>
        <v/>
      </c>
      <c r="H357" s="15" t="str">
        <f t="shared" si="40"/>
        <v/>
      </c>
      <c r="I357" s="13" t="str">
        <f t="shared" si="41"/>
        <v/>
      </c>
    </row>
    <row r="358" spans="1:9" x14ac:dyDescent="0.2">
      <c r="A358" s="7" t="str">
        <f>IF($B358="","",349)</f>
        <v/>
      </c>
      <c r="B358" s="17" t="str">
        <f>IF(349&gt;NBskParty,"",INDEX(PkBskParty,349))</f>
        <v/>
      </c>
      <c r="C358" s="11" t="str">
        <f t="shared" si="35"/>
        <v/>
      </c>
      <c r="D358" s="9" t="str">
        <f t="shared" si="36"/>
        <v/>
      </c>
      <c r="E358" s="9" t="str">
        <f t="shared" si="37"/>
        <v/>
      </c>
      <c r="F358" s="9" t="str">
        <f t="shared" si="38"/>
        <v/>
      </c>
      <c r="G358" s="9" t="str">
        <f t="shared" si="39"/>
        <v/>
      </c>
      <c r="H358" s="10" t="str">
        <f t="shared" si="40"/>
        <v/>
      </c>
      <c r="I358" s="8" t="str">
        <f t="shared" si="41"/>
        <v/>
      </c>
    </row>
    <row r="359" spans="1:9" x14ac:dyDescent="0.2">
      <c r="A359" s="12" t="str">
        <f>IF($B359="","",350)</f>
        <v/>
      </c>
      <c r="B359" s="18" t="str">
        <f>IF(350&gt;NBskParty,"",INDEX(PkBskParty,350))</f>
        <v/>
      </c>
      <c r="C359" s="16" t="str">
        <f t="shared" si="35"/>
        <v/>
      </c>
      <c r="D359" s="14" t="str">
        <f t="shared" si="36"/>
        <v/>
      </c>
      <c r="E359" s="14" t="str">
        <f t="shared" si="37"/>
        <v/>
      </c>
      <c r="F359" s="14" t="str">
        <f t="shared" si="38"/>
        <v/>
      </c>
      <c r="G359" s="14" t="str">
        <f t="shared" si="39"/>
        <v/>
      </c>
      <c r="H359" s="15" t="str">
        <f t="shared" si="40"/>
        <v/>
      </c>
      <c r="I359" s="13" t="str">
        <f t="shared" si="41"/>
        <v/>
      </c>
    </row>
    <row r="360" spans="1:9" x14ac:dyDescent="0.2">
      <c r="A360" s="7" t="str">
        <f>IF($B360="","",351)</f>
        <v/>
      </c>
      <c r="B360" s="17" t="str">
        <f>IF(351&gt;NBskParty,"",INDEX(PkBskParty,351))</f>
        <v/>
      </c>
      <c r="C360" s="11" t="str">
        <f t="shared" si="35"/>
        <v/>
      </c>
      <c r="D360" s="9" t="str">
        <f t="shared" si="36"/>
        <v/>
      </c>
      <c r="E360" s="9" t="str">
        <f t="shared" si="37"/>
        <v/>
      </c>
      <c r="F360" s="9" t="str">
        <f t="shared" si="38"/>
        <v/>
      </c>
      <c r="G360" s="9" t="str">
        <f t="shared" si="39"/>
        <v/>
      </c>
      <c r="H360" s="10" t="str">
        <f t="shared" si="40"/>
        <v/>
      </c>
      <c r="I360" s="8" t="str">
        <f t="shared" si="41"/>
        <v/>
      </c>
    </row>
    <row r="361" spans="1:9" x14ac:dyDescent="0.2">
      <c r="A361" s="12" t="str">
        <f>IF($B361="","",352)</f>
        <v/>
      </c>
      <c r="B361" s="18" t="str">
        <f>IF(352&gt;NBskParty,"",INDEX(PkBskParty,352))</f>
        <v/>
      </c>
      <c r="C361" s="16" t="str">
        <f t="shared" si="35"/>
        <v/>
      </c>
      <c r="D361" s="14" t="str">
        <f t="shared" si="36"/>
        <v/>
      </c>
      <c r="E361" s="14" t="str">
        <f t="shared" si="37"/>
        <v/>
      </c>
      <c r="F361" s="14" t="str">
        <f t="shared" si="38"/>
        <v/>
      </c>
      <c r="G361" s="14" t="str">
        <f t="shared" si="39"/>
        <v/>
      </c>
      <c r="H361" s="15" t="str">
        <f t="shared" si="40"/>
        <v/>
      </c>
      <c r="I361" s="13" t="str">
        <f t="shared" si="41"/>
        <v/>
      </c>
    </row>
    <row r="362" spans="1:9" x14ac:dyDescent="0.2">
      <c r="A362" s="7" t="str">
        <f>IF($B362="","",353)</f>
        <v/>
      </c>
      <c r="B362" s="17" t="str">
        <f>IF(353&gt;NBskParty,"",INDEX(PkBskParty,353))</f>
        <v/>
      </c>
      <c r="C362" s="11" t="str">
        <f t="shared" si="35"/>
        <v/>
      </c>
      <c r="D362" s="9" t="str">
        <f t="shared" si="36"/>
        <v/>
      </c>
      <c r="E362" s="9" t="str">
        <f t="shared" si="37"/>
        <v/>
      </c>
      <c r="F362" s="9" t="str">
        <f t="shared" si="38"/>
        <v/>
      </c>
      <c r="G362" s="9" t="str">
        <f t="shared" si="39"/>
        <v/>
      </c>
      <c r="H362" s="10" t="str">
        <f t="shared" si="40"/>
        <v/>
      </c>
      <c r="I362" s="8" t="str">
        <f t="shared" si="41"/>
        <v/>
      </c>
    </row>
    <row r="363" spans="1:9" x14ac:dyDescent="0.2">
      <c r="A363" s="12" t="str">
        <f>IF($B363="","",354)</f>
        <v/>
      </c>
      <c r="B363" s="18" t="str">
        <f>IF(354&gt;NBskParty,"",INDEX(PkBskParty,354))</f>
        <v/>
      </c>
      <c r="C363" s="16" t="str">
        <f t="shared" si="35"/>
        <v/>
      </c>
      <c r="D363" s="14" t="str">
        <f t="shared" si="36"/>
        <v/>
      </c>
      <c r="E363" s="14" t="str">
        <f t="shared" si="37"/>
        <v/>
      </c>
      <c r="F363" s="14" t="str">
        <f t="shared" si="38"/>
        <v/>
      </c>
      <c r="G363" s="14" t="str">
        <f t="shared" si="39"/>
        <v/>
      </c>
      <c r="H363" s="15" t="str">
        <f t="shared" si="40"/>
        <v/>
      </c>
      <c r="I363" s="13" t="str">
        <f t="shared" si="41"/>
        <v/>
      </c>
    </row>
    <row r="364" spans="1:9" x14ac:dyDescent="0.2">
      <c r="A364" s="7" t="str">
        <f>IF($B364="","",355)</f>
        <v/>
      </c>
      <c r="B364" s="17" t="str">
        <f>IF(355&gt;NBskParty,"",INDEX(PkBskParty,355))</f>
        <v/>
      </c>
      <c r="C364" s="11" t="str">
        <f t="shared" si="35"/>
        <v/>
      </c>
      <c r="D364" s="9" t="str">
        <f t="shared" si="36"/>
        <v/>
      </c>
      <c r="E364" s="9" t="str">
        <f t="shared" si="37"/>
        <v/>
      </c>
      <c r="F364" s="9" t="str">
        <f t="shared" si="38"/>
        <v/>
      </c>
      <c r="G364" s="9" t="str">
        <f t="shared" si="39"/>
        <v/>
      </c>
      <c r="H364" s="10" t="str">
        <f t="shared" si="40"/>
        <v/>
      </c>
      <c r="I364" s="8" t="str">
        <f t="shared" si="41"/>
        <v/>
      </c>
    </row>
    <row r="365" spans="1:9" x14ac:dyDescent="0.2">
      <c r="A365" s="12" t="str">
        <f>IF($B365="","",356)</f>
        <v/>
      </c>
      <c r="B365" s="18" t="str">
        <f>IF(356&gt;NBskParty,"",INDEX(PkBskParty,356))</f>
        <v/>
      </c>
      <c r="C365" s="16" t="str">
        <f t="shared" si="35"/>
        <v/>
      </c>
      <c r="D365" s="14" t="str">
        <f t="shared" si="36"/>
        <v/>
      </c>
      <c r="E365" s="14" t="str">
        <f t="shared" si="37"/>
        <v/>
      </c>
      <c r="F365" s="14" t="str">
        <f t="shared" si="38"/>
        <v/>
      </c>
      <c r="G365" s="14" t="str">
        <f t="shared" si="39"/>
        <v/>
      </c>
      <c r="H365" s="15" t="str">
        <f t="shared" si="40"/>
        <v/>
      </c>
      <c r="I365" s="13" t="str">
        <f t="shared" si="41"/>
        <v/>
      </c>
    </row>
    <row r="366" spans="1:9" x14ac:dyDescent="0.2">
      <c r="A366" s="7" t="str">
        <f>IF($B366="","",357)</f>
        <v/>
      </c>
      <c r="B366" s="17" t="str">
        <f>IF(357&gt;NBskParty,"",INDEX(PkBskParty,357))</f>
        <v/>
      </c>
      <c r="C366" s="11" t="str">
        <f t="shared" si="35"/>
        <v/>
      </c>
      <c r="D366" s="9" t="str">
        <f t="shared" si="36"/>
        <v/>
      </c>
      <c r="E366" s="9" t="str">
        <f t="shared" si="37"/>
        <v/>
      </c>
      <c r="F366" s="9" t="str">
        <f t="shared" si="38"/>
        <v/>
      </c>
      <c r="G366" s="9" t="str">
        <f t="shared" si="39"/>
        <v/>
      </c>
      <c r="H366" s="10" t="str">
        <f t="shared" si="40"/>
        <v/>
      </c>
      <c r="I366" s="8" t="str">
        <f t="shared" si="41"/>
        <v/>
      </c>
    </row>
    <row r="367" spans="1:9" x14ac:dyDescent="0.2">
      <c r="A367" s="12" t="str">
        <f>IF($B367="","",358)</f>
        <v/>
      </c>
      <c r="B367" s="18" t="str">
        <f>IF(358&gt;NBskParty,"",INDEX(PkBskParty,358))</f>
        <v/>
      </c>
      <c r="C367" s="16" t="str">
        <f t="shared" si="35"/>
        <v/>
      </c>
      <c r="D367" s="14" t="str">
        <f t="shared" si="36"/>
        <v/>
      </c>
      <c r="E367" s="14" t="str">
        <f t="shared" si="37"/>
        <v/>
      </c>
      <c r="F367" s="14" t="str">
        <f t="shared" si="38"/>
        <v/>
      </c>
      <c r="G367" s="14" t="str">
        <f t="shared" si="39"/>
        <v/>
      </c>
      <c r="H367" s="15" t="str">
        <f t="shared" si="40"/>
        <v/>
      </c>
      <c r="I367" s="13" t="str">
        <f t="shared" si="41"/>
        <v/>
      </c>
    </row>
    <row r="368" spans="1:9" x14ac:dyDescent="0.2">
      <c r="A368" s="7" t="str">
        <f>IF($B368="","",359)</f>
        <v/>
      </c>
      <c r="B368" s="17" t="str">
        <f>IF(359&gt;NBskParty,"",INDEX(PkBskParty,359))</f>
        <v/>
      </c>
      <c r="C368" s="11" t="str">
        <f t="shared" si="35"/>
        <v/>
      </c>
      <c r="D368" s="9" t="str">
        <f t="shared" si="36"/>
        <v/>
      </c>
      <c r="E368" s="9" t="str">
        <f t="shared" si="37"/>
        <v/>
      </c>
      <c r="F368" s="9" t="str">
        <f t="shared" si="38"/>
        <v/>
      </c>
      <c r="G368" s="9" t="str">
        <f t="shared" si="39"/>
        <v/>
      </c>
      <c r="H368" s="10" t="str">
        <f t="shared" si="40"/>
        <v/>
      </c>
      <c r="I368" s="8" t="str">
        <f t="shared" si="41"/>
        <v/>
      </c>
    </row>
    <row r="369" spans="1:9" x14ac:dyDescent="0.2">
      <c r="A369" s="12" t="str">
        <f>IF($B369="","",360)</f>
        <v/>
      </c>
      <c r="B369" s="18" t="str">
        <f>IF(360&gt;NBskParty,"",INDEX(PkBskParty,360))</f>
        <v/>
      </c>
      <c r="C369" s="16" t="str">
        <f t="shared" si="35"/>
        <v/>
      </c>
      <c r="D369" s="14" t="str">
        <f t="shared" si="36"/>
        <v/>
      </c>
      <c r="E369" s="14" t="str">
        <f t="shared" si="37"/>
        <v/>
      </c>
      <c r="F369" s="14" t="str">
        <f t="shared" si="38"/>
        <v/>
      </c>
      <c r="G369" s="14" t="str">
        <f t="shared" si="39"/>
        <v/>
      </c>
      <c r="H369" s="15" t="str">
        <f t="shared" si="40"/>
        <v/>
      </c>
      <c r="I369" s="13" t="str">
        <f t="shared" si="41"/>
        <v/>
      </c>
    </row>
    <row r="370" spans="1:9" x14ac:dyDescent="0.2">
      <c r="A370" s="7" t="str">
        <f>IF($B370="","",361)</f>
        <v/>
      </c>
      <c r="B370" s="17" t="str">
        <f>IF(361&gt;NBskParty,"",INDEX(PkBskParty,361))</f>
        <v/>
      </c>
      <c r="C370" s="11" t="str">
        <f t="shared" si="35"/>
        <v/>
      </c>
      <c r="D370" s="9" t="str">
        <f t="shared" si="36"/>
        <v/>
      </c>
      <c r="E370" s="9" t="str">
        <f t="shared" si="37"/>
        <v/>
      </c>
      <c r="F370" s="9" t="str">
        <f t="shared" si="38"/>
        <v/>
      </c>
      <c r="G370" s="9" t="str">
        <f t="shared" si="39"/>
        <v/>
      </c>
      <c r="H370" s="10" t="str">
        <f t="shared" si="40"/>
        <v/>
      </c>
      <c r="I370" s="8" t="str">
        <f t="shared" si="41"/>
        <v/>
      </c>
    </row>
    <row r="371" spans="1:9" x14ac:dyDescent="0.2">
      <c r="A371" s="12" t="str">
        <f>IF($B371="","",362)</f>
        <v/>
      </c>
      <c r="B371" s="18" t="str">
        <f>IF(362&gt;NBskParty,"",INDEX(PkBskParty,362))</f>
        <v/>
      </c>
      <c r="C371" s="16" t="str">
        <f t="shared" si="35"/>
        <v/>
      </c>
      <c r="D371" s="14" t="str">
        <f t="shared" si="36"/>
        <v/>
      </c>
      <c r="E371" s="14" t="str">
        <f t="shared" si="37"/>
        <v/>
      </c>
      <c r="F371" s="14" t="str">
        <f t="shared" si="38"/>
        <v/>
      </c>
      <c r="G371" s="14" t="str">
        <f t="shared" si="39"/>
        <v/>
      </c>
      <c r="H371" s="15" t="str">
        <f t="shared" si="40"/>
        <v/>
      </c>
      <c r="I371" s="13" t="str">
        <f t="shared" si="41"/>
        <v/>
      </c>
    </row>
    <row r="372" spans="1:9" x14ac:dyDescent="0.2">
      <c r="A372" s="7" t="str">
        <f>IF($B372="","",363)</f>
        <v/>
      </c>
      <c r="B372" s="17" t="str">
        <f>IF(363&gt;NBskParty,"",INDEX(PkBskParty,363))</f>
        <v/>
      </c>
      <c r="C372" s="11" t="str">
        <f t="shared" si="35"/>
        <v/>
      </c>
      <c r="D372" s="9" t="str">
        <f t="shared" si="36"/>
        <v/>
      </c>
      <c r="E372" s="9" t="str">
        <f t="shared" si="37"/>
        <v/>
      </c>
      <c r="F372" s="9" t="str">
        <f t="shared" si="38"/>
        <v/>
      </c>
      <c r="G372" s="9" t="str">
        <f t="shared" si="39"/>
        <v/>
      </c>
      <c r="H372" s="10" t="str">
        <f t="shared" si="40"/>
        <v/>
      </c>
      <c r="I372" s="8" t="str">
        <f t="shared" si="41"/>
        <v/>
      </c>
    </row>
    <row r="373" spans="1:9" x14ac:dyDescent="0.2">
      <c r="A373" s="12" t="str">
        <f>IF($B373="","",364)</f>
        <v/>
      </c>
      <c r="B373" s="18" t="str">
        <f>IF(364&gt;NBskParty,"",INDEX(PkBskParty,364))</f>
        <v/>
      </c>
      <c r="C373" s="16" t="str">
        <f t="shared" si="35"/>
        <v/>
      </c>
      <c r="D373" s="14" t="str">
        <f t="shared" si="36"/>
        <v/>
      </c>
      <c r="E373" s="14" t="str">
        <f t="shared" si="37"/>
        <v/>
      </c>
      <c r="F373" s="14" t="str">
        <f t="shared" si="38"/>
        <v/>
      </c>
      <c r="G373" s="14" t="str">
        <f t="shared" si="39"/>
        <v/>
      </c>
      <c r="H373" s="15" t="str">
        <f t="shared" si="40"/>
        <v/>
      </c>
      <c r="I373" s="13" t="str">
        <f t="shared" si="41"/>
        <v/>
      </c>
    </row>
    <row r="374" spans="1:9" x14ac:dyDescent="0.2">
      <c r="A374" s="7" t="str">
        <f>IF($B374="","",365)</f>
        <v/>
      </c>
      <c r="B374" s="17" t="str">
        <f>IF(365&gt;NBskParty,"",INDEX(PkBskParty,365))</f>
        <v/>
      </c>
      <c r="C374" s="11" t="str">
        <f t="shared" si="35"/>
        <v/>
      </c>
      <c r="D374" s="9" t="str">
        <f t="shared" si="36"/>
        <v/>
      </c>
      <c r="E374" s="9" t="str">
        <f t="shared" si="37"/>
        <v/>
      </c>
      <c r="F374" s="9" t="str">
        <f t="shared" si="38"/>
        <v/>
      </c>
      <c r="G374" s="9" t="str">
        <f t="shared" si="39"/>
        <v/>
      </c>
      <c r="H374" s="10" t="str">
        <f t="shared" si="40"/>
        <v/>
      </c>
      <c r="I374" s="8" t="str">
        <f t="shared" si="41"/>
        <v/>
      </c>
    </row>
    <row r="375" spans="1:9" x14ac:dyDescent="0.2">
      <c r="A375" s="12" t="str">
        <f>IF($B375="","",366)</f>
        <v/>
      </c>
      <c r="B375" s="18" t="str">
        <f>IF(366&gt;NBskParty,"",INDEX(PkBskParty,366))</f>
        <v/>
      </c>
      <c r="C375" s="16" t="str">
        <f t="shared" si="35"/>
        <v/>
      </c>
      <c r="D375" s="14" t="str">
        <f t="shared" si="36"/>
        <v/>
      </c>
      <c r="E375" s="14" t="str">
        <f t="shared" si="37"/>
        <v/>
      </c>
      <c r="F375" s="14" t="str">
        <f t="shared" si="38"/>
        <v/>
      </c>
      <c r="G375" s="14" t="str">
        <f t="shared" si="39"/>
        <v/>
      </c>
      <c r="H375" s="15" t="str">
        <f t="shared" si="40"/>
        <v/>
      </c>
      <c r="I375" s="13" t="str">
        <f t="shared" si="41"/>
        <v/>
      </c>
    </row>
    <row r="376" spans="1:9" x14ac:dyDescent="0.2">
      <c r="A376" s="7" t="str">
        <f>IF($B376="","",367)</f>
        <v/>
      </c>
      <c r="B376" s="17" t="str">
        <f>IF(367&gt;NBskParty,"",INDEX(PkBskParty,367))</f>
        <v/>
      </c>
      <c r="C376" s="11" t="str">
        <f t="shared" si="35"/>
        <v/>
      </c>
      <c r="D376" s="9" t="str">
        <f t="shared" si="36"/>
        <v/>
      </c>
      <c r="E376" s="9" t="str">
        <f t="shared" si="37"/>
        <v/>
      </c>
      <c r="F376" s="9" t="str">
        <f t="shared" si="38"/>
        <v/>
      </c>
      <c r="G376" s="9" t="str">
        <f t="shared" si="39"/>
        <v/>
      </c>
      <c r="H376" s="10" t="str">
        <f t="shared" si="40"/>
        <v/>
      </c>
      <c r="I376" s="8" t="str">
        <f t="shared" si="41"/>
        <v/>
      </c>
    </row>
    <row r="377" spans="1:9" x14ac:dyDescent="0.2">
      <c r="A377" s="12" t="str">
        <f>IF($B377="","",368)</f>
        <v/>
      </c>
      <c r="B377" s="18" t="str">
        <f>IF(368&gt;NBskParty,"",INDEX(PkBskParty,368))</f>
        <v/>
      </c>
      <c r="C377" s="16" t="str">
        <f t="shared" si="35"/>
        <v/>
      </c>
      <c r="D377" s="14" t="str">
        <f t="shared" si="36"/>
        <v/>
      </c>
      <c r="E377" s="14" t="str">
        <f t="shared" si="37"/>
        <v/>
      </c>
      <c r="F377" s="14" t="str">
        <f t="shared" si="38"/>
        <v/>
      </c>
      <c r="G377" s="14" t="str">
        <f t="shared" si="39"/>
        <v/>
      </c>
      <c r="H377" s="15" t="str">
        <f t="shared" si="40"/>
        <v/>
      </c>
      <c r="I377" s="13" t="str">
        <f t="shared" si="41"/>
        <v/>
      </c>
    </row>
    <row r="378" spans="1:9" x14ac:dyDescent="0.2">
      <c r="A378" s="7" t="str">
        <f>IF($B378="","",369)</f>
        <v/>
      </c>
      <c r="B378" s="17" t="str">
        <f>IF(369&gt;NBskParty,"",INDEX(PkBskParty,369))</f>
        <v/>
      </c>
      <c r="C378" s="11" t="str">
        <f t="shared" si="35"/>
        <v/>
      </c>
      <c r="D378" s="9" t="str">
        <f t="shared" si="36"/>
        <v/>
      </c>
      <c r="E378" s="9" t="str">
        <f t="shared" si="37"/>
        <v/>
      </c>
      <c r="F378" s="9" t="str">
        <f t="shared" si="38"/>
        <v/>
      </c>
      <c r="G378" s="9" t="str">
        <f t="shared" si="39"/>
        <v/>
      </c>
      <c r="H378" s="10" t="str">
        <f t="shared" si="40"/>
        <v/>
      </c>
      <c r="I378" s="8" t="str">
        <f t="shared" si="41"/>
        <v/>
      </c>
    </row>
    <row r="379" spans="1:9" x14ac:dyDescent="0.2">
      <c r="A379" s="12" t="str">
        <f>IF($B379="","",370)</f>
        <v/>
      </c>
      <c r="B379" s="18" t="str">
        <f>IF(370&gt;NBskParty,"",INDEX(PkBskParty,370))</f>
        <v/>
      </c>
      <c r="C379" s="16" t="str">
        <f t="shared" si="35"/>
        <v/>
      </c>
      <c r="D379" s="14" t="str">
        <f t="shared" si="36"/>
        <v/>
      </c>
      <c r="E379" s="14" t="str">
        <f t="shared" si="37"/>
        <v/>
      </c>
      <c r="F379" s="14" t="str">
        <f t="shared" si="38"/>
        <v/>
      </c>
      <c r="G379" s="14" t="str">
        <f t="shared" si="39"/>
        <v/>
      </c>
      <c r="H379" s="15" t="str">
        <f t="shared" si="40"/>
        <v/>
      </c>
      <c r="I379" s="13" t="str">
        <f t="shared" si="41"/>
        <v/>
      </c>
    </row>
    <row r="380" spans="1:9" x14ac:dyDescent="0.2">
      <c r="A380" s="7" t="str">
        <f>IF($B380="","",371)</f>
        <v/>
      </c>
      <c r="B380" s="17" t="str">
        <f>IF(371&gt;NBskParty,"",INDEX(PkBskParty,371))</f>
        <v/>
      </c>
      <c r="C380" s="11" t="str">
        <f t="shared" si="35"/>
        <v/>
      </c>
      <c r="D380" s="9" t="str">
        <f t="shared" si="36"/>
        <v/>
      </c>
      <c r="E380" s="9" t="str">
        <f t="shared" si="37"/>
        <v/>
      </c>
      <c r="F380" s="9" t="str">
        <f t="shared" si="38"/>
        <v/>
      </c>
      <c r="G380" s="9" t="str">
        <f t="shared" si="39"/>
        <v/>
      </c>
      <c r="H380" s="10" t="str">
        <f t="shared" si="40"/>
        <v/>
      </c>
      <c r="I380" s="8" t="str">
        <f t="shared" si="41"/>
        <v/>
      </c>
    </row>
    <row r="381" spans="1:9" x14ac:dyDescent="0.2">
      <c r="A381" s="12" t="str">
        <f>IF($B381="","",372)</f>
        <v/>
      </c>
      <c r="B381" s="18" t="str">
        <f>IF(372&gt;NBskParty,"",INDEX(PkBskParty,372))</f>
        <v/>
      </c>
      <c r="C381" s="16" t="str">
        <f t="shared" si="35"/>
        <v/>
      </c>
      <c r="D381" s="14" t="str">
        <f t="shared" si="36"/>
        <v/>
      </c>
      <c r="E381" s="14" t="str">
        <f t="shared" si="37"/>
        <v/>
      </c>
      <c r="F381" s="14" t="str">
        <f t="shared" si="38"/>
        <v/>
      </c>
      <c r="G381" s="14" t="str">
        <f t="shared" si="39"/>
        <v/>
      </c>
      <c r="H381" s="15" t="str">
        <f t="shared" si="40"/>
        <v/>
      </c>
      <c r="I381" s="13" t="str">
        <f t="shared" si="41"/>
        <v/>
      </c>
    </row>
    <row r="382" spans="1:9" x14ac:dyDescent="0.2">
      <c r="A382" s="7" t="str">
        <f>IF($B382="","",373)</f>
        <v/>
      </c>
      <c r="B382" s="17" t="str">
        <f>IF(373&gt;NBskParty,"",INDEX(PkBskParty,373))</f>
        <v/>
      </c>
      <c r="C382" s="11" t="str">
        <f t="shared" si="35"/>
        <v/>
      </c>
      <c r="D382" s="9" t="str">
        <f t="shared" si="36"/>
        <v/>
      </c>
      <c r="E382" s="9" t="str">
        <f t="shared" si="37"/>
        <v/>
      </c>
      <c r="F382" s="9" t="str">
        <f t="shared" si="38"/>
        <v/>
      </c>
      <c r="G382" s="9" t="str">
        <f t="shared" si="39"/>
        <v/>
      </c>
      <c r="H382" s="10" t="str">
        <f t="shared" si="40"/>
        <v/>
      </c>
      <c r="I382" s="8" t="str">
        <f t="shared" si="41"/>
        <v/>
      </c>
    </row>
    <row r="383" spans="1:9" x14ac:dyDescent="0.2">
      <c r="A383" s="12" t="str">
        <f>IF($B383="","",374)</f>
        <v/>
      </c>
      <c r="B383" s="18" t="str">
        <f>IF(374&gt;NBskParty,"",INDEX(PkBskParty,374))</f>
        <v/>
      </c>
      <c r="C383" s="16" t="str">
        <f t="shared" si="35"/>
        <v/>
      </c>
      <c r="D383" s="14" t="str">
        <f t="shared" si="36"/>
        <v/>
      </c>
      <c r="E383" s="14" t="str">
        <f t="shared" si="37"/>
        <v/>
      </c>
      <c r="F383" s="14" t="str">
        <f t="shared" si="38"/>
        <v/>
      </c>
      <c r="G383" s="14" t="str">
        <f t="shared" si="39"/>
        <v/>
      </c>
      <c r="H383" s="15" t="str">
        <f t="shared" si="40"/>
        <v/>
      </c>
      <c r="I383" s="13" t="str">
        <f t="shared" si="41"/>
        <v/>
      </c>
    </row>
    <row r="384" spans="1:9" x14ac:dyDescent="0.2">
      <c r="A384" s="7" t="str">
        <f>IF($B384="","",375)</f>
        <v/>
      </c>
      <c r="B384" s="17" t="str">
        <f>IF(375&gt;NBskParty,"",INDEX(PkBskParty,375))</f>
        <v/>
      </c>
      <c r="C384" s="11" t="str">
        <f t="shared" si="35"/>
        <v/>
      </c>
      <c r="D384" s="9" t="str">
        <f t="shared" si="36"/>
        <v/>
      </c>
      <c r="E384" s="9" t="str">
        <f t="shared" si="37"/>
        <v/>
      </c>
      <c r="F384" s="9" t="str">
        <f t="shared" si="38"/>
        <v/>
      </c>
      <c r="G384" s="9" t="str">
        <f t="shared" si="39"/>
        <v/>
      </c>
      <c r="H384" s="10" t="str">
        <f t="shared" si="40"/>
        <v/>
      </c>
      <c r="I384" s="8" t="str">
        <f t="shared" si="41"/>
        <v/>
      </c>
    </row>
    <row r="385" spans="1:9" x14ac:dyDescent="0.2">
      <c r="A385" s="12" t="str">
        <f>IF($B385="","",376)</f>
        <v/>
      </c>
      <c r="B385" s="18" t="str">
        <f>IF(376&gt;NBskParty,"",INDEX(PkBskParty,376))</f>
        <v/>
      </c>
      <c r="C385" s="16" t="str">
        <f t="shared" si="35"/>
        <v/>
      </c>
      <c r="D385" s="14" t="str">
        <f t="shared" si="36"/>
        <v/>
      </c>
      <c r="E385" s="14" t="str">
        <f t="shared" si="37"/>
        <v/>
      </c>
      <c r="F385" s="14" t="str">
        <f t="shared" si="38"/>
        <v/>
      </c>
      <c r="G385" s="14" t="str">
        <f t="shared" si="39"/>
        <v/>
      </c>
      <c r="H385" s="15" t="str">
        <f t="shared" si="40"/>
        <v/>
      </c>
      <c r="I385" s="13" t="str">
        <f t="shared" si="41"/>
        <v/>
      </c>
    </row>
    <row r="386" spans="1:9" x14ac:dyDescent="0.2">
      <c r="A386" s="7" t="str">
        <f>IF($B386="","",377)</f>
        <v/>
      </c>
      <c r="B386" s="17" t="str">
        <f>IF(377&gt;NBskParty,"",INDEX(PkBskParty,377))</f>
        <v/>
      </c>
      <c r="C386" s="11" t="str">
        <f t="shared" si="35"/>
        <v/>
      </c>
      <c r="D386" s="9" t="str">
        <f t="shared" si="36"/>
        <v/>
      </c>
      <c r="E386" s="9" t="str">
        <f t="shared" si="37"/>
        <v/>
      </c>
      <c r="F386" s="9" t="str">
        <f t="shared" si="38"/>
        <v/>
      </c>
      <c r="G386" s="9" t="str">
        <f t="shared" si="39"/>
        <v/>
      </c>
      <c r="H386" s="10" t="str">
        <f t="shared" si="40"/>
        <v/>
      </c>
      <c r="I386" s="8" t="str">
        <f t="shared" si="41"/>
        <v/>
      </c>
    </row>
    <row r="387" spans="1:9" x14ac:dyDescent="0.2">
      <c r="A387" s="12" t="str">
        <f>IF($B387="","",378)</f>
        <v/>
      </c>
      <c r="B387" s="18" t="str">
        <f>IF(378&gt;NBskParty,"",INDEX(PkBskParty,378))</f>
        <v/>
      </c>
      <c r="C387" s="16" t="str">
        <f t="shared" si="35"/>
        <v/>
      </c>
      <c r="D387" s="14" t="str">
        <f t="shared" si="36"/>
        <v/>
      </c>
      <c r="E387" s="14" t="str">
        <f t="shared" si="37"/>
        <v/>
      </c>
      <c r="F387" s="14" t="str">
        <f t="shared" si="38"/>
        <v/>
      </c>
      <c r="G387" s="14" t="str">
        <f t="shared" si="39"/>
        <v/>
      </c>
      <c r="H387" s="15" t="str">
        <f t="shared" si="40"/>
        <v/>
      </c>
      <c r="I387" s="13" t="str">
        <f t="shared" si="41"/>
        <v/>
      </c>
    </row>
    <row r="388" spans="1:9" x14ac:dyDescent="0.2">
      <c r="A388" s="7" t="str">
        <f>IF($B388="","",379)</f>
        <v/>
      </c>
      <c r="B388" s="17" t="str">
        <f>IF(379&gt;NBskParty,"",INDEX(PkBskParty,379))</f>
        <v/>
      </c>
      <c r="C388" s="11" t="str">
        <f t="shared" si="35"/>
        <v/>
      </c>
      <c r="D388" s="9" t="str">
        <f t="shared" si="36"/>
        <v/>
      </c>
      <c r="E388" s="9" t="str">
        <f t="shared" si="37"/>
        <v/>
      </c>
      <c r="F388" s="9" t="str">
        <f t="shared" si="38"/>
        <v/>
      </c>
      <c r="G388" s="9" t="str">
        <f t="shared" si="39"/>
        <v/>
      </c>
      <c r="H388" s="10" t="str">
        <f t="shared" si="40"/>
        <v/>
      </c>
      <c r="I388" s="8" t="str">
        <f t="shared" si="41"/>
        <v/>
      </c>
    </row>
    <row r="389" spans="1:9" x14ac:dyDescent="0.2">
      <c r="A389" s="12" t="str">
        <f>IF($B389="","",380)</f>
        <v/>
      </c>
      <c r="B389" s="18" t="str">
        <f>IF(380&gt;NBskParty,"",INDEX(PkBskParty,380))</f>
        <v/>
      </c>
      <c r="C389" s="16" t="str">
        <f t="shared" si="35"/>
        <v/>
      </c>
      <c r="D389" s="14" t="str">
        <f t="shared" si="36"/>
        <v/>
      </c>
      <c r="E389" s="14" t="str">
        <f t="shared" si="37"/>
        <v/>
      </c>
      <c r="F389" s="14" t="str">
        <f t="shared" si="38"/>
        <v/>
      </c>
      <c r="G389" s="14" t="str">
        <f t="shared" si="39"/>
        <v/>
      </c>
      <c r="H389" s="15" t="str">
        <f t="shared" si="40"/>
        <v/>
      </c>
      <c r="I389" s="13" t="str">
        <f t="shared" si="41"/>
        <v/>
      </c>
    </row>
    <row r="390" spans="1:9" x14ac:dyDescent="0.2">
      <c r="A390" s="7" t="str">
        <f>IF($B390="","",381)</f>
        <v/>
      </c>
      <c r="B390" s="17" t="str">
        <f>IF(381&gt;NBskParty,"",INDEX(PkBskParty,381))</f>
        <v/>
      </c>
      <c r="C390" s="11" t="str">
        <f t="shared" si="35"/>
        <v/>
      </c>
      <c r="D390" s="9" t="str">
        <f t="shared" si="36"/>
        <v/>
      </c>
      <c r="E390" s="9" t="str">
        <f t="shared" si="37"/>
        <v/>
      </c>
      <c r="F390" s="9" t="str">
        <f t="shared" si="38"/>
        <v/>
      </c>
      <c r="G390" s="9" t="str">
        <f t="shared" si="39"/>
        <v/>
      </c>
      <c r="H390" s="10" t="str">
        <f t="shared" si="40"/>
        <v/>
      </c>
      <c r="I390" s="8" t="str">
        <f t="shared" si="41"/>
        <v/>
      </c>
    </row>
    <row r="391" spans="1:9" x14ac:dyDescent="0.2">
      <c r="A391" s="12" t="str">
        <f>IF($B391="","",382)</f>
        <v/>
      </c>
      <c r="B391" s="18" t="str">
        <f>IF(382&gt;NBskParty,"",INDEX(PkBskParty,382))</f>
        <v/>
      </c>
      <c r="C391" s="16" t="str">
        <f t="shared" si="35"/>
        <v/>
      </c>
      <c r="D391" s="14" t="str">
        <f t="shared" si="36"/>
        <v/>
      </c>
      <c r="E391" s="14" t="str">
        <f t="shared" si="37"/>
        <v/>
      </c>
      <c r="F391" s="14" t="str">
        <f t="shared" si="38"/>
        <v/>
      </c>
      <c r="G391" s="14" t="str">
        <f t="shared" si="39"/>
        <v/>
      </c>
      <c r="H391" s="15" t="str">
        <f t="shared" si="40"/>
        <v/>
      </c>
      <c r="I391" s="13" t="str">
        <f t="shared" si="41"/>
        <v/>
      </c>
    </row>
    <row r="392" spans="1:9" x14ac:dyDescent="0.2">
      <c r="A392" s="7" t="str">
        <f>IF($B392="","",383)</f>
        <v/>
      </c>
      <c r="B392" s="17" t="str">
        <f>IF(383&gt;NBskParty,"",INDEX(PkBskParty,383))</f>
        <v/>
      </c>
      <c r="C392" s="11" t="str">
        <f t="shared" si="35"/>
        <v/>
      </c>
      <c r="D392" s="9" t="str">
        <f t="shared" si="36"/>
        <v/>
      </c>
      <c r="E392" s="9" t="str">
        <f t="shared" si="37"/>
        <v/>
      </c>
      <c r="F392" s="9" t="str">
        <f t="shared" si="38"/>
        <v/>
      </c>
      <c r="G392" s="9" t="str">
        <f t="shared" si="39"/>
        <v/>
      </c>
      <c r="H392" s="10" t="str">
        <f t="shared" si="40"/>
        <v/>
      </c>
      <c r="I392" s="8" t="str">
        <f t="shared" si="41"/>
        <v/>
      </c>
    </row>
    <row r="393" spans="1:9" x14ac:dyDescent="0.2">
      <c r="A393" s="12" t="str">
        <f>IF($B393="","",384)</f>
        <v/>
      </c>
      <c r="B393" s="18" t="str">
        <f>IF(384&gt;NBskParty,"",INDEX(PkBskParty,384))</f>
        <v/>
      </c>
      <c r="C393" s="16" t="str">
        <f t="shared" si="35"/>
        <v/>
      </c>
      <c r="D393" s="14" t="str">
        <f t="shared" si="36"/>
        <v/>
      </c>
      <c r="E393" s="14" t="str">
        <f t="shared" si="37"/>
        <v/>
      </c>
      <c r="F393" s="14" t="str">
        <f t="shared" si="38"/>
        <v/>
      </c>
      <c r="G393" s="14" t="str">
        <f t="shared" si="39"/>
        <v/>
      </c>
      <c r="H393" s="15" t="str">
        <f t="shared" si="40"/>
        <v/>
      </c>
      <c r="I393" s="13" t="str">
        <f t="shared" si="41"/>
        <v/>
      </c>
    </row>
    <row r="394" spans="1:9" x14ac:dyDescent="0.2">
      <c r="A394" s="7" t="str">
        <f>IF($B394="","",385)</f>
        <v/>
      </c>
      <c r="B394" s="17" t="str">
        <f>IF(385&gt;NBskParty,"",INDEX(PkBskParty,385))</f>
        <v/>
      </c>
      <c r="C394" s="11" t="str">
        <f t="shared" ref="C394:C457" si="42">IF($B394="","",IFERROR(IF(VLOOKUP($B394,AcctTbl,4,0)="","(بدون نام)",VLOOKUP($B394,AcctTbl,4,0)),"—"))</f>
        <v/>
      </c>
      <c r="D394" s="9" t="str">
        <f t="shared" ref="D394:D457" si="43">IF($B394="","",SUMIF(CalcPartyA,$B394,CalcQtyA))</f>
        <v/>
      </c>
      <c r="E394" s="9" t="str">
        <f t="shared" ref="E394:E457" si="44">IF($B394="","",SUMIF(CalcPartyA,$B394,CalcAmtA))</f>
        <v/>
      </c>
      <c r="F394" s="9" t="str">
        <f t="shared" ref="F394:F457" si="45">IF($B394="","",SUMIF(CalcPartyB,$B394,CalcWitB))</f>
        <v/>
      </c>
      <c r="G394" s="9" t="str">
        <f t="shared" ref="G394:G457" si="46">IF($B394="","",SUMIF(CalcPartyB,$B394,CalcDepB))</f>
        <v/>
      </c>
      <c r="H394" s="10" t="str">
        <f t="shared" ref="H394:H457" si="47">IF($B394="","",$E394-$F394+$G394)</f>
        <v/>
      </c>
      <c r="I394" s="8" t="str">
        <f t="shared" ref="I394:I457" si="48">IF($B394="","",IF(ROUND($H394,0)&gt;0,"● بستانکار",IF(ROUND($H394,0)&lt;0,"● بدهکار","تسویه")))</f>
        <v/>
      </c>
    </row>
    <row r="395" spans="1:9" x14ac:dyDescent="0.2">
      <c r="A395" s="12" t="str">
        <f>IF($B395="","",386)</f>
        <v/>
      </c>
      <c r="B395" s="18" t="str">
        <f>IF(386&gt;NBskParty,"",INDEX(PkBskParty,386))</f>
        <v/>
      </c>
      <c r="C395" s="16" t="str">
        <f t="shared" si="42"/>
        <v/>
      </c>
      <c r="D395" s="14" t="str">
        <f t="shared" si="43"/>
        <v/>
      </c>
      <c r="E395" s="14" t="str">
        <f t="shared" si="44"/>
        <v/>
      </c>
      <c r="F395" s="14" t="str">
        <f t="shared" si="45"/>
        <v/>
      </c>
      <c r="G395" s="14" t="str">
        <f t="shared" si="46"/>
        <v/>
      </c>
      <c r="H395" s="15" t="str">
        <f t="shared" si="47"/>
        <v/>
      </c>
      <c r="I395" s="13" t="str">
        <f t="shared" si="48"/>
        <v/>
      </c>
    </row>
    <row r="396" spans="1:9" x14ac:dyDescent="0.2">
      <c r="A396" s="7" t="str">
        <f>IF($B396="","",387)</f>
        <v/>
      </c>
      <c r="B396" s="17" t="str">
        <f>IF(387&gt;NBskParty,"",INDEX(PkBskParty,387))</f>
        <v/>
      </c>
      <c r="C396" s="11" t="str">
        <f t="shared" si="42"/>
        <v/>
      </c>
      <c r="D396" s="9" t="str">
        <f t="shared" si="43"/>
        <v/>
      </c>
      <c r="E396" s="9" t="str">
        <f t="shared" si="44"/>
        <v/>
      </c>
      <c r="F396" s="9" t="str">
        <f t="shared" si="45"/>
        <v/>
      </c>
      <c r="G396" s="9" t="str">
        <f t="shared" si="46"/>
        <v/>
      </c>
      <c r="H396" s="10" t="str">
        <f t="shared" si="47"/>
        <v/>
      </c>
      <c r="I396" s="8" t="str">
        <f t="shared" si="48"/>
        <v/>
      </c>
    </row>
    <row r="397" spans="1:9" x14ac:dyDescent="0.2">
      <c r="A397" s="12" t="str">
        <f>IF($B397="","",388)</f>
        <v/>
      </c>
      <c r="B397" s="18" t="str">
        <f>IF(388&gt;NBskParty,"",INDEX(PkBskParty,388))</f>
        <v/>
      </c>
      <c r="C397" s="16" t="str">
        <f t="shared" si="42"/>
        <v/>
      </c>
      <c r="D397" s="14" t="str">
        <f t="shared" si="43"/>
        <v/>
      </c>
      <c r="E397" s="14" t="str">
        <f t="shared" si="44"/>
        <v/>
      </c>
      <c r="F397" s="14" t="str">
        <f t="shared" si="45"/>
        <v/>
      </c>
      <c r="G397" s="14" t="str">
        <f t="shared" si="46"/>
        <v/>
      </c>
      <c r="H397" s="15" t="str">
        <f t="shared" si="47"/>
        <v/>
      </c>
      <c r="I397" s="13" t="str">
        <f t="shared" si="48"/>
        <v/>
      </c>
    </row>
    <row r="398" spans="1:9" x14ac:dyDescent="0.2">
      <c r="A398" s="7" t="str">
        <f>IF($B398="","",389)</f>
        <v/>
      </c>
      <c r="B398" s="17" t="str">
        <f>IF(389&gt;NBskParty,"",INDEX(PkBskParty,389))</f>
        <v/>
      </c>
      <c r="C398" s="11" t="str">
        <f t="shared" si="42"/>
        <v/>
      </c>
      <c r="D398" s="9" t="str">
        <f t="shared" si="43"/>
        <v/>
      </c>
      <c r="E398" s="9" t="str">
        <f t="shared" si="44"/>
        <v/>
      </c>
      <c r="F398" s="9" t="str">
        <f t="shared" si="45"/>
        <v/>
      </c>
      <c r="G398" s="9" t="str">
        <f t="shared" si="46"/>
        <v/>
      </c>
      <c r="H398" s="10" t="str">
        <f t="shared" si="47"/>
        <v/>
      </c>
      <c r="I398" s="8" t="str">
        <f t="shared" si="48"/>
        <v/>
      </c>
    </row>
    <row r="399" spans="1:9" x14ac:dyDescent="0.2">
      <c r="A399" s="12" t="str">
        <f>IF($B399="","",390)</f>
        <v/>
      </c>
      <c r="B399" s="18" t="str">
        <f>IF(390&gt;NBskParty,"",INDEX(PkBskParty,390))</f>
        <v/>
      </c>
      <c r="C399" s="16" t="str">
        <f t="shared" si="42"/>
        <v/>
      </c>
      <c r="D399" s="14" t="str">
        <f t="shared" si="43"/>
        <v/>
      </c>
      <c r="E399" s="14" t="str">
        <f t="shared" si="44"/>
        <v/>
      </c>
      <c r="F399" s="14" t="str">
        <f t="shared" si="45"/>
        <v/>
      </c>
      <c r="G399" s="14" t="str">
        <f t="shared" si="46"/>
        <v/>
      </c>
      <c r="H399" s="15" t="str">
        <f t="shared" si="47"/>
        <v/>
      </c>
      <c r="I399" s="13" t="str">
        <f t="shared" si="48"/>
        <v/>
      </c>
    </row>
    <row r="400" spans="1:9" x14ac:dyDescent="0.2">
      <c r="A400" s="7" t="str">
        <f>IF($B400="","",391)</f>
        <v/>
      </c>
      <c r="B400" s="17" t="str">
        <f>IF(391&gt;NBskParty,"",INDEX(PkBskParty,391))</f>
        <v/>
      </c>
      <c r="C400" s="11" t="str">
        <f t="shared" si="42"/>
        <v/>
      </c>
      <c r="D400" s="9" t="str">
        <f t="shared" si="43"/>
        <v/>
      </c>
      <c r="E400" s="9" t="str">
        <f t="shared" si="44"/>
        <v/>
      </c>
      <c r="F400" s="9" t="str">
        <f t="shared" si="45"/>
        <v/>
      </c>
      <c r="G400" s="9" t="str">
        <f t="shared" si="46"/>
        <v/>
      </c>
      <c r="H400" s="10" t="str">
        <f t="shared" si="47"/>
        <v/>
      </c>
      <c r="I400" s="8" t="str">
        <f t="shared" si="48"/>
        <v/>
      </c>
    </row>
    <row r="401" spans="1:9" x14ac:dyDescent="0.2">
      <c r="A401" s="12" t="str">
        <f>IF($B401="","",392)</f>
        <v/>
      </c>
      <c r="B401" s="18" t="str">
        <f>IF(392&gt;NBskParty,"",INDEX(PkBskParty,392))</f>
        <v/>
      </c>
      <c r="C401" s="16" t="str">
        <f t="shared" si="42"/>
        <v/>
      </c>
      <c r="D401" s="14" t="str">
        <f t="shared" si="43"/>
        <v/>
      </c>
      <c r="E401" s="14" t="str">
        <f t="shared" si="44"/>
        <v/>
      </c>
      <c r="F401" s="14" t="str">
        <f t="shared" si="45"/>
        <v/>
      </c>
      <c r="G401" s="14" t="str">
        <f t="shared" si="46"/>
        <v/>
      </c>
      <c r="H401" s="15" t="str">
        <f t="shared" si="47"/>
        <v/>
      </c>
      <c r="I401" s="13" t="str">
        <f t="shared" si="48"/>
        <v/>
      </c>
    </row>
    <row r="402" spans="1:9" x14ac:dyDescent="0.2">
      <c r="A402" s="7" t="str">
        <f>IF($B402="","",393)</f>
        <v/>
      </c>
      <c r="B402" s="17" t="str">
        <f>IF(393&gt;NBskParty,"",INDEX(PkBskParty,393))</f>
        <v/>
      </c>
      <c r="C402" s="11" t="str">
        <f t="shared" si="42"/>
        <v/>
      </c>
      <c r="D402" s="9" t="str">
        <f t="shared" si="43"/>
        <v/>
      </c>
      <c r="E402" s="9" t="str">
        <f t="shared" si="44"/>
        <v/>
      </c>
      <c r="F402" s="9" t="str">
        <f t="shared" si="45"/>
        <v/>
      </c>
      <c r="G402" s="9" t="str">
        <f t="shared" si="46"/>
        <v/>
      </c>
      <c r="H402" s="10" t="str">
        <f t="shared" si="47"/>
        <v/>
      </c>
      <c r="I402" s="8" t="str">
        <f t="shared" si="48"/>
        <v/>
      </c>
    </row>
    <row r="403" spans="1:9" x14ac:dyDescent="0.2">
      <c r="A403" s="12" t="str">
        <f>IF($B403="","",394)</f>
        <v/>
      </c>
      <c r="B403" s="18" t="str">
        <f>IF(394&gt;NBskParty,"",INDEX(PkBskParty,394))</f>
        <v/>
      </c>
      <c r="C403" s="16" t="str">
        <f t="shared" si="42"/>
        <v/>
      </c>
      <c r="D403" s="14" t="str">
        <f t="shared" si="43"/>
        <v/>
      </c>
      <c r="E403" s="14" t="str">
        <f t="shared" si="44"/>
        <v/>
      </c>
      <c r="F403" s="14" t="str">
        <f t="shared" si="45"/>
        <v/>
      </c>
      <c r="G403" s="14" t="str">
        <f t="shared" si="46"/>
        <v/>
      </c>
      <c r="H403" s="15" t="str">
        <f t="shared" si="47"/>
        <v/>
      </c>
      <c r="I403" s="13" t="str">
        <f t="shared" si="48"/>
        <v/>
      </c>
    </row>
    <row r="404" spans="1:9" x14ac:dyDescent="0.2">
      <c r="A404" s="7" t="str">
        <f>IF($B404="","",395)</f>
        <v/>
      </c>
      <c r="B404" s="17" t="str">
        <f>IF(395&gt;NBskParty,"",INDEX(PkBskParty,395))</f>
        <v/>
      </c>
      <c r="C404" s="11" t="str">
        <f t="shared" si="42"/>
        <v/>
      </c>
      <c r="D404" s="9" t="str">
        <f t="shared" si="43"/>
        <v/>
      </c>
      <c r="E404" s="9" t="str">
        <f t="shared" si="44"/>
        <v/>
      </c>
      <c r="F404" s="9" t="str">
        <f t="shared" si="45"/>
        <v/>
      </c>
      <c r="G404" s="9" t="str">
        <f t="shared" si="46"/>
        <v/>
      </c>
      <c r="H404" s="10" t="str">
        <f t="shared" si="47"/>
        <v/>
      </c>
      <c r="I404" s="8" t="str">
        <f t="shared" si="48"/>
        <v/>
      </c>
    </row>
    <row r="405" spans="1:9" x14ac:dyDescent="0.2">
      <c r="A405" s="12" t="str">
        <f>IF($B405="","",396)</f>
        <v/>
      </c>
      <c r="B405" s="18" t="str">
        <f>IF(396&gt;NBskParty,"",INDEX(PkBskParty,396))</f>
        <v/>
      </c>
      <c r="C405" s="16" t="str">
        <f t="shared" si="42"/>
        <v/>
      </c>
      <c r="D405" s="14" t="str">
        <f t="shared" si="43"/>
        <v/>
      </c>
      <c r="E405" s="14" t="str">
        <f t="shared" si="44"/>
        <v/>
      </c>
      <c r="F405" s="14" t="str">
        <f t="shared" si="45"/>
        <v/>
      </c>
      <c r="G405" s="14" t="str">
        <f t="shared" si="46"/>
        <v/>
      </c>
      <c r="H405" s="15" t="str">
        <f t="shared" si="47"/>
        <v/>
      </c>
      <c r="I405" s="13" t="str">
        <f t="shared" si="48"/>
        <v/>
      </c>
    </row>
    <row r="406" spans="1:9" x14ac:dyDescent="0.2">
      <c r="A406" s="7" t="str">
        <f>IF($B406="","",397)</f>
        <v/>
      </c>
      <c r="B406" s="17" t="str">
        <f>IF(397&gt;NBskParty,"",INDEX(PkBskParty,397))</f>
        <v/>
      </c>
      <c r="C406" s="11" t="str">
        <f t="shared" si="42"/>
        <v/>
      </c>
      <c r="D406" s="9" t="str">
        <f t="shared" si="43"/>
        <v/>
      </c>
      <c r="E406" s="9" t="str">
        <f t="shared" si="44"/>
        <v/>
      </c>
      <c r="F406" s="9" t="str">
        <f t="shared" si="45"/>
        <v/>
      </c>
      <c r="G406" s="9" t="str">
        <f t="shared" si="46"/>
        <v/>
      </c>
      <c r="H406" s="10" t="str">
        <f t="shared" si="47"/>
        <v/>
      </c>
      <c r="I406" s="8" t="str">
        <f t="shared" si="48"/>
        <v/>
      </c>
    </row>
    <row r="407" spans="1:9" x14ac:dyDescent="0.2">
      <c r="A407" s="12" t="str">
        <f>IF($B407="","",398)</f>
        <v/>
      </c>
      <c r="B407" s="18" t="str">
        <f>IF(398&gt;NBskParty,"",INDEX(PkBskParty,398))</f>
        <v/>
      </c>
      <c r="C407" s="16" t="str">
        <f t="shared" si="42"/>
        <v/>
      </c>
      <c r="D407" s="14" t="str">
        <f t="shared" si="43"/>
        <v/>
      </c>
      <c r="E407" s="14" t="str">
        <f t="shared" si="44"/>
        <v/>
      </c>
      <c r="F407" s="14" t="str">
        <f t="shared" si="45"/>
        <v/>
      </c>
      <c r="G407" s="14" t="str">
        <f t="shared" si="46"/>
        <v/>
      </c>
      <c r="H407" s="15" t="str">
        <f t="shared" si="47"/>
        <v/>
      </c>
      <c r="I407" s="13" t="str">
        <f t="shared" si="48"/>
        <v/>
      </c>
    </row>
    <row r="408" spans="1:9" x14ac:dyDescent="0.2">
      <c r="A408" s="7" t="str">
        <f>IF($B408="","",399)</f>
        <v/>
      </c>
      <c r="B408" s="17" t="str">
        <f>IF(399&gt;NBskParty,"",INDEX(PkBskParty,399))</f>
        <v/>
      </c>
      <c r="C408" s="11" t="str">
        <f t="shared" si="42"/>
        <v/>
      </c>
      <c r="D408" s="9" t="str">
        <f t="shared" si="43"/>
        <v/>
      </c>
      <c r="E408" s="9" t="str">
        <f t="shared" si="44"/>
        <v/>
      </c>
      <c r="F408" s="9" t="str">
        <f t="shared" si="45"/>
        <v/>
      </c>
      <c r="G408" s="9" t="str">
        <f t="shared" si="46"/>
        <v/>
      </c>
      <c r="H408" s="10" t="str">
        <f t="shared" si="47"/>
        <v/>
      </c>
      <c r="I408" s="8" t="str">
        <f t="shared" si="48"/>
        <v/>
      </c>
    </row>
    <row r="409" spans="1:9" x14ac:dyDescent="0.2">
      <c r="A409" s="12" t="str">
        <f>IF($B409="","",400)</f>
        <v/>
      </c>
      <c r="B409" s="18" t="str">
        <f>IF(400&gt;NBskParty,"",INDEX(PkBskParty,400))</f>
        <v/>
      </c>
      <c r="C409" s="16" t="str">
        <f t="shared" si="42"/>
        <v/>
      </c>
      <c r="D409" s="14" t="str">
        <f t="shared" si="43"/>
        <v/>
      </c>
      <c r="E409" s="14" t="str">
        <f t="shared" si="44"/>
        <v/>
      </c>
      <c r="F409" s="14" t="str">
        <f t="shared" si="45"/>
        <v/>
      </c>
      <c r="G409" s="14" t="str">
        <f t="shared" si="46"/>
        <v/>
      </c>
      <c r="H409" s="15" t="str">
        <f t="shared" si="47"/>
        <v/>
      </c>
      <c r="I409" s="13" t="str">
        <f t="shared" si="48"/>
        <v/>
      </c>
    </row>
    <row r="410" spans="1:9" x14ac:dyDescent="0.2">
      <c r="A410" s="7" t="str">
        <f>IF($B410="","",401)</f>
        <v/>
      </c>
      <c r="B410" s="17" t="str">
        <f>IF(401&gt;NBskParty,"",INDEX(PkBskParty,401))</f>
        <v/>
      </c>
      <c r="C410" s="11" t="str">
        <f t="shared" si="42"/>
        <v/>
      </c>
      <c r="D410" s="9" t="str">
        <f t="shared" si="43"/>
        <v/>
      </c>
      <c r="E410" s="9" t="str">
        <f t="shared" si="44"/>
        <v/>
      </c>
      <c r="F410" s="9" t="str">
        <f t="shared" si="45"/>
        <v/>
      </c>
      <c r="G410" s="9" t="str">
        <f t="shared" si="46"/>
        <v/>
      </c>
      <c r="H410" s="10" t="str">
        <f t="shared" si="47"/>
        <v/>
      </c>
      <c r="I410" s="8" t="str">
        <f t="shared" si="48"/>
        <v/>
      </c>
    </row>
    <row r="411" spans="1:9" x14ac:dyDescent="0.2">
      <c r="A411" s="12" t="str">
        <f>IF($B411="","",402)</f>
        <v/>
      </c>
      <c r="B411" s="18" t="str">
        <f>IF(402&gt;NBskParty,"",INDEX(PkBskParty,402))</f>
        <v/>
      </c>
      <c r="C411" s="16" t="str">
        <f t="shared" si="42"/>
        <v/>
      </c>
      <c r="D411" s="14" t="str">
        <f t="shared" si="43"/>
        <v/>
      </c>
      <c r="E411" s="14" t="str">
        <f t="shared" si="44"/>
        <v/>
      </c>
      <c r="F411" s="14" t="str">
        <f t="shared" si="45"/>
        <v/>
      </c>
      <c r="G411" s="14" t="str">
        <f t="shared" si="46"/>
        <v/>
      </c>
      <c r="H411" s="15" t="str">
        <f t="shared" si="47"/>
        <v/>
      </c>
      <c r="I411" s="13" t="str">
        <f t="shared" si="48"/>
        <v/>
      </c>
    </row>
    <row r="412" spans="1:9" x14ac:dyDescent="0.2">
      <c r="A412" s="7" t="str">
        <f>IF($B412="","",403)</f>
        <v/>
      </c>
      <c r="B412" s="17" t="str">
        <f>IF(403&gt;NBskParty,"",INDEX(PkBskParty,403))</f>
        <v/>
      </c>
      <c r="C412" s="11" t="str">
        <f t="shared" si="42"/>
        <v/>
      </c>
      <c r="D412" s="9" t="str">
        <f t="shared" si="43"/>
        <v/>
      </c>
      <c r="E412" s="9" t="str">
        <f t="shared" si="44"/>
        <v/>
      </c>
      <c r="F412" s="9" t="str">
        <f t="shared" si="45"/>
        <v/>
      </c>
      <c r="G412" s="9" t="str">
        <f t="shared" si="46"/>
        <v/>
      </c>
      <c r="H412" s="10" t="str">
        <f t="shared" si="47"/>
        <v/>
      </c>
      <c r="I412" s="8" t="str">
        <f t="shared" si="48"/>
        <v/>
      </c>
    </row>
    <row r="413" spans="1:9" x14ac:dyDescent="0.2">
      <c r="A413" s="12" t="str">
        <f>IF($B413="","",404)</f>
        <v/>
      </c>
      <c r="B413" s="18" t="str">
        <f>IF(404&gt;NBskParty,"",INDEX(PkBskParty,404))</f>
        <v/>
      </c>
      <c r="C413" s="16" t="str">
        <f t="shared" si="42"/>
        <v/>
      </c>
      <c r="D413" s="14" t="str">
        <f t="shared" si="43"/>
        <v/>
      </c>
      <c r="E413" s="14" t="str">
        <f t="shared" si="44"/>
        <v/>
      </c>
      <c r="F413" s="14" t="str">
        <f t="shared" si="45"/>
        <v/>
      </c>
      <c r="G413" s="14" t="str">
        <f t="shared" si="46"/>
        <v/>
      </c>
      <c r="H413" s="15" t="str">
        <f t="shared" si="47"/>
        <v/>
      </c>
      <c r="I413" s="13" t="str">
        <f t="shared" si="48"/>
        <v/>
      </c>
    </row>
    <row r="414" spans="1:9" x14ac:dyDescent="0.2">
      <c r="A414" s="7" t="str">
        <f>IF($B414="","",405)</f>
        <v/>
      </c>
      <c r="B414" s="17" t="str">
        <f>IF(405&gt;NBskParty,"",INDEX(PkBskParty,405))</f>
        <v/>
      </c>
      <c r="C414" s="11" t="str">
        <f t="shared" si="42"/>
        <v/>
      </c>
      <c r="D414" s="9" t="str">
        <f t="shared" si="43"/>
        <v/>
      </c>
      <c r="E414" s="9" t="str">
        <f t="shared" si="44"/>
        <v/>
      </c>
      <c r="F414" s="9" t="str">
        <f t="shared" si="45"/>
        <v/>
      </c>
      <c r="G414" s="9" t="str">
        <f t="shared" si="46"/>
        <v/>
      </c>
      <c r="H414" s="10" t="str">
        <f t="shared" si="47"/>
        <v/>
      </c>
      <c r="I414" s="8" t="str">
        <f t="shared" si="48"/>
        <v/>
      </c>
    </row>
    <row r="415" spans="1:9" x14ac:dyDescent="0.2">
      <c r="A415" s="12" t="str">
        <f>IF($B415="","",406)</f>
        <v/>
      </c>
      <c r="B415" s="18" t="str">
        <f>IF(406&gt;NBskParty,"",INDEX(PkBskParty,406))</f>
        <v/>
      </c>
      <c r="C415" s="16" t="str">
        <f t="shared" si="42"/>
        <v/>
      </c>
      <c r="D415" s="14" t="str">
        <f t="shared" si="43"/>
        <v/>
      </c>
      <c r="E415" s="14" t="str">
        <f t="shared" si="44"/>
        <v/>
      </c>
      <c r="F415" s="14" t="str">
        <f t="shared" si="45"/>
        <v/>
      </c>
      <c r="G415" s="14" t="str">
        <f t="shared" si="46"/>
        <v/>
      </c>
      <c r="H415" s="15" t="str">
        <f t="shared" si="47"/>
        <v/>
      </c>
      <c r="I415" s="13" t="str">
        <f t="shared" si="48"/>
        <v/>
      </c>
    </row>
    <row r="416" spans="1:9" x14ac:dyDescent="0.2">
      <c r="A416" s="7" t="str">
        <f>IF($B416="","",407)</f>
        <v/>
      </c>
      <c r="B416" s="17" t="str">
        <f>IF(407&gt;NBskParty,"",INDEX(PkBskParty,407))</f>
        <v/>
      </c>
      <c r="C416" s="11" t="str">
        <f t="shared" si="42"/>
        <v/>
      </c>
      <c r="D416" s="9" t="str">
        <f t="shared" si="43"/>
        <v/>
      </c>
      <c r="E416" s="9" t="str">
        <f t="shared" si="44"/>
        <v/>
      </c>
      <c r="F416" s="9" t="str">
        <f t="shared" si="45"/>
        <v/>
      </c>
      <c r="G416" s="9" t="str">
        <f t="shared" si="46"/>
        <v/>
      </c>
      <c r="H416" s="10" t="str">
        <f t="shared" si="47"/>
        <v/>
      </c>
      <c r="I416" s="8" t="str">
        <f t="shared" si="48"/>
        <v/>
      </c>
    </row>
    <row r="417" spans="1:9" x14ac:dyDescent="0.2">
      <c r="A417" s="12" t="str">
        <f>IF($B417="","",408)</f>
        <v/>
      </c>
      <c r="B417" s="18" t="str">
        <f>IF(408&gt;NBskParty,"",INDEX(PkBskParty,408))</f>
        <v/>
      </c>
      <c r="C417" s="16" t="str">
        <f t="shared" si="42"/>
        <v/>
      </c>
      <c r="D417" s="14" t="str">
        <f t="shared" si="43"/>
        <v/>
      </c>
      <c r="E417" s="14" t="str">
        <f t="shared" si="44"/>
        <v/>
      </c>
      <c r="F417" s="14" t="str">
        <f t="shared" si="45"/>
        <v/>
      </c>
      <c r="G417" s="14" t="str">
        <f t="shared" si="46"/>
        <v/>
      </c>
      <c r="H417" s="15" t="str">
        <f t="shared" si="47"/>
        <v/>
      </c>
      <c r="I417" s="13" t="str">
        <f t="shared" si="48"/>
        <v/>
      </c>
    </row>
    <row r="418" spans="1:9" x14ac:dyDescent="0.2">
      <c r="A418" s="7" t="str">
        <f>IF($B418="","",409)</f>
        <v/>
      </c>
      <c r="B418" s="17" t="str">
        <f>IF(409&gt;NBskParty,"",INDEX(PkBskParty,409))</f>
        <v/>
      </c>
      <c r="C418" s="11" t="str">
        <f t="shared" si="42"/>
        <v/>
      </c>
      <c r="D418" s="9" t="str">
        <f t="shared" si="43"/>
        <v/>
      </c>
      <c r="E418" s="9" t="str">
        <f t="shared" si="44"/>
        <v/>
      </c>
      <c r="F418" s="9" t="str">
        <f t="shared" si="45"/>
        <v/>
      </c>
      <c r="G418" s="9" t="str">
        <f t="shared" si="46"/>
        <v/>
      </c>
      <c r="H418" s="10" t="str">
        <f t="shared" si="47"/>
        <v/>
      </c>
      <c r="I418" s="8" t="str">
        <f t="shared" si="48"/>
        <v/>
      </c>
    </row>
    <row r="419" spans="1:9" x14ac:dyDescent="0.2">
      <c r="A419" s="12" t="str">
        <f>IF($B419="","",410)</f>
        <v/>
      </c>
      <c r="B419" s="18" t="str">
        <f>IF(410&gt;NBskParty,"",INDEX(PkBskParty,410))</f>
        <v/>
      </c>
      <c r="C419" s="16" t="str">
        <f t="shared" si="42"/>
        <v/>
      </c>
      <c r="D419" s="14" t="str">
        <f t="shared" si="43"/>
        <v/>
      </c>
      <c r="E419" s="14" t="str">
        <f t="shared" si="44"/>
        <v/>
      </c>
      <c r="F419" s="14" t="str">
        <f t="shared" si="45"/>
        <v/>
      </c>
      <c r="G419" s="14" t="str">
        <f t="shared" si="46"/>
        <v/>
      </c>
      <c r="H419" s="15" t="str">
        <f t="shared" si="47"/>
        <v/>
      </c>
      <c r="I419" s="13" t="str">
        <f t="shared" si="48"/>
        <v/>
      </c>
    </row>
    <row r="420" spans="1:9" x14ac:dyDescent="0.2">
      <c r="A420" s="7" t="str">
        <f>IF($B420="","",411)</f>
        <v/>
      </c>
      <c r="B420" s="17" t="str">
        <f>IF(411&gt;NBskParty,"",INDEX(PkBskParty,411))</f>
        <v/>
      </c>
      <c r="C420" s="11" t="str">
        <f t="shared" si="42"/>
        <v/>
      </c>
      <c r="D420" s="9" t="str">
        <f t="shared" si="43"/>
        <v/>
      </c>
      <c r="E420" s="9" t="str">
        <f t="shared" si="44"/>
        <v/>
      </c>
      <c r="F420" s="9" t="str">
        <f t="shared" si="45"/>
        <v/>
      </c>
      <c r="G420" s="9" t="str">
        <f t="shared" si="46"/>
        <v/>
      </c>
      <c r="H420" s="10" t="str">
        <f t="shared" si="47"/>
        <v/>
      </c>
      <c r="I420" s="8" t="str">
        <f t="shared" si="48"/>
        <v/>
      </c>
    </row>
    <row r="421" spans="1:9" x14ac:dyDescent="0.2">
      <c r="A421" s="12" t="str">
        <f>IF($B421="","",412)</f>
        <v/>
      </c>
      <c r="B421" s="18" t="str">
        <f>IF(412&gt;NBskParty,"",INDEX(PkBskParty,412))</f>
        <v/>
      </c>
      <c r="C421" s="16" t="str">
        <f t="shared" si="42"/>
        <v/>
      </c>
      <c r="D421" s="14" t="str">
        <f t="shared" si="43"/>
        <v/>
      </c>
      <c r="E421" s="14" t="str">
        <f t="shared" si="44"/>
        <v/>
      </c>
      <c r="F421" s="14" t="str">
        <f t="shared" si="45"/>
        <v/>
      </c>
      <c r="G421" s="14" t="str">
        <f t="shared" si="46"/>
        <v/>
      </c>
      <c r="H421" s="15" t="str">
        <f t="shared" si="47"/>
        <v/>
      </c>
      <c r="I421" s="13" t="str">
        <f t="shared" si="48"/>
        <v/>
      </c>
    </row>
    <row r="422" spans="1:9" x14ac:dyDescent="0.2">
      <c r="A422" s="7" t="str">
        <f>IF($B422="","",413)</f>
        <v/>
      </c>
      <c r="B422" s="17" t="str">
        <f>IF(413&gt;NBskParty,"",INDEX(PkBskParty,413))</f>
        <v/>
      </c>
      <c r="C422" s="11" t="str">
        <f t="shared" si="42"/>
        <v/>
      </c>
      <c r="D422" s="9" t="str">
        <f t="shared" si="43"/>
        <v/>
      </c>
      <c r="E422" s="9" t="str">
        <f t="shared" si="44"/>
        <v/>
      </c>
      <c r="F422" s="9" t="str">
        <f t="shared" si="45"/>
        <v/>
      </c>
      <c r="G422" s="9" t="str">
        <f t="shared" si="46"/>
        <v/>
      </c>
      <c r="H422" s="10" t="str">
        <f t="shared" si="47"/>
        <v/>
      </c>
      <c r="I422" s="8" t="str">
        <f t="shared" si="48"/>
        <v/>
      </c>
    </row>
    <row r="423" spans="1:9" x14ac:dyDescent="0.2">
      <c r="A423" s="12" t="str">
        <f>IF($B423="","",414)</f>
        <v/>
      </c>
      <c r="B423" s="18" t="str">
        <f>IF(414&gt;NBskParty,"",INDEX(PkBskParty,414))</f>
        <v/>
      </c>
      <c r="C423" s="16" t="str">
        <f t="shared" si="42"/>
        <v/>
      </c>
      <c r="D423" s="14" t="str">
        <f t="shared" si="43"/>
        <v/>
      </c>
      <c r="E423" s="14" t="str">
        <f t="shared" si="44"/>
        <v/>
      </c>
      <c r="F423" s="14" t="str">
        <f t="shared" si="45"/>
        <v/>
      </c>
      <c r="G423" s="14" t="str">
        <f t="shared" si="46"/>
        <v/>
      </c>
      <c r="H423" s="15" t="str">
        <f t="shared" si="47"/>
        <v/>
      </c>
      <c r="I423" s="13" t="str">
        <f t="shared" si="48"/>
        <v/>
      </c>
    </row>
    <row r="424" spans="1:9" x14ac:dyDescent="0.2">
      <c r="A424" s="7" t="str">
        <f>IF($B424="","",415)</f>
        <v/>
      </c>
      <c r="B424" s="17" t="str">
        <f>IF(415&gt;NBskParty,"",INDEX(PkBskParty,415))</f>
        <v/>
      </c>
      <c r="C424" s="11" t="str">
        <f t="shared" si="42"/>
        <v/>
      </c>
      <c r="D424" s="9" t="str">
        <f t="shared" si="43"/>
        <v/>
      </c>
      <c r="E424" s="9" t="str">
        <f t="shared" si="44"/>
        <v/>
      </c>
      <c r="F424" s="9" t="str">
        <f t="shared" si="45"/>
        <v/>
      </c>
      <c r="G424" s="9" t="str">
        <f t="shared" si="46"/>
        <v/>
      </c>
      <c r="H424" s="10" t="str">
        <f t="shared" si="47"/>
        <v/>
      </c>
      <c r="I424" s="8" t="str">
        <f t="shared" si="48"/>
        <v/>
      </c>
    </row>
    <row r="425" spans="1:9" x14ac:dyDescent="0.2">
      <c r="A425" s="12" t="str">
        <f>IF($B425="","",416)</f>
        <v/>
      </c>
      <c r="B425" s="18" t="str">
        <f>IF(416&gt;NBskParty,"",INDEX(PkBskParty,416))</f>
        <v/>
      </c>
      <c r="C425" s="16" t="str">
        <f t="shared" si="42"/>
        <v/>
      </c>
      <c r="D425" s="14" t="str">
        <f t="shared" si="43"/>
        <v/>
      </c>
      <c r="E425" s="14" t="str">
        <f t="shared" si="44"/>
        <v/>
      </c>
      <c r="F425" s="14" t="str">
        <f t="shared" si="45"/>
        <v/>
      </c>
      <c r="G425" s="14" t="str">
        <f t="shared" si="46"/>
        <v/>
      </c>
      <c r="H425" s="15" t="str">
        <f t="shared" si="47"/>
        <v/>
      </c>
      <c r="I425" s="13" t="str">
        <f t="shared" si="48"/>
        <v/>
      </c>
    </row>
    <row r="426" spans="1:9" x14ac:dyDescent="0.2">
      <c r="A426" s="7" t="str">
        <f>IF($B426="","",417)</f>
        <v/>
      </c>
      <c r="B426" s="17" t="str">
        <f>IF(417&gt;NBskParty,"",INDEX(PkBskParty,417))</f>
        <v/>
      </c>
      <c r="C426" s="11" t="str">
        <f t="shared" si="42"/>
        <v/>
      </c>
      <c r="D426" s="9" t="str">
        <f t="shared" si="43"/>
        <v/>
      </c>
      <c r="E426" s="9" t="str">
        <f t="shared" si="44"/>
        <v/>
      </c>
      <c r="F426" s="9" t="str">
        <f t="shared" si="45"/>
        <v/>
      </c>
      <c r="G426" s="9" t="str">
        <f t="shared" si="46"/>
        <v/>
      </c>
      <c r="H426" s="10" t="str">
        <f t="shared" si="47"/>
        <v/>
      </c>
      <c r="I426" s="8" t="str">
        <f t="shared" si="48"/>
        <v/>
      </c>
    </row>
    <row r="427" spans="1:9" x14ac:dyDescent="0.2">
      <c r="A427" s="12" t="str">
        <f>IF($B427="","",418)</f>
        <v/>
      </c>
      <c r="B427" s="18" t="str">
        <f>IF(418&gt;NBskParty,"",INDEX(PkBskParty,418))</f>
        <v/>
      </c>
      <c r="C427" s="16" t="str">
        <f t="shared" si="42"/>
        <v/>
      </c>
      <c r="D427" s="14" t="str">
        <f t="shared" si="43"/>
        <v/>
      </c>
      <c r="E427" s="14" t="str">
        <f t="shared" si="44"/>
        <v/>
      </c>
      <c r="F427" s="14" t="str">
        <f t="shared" si="45"/>
        <v/>
      </c>
      <c r="G427" s="14" t="str">
        <f t="shared" si="46"/>
        <v/>
      </c>
      <c r="H427" s="15" t="str">
        <f t="shared" si="47"/>
        <v/>
      </c>
      <c r="I427" s="13" t="str">
        <f t="shared" si="48"/>
        <v/>
      </c>
    </row>
    <row r="428" spans="1:9" x14ac:dyDescent="0.2">
      <c r="A428" s="7" t="str">
        <f>IF($B428="","",419)</f>
        <v/>
      </c>
      <c r="B428" s="17" t="str">
        <f>IF(419&gt;NBskParty,"",INDEX(PkBskParty,419))</f>
        <v/>
      </c>
      <c r="C428" s="11" t="str">
        <f t="shared" si="42"/>
        <v/>
      </c>
      <c r="D428" s="9" t="str">
        <f t="shared" si="43"/>
        <v/>
      </c>
      <c r="E428" s="9" t="str">
        <f t="shared" si="44"/>
        <v/>
      </c>
      <c r="F428" s="9" t="str">
        <f t="shared" si="45"/>
        <v/>
      </c>
      <c r="G428" s="9" t="str">
        <f t="shared" si="46"/>
        <v/>
      </c>
      <c r="H428" s="10" t="str">
        <f t="shared" si="47"/>
        <v/>
      </c>
      <c r="I428" s="8" t="str">
        <f t="shared" si="48"/>
        <v/>
      </c>
    </row>
    <row r="429" spans="1:9" x14ac:dyDescent="0.2">
      <c r="A429" s="12" t="str">
        <f>IF($B429="","",420)</f>
        <v/>
      </c>
      <c r="B429" s="18" t="str">
        <f>IF(420&gt;NBskParty,"",INDEX(PkBskParty,420))</f>
        <v/>
      </c>
      <c r="C429" s="16" t="str">
        <f t="shared" si="42"/>
        <v/>
      </c>
      <c r="D429" s="14" t="str">
        <f t="shared" si="43"/>
        <v/>
      </c>
      <c r="E429" s="14" t="str">
        <f t="shared" si="44"/>
        <v/>
      </c>
      <c r="F429" s="14" t="str">
        <f t="shared" si="45"/>
        <v/>
      </c>
      <c r="G429" s="14" t="str">
        <f t="shared" si="46"/>
        <v/>
      </c>
      <c r="H429" s="15" t="str">
        <f t="shared" si="47"/>
        <v/>
      </c>
      <c r="I429" s="13" t="str">
        <f t="shared" si="48"/>
        <v/>
      </c>
    </row>
    <row r="430" spans="1:9" x14ac:dyDescent="0.2">
      <c r="A430" s="7" t="str">
        <f>IF($B430="","",421)</f>
        <v/>
      </c>
      <c r="B430" s="17" t="str">
        <f>IF(421&gt;NBskParty,"",INDEX(PkBskParty,421))</f>
        <v/>
      </c>
      <c r="C430" s="11" t="str">
        <f t="shared" si="42"/>
        <v/>
      </c>
      <c r="D430" s="9" t="str">
        <f t="shared" si="43"/>
        <v/>
      </c>
      <c r="E430" s="9" t="str">
        <f t="shared" si="44"/>
        <v/>
      </c>
      <c r="F430" s="9" t="str">
        <f t="shared" si="45"/>
        <v/>
      </c>
      <c r="G430" s="9" t="str">
        <f t="shared" si="46"/>
        <v/>
      </c>
      <c r="H430" s="10" t="str">
        <f t="shared" si="47"/>
        <v/>
      </c>
      <c r="I430" s="8" t="str">
        <f t="shared" si="48"/>
        <v/>
      </c>
    </row>
    <row r="431" spans="1:9" x14ac:dyDescent="0.2">
      <c r="A431" s="12" t="str">
        <f>IF($B431="","",422)</f>
        <v/>
      </c>
      <c r="B431" s="18" t="str">
        <f>IF(422&gt;NBskParty,"",INDEX(PkBskParty,422))</f>
        <v/>
      </c>
      <c r="C431" s="16" t="str">
        <f t="shared" si="42"/>
        <v/>
      </c>
      <c r="D431" s="14" t="str">
        <f t="shared" si="43"/>
        <v/>
      </c>
      <c r="E431" s="14" t="str">
        <f t="shared" si="44"/>
        <v/>
      </c>
      <c r="F431" s="14" t="str">
        <f t="shared" si="45"/>
        <v/>
      </c>
      <c r="G431" s="14" t="str">
        <f t="shared" si="46"/>
        <v/>
      </c>
      <c r="H431" s="15" t="str">
        <f t="shared" si="47"/>
        <v/>
      </c>
      <c r="I431" s="13" t="str">
        <f t="shared" si="48"/>
        <v/>
      </c>
    </row>
    <row r="432" spans="1:9" x14ac:dyDescent="0.2">
      <c r="A432" s="7" t="str">
        <f>IF($B432="","",423)</f>
        <v/>
      </c>
      <c r="B432" s="17" t="str">
        <f>IF(423&gt;NBskParty,"",INDEX(PkBskParty,423))</f>
        <v/>
      </c>
      <c r="C432" s="11" t="str">
        <f t="shared" si="42"/>
        <v/>
      </c>
      <c r="D432" s="9" t="str">
        <f t="shared" si="43"/>
        <v/>
      </c>
      <c r="E432" s="9" t="str">
        <f t="shared" si="44"/>
        <v/>
      </c>
      <c r="F432" s="9" t="str">
        <f t="shared" si="45"/>
        <v/>
      </c>
      <c r="G432" s="9" t="str">
        <f t="shared" si="46"/>
        <v/>
      </c>
      <c r="H432" s="10" t="str">
        <f t="shared" si="47"/>
        <v/>
      </c>
      <c r="I432" s="8" t="str">
        <f t="shared" si="48"/>
        <v/>
      </c>
    </row>
    <row r="433" spans="1:9" x14ac:dyDescent="0.2">
      <c r="A433" s="12" t="str">
        <f>IF($B433="","",424)</f>
        <v/>
      </c>
      <c r="B433" s="18" t="str">
        <f>IF(424&gt;NBskParty,"",INDEX(PkBskParty,424))</f>
        <v/>
      </c>
      <c r="C433" s="16" t="str">
        <f t="shared" si="42"/>
        <v/>
      </c>
      <c r="D433" s="14" t="str">
        <f t="shared" si="43"/>
        <v/>
      </c>
      <c r="E433" s="14" t="str">
        <f t="shared" si="44"/>
        <v/>
      </c>
      <c r="F433" s="14" t="str">
        <f t="shared" si="45"/>
        <v/>
      </c>
      <c r="G433" s="14" t="str">
        <f t="shared" si="46"/>
        <v/>
      </c>
      <c r="H433" s="15" t="str">
        <f t="shared" si="47"/>
        <v/>
      </c>
      <c r="I433" s="13" t="str">
        <f t="shared" si="48"/>
        <v/>
      </c>
    </row>
    <row r="434" spans="1:9" x14ac:dyDescent="0.2">
      <c r="A434" s="7" t="str">
        <f>IF($B434="","",425)</f>
        <v/>
      </c>
      <c r="B434" s="17" t="str">
        <f>IF(425&gt;NBskParty,"",INDEX(PkBskParty,425))</f>
        <v/>
      </c>
      <c r="C434" s="11" t="str">
        <f t="shared" si="42"/>
        <v/>
      </c>
      <c r="D434" s="9" t="str">
        <f t="shared" si="43"/>
        <v/>
      </c>
      <c r="E434" s="9" t="str">
        <f t="shared" si="44"/>
        <v/>
      </c>
      <c r="F434" s="9" t="str">
        <f t="shared" si="45"/>
        <v/>
      </c>
      <c r="G434" s="9" t="str">
        <f t="shared" si="46"/>
        <v/>
      </c>
      <c r="H434" s="10" t="str">
        <f t="shared" si="47"/>
        <v/>
      </c>
      <c r="I434" s="8" t="str">
        <f t="shared" si="48"/>
        <v/>
      </c>
    </row>
    <row r="435" spans="1:9" x14ac:dyDescent="0.2">
      <c r="A435" s="12" t="str">
        <f>IF($B435="","",426)</f>
        <v/>
      </c>
      <c r="B435" s="18" t="str">
        <f>IF(426&gt;NBskParty,"",INDEX(PkBskParty,426))</f>
        <v/>
      </c>
      <c r="C435" s="16" t="str">
        <f t="shared" si="42"/>
        <v/>
      </c>
      <c r="D435" s="14" t="str">
        <f t="shared" si="43"/>
        <v/>
      </c>
      <c r="E435" s="14" t="str">
        <f t="shared" si="44"/>
        <v/>
      </c>
      <c r="F435" s="14" t="str">
        <f t="shared" si="45"/>
        <v/>
      </c>
      <c r="G435" s="14" t="str">
        <f t="shared" si="46"/>
        <v/>
      </c>
      <c r="H435" s="15" t="str">
        <f t="shared" si="47"/>
        <v/>
      </c>
      <c r="I435" s="13" t="str">
        <f t="shared" si="48"/>
        <v/>
      </c>
    </row>
    <row r="436" spans="1:9" x14ac:dyDescent="0.2">
      <c r="A436" s="7" t="str">
        <f>IF($B436="","",427)</f>
        <v/>
      </c>
      <c r="B436" s="17" t="str">
        <f>IF(427&gt;NBskParty,"",INDEX(PkBskParty,427))</f>
        <v/>
      </c>
      <c r="C436" s="11" t="str">
        <f t="shared" si="42"/>
        <v/>
      </c>
      <c r="D436" s="9" t="str">
        <f t="shared" si="43"/>
        <v/>
      </c>
      <c r="E436" s="9" t="str">
        <f t="shared" si="44"/>
        <v/>
      </c>
      <c r="F436" s="9" t="str">
        <f t="shared" si="45"/>
        <v/>
      </c>
      <c r="G436" s="9" t="str">
        <f t="shared" si="46"/>
        <v/>
      </c>
      <c r="H436" s="10" t="str">
        <f t="shared" si="47"/>
        <v/>
      </c>
      <c r="I436" s="8" t="str">
        <f t="shared" si="48"/>
        <v/>
      </c>
    </row>
    <row r="437" spans="1:9" x14ac:dyDescent="0.2">
      <c r="A437" s="12" t="str">
        <f>IF($B437="","",428)</f>
        <v/>
      </c>
      <c r="B437" s="18" t="str">
        <f>IF(428&gt;NBskParty,"",INDEX(PkBskParty,428))</f>
        <v/>
      </c>
      <c r="C437" s="16" t="str">
        <f t="shared" si="42"/>
        <v/>
      </c>
      <c r="D437" s="14" t="str">
        <f t="shared" si="43"/>
        <v/>
      </c>
      <c r="E437" s="14" t="str">
        <f t="shared" si="44"/>
        <v/>
      </c>
      <c r="F437" s="14" t="str">
        <f t="shared" si="45"/>
        <v/>
      </c>
      <c r="G437" s="14" t="str">
        <f t="shared" si="46"/>
        <v/>
      </c>
      <c r="H437" s="15" t="str">
        <f t="shared" si="47"/>
        <v/>
      </c>
      <c r="I437" s="13" t="str">
        <f t="shared" si="48"/>
        <v/>
      </c>
    </row>
    <row r="438" spans="1:9" x14ac:dyDescent="0.2">
      <c r="A438" s="7" t="str">
        <f>IF($B438="","",429)</f>
        <v/>
      </c>
      <c r="B438" s="17" t="str">
        <f>IF(429&gt;NBskParty,"",INDEX(PkBskParty,429))</f>
        <v/>
      </c>
      <c r="C438" s="11" t="str">
        <f t="shared" si="42"/>
        <v/>
      </c>
      <c r="D438" s="9" t="str">
        <f t="shared" si="43"/>
        <v/>
      </c>
      <c r="E438" s="9" t="str">
        <f t="shared" si="44"/>
        <v/>
      </c>
      <c r="F438" s="9" t="str">
        <f t="shared" si="45"/>
        <v/>
      </c>
      <c r="G438" s="9" t="str">
        <f t="shared" si="46"/>
        <v/>
      </c>
      <c r="H438" s="10" t="str">
        <f t="shared" si="47"/>
        <v/>
      </c>
      <c r="I438" s="8" t="str">
        <f t="shared" si="48"/>
        <v/>
      </c>
    </row>
    <row r="439" spans="1:9" x14ac:dyDescent="0.2">
      <c r="A439" s="12" t="str">
        <f>IF($B439="","",430)</f>
        <v/>
      </c>
      <c r="B439" s="18" t="str">
        <f>IF(430&gt;NBskParty,"",INDEX(PkBskParty,430))</f>
        <v/>
      </c>
      <c r="C439" s="16" t="str">
        <f t="shared" si="42"/>
        <v/>
      </c>
      <c r="D439" s="14" t="str">
        <f t="shared" si="43"/>
        <v/>
      </c>
      <c r="E439" s="14" t="str">
        <f t="shared" si="44"/>
        <v/>
      </c>
      <c r="F439" s="14" t="str">
        <f t="shared" si="45"/>
        <v/>
      </c>
      <c r="G439" s="14" t="str">
        <f t="shared" si="46"/>
        <v/>
      </c>
      <c r="H439" s="15" t="str">
        <f t="shared" si="47"/>
        <v/>
      </c>
      <c r="I439" s="13" t="str">
        <f t="shared" si="48"/>
        <v/>
      </c>
    </row>
    <row r="440" spans="1:9" x14ac:dyDescent="0.2">
      <c r="A440" s="7" t="str">
        <f>IF($B440="","",431)</f>
        <v/>
      </c>
      <c r="B440" s="17" t="str">
        <f>IF(431&gt;NBskParty,"",INDEX(PkBskParty,431))</f>
        <v/>
      </c>
      <c r="C440" s="11" t="str">
        <f t="shared" si="42"/>
        <v/>
      </c>
      <c r="D440" s="9" t="str">
        <f t="shared" si="43"/>
        <v/>
      </c>
      <c r="E440" s="9" t="str">
        <f t="shared" si="44"/>
        <v/>
      </c>
      <c r="F440" s="9" t="str">
        <f t="shared" si="45"/>
        <v/>
      </c>
      <c r="G440" s="9" t="str">
        <f t="shared" si="46"/>
        <v/>
      </c>
      <c r="H440" s="10" t="str">
        <f t="shared" si="47"/>
        <v/>
      </c>
      <c r="I440" s="8" t="str">
        <f t="shared" si="48"/>
        <v/>
      </c>
    </row>
    <row r="441" spans="1:9" x14ac:dyDescent="0.2">
      <c r="A441" s="12" t="str">
        <f>IF($B441="","",432)</f>
        <v/>
      </c>
      <c r="B441" s="18" t="str">
        <f>IF(432&gt;NBskParty,"",INDEX(PkBskParty,432))</f>
        <v/>
      </c>
      <c r="C441" s="16" t="str">
        <f t="shared" si="42"/>
        <v/>
      </c>
      <c r="D441" s="14" t="str">
        <f t="shared" si="43"/>
        <v/>
      </c>
      <c r="E441" s="14" t="str">
        <f t="shared" si="44"/>
        <v/>
      </c>
      <c r="F441" s="14" t="str">
        <f t="shared" si="45"/>
        <v/>
      </c>
      <c r="G441" s="14" t="str">
        <f t="shared" si="46"/>
        <v/>
      </c>
      <c r="H441" s="15" t="str">
        <f t="shared" si="47"/>
        <v/>
      </c>
      <c r="I441" s="13" t="str">
        <f t="shared" si="48"/>
        <v/>
      </c>
    </row>
    <row r="442" spans="1:9" x14ac:dyDescent="0.2">
      <c r="A442" s="7" t="str">
        <f>IF($B442="","",433)</f>
        <v/>
      </c>
      <c r="B442" s="17" t="str">
        <f>IF(433&gt;NBskParty,"",INDEX(PkBskParty,433))</f>
        <v/>
      </c>
      <c r="C442" s="11" t="str">
        <f t="shared" si="42"/>
        <v/>
      </c>
      <c r="D442" s="9" t="str">
        <f t="shared" si="43"/>
        <v/>
      </c>
      <c r="E442" s="9" t="str">
        <f t="shared" si="44"/>
        <v/>
      </c>
      <c r="F442" s="9" t="str">
        <f t="shared" si="45"/>
        <v/>
      </c>
      <c r="G442" s="9" t="str">
        <f t="shared" si="46"/>
        <v/>
      </c>
      <c r="H442" s="10" t="str">
        <f t="shared" si="47"/>
        <v/>
      </c>
      <c r="I442" s="8" t="str">
        <f t="shared" si="48"/>
        <v/>
      </c>
    </row>
    <row r="443" spans="1:9" x14ac:dyDescent="0.2">
      <c r="A443" s="12" t="str">
        <f>IF($B443="","",434)</f>
        <v/>
      </c>
      <c r="B443" s="18" t="str">
        <f>IF(434&gt;NBskParty,"",INDEX(PkBskParty,434))</f>
        <v/>
      </c>
      <c r="C443" s="16" t="str">
        <f t="shared" si="42"/>
        <v/>
      </c>
      <c r="D443" s="14" t="str">
        <f t="shared" si="43"/>
        <v/>
      </c>
      <c r="E443" s="14" t="str">
        <f t="shared" si="44"/>
        <v/>
      </c>
      <c r="F443" s="14" t="str">
        <f t="shared" si="45"/>
        <v/>
      </c>
      <c r="G443" s="14" t="str">
        <f t="shared" si="46"/>
        <v/>
      </c>
      <c r="H443" s="15" t="str">
        <f t="shared" si="47"/>
        <v/>
      </c>
      <c r="I443" s="13" t="str">
        <f t="shared" si="48"/>
        <v/>
      </c>
    </row>
    <row r="444" spans="1:9" x14ac:dyDescent="0.2">
      <c r="A444" s="7" t="str">
        <f>IF($B444="","",435)</f>
        <v/>
      </c>
      <c r="B444" s="17" t="str">
        <f>IF(435&gt;NBskParty,"",INDEX(PkBskParty,435))</f>
        <v/>
      </c>
      <c r="C444" s="11" t="str">
        <f t="shared" si="42"/>
        <v/>
      </c>
      <c r="D444" s="9" t="str">
        <f t="shared" si="43"/>
        <v/>
      </c>
      <c r="E444" s="9" t="str">
        <f t="shared" si="44"/>
        <v/>
      </c>
      <c r="F444" s="9" t="str">
        <f t="shared" si="45"/>
        <v/>
      </c>
      <c r="G444" s="9" t="str">
        <f t="shared" si="46"/>
        <v/>
      </c>
      <c r="H444" s="10" t="str">
        <f t="shared" si="47"/>
        <v/>
      </c>
      <c r="I444" s="8" t="str">
        <f t="shared" si="48"/>
        <v/>
      </c>
    </row>
    <row r="445" spans="1:9" x14ac:dyDescent="0.2">
      <c r="A445" s="12" t="str">
        <f>IF($B445="","",436)</f>
        <v/>
      </c>
      <c r="B445" s="18" t="str">
        <f>IF(436&gt;NBskParty,"",INDEX(PkBskParty,436))</f>
        <v/>
      </c>
      <c r="C445" s="16" t="str">
        <f t="shared" si="42"/>
        <v/>
      </c>
      <c r="D445" s="14" t="str">
        <f t="shared" si="43"/>
        <v/>
      </c>
      <c r="E445" s="14" t="str">
        <f t="shared" si="44"/>
        <v/>
      </c>
      <c r="F445" s="14" t="str">
        <f t="shared" si="45"/>
        <v/>
      </c>
      <c r="G445" s="14" t="str">
        <f t="shared" si="46"/>
        <v/>
      </c>
      <c r="H445" s="15" t="str">
        <f t="shared" si="47"/>
        <v/>
      </c>
      <c r="I445" s="13" t="str">
        <f t="shared" si="48"/>
        <v/>
      </c>
    </row>
    <row r="446" spans="1:9" x14ac:dyDescent="0.2">
      <c r="A446" s="7" t="str">
        <f>IF($B446="","",437)</f>
        <v/>
      </c>
      <c r="B446" s="17" t="str">
        <f>IF(437&gt;NBskParty,"",INDEX(PkBskParty,437))</f>
        <v/>
      </c>
      <c r="C446" s="11" t="str">
        <f t="shared" si="42"/>
        <v/>
      </c>
      <c r="D446" s="9" t="str">
        <f t="shared" si="43"/>
        <v/>
      </c>
      <c r="E446" s="9" t="str">
        <f t="shared" si="44"/>
        <v/>
      </c>
      <c r="F446" s="9" t="str">
        <f t="shared" si="45"/>
        <v/>
      </c>
      <c r="G446" s="9" t="str">
        <f t="shared" si="46"/>
        <v/>
      </c>
      <c r="H446" s="10" t="str">
        <f t="shared" si="47"/>
        <v/>
      </c>
      <c r="I446" s="8" t="str">
        <f t="shared" si="48"/>
        <v/>
      </c>
    </row>
    <row r="447" spans="1:9" x14ac:dyDescent="0.2">
      <c r="A447" s="12" t="str">
        <f>IF($B447="","",438)</f>
        <v/>
      </c>
      <c r="B447" s="18" t="str">
        <f>IF(438&gt;NBskParty,"",INDEX(PkBskParty,438))</f>
        <v/>
      </c>
      <c r="C447" s="16" t="str">
        <f t="shared" si="42"/>
        <v/>
      </c>
      <c r="D447" s="14" t="str">
        <f t="shared" si="43"/>
        <v/>
      </c>
      <c r="E447" s="14" t="str">
        <f t="shared" si="44"/>
        <v/>
      </c>
      <c r="F447" s="14" t="str">
        <f t="shared" si="45"/>
        <v/>
      </c>
      <c r="G447" s="14" t="str">
        <f t="shared" si="46"/>
        <v/>
      </c>
      <c r="H447" s="15" t="str">
        <f t="shared" si="47"/>
        <v/>
      </c>
      <c r="I447" s="13" t="str">
        <f t="shared" si="48"/>
        <v/>
      </c>
    </row>
    <row r="448" spans="1:9" x14ac:dyDescent="0.2">
      <c r="A448" s="7" t="str">
        <f>IF($B448="","",439)</f>
        <v/>
      </c>
      <c r="B448" s="17" t="str">
        <f>IF(439&gt;NBskParty,"",INDEX(PkBskParty,439))</f>
        <v/>
      </c>
      <c r="C448" s="11" t="str">
        <f t="shared" si="42"/>
        <v/>
      </c>
      <c r="D448" s="9" t="str">
        <f t="shared" si="43"/>
        <v/>
      </c>
      <c r="E448" s="9" t="str">
        <f t="shared" si="44"/>
        <v/>
      </c>
      <c r="F448" s="9" t="str">
        <f t="shared" si="45"/>
        <v/>
      </c>
      <c r="G448" s="9" t="str">
        <f t="shared" si="46"/>
        <v/>
      </c>
      <c r="H448" s="10" t="str">
        <f t="shared" si="47"/>
        <v/>
      </c>
      <c r="I448" s="8" t="str">
        <f t="shared" si="48"/>
        <v/>
      </c>
    </row>
    <row r="449" spans="1:9" x14ac:dyDescent="0.2">
      <c r="A449" s="12" t="str">
        <f>IF($B449="","",440)</f>
        <v/>
      </c>
      <c r="B449" s="18" t="str">
        <f>IF(440&gt;NBskParty,"",INDEX(PkBskParty,440))</f>
        <v/>
      </c>
      <c r="C449" s="16" t="str">
        <f t="shared" si="42"/>
        <v/>
      </c>
      <c r="D449" s="14" t="str">
        <f t="shared" si="43"/>
        <v/>
      </c>
      <c r="E449" s="14" t="str">
        <f t="shared" si="44"/>
        <v/>
      </c>
      <c r="F449" s="14" t="str">
        <f t="shared" si="45"/>
        <v/>
      </c>
      <c r="G449" s="14" t="str">
        <f t="shared" si="46"/>
        <v/>
      </c>
      <c r="H449" s="15" t="str">
        <f t="shared" si="47"/>
        <v/>
      </c>
      <c r="I449" s="13" t="str">
        <f t="shared" si="48"/>
        <v/>
      </c>
    </row>
    <row r="450" spans="1:9" x14ac:dyDescent="0.2">
      <c r="A450" s="7" t="str">
        <f>IF($B450="","",441)</f>
        <v/>
      </c>
      <c r="B450" s="17" t="str">
        <f>IF(441&gt;NBskParty,"",INDEX(PkBskParty,441))</f>
        <v/>
      </c>
      <c r="C450" s="11" t="str">
        <f t="shared" si="42"/>
        <v/>
      </c>
      <c r="D450" s="9" t="str">
        <f t="shared" si="43"/>
        <v/>
      </c>
      <c r="E450" s="9" t="str">
        <f t="shared" si="44"/>
        <v/>
      </c>
      <c r="F450" s="9" t="str">
        <f t="shared" si="45"/>
        <v/>
      </c>
      <c r="G450" s="9" t="str">
        <f t="shared" si="46"/>
        <v/>
      </c>
      <c r="H450" s="10" t="str">
        <f t="shared" si="47"/>
        <v/>
      </c>
      <c r="I450" s="8" t="str">
        <f t="shared" si="48"/>
        <v/>
      </c>
    </row>
    <row r="451" spans="1:9" x14ac:dyDescent="0.2">
      <c r="A451" s="12" t="str">
        <f>IF($B451="","",442)</f>
        <v/>
      </c>
      <c r="B451" s="18" t="str">
        <f>IF(442&gt;NBskParty,"",INDEX(PkBskParty,442))</f>
        <v/>
      </c>
      <c r="C451" s="16" t="str">
        <f t="shared" si="42"/>
        <v/>
      </c>
      <c r="D451" s="14" t="str">
        <f t="shared" si="43"/>
        <v/>
      </c>
      <c r="E451" s="14" t="str">
        <f t="shared" si="44"/>
        <v/>
      </c>
      <c r="F451" s="14" t="str">
        <f t="shared" si="45"/>
        <v/>
      </c>
      <c r="G451" s="14" t="str">
        <f t="shared" si="46"/>
        <v/>
      </c>
      <c r="H451" s="15" t="str">
        <f t="shared" si="47"/>
        <v/>
      </c>
      <c r="I451" s="13" t="str">
        <f t="shared" si="48"/>
        <v/>
      </c>
    </row>
    <row r="452" spans="1:9" x14ac:dyDescent="0.2">
      <c r="A452" s="7" t="str">
        <f>IF($B452="","",443)</f>
        <v/>
      </c>
      <c r="B452" s="17" t="str">
        <f>IF(443&gt;NBskParty,"",INDEX(PkBskParty,443))</f>
        <v/>
      </c>
      <c r="C452" s="11" t="str">
        <f t="shared" si="42"/>
        <v/>
      </c>
      <c r="D452" s="9" t="str">
        <f t="shared" si="43"/>
        <v/>
      </c>
      <c r="E452" s="9" t="str">
        <f t="shared" si="44"/>
        <v/>
      </c>
      <c r="F452" s="9" t="str">
        <f t="shared" si="45"/>
        <v/>
      </c>
      <c r="G452" s="9" t="str">
        <f t="shared" si="46"/>
        <v/>
      </c>
      <c r="H452" s="10" t="str">
        <f t="shared" si="47"/>
        <v/>
      </c>
      <c r="I452" s="8" t="str">
        <f t="shared" si="48"/>
        <v/>
      </c>
    </row>
    <row r="453" spans="1:9" x14ac:dyDescent="0.2">
      <c r="A453" s="12" t="str">
        <f>IF($B453="","",444)</f>
        <v/>
      </c>
      <c r="B453" s="18" t="str">
        <f>IF(444&gt;NBskParty,"",INDEX(PkBskParty,444))</f>
        <v/>
      </c>
      <c r="C453" s="16" t="str">
        <f t="shared" si="42"/>
        <v/>
      </c>
      <c r="D453" s="14" t="str">
        <f t="shared" si="43"/>
        <v/>
      </c>
      <c r="E453" s="14" t="str">
        <f t="shared" si="44"/>
        <v/>
      </c>
      <c r="F453" s="14" t="str">
        <f t="shared" si="45"/>
        <v/>
      </c>
      <c r="G453" s="14" t="str">
        <f t="shared" si="46"/>
        <v/>
      </c>
      <c r="H453" s="15" t="str">
        <f t="shared" si="47"/>
        <v/>
      </c>
      <c r="I453" s="13" t="str">
        <f t="shared" si="48"/>
        <v/>
      </c>
    </row>
    <row r="454" spans="1:9" x14ac:dyDescent="0.2">
      <c r="A454" s="7" t="str">
        <f>IF($B454="","",445)</f>
        <v/>
      </c>
      <c r="B454" s="17" t="str">
        <f>IF(445&gt;NBskParty,"",INDEX(PkBskParty,445))</f>
        <v/>
      </c>
      <c r="C454" s="11" t="str">
        <f t="shared" si="42"/>
        <v/>
      </c>
      <c r="D454" s="9" t="str">
        <f t="shared" si="43"/>
        <v/>
      </c>
      <c r="E454" s="9" t="str">
        <f t="shared" si="44"/>
        <v/>
      </c>
      <c r="F454" s="9" t="str">
        <f t="shared" si="45"/>
        <v/>
      </c>
      <c r="G454" s="9" t="str">
        <f t="shared" si="46"/>
        <v/>
      </c>
      <c r="H454" s="10" t="str">
        <f t="shared" si="47"/>
        <v/>
      </c>
      <c r="I454" s="8" t="str">
        <f t="shared" si="48"/>
        <v/>
      </c>
    </row>
    <row r="455" spans="1:9" x14ac:dyDescent="0.2">
      <c r="A455" s="12" t="str">
        <f>IF($B455="","",446)</f>
        <v/>
      </c>
      <c r="B455" s="18" t="str">
        <f>IF(446&gt;NBskParty,"",INDEX(PkBskParty,446))</f>
        <v/>
      </c>
      <c r="C455" s="16" t="str">
        <f t="shared" si="42"/>
        <v/>
      </c>
      <c r="D455" s="14" t="str">
        <f t="shared" si="43"/>
        <v/>
      </c>
      <c r="E455" s="14" t="str">
        <f t="shared" si="44"/>
        <v/>
      </c>
      <c r="F455" s="14" t="str">
        <f t="shared" si="45"/>
        <v/>
      </c>
      <c r="G455" s="14" t="str">
        <f t="shared" si="46"/>
        <v/>
      </c>
      <c r="H455" s="15" t="str">
        <f t="shared" si="47"/>
        <v/>
      </c>
      <c r="I455" s="13" t="str">
        <f t="shared" si="48"/>
        <v/>
      </c>
    </row>
    <row r="456" spans="1:9" x14ac:dyDescent="0.2">
      <c r="A456" s="7" t="str">
        <f>IF($B456="","",447)</f>
        <v/>
      </c>
      <c r="B456" s="17" t="str">
        <f>IF(447&gt;NBskParty,"",INDEX(PkBskParty,447))</f>
        <v/>
      </c>
      <c r="C456" s="11" t="str">
        <f t="shared" si="42"/>
        <v/>
      </c>
      <c r="D456" s="9" t="str">
        <f t="shared" si="43"/>
        <v/>
      </c>
      <c r="E456" s="9" t="str">
        <f t="shared" si="44"/>
        <v/>
      </c>
      <c r="F456" s="9" t="str">
        <f t="shared" si="45"/>
        <v/>
      </c>
      <c r="G456" s="9" t="str">
        <f t="shared" si="46"/>
        <v/>
      </c>
      <c r="H456" s="10" t="str">
        <f t="shared" si="47"/>
        <v/>
      </c>
      <c r="I456" s="8" t="str">
        <f t="shared" si="48"/>
        <v/>
      </c>
    </row>
    <row r="457" spans="1:9" x14ac:dyDescent="0.2">
      <c r="A457" s="12" t="str">
        <f>IF($B457="","",448)</f>
        <v/>
      </c>
      <c r="B457" s="18" t="str">
        <f>IF(448&gt;NBskParty,"",INDEX(PkBskParty,448))</f>
        <v/>
      </c>
      <c r="C457" s="16" t="str">
        <f t="shared" si="42"/>
        <v/>
      </c>
      <c r="D457" s="14" t="str">
        <f t="shared" si="43"/>
        <v/>
      </c>
      <c r="E457" s="14" t="str">
        <f t="shared" si="44"/>
        <v/>
      </c>
      <c r="F457" s="14" t="str">
        <f t="shared" si="45"/>
        <v/>
      </c>
      <c r="G457" s="14" t="str">
        <f t="shared" si="46"/>
        <v/>
      </c>
      <c r="H457" s="15" t="str">
        <f t="shared" si="47"/>
        <v/>
      </c>
      <c r="I457" s="13" t="str">
        <f t="shared" si="48"/>
        <v/>
      </c>
    </row>
    <row r="458" spans="1:9" x14ac:dyDescent="0.2">
      <c r="A458" s="7" t="str">
        <f>IF($B458="","",449)</f>
        <v/>
      </c>
      <c r="B458" s="17" t="str">
        <f>IF(449&gt;NBskParty,"",INDEX(PkBskParty,449))</f>
        <v/>
      </c>
      <c r="C458" s="11" t="str">
        <f t="shared" ref="C458:C521" si="49">IF($B458="","",IFERROR(IF(VLOOKUP($B458,AcctTbl,4,0)="","(بدون نام)",VLOOKUP($B458,AcctTbl,4,0)),"—"))</f>
        <v/>
      </c>
      <c r="D458" s="9" t="str">
        <f t="shared" ref="D458:D521" si="50">IF($B458="","",SUMIF(CalcPartyA,$B458,CalcQtyA))</f>
        <v/>
      </c>
      <c r="E458" s="9" t="str">
        <f t="shared" ref="E458:E521" si="51">IF($B458="","",SUMIF(CalcPartyA,$B458,CalcAmtA))</f>
        <v/>
      </c>
      <c r="F458" s="9" t="str">
        <f t="shared" ref="F458:F521" si="52">IF($B458="","",SUMIF(CalcPartyB,$B458,CalcWitB))</f>
        <v/>
      </c>
      <c r="G458" s="9" t="str">
        <f t="shared" ref="G458:G521" si="53">IF($B458="","",SUMIF(CalcPartyB,$B458,CalcDepB))</f>
        <v/>
      </c>
      <c r="H458" s="10" t="str">
        <f t="shared" ref="H458:H521" si="54">IF($B458="","",$E458-$F458+$G458)</f>
        <v/>
      </c>
      <c r="I458" s="8" t="str">
        <f t="shared" ref="I458:I521" si="55">IF($B458="","",IF(ROUND($H458,0)&gt;0,"● بستانکار",IF(ROUND($H458,0)&lt;0,"● بدهکار","تسویه")))</f>
        <v/>
      </c>
    </row>
    <row r="459" spans="1:9" x14ac:dyDescent="0.2">
      <c r="A459" s="12" t="str">
        <f>IF($B459="","",450)</f>
        <v/>
      </c>
      <c r="B459" s="18" t="str">
        <f>IF(450&gt;NBskParty,"",INDEX(PkBskParty,450))</f>
        <v/>
      </c>
      <c r="C459" s="16" t="str">
        <f t="shared" si="49"/>
        <v/>
      </c>
      <c r="D459" s="14" t="str">
        <f t="shared" si="50"/>
        <v/>
      </c>
      <c r="E459" s="14" t="str">
        <f t="shared" si="51"/>
        <v/>
      </c>
      <c r="F459" s="14" t="str">
        <f t="shared" si="52"/>
        <v/>
      </c>
      <c r="G459" s="14" t="str">
        <f t="shared" si="53"/>
        <v/>
      </c>
      <c r="H459" s="15" t="str">
        <f t="shared" si="54"/>
        <v/>
      </c>
      <c r="I459" s="13" t="str">
        <f t="shared" si="55"/>
        <v/>
      </c>
    </row>
    <row r="460" spans="1:9" x14ac:dyDescent="0.2">
      <c r="A460" s="7" t="str">
        <f>IF($B460="","",451)</f>
        <v/>
      </c>
      <c r="B460" s="17" t="str">
        <f>IF(451&gt;NBskParty,"",INDEX(PkBskParty,451))</f>
        <v/>
      </c>
      <c r="C460" s="11" t="str">
        <f t="shared" si="49"/>
        <v/>
      </c>
      <c r="D460" s="9" t="str">
        <f t="shared" si="50"/>
        <v/>
      </c>
      <c r="E460" s="9" t="str">
        <f t="shared" si="51"/>
        <v/>
      </c>
      <c r="F460" s="9" t="str">
        <f t="shared" si="52"/>
        <v/>
      </c>
      <c r="G460" s="9" t="str">
        <f t="shared" si="53"/>
        <v/>
      </c>
      <c r="H460" s="10" t="str">
        <f t="shared" si="54"/>
        <v/>
      </c>
      <c r="I460" s="8" t="str">
        <f t="shared" si="55"/>
        <v/>
      </c>
    </row>
    <row r="461" spans="1:9" x14ac:dyDescent="0.2">
      <c r="A461" s="12" t="str">
        <f>IF($B461="","",452)</f>
        <v/>
      </c>
      <c r="B461" s="18" t="str">
        <f>IF(452&gt;NBskParty,"",INDEX(PkBskParty,452))</f>
        <v/>
      </c>
      <c r="C461" s="16" t="str">
        <f t="shared" si="49"/>
        <v/>
      </c>
      <c r="D461" s="14" t="str">
        <f t="shared" si="50"/>
        <v/>
      </c>
      <c r="E461" s="14" t="str">
        <f t="shared" si="51"/>
        <v/>
      </c>
      <c r="F461" s="14" t="str">
        <f t="shared" si="52"/>
        <v/>
      </c>
      <c r="G461" s="14" t="str">
        <f t="shared" si="53"/>
        <v/>
      </c>
      <c r="H461" s="15" t="str">
        <f t="shared" si="54"/>
        <v/>
      </c>
      <c r="I461" s="13" t="str">
        <f t="shared" si="55"/>
        <v/>
      </c>
    </row>
    <row r="462" spans="1:9" x14ac:dyDescent="0.2">
      <c r="A462" s="7" t="str">
        <f>IF($B462="","",453)</f>
        <v/>
      </c>
      <c r="B462" s="17" t="str">
        <f>IF(453&gt;NBskParty,"",INDEX(PkBskParty,453))</f>
        <v/>
      </c>
      <c r="C462" s="11" t="str">
        <f t="shared" si="49"/>
        <v/>
      </c>
      <c r="D462" s="9" t="str">
        <f t="shared" si="50"/>
        <v/>
      </c>
      <c r="E462" s="9" t="str">
        <f t="shared" si="51"/>
        <v/>
      </c>
      <c r="F462" s="9" t="str">
        <f t="shared" si="52"/>
        <v/>
      </c>
      <c r="G462" s="9" t="str">
        <f t="shared" si="53"/>
        <v/>
      </c>
      <c r="H462" s="10" t="str">
        <f t="shared" si="54"/>
        <v/>
      </c>
      <c r="I462" s="8" t="str">
        <f t="shared" si="55"/>
        <v/>
      </c>
    </row>
    <row r="463" spans="1:9" x14ac:dyDescent="0.2">
      <c r="A463" s="12" t="str">
        <f>IF($B463="","",454)</f>
        <v/>
      </c>
      <c r="B463" s="18" t="str">
        <f>IF(454&gt;NBskParty,"",INDEX(PkBskParty,454))</f>
        <v/>
      </c>
      <c r="C463" s="16" t="str">
        <f t="shared" si="49"/>
        <v/>
      </c>
      <c r="D463" s="14" t="str">
        <f t="shared" si="50"/>
        <v/>
      </c>
      <c r="E463" s="14" t="str">
        <f t="shared" si="51"/>
        <v/>
      </c>
      <c r="F463" s="14" t="str">
        <f t="shared" si="52"/>
        <v/>
      </c>
      <c r="G463" s="14" t="str">
        <f t="shared" si="53"/>
        <v/>
      </c>
      <c r="H463" s="15" t="str">
        <f t="shared" si="54"/>
        <v/>
      </c>
      <c r="I463" s="13" t="str">
        <f t="shared" si="55"/>
        <v/>
      </c>
    </row>
    <row r="464" spans="1:9" x14ac:dyDescent="0.2">
      <c r="A464" s="7" t="str">
        <f>IF($B464="","",455)</f>
        <v/>
      </c>
      <c r="B464" s="17" t="str">
        <f>IF(455&gt;NBskParty,"",INDEX(PkBskParty,455))</f>
        <v/>
      </c>
      <c r="C464" s="11" t="str">
        <f t="shared" si="49"/>
        <v/>
      </c>
      <c r="D464" s="9" t="str">
        <f t="shared" si="50"/>
        <v/>
      </c>
      <c r="E464" s="9" t="str">
        <f t="shared" si="51"/>
        <v/>
      </c>
      <c r="F464" s="9" t="str">
        <f t="shared" si="52"/>
        <v/>
      </c>
      <c r="G464" s="9" t="str">
        <f t="shared" si="53"/>
        <v/>
      </c>
      <c r="H464" s="10" t="str">
        <f t="shared" si="54"/>
        <v/>
      </c>
      <c r="I464" s="8" t="str">
        <f t="shared" si="55"/>
        <v/>
      </c>
    </row>
    <row r="465" spans="1:9" x14ac:dyDescent="0.2">
      <c r="A465" s="12" t="str">
        <f>IF($B465="","",456)</f>
        <v/>
      </c>
      <c r="B465" s="18" t="str">
        <f>IF(456&gt;NBskParty,"",INDEX(PkBskParty,456))</f>
        <v/>
      </c>
      <c r="C465" s="16" t="str">
        <f t="shared" si="49"/>
        <v/>
      </c>
      <c r="D465" s="14" t="str">
        <f t="shared" si="50"/>
        <v/>
      </c>
      <c r="E465" s="14" t="str">
        <f t="shared" si="51"/>
        <v/>
      </c>
      <c r="F465" s="14" t="str">
        <f t="shared" si="52"/>
        <v/>
      </c>
      <c r="G465" s="14" t="str">
        <f t="shared" si="53"/>
        <v/>
      </c>
      <c r="H465" s="15" t="str">
        <f t="shared" si="54"/>
        <v/>
      </c>
      <c r="I465" s="13" t="str">
        <f t="shared" si="55"/>
        <v/>
      </c>
    </row>
    <row r="466" spans="1:9" x14ac:dyDescent="0.2">
      <c r="A466" s="7" t="str">
        <f>IF($B466="","",457)</f>
        <v/>
      </c>
      <c r="B466" s="17" t="str">
        <f>IF(457&gt;NBskParty,"",INDEX(PkBskParty,457))</f>
        <v/>
      </c>
      <c r="C466" s="11" t="str">
        <f t="shared" si="49"/>
        <v/>
      </c>
      <c r="D466" s="9" t="str">
        <f t="shared" si="50"/>
        <v/>
      </c>
      <c r="E466" s="9" t="str">
        <f t="shared" si="51"/>
        <v/>
      </c>
      <c r="F466" s="9" t="str">
        <f t="shared" si="52"/>
        <v/>
      </c>
      <c r="G466" s="9" t="str">
        <f t="shared" si="53"/>
        <v/>
      </c>
      <c r="H466" s="10" t="str">
        <f t="shared" si="54"/>
        <v/>
      </c>
      <c r="I466" s="8" t="str">
        <f t="shared" si="55"/>
        <v/>
      </c>
    </row>
    <row r="467" spans="1:9" x14ac:dyDescent="0.2">
      <c r="A467" s="12" t="str">
        <f>IF($B467="","",458)</f>
        <v/>
      </c>
      <c r="B467" s="18" t="str">
        <f>IF(458&gt;NBskParty,"",INDEX(PkBskParty,458))</f>
        <v/>
      </c>
      <c r="C467" s="16" t="str">
        <f t="shared" si="49"/>
        <v/>
      </c>
      <c r="D467" s="14" t="str">
        <f t="shared" si="50"/>
        <v/>
      </c>
      <c r="E467" s="14" t="str">
        <f t="shared" si="51"/>
        <v/>
      </c>
      <c r="F467" s="14" t="str">
        <f t="shared" si="52"/>
        <v/>
      </c>
      <c r="G467" s="14" t="str">
        <f t="shared" si="53"/>
        <v/>
      </c>
      <c r="H467" s="15" t="str">
        <f t="shared" si="54"/>
        <v/>
      </c>
      <c r="I467" s="13" t="str">
        <f t="shared" si="55"/>
        <v/>
      </c>
    </row>
    <row r="468" spans="1:9" x14ac:dyDescent="0.2">
      <c r="A468" s="7" t="str">
        <f>IF($B468="","",459)</f>
        <v/>
      </c>
      <c r="B468" s="17" t="str">
        <f>IF(459&gt;NBskParty,"",INDEX(PkBskParty,459))</f>
        <v/>
      </c>
      <c r="C468" s="11" t="str">
        <f t="shared" si="49"/>
        <v/>
      </c>
      <c r="D468" s="9" t="str">
        <f t="shared" si="50"/>
        <v/>
      </c>
      <c r="E468" s="9" t="str">
        <f t="shared" si="51"/>
        <v/>
      </c>
      <c r="F468" s="9" t="str">
        <f t="shared" si="52"/>
        <v/>
      </c>
      <c r="G468" s="9" t="str">
        <f t="shared" si="53"/>
        <v/>
      </c>
      <c r="H468" s="10" t="str">
        <f t="shared" si="54"/>
        <v/>
      </c>
      <c r="I468" s="8" t="str">
        <f t="shared" si="55"/>
        <v/>
      </c>
    </row>
    <row r="469" spans="1:9" x14ac:dyDescent="0.2">
      <c r="A469" s="12" t="str">
        <f>IF($B469="","",460)</f>
        <v/>
      </c>
      <c r="B469" s="18" t="str">
        <f>IF(460&gt;NBskParty,"",INDEX(PkBskParty,460))</f>
        <v/>
      </c>
      <c r="C469" s="16" t="str">
        <f t="shared" si="49"/>
        <v/>
      </c>
      <c r="D469" s="14" t="str">
        <f t="shared" si="50"/>
        <v/>
      </c>
      <c r="E469" s="14" t="str">
        <f t="shared" si="51"/>
        <v/>
      </c>
      <c r="F469" s="14" t="str">
        <f t="shared" si="52"/>
        <v/>
      </c>
      <c r="G469" s="14" t="str">
        <f t="shared" si="53"/>
        <v/>
      </c>
      <c r="H469" s="15" t="str">
        <f t="shared" si="54"/>
        <v/>
      </c>
      <c r="I469" s="13" t="str">
        <f t="shared" si="55"/>
        <v/>
      </c>
    </row>
    <row r="470" spans="1:9" x14ac:dyDescent="0.2">
      <c r="A470" s="7" t="str">
        <f>IF($B470="","",461)</f>
        <v/>
      </c>
      <c r="B470" s="17" t="str">
        <f>IF(461&gt;NBskParty,"",INDEX(PkBskParty,461))</f>
        <v/>
      </c>
      <c r="C470" s="11" t="str">
        <f t="shared" si="49"/>
        <v/>
      </c>
      <c r="D470" s="9" t="str">
        <f t="shared" si="50"/>
        <v/>
      </c>
      <c r="E470" s="9" t="str">
        <f t="shared" si="51"/>
        <v/>
      </c>
      <c r="F470" s="9" t="str">
        <f t="shared" si="52"/>
        <v/>
      </c>
      <c r="G470" s="9" t="str">
        <f t="shared" si="53"/>
        <v/>
      </c>
      <c r="H470" s="10" t="str">
        <f t="shared" si="54"/>
        <v/>
      </c>
      <c r="I470" s="8" t="str">
        <f t="shared" si="55"/>
        <v/>
      </c>
    </row>
    <row r="471" spans="1:9" x14ac:dyDescent="0.2">
      <c r="A471" s="12" t="str">
        <f>IF($B471="","",462)</f>
        <v/>
      </c>
      <c r="B471" s="18" t="str">
        <f>IF(462&gt;NBskParty,"",INDEX(PkBskParty,462))</f>
        <v/>
      </c>
      <c r="C471" s="16" t="str">
        <f t="shared" si="49"/>
        <v/>
      </c>
      <c r="D471" s="14" t="str">
        <f t="shared" si="50"/>
        <v/>
      </c>
      <c r="E471" s="14" t="str">
        <f t="shared" si="51"/>
        <v/>
      </c>
      <c r="F471" s="14" t="str">
        <f t="shared" si="52"/>
        <v/>
      </c>
      <c r="G471" s="14" t="str">
        <f t="shared" si="53"/>
        <v/>
      </c>
      <c r="H471" s="15" t="str">
        <f t="shared" si="54"/>
        <v/>
      </c>
      <c r="I471" s="13" t="str">
        <f t="shared" si="55"/>
        <v/>
      </c>
    </row>
    <row r="472" spans="1:9" x14ac:dyDescent="0.2">
      <c r="A472" s="7" t="str">
        <f>IF($B472="","",463)</f>
        <v/>
      </c>
      <c r="B472" s="17" t="str">
        <f>IF(463&gt;NBskParty,"",INDEX(PkBskParty,463))</f>
        <v/>
      </c>
      <c r="C472" s="11" t="str">
        <f t="shared" si="49"/>
        <v/>
      </c>
      <c r="D472" s="9" t="str">
        <f t="shared" si="50"/>
        <v/>
      </c>
      <c r="E472" s="9" t="str">
        <f t="shared" si="51"/>
        <v/>
      </c>
      <c r="F472" s="9" t="str">
        <f t="shared" si="52"/>
        <v/>
      </c>
      <c r="G472" s="9" t="str">
        <f t="shared" si="53"/>
        <v/>
      </c>
      <c r="H472" s="10" t="str">
        <f t="shared" si="54"/>
        <v/>
      </c>
      <c r="I472" s="8" t="str">
        <f t="shared" si="55"/>
        <v/>
      </c>
    </row>
    <row r="473" spans="1:9" x14ac:dyDescent="0.2">
      <c r="A473" s="12" t="str">
        <f>IF($B473="","",464)</f>
        <v/>
      </c>
      <c r="B473" s="18" t="str">
        <f>IF(464&gt;NBskParty,"",INDEX(PkBskParty,464))</f>
        <v/>
      </c>
      <c r="C473" s="16" t="str">
        <f t="shared" si="49"/>
        <v/>
      </c>
      <c r="D473" s="14" t="str">
        <f t="shared" si="50"/>
        <v/>
      </c>
      <c r="E473" s="14" t="str">
        <f t="shared" si="51"/>
        <v/>
      </c>
      <c r="F473" s="14" t="str">
        <f t="shared" si="52"/>
        <v/>
      </c>
      <c r="G473" s="14" t="str">
        <f t="shared" si="53"/>
        <v/>
      </c>
      <c r="H473" s="15" t="str">
        <f t="shared" si="54"/>
        <v/>
      </c>
      <c r="I473" s="13" t="str">
        <f t="shared" si="55"/>
        <v/>
      </c>
    </row>
    <row r="474" spans="1:9" x14ac:dyDescent="0.2">
      <c r="A474" s="7" t="str">
        <f>IF($B474="","",465)</f>
        <v/>
      </c>
      <c r="B474" s="17" t="str">
        <f>IF(465&gt;NBskParty,"",INDEX(PkBskParty,465))</f>
        <v/>
      </c>
      <c r="C474" s="11" t="str">
        <f t="shared" si="49"/>
        <v/>
      </c>
      <c r="D474" s="9" t="str">
        <f t="shared" si="50"/>
        <v/>
      </c>
      <c r="E474" s="9" t="str">
        <f t="shared" si="51"/>
        <v/>
      </c>
      <c r="F474" s="9" t="str">
        <f t="shared" si="52"/>
        <v/>
      </c>
      <c r="G474" s="9" t="str">
        <f t="shared" si="53"/>
        <v/>
      </c>
      <c r="H474" s="10" t="str">
        <f t="shared" si="54"/>
        <v/>
      </c>
      <c r="I474" s="8" t="str">
        <f t="shared" si="55"/>
        <v/>
      </c>
    </row>
    <row r="475" spans="1:9" x14ac:dyDescent="0.2">
      <c r="A475" s="12" t="str">
        <f>IF($B475="","",466)</f>
        <v/>
      </c>
      <c r="B475" s="18" t="str">
        <f>IF(466&gt;NBskParty,"",INDEX(PkBskParty,466))</f>
        <v/>
      </c>
      <c r="C475" s="16" t="str">
        <f t="shared" si="49"/>
        <v/>
      </c>
      <c r="D475" s="14" t="str">
        <f t="shared" si="50"/>
        <v/>
      </c>
      <c r="E475" s="14" t="str">
        <f t="shared" si="51"/>
        <v/>
      </c>
      <c r="F475" s="14" t="str">
        <f t="shared" si="52"/>
        <v/>
      </c>
      <c r="G475" s="14" t="str">
        <f t="shared" si="53"/>
        <v/>
      </c>
      <c r="H475" s="15" t="str">
        <f t="shared" si="54"/>
        <v/>
      </c>
      <c r="I475" s="13" t="str">
        <f t="shared" si="55"/>
        <v/>
      </c>
    </row>
    <row r="476" spans="1:9" x14ac:dyDescent="0.2">
      <c r="A476" s="7" t="str">
        <f>IF($B476="","",467)</f>
        <v/>
      </c>
      <c r="B476" s="17" t="str">
        <f>IF(467&gt;NBskParty,"",INDEX(PkBskParty,467))</f>
        <v/>
      </c>
      <c r="C476" s="11" t="str">
        <f t="shared" si="49"/>
        <v/>
      </c>
      <c r="D476" s="9" t="str">
        <f t="shared" si="50"/>
        <v/>
      </c>
      <c r="E476" s="9" t="str">
        <f t="shared" si="51"/>
        <v/>
      </c>
      <c r="F476" s="9" t="str">
        <f t="shared" si="52"/>
        <v/>
      </c>
      <c r="G476" s="9" t="str">
        <f t="shared" si="53"/>
        <v/>
      </c>
      <c r="H476" s="10" t="str">
        <f t="shared" si="54"/>
        <v/>
      </c>
      <c r="I476" s="8" t="str">
        <f t="shared" si="55"/>
        <v/>
      </c>
    </row>
    <row r="477" spans="1:9" x14ac:dyDescent="0.2">
      <c r="A477" s="12" t="str">
        <f>IF($B477="","",468)</f>
        <v/>
      </c>
      <c r="B477" s="18" t="str">
        <f>IF(468&gt;NBskParty,"",INDEX(PkBskParty,468))</f>
        <v/>
      </c>
      <c r="C477" s="16" t="str">
        <f t="shared" si="49"/>
        <v/>
      </c>
      <c r="D477" s="14" t="str">
        <f t="shared" si="50"/>
        <v/>
      </c>
      <c r="E477" s="14" t="str">
        <f t="shared" si="51"/>
        <v/>
      </c>
      <c r="F477" s="14" t="str">
        <f t="shared" si="52"/>
        <v/>
      </c>
      <c r="G477" s="14" t="str">
        <f t="shared" si="53"/>
        <v/>
      </c>
      <c r="H477" s="15" t="str">
        <f t="shared" si="54"/>
        <v/>
      </c>
      <c r="I477" s="13" t="str">
        <f t="shared" si="55"/>
        <v/>
      </c>
    </row>
    <row r="478" spans="1:9" x14ac:dyDescent="0.2">
      <c r="A478" s="7" t="str">
        <f>IF($B478="","",469)</f>
        <v/>
      </c>
      <c r="B478" s="17" t="str">
        <f>IF(469&gt;NBskParty,"",INDEX(PkBskParty,469))</f>
        <v/>
      </c>
      <c r="C478" s="11" t="str">
        <f t="shared" si="49"/>
        <v/>
      </c>
      <c r="D478" s="9" t="str">
        <f t="shared" si="50"/>
        <v/>
      </c>
      <c r="E478" s="9" t="str">
        <f t="shared" si="51"/>
        <v/>
      </c>
      <c r="F478" s="9" t="str">
        <f t="shared" si="52"/>
        <v/>
      </c>
      <c r="G478" s="9" t="str">
        <f t="shared" si="53"/>
        <v/>
      </c>
      <c r="H478" s="10" t="str">
        <f t="shared" si="54"/>
        <v/>
      </c>
      <c r="I478" s="8" t="str">
        <f t="shared" si="55"/>
        <v/>
      </c>
    </row>
    <row r="479" spans="1:9" x14ac:dyDescent="0.2">
      <c r="A479" s="12" t="str">
        <f>IF($B479="","",470)</f>
        <v/>
      </c>
      <c r="B479" s="18" t="str">
        <f>IF(470&gt;NBskParty,"",INDEX(PkBskParty,470))</f>
        <v/>
      </c>
      <c r="C479" s="16" t="str">
        <f t="shared" si="49"/>
        <v/>
      </c>
      <c r="D479" s="14" t="str">
        <f t="shared" si="50"/>
        <v/>
      </c>
      <c r="E479" s="14" t="str">
        <f t="shared" si="51"/>
        <v/>
      </c>
      <c r="F479" s="14" t="str">
        <f t="shared" si="52"/>
        <v/>
      </c>
      <c r="G479" s="14" t="str">
        <f t="shared" si="53"/>
        <v/>
      </c>
      <c r="H479" s="15" t="str">
        <f t="shared" si="54"/>
        <v/>
      </c>
      <c r="I479" s="13" t="str">
        <f t="shared" si="55"/>
        <v/>
      </c>
    </row>
    <row r="480" spans="1:9" x14ac:dyDescent="0.2">
      <c r="A480" s="7" t="str">
        <f>IF($B480="","",471)</f>
        <v/>
      </c>
      <c r="B480" s="17" t="str">
        <f>IF(471&gt;NBskParty,"",INDEX(PkBskParty,471))</f>
        <v/>
      </c>
      <c r="C480" s="11" t="str">
        <f t="shared" si="49"/>
        <v/>
      </c>
      <c r="D480" s="9" t="str">
        <f t="shared" si="50"/>
        <v/>
      </c>
      <c r="E480" s="9" t="str">
        <f t="shared" si="51"/>
        <v/>
      </c>
      <c r="F480" s="9" t="str">
        <f t="shared" si="52"/>
        <v/>
      </c>
      <c r="G480" s="9" t="str">
        <f t="shared" si="53"/>
        <v/>
      </c>
      <c r="H480" s="10" t="str">
        <f t="shared" si="54"/>
        <v/>
      </c>
      <c r="I480" s="8" t="str">
        <f t="shared" si="55"/>
        <v/>
      </c>
    </row>
    <row r="481" spans="1:9" x14ac:dyDescent="0.2">
      <c r="A481" s="12" t="str">
        <f>IF($B481="","",472)</f>
        <v/>
      </c>
      <c r="B481" s="18" t="str">
        <f>IF(472&gt;NBskParty,"",INDEX(PkBskParty,472))</f>
        <v/>
      </c>
      <c r="C481" s="16" t="str">
        <f t="shared" si="49"/>
        <v/>
      </c>
      <c r="D481" s="14" t="str">
        <f t="shared" si="50"/>
        <v/>
      </c>
      <c r="E481" s="14" t="str">
        <f t="shared" si="51"/>
        <v/>
      </c>
      <c r="F481" s="14" t="str">
        <f t="shared" si="52"/>
        <v/>
      </c>
      <c r="G481" s="14" t="str">
        <f t="shared" si="53"/>
        <v/>
      </c>
      <c r="H481" s="15" t="str">
        <f t="shared" si="54"/>
        <v/>
      </c>
      <c r="I481" s="13" t="str">
        <f t="shared" si="55"/>
        <v/>
      </c>
    </row>
    <row r="482" spans="1:9" x14ac:dyDescent="0.2">
      <c r="A482" s="7" t="str">
        <f>IF($B482="","",473)</f>
        <v/>
      </c>
      <c r="B482" s="17" t="str">
        <f>IF(473&gt;NBskParty,"",INDEX(PkBskParty,473))</f>
        <v/>
      </c>
      <c r="C482" s="11" t="str">
        <f t="shared" si="49"/>
        <v/>
      </c>
      <c r="D482" s="9" t="str">
        <f t="shared" si="50"/>
        <v/>
      </c>
      <c r="E482" s="9" t="str">
        <f t="shared" si="51"/>
        <v/>
      </c>
      <c r="F482" s="9" t="str">
        <f t="shared" si="52"/>
        <v/>
      </c>
      <c r="G482" s="9" t="str">
        <f t="shared" si="53"/>
        <v/>
      </c>
      <c r="H482" s="10" t="str">
        <f t="shared" si="54"/>
        <v/>
      </c>
      <c r="I482" s="8" t="str">
        <f t="shared" si="55"/>
        <v/>
      </c>
    </row>
    <row r="483" spans="1:9" x14ac:dyDescent="0.2">
      <c r="A483" s="12" t="str">
        <f>IF($B483="","",474)</f>
        <v/>
      </c>
      <c r="B483" s="18" t="str">
        <f>IF(474&gt;NBskParty,"",INDEX(PkBskParty,474))</f>
        <v/>
      </c>
      <c r="C483" s="16" t="str">
        <f t="shared" si="49"/>
        <v/>
      </c>
      <c r="D483" s="14" t="str">
        <f t="shared" si="50"/>
        <v/>
      </c>
      <c r="E483" s="14" t="str">
        <f t="shared" si="51"/>
        <v/>
      </c>
      <c r="F483" s="14" t="str">
        <f t="shared" si="52"/>
        <v/>
      </c>
      <c r="G483" s="14" t="str">
        <f t="shared" si="53"/>
        <v/>
      </c>
      <c r="H483" s="15" t="str">
        <f t="shared" si="54"/>
        <v/>
      </c>
      <c r="I483" s="13" t="str">
        <f t="shared" si="55"/>
        <v/>
      </c>
    </row>
    <row r="484" spans="1:9" x14ac:dyDescent="0.2">
      <c r="A484" s="7" t="str">
        <f>IF($B484="","",475)</f>
        <v/>
      </c>
      <c r="B484" s="17" t="str">
        <f>IF(475&gt;NBskParty,"",INDEX(PkBskParty,475))</f>
        <v/>
      </c>
      <c r="C484" s="11" t="str">
        <f t="shared" si="49"/>
        <v/>
      </c>
      <c r="D484" s="9" t="str">
        <f t="shared" si="50"/>
        <v/>
      </c>
      <c r="E484" s="9" t="str">
        <f t="shared" si="51"/>
        <v/>
      </c>
      <c r="F484" s="9" t="str">
        <f t="shared" si="52"/>
        <v/>
      </c>
      <c r="G484" s="9" t="str">
        <f t="shared" si="53"/>
        <v/>
      </c>
      <c r="H484" s="10" t="str">
        <f t="shared" si="54"/>
        <v/>
      </c>
      <c r="I484" s="8" t="str">
        <f t="shared" si="55"/>
        <v/>
      </c>
    </row>
    <row r="485" spans="1:9" x14ac:dyDescent="0.2">
      <c r="A485" s="12" t="str">
        <f>IF($B485="","",476)</f>
        <v/>
      </c>
      <c r="B485" s="18" t="str">
        <f>IF(476&gt;NBskParty,"",INDEX(PkBskParty,476))</f>
        <v/>
      </c>
      <c r="C485" s="16" t="str">
        <f t="shared" si="49"/>
        <v/>
      </c>
      <c r="D485" s="14" t="str">
        <f t="shared" si="50"/>
        <v/>
      </c>
      <c r="E485" s="14" t="str">
        <f t="shared" si="51"/>
        <v/>
      </c>
      <c r="F485" s="14" t="str">
        <f t="shared" si="52"/>
        <v/>
      </c>
      <c r="G485" s="14" t="str">
        <f t="shared" si="53"/>
        <v/>
      </c>
      <c r="H485" s="15" t="str">
        <f t="shared" si="54"/>
        <v/>
      </c>
      <c r="I485" s="13" t="str">
        <f t="shared" si="55"/>
        <v/>
      </c>
    </row>
    <row r="486" spans="1:9" x14ac:dyDescent="0.2">
      <c r="A486" s="7" t="str">
        <f>IF($B486="","",477)</f>
        <v/>
      </c>
      <c r="B486" s="17" t="str">
        <f>IF(477&gt;NBskParty,"",INDEX(PkBskParty,477))</f>
        <v/>
      </c>
      <c r="C486" s="11" t="str">
        <f t="shared" si="49"/>
        <v/>
      </c>
      <c r="D486" s="9" t="str">
        <f t="shared" si="50"/>
        <v/>
      </c>
      <c r="E486" s="9" t="str">
        <f t="shared" si="51"/>
        <v/>
      </c>
      <c r="F486" s="9" t="str">
        <f t="shared" si="52"/>
        <v/>
      </c>
      <c r="G486" s="9" t="str">
        <f t="shared" si="53"/>
        <v/>
      </c>
      <c r="H486" s="10" t="str">
        <f t="shared" si="54"/>
        <v/>
      </c>
      <c r="I486" s="8" t="str">
        <f t="shared" si="55"/>
        <v/>
      </c>
    </row>
    <row r="487" spans="1:9" x14ac:dyDescent="0.2">
      <c r="A487" s="12" t="str">
        <f>IF($B487="","",478)</f>
        <v/>
      </c>
      <c r="B487" s="18" t="str">
        <f>IF(478&gt;NBskParty,"",INDEX(PkBskParty,478))</f>
        <v/>
      </c>
      <c r="C487" s="16" t="str">
        <f t="shared" si="49"/>
        <v/>
      </c>
      <c r="D487" s="14" t="str">
        <f t="shared" si="50"/>
        <v/>
      </c>
      <c r="E487" s="14" t="str">
        <f t="shared" si="51"/>
        <v/>
      </c>
      <c r="F487" s="14" t="str">
        <f t="shared" si="52"/>
        <v/>
      </c>
      <c r="G487" s="14" t="str">
        <f t="shared" si="53"/>
        <v/>
      </c>
      <c r="H487" s="15" t="str">
        <f t="shared" si="54"/>
        <v/>
      </c>
      <c r="I487" s="13" t="str">
        <f t="shared" si="55"/>
        <v/>
      </c>
    </row>
    <row r="488" spans="1:9" x14ac:dyDescent="0.2">
      <c r="A488" s="7" t="str">
        <f>IF($B488="","",479)</f>
        <v/>
      </c>
      <c r="B488" s="17" t="str">
        <f>IF(479&gt;NBskParty,"",INDEX(PkBskParty,479))</f>
        <v/>
      </c>
      <c r="C488" s="11" t="str">
        <f t="shared" si="49"/>
        <v/>
      </c>
      <c r="D488" s="9" t="str">
        <f t="shared" si="50"/>
        <v/>
      </c>
      <c r="E488" s="9" t="str">
        <f t="shared" si="51"/>
        <v/>
      </c>
      <c r="F488" s="9" t="str">
        <f t="shared" si="52"/>
        <v/>
      </c>
      <c r="G488" s="9" t="str">
        <f t="shared" si="53"/>
        <v/>
      </c>
      <c r="H488" s="10" t="str">
        <f t="shared" si="54"/>
        <v/>
      </c>
      <c r="I488" s="8" t="str">
        <f t="shared" si="55"/>
        <v/>
      </c>
    </row>
    <row r="489" spans="1:9" x14ac:dyDescent="0.2">
      <c r="A489" s="12" t="str">
        <f>IF($B489="","",480)</f>
        <v/>
      </c>
      <c r="B489" s="18" t="str">
        <f>IF(480&gt;NBskParty,"",INDEX(PkBskParty,480))</f>
        <v/>
      </c>
      <c r="C489" s="16" t="str">
        <f t="shared" si="49"/>
        <v/>
      </c>
      <c r="D489" s="14" t="str">
        <f t="shared" si="50"/>
        <v/>
      </c>
      <c r="E489" s="14" t="str">
        <f t="shared" si="51"/>
        <v/>
      </c>
      <c r="F489" s="14" t="str">
        <f t="shared" si="52"/>
        <v/>
      </c>
      <c r="G489" s="14" t="str">
        <f t="shared" si="53"/>
        <v/>
      </c>
      <c r="H489" s="15" t="str">
        <f t="shared" si="54"/>
        <v/>
      </c>
      <c r="I489" s="13" t="str">
        <f t="shared" si="55"/>
        <v/>
      </c>
    </row>
    <row r="490" spans="1:9" x14ac:dyDescent="0.2">
      <c r="A490" s="7" t="str">
        <f>IF($B490="","",481)</f>
        <v/>
      </c>
      <c r="B490" s="17" t="str">
        <f>IF(481&gt;NBskParty,"",INDEX(PkBskParty,481))</f>
        <v/>
      </c>
      <c r="C490" s="11" t="str">
        <f t="shared" si="49"/>
        <v/>
      </c>
      <c r="D490" s="9" t="str">
        <f t="shared" si="50"/>
        <v/>
      </c>
      <c r="E490" s="9" t="str">
        <f t="shared" si="51"/>
        <v/>
      </c>
      <c r="F490" s="9" t="str">
        <f t="shared" si="52"/>
        <v/>
      </c>
      <c r="G490" s="9" t="str">
        <f t="shared" si="53"/>
        <v/>
      </c>
      <c r="H490" s="10" t="str">
        <f t="shared" si="54"/>
        <v/>
      </c>
      <c r="I490" s="8" t="str">
        <f t="shared" si="55"/>
        <v/>
      </c>
    </row>
    <row r="491" spans="1:9" x14ac:dyDescent="0.2">
      <c r="A491" s="12" t="str">
        <f>IF($B491="","",482)</f>
        <v/>
      </c>
      <c r="B491" s="18" t="str">
        <f>IF(482&gt;NBskParty,"",INDEX(PkBskParty,482))</f>
        <v/>
      </c>
      <c r="C491" s="16" t="str">
        <f t="shared" si="49"/>
        <v/>
      </c>
      <c r="D491" s="14" t="str">
        <f t="shared" si="50"/>
        <v/>
      </c>
      <c r="E491" s="14" t="str">
        <f t="shared" si="51"/>
        <v/>
      </c>
      <c r="F491" s="14" t="str">
        <f t="shared" si="52"/>
        <v/>
      </c>
      <c r="G491" s="14" t="str">
        <f t="shared" si="53"/>
        <v/>
      </c>
      <c r="H491" s="15" t="str">
        <f t="shared" si="54"/>
        <v/>
      </c>
      <c r="I491" s="13" t="str">
        <f t="shared" si="55"/>
        <v/>
      </c>
    </row>
    <row r="492" spans="1:9" x14ac:dyDescent="0.2">
      <c r="A492" s="7" t="str">
        <f>IF($B492="","",483)</f>
        <v/>
      </c>
      <c r="B492" s="17" t="str">
        <f>IF(483&gt;NBskParty,"",INDEX(PkBskParty,483))</f>
        <v/>
      </c>
      <c r="C492" s="11" t="str">
        <f t="shared" si="49"/>
        <v/>
      </c>
      <c r="D492" s="9" t="str">
        <f t="shared" si="50"/>
        <v/>
      </c>
      <c r="E492" s="9" t="str">
        <f t="shared" si="51"/>
        <v/>
      </c>
      <c r="F492" s="9" t="str">
        <f t="shared" si="52"/>
        <v/>
      </c>
      <c r="G492" s="9" t="str">
        <f t="shared" si="53"/>
        <v/>
      </c>
      <c r="H492" s="10" t="str">
        <f t="shared" si="54"/>
        <v/>
      </c>
      <c r="I492" s="8" t="str">
        <f t="shared" si="55"/>
        <v/>
      </c>
    </row>
    <row r="493" spans="1:9" x14ac:dyDescent="0.2">
      <c r="A493" s="12" t="str">
        <f>IF($B493="","",484)</f>
        <v/>
      </c>
      <c r="B493" s="18" t="str">
        <f>IF(484&gt;NBskParty,"",INDEX(PkBskParty,484))</f>
        <v/>
      </c>
      <c r="C493" s="16" t="str">
        <f t="shared" si="49"/>
        <v/>
      </c>
      <c r="D493" s="14" t="str">
        <f t="shared" si="50"/>
        <v/>
      </c>
      <c r="E493" s="14" t="str">
        <f t="shared" si="51"/>
        <v/>
      </c>
      <c r="F493" s="14" t="str">
        <f t="shared" si="52"/>
        <v/>
      </c>
      <c r="G493" s="14" t="str">
        <f t="shared" si="53"/>
        <v/>
      </c>
      <c r="H493" s="15" t="str">
        <f t="shared" si="54"/>
        <v/>
      </c>
      <c r="I493" s="13" t="str">
        <f t="shared" si="55"/>
        <v/>
      </c>
    </row>
    <row r="494" spans="1:9" x14ac:dyDescent="0.2">
      <c r="A494" s="7" t="str">
        <f>IF($B494="","",485)</f>
        <v/>
      </c>
      <c r="B494" s="17" t="str">
        <f>IF(485&gt;NBskParty,"",INDEX(PkBskParty,485))</f>
        <v/>
      </c>
      <c r="C494" s="11" t="str">
        <f t="shared" si="49"/>
        <v/>
      </c>
      <c r="D494" s="9" t="str">
        <f t="shared" si="50"/>
        <v/>
      </c>
      <c r="E494" s="9" t="str">
        <f t="shared" si="51"/>
        <v/>
      </c>
      <c r="F494" s="9" t="str">
        <f t="shared" si="52"/>
        <v/>
      </c>
      <c r="G494" s="9" t="str">
        <f t="shared" si="53"/>
        <v/>
      </c>
      <c r="H494" s="10" t="str">
        <f t="shared" si="54"/>
        <v/>
      </c>
      <c r="I494" s="8" t="str">
        <f t="shared" si="55"/>
        <v/>
      </c>
    </row>
    <row r="495" spans="1:9" x14ac:dyDescent="0.2">
      <c r="A495" s="12" t="str">
        <f>IF($B495="","",486)</f>
        <v/>
      </c>
      <c r="B495" s="18" t="str">
        <f>IF(486&gt;NBskParty,"",INDEX(PkBskParty,486))</f>
        <v/>
      </c>
      <c r="C495" s="16" t="str">
        <f t="shared" si="49"/>
        <v/>
      </c>
      <c r="D495" s="14" t="str">
        <f t="shared" si="50"/>
        <v/>
      </c>
      <c r="E495" s="14" t="str">
        <f t="shared" si="51"/>
        <v/>
      </c>
      <c r="F495" s="14" t="str">
        <f t="shared" si="52"/>
        <v/>
      </c>
      <c r="G495" s="14" t="str">
        <f t="shared" si="53"/>
        <v/>
      </c>
      <c r="H495" s="15" t="str">
        <f t="shared" si="54"/>
        <v/>
      </c>
      <c r="I495" s="13" t="str">
        <f t="shared" si="55"/>
        <v/>
      </c>
    </row>
    <row r="496" spans="1:9" x14ac:dyDescent="0.2">
      <c r="A496" s="7" t="str">
        <f>IF($B496="","",487)</f>
        <v/>
      </c>
      <c r="B496" s="17" t="str">
        <f>IF(487&gt;NBskParty,"",INDEX(PkBskParty,487))</f>
        <v/>
      </c>
      <c r="C496" s="11" t="str">
        <f t="shared" si="49"/>
        <v/>
      </c>
      <c r="D496" s="9" t="str">
        <f t="shared" si="50"/>
        <v/>
      </c>
      <c r="E496" s="9" t="str">
        <f t="shared" si="51"/>
        <v/>
      </c>
      <c r="F496" s="9" t="str">
        <f t="shared" si="52"/>
        <v/>
      </c>
      <c r="G496" s="9" t="str">
        <f t="shared" si="53"/>
        <v/>
      </c>
      <c r="H496" s="10" t="str">
        <f t="shared" si="54"/>
        <v/>
      </c>
      <c r="I496" s="8" t="str">
        <f t="shared" si="55"/>
        <v/>
      </c>
    </row>
    <row r="497" spans="1:9" x14ac:dyDescent="0.2">
      <c r="A497" s="12" t="str">
        <f>IF($B497="","",488)</f>
        <v/>
      </c>
      <c r="B497" s="18" t="str">
        <f>IF(488&gt;NBskParty,"",INDEX(PkBskParty,488))</f>
        <v/>
      </c>
      <c r="C497" s="16" t="str">
        <f t="shared" si="49"/>
        <v/>
      </c>
      <c r="D497" s="14" t="str">
        <f t="shared" si="50"/>
        <v/>
      </c>
      <c r="E497" s="14" t="str">
        <f t="shared" si="51"/>
        <v/>
      </c>
      <c r="F497" s="14" t="str">
        <f t="shared" si="52"/>
        <v/>
      </c>
      <c r="G497" s="14" t="str">
        <f t="shared" si="53"/>
        <v/>
      </c>
      <c r="H497" s="15" t="str">
        <f t="shared" si="54"/>
        <v/>
      </c>
      <c r="I497" s="13" t="str">
        <f t="shared" si="55"/>
        <v/>
      </c>
    </row>
    <row r="498" spans="1:9" x14ac:dyDescent="0.2">
      <c r="A498" s="7" t="str">
        <f>IF($B498="","",489)</f>
        <v/>
      </c>
      <c r="B498" s="17" t="str">
        <f>IF(489&gt;NBskParty,"",INDEX(PkBskParty,489))</f>
        <v/>
      </c>
      <c r="C498" s="11" t="str">
        <f t="shared" si="49"/>
        <v/>
      </c>
      <c r="D498" s="9" t="str">
        <f t="shared" si="50"/>
        <v/>
      </c>
      <c r="E498" s="9" t="str">
        <f t="shared" si="51"/>
        <v/>
      </c>
      <c r="F498" s="9" t="str">
        <f t="shared" si="52"/>
        <v/>
      </c>
      <c r="G498" s="9" t="str">
        <f t="shared" si="53"/>
        <v/>
      </c>
      <c r="H498" s="10" t="str">
        <f t="shared" si="54"/>
        <v/>
      </c>
      <c r="I498" s="8" t="str">
        <f t="shared" si="55"/>
        <v/>
      </c>
    </row>
    <row r="499" spans="1:9" x14ac:dyDescent="0.2">
      <c r="A499" s="12" t="str">
        <f>IF($B499="","",490)</f>
        <v/>
      </c>
      <c r="B499" s="18" t="str">
        <f>IF(490&gt;NBskParty,"",INDEX(PkBskParty,490))</f>
        <v/>
      </c>
      <c r="C499" s="16" t="str">
        <f t="shared" si="49"/>
        <v/>
      </c>
      <c r="D499" s="14" t="str">
        <f t="shared" si="50"/>
        <v/>
      </c>
      <c r="E499" s="14" t="str">
        <f t="shared" si="51"/>
        <v/>
      </c>
      <c r="F499" s="14" t="str">
        <f t="shared" si="52"/>
        <v/>
      </c>
      <c r="G499" s="14" t="str">
        <f t="shared" si="53"/>
        <v/>
      </c>
      <c r="H499" s="15" t="str">
        <f t="shared" si="54"/>
        <v/>
      </c>
      <c r="I499" s="13" t="str">
        <f t="shared" si="55"/>
        <v/>
      </c>
    </row>
    <row r="500" spans="1:9" x14ac:dyDescent="0.2">
      <c r="A500" s="7" t="str">
        <f>IF($B500="","",491)</f>
        <v/>
      </c>
      <c r="B500" s="17" t="str">
        <f>IF(491&gt;NBskParty,"",INDEX(PkBskParty,491))</f>
        <v/>
      </c>
      <c r="C500" s="11" t="str">
        <f t="shared" si="49"/>
        <v/>
      </c>
      <c r="D500" s="9" t="str">
        <f t="shared" si="50"/>
        <v/>
      </c>
      <c r="E500" s="9" t="str">
        <f t="shared" si="51"/>
        <v/>
      </c>
      <c r="F500" s="9" t="str">
        <f t="shared" si="52"/>
        <v/>
      </c>
      <c r="G500" s="9" t="str">
        <f t="shared" si="53"/>
        <v/>
      </c>
      <c r="H500" s="10" t="str">
        <f t="shared" si="54"/>
        <v/>
      </c>
      <c r="I500" s="8" t="str">
        <f t="shared" si="55"/>
        <v/>
      </c>
    </row>
    <row r="501" spans="1:9" x14ac:dyDescent="0.2">
      <c r="A501" s="12" t="str">
        <f>IF($B501="","",492)</f>
        <v/>
      </c>
      <c r="B501" s="18" t="str">
        <f>IF(492&gt;NBskParty,"",INDEX(PkBskParty,492))</f>
        <v/>
      </c>
      <c r="C501" s="16" t="str">
        <f t="shared" si="49"/>
        <v/>
      </c>
      <c r="D501" s="14" t="str">
        <f t="shared" si="50"/>
        <v/>
      </c>
      <c r="E501" s="14" t="str">
        <f t="shared" si="51"/>
        <v/>
      </c>
      <c r="F501" s="14" t="str">
        <f t="shared" si="52"/>
        <v/>
      </c>
      <c r="G501" s="14" t="str">
        <f t="shared" si="53"/>
        <v/>
      </c>
      <c r="H501" s="15" t="str">
        <f t="shared" si="54"/>
        <v/>
      </c>
      <c r="I501" s="13" t="str">
        <f t="shared" si="55"/>
        <v/>
      </c>
    </row>
    <row r="502" spans="1:9" x14ac:dyDescent="0.2">
      <c r="A502" s="7" t="str">
        <f>IF($B502="","",493)</f>
        <v/>
      </c>
      <c r="B502" s="17" t="str">
        <f>IF(493&gt;NBskParty,"",INDEX(PkBskParty,493))</f>
        <v/>
      </c>
      <c r="C502" s="11" t="str">
        <f t="shared" si="49"/>
        <v/>
      </c>
      <c r="D502" s="9" t="str">
        <f t="shared" si="50"/>
        <v/>
      </c>
      <c r="E502" s="9" t="str">
        <f t="shared" si="51"/>
        <v/>
      </c>
      <c r="F502" s="9" t="str">
        <f t="shared" si="52"/>
        <v/>
      </c>
      <c r="G502" s="9" t="str">
        <f t="shared" si="53"/>
        <v/>
      </c>
      <c r="H502" s="10" t="str">
        <f t="shared" si="54"/>
        <v/>
      </c>
      <c r="I502" s="8" t="str">
        <f t="shared" si="55"/>
        <v/>
      </c>
    </row>
    <row r="503" spans="1:9" x14ac:dyDescent="0.2">
      <c r="A503" s="12" t="str">
        <f>IF($B503="","",494)</f>
        <v/>
      </c>
      <c r="B503" s="18" t="str">
        <f>IF(494&gt;NBskParty,"",INDEX(PkBskParty,494))</f>
        <v/>
      </c>
      <c r="C503" s="16" t="str">
        <f t="shared" si="49"/>
        <v/>
      </c>
      <c r="D503" s="14" t="str">
        <f t="shared" si="50"/>
        <v/>
      </c>
      <c r="E503" s="14" t="str">
        <f t="shared" si="51"/>
        <v/>
      </c>
      <c r="F503" s="14" t="str">
        <f t="shared" si="52"/>
        <v/>
      </c>
      <c r="G503" s="14" t="str">
        <f t="shared" si="53"/>
        <v/>
      </c>
      <c r="H503" s="15" t="str">
        <f t="shared" si="54"/>
        <v/>
      </c>
      <c r="I503" s="13" t="str">
        <f t="shared" si="55"/>
        <v/>
      </c>
    </row>
    <row r="504" spans="1:9" x14ac:dyDescent="0.2">
      <c r="A504" s="7" t="str">
        <f>IF($B504="","",495)</f>
        <v/>
      </c>
      <c r="B504" s="17" t="str">
        <f>IF(495&gt;NBskParty,"",INDEX(PkBskParty,495))</f>
        <v/>
      </c>
      <c r="C504" s="11" t="str">
        <f t="shared" si="49"/>
        <v/>
      </c>
      <c r="D504" s="9" t="str">
        <f t="shared" si="50"/>
        <v/>
      </c>
      <c r="E504" s="9" t="str">
        <f t="shared" si="51"/>
        <v/>
      </c>
      <c r="F504" s="9" t="str">
        <f t="shared" si="52"/>
        <v/>
      </c>
      <c r="G504" s="9" t="str">
        <f t="shared" si="53"/>
        <v/>
      </c>
      <c r="H504" s="10" t="str">
        <f t="shared" si="54"/>
        <v/>
      </c>
      <c r="I504" s="8" t="str">
        <f t="shared" si="55"/>
        <v/>
      </c>
    </row>
    <row r="505" spans="1:9" x14ac:dyDescent="0.2">
      <c r="A505" s="12" t="str">
        <f>IF($B505="","",496)</f>
        <v/>
      </c>
      <c r="B505" s="18" t="str">
        <f>IF(496&gt;NBskParty,"",INDEX(PkBskParty,496))</f>
        <v/>
      </c>
      <c r="C505" s="16" t="str">
        <f t="shared" si="49"/>
        <v/>
      </c>
      <c r="D505" s="14" t="str">
        <f t="shared" si="50"/>
        <v/>
      </c>
      <c r="E505" s="14" t="str">
        <f t="shared" si="51"/>
        <v/>
      </c>
      <c r="F505" s="14" t="str">
        <f t="shared" si="52"/>
        <v/>
      </c>
      <c r="G505" s="14" t="str">
        <f t="shared" si="53"/>
        <v/>
      </c>
      <c r="H505" s="15" t="str">
        <f t="shared" si="54"/>
        <v/>
      </c>
      <c r="I505" s="13" t="str">
        <f t="shared" si="55"/>
        <v/>
      </c>
    </row>
    <row r="506" spans="1:9" x14ac:dyDescent="0.2">
      <c r="A506" s="7" t="str">
        <f>IF($B506="","",497)</f>
        <v/>
      </c>
      <c r="B506" s="17" t="str">
        <f>IF(497&gt;NBskParty,"",INDEX(PkBskParty,497))</f>
        <v/>
      </c>
      <c r="C506" s="11" t="str">
        <f t="shared" si="49"/>
        <v/>
      </c>
      <c r="D506" s="9" t="str">
        <f t="shared" si="50"/>
        <v/>
      </c>
      <c r="E506" s="9" t="str">
        <f t="shared" si="51"/>
        <v/>
      </c>
      <c r="F506" s="9" t="str">
        <f t="shared" si="52"/>
        <v/>
      </c>
      <c r="G506" s="9" t="str">
        <f t="shared" si="53"/>
        <v/>
      </c>
      <c r="H506" s="10" t="str">
        <f t="shared" si="54"/>
        <v/>
      </c>
      <c r="I506" s="8" t="str">
        <f t="shared" si="55"/>
        <v/>
      </c>
    </row>
    <row r="507" spans="1:9" x14ac:dyDescent="0.2">
      <c r="A507" s="12" t="str">
        <f>IF($B507="","",498)</f>
        <v/>
      </c>
      <c r="B507" s="18" t="str">
        <f>IF(498&gt;NBskParty,"",INDEX(PkBskParty,498))</f>
        <v/>
      </c>
      <c r="C507" s="16" t="str">
        <f t="shared" si="49"/>
        <v/>
      </c>
      <c r="D507" s="14" t="str">
        <f t="shared" si="50"/>
        <v/>
      </c>
      <c r="E507" s="14" t="str">
        <f t="shared" si="51"/>
        <v/>
      </c>
      <c r="F507" s="14" t="str">
        <f t="shared" si="52"/>
        <v/>
      </c>
      <c r="G507" s="14" t="str">
        <f t="shared" si="53"/>
        <v/>
      </c>
      <c r="H507" s="15" t="str">
        <f t="shared" si="54"/>
        <v/>
      </c>
      <c r="I507" s="13" t="str">
        <f t="shared" si="55"/>
        <v/>
      </c>
    </row>
    <row r="508" spans="1:9" x14ac:dyDescent="0.2">
      <c r="A508" s="7" t="str">
        <f>IF($B508="","",499)</f>
        <v/>
      </c>
      <c r="B508" s="17" t="str">
        <f>IF(499&gt;NBskParty,"",INDEX(PkBskParty,499))</f>
        <v/>
      </c>
      <c r="C508" s="11" t="str">
        <f t="shared" si="49"/>
        <v/>
      </c>
      <c r="D508" s="9" t="str">
        <f t="shared" si="50"/>
        <v/>
      </c>
      <c r="E508" s="9" t="str">
        <f t="shared" si="51"/>
        <v/>
      </c>
      <c r="F508" s="9" t="str">
        <f t="shared" si="52"/>
        <v/>
      </c>
      <c r="G508" s="9" t="str">
        <f t="shared" si="53"/>
        <v/>
      </c>
      <c r="H508" s="10" t="str">
        <f t="shared" si="54"/>
        <v/>
      </c>
      <c r="I508" s="8" t="str">
        <f t="shared" si="55"/>
        <v/>
      </c>
    </row>
    <row r="509" spans="1:9" x14ac:dyDescent="0.2">
      <c r="A509" s="12" t="str">
        <f>IF($B509="","",500)</f>
        <v/>
      </c>
      <c r="B509" s="18" t="str">
        <f>IF(500&gt;NBskParty,"",INDEX(PkBskParty,500))</f>
        <v/>
      </c>
      <c r="C509" s="16" t="str">
        <f t="shared" si="49"/>
        <v/>
      </c>
      <c r="D509" s="14" t="str">
        <f t="shared" si="50"/>
        <v/>
      </c>
      <c r="E509" s="14" t="str">
        <f t="shared" si="51"/>
        <v/>
      </c>
      <c r="F509" s="14" t="str">
        <f t="shared" si="52"/>
        <v/>
      </c>
      <c r="G509" s="14" t="str">
        <f t="shared" si="53"/>
        <v/>
      </c>
      <c r="H509" s="15" t="str">
        <f t="shared" si="54"/>
        <v/>
      </c>
      <c r="I509" s="13" t="str">
        <f t="shared" si="55"/>
        <v/>
      </c>
    </row>
    <row r="510" spans="1:9" x14ac:dyDescent="0.2">
      <c r="A510" s="7" t="str">
        <f>IF($B510="","",501)</f>
        <v/>
      </c>
      <c r="B510" s="17" t="str">
        <f>IF(501&gt;NBskParty,"",INDEX(PkBskParty,501))</f>
        <v/>
      </c>
      <c r="C510" s="11" t="str">
        <f t="shared" si="49"/>
        <v/>
      </c>
      <c r="D510" s="9" t="str">
        <f t="shared" si="50"/>
        <v/>
      </c>
      <c r="E510" s="9" t="str">
        <f t="shared" si="51"/>
        <v/>
      </c>
      <c r="F510" s="9" t="str">
        <f t="shared" si="52"/>
        <v/>
      </c>
      <c r="G510" s="9" t="str">
        <f t="shared" si="53"/>
        <v/>
      </c>
      <c r="H510" s="10" t="str">
        <f t="shared" si="54"/>
        <v/>
      </c>
      <c r="I510" s="8" t="str">
        <f t="shared" si="55"/>
        <v/>
      </c>
    </row>
    <row r="511" spans="1:9" x14ac:dyDescent="0.2">
      <c r="A511" s="12" t="str">
        <f>IF($B511="","",502)</f>
        <v/>
      </c>
      <c r="B511" s="18" t="str">
        <f>IF(502&gt;NBskParty,"",INDEX(PkBskParty,502))</f>
        <v/>
      </c>
      <c r="C511" s="16" t="str">
        <f t="shared" si="49"/>
        <v/>
      </c>
      <c r="D511" s="14" t="str">
        <f t="shared" si="50"/>
        <v/>
      </c>
      <c r="E511" s="14" t="str">
        <f t="shared" si="51"/>
        <v/>
      </c>
      <c r="F511" s="14" t="str">
        <f t="shared" si="52"/>
        <v/>
      </c>
      <c r="G511" s="14" t="str">
        <f t="shared" si="53"/>
        <v/>
      </c>
      <c r="H511" s="15" t="str">
        <f t="shared" si="54"/>
        <v/>
      </c>
      <c r="I511" s="13" t="str">
        <f t="shared" si="55"/>
        <v/>
      </c>
    </row>
    <row r="512" spans="1:9" x14ac:dyDescent="0.2">
      <c r="A512" s="7" t="str">
        <f>IF($B512="","",503)</f>
        <v/>
      </c>
      <c r="B512" s="17" t="str">
        <f>IF(503&gt;NBskParty,"",INDEX(PkBskParty,503))</f>
        <v/>
      </c>
      <c r="C512" s="11" t="str">
        <f t="shared" si="49"/>
        <v/>
      </c>
      <c r="D512" s="9" t="str">
        <f t="shared" si="50"/>
        <v/>
      </c>
      <c r="E512" s="9" t="str">
        <f t="shared" si="51"/>
        <v/>
      </c>
      <c r="F512" s="9" t="str">
        <f t="shared" si="52"/>
        <v/>
      </c>
      <c r="G512" s="9" t="str">
        <f t="shared" si="53"/>
        <v/>
      </c>
      <c r="H512" s="10" t="str">
        <f t="shared" si="54"/>
        <v/>
      </c>
      <c r="I512" s="8" t="str">
        <f t="shared" si="55"/>
        <v/>
      </c>
    </row>
    <row r="513" spans="1:9" x14ac:dyDescent="0.2">
      <c r="A513" s="12" t="str">
        <f>IF($B513="","",504)</f>
        <v/>
      </c>
      <c r="B513" s="18" t="str">
        <f>IF(504&gt;NBskParty,"",INDEX(PkBskParty,504))</f>
        <v/>
      </c>
      <c r="C513" s="16" t="str">
        <f t="shared" si="49"/>
        <v/>
      </c>
      <c r="D513" s="14" t="str">
        <f t="shared" si="50"/>
        <v/>
      </c>
      <c r="E513" s="14" t="str">
        <f t="shared" si="51"/>
        <v/>
      </c>
      <c r="F513" s="14" t="str">
        <f t="shared" si="52"/>
        <v/>
      </c>
      <c r="G513" s="14" t="str">
        <f t="shared" si="53"/>
        <v/>
      </c>
      <c r="H513" s="15" t="str">
        <f t="shared" si="54"/>
        <v/>
      </c>
      <c r="I513" s="13" t="str">
        <f t="shared" si="55"/>
        <v/>
      </c>
    </row>
    <row r="514" spans="1:9" x14ac:dyDescent="0.2">
      <c r="A514" s="7" t="str">
        <f>IF($B514="","",505)</f>
        <v/>
      </c>
      <c r="B514" s="17" t="str">
        <f>IF(505&gt;NBskParty,"",INDEX(PkBskParty,505))</f>
        <v/>
      </c>
      <c r="C514" s="11" t="str">
        <f t="shared" si="49"/>
        <v/>
      </c>
      <c r="D514" s="9" t="str">
        <f t="shared" si="50"/>
        <v/>
      </c>
      <c r="E514" s="9" t="str">
        <f t="shared" si="51"/>
        <v/>
      </c>
      <c r="F514" s="9" t="str">
        <f t="shared" si="52"/>
        <v/>
      </c>
      <c r="G514" s="9" t="str">
        <f t="shared" si="53"/>
        <v/>
      </c>
      <c r="H514" s="10" t="str">
        <f t="shared" si="54"/>
        <v/>
      </c>
      <c r="I514" s="8" t="str">
        <f t="shared" si="55"/>
        <v/>
      </c>
    </row>
    <row r="515" spans="1:9" x14ac:dyDescent="0.2">
      <c r="A515" s="12" t="str">
        <f>IF($B515="","",506)</f>
        <v/>
      </c>
      <c r="B515" s="18" t="str">
        <f>IF(506&gt;NBskParty,"",INDEX(PkBskParty,506))</f>
        <v/>
      </c>
      <c r="C515" s="16" t="str">
        <f t="shared" si="49"/>
        <v/>
      </c>
      <c r="D515" s="14" t="str">
        <f t="shared" si="50"/>
        <v/>
      </c>
      <c r="E515" s="14" t="str">
        <f t="shared" si="51"/>
        <v/>
      </c>
      <c r="F515" s="14" t="str">
        <f t="shared" si="52"/>
        <v/>
      </c>
      <c r="G515" s="14" t="str">
        <f t="shared" si="53"/>
        <v/>
      </c>
      <c r="H515" s="15" t="str">
        <f t="shared" si="54"/>
        <v/>
      </c>
      <c r="I515" s="13" t="str">
        <f t="shared" si="55"/>
        <v/>
      </c>
    </row>
    <row r="516" spans="1:9" x14ac:dyDescent="0.2">
      <c r="A516" s="7" t="str">
        <f>IF($B516="","",507)</f>
        <v/>
      </c>
      <c r="B516" s="17" t="str">
        <f>IF(507&gt;NBskParty,"",INDEX(PkBskParty,507))</f>
        <v/>
      </c>
      <c r="C516" s="11" t="str">
        <f t="shared" si="49"/>
        <v/>
      </c>
      <c r="D516" s="9" t="str">
        <f t="shared" si="50"/>
        <v/>
      </c>
      <c r="E516" s="9" t="str">
        <f t="shared" si="51"/>
        <v/>
      </c>
      <c r="F516" s="9" t="str">
        <f t="shared" si="52"/>
        <v/>
      </c>
      <c r="G516" s="9" t="str">
        <f t="shared" si="53"/>
        <v/>
      </c>
      <c r="H516" s="10" t="str">
        <f t="shared" si="54"/>
        <v/>
      </c>
      <c r="I516" s="8" t="str">
        <f t="shared" si="55"/>
        <v/>
      </c>
    </row>
    <row r="517" spans="1:9" x14ac:dyDescent="0.2">
      <c r="A517" s="12" t="str">
        <f>IF($B517="","",508)</f>
        <v/>
      </c>
      <c r="B517" s="18" t="str">
        <f>IF(508&gt;NBskParty,"",INDEX(PkBskParty,508))</f>
        <v/>
      </c>
      <c r="C517" s="16" t="str">
        <f t="shared" si="49"/>
        <v/>
      </c>
      <c r="D517" s="14" t="str">
        <f t="shared" si="50"/>
        <v/>
      </c>
      <c r="E517" s="14" t="str">
        <f t="shared" si="51"/>
        <v/>
      </c>
      <c r="F517" s="14" t="str">
        <f t="shared" si="52"/>
        <v/>
      </c>
      <c r="G517" s="14" t="str">
        <f t="shared" si="53"/>
        <v/>
      </c>
      <c r="H517" s="15" t="str">
        <f t="shared" si="54"/>
        <v/>
      </c>
      <c r="I517" s="13" t="str">
        <f t="shared" si="55"/>
        <v/>
      </c>
    </row>
    <row r="518" spans="1:9" x14ac:dyDescent="0.2">
      <c r="A518" s="7" t="str">
        <f>IF($B518="","",509)</f>
        <v/>
      </c>
      <c r="B518" s="17" t="str">
        <f>IF(509&gt;NBskParty,"",INDEX(PkBskParty,509))</f>
        <v/>
      </c>
      <c r="C518" s="11" t="str">
        <f t="shared" si="49"/>
        <v/>
      </c>
      <c r="D518" s="9" t="str">
        <f t="shared" si="50"/>
        <v/>
      </c>
      <c r="E518" s="9" t="str">
        <f t="shared" si="51"/>
        <v/>
      </c>
      <c r="F518" s="9" t="str">
        <f t="shared" si="52"/>
        <v/>
      </c>
      <c r="G518" s="9" t="str">
        <f t="shared" si="53"/>
        <v/>
      </c>
      <c r="H518" s="10" t="str">
        <f t="shared" si="54"/>
        <v/>
      </c>
      <c r="I518" s="8" t="str">
        <f t="shared" si="55"/>
        <v/>
      </c>
    </row>
    <row r="519" spans="1:9" x14ac:dyDescent="0.2">
      <c r="A519" s="12" t="str">
        <f>IF($B519="","",510)</f>
        <v/>
      </c>
      <c r="B519" s="18" t="str">
        <f>IF(510&gt;NBskParty,"",INDEX(PkBskParty,510))</f>
        <v/>
      </c>
      <c r="C519" s="16" t="str">
        <f t="shared" si="49"/>
        <v/>
      </c>
      <c r="D519" s="14" t="str">
        <f t="shared" si="50"/>
        <v/>
      </c>
      <c r="E519" s="14" t="str">
        <f t="shared" si="51"/>
        <v/>
      </c>
      <c r="F519" s="14" t="str">
        <f t="shared" si="52"/>
        <v/>
      </c>
      <c r="G519" s="14" t="str">
        <f t="shared" si="53"/>
        <v/>
      </c>
      <c r="H519" s="15" t="str">
        <f t="shared" si="54"/>
        <v/>
      </c>
      <c r="I519" s="13" t="str">
        <f t="shared" si="55"/>
        <v/>
      </c>
    </row>
    <row r="520" spans="1:9" x14ac:dyDescent="0.2">
      <c r="A520" s="7" t="str">
        <f>IF($B520="","",511)</f>
        <v/>
      </c>
      <c r="B520" s="17" t="str">
        <f>IF(511&gt;NBskParty,"",INDEX(PkBskParty,511))</f>
        <v/>
      </c>
      <c r="C520" s="11" t="str">
        <f t="shared" si="49"/>
        <v/>
      </c>
      <c r="D520" s="9" t="str">
        <f t="shared" si="50"/>
        <v/>
      </c>
      <c r="E520" s="9" t="str">
        <f t="shared" si="51"/>
        <v/>
      </c>
      <c r="F520" s="9" t="str">
        <f t="shared" si="52"/>
        <v/>
      </c>
      <c r="G520" s="9" t="str">
        <f t="shared" si="53"/>
        <v/>
      </c>
      <c r="H520" s="10" t="str">
        <f t="shared" si="54"/>
        <v/>
      </c>
      <c r="I520" s="8" t="str">
        <f t="shared" si="55"/>
        <v/>
      </c>
    </row>
    <row r="521" spans="1:9" x14ac:dyDescent="0.2">
      <c r="A521" s="12" t="str">
        <f>IF($B521="","",512)</f>
        <v/>
      </c>
      <c r="B521" s="18" t="str">
        <f>IF(512&gt;NBskParty,"",INDEX(PkBskParty,512))</f>
        <v/>
      </c>
      <c r="C521" s="16" t="str">
        <f t="shared" si="49"/>
        <v/>
      </c>
      <c r="D521" s="14" t="str">
        <f t="shared" si="50"/>
        <v/>
      </c>
      <c r="E521" s="14" t="str">
        <f t="shared" si="51"/>
        <v/>
      </c>
      <c r="F521" s="14" t="str">
        <f t="shared" si="52"/>
        <v/>
      </c>
      <c r="G521" s="14" t="str">
        <f t="shared" si="53"/>
        <v/>
      </c>
      <c r="H521" s="15" t="str">
        <f t="shared" si="54"/>
        <v/>
      </c>
      <c r="I521" s="13" t="str">
        <f t="shared" si="55"/>
        <v/>
      </c>
    </row>
    <row r="522" spans="1:9" x14ac:dyDescent="0.2">
      <c r="A522" s="7" t="str">
        <f>IF($B522="","",513)</f>
        <v/>
      </c>
      <c r="B522" s="17" t="str">
        <f>IF(513&gt;NBskParty,"",INDEX(PkBskParty,513))</f>
        <v/>
      </c>
      <c r="C522" s="11" t="str">
        <f t="shared" ref="C522:C585" si="56">IF($B522="","",IFERROR(IF(VLOOKUP($B522,AcctTbl,4,0)="","(بدون نام)",VLOOKUP($B522,AcctTbl,4,0)),"—"))</f>
        <v/>
      </c>
      <c r="D522" s="9" t="str">
        <f t="shared" ref="D522:D585" si="57">IF($B522="","",SUMIF(CalcPartyA,$B522,CalcQtyA))</f>
        <v/>
      </c>
      <c r="E522" s="9" t="str">
        <f t="shared" ref="E522:E585" si="58">IF($B522="","",SUMIF(CalcPartyA,$B522,CalcAmtA))</f>
        <v/>
      </c>
      <c r="F522" s="9" t="str">
        <f t="shared" ref="F522:F585" si="59">IF($B522="","",SUMIF(CalcPartyB,$B522,CalcWitB))</f>
        <v/>
      </c>
      <c r="G522" s="9" t="str">
        <f t="shared" ref="G522:G585" si="60">IF($B522="","",SUMIF(CalcPartyB,$B522,CalcDepB))</f>
        <v/>
      </c>
      <c r="H522" s="10" t="str">
        <f t="shared" ref="H522:H585" si="61">IF($B522="","",$E522-$F522+$G522)</f>
        <v/>
      </c>
      <c r="I522" s="8" t="str">
        <f t="shared" ref="I522:I585" si="62">IF($B522="","",IF(ROUND($H522,0)&gt;0,"● بستانکار",IF(ROUND($H522,0)&lt;0,"● بدهکار","تسویه")))</f>
        <v/>
      </c>
    </row>
    <row r="523" spans="1:9" x14ac:dyDescent="0.2">
      <c r="A523" s="12" t="str">
        <f>IF($B523="","",514)</f>
        <v/>
      </c>
      <c r="B523" s="18" t="str">
        <f>IF(514&gt;NBskParty,"",INDEX(PkBskParty,514))</f>
        <v/>
      </c>
      <c r="C523" s="16" t="str">
        <f t="shared" si="56"/>
        <v/>
      </c>
      <c r="D523" s="14" t="str">
        <f t="shared" si="57"/>
        <v/>
      </c>
      <c r="E523" s="14" t="str">
        <f t="shared" si="58"/>
        <v/>
      </c>
      <c r="F523" s="14" t="str">
        <f t="shared" si="59"/>
        <v/>
      </c>
      <c r="G523" s="14" t="str">
        <f t="shared" si="60"/>
        <v/>
      </c>
      <c r="H523" s="15" t="str">
        <f t="shared" si="61"/>
        <v/>
      </c>
      <c r="I523" s="13" t="str">
        <f t="shared" si="62"/>
        <v/>
      </c>
    </row>
    <row r="524" spans="1:9" x14ac:dyDescent="0.2">
      <c r="A524" s="7" t="str">
        <f>IF($B524="","",515)</f>
        <v/>
      </c>
      <c r="B524" s="17" t="str">
        <f>IF(515&gt;NBskParty,"",INDEX(PkBskParty,515))</f>
        <v/>
      </c>
      <c r="C524" s="11" t="str">
        <f t="shared" si="56"/>
        <v/>
      </c>
      <c r="D524" s="9" t="str">
        <f t="shared" si="57"/>
        <v/>
      </c>
      <c r="E524" s="9" t="str">
        <f t="shared" si="58"/>
        <v/>
      </c>
      <c r="F524" s="9" t="str">
        <f t="shared" si="59"/>
        <v/>
      </c>
      <c r="G524" s="9" t="str">
        <f t="shared" si="60"/>
        <v/>
      </c>
      <c r="H524" s="10" t="str">
        <f t="shared" si="61"/>
        <v/>
      </c>
      <c r="I524" s="8" t="str">
        <f t="shared" si="62"/>
        <v/>
      </c>
    </row>
    <row r="525" spans="1:9" x14ac:dyDescent="0.2">
      <c r="A525" s="12" t="str">
        <f>IF($B525="","",516)</f>
        <v/>
      </c>
      <c r="B525" s="18" t="str">
        <f>IF(516&gt;NBskParty,"",INDEX(PkBskParty,516))</f>
        <v/>
      </c>
      <c r="C525" s="16" t="str">
        <f t="shared" si="56"/>
        <v/>
      </c>
      <c r="D525" s="14" t="str">
        <f t="shared" si="57"/>
        <v/>
      </c>
      <c r="E525" s="14" t="str">
        <f t="shared" si="58"/>
        <v/>
      </c>
      <c r="F525" s="14" t="str">
        <f t="shared" si="59"/>
        <v/>
      </c>
      <c r="G525" s="14" t="str">
        <f t="shared" si="60"/>
        <v/>
      </c>
      <c r="H525" s="15" t="str">
        <f t="shared" si="61"/>
        <v/>
      </c>
      <c r="I525" s="13" t="str">
        <f t="shared" si="62"/>
        <v/>
      </c>
    </row>
    <row r="526" spans="1:9" x14ac:dyDescent="0.2">
      <c r="A526" s="7" t="str">
        <f>IF($B526="","",517)</f>
        <v/>
      </c>
      <c r="B526" s="17" t="str">
        <f>IF(517&gt;NBskParty,"",INDEX(PkBskParty,517))</f>
        <v/>
      </c>
      <c r="C526" s="11" t="str">
        <f t="shared" si="56"/>
        <v/>
      </c>
      <c r="D526" s="9" t="str">
        <f t="shared" si="57"/>
        <v/>
      </c>
      <c r="E526" s="9" t="str">
        <f t="shared" si="58"/>
        <v/>
      </c>
      <c r="F526" s="9" t="str">
        <f t="shared" si="59"/>
        <v/>
      </c>
      <c r="G526" s="9" t="str">
        <f t="shared" si="60"/>
        <v/>
      </c>
      <c r="H526" s="10" t="str">
        <f t="shared" si="61"/>
        <v/>
      </c>
      <c r="I526" s="8" t="str">
        <f t="shared" si="62"/>
        <v/>
      </c>
    </row>
    <row r="527" spans="1:9" x14ac:dyDescent="0.2">
      <c r="A527" s="12" t="str">
        <f>IF($B527="","",518)</f>
        <v/>
      </c>
      <c r="B527" s="18" t="str">
        <f>IF(518&gt;NBskParty,"",INDEX(PkBskParty,518))</f>
        <v/>
      </c>
      <c r="C527" s="16" t="str">
        <f t="shared" si="56"/>
        <v/>
      </c>
      <c r="D527" s="14" t="str">
        <f t="shared" si="57"/>
        <v/>
      </c>
      <c r="E527" s="14" t="str">
        <f t="shared" si="58"/>
        <v/>
      </c>
      <c r="F527" s="14" t="str">
        <f t="shared" si="59"/>
        <v/>
      </c>
      <c r="G527" s="14" t="str">
        <f t="shared" si="60"/>
        <v/>
      </c>
      <c r="H527" s="15" t="str">
        <f t="shared" si="61"/>
        <v/>
      </c>
      <c r="I527" s="13" t="str">
        <f t="shared" si="62"/>
        <v/>
      </c>
    </row>
    <row r="528" spans="1:9" x14ac:dyDescent="0.2">
      <c r="A528" s="7" t="str">
        <f>IF($B528="","",519)</f>
        <v/>
      </c>
      <c r="B528" s="17" t="str">
        <f>IF(519&gt;NBskParty,"",INDEX(PkBskParty,519))</f>
        <v/>
      </c>
      <c r="C528" s="11" t="str">
        <f t="shared" si="56"/>
        <v/>
      </c>
      <c r="D528" s="9" t="str">
        <f t="shared" si="57"/>
        <v/>
      </c>
      <c r="E528" s="9" t="str">
        <f t="shared" si="58"/>
        <v/>
      </c>
      <c r="F528" s="9" t="str">
        <f t="shared" si="59"/>
        <v/>
      </c>
      <c r="G528" s="9" t="str">
        <f t="shared" si="60"/>
        <v/>
      </c>
      <c r="H528" s="10" t="str">
        <f t="shared" si="61"/>
        <v/>
      </c>
      <c r="I528" s="8" t="str">
        <f t="shared" si="62"/>
        <v/>
      </c>
    </row>
    <row r="529" spans="1:9" x14ac:dyDescent="0.2">
      <c r="A529" s="12" t="str">
        <f>IF($B529="","",520)</f>
        <v/>
      </c>
      <c r="B529" s="18" t="str">
        <f>IF(520&gt;NBskParty,"",INDEX(PkBskParty,520))</f>
        <v/>
      </c>
      <c r="C529" s="16" t="str">
        <f t="shared" si="56"/>
        <v/>
      </c>
      <c r="D529" s="14" t="str">
        <f t="shared" si="57"/>
        <v/>
      </c>
      <c r="E529" s="14" t="str">
        <f t="shared" si="58"/>
        <v/>
      </c>
      <c r="F529" s="14" t="str">
        <f t="shared" si="59"/>
        <v/>
      </c>
      <c r="G529" s="14" t="str">
        <f t="shared" si="60"/>
        <v/>
      </c>
      <c r="H529" s="15" t="str">
        <f t="shared" si="61"/>
        <v/>
      </c>
      <c r="I529" s="13" t="str">
        <f t="shared" si="62"/>
        <v/>
      </c>
    </row>
    <row r="530" spans="1:9" x14ac:dyDescent="0.2">
      <c r="A530" s="7" t="str">
        <f>IF($B530="","",521)</f>
        <v/>
      </c>
      <c r="B530" s="17" t="str">
        <f>IF(521&gt;NBskParty,"",INDEX(PkBskParty,521))</f>
        <v/>
      </c>
      <c r="C530" s="11" t="str">
        <f t="shared" si="56"/>
        <v/>
      </c>
      <c r="D530" s="9" t="str">
        <f t="shared" si="57"/>
        <v/>
      </c>
      <c r="E530" s="9" t="str">
        <f t="shared" si="58"/>
        <v/>
      </c>
      <c r="F530" s="9" t="str">
        <f t="shared" si="59"/>
        <v/>
      </c>
      <c r="G530" s="9" t="str">
        <f t="shared" si="60"/>
        <v/>
      </c>
      <c r="H530" s="10" t="str">
        <f t="shared" si="61"/>
        <v/>
      </c>
      <c r="I530" s="8" t="str">
        <f t="shared" si="62"/>
        <v/>
      </c>
    </row>
    <row r="531" spans="1:9" x14ac:dyDescent="0.2">
      <c r="A531" s="12" t="str">
        <f>IF($B531="","",522)</f>
        <v/>
      </c>
      <c r="B531" s="18" t="str">
        <f>IF(522&gt;NBskParty,"",INDEX(PkBskParty,522))</f>
        <v/>
      </c>
      <c r="C531" s="16" t="str">
        <f t="shared" si="56"/>
        <v/>
      </c>
      <c r="D531" s="14" t="str">
        <f t="shared" si="57"/>
        <v/>
      </c>
      <c r="E531" s="14" t="str">
        <f t="shared" si="58"/>
        <v/>
      </c>
      <c r="F531" s="14" t="str">
        <f t="shared" si="59"/>
        <v/>
      </c>
      <c r="G531" s="14" t="str">
        <f t="shared" si="60"/>
        <v/>
      </c>
      <c r="H531" s="15" t="str">
        <f t="shared" si="61"/>
        <v/>
      </c>
      <c r="I531" s="13" t="str">
        <f t="shared" si="62"/>
        <v/>
      </c>
    </row>
    <row r="532" spans="1:9" x14ac:dyDescent="0.2">
      <c r="A532" s="7" t="str">
        <f>IF($B532="","",523)</f>
        <v/>
      </c>
      <c r="B532" s="17" t="str">
        <f>IF(523&gt;NBskParty,"",INDEX(PkBskParty,523))</f>
        <v/>
      </c>
      <c r="C532" s="11" t="str">
        <f t="shared" si="56"/>
        <v/>
      </c>
      <c r="D532" s="9" t="str">
        <f t="shared" si="57"/>
        <v/>
      </c>
      <c r="E532" s="9" t="str">
        <f t="shared" si="58"/>
        <v/>
      </c>
      <c r="F532" s="9" t="str">
        <f t="shared" si="59"/>
        <v/>
      </c>
      <c r="G532" s="9" t="str">
        <f t="shared" si="60"/>
        <v/>
      </c>
      <c r="H532" s="10" t="str">
        <f t="shared" si="61"/>
        <v/>
      </c>
      <c r="I532" s="8" t="str">
        <f t="shared" si="62"/>
        <v/>
      </c>
    </row>
    <row r="533" spans="1:9" x14ac:dyDescent="0.2">
      <c r="A533" s="12" t="str">
        <f>IF($B533="","",524)</f>
        <v/>
      </c>
      <c r="B533" s="18" t="str">
        <f>IF(524&gt;NBskParty,"",INDEX(PkBskParty,524))</f>
        <v/>
      </c>
      <c r="C533" s="16" t="str">
        <f t="shared" si="56"/>
        <v/>
      </c>
      <c r="D533" s="14" t="str">
        <f t="shared" si="57"/>
        <v/>
      </c>
      <c r="E533" s="14" t="str">
        <f t="shared" si="58"/>
        <v/>
      </c>
      <c r="F533" s="14" t="str">
        <f t="shared" si="59"/>
        <v/>
      </c>
      <c r="G533" s="14" t="str">
        <f t="shared" si="60"/>
        <v/>
      </c>
      <c r="H533" s="15" t="str">
        <f t="shared" si="61"/>
        <v/>
      </c>
      <c r="I533" s="13" t="str">
        <f t="shared" si="62"/>
        <v/>
      </c>
    </row>
    <row r="534" spans="1:9" x14ac:dyDescent="0.2">
      <c r="A534" s="7" t="str">
        <f>IF($B534="","",525)</f>
        <v/>
      </c>
      <c r="B534" s="17" t="str">
        <f>IF(525&gt;NBskParty,"",INDEX(PkBskParty,525))</f>
        <v/>
      </c>
      <c r="C534" s="11" t="str">
        <f t="shared" si="56"/>
        <v/>
      </c>
      <c r="D534" s="9" t="str">
        <f t="shared" si="57"/>
        <v/>
      </c>
      <c r="E534" s="9" t="str">
        <f t="shared" si="58"/>
        <v/>
      </c>
      <c r="F534" s="9" t="str">
        <f t="shared" si="59"/>
        <v/>
      </c>
      <c r="G534" s="9" t="str">
        <f t="shared" si="60"/>
        <v/>
      </c>
      <c r="H534" s="10" t="str">
        <f t="shared" si="61"/>
        <v/>
      </c>
      <c r="I534" s="8" t="str">
        <f t="shared" si="62"/>
        <v/>
      </c>
    </row>
    <row r="535" spans="1:9" x14ac:dyDescent="0.2">
      <c r="A535" s="12" t="str">
        <f>IF($B535="","",526)</f>
        <v/>
      </c>
      <c r="B535" s="18" t="str">
        <f>IF(526&gt;NBskParty,"",INDEX(PkBskParty,526))</f>
        <v/>
      </c>
      <c r="C535" s="16" t="str">
        <f t="shared" si="56"/>
        <v/>
      </c>
      <c r="D535" s="14" t="str">
        <f t="shared" si="57"/>
        <v/>
      </c>
      <c r="E535" s="14" t="str">
        <f t="shared" si="58"/>
        <v/>
      </c>
      <c r="F535" s="14" t="str">
        <f t="shared" si="59"/>
        <v/>
      </c>
      <c r="G535" s="14" t="str">
        <f t="shared" si="60"/>
        <v/>
      </c>
      <c r="H535" s="15" t="str">
        <f t="shared" si="61"/>
        <v/>
      </c>
      <c r="I535" s="13" t="str">
        <f t="shared" si="62"/>
        <v/>
      </c>
    </row>
    <row r="536" spans="1:9" x14ac:dyDescent="0.2">
      <c r="A536" s="7" t="str">
        <f>IF($B536="","",527)</f>
        <v/>
      </c>
      <c r="B536" s="17" t="str">
        <f>IF(527&gt;NBskParty,"",INDEX(PkBskParty,527))</f>
        <v/>
      </c>
      <c r="C536" s="11" t="str">
        <f t="shared" si="56"/>
        <v/>
      </c>
      <c r="D536" s="9" t="str">
        <f t="shared" si="57"/>
        <v/>
      </c>
      <c r="E536" s="9" t="str">
        <f t="shared" si="58"/>
        <v/>
      </c>
      <c r="F536" s="9" t="str">
        <f t="shared" si="59"/>
        <v/>
      </c>
      <c r="G536" s="9" t="str">
        <f t="shared" si="60"/>
        <v/>
      </c>
      <c r="H536" s="10" t="str">
        <f t="shared" si="61"/>
        <v/>
      </c>
      <c r="I536" s="8" t="str">
        <f t="shared" si="62"/>
        <v/>
      </c>
    </row>
    <row r="537" spans="1:9" x14ac:dyDescent="0.2">
      <c r="A537" s="12" t="str">
        <f>IF($B537="","",528)</f>
        <v/>
      </c>
      <c r="B537" s="18" t="str">
        <f>IF(528&gt;NBskParty,"",INDEX(PkBskParty,528))</f>
        <v/>
      </c>
      <c r="C537" s="16" t="str">
        <f t="shared" si="56"/>
        <v/>
      </c>
      <c r="D537" s="14" t="str">
        <f t="shared" si="57"/>
        <v/>
      </c>
      <c r="E537" s="14" t="str">
        <f t="shared" si="58"/>
        <v/>
      </c>
      <c r="F537" s="14" t="str">
        <f t="shared" si="59"/>
        <v/>
      </c>
      <c r="G537" s="14" t="str">
        <f t="shared" si="60"/>
        <v/>
      </c>
      <c r="H537" s="15" t="str">
        <f t="shared" si="61"/>
        <v/>
      </c>
      <c r="I537" s="13" t="str">
        <f t="shared" si="62"/>
        <v/>
      </c>
    </row>
    <row r="538" spans="1:9" x14ac:dyDescent="0.2">
      <c r="A538" s="7" t="str">
        <f>IF($B538="","",529)</f>
        <v/>
      </c>
      <c r="B538" s="17" t="str">
        <f>IF(529&gt;NBskParty,"",INDEX(PkBskParty,529))</f>
        <v/>
      </c>
      <c r="C538" s="11" t="str">
        <f t="shared" si="56"/>
        <v/>
      </c>
      <c r="D538" s="9" t="str">
        <f t="shared" si="57"/>
        <v/>
      </c>
      <c r="E538" s="9" t="str">
        <f t="shared" si="58"/>
        <v/>
      </c>
      <c r="F538" s="9" t="str">
        <f t="shared" si="59"/>
        <v/>
      </c>
      <c r="G538" s="9" t="str">
        <f t="shared" si="60"/>
        <v/>
      </c>
      <c r="H538" s="10" t="str">
        <f t="shared" si="61"/>
        <v/>
      </c>
      <c r="I538" s="8" t="str">
        <f t="shared" si="62"/>
        <v/>
      </c>
    </row>
    <row r="539" spans="1:9" x14ac:dyDescent="0.2">
      <c r="A539" s="12" t="str">
        <f>IF($B539="","",530)</f>
        <v/>
      </c>
      <c r="B539" s="18" t="str">
        <f>IF(530&gt;NBskParty,"",INDEX(PkBskParty,530))</f>
        <v/>
      </c>
      <c r="C539" s="16" t="str">
        <f t="shared" si="56"/>
        <v/>
      </c>
      <c r="D539" s="14" t="str">
        <f t="shared" si="57"/>
        <v/>
      </c>
      <c r="E539" s="14" t="str">
        <f t="shared" si="58"/>
        <v/>
      </c>
      <c r="F539" s="14" t="str">
        <f t="shared" si="59"/>
        <v/>
      </c>
      <c r="G539" s="14" t="str">
        <f t="shared" si="60"/>
        <v/>
      </c>
      <c r="H539" s="15" t="str">
        <f t="shared" si="61"/>
        <v/>
      </c>
      <c r="I539" s="13" t="str">
        <f t="shared" si="62"/>
        <v/>
      </c>
    </row>
    <row r="540" spans="1:9" x14ac:dyDescent="0.2">
      <c r="A540" s="7" t="str">
        <f>IF($B540="","",531)</f>
        <v/>
      </c>
      <c r="B540" s="17" t="str">
        <f>IF(531&gt;NBskParty,"",INDEX(PkBskParty,531))</f>
        <v/>
      </c>
      <c r="C540" s="11" t="str">
        <f t="shared" si="56"/>
        <v/>
      </c>
      <c r="D540" s="9" t="str">
        <f t="shared" si="57"/>
        <v/>
      </c>
      <c r="E540" s="9" t="str">
        <f t="shared" si="58"/>
        <v/>
      </c>
      <c r="F540" s="9" t="str">
        <f t="shared" si="59"/>
        <v/>
      </c>
      <c r="G540" s="9" t="str">
        <f t="shared" si="60"/>
        <v/>
      </c>
      <c r="H540" s="10" t="str">
        <f t="shared" si="61"/>
        <v/>
      </c>
      <c r="I540" s="8" t="str">
        <f t="shared" si="62"/>
        <v/>
      </c>
    </row>
    <row r="541" spans="1:9" x14ac:dyDescent="0.2">
      <c r="A541" s="12" t="str">
        <f>IF($B541="","",532)</f>
        <v/>
      </c>
      <c r="B541" s="18" t="str">
        <f>IF(532&gt;NBskParty,"",INDEX(PkBskParty,532))</f>
        <v/>
      </c>
      <c r="C541" s="16" t="str">
        <f t="shared" si="56"/>
        <v/>
      </c>
      <c r="D541" s="14" t="str">
        <f t="shared" si="57"/>
        <v/>
      </c>
      <c r="E541" s="14" t="str">
        <f t="shared" si="58"/>
        <v/>
      </c>
      <c r="F541" s="14" t="str">
        <f t="shared" si="59"/>
        <v/>
      </c>
      <c r="G541" s="14" t="str">
        <f t="shared" si="60"/>
        <v/>
      </c>
      <c r="H541" s="15" t="str">
        <f t="shared" si="61"/>
        <v/>
      </c>
      <c r="I541" s="13" t="str">
        <f t="shared" si="62"/>
        <v/>
      </c>
    </row>
    <row r="542" spans="1:9" x14ac:dyDescent="0.2">
      <c r="A542" s="7" t="str">
        <f>IF($B542="","",533)</f>
        <v/>
      </c>
      <c r="B542" s="17" t="str">
        <f>IF(533&gt;NBskParty,"",INDEX(PkBskParty,533))</f>
        <v/>
      </c>
      <c r="C542" s="11" t="str">
        <f t="shared" si="56"/>
        <v/>
      </c>
      <c r="D542" s="9" t="str">
        <f t="shared" si="57"/>
        <v/>
      </c>
      <c r="E542" s="9" t="str">
        <f t="shared" si="58"/>
        <v/>
      </c>
      <c r="F542" s="9" t="str">
        <f t="shared" si="59"/>
        <v/>
      </c>
      <c r="G542" s="9" t="str">
        <f t="shared" si="60"/>
        <v/>
      </c>
      <c r="H542" s="10" t="str">
        <f t="shared" si="61"/>
        <v/>
      </c>
      <c r="I542" s="8" t="str">
        <f t="shared" si="62"/>
        <v/>
      </c>
    </row>
    <row r="543" spans="1:9" x14ac:dyDescent="0.2">
      <c r="A543" s="12" t="str">
        <f>IF($B543="","",534)</f>
        <v/>
      </c>
      <c r="B543" s="18" t="str">
        <f>IF(534&gt;NBskParty,"",INDEX(PkBskParty,534))</f>
        <v/>
      </c>
      <c r="C543" s="16" t="str">
        <f t="shared" si="56"/>
        <v/>
      </c>
      <c r="D543" s="14" t="str">
        <f t="shared" si="57"/>
        <v/>
      </c>
      <c r="E543" s="14" t="str">
        <f t="shared" si="58"/>
        <v/>
      </c>
      <c r="F543" s="14" t="str">
        <f t="shared" si="59"/>
        <v/>
      </c>
      <c r="G543" s="14" t="str">
        <f t="shared" si="60"/>
        <v/>
      </c>
      <c r="H543" s="15" t="str">
        <f t="shared" si="61"/>
        <v/>
      </c>
      <c r="I543" s="13" t="str">
        <f t="shared" si="62"/>
        <v/>
      </c>
    </row>
    <row r="544" spans="1:9" x14ac:dyDescent="0.2">
      <c r="A544" s="7" t="str">
        <f>IF($B544="","",535)</f>
        <v/>
      </c>
      <c r="B544" s="17" t="str">
        <f>IF(535&gt;NBskParty,"",INDEX(PkBskParty,535))</f>
        <v/>
      </c>
      <c r="C544" s="11" t="str">
        <f t="shared" si="56"/>
        <v/>
      </c>
      <c r="D544" s="9" t="str">
        <f t="shared" si="57"/>
        <v/>
      </c>
      <c r="E544" s="9" t="str">
        <f t="shared" si="58"/>
        <v/>
      </c>
      <c r="F544" s="9" t="str">
        <f t="shared" si="59"/>
        <v/>
      </c>
      <c r="G544" s="9" t="str">
        <f t="shared" si="60"/>
        <v/>
      </c>
      <c r="H544" s="10" t="str">
        <f t="shared" si="61"/>
        <v/>
      </c>
      <c r="I544" s="8" t="str">
        <f t="shared" si="62"/>
        <v/>
      </c>
    </row>
    <row r="545" spans="1:9" x14ac:dyDescent="0.2">
      <c r="A545" s="12" t="str">
        <f>IF($B545="","",536)</f>
        <v/>
      </c>
      <c r="B545" s="18" t="str">
        <f>IF(536&gt;NBskParty,"",INDEX(PkBskParty,536))</f>
        <v/>
      </c>
      <c r="C545" s="16" t="str">
        <f t="shared" si="56"/>
        <v/>
      </c>
      <c r="D545" s="14" t="str">
        <f t="shared" si="57"/>
        <v/>
      </c>
      <c r="E545" s="14" t="str">
        <f t="shared" si="58"/>
        <v/>
      </c>
      <c r="F545" s="14" t="str">
        <f t="shared" si="59"/>
        <v/>
      </c>
      <c r="G545" s="14" t="str">
        <f t="shared" si="60"/>
        <v/>
      </c>
      <c r="H545" s="15" t="str">
        <f t="shared" si="61"/>
        <v/>
      </c>
      <c r="I545" s="13" t="str">
        <f t="shared" si="62"/>
        <v/>
      </c>
    </row>
    <row r="546" spans="1:9" x14ac:dyDescent="0.2">
      <c r="A546" s="7" t="str">
        <f>IF($B546="","",537)</f>
        <v/>
      </c>
      <c r="B546" s="17" t="str">
        <f>IF(537&gt;NBskParty,"",INDEX(PkBskParty,537))</f>
        <v/>
      </c>
      <c r="C546" s="11" t="str">
        <f t="shared" si="56"/>
        <v/>
      </c>
      <c r="D546" s="9" t="str">
        <f t="shared" si="57"/>
        <v/>
      </c>
      <c r="E546" s="9" t="str">
        <f t="shared" si="58"/>
        <v/>
      </c>
      <c r="F546" s="9" t="str">
        <f t="shared" si="59"/>
        <v/>
      </c>
      <c r="G546" s="9" t="str">
        <f t="shared" si="60"/>
        <v/>
      </c>
      <c r="H546" s="10" t="str">
        <f t="shared" si="61"/>
        <v/>
      </c>
      <c r="I546" s="8" t="str">
        <f t="shared" si="62"/>
        <v/>
      </c>
    </row>
    <row r="547" spans="1:9" x14ac:dyDescent="0.2">
      <c r="A547" s="12" t="str">
        <f>IF($B547="","",538)</f>
        <v/>
      </c>
      <c r="B547" s="18" t="str">
        <f>IF(538&gt;NBskParty,"",INDEX(PkBskParty,538))</f>
        <v/>
      </c>
      <c r="C547" s="16" t="str">
        <f t="shared" si="56"/>
        <v/>
      </c>
      <c r="D547" s="14" t="str">
        <f t="shared" si="57"/>
        <v/>
      </c>
      <c r="E547" s="14" t="str">
        <f t="shared" si="58"/>
        <v/>
      </c>
      <c r="F547" s="14" t="str">
        <f t="shared" si="59"/>
        <v/>
      </c>
      <c r="G547" s="14" t="str">
        <f t="shared" si="60"/>
        <v/>
      </c>
      <c r="H547" s="15" t="str">
        <f t="shared" si="61"/>
        <v/>
      </c>
      <c r="I547" s="13" t="str">
        <f t="shared" si="62"/>
        <v/>
      </c>
    </row>
    <row r="548" spans="1:9" x14ac:dyDescent="0.2">
      <c r="A548" s="7" t="str">
        <f>IF($B548="","",539)</f>
        <v/>
      </c>
      <c r="B548" s="17" t="str">
        <f>IF(539&gt;NBskParty,"",INDEX(PkBskParty,539))</f>
        <v/>
      </c>
      <c r="C548" s="11" t="str">
        <f t="shared" si="56"/>
        <v/>
      </c>
      <c r="D548" s="9" t="str">
        <f t="shared" si="57"/>
        <v/>
      </c>
      <c r="E548" s="9" t="str">
        <f t="shared" si="58"/>
        <v/>
      </c>
      <c r="F548" s="9" t="str">
        <f t="shared" si="59"/>
        <v/>
      </c>
      <c r="G548" s="9" t="str">
        <f t="shared" si="60"/>
        <v/>
      </c>
      <c r="H548" s="10" t="str">
        <f t="shared" si="61"/>
        <v/>
      </c>
      <c r="I548" s="8" t="str">
        <f t="shared" si="62"/>
        <v/>
      </c>
    </row>
    <row r="549" spans="1:9" x14ac:dyDescent="0.2">
      <c r="A549" s="12" t="str">
        <f>IF($B549="","",540)</f>
        <v/>
      </c>
      <c r="B549" s="18" t="str">
        <f>IF(540&gt;NBskParty,"",INDEX(PkBskParty,540))</f>
        <v/>
      </c>
      <c r="C549" s="16" t="str">
        <f t="shared" si="56"/>
        <v/>
      </c>
      <c r="D549" s="14" t="str">
        <f t="shared" si="57"/>
        <v/>
      </c>
      <c r="E549" s="14" t="str">
        <f t="shared" si="58"/>
        <v/>
      </c>
      <c r="F549" s="14" t="str">
        <f t="shared" si="59"/>
        <v/>
      </c>
      <c r="G549" s="14" t="str">
        <f t="shared" si="60"/>
        <v/>
      </c>
      <c r="H549" s="15" t="str">
        <f t="shared" si="61"/>
        <v/>
      </c>
      <c r="I549" s="13" t="str">
        <f t="shared" si="62"/>
        <v/>
      </c>
    </row>
    <row r="550" spans="1:9" x14ac:dyDescent="0.2">
      <c r="A550" s="7" t="str">
        <f>IF($B550="","",541)</f>
        <v/>
      </c>
      <c r="B550" s="17" t="str">
        <f>IF(541&gt;NBskParty,"",INDEX(PkBskParty,541))</f>
        <v/>
      </c>
      <c r="C550" s="11" t="str">
        <f t="shared" si="56"/>
        <v/>
      </c>
      <c r="D550" s="9" t="str">
        <f t="shared" si="57"/>
        <v/>
      </c>
      <c r="E550" s="9" t="str">
        <f t="shared" si="58"/>
        <v/>
      </c>
      <c r="F550" s="9" t="str">
        <f t="shared" si="59"/>
        <v/>
      </c>
      <c r="G550" s="9" t="str">
        <f t="shared" si="60"/>
        <v/>
      </c>
      <c r="H550" s="10" t="str">
        <f t="shared" si="61"/>
        <v/>
      </c>
      <c r="I550" s="8" t="str">
        <f t="shared" si="62"/>
        <v/>
      </c>
    </row>
    <row r="551" spans="1:9" x14ac:dyDescent="0.2">
      <c r="A551" s="12" t="str">
        <f>IF($B551="","",542)</f>
        <v/>
      </c>
      <c r="B551" s="18" t="str">
        <f>IF(542&gt;NBskParty,"",INDEX(PkBskParty,542))</f>
        <v/>
      </c>
      <c r="C551" s="16" t="str">
        <f t="shared" si="56"/>
        <v/>
      </c>
      <c r="D551" s="14" t="str">
        <f t="shared" si="57"/>
        <v/>
      </c>
      <c r="E551" s="14" t="str">
        <f t="shared" si="58"/>
        <v/>
      </c>
      <c r="F551" s="14" t="str">
        <f t="shared" si="59"/>
        <v/>
      </c>
      <c r="G551" s="14" t="str">
        <f t="shared" si="60"/>
        <v/>
      </c>
      <c r="H551" s="15" t="str">
        <f t="shared" si="61"/>
        <v/>
      </c>
      <c r="I551" s="13" t="str">
        <f t="shared" si="62"/>
        <v/>
      </c>
    </row>
    <row r="552" spans="1:9" x14ac:dyDescent="0.2">
      <c r="A552" s="7" t="str">
        <f>IF($B552="","",543)</f>
        <v/>
      </c>
      <c r="B552" s="17" t="str">
        <f>IF(543&gt;NBskParty,"",INDEX(PkBskParty,543))</f>
        <v/>
      </c>
      <c r="C552" s="11" t="str">
        <f t="shared" si="56"/>
        <v/>
      </c>
      <c r="D552" s="9" t="str">
        <f t="shared" si="57"/>
        <v/>
      </c>
      <c r="E552" s="9" t="str">
        <f t="shared" si="58"/>
        <v/>
      </c>
      <c r="F552" s="9" t="str">
        <f t="shared" si="59"/>
        <v/>
      </c>
      <c r="G552" s="9" t="str">
        <f t="shared" si="60"/>
        <v/>
      </c>
      <c r="H552" s="10" t="str">
        <f t="shared" si="61"/>
        <v/>
      </c>
      <c r="I552" s="8" t="str">
        <f t="shared" si="62"/>
        <v/>
      </c>
    </row>
    <row r="553" spans="1:9" x14ac:dyDescent="0.2">
      <c r="A553" s="12" t="str">
        <f>IF($B553="","",544)</f>
        <v/>
      </c>
      <c r="B553" s="18" t="str">
        <f>IF(544&gt;NBskParty,"",INDEX(PkBskParty,544))</f>
        <v/>
      </c>
      <c r="C553" s="16" t="str">
        <f t="shared" si="56"/>
        <v/>
      </c>
      <c r="D553" s="14" t="str">
        <f t="shared" si="57"/>
        <v/>
      </c>
      <c r="E553" s="14" t="str">
        <f t="shared" si="58"/>
        <v/>
      </c>
      <c r="F553" s="14" t="str">
        <f t="shared" si="59"/>
        <v/>
      </c>
      <c r="G553" s="14" t="str">
        <f t="shared" si="60"/>
        <v/>
      </c>
      <c r="H553" s="15" t="str">
        <f t="shared" si="61"/>
        <v/>
      </c>
      <c r="I553" s="13" t="str">
        <f t="shared" si="62"/>
        <v/>
      </c>
    </row>
    <row r="554" spans="1:9" x14ac:dyDescent="0.2">
      <c r="A554" s="7" t="str">
        <f>IF($B554="","",545)</f>
        <v/>
      </c>
      <c r="B554" s="17" t="str">
        <f>IF(545&gt;NBskParty,"",INDEX(PkBskParty,545))</f>
        <v/>
      </c>
      <c r="C554" s="11" t="str">
        <f t="shared" si="56"/>
        <v/>
      </c>
      <c r="D554" s="9" t="str">
        <f t="shared" si="57"/>
        <v/>
      </c>
      <c r="E554" s="9" t="str">
        <f t="shared" si="58"/>
        <v/>
      </c>
      <c r="F554" s="9" t="str">
        <f t="shared" si="59"/>
        <v/>
      </c>
      <c r="G554" s="9" t="str">
        <f t="shared" si="60"/>
        <v/>
      </c>
      <c r="H554" s="10" t="str">
        <f t="shared" si="61"/>
        <v/>
      </c>
      <c r="I554" s="8" t="str">
        <f t="shared" si="62"/>
        <v/>
      </c>
    </row>
    <row r="555" spans="1:9" x14ac:dyDescent="0.2">
      <c r="A555" s="12" t="str">
        <f>IF($B555="","",546)</f>
        <v/>
      </c>
      <c r="B555" s="18" t="str">
        <f>IF(546&gt;NBskParty,"",INDEX(PkBskParty,546))</f>
        <v/>
      </c>
      <c r="C555" s="16" t="str">
        <f t="shared" si="56"/>
        <v/>
      </c>
      <c r="D555" s="14" t="str">
        <f t="shared" si="57"/>
        <v/>
      </c>
      <c r="E555" s="14" t="str">
        <f t="shared" si="58"/>
        <v/>
      </c>
      <c r="F555" s="14" t="str">
        <f t="shared" si="59"/>
        <v/>
      </c>
      <c r="G555" s="14" t="str">
        <f t="shared" si="60"/>
        <v/>
      </c>
      <c r="H555" s="15" t="str">
        <f t="shared" si="61"/>
        <v/>
      </c>
      <c r="I555" s="13" t="str">
        <f t="shared" si="62"/>
        <v/>
      </c>
    </row>
    <row r="556" spans="1:9" x14ac:dyDescent="0.2">
      <c r="A556" s="7" t="str">
        <f>IF($B556="","",547)</f>
        <v/>
      </c>
      <c r="B556" s="17" t="str">
        <f>IF(547&gt;NBskParty,"",INDEX(PkBskParty,547))</f>
        <v/>
      </c>
      <c r="C556" s="11" t="str">
        <f t="shared" si="56"/>
        <v/>
      </c>
      <c r="D556" s="9" t="str">
        <f t="shared" si="57"/>
        <v/>
      </c>
      <c r="E556" s="9" t="str">
        <f t="shared" si="58"/>
        <v/>
      </c>
      <c r="F556" s="9" t="str">
        <f t="shared" si="59"/>
        <v/>
      </c>
      <c r="G556" s="9" t="str">
        <f t="shared" si="60"/>
        <v/>
      </c>
      <c r="H556" s="10" t="str">
        <f t="shared" si="61"/>
        <v/>
      </c>
      <c r="I556" s="8" t="str">
        <f t="shared" si="62"/>
        <v/>
      </c>
    </row>
    <row r="557" spans="1:9" x14ac:dyDescent="0.2">
      <c r="A557" s="12" t="str">
        <f>IF($B557="","",548)</f>
        <v/>
      </c>
      <c r="B557" s="18" t="str">
        <f>IF(548&gt;NBskParty,"",INDEX(PkBskParty,548))</f>
        <v/>
      </c>
      <c r="C557" s="16" t="str">
        <f t="shared" si="56"/>
        <v/>
      </c>
      <c r="D557" s="14" t="str">
        <f t="shared" si="57"/>
        <v/>
      </c>
      <c r="E557" s="14" t="str">
        <f t="shared" si="58"/>
        <v/>
      </c>
      <c r="F557" s="14" t="str">
        <f t="shared" si="59"/>
        <v/>
      </c>
      <c r="G557" s="14" t="str">
        <f t="shared" si="60"/>
        <v/>
      </c>
      <c r="H557" s="15" t="str">
        <f t="shared" si="61"/>
        <v/>
      </c>
      <c r="I557" s="13" t="str">
        <f t="shared" si="62"/>
        <v/>
      </c>
    </row>
    <row r="558" spans="1:9" x14ac:dyDescent="0.2">
      <c r="A558" s="7" t="str">
        <f>IF($B558="","",549)</f>
        <v/>
      </c>
      <c r="B558" s="17" t="str">
        <f>IF(549&gt;NBskParty,"",INDEX(PkBskParty,549))</f>
        <v/>
      </c>
      <c r="C558" s="11" t="str">
        <f t="shared" si="56"/>
        <v/>
      </c>
      <c r="D558" s="9" t="str">
        <f t="shared" si="57"/>
        <v/>
      </c>
      <c r="E558" s="9" t="str">
        <f t="shared" si="58"/>
        <v/>
      </c>
      <c r="F558" s="9" t="str">
        <f t="shared" si="59"/>
        <v/>
      </c>
      <c r="G558" s="9" t="str">
        <f t="shared" si="60"/>
        <v/>
      </c>
      <c r="H558" s="10" t="str">
        <f t="shared" si="61"/>
        <v/>
      </c>
      <c r="I558" s="8" t="str">
        <f t="shared" si="62"/>
        <v/>
      </c>
    </row>
    <row r="559" spans="1:9" x14ac:dyDescent="0.2">
      <c r="A559" s="12" t="str">
        <f>IF($B559="","",550)</f>
        <v/>
      </c>
      <c r="B559" s="18" t="str">
        <f>IF(550&gt;NBskParty,"",INDEX(PkBskParty,550))</f>
        <v/>
      </c>
      <c r="C559" s="16" t="str">
        <f t="shared" si="56"/>
        <v/>
      </c>
      <c r="D559" s="14" t="str">
        <f t="shared" si="57"/>
        <v/>
      </c>
      <c r="E559" s="14" t="str">
        <f t="shared" si="58"/>
        <v/>
      </c>
      <c r="F559" s="14" t="str">
        <f t="shared" si="59"/>
        <v/>
      </c>
      <c r="G559" s="14" t="str">
        <f t="shared" si="60"/>
        <v/>
      </c>
      <c r="H559" s="15" t="str">
        <f t="shared" si="61"/>
        <v/>
      </c>
      <c r="I559" s="13" t="str">
        <f t="shared" si="62"/>
        <v/>
      </c>
    </row>
    <row r="560" spans="1:9" x14ac:dyDescent="0.2">
      <c r="A560" s="7" t="str">
        <f>IF($B560="","",551)</f>
        <v/>
      </c>
      <c r="B560" s="17" t="str">
        <f>IF(551&gt;NBskParty,"",INDEX(PkBskParty,551))</f>
        <v/>
      </c>
      <c r="C560" s="11" t="str">
        <f t="shared" si="56"/>
        <v/>
      </c>
      <c r="D560" s="9" t="str">
        <f t="shared" si="57"/>
        <v/>
      </c>
      <c r="E560" s="9" t="str">
        <f t="shared" si="58"/>
        <v/>
      </c>
      <c r="F560" s="9" t="str">
        <f t="shared" si="59"/>
        <v/>
      </c>
      <c r="G560" s="9" t="str">
        <f t="shared" si="60"/>
        <v/>
      </c>
      <c r="H560" s="10" t="str">
        <f t="shared" si="61"/>
        <v/>
      </c>
      <c r="I560" s="8" t="str">
        <f t="shared" si="62"/>
        <v/>
      </c>
    </row>
    <row r="561" spans="1:9" x14ac:dyDescent="0.2">
      <c r="A561" s="12" t="str">
        <f>IF($B561="","",552)</f>
        <v/>
      </c>
      <c r="B561" s="18" t="str">
        <f>IF(552&gt;NBskParty,"",INDEX(PkBskParty,552))</f>
        <v/>
      </c>
      <c r="C561" s="16" t="str">
        <f t="shared" si="56"/>
        <v/>
      </c>
      <c r="D561" s="14" t="str">
        <f t="shared" si="57"/>
        <v/>
      </c>
      <c r="E561" s="14" t="str">
        <f t="shared" si="58"/>
        <v/>
      </c>
      <c r="F561" s="14" t="str">
        <f t="shared" si="59"/>
        <v/>
      </c>
      <c r="G561" s="14" t="str">
        <f t="shared" si="60"/>
        <v/>
      </c>
      <c r="H561" s="15" t="str">
        <f t="shared" si="61"/>
        <v/>
      </c>
      <c r="I561" s="13" t="str">
        <f t="shared" si="62"/>
        <v/>
      </c>
    </row>
    <row r="562" spans="1:9" x14ac:dyDescent="0.2">
      <c r="A562" s="7" t="str">
        <f>IF($B562="","",553)</f>
        <v/>
      </c>
      <c r="B562" s="17" t="str">
        <f>IF(553&gt;NBskParty,"",INDEX(PkBskParty,553))</f>
        <v/>
      </c>
      <c r="C562" s="11" t="str">
        <f t="shared" si="56"/>
        <v/>
      </c>
      <c r="D562" s="9" t="str">
        <f t="shared" si="57"/>
        <v/>
      </c>
      <c r="E562" s="9" t="str">
        <f t="shared" si="58"/>
        <v/>
      </c>
      <c r="F562" s="9" t="str">
        <f t="shared" si="59"/>
        <v/>
      </c>
      <c r="G562" s="9" t="str">
        <f t="shared" si="60"/>
        <v/>
      </c>
      <c r="H562" s="10" t="str">
        <f t="shared" si="61"/>
        <v/>
      </c>
      <c r="I562" s="8" t="str">
        <f t="shared" si="62"/>
        <v/>
      </c>
    </row>
    <row r="563" spans="1:9" x14ac:dyDescent="0.2">
      <c r="A563" s="12" t="str">
        <f>IF($B563="","",554)</f>
        <v/>
      </c>
      <c r="B563" s="18" t="str">
        <f>IF(554&gt;NBskParty,"",INDEX(PkBskParty,554))</f>
        <v/>
      </c>
      <c r="C563" s="16" t="str">
        <f t="shared" si="56"/>
        <v/>
      </c>
      <c r="D563" s="14" t="str">
        <f t="shared" si="57"/>
        <v/>
      </c>
      <c r="E563" s="14" t="str">
        <f t="shared" si="58"/>
        <v/>
      </c>
      <c r="F563" s="14" t="str">
        <f t="shared" si="59"/>
        <v/>
      </c>
      <c r="G563" s="14" t="str">
        <f t="shared" si="60"/>
        <v/>
      </c>
      <c r="H563" s="15" t="str">
        <f t="shared" si="61"/>
        <v/>
      </c>
      <c r="I563" s="13" t="str">
        <f t="shared" si="62"/>
        <v/>
      </c>
    </row>
    <row r="564" spans="1:9" x14ac:dyDescent="0.2">
      <c r="A564" s="7" t="str">
        <f>IF($B564="","",555)</f>
        <v/>
      </c>
      <c r="B564" s="17" t="str">
        <f>IF(555&gt;NBskParty,"",INDEX(PkBskParty,555))</f>
        <v/>
      </c>
      <c r="C564" s="11" t="str">
        <f t="shared" si="56"/>
        <v/>
      </c>
      <c r="D564" s="9" t="str">
        <f t="shared" si="57"/>
        <v/>
      </c>
      <c r="E564" s="9" t="str">
        <f t="shared" si="58"/>
        <v/>
      </c>
      <c r="F564" s="9" t="str">
        <f t="shared" si="59"/>
        <v/>
      </c>
      <c r="G564" s="9" t="str">
        <f t="shared" si="60"/>
        <v/>
      </c>
      <c r="H564" s="10" t="str">
        <f t="shared" si="61"/>
        <v/>
      </c>
      <c r="I564" s="8" t="str">
        <f t="shared" si="62"/>
        <v/>
      </c>
    </row>
    <row r="565" spans="1:9" x14ac:dyDescent="0.2">
      <c r="A565" s="12" t="str">
        <f>IF($B565="","",556)</f>
        <v/>
      </c>
      <c r="B565" s="18" t="str">
        <f>IF(556&gt;NBskParty,"",INDEX(PkBskParty,556))</f>
        <v/>
      </c>
      <c r="C565" s="16" t="str">
        <f t="shared" si="56"/>
        <v/>
      </c>
      <c r="D565" s="14" t="str">
        <f t="shared" si="57"/>
        <v/>
      </c>
      <c r="E565" s="14" t="str">
        <f t="shared" si="58"/>
        <v/>
      </c>
      <c r="F565" s="14" t="str">
        <f t="shared" si="59"/>
        <v/>
      </c>
      <c r="G565" s="14" t="str">
        <f t="shared" si="60"/>
        <v/>
      </c>
      <c r="H565" s="15" t="str">
        <f t="shared" si="61"/>
        <v/>
      </c>
      <c r="I565" s="13" t="str">
        <f t="shared" si="62"/>
        <v/>
      </c>
    </row>
    <row r="566" spans="1:9" x14ac:dyDescent="0.2">
      <c r="A566" s="7" t="str">
        <f>IF($B566="","",557)</f>
        <v/>
      </c>
      <c r="B566" s="17" t="str">
        <f>IF(557&gt;NBskParty,"",INDEX(PkBskParty,557))</f>
        <v/>
      </c>
      <c r="C566" s="11" t="str">
        <f t="shared" si="56"/>
        <v/>
      </c>
      <c r="D566" s="9" t="str">
        <f t="shared" si="57"/>
        <v/>
      </c>
      <c r="E566" s="9" t="str">
        <f t="shared" si="58"/>
        <v/>
      </c>
      <c r="F566" s="9" t="str">
        <f t="shared" si="59"/>
        <v/>
      </c>
      <c r="G566" s="9" t="str">
        <f t="shared" si="60"/>
        <v/>
      </c>
      <c r="H566" s="10" t="str">
        <f t="shared" si="61"/>
        <v/>
      </c>
      <c r="I566" s="8" t="str">
        <f t="shared" si="62"/>
        <v/>
      </c>
    </row>
    <row r="567" spans="1:9" x14ac:dyDescent="0.2">
      <c r="A567" s="12" t="str">
        <f>IF($B567="","",558)</f>
        <v/>
      </c>
      <c r="B567" s="18" t="str">
        <f>IF(558&gt;NBskParty,"",INDEX(PkBskParty,558))</f>
        <v/>
      </c>
      <c r="C567" s="16" t="str">
        <f t="shared" si="56"/>
        <v/>
      </c>
      <c r="D567" s="14" t="str">
        <f t="shared" si="57"/>
        <v/>
      </c>
      <c r="E567" s="14" t="str">
        <f t="shared" si="58"/>
        <v/>
      </c>
      <c r="F567" s="14" t="str">
        <f t="shared" si="59"/>
        <v/>
      </c>
      <c r="G567" s="14" t="str">
        <f t="shared" si="60"/>
        <v/>
      </c>
      <c r="H567" s="15" t="str">
        <f t="shared" si="61"/>
        <v/>
      </c>
      <c r="I567" s="13" t="str">
        <f t="shared" si="62"/>
        <v/>
      </c>
    </row>
    <row r="568" spans="1:9" x14ac:dyDescent="0.2">
      <c r="A568" s="7" t="str">
        <f>IF($B568="","",559)</f>
        <v/>
      </c>
      <c r="B568" s="17" t="str">
        <f>IF(559&gt;NBskParty,"",INDEX(PkBskParty,559))</f>
        <v/>
      </c>
      <c r="C568" s="11" t="str">
        <f t="shared" si="56"/>
        <v/>
      </c>
      <c r="D568" s="9" t="str">
        <f t="shared" si="57"/>
        <v/>
      </c>
      <c r="E568" s="9" t="str">
        <f t="shared" si="58"/>
        <v/>
      </c>
      <c r="F568" s="9" t="str">
        <f t="shared" si="59"/>
        <v/>
      </c>
      <c r="G568" s="9" t="str">
        <f t="shared" si="60"/>
        <v/>
      </c>
      <c r="H568" s="10" t="str">
        <f t="shared" si="61"/>
        <v/>
      </c>
      <c r="I568" s="8" t="str">
        <f t="shared" si="62"/>
        <v/>
      </c>
    </row>
    <row r="569" spans="1:9" x14ac:dyDescent="0.2">
      <c r="A569" s="12" t="str">
        <f>IF($B569="","",560)</f>
        <v/>
      </c>
      <c r="B569" s="18" t="str">
        <f>IF(560&gt;NBskParty,"",INDEX(PkBskParty,560))</f>
        <v/>
      </c>
      <c r="C569" s="16" t="str">
        <f t="shared" si="56"/>
        <v/>
      </c>
      <c r="D569" s="14" t="str">
        <f t="shared" si="57"/>
        <v/>
      </c>
      <c r="E569" s="14" t="str">
        <f t="shared" si="58"/>
        <v/>
      </c>
      <c r="F569" s="14" t="str">
        <f t="shared" si="59"/>
        <v/>
      </c>
      <c r="G569" s="14" t="str">
        <f t="shared" si="60"/>
        <v/>
      </c>
      <c r="H569" s="15" t="str">
        <f t="shared" si="61"/>
        <v/>
      </c>
      <c r="I569" s="13" t="str">
        <f t="shared" si="62"/>
        <v/>
      </c>
    </row>
    <row r="570" spans="1:9" x14ac:dyDescent="0.2">
      <c r="A570" s="7" t="str">
        <f>IF($B570="","",561)</f>
        <v/>
      </c>
      <c r="B570" s="17" t="str">
        <f>IF(561&gt;NBskParty,"",INDEX(PkBskParty,561))</f>
        <v/>
      </c>
      <c r="C570" s="11" t="str">
        <f t="shared" si="56"/>
        <v/>
      </c>
      <c r="D570" s="9" t="str">
        <f t="shared" si="57"/>
        <v/>
      </c>
      <c r="E570" s="9" t="str">
        <f t="shared" si="58"/>
        <v/>
      </c>
      <c r="F570" s="9" t="str">
        <f t="shared" si="59"/>
        <v/>
      </c>
      <c r="G570" s="9" t="str">
        <f t="shared" si="60"/>
        <v/>
      </c>
      <c r="H570" s="10" t="str">
        <f t="shared" si="61"/>
        <v/>
      </c>
      <c r="I570" s="8" t="str">
        <f t="shared" si="62"/>
        <v/>
      </c>
    </row>
    <row r="571" spans="1:9" x14ac:dyDescent="0.2">
      <c r="A571" s="12" t="str">
        <f>IF($B571="","",562)</f>
        <v/>
      </c>
      <c r="B571" s="18" t="str">
        <f>IF(562&gt;NBskParty,"",INDEX(PkBskParty,562))</f>
        <v/>
      </c>
      <c r="C571" s="16" t="str">
        <f t="shared" si="56"/>
        <v/>
      </c>
      <c r="D571" s="14" t="str">
        <f t="shared" si="57"/>
        <v/>
      </c>
      <c r="E571" s="14" t="str">
        <f t="shared" si="58"/>
        <v/>
      </c>
      <c r="F571" s="14" t="str">
        <f t="shared" si="59"/>
        <v/>
      </c>
      <c r="G571" s="14" t="str">
        <f t="shared" si="60"/>
        <v/>
      </c>
      <c r="H571" s="15" t="str">
        <f t="shared" si="61"/>
        <v/>
      </c>
      <c r="I571" s="13" t="str">
        <f t="shared" si="62"/>
        <v/>
      </c>
    </row>
    <row r="572" spans="1:9" x14ac:dyDescent="0.2">
      <c r="A572" s="7" t="str">
        <f>IF($B572="","",563)</f>
        <v/>
      </c>
      <c r="B572" s="17" t="str">
        <f>IF(563&gt;NBskParty,"",INDEX(PkBskParty,563))</f>
        <v/>
      </c>
      <c r="C572" s="11" t="str">
        <f t="shared" si="56"/>
        <v/>
      </c>
      <c r="D572" s="9" t="str">
        <f t="shared" si="57"/>
        <v/>
      </c>
      <c r="E572" s="9" t="str">
        <f t="shared" si="58"/>
        <v/>
      </c>
      <c r="F572" s="9" t="str">
        <f t="shared" si="59"/>
        <v/>
      </c>
      <c r="G572" s="9" t="str">
        <f t="shared" si="60"/>
        <v/>
      </c>
      <c r="H572" s="10" t="str">
        <f t="shared" si="61"/>
        <v/>
      </c>
      <c r="I572" s="8" t="str">
        <f t="shared" si="62"/>
        <v/>
      </c>
    </row>
    <row r="573" spans="1:9" x14ac:dyDescent="0.2">
      <c r="A573" s="12" t="str">
        <f>IF($B573="","",564)</f>
        <v/>
      </c>
      <c r="B573" s="18" t="str">
        <f>IF(564&gt;NBskParty,"",INDEX(PkBskParty,564))</f>
        <v/>
      </c>
      <c r="C573" s="16" t="str">
        <f t="shared" si="56"/>
        <v/>
      </c>
      <c r="D573" s="14" t="str">
        <f t="shared" si="57"/>
        <v/>
      </c>
      <c r="E573" s="14" t="str">
        <f t="shared" si="58"/>
        <v/>
      </c>
      <c r="F573" s="14" t="str">
        <f t="shared" si="59"/>
        <v/>
      </c>
      <c r="G573" s="14" t="str">
        <f t="shared" si="60"/>
        <v/>
      </c>
      <c r="H573" s="15" t="str">
        <f t="shared" si="61"/>
        <v/>
      </c>
      <c r="I573" s="13" t="str">
        <f t="shared" si="62"/>
        <v/>
      </c>
    </row>
    <row r="574" spans="1:9" x14ac:dyDescent="0.2">
      <c r="A574" s="7" t="str">
        <f>IF($B574="","",565)</f>
        <v/>
      </c>
      <c r="B574" s="17" t="str">
        <f>IF(565&gt;NBskParty,"",INDEX(PkBskParty,565))</f>
        <v/>
      </c>
      <c r="C574" s="11" t="str">
        <f t="shared" si="56"/>
        <v/>
      </c>
      <c r="D574" s="9" t="str">
        <f t="shared" si="57"/>
        <v/>
      </c>
      <c r="E574" s="9" t="str">
        <f t="shared" si="58"/>
        <v/>
      </c>
      <c r="F574" s="9" t="str">
        <f t="shared" si="59"/>
        <v/>
      </c>
      <c r="G574" s="9" t="str">
        <f t="shared" si="60"/>
        <v/>
      </c>
      <c r="H574" s="10" t="str">
        <f t="shared" si="61"/>
        <v/>
      </c>
      <c r="I574" s="8" t="str">
        <f t="shared" si="62"/>
        <v/>
      </c>
    </row>
    <row r="575" spans="1:9" x14ac:dyDescent="0.2">
      <c r="A575" s="12" t="str">
        <f>IF($B575="","",566)</f>
        <v/>
      </c>
      <c r="B575" s="18" t="str">
        <f>IF(566&gt;NBskParty,"",INDEX(PkBskParty,566))</f>
        <v/>
      </c>
      <c r="C575" s="16" t="str">
        <f t="shared" si="56"/>
        <v/>
      </c>
      <c r="D575" s="14" t="str">
        <f t="shared" si="57"/>
        <v/>
      </c>
      <c r="E575" s="14" t="str">
        <f t="shared" si="58"/>
        <v/>
      </c>
      <c r="F575" s="14" t="str">
        <f t="shared" si="59"/>
        <v/>
      </c>
      <c r="G575" s="14" t="str">
        <f t="shared" si="60"/>
        <v/>
      </c>
      <c r="H575" s="15" t="str">
        <f t="shared" si="61"/>
        <v/>
      </c>
      <c r="I575" s="13" t="str">
        <f t="shared" si="62"/>
        <v/>
      </c>
    </row>
    <row r="576" spans="1:9" x14ac:dyDescent="0.2">
      <c r="A576" s="7" t="str">
        <f>IF($B576="","",567)</f>
        <v/>
      </c>
      <c r="B576" s="17" t="str">
        <f>IF(567&gt;NBskParty,"",INDEX(PkBskParty,567))</f>
        <v/>
      </c>
      <c r="C576" s="11" t="str">
        <f t="shared" si="56"/>
        <v/>
      </c>
      <c r="D576" s="9" t="str">
        <f t="shared" si="57"/>
        <v/>
      </c>
      <c r="E576" s="9" t="str">
        <f t="shared" si="58"/>
        <v/>
      </c>
      <c r="F576" s="9" t="str">
        <f t="shared" si="59"/>
        <v/>
      </c>
      <c r="G576" s="9" t="str">
        <f t="shared" si="60"/>
        <v/>
      </c>
      <c r="H576" s="10" t="str">
        <f t="shared" si="61"/>
        <v/>
      </c>
      <c r="I576" s="8" t="str">
        <f t="shared" si="62"/>
        <v/>
      </c>
    </row>
    <row r="577" spans="1:9" x14ac:dyDescent="0.2">
      <c r="A577" s="12" t="str">
        <f>IF($B577="","",568)</f>
        <v/>
      </c>
      <c r="B577" s="18" t="str">
        <f>IF(568&gt;NBskParty,"",INDEX(PkBskParty,568))</f>
        <v/>
      </c>
      <c r="C577" s="16" t="str">
        <f t="shared" si="56"/>
        <v/>
      </c>
      <c r="D577" s="14" t="str">
        <f t="shared" si="57"/>
        <v/>
      </c>
      <c r="E577" s="14" t="str">
        <f t="shared" si="58"/>
        <v/>
      </c>
      <c r="F577" s="14" t="str">
        <f t="shared" si="59"/>
        <v/>
      </c>
      <c r="G577" s="14" t="str">
        <f t="shared" si="60"/>
        <v/>
      </c>
      <c r="H577" s="15" t="str">
        <f t="shared" si="61"/>
        <v/>
      </c>
      <c r="I577" s="13" t="str">
        <f t="shared" si="62"/>
        <v/>
      </c>
    </row>
    <row r="578" spans="1:9" x14ac:dyDescent="0.2">
      <c r="A578" s="7" t="str">
        <f>IF($B578="","",569)</f>
        <v/>
      </c>
      <c r="B578" s="17" t="str">
        <f>IF(569&gt;NBskParty,"",INDEX(PkBskParty,569))</f>
        <v/>
      </c>
      <c r="C578" s="11" t="str">
        <f t="shared" si="56"/>
        <v/>
      </c>
      <c r="D578" s="9" t="str">
        <f t="shared" si="57"/>
        <v/>
      </c>
      <c r="E578" s="9" t="str">
        <f t="shared" si="58"/>
        <v/>
      </c>
      <c r="F578" s="9" t="str">
        <f t="shared" si="59"/>
        <v/>
      </c>
      <c r="G578" s="9" t="str">
        <f t="shared" si="60"/>
        <v/>
      </c>
      <c r="H578" s="10" t="str">
        <f t="shared" si="61"/>
        <v/>
      </c>
      <c r="I578" s="8" t="str">
        <f t="shared" si="62"/>
        <v/>
      </c>
    </row>
    <row r="579" spans="1:9" x14ac:dyDescent="0.2">
      <c r="A579" s="12" t="str">
        <f>IF($B579="","",570)</f>
        <v/>
      </c>
      <c r="B579" s="18" t="str">
        <f>IF(570&gt;NBskParty,"",INDEX(PkBskParty,570))</f>
        <v/>
      </c>
      <c r="C579" s="16" t="str">
        <f t="shared" si="56"/>
        <v/>
      </c>
      <c r="D579" s="14" t="str">
        <f t="shared" si="57"/>
        <v/>
      </c>
      <c r="E579" s="14" t="str">
        <f t="shared" si="58"/>
        <v/>
      </c>
      <c r="F579" s="14" t="str">
        <f t="shared" si="59"/>
        <v/>
      </c>
      <c r="G579" s="14" t="str">
        <f t="shared" si="60"/>
        <v/>
      </c>
      <c r="H579" s="15" t="str">
        <f t="shared" si="61"/>
        <v/>
      </c>
      <c r="I579" s="13" t="str">
        <f t="shared" si="62"/>
        <v/>
      </c>
    </row>
    <row r="580" spans="1:9" x14ac:dyDescent="0.2">
      <c r="A580" s="7" t="str">
        <f>IF($B580="","",571)</f>
        <v/>
      </c>
      <c r="B580" s="17" t="str">
        <f>IF(571&gt;NBskParty,"",INDEX(PkBskParty,571))</f>
        <v/>
      </c>
      <c r="C580" s="11" t="str">
        <f t="shared" si="56"/>
        <v/>
      </c>
      <c r="D580" s="9" t="str">
        <f t="shared" si="57"/>
        <v/>
      </c>
      <c r="E580" s="9" t="str">
        <f t="shared" si="58"/>
        <v/>
      </c>
      <c r="F580" s="9" t="str">
        <f t="shared" si="59"/>
        <v/>
      </c>
      <c r="G580" s="9" t="str">
        <f t="shared" si="60"/>
        <v/>
      </c>
      <c r="H580" s="10" t="str">
        <f t="shared" si="61"/>
        <v/>
      </c>
      <c r="I580" s="8" t="str">
        <f t="shared" si="62"/>
        <v/>
      </c>
    </row>
    <row r="581" spans="1:9" x14ac:dyDescent="0.2">
      <c r="A581" s="12" t="str">
        <f>IF($B581="","",572)</f>
        <v/>
      </c>
      <c r="B581" s="18" t="str">
        <f>IF(572&gt;NBskParty,"",INDEX(PkBskParty,572))</f>
        <v/>
      </c>
      <c r="C581" s="16" t="str">
        <f t="shared" si="56"/>
        <v/>
      </c>
      <c r="D581" s="14" t="str">
        <f t="shared" si="57"/>
        <v/>
      </c>
      <c r="E581" s="14" t="str">
        <f t="shared" si="58"/>
        <v/>
      </c>
      <c r="F581" s="14" t="str">
        <f t="shared" si="59"/>
        <v/>
      </c>
      <c r="G581" s="14" t="str">
        <f t="shared" si="60"/>
        <v/>
      </c>
      <c r="H581" s="15" t="str">
        <f t="shared" si="61"/>
        <v/>
      </c>
      <c r="I581" s="13" t="str">
        <f t="shared" si="62"/>
        <v/>
      </c>
    </row>
    <row r="582" spans="1:9" x14ac:dyDescent="0.2">
      <c r="A582" s="7" t="str">
        <f>IF($B582="","",573)</f>
        <v/>
      </c>
      <c r="B582" s="17" t="str">
        <f>IF(573&gt;NBskParty,"",INDEX(PkBskParty,573))</f>
        <v/>
      </c>
      <c r="C582" s="11" t="str">
        <f t="shared" si="56"/>
        <v/>
      </c>
      <c r="D582" s="9" t="str">
        <f t="shared" si="57"/>
        <v/>
      </c>
      <c r="E582" s="9" t="str">
        <f t="shared" si="58"/>
        <v/>
      </c>
      <c r="F582" s="9" t="str">
        <f t="shared" si="59"/>
        <v/>
      </c>
      <c r="G582" s="9" t="str">
        <f t="shared" si="60"/>
        <v/>
      </c>
      <c r="H582" s="10" t="str">
        <f t="shared" si="61"/>
        <v/>
      </c>
      <c r="I582" s="8" t="str">
        <f t="shared" si="62"/>
        <v/>
      </c>
    </row>
    <row r="583" spans="1:9" x14ac:dyDescent="0.2">
      <c r="A583" s="12" t="str">
        <f>IF($B583="","",574)</f>
        <v/>
      </c>
      <c r="B583" s="18" t="str">
        <f>IF(574&gt;NBskParty,"",INDEX(PkBskParty,574))</f>
        <v/>
      </c>
      <c r="C583" s="16" t="str">
        <f t="shared" si="56"/>
        <v/>
      </c>
      <c r="D583" s="14" t="str">
        <f t="shared" si="57"/>
        <v/>
      </c>
      <c r="E583" s="14" t="str">
        <f t="shared" si="58"/>
        <v/>
      </c>
      <c r="F583" s="14" t="str">
        <f t="shared" si="59"/>
        <v/>
      </c>
      <c r="G583" s="14" t="str">
        <f t="shared" si="60"/>
        <v/>
      </c>
      <c r="H583" s="15" t="str">
        <f t="shared" si="61"/>
        <v/>
      </c>
      <c r="I583" s="13" t="str">
        <f t="shared" si="62"/>
        <v/>
      </c>
    </row>
    <row r="584" spans="1:9" x14ac:dyDescent="0.2">
      <c r="A584" s="7" t="str">
        <f>IF($B584="","",575)</f>
        <v/>
      </c>
      <c r="B584" s="17" t="str">
        <f>IF(575&gt;NBskParty,"",INDEX(PkBskParty,575))</f>
        <v/>
      </c>
      <c r="C584" s="11" t="str">
        <f t="shared" si="56"/>
        <v/>
      </c>
      <c r="D584" s="9" t="str">
        <f t="shared" si="57"/>
        <v/>
      </c>
      <c r="E584" s="9" t="str">
        <f t="shared" si="58"/>
        <v/>
      </c>
      <c r="F584" s="9" t="str">
        <f t="shared" si="59"/>
        <v/>
      </c>
      <c r="G584" s="9" t="str">
        <f t="shared" si="60"/>
        <v/>
      </c>
      <c r="H584" s="10" t="str">
        <f t="shared" si="61"/>
        <v/>
      </c>
      <c r="I584" s="8" t="str">
        <f t="shared" si="62"/>
        <v/>
      </c>
    </row>
    <row r="585" spans="1:9" x14ac:dyDescent="0.2">
      <c r="A585" s="12" t="str">
        <f>IF($B585="","",576)</f>
        <v/>
      </c>
      <c r="B585" s="18" t="str">
        <f>IF(576&gt;NBskParty,"",INDEX(PkBskParty,576))</f>
        <v/>
      </c>
      <c r="C585" s="16" t="str">
        <f t="shared" si="56"/>
        <v/>
      </c>
      <c r="D585" s="14" t="str">
        <f t="shared" si="57"/>
        <v/>
      </c>
      <c r="E585" s="14" t="str">
        <f t="shared" si="58"/>
        <v/>
      </c>
      <c r="F585" s="14" t="str">
        <f t="shared" si="59"/>
        <v/>
      </c>
      <c r="G585" s="14" t="str">
        <f t="shared" si="60"/>
        <v/>
      </c>
      <c r="H585" s="15" t="str">
        <f t="shared" si="61"/>
        <v/>
      </c>
      <c r="I585" s="13" t="str">
        <f t="shared" si="62"/>
        <v/>
      </c>
    </row>
    <row r="586" spans="1:9" x14ac:dyDescent="0.2">
      <c r="A586" s="7" t="str">
        <f>IF($B586="","",577)</f>
        <v/>
      </c>
      <c r="B586" s="17" t="str">
        <f>IF(577&gt;NBskParty,"",INDEX(PkBskParty,577))</f>
        <v/>
      </c>
      <c r="C586" s="11" t="str">
        <f t="shared" ref="C586:C649" si="63">IF($B586="","",IFERROR(IF(VLOOKUP($B586,AcctTbl,4,0)="","(بدون نام)",VLOOKUP($B586,AcctTbl,4,0)),"—"))</f>
        <v/>
      </c>
      <c r="D586" s="9" t="str">
        <f t="shared" ref="D586:D649" si="64">IF($B586="","",SUMIF(CalcPartyA,$B586,CalcQtyA))</f>
        <v/>
      </c>
      <c r="E586" s="9" t="str">
        <f t="shared" ref="E586:E649" si="65">IF($B586="","",SUMIF(CalcPartyA,$B586,CalcAmtA))</f>
        <v/>
      </c>
      <c r="F586" s="9" t="str">
        <f t="shared" ref="F586:F649" si="66">IF($B586="","",SUMIF(CalcPartyB,$B586,CalcWitB))</f>
        <v/>
      </c>
      <c r="G586" s="9" t="str">
        <f t="shared" ref="G586:G649" si="67">IF($B586="","",SUMIF(CalcPartyB,$B586,CalcDepB))</f>
        <v/>
      </c>
      <c r="H586" s="10" t="str">
        <f t="shared" ref="H586:H649" si="68">IF($B586="","",$E586-$F586+$G586)</f>
        <v/>
      </c>
      <c r="I586" s="8" t="str">
        <f t="shared" ref="I586:I649" si="69">IF($B586="","",IF(ROUND($H586,0)&gt;0,"● بستانکار",IF(ROUND($H586,0)&lt;0,"● بدهکار","تسویه")))</f>
        <v/>
      </c>
    </row>
    <row r="587" spans="1:9" x14ac:dyDescent="0.2">
      <c r="A587" s="12" t="str">
        <f>IF($B587="","",578)</f>
        <v/>
      </c>
      <c r="B587" s="18" t="str">
        <f>IF(578&gt;NBskParty,"",INDEX(PkBskParty,578))</f>
        <v/>
      </c>
      <c r="C587" s="16" t="str">
        <f t="shared" si="63"/>
        <v/>
      </c>
      <c r="D587" s="14" t="str">
        <f t="shared" si="64"/>
        <v/>
      </c>
      <c r="E587" s="14" t="str">
        <f t="shared" si="65"/>
        <v/>
      </c>
      <c r="F587" s="14" t="str">
        <f t="shared" si="66"/>
        <v/>
      </c>
      <c r="G587" s="14" t="str">
        <f t="shared" si="67"/>
        <v/>
      </c>
      <c r="H587" s="15" t="str">
        <f t="shared" si="68"/>
        <v/>
      </c>
      <c r="I587" s="13" t="str">
        <f t="shared" si="69"/>
        <v/>
      </c>
    </row>
    <row r="588" spans="1:9" x14ac:dyDescent="0.2">
      <c r="A588" s="7" t="str">
        <f>IF($B588="","",579)</f>
        <v/>
      </c>
      <c r="B588" s="17" t="str">
        <f>IF(579&gt;NBskParty,"",INDEX(PkBskParty,579))</f>
        <v/>
      </c>
      <c r="C588" s="11" t="str">
        <f t="shared" si="63"/>
        <v/>
      </c>
      <c r="D588" s="9" t="str">
        <f t="shared" si="64"/>
        <v/>
      </c>
      <c r="E588" s="9" t="str">
        <f t="shared" si="65"/>
        <v/>
      </c>
      <c r="F588" s="9" t="str">
        <f t="shared" si="66"/>
        <v/>
      </c>
      <c r="G588" s="9" t="str">
        <f t="shared" si="67"/>
        <v/>
      </c>
      <c r="H588" s="10" t="str">
        <f t="shared" si="68"/>
        <v/>
      </c>
      <c r="I588" s="8" t="str">
        <f t="shared" si="69"/>
        <v/>
      </c>
    </row>
    <row r="589" spans="1:9" x14ac:dyDescent="0.2">
      <c r="A589" s="12" t="str">
        <f>IF($B589="","",580)</f>
        <v/>
      </c>
      <c r="B589" s="18" t="str">
        <f>IF(580&gt;NBskParty,"",INDEX(PkBskParty,580))</f>
        <v/>
      </c>
      <c r="C589" s="16" t="str">
        <f t="shared" si="63"/>
        <v/>
      </c>
      <c r="D589" s="14" t="str">
        <f t="shared" si="64"/>
        <v/>
      </c>
      <c r="E589" s="14" t="str">
        <f t="shared" si="65"/>
        <v/>
      </c>
      <c r="F589" s="14" t="str">
        <f t="shared" si="66"/>
        <v/>
      </c>
      <c r="G589" s="14" t="str">
        <f t="shared" si="67"/>
        <v/>
      </c>
      <c r="H589" s="15" t="str">
        <f t="shared" si="68"/>
        <v/>
      </c>
      <c r="I589" s="13" t="str">
        <f t="shared" si="69"/>
        <v/>
      </c>
    </row>
    <row r="590" spans="1:9" x14ac:dyDescent="0.2">
      <c r="A590" s="7" t="str">
        <f>IF($B590="","",581)</f>
        <v/>
      </c>
      <c r="B590" s="17" t="str">
        <f>IF(581&gt;NBskParty,"",INDEX(PkBskParty,581))</f>
        <v/>
      </c>
      <c r="C590" s="11" t="str">
        <f t="shared" si="63"/>
        <v/>
      </c>
      <c r="D590" s="9" t="str">
        <f t="shared" si="64"/>
        <v/>
      </c>
      <c r="E590" s="9" t="str">
        <f t="shared" si="65"/>
        <v/>
      </c>
      <c r="F590" s="9" t="str">
        <f t="shared" si="66"/>
        <v/>
      </c>
      <c r="G590" s="9" t="str">
        <f t="shared" si="67"/>
        <v/>
      </c>
      <c r="H590" s="10" t="str">
        <f t="shared" si="68"/>
        <v/>
      </c>
      <c r="I590" s="8" t="str">
        <f t="shared" si="69"/>
        <v/>
      </c>
    </row>
    <row r="591" spans="1:9" x14ac:dyDescent="0.2">
      <c r="A591" s="12" t="str">
        <f>IF($B591="","",582)</f>
        <v/>
      </c>
      <c r="B591" s="18" t="str">
        <f>IF(582&gt;NBskParty,"",INDEX(PkBskParty,582))</f>
        <v/>
      </c>
      <c r="C591" s="16" t="str">
        <f t="shared" si="63"/>
        <v/>
      </c>
      <c r="D591" s="14" t="str">
        <f t="shared" si="64"/>
        <v/>
      </c>
      <c r="E591" s="14" t="str">
        <f t="shared" si="65"/>
        <v/>
      </c>
      <c r="F591" s="14" t="str">
        <f t="shared" si="66"/>
        <v/>
      </c>
      <c r="G591" s="14" t="str">
        <f t="shared" si="67"/>
        <v/>
      </c>
      <c r="H591" s="15" t="str">
        <f t="shared" si="68"/>
        <v/>
      </c>
      <c r="I591" s="13" t="str">
        <f t="shared" si="69"/>
        <v/>
      </c>
    </row>
    <row r="592" spans="1:9" x14ac:dyDescent="0.2">
      <c r="A592" s="7" t="str">
        <f>IF($B592="","",583)</f>
        <v/>
      </c>
      <c r="B592" s="17" t="str">
        <f>IF(583&gt;NBskParty,"",INDEX(PkBskParty,583))</f>
        <v/>
      </c>
      <c r="C592" s="11" t="str">
        <f t="shared" si="63"/>
        <v/>
      </c>
      <c r="D592" s="9" t="str">
        <f t="shared" si="64"/>
        <v/>
      </c>
      <c r="E592" s="9" t="str">
        <f t="shared" si="65"/>
        <v/>
      </c>
      <c r="F592" s="9" t="str">
        <f t="shared" si="66"/>
        <v/>
      </c>
      <c r="G592" s="9" t="str">
        <f t="shared" si="67"/>
        <v/>
      </c>
      <c r="H592" s="10" t="str">
        <f t="shared" si="68"/>
        <v/>
      </c>
      <c r="I592" s="8" t="str">
        <f t="shared" si="69"/>
        <v/>
      </c>
    </row>
    <row r="593" spans="1:9" x14ac:dyDescent="0.2">
      <c r="A593" s="12" t="str">
        <f>IF($B593="","",584)</f>
        <v/>
      </c>
      <c r="B593" s="18" t="str">
        <f>IF(584&gt;NBskParty,"",INDEX(PkBskParty,584))</f>
        <v/>
      </c>
      <c r="C593" s="16" t="str">
        <f t="shared" si="63"/>
        <v/>
      </c>
      <c r="D593" s="14" t="str">
        <f t="shared" si="64"/>
        <v/>
      </c>
      <c r="E593" s="14" t="str">
        <f t="shared" si="65"/>
        <v/>
      </c>
      <c r="F593" s="14" t="str">
        <f t="shared" si="66"/>
        <v/>
      </c>
      <c r="G593" s="14" t="str">
        <f t="shared" si="67"/>
        <v/>
      </c>
      <c r="H593" s="15" t="str">
        <f t="shared" si="68"/>
        <v/>
      </c>
      <c r="I593" s="13" t="str">
        <f t="shared" si="69"/>
        <v/>
      </c>
    </row>
    <row r="594" spans="1:9" x14ac:dyDescent="0.2">
      <c r="A594" s="7" t="str">
        <f>IF($B594="","",585)</f>
        <v/>
      </c>
      <c r="B594" s="17" t="str">
        <f>IF(585&gt;NBskParty,"",INDEX(PkBskParty,585))</f>
        <v/>
      </c>
      <c r="C594" s="11" t="str">
        <f t="shared" si="63"/>
        <v/>
      </c>
      <c r="D594" s="9" t="str">
        <f t="shared" si="64"/>
        <v/>
      </c>
      <c r="E594" s="9" t="str">
        <f t="shared" si="65"/>
        <v/>
      </c>
      <c r="F594" s="9" t="str">
        <f t="shared" si="66"/>
        <v/>
      </c>
      <c r="G594" s="9" t="str">
        <f t="shared" si="67"/>
        <v/>
      </c>
      <c r="H594" s="10" t="str">
        <f t="shared" si="68"/>
        <v/>
      </c>
      <c r="I594" s="8" t="str">
        <f t="shared" si="69"/>
        <v/>
      </c>
    </row>
    <row r="595" spans="1:9" x14ac:dyDescent="0.2">
      <c r="A595" s="12" t="str">
        <f>IF($B595="","",586)</f>
        <v/>
      </c>
      <c r="B595" s="18" t="str">
        <f>IF(586&gt;NBskParty,"",INDEX(PkBskParty,586))</f>
        <v/>
      </c>
      <c r="C595" s="16" t="str">
        <f t="shared" si="63"/>
        <v/>
      </c>
      <c r="D595" s="14" t="str">
        <f t="shared" si="64"/>
        <v/>
      </c>
      <c r="E595" s="14" t="str">
        <f t="shared" si="65"/>
        <v/>
      </c>
      <c r="F595" s="14" t="str">
        <f t="shared" si="66"/>
        <v/>
      </c>
      <c r="G595" s="14" t="str">
        <f t="shared" si="67"/>
        <v/>
      </c>
      <c r="H595" s="15" t="str">
        <f t="shared" si="68"/>
        <v/>
      </c>
      <c r="I595" s="13" t="str">
        <f t="shared" si="69"/>
        <v/>
      </c>
    </row>
    <row r="596" spans="1:9" x14ac:dyDescent="0.2">
      <c r="A596" s="7" t="str">
        <f>IF($B596="","",587)</f>
        <v/>
      </c>
      <c r="B596" s="17" t="str">
        <f>IF(587&gt;NBskParty,"",INDEX(PkBskParty,587))</f>
        <v/>
      </c>
      <c r="C596" s="11" t="str">
        <f t="shared" si="63"/>
        <v/>
      </c>
      <c r="D596" s="9" t="str">
        <f t="shared" si="64"/>
        <v/>
      </c>
      <c r="E596" s="9" t="str">
        <f t="shared" si="65"/>
        <v/>
      </c>
      <c r="F596" s="9" t="str">
        <f t="shared" si="66"/>
        <v/>
      </c>
      <c r="G596" s="9" t="str">
        <f t="shared" si="67"/>
        <v/>
      </c>
      <c r="H596" s="10" t="str">
        <f t="shared" si="68"/>
        <v/>
      </c>
      <c r="I596" s="8" t="str">
        <f t="shared" si="69"/>
        <v/>
      </c>
    </row>
    <row r="597" spans="1:9" x14ac:dyDescent="0.2">
      <c r="A597" s="12" t="str">
        <f>IF($B597="","",588)</f>
        <v/>
      </c>
      <c r="B597" s="18" t="str">
        <f>IF(588&gt;NBskParty,"",INDEX(PkBskParty,588))</f>
        <v/>
      </c>
      <c r="C597" s="16" t="str">
        <f t="shared" si="63"/>
        <v/>
      </c>
      <c r="D597" s="14" t="str">
        <f t="shared" si="64"/>
        <v/>
      </c>
      <c r="E597" s="14" t="str">
        <f t="shared" si="65"/>
        <v/>
      </c>
      <c r="F597" s="14" t="str">
        <f t="shared" si="66"/>
        <v/>
      </c>
      <c r="G597" s="14" t="str">
        <f t="shared" si="67"/>
        <v/>
      </c>
      <c r="H597" s="15" t="str">
        <f t="shared" si="68"/>
        <v/>
      </c>
      <c r="I597" s="13" t="str">
        <f t="shared" si="69"/>
        <v/>
      </c>
    </row>
    <row r="598" spans="1:9" x14ac:dyDescent="0.2">
      <c r="A598" s="7" t="str">
        <f>IF($B598="","",589)</f>
        <v/>
      </c>
      <c r="B598" s="17" t="str">
        <f>IF(589&gt;NBskParty,"",INDEX(PkBskParty,589))</f>
        <v/>
      </c>
      <c r="C598" s="11" t="str">
        <f t="shared" si="63"/>
        <v/>
      </c>
      <c r="D598" s="9" t="str">
        <f t="shared" si="64"/>
        <v/>
      </c>
      <c r="E598" s="9" t="str">
        <f t="shared" si="65"/>
        <v/>
      </c>
      <c r="F598" s="9" t="str">
        <f t="shared" si="66"/>
        <v/>
      </c>
      <c r="G598" s="9" t="str">
        <f t="shared" si="67"/>
        <v/>
      </c>
      <c r="H598" s="10" t="str">
        <f t="shared" si="68"/>
        <v/>
      </c>
      <c r="I598" s="8" t="str">
        <f t="shared" si="69"/>
        <v/>
      </c>
    </row>
    <row r="599" spans="1:9" x14ac:dyDescent="0.2">
      <c r="A599" s="12" t="str">
        <f>IF($B599="","",590)</f>
        <v/>
      </c>
      <c r="B599" s="18" t="str">
        <f>IF(590&gt;NBskParty,"",INDEX(PkBskParty,590))</f>
        <v/>
      </c>
      <c r="C599" s="16" t="str">
        <f t="shared" si="63"/>
        <v/>
      </c>
      <c r="D599" s="14" t="str">
        <f t="shared" si="64"/>
        <v/>
      </c>
      <c r="E599" s="14" t="str">
        <f t="shared" si="65"/>
        <v/>
      </c>
      <c r="F599" s="14" t="str">
        <f t="shared" si="66"/>
        <v/>
      </c>
      <c r="G599" s="14" t="str">
        <f t="shared" si="67"/>
        <v/>
      </c>
      <c r="H599" s="15" t="str">
        <f t="shared" si="68"/>
        <v/>
      </c>
      <c r="I599" s="13" t="str">
        <f t="shared" si="69"/>
        <v/>
      </c>
    </row>
    <row r="600" spans="1:9" x14ac:dyDescent="0.2">
      <c r="A600" s="7" t="str">
        <f>IF($B600="","",591)</f>
        <v/>
      </c>
      <c r="B600" s="17" t="str">
        <f>IF(591&gt;NBskParty,"",INDEX(PkBskParty,591))</f>
        <v/>
      </c>
      <c r="C600" s="11" t="str">
        <f t="shared" si="63"/>
        <v/>
      </c>
      <c r="D600" s="9" t="str">
        <f t="shared" si="64"/>
        <v/>
      </c>
      <c r="E600" s="9" t="str">
        <f t="shared" si="65"/>
        <v/>
      </c>
      <c r="F600" s="9" t="str">
        <f t="shared" si="66"/>
        <v/>
      </c>
      <c r="G600" s="9" t="str">
        <f t="shared" si="67"/>
        <v/>
      </c>
      <c r="H600" s="10" t="str">
        <f t="shared" si="68"/>
        <v/>
      </c>
      <c r="I600" s="8" t="str">
        <f t="shared" si="69"/>
        <v/>
      </c>
    </row>
    <row r="601" spans="1:9" x14ac:dyDescent="0.2">
      <c r="A601" s="12" t="str">
        <f>IF($B601="","",592)</f>
        <v/>
      </c>
      <c r="B601" s="18" t="str">
        <f>IF(592&gt;NBskParty,"",INDEX(PkBskParty,592))</f>
        <v/>
      </c>
      <c r="C601" s="16" t="str">
        <f t="shared" si="63"/>
        <v/>
      </c>
      <c r="D601" s="14" t="str">
        <f t="shared" si="64"/>
        <v/>
      </c>
      <c r="E601" s="14" t="str">
        <f t="shared" si="65"/>
        <v/>
      </c>
      <c r="F601" s="14" t="str">
        <f t="shared" si="66"/>
        <v/>
      </c>
      <c r="G601" s="14" t="str">
        <f t="shared" si="67"/>
        <v/>
      </c>
      <c r="H601" s="15" t="str">
        <f t="shared" si="68"/>
        <v/>
      </c>
      <c r="I601" s="13" t="str">
        <f t="shared" si="69"/>
        <v/>
      </c>
    </row>
    <row r="602" spans="1:9" x14ac:dyDescent="0.2">
      <c r="A602" s="7" t="str">
        <f>IF($B602="","",593)</f>
        <v/>
      </c>
      <c r="B602" s="17" t="str">
        <f>IF(593&gt;NBskParty,"",INDEX(PkBskParty,593))</f>
        <v/>
      </c>
      <c r="C602" s="11" t="str">
        <f t="shared" si="63"/>
        <v/>
      </c>
      <c r="D602" s="9" t="str">
        <f t="shared" si="64"/>
        <v/>
      </c>
      <c r="E602" s="9" t="str">
        <f t="shared" si="65"/>
        <v/>
      </c>
      <c r="F602" s="9" t="str">
        <f t="shared" si="66"/>
        <v/>
      </c>
      <c r="G602" s="9" t="str">
        <f t="shared" si="67"/>
        <v/>
      </c>
      <c r="H602" s="10" t="str">
        <f t="shared" si="68"/>
        <v/>
      </c>
      <c r="I602" s="8" t="str">
        <f t="shared" si="69"/>
        <v/>
      </c>
    </row>
    <row r="603" spans="1:9" x14ac:dyDescent="0.2">
      <c r="A603" s="12" t="str">
        <f>IF($B603="","",594)</f>
        <v/>
      </c>
      <c r="B603" s="18" t="str">
        <f>IF(594&gt;NBskParty,"",INDEX(PkBskParty,594))</f>
        <v/>
      </c>
      <c r="C603" s="16" t="str">
        <f t="shared" si="63"/>
        <v/>
      </c>
      <c r="D603" s="14" t="str">
        <f t="shared" si="64"/>
        <v/>
      </c>
      <c r="E603" s="14" t="str">
        <f t="shared" si="65"/>
        <v/>
      </c>
      <c r="F603" s="14" t="str">
        <f t="shared" si="66"/>
        <v/>
      </c>
      <c r="G603" s="14" t="str">
        <f t="shared" si="67"/>
        <v/>
      </c>
      <c r="H603" s="15" t="str">
        <f t="shared" si="68"/>
        <v/>
      </c>
      <c r="I603" s="13" t="str">
        <f t="shared" si="69"/>
        <v/>
      </c>
    </row>
    <row r="604" spans="1:9" x14ac:dyDescent="0.2">
      <c r="A604" s="7" t="str">
        <f>IF($B604="","",595)</f>
        <v/>
      </c>
      <c r="B604" s="17" t="str">
        <f>IF(595&gt;NBskParty,"",INDEX(PkBskParty,595))</f>
        <v/>
      </c>
      <c r="C604" s="11" t="str">
        <f t="shared" si="63"/>
        <v/>
      </c>
      <c r="D604" s="9" t="str">
        <f t="shared" si="64"/>
        <v/>
      </c>
      <c r="E604" s="9" t="str">
        <f t="shared" si="65"/>
        <v/>
      </c>
      <c r="F604" s="9" t="str">
        <f t="shared" si="66"/>
        <v/>
      </c>
      <c r="G604" s="9" t="str">
        <f t="shared" si="67"/>
        <v/>
      </c>
      <c r="H604" s="10" t="str">
        <f t="shared" si="68"/>
        <v/>
      </c>
      <c r="I604" s="8" t="str">
        <f t="shared" si="69"/>
        <v/>
      </c>
    </row>
    <row r="605" spans="1:9" x14ac:dyDescent="0.2">
      <c r="A605" s="12" t="str">
        <f>IF($B605="","",596)</f>
        <v/>
      </c>
      <c r="B605" s="18" t="str">
        <f>IF(596&gt;NBskParty,"",INDEX(PkBskParty,596))</f>
        <v/>
      </c>
      <c r="C605" s="16" t="str">
        <f t="shared" si="63"/>
        <v/>
      </c>
      <c r="D605" s="14" t="str">
        <f t="shared" si="64"/>
        <v/>
      </c>
      <c r="E605" s="14" t="str">
        <f t="shared" si="65"/>
        <v/>
      </c>
      <c r="F605" s="14" t="str">
        <f t="shared" si="66"/>
        <v/>
      </c>
      <c r="G605" s="14" t="str">
        <f t="shared" si="67"/>
        <v/>
      </c>
      <c r="H605" s="15" t="str">
        <f t="shared" si="68"/>
        <v/>
      </c>
      <c r="I605" s="13" t="str">
        <f t="shared" si="69"/>
        <v/>
      </c>
    </row>
    <row r="606" spans="1:9" x14ac:dyDescent="0.2">
      <c r="A606" s="7" t="str">
        <f>IF($B606="","",597)</f>
        <v/>
      </c>
      <c r="B606" s="17" t="str">
        <f>IF(597&gt;NBskParty,"",INDEX(PkBskParty,597))</f>
        <v/>
      </c>
      <c r="C606" s="11" t="str">
        <f t="shared" si="63"/>
        <v/>
      </c>
      <c r="D606" s="9" t="str">
        <f t="shared" si="64"/>
        <v/>
      </c>
      <c r="E606" s="9" t="str">
        <f t="shared" si="65"/>
        <v/>
      </c>
      <c r="F606" s="9" t="str">
        <f t="shared" si="66"/>
        <v/>
      </c>
      <c r="G606" s="9" t="str">
        <f t="shared" si="67"/>
        <v/>
      </c>
      <c r="H606" s="10" t="str">
        <f t="shared" si="68"/>
        <v/>
      </c>
      <c r="I606" s="8" t="str">
        <f t="shared" si="69"/>
        <v/>
      </c>
    </row>
    <row r="607" spans="1:9" x14ac:dyDescent="0.2">
      <c r="A607" s="12" t="str">
        <f>IF($B607="","",598)</f>
        <v/>
      </c>
      <c r="B607" s="18" t="str">
        <f>IF(598&gt;NBskParty,"",INDEX(PkBskParty,598))</f>
        <v/>
      </c>
      <c r="C607" s="16" t="str">
        <f t="shared" si="63"/>
        <v/>
      </c>
      <c r="D607" s="14" t="str">
        <f t="shared" si="64"/>
        <v/>
      </c>
      <c r="E607" s="14" t="str">
        <f t="shared" si="65"/>
        <v/>
      </c>
      <c r="F607" s="14" t="str">
        <f t="shared" si="66"/>
        <v/>
      </c>
      <c r="G607" s="14" t="str">
        <f t="shared" si="67"/>
        <v/>
      </c>
      <c r="H607" s="15" t="str">
        <f t="shared" si="68"/>
        <v/>
      </c>
      <c r="I607" s="13" t="str">
        <f t="shared" si="69"/>
        <v/>
      </c>
    </row>
    <row r="608" spans="1:9" x14ac:dyDescent="0.2">
      <c r="A608" s="7" t="str">
        <f>IF($B608="","",599)</f>
        <v/>
      </c>
      <c r="B608" s="17" t="str">
        <f>IF(599&gt;NBskParty,"",INDEX(PkBskParty,599))</f>
        <v/>
      </c>
      <c r="C608" s="11" t="str">
        <f t="shared" si="63"/>
        <v/>
      </c>
      <c r="D608" s="9" t="str">
        <f t="shared" si="64"/>
        <v/>
      </c>
      <c r="E608" s="9" t="str">
        <f t="shared" si="65"/>
        <v/>
      </c>
      <c r="F608" s="9" t="str">
        <f t="shared" si="66"/>
        <v/>
      </c>
      <c r="G608" s="9" t="str">
        <f t="shared" si="67"/>
        <v/>
      </c>
      <c r="H608" s="10" t="str">
        <f t="shared" si="68"/>
        <v/>
      </c>
      <c r="I608" s="8" t="str">
        <f t="shared" si="69"/>
        <v/>
      </c>
    </row>
    <row r="609" spans="1:9" x14ac:dyDescent="0.2">
      <c r="A609" s="12" t="str">
        <f>IF($B609="","",600)</f>
        <v/>
      </c>
      <c r="B609" s="18" t="str">
        <f>IF(600&gt;NBskParty,"",INDEX(PkBskParty,600))</f>
        <v/>
      </c>
      <c r="C609" s="16" t="str">
        <f t="shared" si="63"/>
        <v/>
      </c>
      <c r="D609" s="14" t="str">
        <f t="shared" si="64"/>
        <v/>
      </c>
      <c r="E609" s="14" t="str">
        <f t="shared" si="65"/>
        <v/>
      </c>
      <c r="F609" s="14" t="str">
        <f t="shared" si="66"/>
        <v/>
      </c>
      <c r="G609" s="14" t="str">
        <f t="shared" si="67"/>
        <v/>
      </c>
      <c r="H609" s="15" t="str">
        <f t="shared" si="68"/>
        <v/>
      </c>
      <c r="I609" s="13" t="str">
        <f t="shared" si="69"/>
        <v/>
      </c>
    </row>
    <row r="610" spans="1:9" x14ac:dyDescent="0.2">
      <c r="A610" s="7" t="str">
        <f>IF($B610="","",601)</f>
        <v/>
      </c>
      <c r="B610" s="17" t="str">
        <f>IF(601&gt;NBskParty,"",INDEX(PkBskParty,601))</f>
        <v/>
      </c>
      <c r="C610" s="11" t="str">
        <f t="shared" si="63"/>
        <v/>
      </c>
      <c r="D610" s="9" t="str">
        <f t="shared" si="64"/>
        <v/>
      </c>
      <c r="E610" s="9" t="str">
        <f t="shared" si="65"/>
        <v/>
      </c>
      <c r="F610" s="9" t="str">
        <f t="shared" si="66"/>
        <v/>
      </c>
      <c r="G610" s="9" t="str">
        <f t="shared" si="67"/>
        <v/>
      </c>
      <c r="H610" s="10" t="str">
        <f t="shared" si="68"/>
        <v/>
      </c>
      <c r="I610" s="8" t="str">
        <f t="shared" si="69"/>
        <v/>
      </c>
    </row>
    <row r="611" spans="1:9" x14ac:dyDescent="0.2">
      <c r="A611" s="12" t="str">
        <f>IF($B611="","",602)</f>
        <v/>
      </c>
      <c r="B611" s="18" t="str">
        <f>IF(602&gt;NBskParty,"",INDEX(PkBskParty,602))</f>
        <v/>
      </c>
      <c r="C611" s="16" t="str">
        <f t="shared" si="63"/>
        <v/>
      </c>
      <c r="D611" s="14" t="str">
        <f t="shared" si="64"/>
        <v/>
      </c>
      <c r="E611" s="14" t="str">
        <f t="shared" si="65"/>
        <v/>
      </c>
      <c r="F611" s="14" t="str">
        <f t="shared" si="66"/>
        <v/>
      </c>
      <c r="G611" s="14" t="str">
        <f t="shared" si="67"/>
        <v/>
      </c>
      <c r="H611" s="15" t="str">
        <f t="shared" si="68"/>
        <v/>
      </c>
      <c r="I611" s="13" t="str">
        <f t="shared" si="69"/>
        <v/>
      </c>
    </row>
    <row r="612" spans="1:9" x14ac:dyDescent="0.2">
      <c r="A612" s="7" t="str">
        <f>IF($B612="","",603)</f>
        <v/>
      </c>
      <c r="B612" s="17" t="str">
        <f>IF(603&gt;NBskParty,"",INDEX(PkBskParty,603))</f>
        <v/>
      </c>
      <c r="C612" s="11" t="str">
        <f t="shared" si="63"/>
        <v/>
      </c>
      <c r="D612" s="9" t="str">
        <f t="shared" si="64"/>
        <v/>
      </c>
      <c r="E612" s="9" t="str">
        <f t="shared" si="65"/>
        <v/>
      </c>
      <c r="F612" s="9" t="str">
        <f t="shared" si="66"/>
        <v/>
      </c>
      <c r="G612" s="9" t="str">
        <f t="shared" si="67"/>
        <v/>
      </c>
      <c r="H612" s="10" t="str">
        <f t="shared" si="68"/>
        <v/>
      </c>
      <c r="I612" s="8" t="str">
        <f t="shared" si="69"/>
        <v/>
      </c>
    </row>
    <row r="613" spans="1:9" x14ac:dyDescent="0.2">
      <c r="A613" s="12" t="str">
        <f>IF($B613="","",604)</f>
        <v/>
      </c>
      <c r="B613" s="18" t="str">
        <f>IF(604&gt;NBskParty,"",INDEX(PkBskParty,604))</f>
        <v/>
      </c>
      <c r="C613" s="16" t="str">
        <f t="shared" si="63"/>
        <v/>
      </c>
      <c r="D613" s="14" t="str">
        <f t="shared" si="64"/>
        <v/>
      </c>
      <c r="E613" s="14" t="str">
        <f t="shared" si="65"/>
        <v/>
      </c>
      <c r="F613" s="14" t="str">
        <f t="shared" si="66"/>
        <v/>
      </c>
      <c r="G613" s="14" t="str">
        <f t="shared" si="67"/>
        <v/>
      </c>
      <c r="H613" s="15" t="str">
        <f t="shared" si="68"/>
        <v/>
      </c>
      <c r="I613" s="13" t="str">
        <f t="shared" si="69"/>
        <v/>
      </c>
    </row>
    <row r="614" spans="1:9" x14ac:dyDescent="0.2">
      <c r="A614" s="7" t="str">
        <f>IF($B614="","",605)</f>
        <v/>
      </c>
      <c r="B614" s="17" t="str">
        <f>IF(605&gt;NBskParty,"",INDEX(PkBskParty,605))</f>
        <v/>
      </c>
      <c r="C614" s="11" t="str">
        <f t="shared" si="63"/>
        <v/>
      </c>
      <c r="D614" s="9" t="str">
        <f t="shared" si="64"/>
        <v/>
      </c>
      <c r="E614" s="9" t="str">
        <f t="shared" si="65"/>
        <v/>
      </c>
      <c r="F614" s="9" t="str">
        <f t="shared" si="66"/>
        <v/>
      </c>
      <c r="G614" s="9" t="str">
        <f t="shared" si="67"/>
        <v/>
      </c>
      <c r="H614" s="10" t="str">
        <f t="shared" si="68"/>
        <v/>
      </c>
      <c r="I614" s="8" t="str">
        <f t="shared" si="69"/>
        <v/>
      </c>
    </row>
    <row r="615" spans="1:9" x14ac:dyDescent="0.2">
      <c r="A615" s="12" t="str">
        <f>IF($B615="","",606)</f>
        <v/>
      </c>
      <c r="B615" s="18" t="str">
        <f>IF(606&gt;NBskParty,"",INDEX(PkBskParty,606))</f>
        <v/>
      </c>
      <c r="C615" s="16" t="str">
        <f t="shared" si="63"/>
        <v/>
      </c>
      <c r="D615" s="14" t="str">
        <f t="shared" si="64"/>
        <v/>
      </c>
      <c r="E615" s="14" t="str">
        <f t="shared" si="65"/>
        <v/>
      </c>
      <c r="F615" s="14" t="str">
        <f t="shared" si="66"/>
        <v/>
      </c>
      <c r="G615" s="14" t="str">
        <f t="shared" si="67"/>
        <v/>
      </c>
      <c r="H615" s="15" t="str">
        <f t="shared" si="68"/>
        <v/>
      </c>
      <c r="I615" s="13" t="str">
        <f t="shared" si="69"/>
        <v/>
      </c>
    </row>
    <row r="616" spans="1:9" x14ac:dyDescent="0.2">
      <c r="A616" s="7" t="str">
        <f>IF($B616="","",607)</f>
        <v/>
      </c>
      <c r="B616" s="17" t="str">
        <f>IF(607&gt;NBskParty,"",INDEX(PkBskParty,607))</f>
        <v/>
      </c>
      <c r="C616" s="11" t="str">
        <f t="shared" si="63"/>
        <v/>
      </c>
      <c r="D616" s="9" t="str">
        <f t="shared" si="64"/>
        <v/>
      </c>
      <c r="E616" s="9" t="str">
        <f t="shared" si="65"/>
        <v/>
      </c>
      <c r="F616" s="9" t="str">
        <f t="shared" si="66"/>
        <v/>
      </c>
      <c r="G616" s="9" t="str">
        <f t="shared" si="67"/>
        <v/>
      </c>
      <c r="H616" s="10" t="str">
        <f t="shared" si="68"/>
        <v/>
      </c>
      <c r="I616" s="8" t="str">
        <f t="shared" si="69"/>
        <v/>
      </c>
    </row>
    <row r="617" spans="1:9" x14ac:dyDescent="0.2">
      <c r="A617" s="12" t="str">
        <f>IF($B617="","",608)</f>
        <v/>
      </c>
      <c r="B617" s="18" t="str">
        <f>IF(608&gt;NBskParty,"",INDEX(PkBskParty,608))</f>
        <v/>
      </c>
      <c r="C617" s="16" t="str">
        <f t="shared" si="63"/>
        <v/>
      </c>
      <c r="D617" s="14" t="str">
        <f t="shared" si="64"/>
        <v/>
      </c>
      <c r="E617" s="14" t="str">
        <f t="shared" si="65"/>
        <v/>
      </c>
      <c r="F617" s="14" t="str">
        <f t="shared" si="66"/>
        <v/>
      </c>
      <c r="G617" s="14" t="str">
        <f t="shared" si="67"/>
        <v/>
      </c>
      <c r="H617" s="15" t="str">
        <f t="shared" si="68"/>
        <v/>
      </c>
      <c r="I617" s="13" t="str">
        <f t="shared" si="69"/>
        <v/>
      </c>
    </row>
    <row r="618" spans="1:9" x14ac:dyDescent="0.2">
      <c r="A618" s="7" t="str">
        <f>IF($B618="","",609)</f>
        <v/>
      </c>
      <c r="B618" s="17" t="str">
        <f>IF(609&gt;NBskParty,"",INDEX(PkBskParty,609))</f>
        <v/>
      </c>
      <c r="C618" s="11" t="str">
        <f t="shared" si="63"/>
        <v/>
      </c>
      <c r="D618" s="9" t="str">
        <f t="shared" si="64"/>
        <v/>
      </c>
      <c r="E618" s="9" t="str">
        <f t="shared" si="65"/>
        <v/>
      </c>
      <c r="F618" s="9" t="str">
        <f t="shared" si="66"/>
        <v/>
      </c>
      <c r="G618" s="9" t="str">
        <f t="shared" si="67"/>
        <v/>
      </c>
      <c r="H618" s="10" t="str">
        <f t="shared" si="68"/>
        <v/>
      </c>
      <c r="I618" s="8" t="str">
        <f t="shared" si="69"/>
        <v/>
      </c>
    </row>
    <row r="619" spans="1:9" x14ac:dyDescent="0.2">
      <c r="A619" s="12" t="str">
        <f>IF($B619="","",610)</f>
        <v/>
      </c>
      <c r="B619" s="18" t="str">
        <f>IF(610&gt;NBskParty,"",INDEX(PkBskParty,610))</f>
        <v/>
      </c>
      <c r="C619" s="16" t="str">
        <f t="shared" si="63"/>
        <v/>
      </c>
      <c r="D619" s="14" t="str">
        <f t="shared" si="64"/>
        <v/>
      </c>
      <c r="E619" s="14" t="str">
        <f t="shared" si="65"/>
        <v/>
      </c>
      <c r="F619" s="14" t="str">
        <f t="shared" si="66"/>
        <v/>
      </c>
      <c r="G619" s="14" t="str">
        <f t="shared" si="67"/>
        <v/>
      </c>
      <c r="H619" s="15" t="str">
        <f t="shared" si="68"/>
        <v/>
      </c>
      <c r="I619" s="13" t="str">
        <f t="shared" si="69"/>
        <v/>
      </c>
    </row>
    <row r="620" spans="1:9" x14ac:dyDescent="0.2">
      <c r="A620" s="7" t="str">
        <f>IF($B620="","",611)</f>
        <v/>
      </c>
      <c r="B620" s="17" t="str">
        <f>IF(611&gt;NBskParty,"",INDEX(PkBskParty,611))</f>
        <v/>
      </c>
      <c r="C620" s="11" t="str">
        <f t="shared" si="63"/>
        <v/>
      </c>
      <c r="D620" s="9" t="str">
        <f t="shared" si="64"/>
        <v/>
      </c>
      <c r="E620" s="9" t="str">
        <f t="shared" si="65"/>
        <v/>
      </c>
      <c r="F620" s="9" t="str">
        <f t="shared" si="66"/>
        <v/>
      </c>
      <c r="G620" s="9" t="str">
        <f t="shared" si="67"/>
        <v/>
      </c>
      <c r="H620" s="10" t="str">
        <f t="shared" si="68"/>
        <v/>
      </c>
      <c r="I620" s="8" t="str">
        <f t="shared" si="69"/>
        <v/>
      </c>
    </row>
    <row r="621" spans="1:9" x14ac:dyDescent="0.2">
      <c r="A621" s="12" t="str">
        <f>IF($B621="","",612)</f>
        <v/>
      </c>
      <c r="B621" s="18" t="str">
        <f>IF(612&gt;NBskParty,"",INDEX(PkBskParty,612))</f>
        <v/>
      </c>
      <c r="C621" s="16" t="str">
        <f t="shared" si="63"/>
        <v/>
      </c>
      <c r="D621" s="14" t="str">
        <f t="shared" si="64"/>
        <v/>
      </c>
      <c r="E621" s="14" t="str">
        <f t="shared" si="65"/>
        <v/>
      </c>
      <c r="F621" s="14" t="str">
        <f t="shared" si="66"/>
        <v/>
      </c>
      <c r="G621" s="14" t="str">
        <f t="shared" si="67"/>
        <v/>
      </c>
      <c r="H621" s="15" t="str">
        <f t="shared" si="68"/>
        <v/>
      </c>
      <c r="I621" s="13" t="str">
        <f t="shared" si="69"/>
        <v/>
      </c>
    </row>
    <row r="622" spans="1:9" x14ac:dyDescent="0.2">
      <c r="A622" s="7" t="str">
        <f>IF($B622="","",613)</f>
        <v/>
      </c>
      <c r="B622" s="17" t="str">
        <f>IF(613&gt;NBskParty,"",INDEX(PkBskParty,613))</f>
        <v/>
      </c>
      <c r="C622" s="11" t="str">
        <f t="shared" si="63"/>
        <v/>
      </c>
      <c r="D622" s="9" t="str">
        <f t="shared" si="64"/>
        <v/>
      </c>
      <c r="E622" s="9" t="str">
        <f t="shared" si="65"/>
        <v/>
      </c>
      <c r="F622" s="9" t="str">
        <f t="shared" si="66"/>
        <v/>
      </c>
      <c r="G622" s="9" t="str">
        <f t="shared" si="67"/>
        <v/>
      </c>
      <c r="H622" s="10" t="str">
        <f t="shared" si="68"/>
        <v/>
      </c>
      <c r="I622" s="8" t="str">
        <f t="shared" si="69"/>
        <v/>
      </c>
    </row>
    <row r="623" spans="1:9" x14ac:dyDescent="0.2">
      <c r="A623" s="12" t="str">
        <f>IF($B623="","",614)</f>
        <v/>
      </c>
      <c r="B623" s="18" t="str">
        <f>IF(614&gt;NBskParty,"",INDEX(PkBskParty,614))</f>
        <v/>
      </c>
      <c r="C623" s="16" t="str">
        <f t="shared" si="63"/>
        <v/>
      </c>
      <c r="D623" s="14" t="str">
        <f t="shared" si="64"/>
        <v/>
      </c>
      <c r="E623" s="14" t="str">
        <f t="shared" si="65"/>
        <v/>
      </c>
      <c r="F623" s="14" t="str">
        <f t="shared" si="66"/>
        <v/>
      </c>
      <c r="G623" s="14" t="str">
        <f t="shared" si="67"/>
        <v/>
      </c>
      <c r="H623" s="15" t="str">
        <f t="shared" si="68"/>
        <v/>
      </c>
      <c r="I623" s="13" t="str">
        <f t="shared" si="69"/>
        <v/>
      </c>
    </row>
    <row r="624" spans="1:9" x14ac:dyDescent="0.2">
      <c r="A624" s="7" t="str">
        <f>IF($B624="","",615)</f>
        <v/>
      </c>
      <c r="B624" s="17" t="str">
        <f>IF(615&gt;NBskParty,"",INDEX(PkBskParty,615))</f>
        <v/>
      </c>
      <c r="C624" s="11" t="str">
        <f t="shared" si="63"/>
        <v/>
      </c>
      <c r="D624" s="9" t="str">
        <f t="shared" si="64"/>
        <v/>
      </c>
      <c r="E624" s="9" t="str">
        <f t="shared" si="65"/>
        <v/>
      </c>
      <c r="F624" s="9" t="str">
        <f t="shared" si="66"/>
        <v/>
      </c>
      <c r="G624" s="9" t="str">
        <f t="shared" si="67"/>
        <v/>
      </c>
      <c r="H624" s="10" t="str">
        <f t="shared" si="68"/>
        <v/>
      </c>
      <c r="I624" s="8" t="str">
        <f t="shared" si="69"/>
        <v/>
      </c>
    </row>
    <row r="625" spans="1:9" x14ac:dyDescent="0.2">
      <c r="A625" s="12" t="str">
        <f>IF($B625="","",616)</f>
        <v/>
      </c>
      <c r="B625" s="18" t="str">
        <f>IF(616&gt;NBskParty,"",INDEX(PkBskParty,616))</f>
        <v/>
      </c>
      <c r="C625" s="16" t="str">
        <f t="shared" si="63"/>
        <v/>
      </c>
      <c r="D625" s="14" t="str">
        <f t="shared" si="64"/>
        <v/>
      </c>
      <c r="E625" s="14" t="str">
        <f t="shared" si="65"/>
        <v/>
      </c>
      <c r="F625" s="14" t="str">
        <f t="shared" si="66"/>
        <v/>
      </c>
      <c r="G625" s="14" t="str">
        <f t="shared" si="67"/>
        <v/>
      </c>
      <c r="H625" s="15" t="str">
        <f t="shared" si="68"/>
        <v/>
      </c>
      <c r="I625" s="13" t="str">
        <f t="shared" si="69"/>
        <v/>
      </c>
    </row>
    <row r="626" spans="1:9" x14ac:dyDescent="0.2">
      <c r="A626" s="7" t="str">
        <f>IF($B626="","",617)</f>
        <v/>
      </c>
      <c r="B626" s="17" t="str">
        <f>IF(617&gt;NBskParty,"",INDEX(PkBskParty,617))</f>
        <v/>
      </c>
      <c r="C626" s="11" t="str">
        <f t="shared" si="63"/>
        <v/>
      </c>
      <c r="D626" s="9" t="str">
        <f t="shared" si="64"/>
        <v/>
      </c>
      <c r="E626" s="9" t="str">
        <f t="shared" si="65"/>
        <v/>
      </c>
      <c r="F626" s="9" t="str">
        <f t="shared" si="66"/>
        <v/>
      </c>
      <c r="G626" s="9" t="str">
        <f t="shared" si="67"/>
        <v/>
      </c>
      <c r="H626" s="10" t="str">
        <f t="shared" si="68"/>
        <v/>
      </c>
      <c r="I626" s="8" t="str">
        <f t="shared" si="69"/>
        <v/>
      </c>
    </row>
    <row r="627" spans="1:9" x14ac:dyDescent="0.2">
      <c r="A627" s="12" t="str">
        <f>IF($B627="","",618)</f>
        <v/>
      </c>
      <c r="B627" s="18" t="str">
        <f>IF(618&gt;NBskParty,"",INDEX(PkBskParty,618))</f>
        <v/>
      </c>
      <c r="C627" s="16" t="str">
        <f t="shared" si="63"/>
        <v/>
      </c>
      <c r="D627" s="14" t="str">
        <f t="shared" si="64"/>
        <v/>
      </c>
      <c r="E627" s="14" t="str">
        <f t="shared" si="65"/>
        <v/>
      </c>
      <c r="F627" s="14" t="str">
        <f t="shared" si="66"/>
        <v/>
      </c>
      <c r="G627" s="14" t="str">
        <f t="shared" si="67"/>
        <v/>
      </c>
      <c r="H627" s="15" t="str">
        <f t="shared" si="68"/>
        <v/>
      </c>
      <c r="I627" s="13" t="str">
        <f t="shared" si="69"/>
        <v/>
      </c>
    </row>
    <row r="628" spans="1:9" x14ac:dyDescent="0.2">
      <c r="A628" s="7" t="str">
        <f>IF($B628="","",619)</f>
        <v/>
      </c>
      <c r="B628" s="17" t="str">
        <f>IF(619&gt;NBskParty,"",INDEX(PkBskParty,619))</f>
        <v/>
      </c>
      <c r="C628" s="11" t="str">
        <f t="shared" si="63"/>
        <v/>
      </c>
      <c r="D628" s="9" t="str">
        <f t="shared" si="64"/>
        <v/>
      </c>
      <c r="E628" s="9" t="str">
        <f t="shared" si="65"/>
        <v/>
      </c>
      <c r="F628" s="9" t="str">
        <f t="shared" si="66"/>
        <v/>
      </c>
      <c r="G628" s="9" t="str">
        <f t="shared" si="67"/>
        <v/>
      </c>
      <c r="H628" s="10" t="str">
        <f t="shared" si="68"/>
        <v/>
      </c>
      <c r="I628" s="8" t="str">
        <f t="shared" si="69"/>
        <v/>
      </c>
    </row>
    <row r="629" spans="1:9" x14ac:dyDescent="0.2">
      <c r="A629" s="12" t="str">
        <f>IF($B629="","",620)</f>
        <v/>
      </c>
      <c r="B629" s="18" t="str">
        <f>IF(620&gt;NBskParty,"",INDEX(PkBskParty,620))</f>
        <v/>
      </c>
      <c r="C629" s="16" t="str">
        <f t="shared" si="63"/>
        <v/>
      </c>
      <c r="D629" s="14" t="str">
        <f t="shared" si="64"/>
        <v/>
      </c>
      <c r="E629" s="14" t="str">
        <f t="shared" si="65"/>
        <v/>
      </c>
      <c r="F629" s="14" t="str">
        <f t="shared" si="66"/>
        <v/>
      </c>
      <c r="G629" s="14" t="str">
        <f t="shared" si="67"/>
        <v/>
      </c>
      <c r="H629" s="15" t="str">
        <f t="shared" si="68"/>
        <v/>
      </c>
      <c r="I629" s="13" t="str">
        <f t="shared" si="69"/>
        <v/>
      </c>
    </row>
    <row r="630" spans="1:9" x14ac:dyDescent="0.2">
      <c r="A630" s="7" t="str">
        <f>IF($B630="","",621)</f>
        <v/>
      </c>
      <c r="B630" s="17" t="str">
        <f>IF(621&gt;NBskParty,"",INDEX(PkBskParty,621))</f>
        <v/>
      </c>
      <c r="C630" s="11" t="str">
        <f t="shared" si="63"/>
        <v/>
      </c>
      <c r="D630" s="9" t="str">
        <f t="shared" si="64"/>
        <v/>
      </c>
      <c r="E630" s="9" t="str">
        <f t="shared" si="65"/>
        <v/>
      </c>
      <c r="F630" s="9" t="str">
        <f t="shared" si="66"/>
        <v/>
      </c>
      <c r="G630" s="9" t="str">
        <f t="shared" si="67"/>
        <v/>
      </c>
      <c r="H630" s="10" t="str">
        <f t="shared" si="68"/>
        <v/>
      </c>
      <c r="I630" s="8" t="str">
        <f t="shared" si="69"/>
        <v/>
      </c>
    </row>
    <row r="631" spans="1:9" x14ac:dyDescent="0.2">
      <c r="A631" s="12" t="str">
        <f>IF($B631="","",622)</f>
        <v/>
      </c>
      <c r="B631" s="18" t="str">
        <f>IF(622&gt;NBskParty,"",INDEX(PkBskParty,622))</f>
        <v/>
      </c>
      <c r="C631" s="16" t="str">
        <f t="shared" si="63"/>
        <v/>
      </c>
      <c r="D631" s="14" t="str">
        <f t="shared" si="64"/>
        <v/>
      </c>
      <c r="E631" s="14" t="str">
        <f t="shared" si="65"/>
        <v/>
      </c>
      <c r="F631" s="14" t="str">
        <f t="shared" si="66"/>
        <v/>
      </c>
      <c r="G631" s="14" t="str">
        <f t="shared" si="67"/>
        <v/>
      </c>
      <c r="H631" s="15" t="str">
        <f t="shared" si="68"/>
        <v/>
      </c>
      <c r="I631" s="13" t="str">
        <f t="shared" si="69"/>
        <v/>
      </c>
    </row>
    <row r="632" spans="1:9" x14ac:dyDescent="0.2">
      <c r="A632" s="7" t="str">
        <f>IF($B632="","",623)</f>
        <v/>
      </c>
      <c r="B632" s="17" t="str">
        <f>IF(623&gt;NBskParty,"",INDEX(PkBskParty,623))</f>
        <v/>
      </c>
      <c r="C632" s="11" t="str">
        <f t="shared" si="63"/>
        <v/>
      </c>
      <c r="D632" s="9" t="str">
        <f t="shared" si="64"/>
        <v/>
      </c>
      <c r="E632" s="9" t="str">
        <f t="shared" si="65"/>
        <v/>
      </c>
      <c r="F632" s="9" t="str">
        <f t="shared" si="66"/>
        <v/>
      </c>
      <c r="G632" s="9" t="str">
        <f t="shared" si="67"/>
        <v/>
      </c>
      <c r="H632" s="10" t="str">
        <f t="shared" si="68"/>
        <v/>
      </c>
      <c r="I632" s="8" t="str">
        <f t="shared" si="69"/>
        <v/>
      </c>
    </row>
    <row r="633" spans="1:9" x14ac:dyDescent="0.2">
      <c r="A633" s="12" t="str">
        <f>IF($B633="","",624)</f>
        <v/>
      </c>
      <c r="B633" s="18" t="str">
        <f>IF(624&gt;NBskParty,"",INDEX(PkBskParty,624))</f>
        <v/>
      </c>
      <c r="C633" s="16" t="str">
        <f t="shared" si="63"/>
        <v/>
      </c>
      <c r="D633" s="14" t="str">
        <f t="shared" si="64"/>
        <v/>
      </c>
      <c r="E633" s="14" t="str">
        <f t="shared" si="65"/>
        <v/>
      </c>
      <c r="F633" s="14" t="str">
        <f t="shared" si="66"/>
        <v/>
      </c>
      <c r="G633" s="14" t="str">
        <f t="shared" si="67"/>
        <v/>
      </c>
      <c r="H633" s="15" t="str">
        <f t="shared" si="68"/>
        <v/>
      </c>
      <c r="I633" s="13" t="str">
        <f t="shared" si="69"/>
        <v/>
      </c>
    </row>
    <row r="634" spans="1:9" x14ac:dyDescent="0.2">
      <c r="A634" s="7" t="str">
        <f>IF($B634="","",625)</f>
        <v/>
      </c>
      <c r="B634" s="17" t="str">
        <f>IF(625&gt;NBskParty,"",INDEX(PkBskParty,625))</f>
        <v/>
      </c>
      <c r="C634" s="11" t="str">
        <f t="shared" si="63"/>
        <v/>
      </c>
      <c r="D634" s="9" t="str">
        <f t="shared" si="64"/>
        <v/>
      </c>
      <c r="E634" s="9" t="str">
        <f t="shared" si="65"/>
        <v/>
      </c>
      <c r="F634" s="9" t="str">
        <f t="shared" si="66"/>
        <v/>
      </c>
      <c r="G634" s="9" t="str">
        <f t="shared" si="67"/>
        <v/>
      </c>
      <c r="H634" s="10" t="str">
        <f t="shared" si="68"/>
        <v/>
      </c>
      <c r="I634" s="8" t="str">
        <f t="shared" si="69"/>
        <v/>
      </c>
    </row>
    <row r="635" spans="1:9" x14ac:dyDescent="0.2">
      <c r="A635" s="12" t="str">
        <f>IF($B635="","",626)</f>
        <v/>
      </c>
      <c r="B635" s="18" t="str">
        <f>IF(626&gt;NBskParty,"",INDEX(PkBskParty,626))</f>
        <v/>
      </c>
      <c r="C635" s="16" t="str">
        <f t="shared" si="63"/>
        <v/>
      </c>
      <c r="D635" s="14" t="str">
        <f t="shared" si="64"/>
        <v/>
      </c>
      <c r="E635" s="14" t="str">
        <f t="shared" si="65"/>
        <v/>
      </c>
      <c r="F635" s="14" t="str">
        <f t="shared" si="66"/>
        <v/>
      </c>
      <c r="G635" s="14" t="str">
        <f t="shared" si="67"/>
        <v/>
      </c>
      <c r="H635" s="15" t="str">
        <f t="shared" si="68"/>
        <v/>
      </c>
      <c r="I635" s="13" t="str">
        <f t="shared" si="69"/>
        <v/>
      </c>
    </row>
    <row r="636" spans="1:9" x14ac:dyDescent="0.2">
      <c r="A636" s="7" t="str">
        <f>IF($B636="","",627)</f>
        <v/>
      </c>
      <c r="B636" s="17" t="str">
        <f>IF(627&gt;NBskParty,"",INDEX(PkBskParty,627))</f>
        <v/>
      </c>
      <c r="C636" s="11" t="str">
        <f t="shared" si="63"/>
        <v/>
      </c>
      <c r="D636" s="9" t="str">
        <f t="shared" si="64"/>
        <v/>
      </c>
      <c r="E636" s="9" t="str">
        <f t="shared" si="65"/>
        <v/>
      </c>
      <c r="F636" s="9" t="str">
        <f t="shared" si="66"/>
        <v/>
      </c>
      <c r="G636" s="9" t="str">
        <f t="shared" si="67"/>
        <v/>
      </c>
      <c r="H636" s="10" t="str">
        <f t="shared" si="68"/>
        <v/>
      </c>
      <c r="I636" s="8" t="str">
        <f t="shared" si="69"/>
        <v/>
      </c>
    </row>
    <row r="637" spans="1:9" x14ac:dyDescent="0.2">
      <c r="A637" s="12" t="str">
        <f>IF($B637="","",628)</f>
        <v/>
      </c>
      <c r="B637" s="18" t="str">
        <f>IF(628&gt;NBskParty,"",INDEX(PkBskParty,628))</f>
        <v/>
      </c>
      <c r="C637" s="16" t="str">
        <f t="shared" si="63"/>
        <v/>
      </c>
      <c r="D637" s="14" t="str">
        <f t="shared" si="64"/>
        <v/>
      </c>
      <c r="E637" s="14" t="str">
        <f t="shared" si="65"/>
        <v/>
      </c>
      <c r="F637" s="14" t="str">
        <f t="shared" si="66"/>
        <v/>
      </c>
      <c r="G637" s="14" t="str">
        <f t="shared" si="67"/>
        <v/>
      </c>
      <c r="H637" s="15" t="str">
        <f t="shared" si="68"/>
        <v/>
      </c>
      <c r="I637" s="13" t="str">
        <f t="shared" si="69"/>
        <v/>
      </c>
    </row>
    <row r="638" spans="1:9" x14ac:dyDescent="0.2">
      <c r="A638" s="7" t="str">
        <f>IF($B638="","",629)</f>
        <v/>
      </c>
      <c r="B638" s="17" t="str">
        <f>IF(629&gt;NBskParty,"",INDEX(PkBskParty,629))</f>
        <v/>
      </c>
      <c r="C638" s="11" t="str">
        <f t="shared" si="63"/>
        <v/>
      </c>
      <c r="D638" s="9" t="str">
        <f t="shared" si="64"/>
        <v/>
      </c>
      <c r="E638" s="9" t="str">
        <f t="shared" si="65"/>
        <v/>
      </c>
      <c r="F638" s="9" t="str">
        <f t="shared" si="66"/>
        <v/>
      </c>
      <c r="G638" s="9" t="str">
        <f t="shared" si="67"/>
        <v/>
      </c>
      <c r="H638" s="10" t="str">
        <f t="shared" si="68"/>
        <v/>
      </c>
      <c r="I638" s="8" t="str">
        <f t="shared" si="69"/>
        <v/>
      </c>
    </row>
    <row r="639" spans="1:9" x14ac:dyDescent="0.2">
      <c r="A639" s="12" t="str">
        <f>IF($B639="","",630)</f>
        <v/>
      </c>
      <c r="B639" s="18" t="str">
        <f>IF(630&gt;NBskParty,"",INDEX(PkBskParty,630))</f>
        <v/>
      </c>
      <c r="C639" s="16" t="str">
        <f t="shared" si="63"/>
        <v/>
      </c>
      <c r="D639" s="14" t="str">
        <f t="shared" si="64"/>
        <v/>
      </c>
      <c r="E639" s="14" t="str">
        <f t="shared" si="65"/>
        <v/>
      </c>
      <c r="F639" s="14" t="str">
        <f t="shared" si="66"/>
        <v/>
      </c>
      <c r="G639" s="14" t="str">
        <f t="shared" si="67"/>
        <v/>
      </c>
      <c r="H639" s="15" t="str">
        <f t="shared" si="68"/>
        <v/>
      </c>
      <c r="I639" s="13" t="str">
        <f t="shared" si="69"/>
        <v/>
      </c>
    </row>
    <row r="640" spans="1:9" x14ac:dyDescent="0.2">
      <c r="A640" s="7" t="str">
        <f>IF($B640="","",631)</f>
        <v/>
      </c>
      <c r="B640" s="17" t="str">
        <f>IF(631&gt;NBskParty,"",INDEX(PkBskParty,631))</f>
        <v/>
      </c>
      <c r="C640" s="11" t="str">
        <f t="shared" si="63"/>
        <v/>
      </c>
      <c r="D640" s="9" t="str">
        <f t="shared" si="64"/>
        <v/>
      </c>
      <c r="E640" s="9" t="str">
        <f t="shared" si="65"/>
        <v/>
      </c>
      <c r="F640" s="9" t="str">
        <f t="shared" si="66"/>
        <v/>
      </c>
      <c r="G640" s="9" t="str">
        <f t="shared" si="67"/>
        <v/>
      </c>
      <c r="H640" s="10" t="str">
        <f t="shared" si="68"/>
        <v/>
      </c>
      <c r="I640" s="8" t="str">
        <f t="shared" si="69"/>
        <v/>
      </c>
    </row>
    <row r="641" spans="1:9" x14ac:dyDescent="0.2">
      <c r="A641" s="12" t="str">
        <f>IF($B641="","",632)</f>
        <v/>
      </c>
      <c r="B641" s="18" t="str">
        <f>IF(632&gt;NBskParty,"",INDEX(PkBskParty,632))</f>
        <v/>
      </c>
      <c r="C641" s="16" t="str">
        <f t="shared" si="63"/>
        <v/>
      </c>
      <c r="D641" s="14" t="str">
        <f t="shared" si="64"/>
        <v/>
      </c>
      <c r="E641" s="14" t="str">
        <f t="shared" si="65"/>
        <v/>
      </c>
      <c r="F641" s="14" t="str">
        <f t="shared" si="66"/>
        <v/>
      </c>
      <c r="G641" s="14" t="str">
        <f t="shared" si="67"/>
        <v/>
      </c>
      <c r="H641" s="15" t="str">
        <f t="shared" si="68"/>
        <v/>
      </c>
      <c r="I641" s="13" t="str">
        <f t="shared" si="69"/>
        <v/>
      </c>
    </row>
    <row r="642" spans="1:9" x14ac:dyDescent="0.2">
      <c r="A642" s="7" t="str">
        <f>IF($B642="","",633)</f>
        <v/>
      </c>
      <c r="B642" s="17" t="str">
        <f>IF(633&gt;NBskParty,"",INDEX(PkBskParty,633))</f>
        <v/>
      </c>
      <c r="C642" s="11" t="str">
        <f t="shared" si="63"/>
        <v/>
      </c>
      <c r="D642" s="9" t="str">
        <f t="shared" si="64"/>
        <v/>
      </c>
      <c r="E642" s="9" t="str">
        <f t="shared" si="65"/>
        <v/>
      </c>
      <c r="F642" s="9" t="str">
        <f t="shared" si="66"/>
        <v/>
      </c>
      <c r="G642" s="9" t="str">
        <f t="shared" si="67"/>
        <v/>
      </c>
      <c r="H642" s="10" t="str">
        <f t="shared" si="68"/>
        <v/>
      </c>
      <c r="I642" s="8" t="str">
        <f t="shared" si="69"/>
        <v/>
      </c>
    </row>
    <row r="643" spans="1:9" x14ac:dyDescent="0.2">
      <c r="A643" s="12" t="str">
        <f>IF($B643="","",634)</f>
        <v/>
      </c>
      <c r="B643" s="18" t="str">
        <f>IF(634&gt;NBskParty,"",INDEX(PkBskParty,634))</f>
        <v/>
      </c>
      <c r="C643" s="16" t="str">
        <f t="shared" si="63"/>
        <v/>
      </c>
      <c r="D643" s="14" t="str">
        <f t="shared" si="64"/>
        <v/>
      </c>
      <c r="E643" s="14" t="str">
        <f t="shared" si="65"/>
        <v/>
      </c>
      <c r="F643" s="14" t="str">
        <f t="shared" si="66"/>
        <v/>
      </c>
      <c r="G643" s="14" t="str">
        <f t="shared" si="67"/>
        <v/>
      </c>
      <c r="H643" s="15" t="str">
        <f t="shared" si="68"/>
        <v/>
      </c>
      <c r="I643" s="13" t="str">
        <f t="shared" si="69"/>
        <v/>
      </c>
    </row>
    <row r="644" spans="1:9" x14ac:dyDescent="0.2">
      <c r="A644" s="7" t="str">
        <f>IF($B644="","",635)</f>
        <v/>
      </c>
      <c r="B644" s="17" t="str">
        <f>IF(635&gt;NBskParty,"",INDEX(PkBskParty,635))</f>
        <v/>
      </c>
      <c r="C644" s="11" t="str">
        <f t="shared" si="63"/>
        <v/>
      </c>
      <c r="D644" s="9" t="str">
        <f t="shared" si="64"/>
        <v/>
      </c>
      <c r="E644" s="9" t="str">
        <f t="shared" si="65"/>
        <v/>
      </c>
      <c r="F644" s="9" t="str">
        <f t="shared" si="66"/>
        <v/>
      </c>
      <c r="G644" s="9" t="str">
        <f t="shared" si="67"/>
        <v/>
      </c>
      <c r="H644" s="10" t="str">
        <f t="shared" si="68"/>
        <v/>
      </c>
      <c r="I644" s="8" t="str">
        <f t="shared" si="69"/>
        <v/>
      </c>
    </row>
    <row r="645" spans="1:9" x14ac:dyDescent="0.2">
      <c r="A645" s="12" t="str">
        <f>IF($B645="","",636)</f>
        <v/>
      </c>
      <c r="B645" s="18" t="str">
        <f>IF(636&gt;NBskParty,"",INDEX(PkBskParty,636))</f>
        <v/>
      </c>
      <c r="C645" s="16" t="str">
        <f t="shared" si="63"/>
        <v/>
      </c>
      <c r="D645" s="14" t="str">
        <f t="shared" si="64"/>
        <v/>
      </c>
      <c r="E645" s="14" t="str">
        <f t="shared" si="65"/>
        <v/>
      </c>
      <c r="F645" s="14" t="str">
        <f t="shared" si="66"/>
        <v/>
      </c>
      <c r="G645" s="14" t="str">
        <f t="shared" si="67"/>
        <v/>
      </c>
      <c r="H645" s="15" t="str">
        <f t="shared" si="68"/>
        <v/>
      </c>
      <c r="I645" s="13" t="str">
        <f t="shared" si="69"/>
        <v/>
      </c>
    </row>
    <row r="646" spans="1:9" x14ac:dyDescent="0.2">
      <c r="A646" s="7" t="str">
        <f>IF($B646="","",637)</f>
        <v/>
      </c>
      <c r="B646" s="17" t="str">
        <f>IF(637&gt;NBskParty,"",INDEX(PkBskParty,637))</f>
        <v/>
      </c>
      <c r="C646" s="11" t="str">
        <f t="shared" si="63"/>
        <v/>
      </c>
      <c r="D646" s="9" t="str">
        <f t="shared" si="64"/>
        <v/>
      </c>
      <c r="E646" s="9" t="str">
        <f t="shared" si="65"/>
        <v/>
      </c>
      <c r="F646" s="9" t="str">
        <f t="shared" si="66"/>
        <v/>
      </c>
      <c r="G646" s="9" t="str">
        <f t="shared" si="67"/>
        <v/>
      </c>
      <c r="H646" s="10" t="str">
        <f t="shared" si="68"/>
        <v/>
      </c>
      <c r="I646" s="8" t="str">
        <f t="shared" si="69"/>
        <v/>
      </c>
    </row>
    <row r="647" spans="1:9" x14ac:dyDescent="0.2">
      <c r="A647" s="12" t="str">
        <f>IF($B647="","",638)</f>
        <v/>
      </c>
      <c r="B647" s="18" t="str">
        <f>IF(638&gt;NBskParty,"",INDEX(PkBskParty,638))</f>
        <v/>
      </c>
      <c r="C647" s="16" t="str">
        <f t="shared" si="63"/>
        <v/>
      </c>
      <c r="D647" s="14" t="str">
        <f t="shared" si="64"/>
        <v/>
      </c>
      <c r="E647" s="14" t="str">
        <f t="shared" si="65"/>
        <v/>
      </c>
      <c r="F647" s="14" t="str">
        <f t="shared" si="66"/>
        <v/>
      </c>
      <c r="G647" s="14" t="str">
        <f t="shared" si="67"/>
        <v/>
      </c>
      <c r="H647" s="15" t="str">
        <f t="shared" si="68"/>
        <v/>
      </c>
      <c r="I647" s="13" t="str">
        <f t="shared" si="69"/>
        <v/>
      </c>
    </row>
    <row r="648" spans="1:9" x14ac:dyDescent="0.2">
      <c r="A648" s="7" t="str">
        <f>IF($B648="","",639)</f>
        <v/>
      </c>
      <c r="B648" s="17" t="str">
        <f>IF(639&gt;NBskParty,"",INDEX(PkBskParty,639))</f>
        <v/>
      </c>
      <c r="C648" s="11" t="str">
        <f t="shared" si="63"/>
        <v/>
      </c>
      <c r="D648" s="9" t="str">
        <f t="shared" si="64"/>
        <v/>
      </c>
      <c r="E648" s="9" t="str">
        <f t="shared" si="65"/>
        <v/>
      </c>
      <c r="F648" s="9" t="str">
        <f t="shared" si="66"/>
        <v/>
      </c>
      <c r="G648" s="9" t="str">
        <f t="shared" si="67"/>
        <v/>
      </c>
      <c r="H648" s="10" t="str">
        <f t="shared" si="68"/>
        <v/>
      </c>
      <c r="I648" s="8" t="str">
        <f t="shared" si="69"/>
        <v/>
      </c>
    </row>
    <row r="649" spans="1:9" x14ac:dyDescent="0.2">
      <c r="A649" s="12" t="str">
        <f>IF($B649="","",640)</f>
        <v/>
      </c>
      <c r="B649" s="18" t="str">
        <f>IF(640&gt;NBskParty,"",INDEX(PkBskParty,640))</f>
        <v/>
      </c>
      <c r="C649" s="16" t="str">
        <f t="shared" si="63"/>
        <v/>
      </c>
      <c r="D649" s="14" t="str">
        <f t="shared" si="64"/>
        <v/>
      </c>
      <c r="E649" s="14" t="str">
        <f t="shared" si="65"/>
        <v/>
      </c>
      <c r="F649" s="14" t="str">
        <f t="shared" si="66"/>
        <v/>
      </c>
      <c r="G649" s="14" t="str">
        <f t="shared" si="67"/>
        <v/>
      </c>
      <c r="H649" s="15" t="str">
        <f t="shared" si="68"/>
        <v/>
      </c>
      <c r="I649" s="13" t="str">
        <f t="shared" si="69"/>
        <v/>
      </c>
    </row>
    <row r="650" spans="1:9" x14ac:dyDescent="0.2">
      <c r="A650" s="7" t="str">
        <f>IF($B650="","",641)</f>
        <v/>
      </c>
      <c r="B650" s="17" t="str">
        <f>IF(641&gt;NBskParty,"",INDEX(PkBskParty,641))</f>
        <v/>
      </c>
      <c r="C650" s="11" t="str">
        <f t="shared" ref="C650:C713" si="70">IF($B650="","",IFERROR(IF(VLOOKUP($B650,AcctTbl,4,0)="","(بدون نام)",VLOOKUP($B650,AcctTbl,4,0)),"—"))</f>
        <v/>
      </c>
      <c r="D650" s="9" t="str">
        <f t="shared" ref="D650:D713" si="71">IF($B650="","",SUMIF(CalcPartyA,$B650,CalcQtyA))</f>
        <v/>
      </c>
      <c r="E650" s="9" t="str">
        <f t="shared" ref="E650:E713" si="72">IF($B650="","",SUMIF(CalcPartyA,$B650,CalcAmtA))</f>
        <v/>
      </c>
      <c r="F650" s="9" t="str">
        <f t="shared" ref="F650:F713" si="73">IF($B650="","",SUMIF(CalcPartyB,$B650,CalcWitB))</f>
        <v/>
      </c>
      <c r="G650" s="9" t="str">
        <f t="shared" ref="G650:G713" si="74">IF($B650="","",SUMIF(CalcPartyB,$B650,CalcDepB))</f>
        <v/>
      </c>
      <c r="H650" s="10" t="str">
        <f t="shared" ref="H650:H713" si="75">IF($B650="","",$E650-$F650+$G650)</f>
        <v/>
      </c>
      <c r="I650" s="8" t="str">
        <f t="shared" ref="I650:I713" si="76">IF($B650="","",IF(ROUND($H650,0)&gt;0,"● بستانکار",IF(ROUND($H650,0)&lt;0,"● بدهکار","تسویه")))</f>
        <v/>
      </c>
    </row>
    <row r="651" spans="1:9" x14ac:dyDescent="0.2">
      <c r="A651" s="12" t="str">
        <f>IF($B651="","",642)</f>
        <v/>
      </c>
      <c r="B651" s="18" t="str">
        <f>IF(642&gt;NBskParty,"",INDEX(PkBskParty,642))</f>
        <v/>
      </c>
      <c r="C651" s="16" t="str">
        <f t="shared" si="70"/>
        <v/>
      </c>
      <c r="D651" s="14" t="str">
        <f t="shared" si="71"/>
        <v/>
      </c>
      <c r="E651" s="14" t="str">
        <f t="shared" si="72"/>
        <v/>
      </c>
      <c r="F651" s="14" t="str">
        <f t="shared" si="73"/>
        <v/>
      </c>
      <c r="G651" s="14" t="str">
        <f t="shared" si="74"/>
        <v/>
      </c>
      <c r="H651" s="15" t="str">
        <f t="shared" si="75"/>
        <v/>
      </c>
      <c r="I651" s="13" t="str">
        <f t="shared" si="76"/>
        <v/>
      </c>
    </row>
    <row r="652" spans="1:9" x14ac:dyDescent="0.2">
      <c r="A652" s="7" t="str">
        <f>IF($B652="","",643)</f>
        <v/>
      </c>
      <c r="B652" s="17" t="str">
        <f>IF(643&gt;NBskParty,"",INDEX(PkBskParty,643))</f>
        <v/>
      </c>
      <c r="C652" s="11" t="str">
        <f t="shared" si="70"/>
        <v/>
      </c>
      <c r="D652" s="9" t="str">
        <f t="shared" si="71"/>
        <v/>
      </c>
      <c r="E652" s="9" t="str">
        <f t="shared" si="72"/>
        <v/>
      </c>
      <c r="F652" s="9" t="str">
        <f t="shared" si="73"/>
        <v/>
      </c>
      <c r="G652" s="9" t="str">
        <f t="shared" si="74"/>
        <v/>
      </c>
      <c r="H652" s="10" t="str">
        <f t="shared" si="75"/>
        <v/>
      </c>
      <c r="I652" s="8" t="str">
        <f t="shared" si="76"/>
        <v/>
      </c>
    </row>
    <row r="653" spans="1:9" x14ac:dyDescent="0.2">
      <c r="A653" s="12" t="str">
        <f>IF($B653="","",644)</f>
        <v/>
      </c>
      <c r="B653" s="18" t="str">
        <f>IF(644&gt;NBskParty,"",INDEX(PkBskParty,644))</f>
        <v/>
      </c>
      <c r="C653" s="16" t="str">
        <f t="shared" si="70"/>
        <v/>
      </c>
      <c r="D653" s="14" t="str">
        <f t="shared" si="71"/>
        <v/>
      </c>
      <c r="E653" s="14" t="str">
        <f t="shared" si="72"/>
        <v/>
      </c>
      <c r="F653" s="14" t="str">
        <f t="shared" si="73"/>
        <v/>
      </c>
      <c r="G653" s="14" t="str">
        <f t="shared" si="74"/>
        <v/>
      </c>
      <c r="H653" s="15" t="str">
        <f t="shared" si="75"/>
        <v/>
      </c>
      <c r="I653" s="13" t="str">
        <f t="shared" si="76"/>
        <v/>
      </c>
    </row>
    <row r="654" spans="1:9" x14ac:dyDescent="0.2">
      <c r="A654" s="7" t="str">
        <f>IF($B654="","",645)</f>
        <v/>
      </c>
      <c r="B654" s="17" t="str">
        <f>IF(645&gt;NBskParty,"",INDEX(PkBskParty,645))</f>
        <v/>
      </c>
      <c r="C654" s="11" t="str">
        <f t="shared" si="70"/>
        <v/>
      </c>
      <c r="D654" s="9" t="str">
        <f t="shared" si="71"/>
        <v/>
      </c>
      <c r="E654" s="9" t="str">
        <f t="shared" si="72"/>
        <v/>
      </c>
      <c r="F654" s="9" t="str">
        <f t="shared" si="73"/>
        <v/>
      </c>
      <c r="G654" s="9" t="str">
        <f t="shared" si="74"/>
        <v/>
      </c>
      <c r="H654" s="10" t="str">
        <f t="shared" si="75"/>
        <v/>
      </c>
      <c r="I654" s="8" t="str">
        <f t="shared" si="76"/>
        <v/>
      </c>
    </row>
    <row r="655" spans="1:9" x14ac:dyDescent="0.2">
      <c r="A655" s="12" t="str">
        <f>IF($B655="","",646)</f>
        <v/>
      </c>
      <c r="B655" s="18" t="str">
        <f>IF(646&gt;NBskParty,"",INDEX(PkBskParty,646))</f>
        <v/>
      </c>
      <c r="C655" s="16" t="str">
        <f t="shared" si="70"/>
        <v/>
      </c>
      <c r="D655" s="14" t="str">
        <f t="shared" si="71"/>
        <v/>
      </c>
      <c r="E655" s="14" t="str">
        <f t="shared" si="72"/>
        <v/>
      </c>
      <c r="F655" s="14" t="str">
        <f t="shared" si="73"/>
        <v/>
      </c>
      <c r="G655" s="14" t="str">
        <f t="shared" si="74"/>
        <v/>
      </c>
      <c r="H655" s="15" t="str">
        <f t="shared" si="75"/>
        <v/>
      </c>
      <c r="I655" s="13" t="str">
        <f t="shared" si="76"/>
        <v/>
      </c>
    </row>
    <row r="656" spans="1:9" x14ac:dyDescent="0.2">
      <c r="A656" s="7" t="str">
        <f>IF($B656="","",647)</f>
        <v/>
      </c>
      <c r="B656" s="17" t="str">
        <f>IF(647&gt;NBskParty,"",INDEX(PkBskParty,647))</f>
        <v/>
      </c>
      <c r="C656" s="11" t="str">
        <f t="shared" si="70"/>
        <v/>
      </c>
      <c r="D656" s="9" t="str">
        <f t="shared" si="71"/>
        <v/>
      </c>
      <c r="E656" s="9" t="str">
        <f t="shared" si="72"/>
        <v/>
      </c>
      <c r="F656" s="9" t="str">
        <f t="shared" si="73"/>
        <v/>
      </c>
      <c r="G656" s="9" t="str">
        <f t="shared" si="74"/>
        <v/>
      </c>
      <c r="H656" s="10" t="str">
        <f t="shared" si="75"/>
        <v/>
      </c>
      <c r="I656" s="8" t="str">
        <f t="shared" si="76"/>
        <v/>
      </c>
    </row>
    <row r="657" spans="1:9" x14ac:dyDescent="0.2">
      <c r="A657" s="12" t="str">
        <f>IF($B657="","",648)</f>
        <v/>
      </c>
      <c r="B657" s="18" t="str">
        <f>IF(648&gt;NBskParty,"",INDEX(PkBskParty,648))</f>
        <v/>
      </c>
      <c r="C657" s="16" t="str">
        <f t="shared" si="70"/>
        <v/>
      </c>
      <c r="D657" s="14" t="str">
        <f t="shared" si="71"/>
        <v/>
      </c>
      <c r="E657" s="14" t="str">
        <f t="shared" si="72"/>
        <v/>
      </c>
      <c r="F657" s="14" t="str">
        <f t="shared" si="73"/>
        <v/>
      </c>
      <c r="G657" s="14" t="str">
        <f t="shared" si="74"/>
        <v/>
      </c>
      <c r="H657" s="15" t="str">
        <f t="shared" si="75"/>
        <v/>
      </c>
      <c r="I657" s="13" t="str">
        <f t="shared" si="76"/>
        <v/>
      </c>
    </row>
    <row r="658" spans="1:9" x14ac:dyDescent="0.2">
      <c r="A658" s="7" t="str">
        <f>IF($B658="","",649)</f>
        <v/>
      </c>
      <c r="B658" s="17" t="str">
        <f>IF(649&gt;NBskParty,"",INDEX(PkBskParty,649))</f>
        <v/>
      </c>
      <c r="C658" s="11" t="str">
        <f t="shared" si="70"/>
        <v/>
      </c>
      <c r="D658" s="9" t="str">
        <f t="shared" si="71"/>
        <v/>
      </c>
      <c r="E658" s="9" t="str">
        <f t="shared" si="72"/>
        <v/>
      </c>
      <c r="F658" s="9" t="str">
        <f t="shared" si="73"/>
        <v/>
      </c>
      <c r="G658" s="9" t="str">
        <f t="shared" si="74"/>
        <v/>
      </c>
      <c r="H658" s="10" t="str">
        <f t="shared" si="75"/>
        <v/>
      </c>
      <c r="I658" s="8" t="str">
        <f t="shared" si="76"/>
        <v/>
      </c>
    </row>
    <row r="659" spans="1:9" x14ac:dyDescent="0.2">
      <c r="A659" s="12" t="str">
        <f>IF($B659="","",650)</f>
        <v/>
      </c>
      <c r="B659" s="18" t="str">
        <f>IF(650&gt;NBskParty,"",INDEX(PkBskParty,650))</f>
        <v/>
      </c>
      <c r="C659" s="16" t="str">
        <f t="shared" si="70"/>
        <v/>
      </c>
      <c r="D659" s="14" t="str">
        <f t="shared" si="71"/>
        <v/>
      </c>
      <c r="E659" s="14" t="str">
        <f t="shared" si="72"/>
        <v/>
      </c>
      <c r="F659" s="14" t="str">
        <f t="shared" si="73"/>
        <v/>
      </c>
      <c r="G659" s="14" t="str">
        <f t="shared" si="74"/>
        <v/>
      </c>
      <c r="H659" s="15" t="str">
        <f t="shared" si="75"/>
        <v/>
      </c>
      <c r="I659" s="13" t="str">
        <f t="shared" si="76"/>
        <v/>
      </c>
    </row>
    <row r="660" spans="1:9" x14ac:dyDescent="0.2">
      <c r="A660" s="7" t="str">
        <f>IF($B660="","",651)</f>
        <v/>
      </c>
      <c r="B660" s="17" t="str">
        <f>IF(651&gt;NBskParty,"",INDEX(PkBskParty,651))</f>
        <v/>
      </c>
      <c r="C660" s="11" t="str">
        <f t="shared" si="70"/>
        <v/>
      </c>
      <c r="D660" s="9" t="str">
        <f t="shared" si="71"/>
        <v/>
      </c>
      <c r="E660" s="9" t="str">
        <f t="shared" si="72"/>
        <v/>
      </c>
      <c r="F660" s="9" t="str">
        <f t="shared" si="73"/>
        <v/>
      </c>
      <c r="G660" s="9" t="str">
        <f t="shared" si="74"/>
        <v/>
      </c>
      <c r="H660" s="10" t="str">
        <f t="shared" si="75"/>
        <v/>
      </c>
      <c r="I660" s="8" t="str">
        <f t="shared" si="76"/>
        <v/>
      </c>
    </row>
    <row r="661" spans="1:9" x14ac:dyDescent="0.2">
      <c r="A661" s="12" t="str">
        <f>IF($B661="","",652)</f>
        <v/>
      </c>
      <c r="B661" s="18" t="str">
        <f>IF(652&gt;NBskParty,"",INDEX(PkBskParty,652))</f>
        <v/>
      </c>
      <c r="C661" s="16" t="str">
        <f t="shared" si="70"/>
        <v/>
      </c>
      <c r="D661" s="14" t="str">
        <f t="shared" si="71"/>
        <v/>
      </c>
      <c r="E661" s="14" t="str">
        <f t="shared" si="72"/>
        <v/>
      </c>
      <c r="F661" s="14" t="str">
        <f t="shared" si="73"/>
        <v/>
      </c>
      <c r="G661" s="14" t="str">
        <f t="shared" si="74"/>
        <v/>
      </c>
      <c r="H661" s="15" t="str">
        <f t="shared" si="75"/>
        <v/>
      </c>
      <c r="I661" s="13" t="str">
        <f t="shared" si="76"/>
        <v/>
      </c>
    </row>
    <row r="662" spans="1:9" x14ac:dyDescent="0.2">
      <c r="A662" s="7" t="str">
        <f>IF($B662="","",653)</f>
        <v/>
      </c>
      <c r="B662" s="17" t="str">
        <f>IF(653&gt;NBskParty,"",INDEX(PkBskParty,653))</f>
        <v/>
      </c>
      <c r="C662" s="11" t="str">
        <f t="shared" si="70"/>
        <v/>
      </c>
      <c r="D662" s="9" t="str">
        <f t="shared" si="71"/>
        <v/>
      </c>
      <c r="E662" s="9" t="str">
        <f t="shared" si="72"/>
        <v/>
      </c>
      <c r="F662" s="9" t="str">
        <f t="shared" si="73"/>
        <v/>
      </c>
      <c r="G662" s="9" t="str">
        <f t="shared" si="74"/>
        <v/>
      </c>
      <c r="H662" s="10" t="str">
        <f t="shared" si="75"/>
        <v/>
      </c>
      <c r="I662" s="8" t="str">
        <f t="shared" si="76"/>
        <v/>
      </c>
    </row>
    <row r="663" spans="1:9" x14ac:dyDescent="0.2">
      <c r="A663" s="12" t="str">
        <f>IF($B663="","",654)</f>
        <v/>
      </c>
      <c r="B663" s="18" t="str">
        <f>IF(654&gt;NBskParty,"",INDEX(PkBskParty,654))</f>
        <v/>
      </c>
      <c r="C663" s="16" t="str">
        <f t="shared" si="70"/>
        <v/>
      </c>
      <c r="D663" s="14" t="str">
        <f t="shared" si="71"/>
        <v/>
      </c>
      <c r="E663" s="14" t="str">
        <f t="shared" si="72"/>
        <v/>
      </c>
      <c r="F663" s="14" t="str">
        <f t="shared" si="73"/>
        <v/>
      </c>
      <c r="G663" s="14" t="str">
        <f t="shared" si="74"/>
        <v/>
      </c>
      <c r="H663" s="15" t="str">
        <f t="shared" si="75"/>
        <v/>
      </c>
      <c r="I663" s="13" t="str">
        <f t="shared" si="76"/>
        <v/>
      </c>
    </row>
    <row r="664" spans="1:9" x14ac:dyDescent="0.2">
      <c r="A664" s="7" t="str">
        <f>IF($B664="","",655)</f>
        <v/>
      </c>
      <c r="B664" s="17" t="str">
        <f>IF(655&gt;NBskParty,"",INDEX(PkBskParty,655))</f>
        <v/>
      </c>
      <c r="C664" s="11" t="str">
        <f t="shared" si="70"/>
        <v/>
      </c>
      <c r="D664" s="9" t="str">
        <f t="shared" si="71"/>
        <v/>
      </c>
      <c r="E664" s="9" t="str">
        <f t="shared" si="72"/>
        <v/>
      </c>
      <c r="F664" s="9" t="str">
        <f t="shared" si="73"/>
        <v/>
      </c>
      <c r="G664" s="9" t="str">
        <f t="shared" si="74"/>
        <v/>
      </c>
      <c r="H664" s="10" t="str">
        <f t="shared" si="75"/>
        <v/>
      </c>
      <c r="I664" s="8" t="str">
        <f t="shared" si="76"/>
        <v/>
      </c>
    </row>
    <row r="665" spans="1:9" x14ac:dyDescent="0.2">
      <c r="A665" s="12" t="str">
        <f>IF($B665="","",656)</f>
        <v/>
      </c>
      <c r="B665" s="18" t="str">
        <f>IF(656&gt;NBskParty,"",INDEX(PkBskParty,656))</f>
        <v/>
      </c>
      <c r="C665" s="16" t="str">
        <f t="shared" si="70"/>
        <v/>
      </c>
      <c r="D665" s="14" t="str">
        <f t="shared" si="71"/>
        <v/>
      </c>
      <c r="E665" s="14" t="str">
        <f t="shared" si="72"/>
        <v/>
      </c>
      <c r="F665" s="14" t="str">
        <f t="shared" si="73"/>
        <v/>
      </c>
      <c r="G665" s="14" t="str">
        <f t="shared" si="74"/>
        <v/>
      </c>
      <c r="H665" s="15" t="str">
        <f t="shared" si="75"/>
        <v/>
      </c>
      <c r="I665" s="13" t="str">
        <f t="shared" si="76"/>
        <v/>
      </c>
    </row>
    <row r="666" spans="1:9" x14ac:dyDescent="0.2">
      <c r="A666" s="7" t="str">
        <f>IF($B666="","",657)</f>
        <v/>
      </c>
      <c r="B666" s="17" t="str">
        <f>IF(657&gt;NBskParty,"",INDEX(PkBskParty,657))</f>
        <v/>
      </c>
      <c r="C666" s="11" t="str">
        <f t="shared" si="70"/>
        <v/>
      </c>
      <c r="D666" s="9" t="str">
        <f t="shared" si="71"/>
        <v/>
      </c>
      <c r="E666" s="9" t="str">
        <f t="shared" si="72"/>
        <v/>
      </c>
      <c r="F666" s="9" t="str">
        <f t="shared" si="73"/>
        <v/>
      </c>
      <c r="G666" s="9" t="str">
        <f t="shared" si="74"/>
        <v/>
      </c>
      <c r="H666" s="10" t="str">
        <f t="shared" si="75"/>
        <v/>
      </c>
      <c r="I666" s="8" t="str">
        <f t="shared" si="76"/>
        <v/>
      </c>
    </row>
    <row r="667" spans="1:9" x14ac:dyDescent="0.2">
      <c r="A667" s="12" t="str">
        <f>IF($B667="","",658)</f>
        <v/>
      </c>
      <c r="B667" s="18" t="str">
        <f>IF(658&gt;NBskParty,"",INDEX(PkBskParty,658))</f>
        <v/>
      </c>
      <c r="C667" s="16" t="str">
        <f t="shared" si="70"/>
        <v/>
      </c>
      <c r="D667" s="14" t="str">
        <f t="shared" si="71"/>
        <v/>
      </c>
      <c r="E667" s="14" t="str">
        <f t="shared" si="72"/>
        <v/>
      </c>
      <c r="F667" s="14" t="str">
        <f t="shared" si="73"/>
        <v/>
      </c>
      <c r="G667" s="14" t="str">
        <f t="shared" si="74"/>
        <v/>
      </c>
      <c r="H667" s="15" t="str">
        <f t="shared" si="75"/>
        <v/>
      </c>
      <c r="I667" s="13" t="str">
        <f t="shared" si="76"/>
        <v/>
      </c>
    </row>
    <row r="668" spans="1:9" x14ac:dyDescent="0.2">
      <c r="A668" s="7" t="str">
        <f>IF($B668="","",659)</f>
        <v/>
      </c>
      <c r="B668" s="17" t="str">
        <f>IF(659&gt;NBskParty,"",INDEX(PkBskParty,659))</f>
        <v/>
      </c>
      <c r="C668" s="11" t="str">
        <f t="shared" si="70"/>
        <v/>
      </c>
      <c r="D668" s="9" t="str">
        <f t="shared" si="71"/>
        <v/>
      </c>
      <c r="E668" s="9" t="str">
        <f t="shared" si="72"/>
        <v/>
      </c>
      <c r="F668" s="9" t="str">
        <f t="shared" si="73"/>
        <v/>
      </c>
      <c r="G668" s="9" t="str">
        <f t="shared" si="74"/>
        <v/>
      </c>
      <c r="H668" s="10" t="str">
        <f t="shared" si="75"/>
        <v/>
      </c>
      <c r="I668" s="8" t="str">
        <f t="shared" si="76"/>
        <v/>
      </c>
    </row>
    <row r="669" spans="1:9" x14ac:dyDescent="0.2">
      <c r="A669" s="12" t="str">
        <f>IF($B669="","",660)</f>
        <v/>
      </c>
      <c r="B669" s="18" t="str">
        <f>IF(660&gt;NBskParty,"",INDEX(PkBskParty,660))</f>
        <v/>
      </c>
      <c r="C669" s="16" t="str">
        <f t="shared" si="70"/>
        <v/>
      </c>
      <c r="D669" s="14" t="str">
        <f t="shared" si="71"/>
        <v/>
      </c>
      <c r="E669" s="14" t="str">
        <f t="shared" si="72"/>
        <v/>
      </c>
      <c r="F669" s="14" t="str">
        <f t="shared" si="73"/>
        <v/>
      </c>
      <c r="G669" s="14" t="str">
        <f t="shared" si="74"/>
        <v/>
      </c>
      <c r="H669" s="15" t="str">
        <f t="shared" si="75"/>
        <v/>
      </c>
      <c r="I669" s="13" t="str">
        <f t="shared" si="76"/>
        <v/>
      </c>
    </row>
    <row r="670" spans="1:9" x14ac:dyDescent="0.2">
      <c r="A670" s="7" t="str">
        <f>IF($B670="","",661)</f>
        <v/>
      </c>
      <c r="B670" s="17" t="str">
        <f>IF(661&gt;NBskParty,"",INDEX(PkBskParty,661))</f>
        <v/>
      </c>
      <c r="C670" s="11" t="str">
        <f t="shared" si="70"/>
        <v/>
      </c>
      <c r="D670" s="9" t="str">
        <f t="shared" si="71"/>
        <v/>
      </c>
      <c r="E670" s="9" t="str">
        <f t="shared" si="72"/>
        <v/>
      </c>
      <c r="F670" s="9" t="str">
        <f t="shared" si="73"/>
        <v/>
      </c>
      <c r="G670" s="9" t="str">
        <f t="shared" si="74"/>
        <v/>
      </c>
      <c r="H670" s="10" t="str">
        <f t="shared" si="75"/>
        <v/>
      </c>
      <c r="I670" s="8" t="str">
        <f t="shared" si="76"/>
        <v/>
      </c>
    </row>
    <row r="671" spans="1:9" x14ac:dyDescent="0.2">
      <c r="A671" s="12" t="str">
        <f>IF($B671="","",662)</f>
        <v/>
      </c>
      <c r="B671" s="18" t="str">
        <f>IF(662&gt;NBskParty,"",INDEX(PkBskParty,662))</f>
        <v/>
      </c>
      <c r="C671" s="16" t="str">
        <f t="shared" si="70"/>
        <v/>
      </c>
      <c r="D671" s="14" t="str">
        <f t="shared" si="71"/>
        <v/>
      </c>
      <c r="E671" s="14" t="str">
        <f t="shared" si="72"/>
        <v/>
      </c>
      <c r="F671" s="14" t="str">
        <f t="shared" si="73"/>
        <v/>
      </c>
      <c r="G671" s="14" t="str">
        <f t="shared" si="74"/>
        <v/>
      </c>
      <c r="H671" s="15" t="str">
        <f t="shared" si="75"/>
        <v/>
      </c>
      <c r="I671" s="13" t="str">
        <f t="shared" si="76"/>
        <v/>
      </c>
    </row>
    <row r="672" spans="1:9" x14ac:dyDescent="0.2">
      <c r="A672" s="7" t="str">
        <f>IF($B672="","",663)</f>
        <v/>
      </c>
      <c r="B672" s="17" t="str">
        <f>IF(663&gt;NBskParty,"",INDEX(PkBskParty,663))</f>
        <v/>
      </c>
      <c r="C672" s="11" t="str">
        <f t="shared" si="70"/>
        <v/>
      </c>
      <c r="D672" s="9" t="str">
        <f t="shared" si="71"/>
        <v/>
      </c>
      <c r="E672" s="9" t="str">
        <f t="shared" si="72"/>
        <v/>
      </c>
      <c r="F672" s="9" t="str">
        <f t="shared" si="73"/>
        <v/>
      </c>
      <c r="G672" s="9" t="str">
        <f t="shared" si="74"/>
        <v/>
      </c>
      <c r="H672" s="10" t="str">
        <f t="shared" si="75"/>
        <v/>
      </c>
      <c r="I672" s="8" t="str">
        <f t="shared" si="76"/>
        <v/>
      </c>
    </row>
    <row r="673" spans="1:9" x14ac:dyDescent="0.2">
      <c r="A673" s="12" t="str">
        <f>IF($B673="","",664)</f>
        <v/>
      </c>
      <c r="B673" s="18" t="str">
        <f>IF(664&gt;NBskParty,"",INDEX(PkBskParty,664))</f>
        <v/>
      </c>
      <c r="C673" s="16" t="str">
        <f t="shared" si="70"/>
        <v/>
      </c>
      <c r="D673" s="14" t="str">
        <f t="shared" si="71"/>
        <v/>
      </c>
      <c r="E673" s="14" t="str">
        <f t="shared" si="72"/>
        <v/>
      </c>
      <c r="F673" s="14" t="str">
        <f t="shared" si="73"/>
        <v/>
      </c>
      <c r="G673" s="14" t="str">
        <f t="shared" si="74"/>
        <v/>
      </c>
      <c r="H673" s="15" t="str">
        <f t="shared" si="75"/>
        <v/>
      </c>
      <c r="I673" s="13" t="str">
        <f t="shared" si="76"/>
        <v/>
      </c>
    </row>
    <row r="674" spans="1:9" x14ac:dyDescent="0.2">
      <c r="A674" s="7" t="str">
        <f>IF($B674="","",665)</f>
        <v/>
      </c>
      <c r="B674" s="17" t="str">
        <f>IF(665&gt;NBskParty,"",INDEX(PkBskParty,665))</f>
        <v/>
      </c>
      <c r="C674" s="11" t="str">
        <f t="shared" si="70"/>
        <v/>
      </c>
      <c r="D674" s="9" t="str">
        <f t="shared" si="71"/>
        <v/>
      </c>
      <c r="E674" s="9" t="str">
        <f t="shared" si="72"/>
        <v/>
      </c>
      <c r="F674" s="9" t="str">
        <f t="shared" si="73"/>
        <v/>
      </c>
      <c r="G674" s="9" t="str">
        <f t="shared" si="74"/>
        <v/>
      </c>
      <c r="H674" s="10" t="str">
        <f t="shared" si="75"/>
        <v/>
      </c>
      <c r="I674" s="8" t="str">
        <f t="shared" si="76"/>
        <v/>
      </c>
    </row>
    <row r="675" spans="1:9" x14ac:dyDescent="0.2">
      <c r="A675" s="12" t="str">
        <f>IF($B675="","",666)</f>
        <v/>
      </c>
      <c r="B675" s="18" t="str">
        <f>IF(666&gt;NBskParty,"",INDEX(PkBskParty,666))</f>
        <v/>
      </c>
      <c r="C675" s="16" t="str">
        <f t="shared" si="70"/>
        <v/>
      </c>
      <c r="D675" s="14" t="str">
        <f t="shared" si="71"/>
        <v/>
      </c>
      <c r="E675" s="14" t="str">
        <f t="shared" si="72"/>
        <v/>
      </c>
      <c r="F675" s="14" t="str">
        <f t="shared" si="73"/>
        <v/>
      </c>
      <c r="G675" s="14" t="str">
        <f t="shared" si="74"/>
        <v/>
      </c>
      <c r="H675" s="15" t="str">
        <f t="shared" si="75"/>
        <v/>
      </c>
      <c r="I675" s="13" t="str">
        <f t="shared" si="76"/>
        <v/>
      </c>
    </row>
    <row r="676" spans="1:9" x14ac:dyDescent="0.2">
      <c r="A676" s="7" t="str">
        <f>IF($B676="","",667)</f>
        <v/>
      </c>
      <c r="B676" s="17" t="str">
        <f>IF(667&gt;NBskParty,"",INDEX(PkBskParty,667))</f>
        <v/>
      </c>
      <c r="C676" s="11" t="str">
        <f t="shared" si="70"/>
        <v/>
      </c>
      <c r="D676" s="9" t="str">
        <f t="shared" si="71"/>
        <v/>
      </c>
      <c r="E676" s="9" t="str">
        <f t="shared" si="72"/>
        <v/>
      </c>
      <c r="F676" s="9" t="str">
        <f t="shared" si="73"/>
        <v/>
      </c>
      <c r="G676" s="9" t="str">
        <f t="shared" si="74"/>
        <v/>
      </c>
      <c r="H676" s="10" t="str">
        <f t="shared" si="75"/>
        <v/>
      </c>
      <c r="I676" s="8" t="str">
        <f t="shared" si="76"/>
        <v/>
      </c>
    </row>
    <row r="677" spans="1:9" x14ac:dyDescent="0.2">
      <c r="A677" s="12" t="str">
        <f>IF($B677="","",668)</f>
        <v/>
      </c>
      <c r="B677" s="18" t="str">
        <f>IF(668&gt;NBskParty,"",INDEX(PkBskParty,668))</f>
        <v/>
      </c>
      <c r="C677" s="16" t="str">
        <f t="shared" si="70"/>
        <v/>
      </c>
      <c r="D677" s="14" t="str">
        <f t="shared" si="71"/>
        <v/>
      </c>
      <c r="E677" s="14" t="str">
        <f t="shared" si="72"/>
        <v/>
      </c>
      <c r="F677" s="14" t="str">
        <f t="shared" si="73"/>
        <v/>
      </c>
      <c r="G677" s="14" t="str">
        <f t="shared" si="74"/>
        <v/>
      </c>
      <c r="H677" s="15" t="str">
        <f t="shared" si="75"/>
        <v/>
      </c>
      <c r="I677" s="13" t="str">
        <f t="shared" si="76"/>
        <v/>
      </c>
    </row>
    <row r="678" spans="1:9" x14ac:dyDescent="0.2">
      <c r="A678" s="7" t="str">
        <f>IF($B678="","",669)</f>
        <v/>
      </c>
      <c r="B678" s="17" t="str">
        <f>IF(669&gt;NBskParty,"",INDEX(PkBskParty,669))</f>
        <v/>
      </c>
      <c r="C678" s="11" t="str">
        <f t="shared" si="70"/>
        <v/>
      </c>
      <c r="D678" s="9" t="str">
        <f t="shared" si="71"/>
        <v/>
      </c>
      <c r="E678" s="9" t="str">
        <f t="shared" si="72"/>
        <v/>
      </c>
      <c r="F678" s="9" t="str">
        <f t="shared" si="73"/>
        <v/>
      </c>
      <c r="G678" s="9" t="str">
        <f t="shared" si="74"/>
        <v/>
      </c>
      <c r="H678" s="10" t="str">
        <f t="shared" si="75"/>
        <v/>
      </c>
      <c r="I678" s="8" t="str">
        <f t="shared" si="76"/>
        <v/>
      </c>
    </row>
    <row r="679" spans="1:9" x14ac:dyDescent="0.2">
      <c r="A679" s="12" t="str">
        <f>IF($B679="","",670)</f>
        <v/>
      </c>
      <c r="B679" s="18" t="str">
        <f>IF(670&gt;NBskParty,"",INDEX(PkBskParty,670))</f>
        <v/>
      </c>
      <c r="C679" s="16" t="str">
        <f t="shared" si="70"/>
        <v/>
      </c>
      <c r="D679" s="14" t="str">
        <f t="shared" si="71"/>
        <v/>
      </c>
      <c r="E679" s="14" t="str">
        <f t="shared" si="72"/>
        <v/>
      </c>
      <c r="F679" s="14" t="str">
        <f t="shared" si="73"/>
        <v/>
      </c>
      <c r="G679" s="14" t="str">
        <f t="shared" si="74"/>
        <v/>
      </c>
      <c r="H679" s="15" t="str">
        <f t="shared" si="75"/>
        <v/>
      </c>
      <c r="I679" s="13" t="str">
        <f t="shared" si="76"/>
        <v/>
      </c>
    </row>
    <row r="680" spans="1:9" x14ac:dyDescent="0.2">
      <c r="A680" s="7" t="str">
        <f>IF($B680="","",671)</f>
        <v/>
      </c>
      <c r="B680" s="17" t="str">
        <f>IF(671&gt;NBskParty,"",INDEX(PkBskParty,671))</f>
        <v/>
      </c>
      <c r="C680" s="11" t="str">
        <f t="shared" si="70"/>
        <v/>
      </c>
      <c r="D680" s="9" t="str">
        <f t="shared" si="71"/>
        <v/>
      </c>
      <c r="E680" s="9" t="str">
        <f t="shared" si="72"/>
        <v/>
      </c>
      <c r="F680" s="9" t="str">
        <f t="shared" si="73"/>
        <v/>
      </c>
      <c r="G680" s="9" t="str">
        <f t="shared" si="74"/>
        <v/>
      </c>
      <c r="H680" s="10" t="str">
        <f t="shared" si="75"/>
        <v/>
      </c>
      <c r="I680" s="8" t="str">
        <f t="shared" si="76"/>
        <v/>
      </c>
    </row>
    <row r="681" spans="1:9" x14ac:dyDescent="0.2">
      <c r="A681" s="12" t="str">
        <f>IF($B681="","",672)</f>
        <v/>
      </c>
      <c r="B681" s="18" t="str">
        <f>IF(672&gt;NBskParty,"",INDEX(PkBskParty,672))</f>
        <v/>
      </c>
      <c r="C681" s="16" t="str">
        <f t="shared" si="70"/>
        <v/>
      </c>
      <c r="D681" s="14" t="str">
        <f t="shared" si="71"/>
        <v/>
      </c>
      <c r="E681" s="14" t="str">
        <f t="shared" si="72"/>
        <v/>
      </c>
      <c r="F681" s="14" t="str">
        <f t="shared" si="73"/>
        <v/>
      </c>
      <c r="G681" s="14" t="str">
        <f t="shared" si="74"/>
        <v/>
      </c>
      <c r="H681" s="15" t="str">
        <f t="shared" si="75"/>
        <v/>
      </c>
      <c r="I681" s="13" t="str">
        <f t="shared" si="76"/>
        <v/>
      </c>
    </row>
    <row r="682" spans="1:9" x14ac:dyDescent="0.2">
      <c r="A682" s="7" t="str">
        <f>IF($B682="","",673)</f>
        <v/>
      </c>
      <c r="B682" s="17" t="str">
        <f>IF(673&gt;NBskParty,"",INDEX(PkBskParty,673))</f>
        <v/>
      </c>
      <c r="C682" s="11" t="str">
        <f t="shared" si="70"/>
        <v/>
      </c>
      <c r="D682" s="9" t="str">
        <f t="shared" si="71"/>
        <v/>
      </c>
      <c r="E682" s="9" t="str">
        <f t="shared" si="72"/>
        <v/>
      </c>
      <c r="F682" s="9" t="str">
        <f t="shared" si="73"/>
        <v/>
      </c>
      <c r="G682" s="9" t="str">
        <f t="shared" si="74"/>
        <v/>
      </c>
      <c r="H682" s="10" t="str">
        <f t="shared" si="75"/>
        <v/>
      </c>
      <c r="I682" s="8" t="str">
        <f t="shared" si="76"/>
        <v/>
      </c>
    </row>
    <row r="683" spans="1:9" x14ac:dyDescent="0.2">
      <c r="A683" s="12" t="str">
        <f>IF($B683="","",674)</f>
        <v/>
      </c>
      <c r="B683" s="18" t="str">
        <f>IF(674&gt;NBskParty,"",INDEX(PkBskParty,674))</f>
        <v/>
      </c>
      <c r="C683" s="16" t="str">
        <f t="shared" si="70"/>
        <v/>
      </c>
      <c r="D683" s="14" t="str">
        <f t="shared" si="71"/>
        <v/>
      </c>
      <c r="E683" s="14" t="str">
        <f t="shared" si="72"/>
        <v/>
      </c>
      <c r="F683" s="14" t="str">
        <f t="shared" si="73"/>
        <v/>
      </c>
      <c r="G683" s="14" t="str">
        <f t="shared" si="74"/>
        <v/>
      </c>
      <c r="H683" s="15" t="str">
        <f t="shared" si="75"/>
        <v/>
      </c>
      <c r="I683" s="13" t="str">
        <f t="shared" si="76"/>
        <v/>
      </c>
    </row>
    <row r="684" spans="1:9" x14ac:dyDescent="0.2">
      <c r="A684" s="7" t="str">
        <f>IF($B684="","",675)</f>
        <v/>
      </c>
      <c r="B684" s="17" t="str">
        <f>IF(675&gt;NBskParty,"",INDEX(PkBskParty,675))</f>
        <v/>
      </c>
      <c r="C684" s="11" t="str">
        <f t="shared" si="70"/>
        <v/>
      </c>
      <c r="D684" s="9" t="str">
        <f t="shared" si="71"/>
        <v/>
      </c>
      <c r="E684" s="9" t="str">
        <f t="shared" si="72"/>
        <v/>
      </c>
      <c r="F684" s="9" t="str">
        <f t="shared" si="73"/>
        <v/>
      </c>
      <c r="G684" s="9" t="str">
        <f t="shared" si="74"/>
        <v/>
      </c>
      <c r="H684" s="10" t="str">
        <f t="shared" si="75"/>
        <v/>
      </c>
      <c r="I684" s="8" t="str">
        <f t="shared" si="76"/>
        <v/>
      </c>
    </row>
    <row r="685" spans="1:9" x14ac:dyDescent="0.2">
      <c r="A685" s="12" t="str">
        <f>IF($B685="","",676)</f>
        <v/>
      </c>
      <c r="B685" s="18" t="str">
        <f>IF(676&gt;NBskParty,"",INDEX(PkBskParty,676))</f>
        <v/>
      </c>
      <c r="C685" s="16" t="str">
        <f t="shared" si="70"/>
        <v/>
      </c>
      <c r="D685" s="14" t="str">
        <f t="shared" si="71"/>
        <v/>
      </c>
      <c r="E685" s="14" t="str">
        <f t="shared" si="72"/>
        <v/>
      </c>
      <c r="F685" s="14" t="str">
        <f t="shared" si="73"/>
        <v/>
      </c>
      <c r="G685" s="14" t="str">
        <f t="shared" si="74"/>
        <v/>
      </c>
      <c r="H685" s="15" t="str">
        <f t="shared" si="75"/>
        <v/>
      </c>
      <c r="I685" s="13" t="str">
        <f t="shared" si="76"/>
        <v/>
      </c>
    </row>
    <row r="686" spans="1:9" x14ac:dyDescent="0.2">
      <c r="A686" s="7" t="str">
        <f>IF($B686="","",677)</f>
        <v/>
      </c>
      <c r="B686" s="17" t="str">
        <f>IF(677&gt;NBskParty,"",INDEX(PkBskParty,677))</f>
        <v/>
      </c>
      <c r="C686" s="11" t="str">
        <f t="shared" si="70"/>
        <v/>
      </c>
      <c r="D686" s="9" t="str">
        <f t="shared" si="71"/>
        <v/>
      </c>
      <c r="E686" s="9" t="str">
        <f t="shared" si="72"/>
        <v/>
      </c>
      <c r="F686" s="9" t="str">
        <f t="shared" si="73"/>
        <v/>
      </c>
      <c r="G686" s="9" t="str">
        <f t="shared" si="74"/>
        <v/>
      </c>
      <c r="H686" s="10" t="str">
        <f t="shared" si="75"/>
        <v/>
      </c>
      <c r="I686" s="8" t="str">
        <f t="shared" si="76"/>
        <v/>
      </c>
    </row>
    <row r="687" spans="1:9" x14ac:dyDescent="0.2">
      <c r="A687" s="12" t="str">
        <f>IF($B687="","",678)</f>
        <v/>
      </c>
      <c r="B687" s="18" t="str">
        <f>IF(678&gt;NBskParty,"",INDEX(PkBskParty,678))</f>
        <v/>
      </c>
      <c r="C687" s="16" t="str">
        <f t="shared" si="70"/>
        <v/>
      </c>
      <c r="D687" s="14" t="str">
        <f t="shared" si="71"/>
        <v/>
      </c>
      <c r="E687" s="14" t="str">
        <f t="shared" si="72"/>
        <v/>
      </c>
      <c r="F687" s="14" t="str">
        <f t="shared" si="73"/>
        <v/>
      </c>
      <c r="G687" s="14" t="str">
        <f t="shared" si="74"/>
        <v/>
      </c>
      <c r="H687" s="15" t="str">
        <f t="shared" si="75"/>
        <v/>
      </c>
      <c r="I687" s="13" t="str">
        <f t="shared" si="76"/>
        <v/>
      </c>
    </row>
    <row r="688" spans="1:9" x14ac:dyDescent="0.2">
      <c r="A688" s="7" t="str">
        <f>IF($B688="","",679)</f>
        <v/>
      </c>
      <c r="B688" s="17" t="str">
        <f>IF(679&gt;NBskParty,"",INDEX(PkBskParty,679))</f>
        <v/>
      </c>
      <c r="C688" s="11" t="str">
        <f t="shared" si="70"/>
        <v/>
      </c>
      <c r="D688" s="9" t="str">
        <f t="shared" si="71"/>
        <v/>
      </c>
      <c r="E688" s="9" t="str">
        <f t="shared" si="72"/>
        <v/>
      </c>
      <c r="F688" s="9" t="str">
        <f t="shared" si="73"/>
        <v/>
      </c>
      <c r="G688" s="9" t="str">
        <f t="shared" si="74"/>
        <v/>
      </c>
      <c r="H688" s="10" t="str">
        <f t="shared" si="75"/>
        <v/>
      </c>
      <c r="I688" s="8" t="str">
        <f t="shared" si="76"/>
        <v/>
      </c>
    </row>
    <row r="689" spans="1:9" x14ac:dyDescent="0.2">
      <c r="A689" s="12" t="str">
        <f>IF($B689="","",680)</f>
        <v/>
      </c>
      <c r="B689" s="18" t="str">
        <f>IF(680&gt;NBskParty,"",INDEX(PkBskParty,680))</f>
        <v/>
      </c>
      <c r="C689" s="16" t="str">
        <f t="shared" si="70"/>
        <v/>
      </c>
      <c r="D689" s="14" t="str">
        <f t="shared" si="71"/>
        <v/>
      </c>
      <c r="E689" s="14" t="str">
        <f t="shared" si="72"/>
        <v/>
      </c>
      <c r="F689" s="14" t="str">
        <f t="shared" si="73"/>
        <v/>
      </c>
      <c r="G689" s="14" t="str">
        <f t="shared" si="74"/>
        <v/>
      </c>
      <c r="H689" s="15" t="str">
        <f t="shared" si="75"/>
        <v/>
      </c>
      <c r="I689" s="13" t="str">
        <f t="shared" si="76"/>
        <v/>
      </c>
    </row>
    <row r="690" spans="1:9" x14ac:dyDescent="0.2">
      <c r="A690" s="7" t="str">
        <f>IF($B690="","",681)</f>
        <v/>
      </c>
      <c r="B690" s="17" t="str">
        <f>IF(681&gt;NBskParty,"",INDEX(PkBskParty,681))</f>
        <v/>
      </c>
      <c r="C690" s="11" t="str">
        <f t="shared" si="70"/>
        <v/>
      </c>
      <c r="D690" s="9" t="str">
        <f t="shared" si="71"/>
        <v/>
      </c>
      <c r="E690" s="9" t="str">
        <f t="shared" si="72"/>
        <v/>
      </c>
      <c r="F690" s="9" t="str">
        <f t="shared" si="73"/>
        <v/>
      </c>
      <c r="G690" s="9" t="str">
        <f t="shared" si="74"/>
        <v/>
      </c>
      <c r="H690" s="10" t="str">
        <f t="shared" si="75"/>
        <v/>
      </c>
      <c r="I690" s="8" t="str">
        <f t="shared" si="76"/>
        <v/>
      </c>
    </row>
    <row r="691" spans="1:9" x14ac:dyDescent="0.2">
      <c r="A691" s="12" t="str">
        <f>IF($B691="","",682)</f>
        <v/>
      </c>
      <c r="B691" s="18" t="str">
        <f>IF(682&gt;NBskParty,"",INDEX(PkBskParty,682))</f>
        <v/>
      </c>
      <c r="C691" s="16" t="str">
        <f t="shared" si="70"/>
        <v/>
      </c>
      <c r="D691" s="14" t="str">
        <f t="shared" si="71"/>
        <v/>
      </c>
      <c r="E691" s="14" t="str">
        <f t="shared" si="72"/>
        <v/>
      </c>
      <c r="F691" s="14" t="str">
        <f t="shared" si="73"/>
        <v/>
      </c>
      <c r="G691" s="14" t="str">
        <f t="shared" si="74"/>
        <v/>
      </c>
      <c r="H691" s="15" t="str">
        <f t="shared" si="75"/>
        <v/>
      </c>
      <c r="I691" s="13" t="str">
        <f t="shared" si="76"/>
        <v/>
      </c>
    </row>
    <row r="692" spans="1:9" x14ac:dyDescent="0.2">
      <c r="A692" s="7" t="str">
        <f>IF($B692="","",683)</f>
        <v/>
      </c>
      <c r="B692" s="17" t="str">
        <f>IF(683&gt;NBskParty,"",INDEX(PkBskParty,683))</f>
        <v/>
      </c>
      <c r="C692" s="11" t="str">
        <f t="shared" si="70"/>
        <v/>
      </c>
      <c r="D692" s="9" t="str">
        <f t="shared" si="71"/>
        <v/>
      </c>
      <c r="E692" s="9" t="str">
        <f t="shared" si="72"/>
        <v/>
      </c>
      <c r="F692" s="9" t="str">
        <f t="shared" si="73"/>
        <v/>
      </c>
      <c r="G692" s="9" t="str">
        <f t="shared" si="74"/>
        <v/>
      </c>
      <c r="H692" s="10" t="str">
        <f t="shared" si="75"/>
        <v/>
      </c>
      <c r="I692" s="8" t="str">
        <f t="shared" si="76"/>
        <v/>
      </c>
    </row>
    <row r="693" spans="1:9" x14ac:dyDescent="0.2">
      <c r="A693" s="12" t="str">
        <f>IF($B693="","",684)</f>
        <v/>
      </c>
      <c r="B693" s="18" t="str">
        <f>IF(684&gt;NBskParty,"",INDEX(PkBskParty,684))</f>
        <v/>
      </c>
      <c r="C693" s="16" t="str">
        <f t="shared" si="70"/>
        <v/>
      </c>
      <c r="D693" s="14" t="str">
        <f t="shared" si="71"/>
        <v/>
      </c>
      <c r="E693" s="14" t="str">
        <f t="shared" si="72"/>
        <v/>
      </c>
      <c r="F693" s="14" t="str">
        <f t="shared" si="73"/>
        <v/>
      </c>
      <c r="G693" s="14" t="str">
        <f t="shared" si="74"/>
        <v/>
      </c>
      <c r="H693" s="15" t="str">
        <f t="shared" si="75"/>
        <v/>
      </c>
      <c r="I693" s="13" t="str">
        <f t="shared" si="76"/>
        <v/>
      </c>
    </row>
    <row r="694" spans="1:9" x14ac:dyDescent="0.2">
      <c r="A694" s="7" t="str">
        <f>IF($B694="","",685)</f>
        <v/>
      </c>
      <c r="B694" s="17" t="str">
        <f>IF(685&gt;NBskParty,"",INDEX(PkBskParty,685))</f>
        <v/>
      </c>
      <c r="C694" s="11" t="str">
        <f t="shared" si="70"/>
        <v/>
      </c>
      <c r="D694" s="9" t="str">
        <f t="shared" si="71"/>
        <v/>
      </c>
      <c r="E694" s="9" t="str">
        <f t="shared" si="72"/>
        <v/>
      </c>
      <c r="F694" s="9" t="str">
        <f t="shared" si="73"/>
        <v/>
      </c>
      <c r="G694" s="9" t="str">
        <f t="shared" si="74"/>
        <v/>
      </c>
      <c r="H694" s="10" t="str">
        <f t="shared" si="75"/>
        <v/>
      </c>
      <c r="I694" s="8" t="str">
        <f t="shared" si="76"/>
        <v/>
      </c>
    </row>
    <row r="695" spans="1:9" x14ac:dyDescent="0.2">
      <c r="A695" s="12" t="str">
        <f>IF($B695="","",686)</f>
        <v/>
      </c>
      <c r="B695" s="18" t="str">
        <f>IF(686&gt;NBskParty,"",INDEX(PkBskParty,686))</f>
        <v/>
      </c>
      <c r="C695" s="16" t="str">
        <f t="shared" si="70"/>
        <v/>
      </c>
      <c r="D695" s="14" t="str">
        <f t="shared" si="71"/>
        <v/>
      </c>
      <c r="E695" s="14" t="str">
        <f t="shared" si="72"/>
        <v/>
      </c>
      <c r="F695" s="14" t="str">
        <f t="shared" si="73"/>
        <v/>
      </c>
      <c r="G695" s="14" t="str">
        <f t="shared" si="74"/>
        <v/>
      </c>
      <c r="H695" s="15" t="str">
        <f t="shared" si="75"/>
        <v/>
      </c>
      <c r="I695" s="13" t="str">
        <f t="shared" si="76"/>
        <v/>
      </c>
    </row>
    <row r="696" spans="1:9" x14ac:dyDescent="0.2">
      <c r="A696" s="7" t="str">
        <f>IF($B696="","",687)</f>
        <v/>
      </c>
      <c r="B696" s="17" t="str">
        <f>IF(687&gt;NBskParty,"",INDEX(PkBskParty,687))</f>
        <v/>
      </c>
      <c r="C696" s="11" t="str">
        <f t="shared" si="70"/>
        <v/>
      </c>
      <c r="D696" s="9" t="str">
        <f t="shared" si="71"/>
        <v/>
      </c>
      <c r="E696" s="9" t="str">
        <f t="shared" si="72"/>
        <v/>
      </c>
      <c r="F696" s="9" t="str">
        <f t="shared" si="73"/>
        <v/>
      </c>
      <c r="G696" s="9" t="str">
        <f t="shared" si="74"/>
        <v/>
      </c>
      <c r="H696" s="10" t="str">
        <f t="shared" si="75"/>
        <v/>
      </c>
      <c r="I696" s="8" t="str">
        <f t="shared" si="76"/>
        <v/>
      </c>
    </row>
    <row r="697" spans="1:9" x14ac:dyDescent="0.2">
      <c r="A697" s="12" t="str">
        <f>IF($B697="","",688)</f>
        <v/>
      </c>
      <c r="B697" s="18" t="str">
        <f>IF(688&gt;NBskParty,"",INDEX(PkBskParty,688))</f>
        <v/>
      </c>
      <c r="C697" s="16" t="str">
        <f t="shared" si="70"/>
        <v/>
      </c>
      <c r="D697" s="14" t="str">
        <f t="shared" si="71"/>
        <v/>
      </c>
      <c r="E697" s="14" t="str">
        <f t="shared" si="72"/>
        <v/>
      </c>
      <c r="F697" s="14" t="str">
        <f t="shared" si="73"/>
        <v/>
      </c>
      <c r="G697" s="14" t="str">
        <f t="shared" si="74"/>
        <v/>
      </c>
      <c r="H697" s="15" t="str">
        <f t="shared" si="75"/>
        <v/>
      </c>
      <c r="I697" s="13" t="str">
        <f t="shared" si="76"/>
        <v/>
      </c>
    </row>
    <row r="698" spans="1:9" x14ac:dyDescent="0.2">
      <c r="A698" s="7" t="str">
        <f>IF($B698="","",689)</f>
        <v/>
      </c>
      <c r="B698" s="17" t="str">
        <f>IF(689&gt;NBskParty,"",INDEX(PkBskParty,689))</f>
        <v/>
      </c>
      <c r="C698" s="11" t="str">
        <f t="shared" si="70"/>
        <v/>
      </c>
      <c r="D698" s="9" t="str">
        <f t="shared" si="71"/>
        <v/>
      </c>
      <c r="E698" s="9" t="str">
        <f t="shared" si="72"/>
        <v/>
      </c>
      <c r="F698" s="9" t="str">
        <f t="shared" si="73"/>
        <v/>
      </c>
      <c r="G698" s="9" t="str">
        <f t="shared" si="74"/>
        <v/>
      </c>
      <c r="H698" s="10" t="str">
        <f t="shared" si="75"/>
        <v/>
      </c>
      <c r="I698" s="8" t="str">
        <f t="shared" si="76"/>
        <v/>
      </c>
    </row>
    <row r="699" spans="1:9" x14ac:dyDescent="0.2">
      <c r="A699" s="12" t="str">
        <f>IF($B699="","",690)</f>
        <v/>
      </c>
      <c r="B699" s="18" t="str">
        <f>IF(690&gt;NBskParty,"",INDEX(PkBskParty,690))</f>
        <v/>
      </c>
      <c r="C699" s="16" t="str">
        <f t="shared" si="70"/>
        <v/>
      </c>
      <c r="D699" s="14" t="str">
        <f t="shared" si="71"/>
        <v/>
      </c>
      <c r="E699" s="14" t="str">
        <f t="shared" si="72"/>
        <v/>
      </c>
      <c r="F699" s="14" t="str">
        <f t="shared" si="73"/>
        <v/>
      </c>
      <c r="G699" s="14" t="str">
        <f t="shared" si="74"/>
        <v/>
      </c>
      <c r="H699" s="15" t="str">
        <f t="shared" si="75"/>
        <v/>
      </c>
      <c r="I699" s="13" t="str">
        <f t="shared" si="76"/>
        <v/>
      </c>
    </row>
    <row r="700" spans="1:9" x14ac:dyDescent="0.2">
      <c r="A700" s="7" t="str">
        <f>IF($B700="","",691)</f>
        <v/>
      </c>
      <c r="B700" s="17" t="str">
        <f>IF(691&gt;NBskParty,"",INDEX(PkBskParty,691))</f>
        <v/>
      </c>
      <c r="C700" s="11" t="str">
        <f t="shared" si="70"/>
        <v/>
      </c>
      <c r="D700" s="9" t="str">
        <f t="shared" si="71"/>
        <v/>
      </c>
      <c r="E700" s="9" t="str">
        <f t="shared" si="72"/>
        <v/>
      </c>
      <c r="F700" s="9" t="str">
        <f t="shared" si="73"/>
        <v/>
      </c>
      <c r="G700" s="9" t="str">
        <f t="shared" si="74"/>
        <v/>
      </c>
      <c r="H700" s="10" t="str">
        <f t="shared" si="75"/>
        <v/>
      </c>
      <c r="I700" s="8" t="str">
        <f t="shared" si="76"/>
        <v/>
      </c>
    </row>
    <row r="701" spans="1:9" x14ac:dyDescent="0.2">
      <c r="A701" s="12" t="str">
        <f>IF($B701="","",692)</f>
        <v/>
      </c>
      <c r="B701" s="18" t="str">
        <f>IF(692&gt;NBskParty,"",INDEX(PkBskParty,692))</f>
        <v/>
      </c>
      <c r="C701" s="16" t="str">
        <f t="shared" si="70"/>
        <v/>
      </c>
      <c r="D701" s="14" t="str">
        <f t="shared" si="71"/>
        <v/>
      </c>
      <c r="E701" s="14" t="str">
        <f t="shared" si="72"/>
        <v/>
      </c>
      <c r="F701" s="14" t="str">
        <f t="shared" si="73"/>
        <v/>
      </c>
      <c r="G701" s="14" t="str">
        <f t="shared" si="74"/>
        <v/>
      </c>
      <c r="H701" s="15" t="str">
        <f t="shared" si="75"/>
        <v/>
      </c>
      <c r="I701" s="13" t="str">
        <f t="shared" si="76"/>
        <v/>
      </c>
    </row>
    <row r="702" spans="1:9" x14ac:dyDescent="0.2">
      <c r="A702" s="7" t="str">
        <f>IF($B702="","",693)</f>
        <v/>
      </c>
      <c r="B702" s="17" t="str">
        <f>IF(693&gt;NBskParty,"",INDEX(PkBskParty,693))</f>
        <v/>
      </c>
      <c r="C702" s="11" t="str">
        <f t="shared" si="70"/>
        <v/>
      </c>
      <c r="D702" s="9" t="str">
        <f t="shared" si="71"/>
        <v/>
      </c>
      <c r="E702" s="9" t="str">
        <f t="shared" si="72"/>
        <v/>
      </c>
      <c r="F702" s="9" t="str">
        <f t="shared" si="73"/>
        <v/>
      </c>
      <c r="G702" s="9" t="str">
        <f t="shared" si="74"/>
        <v/>
      </c>
      <c r="H702" s="10" t="str">
        <f t="shared" si="75"/>
        <v/>
      </c>
      <c r="I702" s="8" t="str">
        <f t="shared" si="76"/>
        <v/>
      </c>
    </row>
    <row r="703" spans="1:9" x14ac:dyDescent="0.2">
      <c r="A703" s="12" t="str">
        <f>IF($B703="","",694)</f>
        <v/>
      </c>
      <c r="B703" s="18" t="str">
        <f>IF(694&gt;NBskParty,"",INDEX(PkBskParty,694))</f>
        <v/>
      </c>
      <c r="C703" s="16" t="str">
        <f t="shared" si="70"/>
        <v/>
      </c>
      <c r="D703" s="14" t="str">
        <f t="shared" si="71"/>
        <v/>
      </c>
      <c r="E703" s="14" t="str">
        <f t="shared" si="72"/>
        <v/>
      </c>
      <c r="F703" s="14" t="str">
        <f t="shared" si="73"/>
        <v/>
      </c>
      <c r="G703" s="14" t="str">
        <f t="shared" si="74"/>
        <v/>
      </c>
      <c r="H703" s="15" t="str">
        <f t="shared" si="75"/>
        <v/>
      </c>
      <c r="I703" s="13" t="str">
        <f t="shared" si="76"/>
        <v/>
      </c>
    </row>
    <row r="704" spans="1:9" x14ac:dyDescent="0.2">
      <c r="A704" s="7" t="str">
        <f>IF($B704="","",695)</f>
        <v/>
      </c>
      <c r="B704" s="17" t="str">
        <f>IF(695&gt;NBskParty,"",INDEX(PkBskParty,695))</f>
        <v/>
      </c>
      <c r="C704" s="11" t="str">
        <f t="shared" si="70"/>
        <v/>
      </c>
      <c r="D704" s="9" t="str">
        <f t="shared" si="71"/>
        <v/>
      </c>
      <c r="E704" s="9" t="str">
        <f t="shared" si="72"/>
        <v/>
      </c>
      <c r="F704" s="9" t="str">
        <f t="shared" si="73"/>
        <v/>
      </c>
      <c r="G704" s="9" t="str">
        <f t="shared" si="74"/>
        <v/>
      </c>
      <c r="H704" s="10" t="str">
        <f t="shared" si="75"/>
        <v/>
      </c>
      <c r="I704" s="8" t="str">
        <f t="shared" si="76"/>
        <v/>
      </c>
    </row>
    <row r="705" spans="1:9" x14ac:dyDescent="0.2">
      <c r="A705" s="12" t="str">
        <f>IF($B705="","",696)</f>
        <v/>
      </c>
      <c r="B705" s="18" t="str">
        <f>IF(696&gt;NBskParty,"",INDEX(PkBskParty,696))</f>
        <v/>
      </c>
      <c r="C705" s="16" t="str">
        <f t="shared" si="70"/>
        <v/>
      </c>
      <c r="D705" s="14" t="str">
        <f t="shared" si="71"/>
        <v/>
      </c>
      <c r="E705" s="14" t="str">
        <f t="shared" si="72"/>
        <v/>
      </c>
      <c r="F705" s="14" t="str">
        <f t="shared" si="73"/>
        <v/>
      </c>
      <c r="G705" s="14" t="str">
        <f t="shared" si="74"/>
        <v/>
      </c>
      <c r="H705" s="15" t="str">
        <f t="shared" si="75"/>
        <v/>
      </c>
      <c r="I705" s="13" t="str">
        <f t="shared" si="76"/>
        <v/>
      </c>
    </row>
    <row r="706" spans="1:9" x14ac:dyDescent="0.2">
      <c r="A706" s="7" t="str">
        <f>IF($B706="","",697)</f>
        <v/>
      </c>
      <c r="B706" s="17" t="str">
        <f>IF(697&gt;NBskParty,"",INDEX(PkBskParty,697))</f>
        <v/>
      </c>
      <c r="C706" s="11" t="str">
        <f t="shared" si="70"/>
        <v/>
      </c>
      <c r="D706" s="9" t="str">
        <f t="shared" si="71"/>
        <v/>
      </c>
      <c r="E706" s="9" t="str">
        <f t="shared" si="72"/>
        <v/>
      </c>
      <c r="F706" s="9" t="str">
        <f t="shared" si="73"/>
        <v/>
      </c>
      <c r="G706" s="9" t="str">
        <f t="shared" si="74"/>
        <v/>
      </c>
      <c r="H706" s="10" t="str">
        <f t="shared" si="75"/>
        <v/>
      </c>
      <c r="I706" s="8" t="str">
        <f t="shared" si="76"/>
        <v/>
      </c>
    </row>
    <row r="707" spans="1:9" x14ac:dyDescent="0.2">
      <c r="A707" s="12" t="str">
        <f>IF($B707="","",698)</f>
        <v/>
      </c>
      <c r="B707" s="18" t="str">
        <f>IF(698&gt;NBskParty,"",INDEX(PkBskParty,698))</f>
        <v/>
      </c>
      <c r="C707" s="16" t="str">
        <f t="shared" si="70"/>
        <v/>
      </c>
      <c r="D707" s="14" t="str">
        <f t="shared" si="71"/>
        <v/>
      </c>
      <c r="E707" s="14" t="str">
        <f t="shared" si="72"/>
        <v/>
      </c>
      <c r="F707" s="14" t="str">
        <f t="shared" si="73"/>
        <v/>
      </c>
      <c r="G707" s="14" t="str">
        <f t="shared" si="74"/>
        <v/>
      </c>
      <c r="H707" s="15" t="str">
        <f t="shared" si="75"/>
        <v/>
      </c>
      <c r="I707" s="13" t="str">
        <f t="shared" si="76"/>
        <v/>
      </c>
    </row>
    <row r="708" spans="1:9" x14ac:dyDescent="0.2">
      <c r="A708" s="7" t="str">
        <f>IF($B708="","",699)</f>
        <v/>
      </c>
      <c r="B708" s="17" t="str">
        <f>IF(699&gt;NBskParty,"",INDEX(PkBskParty,699))</f>
        <v/>
      </c>
      <c r="C708" s="11" t="str">
        <f t="shared" si="70"/>
        <v/>
      </c>
      <c r="D708" s="9" t="str">
        <f t="shared" si="71"/>
        <v/>
      </c>
      <c r="E708" s="9" t="str">
        <f t="shared" si="72"/>
        <v/>
      </c>
      <c r="F708" s="9" t="str">
        <f t="shared" si="73"/>
        <v/>
      </c>
      <c r="G708" s="9" t="str">
        <f t="shared" si="74"/>
        <v/>
      </c>
      <c r="H708" s="10" t="str">
        <f t="shared" si="75"/>
        <v/>
      </c>
      <c r="I708" s="8" t="str">
        <f t="shared" si="76"/>
        <v/>
      </c>
    </row>
    <row r="709" spans="1:9" x14ac:dyDescent="0.2">
      <c r="A709" s="12" t="str">
        <f>IF($B709="","",700)</f>
        <v/>
      </c>
      <c r="B709" s="18" t="str">
        <f>IF(700&gt;NBskParty,"",INDEX(PkBskParty,700))</f>
        <v/>
      </c>
      <c r="C709" s="16" t="str">
        <f t="shared" si="70"/>
        <v/>
      </c>
      <c r="D709" s="14" t="str">
        <f t="shared" si="71"/>
        <v/>
      </c>
      <c r="E709" s="14" t="str">
        <f t="shared" si="72"/>
        <v/>
      </c>
      <c r="F709" s="14" t="str">
        <f t="shared" si="73"/>
        <v/>
      </c>
      <c r="G709" s="14" t="str">
        <f t="shared" si="74"/>
        <v/>
      </c>
      <c r="H709" s="15" t="str">
        <f t="shared" si="75"/>
        <v/>
      </c>
      <c r="I709" s="13" t="str">
        <f t="shared" si="76"/>
        <v/>
      </c>
    </row>
    <row r="710" spans="1:9" x14ac:dyDescent="0.2">
      <c r="A710" s="7" t="str">
        <f>IF($B710="","",701)</f>
        <v/>
      </c>
      <c r="B710" s="17" t="str">
        <f>IF(701&gt;NBskParty,"",INDEX(PkBskParty,701))</f>
        <v/>
      </c>
      <c r="C710" s="11" t="str">
        <f t="shared" si="70"/>
        <v/>
      </c>
      <c r="D710" s="9" t="str">
        <f t="shared" si="71"/>
        <v/>
      </c>
      <c r="E710" s="9" t="str">
        <f t="shared" si="72"/>
        <v/>
      </c>
      <c r="F710" s="9" t="str">
        <f t="shared" si="73"/>
        <v/>
      </c>
      <c r="G710" s="9" t="str">
        <f t="shared" si="74"/>
        <v/>
      </c>
      <c r="H710" s="10" t="str">
        <f t="shared" si="75"/>
        <v/>
      </c>
      <c r="I710" s="8" t="str">
        <f t="shared" si="76"/>
        <v/>
      </c>
    </row>
    <row r="711" spans="1:9" x14ac:dyDescent="0.2">
      <c r="A711" s="12" t="str">
        <f>IF($B711="","",702)</f>
        <v/>
      </c>
      <c r="B711" s="18" t="str">
        <f>IF(702&gt;NBskParty,"",INDEX(PkBskParty,702))</f>
        <v/>
      </c>
      <c r="C711" s="16" t="str">
        <f t="shared" si="70"/>
        <v/>
      </c>
      <c r="D711" s="14" t="str">
        <f t="shared" si="71"/>
        <v/>
      </c>
      <c r="E711" s="14" t="str">
        <f t="shared" si="72"/>
        <v/>
      </c>
      <c r="F711" s="14" t="str">
        <f t="shared" si="73"/>
        <v/>
      </c>
      <c r="G711" s="14" t="str">
        <f t="shared" si="74"/>
        <v/>
      </c>
      <c r="H711" s="15" t="str">
        <f t="shared" si="75"/>
        <v/>
      </c>
      <c r="I711" s="13" t="str">
        <f t="shared" si="76"/>
        <v/>
      </c>
    </row>
    <row r="712" spans="1:9" x14ac:dyDescent="0.2">
      <c r="A712" s="7" t="str">
        <f>IF($B712="","",703)</f>
        <v/>
      </c>
      <c r="B712" s="17" t="str">
        <f>IF(703&gt;NBskParty,"",INDEX(PkBskParty,703))</f>
        <v/>
      </c>
      <c r="C712" s="11" t="str">
        <f t="shared" si="70"/>
        <v/>
      </c>
      <c r="D712" s="9" t="str">
        <f t="shared" si="71"/>
        <v/>
      </c>
      <c r="E712" s="9" t="str">
        <f t="shared" si="72"/>
        <v/>
      </c>
      <c r="F712" s="9" t="str">
        <f t="shared" si="73"/>
        <v/>
      </c>
      <c r="G712" s="9" t="str">
        <f t="shared" si="74"/>
        <v/>
      </c>
      <c r="H712" s="10" t="str">
        <f t="shared" si="75"/>
        <v/>
      </c>
      <c r="I712" s="8" t="str">
        <f t="shared" si="76"/>
        <v/>
      </c>
    </row>
    <row r="713" spans="1:9" x14ac:dyDescent="0.2">
      <c r="A713" s="12" t="str">
        <f>IF($B713="","",704)</f>
        <v/>
      </c>
      <c r="B713" s="18" t="str">
        <f>IF(704&gt;NBskParty,"",INDEX(PkBskParty,704))</f>
        <v/>
      </c>
      <c r="C713" s="16" t="str">
        <f t="shared" si="70"/>
        <v/>
      </c>
      <c r="D713" s="14" t="str">
        <f t="shared" si="71"/>
        <v/>
      </c>
      <c r="E713" s="14" t="str">
        <f t="shared" si="72"/>
        <v/>
      </c>
      <c r="F713" s="14" t="str">
        <f t="shared" si="73"/>
        <v/>
      </c>
      <c r="G713" s="14" t="str">
        <f t="shared" si="74"/>
        <v/>
      </c>
      <c r="H713" s="15" t="str">
        <f t="shared" si="75"/>
        <v/>
      </c>
      <c r="I713" s="13" t="str">
        <f t="shared" si="76"/>
        <v/>
      </c>
    </row>
    <row r="714" spans="1:9" x14ac:dyDescent="0.2">
      <c r="A714" s="7" t="str">
        <f>IF($B714="","",705)</f>
        <v/>
      </c>
      <c r="B714" s="17" t="str">
        <f>IF(705&gt;NBskParty,"",INDEX(PkBskParty,705))</f>
        <v/>
      </c>
      <c r="C714" s="11" t="str">
        <f t="shared" ref="C714:C777" si="77">IF($B714="","",IFERROR(IF(VLOOKUP($B714,AcctTbl,4,0)="","(بدون نام)",VLOOKUP($B714,AcctTbl,4,0)),"—"))</f>
        <v/>
      </c>
      <c r="D714" s="9" t="str">
        <f t="shared" ref="D714:D777" si="78">IF($B714="","",SUMIF(CalcPartyA,$B714,CalcQtyA))</f>
        <v/>
      </c>
      <c r="E714" s="9" t="str">
        <f t="shared" ref="E714:E777" si="79">IF($B714="","",SUMIF(CalcPartyA,$B714,CalcAmtA))</f>
        <v/>
      </c>
      <c r="F714" s="9" t="str">
        <f t="shared" ref="F714:F777" si="80">IF($B714="","",SUMIF(CalcPartyB,$B714,CalcWitB))</f>
        <v/>
      </c>
      <c r="G714" s="9" t="str">
        <f t="shared" ref="G714:G777" si="81">IF($B714="","",SUMIF(CalcPartyB,$B714,CalcDepB))</f>
        <v/>
      </c>
      <c r="H714" s="10" t="str">
        <f t="shared" ref="H714:H777" si="82">IF($B714="","",$E714-$F714+$G714)</f>
        <v/>
      </c>
      <c r="I714" s="8" t="str">
        <f t="shared" ref="I714:I777" si="83">IF($B714="","",IF(ROUND($H714,0)&gt;0,"● بستانکار",IF(ROUND($H714,0)&lt;0,"● بدهکار","تسویه")))</f>
        <v/>
      </c>
    </row>
    <row r="715" spans="1:9" x14ac:dyDescent="0.2">
      <c r="A715" s="12" t="str">
        <f>IF($B715="","",706)</f>
        <v/>
      </c>
      <c r="B715" s="18" t="str">
        <f>IF(706&gt;NBskParty,"",INDEX(PkBskParty,706))</f>
        <v/>
      </c>
      <c r="C715" s="16" t="str">
        <f t="shared" si="77"/>
        <v/>
      </c>
      <c r="D715" s="14" t="str">
        <f t="shared" si="78"/>
        <v/>
      </c>
      <c r="E715" s="14" t="str">
        <f t="shared" si="79"/>
        <v/>
      </c>
      <c r="F715" s="14" t="str">
        <f t="shared" si="80"/>
        <v/>
      </c>
      <c r="G715" s="14" t="str">
        <f t="shared" si="81"/>
        <v/>
      </c>
      <c r="H715" s="15" t="str">
        <f t="shared" si="82"/>
        <v/>
      </c>
      <c r="I715" s="13" t="str">
        <f t="shared" si="83"/>
        <v/>
      </c>
    </row>
    <row r="716" spans="1:9" x14ac:dyDescent="0.2">
      <c r="A716" s="7" t="str">
        <f>IF($B716="","",707)</f>
        <v/>
      </c>
      <c r="B716" s="17" t="str">
        <f>IF(707&gt;NBskParty,"",INDEX(PkBskParty,707))</f>
        <v/>
      </c>
      <c r="C716" s="11" t="str">
        <f t="shared" si="77"/>
        <v/>
      </c>
      <c r="D716" s="9" t="str">
        <f t="shared" si="78"/>
        <v/>
      </c>
      <c r="E716" s="9" t="str">
        <f t="shared" si="79"/>
        <v/>
      </c>
      <c r="F716" s="9" t="str">
        <f t="shared" si="80"/>
        <v/>
      </c>
      <c r="G716" s="9" t="str">
        <f t="shared" si="81"/>
        <v/>
      </c>
      <c r="H716" s="10" t="str">
        <f t="shared" si="82"/>
        <v/>
      </c>
      <c r="I716" s="8" t="str">
        <f t="shared" si="83"/>
        <v/>
      </c>
    </row>
    <row r="717" spans="1:9" x14ac:dyDescent="0.2">
      <c r="A717" s="12" t="str">
        <f>IF($B717="","",708)</f>
        <v/>
      </c>
      <c r="B717" s="18" t="str">
        <f>IF(708&gt;NBskParty,"",INDEX(PkBskParty,708))</f>
        <v/>
      </c>
      <c r="C717" s="16" t="str">
        <f t="shared" si="77"/>
        <v/>
      </c>
      <c r="D717" s="14" t="str">
        <f t="shared" si="78"/>
        <v/>
      </c>
      <c r="E717" s="14" t="str">
        <f t="shared" si="79"/>
        <v/>
      </c>
      <c r="F717" s="14" t="str">
        <f t="shared" si="80"/>
        <v/>
      </c>
      <c r="G717" s="14" t="str">
        <f t="shared" si="81"/>
        <v/>
      </c>
      <c r="H717" s="15" t="str">
        <f t="shared" si="82"/>
        <v/>
      </c>
      <c r="I717" s="13" t="str">
        <f t="shared" si="83"/>
        <v/>
      </c>
    </row>
    <row r="718" spans="1:9" x14ac:dyDescent="0.2">
      <c r="A718" s="7" t="str">
        <f>IF($B718="","",709)</f>
        <v/>
      </c>
      <c r="B718" s="17" t="str">
        <f>IF(709&gt;NBskParty,"",INDEX(PkBskParty,709))</f>
        <v/>
      </c>
      <c r="C718" s="11" t="str">
        <f t="shared" si="77"/>
        <v/>
      </c>
      <c r="D718" s="9" t="str">
        <f t="shared" si="78"/>
        <v/>
      </c>
      <c r="E718" s="9" t="str">
        <f t="shared" si="79"/>
        <v/>
      </c>
      <c r="F718" s="9" t="str">
        <f t="shared" si="80"/>
        <v/>
      </c>
      <c r="G718" s="9" t="str">
        <f t="shared" si="81"/>
        <v/>
      </c>
      <c r="H718" s="10" t="str">
        <f t="shared" si="82"/>
        <v/>
      </c>
      <c r="I718" s="8" t="str">
        <f t="shared" si="83"/>
        <v/>
      </c>
    </row>
    <row r="719" spans="1:9" x14ac:dyDescent="0.2">
      <c r="A719" s="12" t="str">
        <f>IF($B719="","",710)</f>
        <v/>
      </c>
      <c r="B719" s="18" t="str">
        <f>IF(710&gt;NBskParty,"",INDEX(PkBskParty,710))</f>
        <v/>
      </c>
      <c r="C719" s="16" t="str">
        <f t="shared" si="77"/>
        <v/>
      </c>
      <c r="D719" s="14" t="str">
        <f t="shared" si="78"/>
        <v/>
      </c>
      <c r="E719" s="14" t="str">
        <f t="shared" si="79"/>
        <v/>
      </c>
      <c r="F719" s="14" t="str">
        <f t="shared" si="80"/>
        <v/>
      </c>
      <c r="G719" s="14" t="str">
        <f t="shared" si="81"/>
        <v/>
      </c>
      <c r="H719" s="15" t="str">
        <f t="shared" si="82"/>
        <v/>
      </c>
      <c r="I719" s="13" t="str">
        <f t="shared" si="83"/>
        <v/>
      </c>
    </row>
    <row r="720" spans="1:9" x14ac:dyDescent="0.2">
      <c r="A720" s="7" t="str">
        <f>IF($B720="","",711)</f>
        <v/>
      </c>
      <c r="B720" s="17" t="str">
        <f>IF(711&gt;NBskParty,"",INDEX(PkBskParty,711))</f>
        <v/>
      </c>
      <c r="C720" s="11" t="str">
        <f t="shared" si="77"/>
        <v/>
      </c>
      <c r="D720" s="9" t="str">
        <f t="shared" si="78"/>
        <v/>
      </c>
      <c r="E720" s="9" t="str">
        <f t="shared" si="79"/>
        <v/>
      </c>
      <c r="F720" s="9" t="str">
        <f t="shared" si="80"/>
        <v/>
      </c>
      <c r="G720" s="9" t="str">
        <f t="shared" si="81"/>
        <v/>
      </c>
      <c r="H720" s="10" t="str">
        <f t="shared" si="82"/>
        <v/>
      </c>
      <c r="I720" s="8" t="str">
        <f t="shared" si="83"/>
        <v/>
      </c>
    </row>
    <row r="721" spans="1:9" x14ac:dyDescent="0.2">
      <c r="A721" s="12" t="str">
        <f>IF($B721="","",712)</f>
        <v/>
      </c>
      <c r="B721" s="18" t="str">
        <f>IF(712&gt;NBskParty,"",INDEX(PkBskParty,712))</f>
        <v/>
      </c>
      <c r="C721" s="16" t="str">
        <f t="shared" si="77"/>
        <v/>
      </c>
      <c r="D721" s="14" t="str">
        <f t="shared" si="78"/>
        <v/>
      </c>
      <c r="E721" s="14" t="str">
        <f t="shared" si="79"/>
        <v/>
      </c>
      <c r="F721" s="14" t="str">
        <f t="shared" si="80"/>
        <v/>
      </c>
      <c r="G721" s="14" t="str">
        <f t="shared" si="81"/>
        <v/>
      </c>
      <c r="H721" s="15" t="str">
        <f t="shared" si="82"/>
        <v/>
      </c>
      <c r="I721" s="13" t="str">
        <f t="shared" si="83"/>
        <v/>
      </c>
    </row>
    <row r="722" spans="1:9" x14ac:dyDescent="0.2">
      <c r="A722" s="7" t="str">
        <f>IF($B722="","",713)</f>
        <v/>
      </c>
      <c r="B722" s="17" t="str">
        <f>IF(713&gt;NBskParty,"",INDEX(PkBskParty,713))</f>
        <v/>
      </c>
      <c r="C722" s="11" t="str">
        <f t="shared" si="77"/>
        <v/>
      </c>
      <c r="D722" s="9" t="str">
        <f t="shared" si="78"/>
        <v/>
      </c>
      <c r="E722" s="9" t="str">
        <f t="shared" si="79"/>
        <v/>
      </c>
      <c r="F722" s="9" t="str">
        <f t="shared" si="80"/>
        <v/>
      </c>
      <c r="G722" s="9" t="str">
        <f t="shared" si="81"/>
        <v/>
      </c>
      <c r="H722" s="10" t="str">
        <f t="shared" si="82"/>
        <v/>
      </c>
      <c r="I722" s="8" t="str">
        <f t="shared" si="83"/>
        <v/>
      </c>
    </row>
    <row r="723" spans="1:9" x14ac:dyDescent="0.2">
      <c r="A723" s="12" t="str">
        <f>IF($B723="","",714)</f>
        <v/>
      </c>
      <c r="B723" s="18" t="str">
        <f>IF(714&gt;NBskParty,"",INDEX(PkBskParty,714))</f>
        <v/>
      </c>
      <c r="C723" s="16" t="str">
        <f t="shared" si="77"/>
        <v/>
      </c>
      <c r="D723" s="14" t="str">
        <f t="shared" si="78"/>
        <v/>
      </c>
      <c r="E723" s="14" t="str">
        <f t="shared" si="79"/>
        <v/>
      </c>
      <c r="F723" s="14" t="str">
        <f t="shared" si="80"/>
        <v/>
      </c>
      <c r="G723" s="14" t="str">
        <f t="shared" si="81"/>
        <v/>
      </c>
      <c r="H723" s="15" t="str">
        <f t="shared" si="82"/>
        <v/>
      </c>
      <c r="I723" s="13" t="str">
        <f t="shared" si="83"/>
        <v/>
      </c>
    </row>
    <row r="724" spans="1:9" x14ac:dyDescent="0.2">
      <c r="A724" s="7" t="str">
        <f>IF($B724="","",715)</f>
        <v/>
      </c>
      <c r="B724" s="17" t="str">
        <f>IF(715&gt;NBskParty,"",INDEX(PkBskParty,715))</f>
        <v/>
      </c>
      <c r="C724" s="11" t="str">
        <f t="shared" si="77"/>
        <v/>
      </c>
      <c r="D724" s="9" t="str">
        <f t="shared" si="78"/>
        <v/>
      </c>
      <c r="E724" s="9" t="str">
        <f t="shared" si="79"/>
        <v/>
      </c>
      <c r="F724" s="9" t="str">
        <f t="shared" si="80"/>
        <v/>
      </c>
      <c r="G724" s="9" t="str">
        <f t="shared" si="81"/>
        <v/>
      </c>
      <c r="H724" s="10" t="str">
        <f t="shared" si="82"/>
        <v/>
      </c>
      <c r="I724" s="8" t="str">
        <f t="shared" si="83"/>
        <v/>
      </c>
    </row>
    <row r="725" spans="1:9" x14ac:dyDescent="0.2">
      <c r="A725" s="12" t="str">
        <f>IF($B725="","",716)</f>
        <v/>
      </c>
      <c r="B725" s="18" t="str">
        <f>IF(716&gt;NBskParty,"",INDEX(PkBskParty,716))</f>
        <v/>
      </c>
      <c r="C725" s="16" t="str">
        <f t="shared" si="77"/>
        <v/>
      </c>
      <c r="D725" s="14" t="str">
        <f t="shared" si="78"/>
        <v/>
      </c>
      <c r="E725" s="14" t="str">
        <f t="shared" si="79"/>
        <v/>
      </c>
      <c r="F725" s="14" t="str">
        <f t="shared" si="80"/>
        <v/>
      </c>
      <c r="G725" s="14" t="str">
        <f t="shared" si="81"/>
        <v/>
      </c>
      <c r="H725" s="15" t="str">
        <f t="shared" si="82"/>
        <v/>
      </c>
      <c r="I725" s="13" t="str">
        <f t="shared" si="83"/>
        <v/>
      </c>
    </row>
    <row r="726" spans="1:9" x14ac:dyDescent="0.2">
      <c r="A726" s="7" t="str">
        <f>IF($B726="","",717)</f>
        <v/>
      </c>
      <c r="B726" s="17" t="str">
        <f>IF(717&gt;NBskParty,"",INDEX(PkBskParty,717))</f>
        <v/>
      </c>
      <c r="C726" s="11" t="str">
        <f t="shared" si="77"/>
        <v/>
      </c>
      <c r="D726" s="9" t="str">
        <f t="shared" si="78"/>
        <v/>
      </c>
      <c r="E726" s="9" t="str">
        <f t="shared" si="79"/>
        <v/>
      </c>
      <c r="F726" s="9" t="str">
        <f t="shared" si="80"/>
        <v/>
      </c>
      <c r="G726" s="9" t="str">
        <f t="shared" si="81"/>
        <v/>
      </c>
      <c r="H726" s="10" t="str">
        <f t="shared" si="82"/>
        <v/>
      </c>
      <c r="I726" s="8" t="str">
        <f t="shared" si="83"/>
        <v/>
      </c>
    </row>
    <row r="727" spans="1:9" x14ac:dyDescent="0.2">
      <c r="A727" s="12" t="str">
        <f>IF($B727="","",718)</f>
        <v/>
      </c>
      <c r="B727" s="18" t="str">
        <f>IF(718&gt;NBskParty,"",INDEX(PkBskParty,718))</f>
        <v/>
      </c>
      <c r="C727" s="16" t="str">
        <f t="shared" si="77"/>
        <v/>
      </c>
      <c r="D727" s="14" t="str">
        <f t="shared" si="78"/>
        <v/>
      </c>
      <c r="E727" s="14" t="str">
        <f t="shared" si="79"/>
        <v/>
      </c>
      <c r="F727" s="14" t="str">
        <f t="shared" si="80"/>
        <v/>
      </c>
      <c r="G727" s="14" t="str">
        <f t="shared" si="81"/>
        <v/>
      </c>
      <c r="H727" s="15" t="str">
        <f t="shared" si="82"/>
        <v/>
      </c>
      <c r="I727" s="13" t="str">
        <f t="shared" si="83"/>
        <v/>
      </c>
    </row>
    <row r="728" spans="1:9" x14ac:dyDescent="0.2">
      <c r="A728" s="7" t="str">
        <f>IF($B728="","",719)</f>
        <v/>
      </c>
      <c r="B728" s="17" t="str">
        <f>IF(719&gt;NBskParty,"",INDEX(PkBskParty,719))</f>
        <v/>
      </c>
      <c r="C728" s="11" t="str">
        <f t="shared" si="77"/>
        <v/>
      </c>
      <c r="D728" s="9" t="str">
        <f t="shared" si="78"/>
        <v/>
      </c>
      <c r="E728" s="9" t="str">
        <f t="shared" si="79"/>
        <v/>
      </c>
      <c r="F728" s="9" t="str">
        <f t="shared" si="80"/>
        <v/>
      </c>
      <c r="G728" s="9" t="str">
        <f t="shared" si="81"/>
        <v/>
      </c>
      <c r="H728" s="10" t="str">
        <f t="shared" si="82"/>
        <v/>
      </c>
      <c r="I728" s="8" t="str">
        <f t="shared" si="83"/>
        <v/>
      </c>
    </row>
    <row r="729" spans="1:9" x14ac:dyDescent="0.2">
      <c r="A729" s="12" t="str">
        <f>IF($B729="","",720)</f>
        <v/>
      </c>
      <c r="B729" s="18" t="str">
        <f>IF(720&gt;NBskParty,"",INDEX(PkBskParty,720))</f>
        <v/>
      </c>
      <c r="C729" s="16" t="str">
        <f t="shared" si="77"/>
        <v/>
      </c>
      <c r="D729" s="14" t="str">
        <f t="shared" si="78"/>
        <v/>
      </c>
      <c r="E729" s="14" t="str">
        <f t="shared" si="79"/>
        <v/>
      </c>
      <c r="F729" s="14" t="str">
        <f t="shared" si="80"/>
        <v/>
      </c>
      <c r="G729" s="14" t="str">
        <f t="shared" si="81"/>
        <v/>
      </c>
      <c r="H729" s="15" t="str">
        <f t="shared" si="82"/>
        <v/>
      </c>
      <c r="I729" s="13" t="str">
        <f t="shared" si="83"/>
        <v/>
      </c>
    </row>
    <row r="730" spans="1:9" x14ac:dyDescent="0.2">
      <c r="A730" s="7" t="str">
        <f>IF($B730="","",721)</f>
        <v/>
      </c>
      <c r="B730" s="17" t="str">
        <f>IF(721&gt;NBskParty,"",INDEX(PkBskParty,721))</f>
        <v/>
      </c>
      <c r="C730" s="11" t="str">
        <f t="shared" si="77"/>
        <v/>
      </c>
      <c r="D730" s="9" t="str">
        <f t="shared" si="78"/>
        <v/>
      </c>
      <c r="E730" s="9" t="str">
        <f t="shared" si="79"/>
        <v/>
      </c>
      <c r="F730" s="9" t="str">
        <f t="shared" si="80"/>
        <v/>
      </c>
      <c r="G730" s="9" t="str">
        <f t="shared" si="81"/>
        <v/>
      </c>
      <c r="H730" s="10" t="str">
        <f t="shared" si="82"/>
        <v/>
      </c>
      <c r="I730" s="8" t="str">
        <f t="shared" si="83"/>
        <v/>
      </c>
    </row>
    <row r="731" spans="1:9" x14ac:dyDescent="0.2">
      <c r="A731" s="12" t="str">
        <f>IF($B731="","",722)</f>
        <v/>
      </c>
      <c r="B731" s="18" t="str">
        <f>IF(722&gt;NBskParty,"",INDEX(PkBskParty,722))</f>
        <v/>
      </c>
      <c r="C731" s="16" t="str">
        <f t="shared" si="77"/>
        <v/>
      </c>
      <c r="D731" s="14" t="str">
        <f t="shared" si="78"/>
        <v/>
      </c>
      <c r="E731" s="14" t="str">
        <f t="shared" si="79"/>
        <v/>
      </c>
      <c r="F731" s="14" t="str">
        <f t="shared" si="80"/>
        <v/>
      </c>
      <c r="G731" s="14" t="str">
        <f t="shared" si="81"/>
        <v/>
      </c>
      <c r="H731" s="15" t="str">
        <f t="shared" si="82"/>
        <v/>
      </c>
      <c r="I731" s="13" t="str">
        <f t="shared" si="83"/>
        <v/>
      </c>
    </row>
    <row r="732" spans="1:9" x14ac:dyDescent="0.2">
      <c r="A732" s="7" t="str">
        <f>IF($B732="","",723)</f>
        <v/>
      </c>
      <c r="B732" s="17" t="str">
        <f>IF(723&gt;NBskParty,"",INDEX(PkBskParty,723))</f>
        <v/>
      </c>
      <c r="C732" s="11" t="str">
        <f t="shared" si="77"/>
        <v/>
      </c>
      <c r="D732" s="9" t="str">
        <f t="shared" si="78"/>
        <v/>
      </c>
      <c r="E732" s="9" t="str">
        <f t="shared" si="79"/>
        <v/>
      </c>
      <c r="F732" s="9" t="str">
        <f t="shared" si="80"/>
        <v/>
      </c>
      <c r="G732" s="9" t="str">
        <f t="shared" si="81"/>
        <v/>
      </c>
      <c r="H732" s="10" t="str">
        <f t="shared" si="82"/>
        <v/>
      </c>
      <c r="I732" s="8" t="str">
        <f t="shared" si="83"/>
        <v/>
      </c>
    </row>
    <row r="733" spans="1:9" x14ac:dyDescent="0.2">
      <c r="A733" s="12" t="str">
        <f>IF($B733="","",724)</f>
        <v/>
      </c>
      <c r="B733" s="18" t="str">
        <f>IF(724&gt;NBskParty,"",INDEX(PkBskParty,724))</f>
        <v/>
      </c>
      <c r="C733" s="16" t="str">
        <f t="shared" si="77"/>
        <v/>
      </c>
      <c r="D733" s="14" t="str">
        <f t="shared" si="78"/>
        <v/>
      </c>
      <c r="E733" s="14" t="str">
        <f t="shared" si="79"/>
        <v/>
      </c>
      <c r="F733" s="14" t="str">
        <f t="shared" si="80"/>
        <v/>
      </c>
      <c r="G733" s="14" t="str">
        <f t="shared" si="81"/>
        <v/>
      </c>
      <c r="H733" s="15" t="str">
        <f t="shared" si="82"/>
        <v/>
      </c>
      <c r="I733" s="13" t="str">
        <f t="shared" si="83"/>
        <v/>
      </c>
    </row>
    <row r="734" spans="1:9" x14ac:dyDescent="0.2">
      <c r="A734" s="7" t="str">
        <f>IF($B734="","",725)</f>
        <v/>
      </c>
      <c r="B734" s="17" t="str">
        <f>IF(725&gt;NBskParty,"",INDEX(PkBskParty,725))</f>
        <v/>
      </c>
      <c r="C734" s="11" t="str">
        <f t="shared" si="77"/>
        <v/>
      </c>
      <c r="D734" s="9" t="str">
        <f t="shared" si="78"/>
        <v/>
      </c>
      <c r="E734" s="9" t="str">
        <f t="shared" si="79"/>
        <v/>
      </c>
      <c r="F734" s="9" t="str">
        <f t="shared" si="80"/>
        <v/>
      </c>
      <c r="G734" s="9" t="str">
        <f t="shared" si="81"/>
        <v/>
      </c>
      <c r="H734" s="10" t="str">
        <f t="shared" si="82"/>
        <v/>
      </c>
      <c r="I734" s="8" t="str">
        <f t="shared" si="83"/>
        <v/>
      </c>
    </row>
    <row r="735" spans="1:9" x14ac:dyDescent="0.2">
      <c r="A735" s="12" t="str">
        <f>IF($B735="","",726)</f>
        <v/>
      </c>
      <c r="B735" s="18" t="str">
        <f>IF(726&gt;NBskParty,"",INDEX(PkBskParty,726))</f>
        <v/>
      </c>
      <c r="C735" s="16" t="str">
        <f t="shared" si="77"/>
        <v/>
      </c>
      <c r="D735" s="14" t="str">
        <f t="shared" si="78"/>
        <v/>
      </c>
      <c r="E735" s="14" t="str">
        <f t="shared" si="79"/>
        <v/>
      </c>
      <c r="F735" s="14" t="str">
        <f t="shared" si="80"/>
        <v/>
      </c>
      <c r="G735" s="14" t="str">
        <f t="shared" si="81"/>
        <v/>
      </c>
      <c r="H735" s="15" t="str">
        <f t="shared" si="82"/>
        <v/>
      </c>
      <c r="I735" s="13" t="str">
        <f t="shared" si="83"/>
        <v/>
      </c>
    </row>
    <row r="736" spans="1:9" x14ac:dyDescent="0.2">
      <c r="A736" s="7" t="str">
        <f>IF($B736="","",727)</f>
        <v/>
      </c>
      <c r="B736" s="17" t="str">
        <f>IF(727&gt;NBskParty,"",INDEX(PkBskParty,727))</f>
        <v/>
      </c>
      <c r="C736" s="11" t="str">
        <f t="shared" si="77"/>
        <v/>
      </c>
      <c r="D736" s="9" t="str">
        <f t="shared" si="78"/>
        <v/>
      </c>
      <c r="E736" s="9" t="str">
        <f t="shared" si="79"/>
        <v/>
      </c>
      <c r="F736" s="9" t="str">
        <f t="shared" si="80"/>
        <v/>
      </c>
      <c r="G736" s="9" t="str">
        <f t="shared" si="81"/>
        <v/>
      </c>
      <c r="H736" s="10" t="str">
        <f t="shared" si="82"/>
        <v/>
      </c>
      <c r="I736" s="8" t="str">
        <f t="shared" si="83"/>
        <v/>
      </c>
    </row>
    <row r="737" spans="1:9" x14ac:dyDescent="0.2">
      <c r="A737" s="12" t="str">
        <f>IF($B737="","",728)</f>
        <v/>
      </c>
      <c r="B737" s="18" t="str">
        <f>IF(728&gt;NBskParty,"",INDEX(PkBskParty,728))</f>
        <v/>
      </c>
      <c r="C737" s="16" t="str">
        <f t="shared" si="77"/>
        <v/>
      </c>
      <c r="D737" s="14" t="str">
        <f t="shared" si="78"/>
        <v/>
      </c>
      <c r="E737" s="14" t="str">
        <f t="shared" si="79"/>
        <v/>
      </c>
      <c r="F737" s="14" t="str">
        <f t="shared" si="80"/>
        <v/>
      </c>
      <c r="G737" s="14" t="str">
        <f t="shared" si="81"/>
        <v/>
      </c>
      <c r="H737" s="15" t="str">
        <f t="shared" si="82"/>
        <v/>
      </c>
      <c r="I737" s="13" t="str">
        <f t="shared" si="83"/>
        <v/>
      </c>
    </row>
    <row r="738" spans="1:9" x14ac:dyDescent="0.2">
      <c r="A738" s="7" t="str">
        <f>IF($B738="","",729)</f>
        <v/>
      </c>
      <c r="B738" s="17" t="str">
        <f>IF(729&gt;NBskParty,"",INDEX(PkBskParty,729))</f>
        <v/>
      </c>
      <c r="C738" s="11" t="str">
        <f t="shared" si="77"/>
        <v/>
      </c>
      <c r="D738" s="9" t="str">
        <f t="shared" si="78"/>
        <v/>
      </c>
      <c r="E738" s="9" t="str">
        <f t="shared" si="79"/>
        <v/>
      </c>
      <c r="F738" s="9" t="str">
        <f t="shared" si="80"/>
        <v/>
      </c>
      <c r="G738" s="9" t="str">
        <f t="shared" si="81"/>
        <v/>
      </c>
      <c r="H738" s="10" t="str">
        <f t="shared" si="82"/>
        <v/>
      </c>
      <c r="I738" s="8" t="str">
        <f t="shared" si="83"/>
        <v/>
      </c>
    </row>
    <row r="739" spans="1:9" x14ac:dyDescent="0.2">
      <c r="A739" s="12" t="str">
        <f>IF($B739="","",730)</f>
        <v/>
      </c>
      <c r="B739" s="18" t="str">
        <f>IF(730&gt;NBskParty,"",INDEX(PkBskParty,730))</f>
        <v/>
      </c>
      <c r="C739" s="16" t="str">
        <f t="shared" si="77"/>
        <v/>
      </c>
      <c r="D739" s="14" t="str">
        <f t="shared" si="78"/>
        <v/>
      </c>
      <c r="E739" s="14" t="str">
        <f t="shared" si="79"/>
        <v/>
      </c>
      <c r="F739" s="14" t="str">
        <f t="shared" si="80"/>
        <v/>
      </c>
      <c r="G739" s="14" t="str">
        <f t="shared" si="81"/>
        <v/>
      </c>
      <c r="H739" s="15" t="str">
        <f t="shared" si="82"/>
        <v/>
      </c>
      <c r="I739" s="13" t="str">
        <f t="shared" si="83"/>
        <v/>
      </c>
    </row>
    <row r="740" spans="1:9" x14ac:dyDescent="0.2">
      <c r="A740" s="7" t="str">
        <f>IF($B740="","",731)</f>
        <v/>
      </c>
      <c r="B740" s="17" t="str">
        <f>IF(731&gt;NBskParty,"",INDEX(PkBskParty,731))</f>
        <v/>
      </c>
      <c r="C740" s="11" t="str">
        <f t="shared" si="77"/>
        <v/>
      </c>
      <c r="D740" s="9" t="str">
        <f t="shared" si="78"/>
        <v/>
      </c>
      <c r="E740" s="9" t="str">
        <f t="shared" si="79"/>
        <v/>
      </c>
      <c r="F740" s="9" t="str">
        <f t="shared" si="80"/>
        <v/>
      </c>
      <c r="G740" s="9" t="str">
        <f t="shared" si="81"/>
        <v/>
      </c>
      <c r="H740" s="10" t="str">
        <f t="shared" si="82"/>
        <v/>
      </c>
      <c r="I740" s="8" t="str">
        <f t="shared" si="83"/>
        <v/>
      </c>
    </row>
    <row r="741" spans="1:9" x14ac:dyDescent="0.2">
      <c r="A741" s="12" t="str">
        <f>IF($B741="","",732)</f>
        <v/>
      </c>
      <c r="B741" s="18" t="str">
        <f>IF(732&gt;NBskParty,"",INDEX(PkBskParty,732))</f>
        <v/>
      </c>
      <c r="C741" s="16" t="str">
        <f t="shared" si="77"/>
        <v/>
      </c>
      <c r="D741" s="14" t="str">
        <f t="shared" si="78"/>
        <v/>
      </c>
      <c r="E741" s="14" t="str">
        <f t="shared" si="79"/>
        <v/>
      </c>
      <c r="F741" s="14" t="str">
        <f t="shared" si="80"/>
        <v/>
      </c>
      <c r="G741" s="14" t="str">
        <f t="shared" si="81"/>
        <v/>
      </c>
      <c r="H741" s="15" t="str">
        <f t="shared" si="82"/>
        <v/>
      </c>
      <c r="I741" s="13" t="str">
        <f t="shared" si="83"/>
        <v/>
      </c>
    </row>
    <row r="742" spans="1:9" x14ac:dyDescent="0.2">
      <c r="A742" s="7" t="str">
        <f>IF($B742="","",733)</f>
        <v/>
      </c>
      <c r="B742" s="17" t="str">
        <f>IF(733&gt;NBskParty,"",INDEX(PkBskParty,733))</f>
        <v/>
      </c>
      <c r="C742" s="11" t="str">
        <f t="shared" si="77"/>
        <v/>
      </c>
      <c r="D742" s="9" t="str">
        <f t="shared" si="78"/>
        <v/>
      </c>
      <c r="E742" s="9" t="str">
        <f t="shared" si="79"/>
        <v/>
      </c>
      <c r="F742" s="9" t="str">
        <f t="shared" si="80"/>
        <v/>
      </c>
      <c r="G742" s="9" t="str">
        <f t="shared" si="81"/>
        <v/>
      </c>
      <c r="H742" s="10" t="str">
        <f t="shared" si="82"/>
        <v/>
      </c>
      <c r="I742" s="8" t="str">
        <f t="shared" si="83"/>
        <v/>
      </c>
    </row>
    <row r="743" spans="1:9" x14ac:dyDescent="0.2">
      <c r="A743" s="12" t="str">
        <f>IF($B743="","",734)</f>
        <v/>
      </c>
      <c r="B743" s="18" t="str">
        <f>IF(734&gt;NBskParty,"",INDEX(PkBskParty,734))</f>
        <v/>
      </c>
      <c r="C743" s="16" t="str">
        <f t="shared" si="77"/>
        <v/>
      </c>
      <c r="D743" s="14" t="str">
        <f t="shared" si="78"/>
        <v/>
      </c>
      <c r="E743" s="14" t="str">
        <f t="shared" si="79"/>
        <v/>
      </c>
      <c r="F743" s="14" t="str">
        <f t="shared" si="80"/>
        <v/>
      </c>
      <c r="G743" s="14" t="str">
        <f t="shared" si="81"/>
        <v/>
      </c>
      <c r="H743" s="15" t="str">
        <f t="shared" si="82"/>
        <v/>
      </c>
      <c r="I743" s="13" t="str">
        <f t="shared" si="83"/>
        <v/>
      </c>
    </row>
    <row r="744" spans="1:9" x14ac:dyDescent="0.2">
      <c r="A744" s="7" t="str">
        <f>IF($B744="","",735)</f>
        <v/>
      </c>
      <c r="B744" s="17" t="str">
        <f>IF(735&gt;NBskParty,"",INDEX(PkBskParty,735))</f>
        <v/>
      </c>
      <c r="C744" s="11" t="str">
        <f t="shared" si="77"/>
        <v/>
      </c>
      <c r="D744" s="9" t="str">
        <f t="shared" si="78"/>
        <v/>
      </c>
      <c r="E744" s="9" t="str">
        <f t="shared" si="79"/>
        <v/>
      </c>
      <c r="F744" s="9" t="str">
        <f t="shared" si="80"/>
        <v/>
      </c>
      <c r="G744" s="9" t="str">
        <f t="shared" si="81"/>
        <v/>
      </c>
      <c r="H744" s="10" t="str">
        <f t="shared" si="82"/>
        <v/>
      </c>
      <c r="I744" s="8" t="str">
        <f t="shared" si="83"/>
        <v/>
      </c>
    </row>
    <row r="745" spans="1:9" x14ac:dyDescent="0.2">
      <c r="A745" s="12" t="str">
        <f>IF($B745="","",736)</f>
        <v/>
      </c>
      <c r="B745" s="18" t="str">
        <f>IF(736&gt;NBskParty,"",INDEX(PkBskParty,736))</f>
        <v/>
      </c>
      <c r="C745" s="16" t="str">
        <f t="shared" si="77"/>
        <v/>
      </c>
      <c r="D745" s="14" t="str">
        <f t="shared" si="78"/>
        <v/>
      </c>
      <c r="E745" s="14" t="str">
        <f t="shared" si="79"/>
        <v/>
      </c>
      <c r="F745" s="14" t="str">
        <f t="shared" si="80"/>
        <v/>
      </c>
      <c r="G745" s="14" t="str">
        <f t="shared" si="81"/>
        <v/>
      </c>
      <c r="H745" s="15" t="str">
        <f t="shared" si="82"/>
        <v/>
      </c>
      <c r="I745" s="13" t="str">
        <f t="shared" si="83"/>
        <v/>
      </c>
    </row>
    <row r="746" spans="1:9" x14ac:dyDescent="0.2">
      <c r="A746" s="7" t="str">
        <f>IF($B746="","",737)</f>
        <v/>
      </c>
      <c r="B746" s="17" t="str">
        <f>IF(737&gt;NBskParty,"",INDEX(PkBskParty,737))</f>
        <v/>
      </c>
      <c r="C746" s="11" t="str">
        <f t="shared" si="77"/>
        <v/>
      </c>
      <c r="D746" s="9" t="str">
        <f t="shared" si="78"/>
        <v/>
      </c>
      <c r="E746" s="9" t="str">
        <f t="shared" si="79"/>
        <v/>
      </c>
      <c r="F746" s="9" t="str">
        <f t="shared" si="80"/>
        <v/>
      </c>
      <c r="G746" s="9" t="str">
        <f t="shared" si="81"/>
        <v/>
      </c>
      <c r="H746" s="10" t="str">
        <f t="shared" si="82"/>
        <v/>
      </c>
      <c r="I746" s="8" t="str">
        <f t="shared" si="83"/>
        <v/>
      </c>
    </row>
    <row r="747" spans="1:9" x14ac:dyDescent="0.2">
      <c r="A747" s="12" t="str">
        <f>IF($B747="","",738)</f>
        <v/>
      </c>
      <c r="B747" s="18" t="str">
        <f>IF(738&gt;NBskParty,"",INDEX(PkBskParty,738))</f>
        <v/>
      </c>
      <c r="C747" s="16" t="str">
        <f t="shared" si="77"/>
        <v/>
      </c>
      <c r="D747" s="14" t="str">
        <f t="shared" si="78"/>
        <v/>
      </c>
      <c r="E747" s="14" t="str">
        <f t="shared" si="79"/>
        <v/>
      </c>
      <c r="F747" s="14" t="str">
        <f t="shared" si="80"/>
        <v/>
      </c>
      <c r="G747" s="14" t="str">
        <f t="shared" si="81"/>
        <v/>
      </c>
      <c r="H747" s="15" t="str">
        <f t="shared" si="82"/>
        <v/>
      </c>
      <c r="I747" s="13" t="str">
        <f t="shared" si="83"/>
        <v/>
      </c>
    </row>
    <row r="748" spans="1:9" x14ac:dyDescent="0.2">
      <c r="A748" s="7" t="str">
        <f>IF($B748="","",739)</f>
        <v/>
      </c>
      <c r="B748" s="17" t="str">
        <f>IF(739&gt;NBskParty,"",INDEX(PkBskParty,739))</f>
        <v/>
      </c>
      <c r="C748" s="11" t="str">
        <f t="shared" si="77"/>
        <v/>
      </c>
      <c r="D748" s="9" t="str">
        <f t="shared" si="78"/>
        <v/>
      </c>
      <c r="E748" s="9" t="str">
        <f t="shared" si="79"/>
        <v/>
      </c>
      <c r="F748" s="9" t="str">
        <f t="shared" si="80"/>
        <v/>
      </c>
      <c r="G748" s="9" t="str">
        <f t="shared" si="81"/>
        <v/>
      </c>
      <c r="H748" s="10" t="str">
        <f t="shared" si="82"/>
        <v/>
      </c>
      <c r="I748" s="8" t="str">
        <f t="shared" si="83"/>
        <v/>
      </c>
    </row>
    <row r="749" spans="1:9" x14ac:dyDescent="0.2">
      <c r="A749" s="12" t="str">
        <f>IF($B749="","",740)</f>
        <v/>
      </c>
      <c r="B749" s="18" t="str">
        <f>IF(740&gt;NBskParty,"",INDEX(PkBskParty,740))</f>
        <v/>
      </c>
      <c r="C749" s="16" t="str">
        <f t="shared" si="77"/>
        <v/>
      </c>
      <c r="D749" s="14" t="str">
        <f t="shared" si="78"/>
        <v/>
      </c>
      <c r="E749" s="14" t="str">
        <f t="shared" si="79"/>
        <v/>
      </c>
      <c r="F749" s="14" t="str">
        <f t="shared" si="80"/>
        <v/>
      </c>
      <c r="G749" s="14" t="str">
        <f t="shared" si="81"/>
        <v/>
      </c>
      <c r="H749" s="15" t="str">
        <f t="shared" si="82"/>
        <v/>
      </c>
      <c r="I749" s="13" t="str">
        <f t="shared" si="83"/>
        <v/>
      </c>
    </row>
    <row r="750" spans="1:9" x14ac:dyDescent="0.2">
      <c r="A750" s="7" t="str">
        <f>IF($B750="","",741)</f>
        <v/>
      </c>
      <c r="B750" s="17" t="str">
        <f>IF(741&gt;NBskParty,"",INDEX(PkBskParty,741))</f>
        <v/>
      </c>
      <c r="C750" s="11" t="str">
        <f t="shared" si="77"/>
        <v/>
      </c>
      <c r="D750" s="9" t="str">
        <f t="shared" si="78"/>
        <v/>
      </c>
      <c r="E750" s="9" t="str">
        <f t="shared" si="79"/>
        <v/>
      </c>
      <c r="F750" s="9" t="str">
        <f t="shared" si="80"/>
        <v/>
      </c>
      <c r="G750" s="9" t="str">
        <f t="shared" si="81"/>
        <v/>
      </c>
      <c r="H750" s="10" t="str">
        <f t="shared" si="82"/>
        <v/>
      </c>
      <c r="I750" s="8" t="str">
        <f t="shared" si="83"/>
        <v/>
      </c>
    </row>
    <row r="751" spans="1:9" x14ac:dyDescent="0.2">
      <c r="A751" s="12" t="str">
        <f>IF($B751="","",742)</f>
        <v/>
      </c>
      <c r="B751" s="18" t="str">
        <f>IF(742&gt;NBskParty,"",INDEX(PkBskParty,742))</f>
        <v/>
      </c>
      <c r="C751" s="16" t="str">
        <f t="shared" si="77"/>
        <v/>
      </c>
      <c r="D751" s="14" t="str">
        <f t="shared" si="78"/>
        <v/>
      </c>
      <c r="E751" s="14" t="str">
        <f t="shared" si="79"/>
        <v/>
      </c>
      <c r="F751" s="14" t="str">
        <f t="shared" si="80"/>
        <v/>
      </c>
      <c r="G751" s="14" t="str">
        <f t="shared" si="81"/>
        <v/>
      </c>
      <c r="H751" s="15" t="str">
        <f t="shared" si="82"/>
        <v/>
      </c>
      <c r="I751" s="13" t="str">
        <f t="shared" si="83"/>
        <v/>
      </c>
    </row>
    <row r="752" spans="1:9" x14ac:dyDescent="0.2">
      <c r="A752" s="7" t="str">
        <f>IF($B752="","",743)</f>
        <v/>
      </c>
      <c r="B752" s="17" t="str">
        <f>IF(743&gt;NBskParty,"",INDEX(PkBskParty,743))</f>
        <v/>
      </c>
      <c r="C752" s="11" t="str">
        <f t="shared" si="77"/>
        <v/>
      </c>
      <c r="D752" s="9" t="str">
        <f t="shared" si="78"/>
        <v/>
      </c>
      <c r="E752" s="9" t="str">
        <f t="shared" si="79"/>
        <v/>
      </c>
      <c r="F752" s="9" t="str">
        <f t="shared" si="80"/>
        <v/>
      </c>
      <c r="G752" s="9" t="str">
        <f t="shared" si="81"/>
        <v/>
      </c>
      <c r="H752" s="10" t="str">
        <f t="shared" si="82"/>
        <v/>
      </c>
      <c r="I752" s="8" t="str">
        <f t="shared" si="83"/>
        <v/>
      </c>
    </row>
    <row r="753" spans="1:9" x14ac:dyDescent="0.2">
      <c r="A753" s="12" t="str">
        <f>IF($B753="","",744)</f>
        <v/>
      </c>
      <c r="B753" s="18" t="str">
        <f>IF(744&gt;NBskParty,"",INDEX(PkBskParty,744))</f>
        <v/>
      </c>
      <c r="C753" s="16" t="str">
        <f t="shared" si="77"/>
        <v/>
      </c>
      <c r="D753" s="14" t="str">
        <f t="shared" si="78"/>
        <v/>
      </c>
      <c r="E753" s="14" t="str">
        <f t="shared" si="79"/>
        <v/>
      </c>
      <c r="F753" s="14" t="str">
        <f t="shared" si="80"/>
        <v/>
      </c>
      <c r="G753" s="14" t="str">
        <f t="shared" si="81"/>
        <v/>
      </c>
      <c r="H753" s="15" t="str">
        <f t="shared" si="82"/>
        <v/>
      </c>
      <c r="I753" s="13" t="str">
        <f t="shared" si="83"/>
        <v/>
      </c>
    </row>
    <row r="754" spans="1:9" x14ac:dyDescent="0.2">
      <c r="A754" s="7" t="str">
        <f>IF($B754="","",745)</f>
        <v/>
      </c>
      <c r="B754" s="17" t="str">
        <f>IF(745&gt;NBskParty,"",INDEX(PkBskParty,745))</f>
        <v/>
      </c>
      <c r="C754" s="11" t="str">
        <f t="shared" si="77"/>
        <v/>
      </c>
      <c r="D754" s="9" t="str">
        <f t="shared" si="78"/>
        <v/>
      </c>
      <c r="E754" s="9" t="str">
        <f t="shared" si="79"/>
        <v/>
      </c>
      <c r="F754" s="9" t="str">
        <f t="shared" si="80"/>
        <v/>
      </c>
      <c r="G754" s="9" t="str">
        <f t="shared" si="81"/>
        <v/>
      </c>
      <c r="H754" s="10" t="str">
        <f t="shared" si="82"/>
        <v/>
      </c>
      <c r="I754" s="8" t="str">
        <f t="shared" si="83"/>
        <v/>
      </c>
    </row>
    <row r="755" spans="1:9" x14ac:dyDescent="0.2">
      <c r="A755" s="12" t="str">
        <f>IF($B755="","",746)</f>
        <v/>
      </c>
      <c r="B755" s="18" t="str">
        <f>IF(746&gt;NBskParty,"",INDEX(PkBskParty,746))</f>
        <v/>
      </c>
      <c r="C755" s="16" t="str">
        <f t="shared" si="77"/>
        <v/>
      </c>
      <c r="D755" s="14" t="str">
        <f t="shared" si="78"/>
        <v/>
      </c>
      <c r="E755" s="14" t="str">
        <f t="shared" si="79"/>
        <v/>
      </c>
      <c r="F755" s="14" t="str">
        <f t="shared" si="80"/>
        <v/>
      </c>
      <c r="G755" s="14" t="str">
        <f t="shared" si="81"/>
        <v/>
      </c>
      <c r="H755" s="15" t="str">
        <f t="shared" si="82"/>
        <v/>
      </c>
      <c r="I755" s="13" t="str">
        <f t="shared" si="83"/>
        <v/>
      </c>
    </row>
    <row r="756" spans="1:9" x14ac:dyDescent="0.2">
      <c r="A756" s="7" t="str">
        <f>IF($B756="","",747)</f>
        <v/>
      </c>
      <c r="B756" s="17" t="str">
        <f>IF(747&gt;NBskParty,"",INDEX(PkBskParty,747))</f>
        <v/>
      </c>
      <c r="C756" s="11" t="str">
        <f t="shared" si="77"/>
        <v/>
      </c>
      <c r="D756" s="9" t="str">
        <f t="shared" si="78"/>
        <v/>
      </c>
      <c r="E756" s="9" t="str">
        <f t="shared" si="79"/>
        <v/>
      </c>
      <c r="F756" s="9" t="str">
        <f t="shared" si="80"/>
        <v/>
      </c>
      <c r="G756" s="9" t="str">
        <f t="shared" si="81"/>
        <v/>
      </c>
      <c r="H756" s="10" t="str">
        <f t="shared" si="82"/>
        <v/>
      </c>
      <c r="I756" s="8" t="str">
        <f t="shared" si="83"/>
        <v/>
      </c>
    </row>
    <row r="757" spans="1:9" x14ac:dyDescent="0.2">
      <c r="A757" s="12" t="str">
        <f>IF($B757="","",748)</f>
        <v/>
      </c>
      <c r="B757" s="18" t="str">
        <f>IF(748&gt;NBskParty,"",INDEX(PkBskParty,748))</f>
        <v/>
      </c>
      <c r="C757" s="16" t="str">
        <f t="shared" si="77"/>
        <v/>
      </c>
      <c r="D757" s="14" t="str">
        <f t="shared" si="78"/>
        <v/>
      </c>
      <c r="E757" s="14" t="str">
        <f t="shared" si="79"/>
        <v/>
      </c>
      <c r="F757" s="14" t="str">
        <f t="shared" si="80"/>
        <v/>
      </c>
      <c r="G757" s="14" t="str">
        <f t="shared" si="81"/>
        <v/>
      </c>
      <c r="H757" s="15" t="str">
        <f t="shared" si="82"/>
        <v/>
      </c>
      <c r="I757" s="13" t="str">
        <f t="shared" si="83"/>
        <v/>
      </c>
    </row>
    <row r="758" spans="1:9" x14ac:dyDescent="0.2">
      <c r="A758" s="7" t="str">
        <f>IF($B758="","",749)</f>
        <v/>
      </c>
      <c r="B758" s="17" t="str">
        <f>IF(749&gt;NBskParty,"",INDEX(PkBskParty,749))</f>
        <v/>
      </c>
      <c r="C758" s="11" t="str">
        <f t="shared" si="77"/>
        <v/>
      </c>
      <c r="D758" s="9" t="str">
        <f t="shared" si="78"/>
        <v/>
      </c>
      <c r="E758" s="9" t="str">
        <f t="shared" si="79"/>
        <v/>
      </c>
      <c r="F758" s="9" t="str">
        <f t="shared" si="80"/>
        <v/>
      </c>
      <c r="G758" s="9" t="str">
        <f t="shared" si="81"/>
        <v/>
      </c>
      <c r="H758" s="10" t="str">
        <f t="shared" si="82"/>
        <v/>
      </c>
      <c r="I758" s="8" t="str">
        <f t="shared" si="83"/>
        <v/>
      </c>
    </row>
    <row r="759" spans="1:9" x14ac:dyDescent="0.2">
      <c r="A759" s="12" t="str">
        <f>IF($B759="","",750)</f>
        <v/>
      </c>
      <c r="B759" s="18" t="str">
        <f>IF(750&gt;NBskParty,"",INDEX(PkBskParty,750))</f>
        <v/>
      </c>
      <c r="C759" s="16" t="str">
        <f t="shared" si="77"/>
        <v/>
      </c>
      <c r="D759" s="14" t="str">
        <f t="shared" si="78"/>
        <v/>
      </c>
      <c r="E759" s="14" t="str">
        <f t="shared" si="79"/>
        <v/>
      </c>
      <c r="F759" s="14" t="str">
        <f t="shared" si="80"/>
        <v/>
      </c>
      <c r="G759" s="14" t="str">
        <f t="shared" si="81"/>
        <v/>
      </c>
      <c r="H759" s="15" t="str">
        <f t="shared" si="82"/>
        <v/>
      </c>
      <c r="I759" s="13" t="str">
        <f t="shared" si="83"/>
        <v/>
      </c>
    </row>
    <row r="760" spans="1:9" x14ac:dyDescent="0.2">
      <c r="A760" s="7" t="str">
        <f>IF($B760="","",751)</f>
        <v/>
      </c>
      <c r="B760" s="17" t="str">
        <f>IF(751&gt;NBskParty,"",INDEX(PkBskParty,751))</f>
        <v/>
      </c>
      <c r="C760" s="11" t="str">
        <f t="shared" si="77"/>
        <v/>
      </c>
      <c r="D760" s="9" t="str">
        <f t="shared" si="78"/>
        <v/>
      </c>
      <c r="E760" s="9" t="str">
        <f t="shared" si="79"/>
        <v/>
      </c>
      <c r="F760" s="9" t="str">
        <f t="shared" si="80"/>
        <v/>
      </c>
      <c r="G760" s="9" t="str">
        <f t="shared" si="81"/>
        <v/>
      </c>
      <c r="H760" s="10" t="str">
        <f t="shared" si="82"/>
        <v/>
      </c>
      <c r="I760" s="8" t="str">
        <f t="shared" si="83"/>
        <v/>
      </c>
    </row>
    <row r="761" spans="1:9" x14ac:dyDescent="0.2">
      <c r="A761" s="12" t="str">
        <f>IF($B761="","",752)</f>
        <v/>
      </c>
      <c r="B761" s="18" t="str">
        <f>IF(752&gt;NBskParty,"",INDEX(PkBskParty,752))</f>
        <v/>
      </c>
      <c r="C761" s="16" t="str">
        <f t="shared" si="77"/>
        <v/>
      </c>
      <c r="D761" s="14" t="str">
        <f t="shared" si="78"/>
        <v/>
      </c>
      <c r="E761" s="14" t="str">
        <f t="shared" si="79"/>
        <v/>
      </c>
      <c r="F761" s="14" t="str">
        <f t="shared" si="80"/>
        <v/>
      </c>
      <c r="G761" s="14" t="str">
        <f t="shared" si="81"/>
        <v/>
      </c>
      <c r="H761" s="15" t="str">
        <f t="shared" si="82"/>
        <v/>
      </c>
      <c r="I761" s="13" t="str">
        <f t="shared" si="83"/>
        <v/>
      </c>
    </row>
    <row r="762" spans="1:9" x14ac:dyDescent="0.2">
      <c r="A762" s="7" t="str">
        <f>IF($B762="","",753)</f>
        <v/>
      </c>
      <c r="B762" s="17" t="str">
        <f>IF(753&gt;NBskParty,"",INDEX(PkBskParty,753))</f>
        <v/>
      </c>
      <c r="C762" s="11" t="str">
        <f t="shared" si="77"/>
        <v/>
      </c>
      <c r="D762" s="9" t="str">
        <f t="shared" si="78"/>
        <v/>
      </c>
      <c r="E762" s="9" t="str">
        <f t="shared" si="79"/>
        <v/>
      </c>
      <c r="F762" s="9" t="str">
        <f t="shared" si="80"/>
        <v/>
      </c>
      <c r="G762" s="9" t="str">
        <f t="shared" si="81"/>
        <v/>
      </c>
      <c r="H762" s="10" t="str">
        <f t="shared" si="82"/>
        <v/>
      </c>
      <c r="I762" s="8" t="str">
        <f t="shared" si="83"/>
        <v/>
      </c>
    </row>
    <row r="763" spans="1:9" x14ac:dyDescent="0.2">
      <c r="A763" s="12" t="str">
        <f>IF($B763="","",754)</f>
        <v/>
      </c>
      <c r="B763" s="18" t="str">
        <f>IF(754&gt;NBskParty,"",INDEX(PkBskParty,754))</f>
        <v/>
      </c>
      <c r="C763" s="16" t="str">
        <f t="shared" si="77"/>
        <v/>
      </c>
      <c r="D763" s="14" t="str">
        <f t="shared" si="78"/>
        <v/>
      </c>
      <c r="E763" s="14" t="str">
        <f t="shared" si="79"/>
        <v/>
      </c>
      <c r="F763" s="14" t="str">
        <f t="shared" si="80"/>
        <v/>
      </c>
      <c r="G763" s="14" t="str">
        <f t="shared" si="81"/>
        <v/>
      </c>
      <c r="H763" s="15" t="str">
        <f t="shared" si="82"/>
        <v/>
      </c>
      <c r="I763" s="13" t="str">
        <f t="shared" si="83"/>
        <v/>
      </c>
    </row>
    <row r="764" spans="1:9" x14ac:dyDescent="0.2">
      <c r="A764" s="7" t="str">
        <f>IF($B764="","",755)</f>
        <v/>
      </c>
      <c r="B764" s="17" t="str">
        <f>IF(755&gt;NBskParty,"",INDEX(PkBskParty,755))</f>
        <v/>
      </c>
      <c r="C764" s="11" t="str">
        <f t="shared" si="77"/>
        <v/>
      </c>
      <c r="D764" s="9" t="str">
        <f t="shared" si="78"/>
        <v/>
      </c>
      <c r="E764" s="9" t="str">
        <f t="shared" si="79"/>
        <v/>
      </c>
      <c r="F764" s="9" t="str">
        <f t="shared" si="80"/>
        <v/>
      </c>
      <c r="G764" s="9" t="str">
        <f t="shared" si="81"/>
        <v/>
      </c>
      <c r="H764" s="10" t="str">
        <f t="shared" si="82"/>
        <v/>
      </c>
      <c r="I764" s="8" t="str">
        <f t="shared" si="83"/>
        <v/>
      </c>
    </row>
    <row r="765" spans="1:9" x14ac:dyDescent="0.2">
      <c r="A765" s="12" t="str">
        <f>IF($B765="","",756)</f>
        <v/>
      </c>
      <c r="B765" s="18" t="str">
        <f>IF(756&gt;NBskParty,"",INDEX(PkBskParty,756))</f>
        <v/>
      </c>
      <c r="C765" s="16" t="str">
        <f t="shared" si="77"/>
        <v/>
      </c>
      <c r="D765" s="14" t="str">
        <f t="shared" si="78"/>
        <v/>
      </c>
      <c r="E765" s="14" t="str">
        <f t="shared" si="79"/>
        <v/>
      </c>
      <c r="F765" s="14" t="str">
        <f t="shared" si="80"/>
        <v/>
      </c>
      <c r="G765" s="14" t="str">
        <f t="shared" si="81"/>
        <v/>
      </c>
      <c r="H765" s="15" t="str">
        <f t="shared" si="82"/>
        <v/>
      </c>
      <c r="I765" s="13" t="str">
        <f t="shared" si="83"/>
        <v/>
      </c>
    </row>
    <row r="766" spans="1:9" x14ac:dyDescent="0.2">
      <c r="A766" s="7" t="str">
        <f>IF($B766="","",757)</f>
        <v/>
      </c>
      <c r="B766" s="17" t="str">
        <f>IF(757&gt;NBskParty,"",INDEX(PkBskParty,757))</f>
        <v/>
      </c>
      <c r="C766" s="11" t="str">
        <f t="shared" si="77"/>
        <v/>
      </c>
      <c r="D766" s="9" t="str">
        <f t="shared" si="78"/>
        <v/>
      </c>
      <c r="E766" s="9" t="str">
        <f t="shared" si="79"/>
        <v/>
      </c>
      <c r="F766" s="9" t="str">
        <f t="shared" si="80"/>
        <v/>
      </c>
      <c r="G766" s="9" t="str">
        <f t="shared" si="81"/>
        <v/>
      </c>
      <c r="H766" s="10" t="str">
        <f t="shared" si="82"/>
        <v/>
      </c>
      <c r="I766" s="8" t="str">
        <f t="shared" si="83"/>
        <v/>
      </c>
    </row>
    <row r="767" spans="1:9" x14ac:dyDescent="0.2">
      <c r="A767" s="12" t="str">
        <f>IF($B767="","",758)</f>
        <v/>
      </c>
      <c r="B767" s="18" t="str">
        <f>IF(758&gt;NBskParty,"",INDEX(PkBskParty,758))</f>
        <v/>
      </c>
      <c r="C767" s="16" t="str">
        <f t="shared" si="77"/>
        <v/>
      </c>
      <c r="D767" s="14" t="str">
        <f t="shared" si="78"/>
        <v/>
      </c>
      <c r="E767" s="14" t="str">
        <f t="shared" si="79"/>
        <v/>
      </c>
      <c r="F767" s="14" t="str">
        <f t="shared" si="80"/>
        <v/>
      </c>
      <c r="G767" s="14" t="str">
        <f t="shared" si="81"/>
        <v/>
      </c>
      <c r="H767" s="15" t="str">
        <f t="shared" si="82"/>
        <v/>
      </c>
      <c r="I767" s="13" t="str">
        <f t="shared" si="83"/>
        <v/>
      </c>
    </row>
    <row r="768" spans="1:9" x14ac:dyDescent="0.2">
      <c r="A768" s="7" t="str">
        <f>IF($B768="","",759)</f>
        <v/>
      </c>
      <c r="B768" s="17" t="str">
        <f>IF(759&gt;NBskParty,"",INDEX(PkBskParty,759))</f>
        <v/>
      </c>
      <c r="C768" s="11" t="str">
        <f t="shared" si="77"/>
        <v/>
      </c>
      <c r="D768" s="9" t="str">
        <f t="shared" si="78"/>
        <v/>
      </c>
      <c r="E768" s="9" t="str">
        <f t="shared" si="79"/>
        <v/>
      </c>
      <c r="F768" s="9" t="str">
        <f t="shared" si="80"/>
        <v/>
      </c>
      <c r="G768" s="9" t="str">
        <f t="shared" si="81"/>
        <v/>
      </c>
      <c r="H768" s="10" t="str">
        <f t="shared" si="82"/>
        <v/>
      </c>
      <c r="I768" s="8" t="str">
        <f t="shared" si="83"/>
        <v/>
      </c>
    </row>
    <row r="769" spans="1:9" x14ac:dyDescent="0.2">
      <c r="A769" s="12" t="str">
        <f>IF($B769="","",760)</f>
        <v/>
      </c>
      <c r="B769" s="18" t="str">
        <f>IF(760&gt;NBskParty,"",INDEX(PkBskParty,760))</f>
        <v/>
      </c>
      <c r="C769" s="16" t="str">
        <f t="shared" si="77"/>
        <v/>
      </c>
      <c r="D769" s="14" t="str">
        <f t="shared" si="78"/>
        <v/>
      </c>
      <c r="E769" s="14" t="str">
        <f t="shared" si="79"/>
        <v/>
      </c>
      <c r="F769" s="14" t="str">
        <f t="shared" si="80"/>
        <v/>
      </c>
      <c r="G769" s="14" t="str">
        <f t="shared" si="81"/>
        <v/>
      </c>
      <c r="H769" s="15" t="str">
        <f t="shared" si="82"/>
        <v/>
      </c>
      <c r="I769" s="13" t="str">
        <f t="shared" si="83"/>
        <v/>
      </c>
    </row>
    <row r="770" spans="1:9" x14ac:dyDescent="0.2">
      <c r="A770" s="7" t="str">
        <f>IF($B770="","",761)</f>
        <v/>
      </c>
      <c r="B770" s="17" t="str">
        <f>IF(761&gt;NBskParty,"",INDEX(PkBskParty,761))</f>
        <v/>
      </c>
      <c r="C770" s="11" t="str">
        <f t="shared" si="77"/>
        <v/>
      </c>
      <c r="D770" s="9" t="str">
        <f t="shared" si="78"/>
        <v/>
      </c>
      <c r="E770" s="9" t="str">
        <f t="shared" si="79"/>
        <v/>
      </c>
      <c r="F770" s="9" t="str">
        <f t="shared" si="80"/>
        <v/>
      </c>
      <c r="G770" s="9" t="str">
        <f t="shared" si="81"/>
        <v/>
      </c>
      <c r="H770" s="10" t="str">
        <f t="shared" si="82"/>
        <v/>
      </c>
      <c r="I770" s="8" t="str">
        <f t="shared" si="83"/>
        <v/>
      </c>
    </row>
    <row r="771" spans="1:9" x14ac:dyDescent="0.2">
      <c r="A771" s="12" t="str">
        <f>IF($B771="","",762)</f>
        <v/>
      </c>
      <c r="B771" s="18" t="str">
        <f>IF(762&gt;NBskParty,"",INDEX(PkBskParty,762))</f>
        <v/>
      </c>
      <c r="C771" s="16" t="str">
        <f t="shared" si="77"/>
        <v/>
      </c>
      <c r="D771" s="14" t="str">
        <f t="shared" si="78"/>
        <v/>
      </c>
      <c r="E771" s="14" t="str">
        <f t="shared" si="79"/>
        <v/>
      </c>
      <c r="F771" s="14" t="str">
        <f t="shared" si="80"/>
        <v/>
      </c>
      <c r="G771" s="14" t="str">
        <f t="shared" si="81"/>
        <v/>
      </c>
      <c r="H771" s="15" t="str">
        <f t="shared" si="82"/>
        <v/>
      </c>
      <c r="I771" s="13" t="str">
        <f t="shared" si="83"/>
        <v/>
      </c>
    </row>
    <row r="772" spans="1:9" x14ac:dyDescent="0.2">
      <c r="A772" s="7" t="str">
        <f>IF($B772="","",763)</f>
        <v/>
      </c>
      <c r="B772" s="17" t="str">
        <f>IF(763&gt;NBskParty,"",INDEX(PkBskParty,763))</f>
        <v/>
      </c>
      <c r="C772" s="11" t="str">
        <f t="shared" si="77"/>
        <v/>
      </c>
      <c r="D772" s="9" t="str">
        <f t="shared" si="78"/>
        <v/>
      </c>
      <c r="E772" s="9" t="str">
        <f t="shared" si="79"/>
        <v/>
      </c>
      <c r="F772" s="9" t="str">
        <f t="shared" si="80"/>
        <v/>
      </c>
      <c r="G772" s="9" t="str">
        <f t="shared" si="81"/>
        <v/>
      </c>
      <c r="H772" s="10" t="str">
        <f t="shared" si="82"/>
        <v/>
      </c>
      <c r="I772" s="8" t="str">
        <f t="shared" si="83"/>
        <v/>
      </c>
    </row>
    <row r="773" spans="1:9" x14ac:dyDescent="0.2">
      <c r="A773" s="12" t="str">
        <f>IF($B773="","",764)</f>
        <v/>
      </c>
      <c r="B773" s="18" t="str">
        <f>IF(764&gt;NBskParty,"",INDEX(PkBskParty,764))</f>
        <v/>
      </c>
      <c r="C773" s="16" t="str">
        <f t="shared" si="77"/>
        <v/>
      </c>
      <c r="D773" s="14" t="str">
        <f t="shared" si="78"/>
        <v/>
      </c>
      <c r="E773" s="14" t="str">
        <f t="shared" si="79"/>
        <v/>
      </c>
      <c r="F773" s="14" t="str">
        <f t="shared" si="80"/>
        <v/>
      </c>
      <c r="G773" s="14" t="str">
        <f t="shared" si="81"/>
        <v/>
      </c>
      <c r="H773" s="15" t="str">
        <f t="shared" si="82"/>
        <v/>
      </c>
      <c r="I773" s="13" t="str">
        <f t="shared" si="83"/>
        <v/>
      </c>
    </row>
    <row r="774" spans="1:9" x14ac:dyDescent="0.2">
      <c r="A774" s="7" t="str">
        <f>IF($B774="","",765)</f>
        <v/>
      </c>
      <c r="B774" s="17" t="str">
        <f>IF(765&gt;NBskParty,"",INDEX(PkBskParty,765))</f>
        <v/>
      </c>
      <c r="C774" s="11" t="str">
        <f t="shared" si="77"/>
        <v/>
      </c>
      <c r="D774" s="9" t="str">
        <f t="shared" si="78"/>
        <v/>
      </c>
      <c r="E774" s="9" t="str">
        <f t="shared" si="79"/>
        <v/>
      </c>
      <c r="F774" s="9" t="str">
        <f t="shared" si="80"/>
        <v/>
      </c>
      <c r="G774" s="9" t="str">
        <f t="shared" si="81"/>
        <v/>
      </c>
      <c r="H774" s="10" t="str">
        <f t="shared" si="82"/>
        <v/>
      </c>
      <c r="I774" s="8" t="str">
        <f t="shared" si="83"/>
        <v/>
      </c>
    </row>
    <row r="775" spans="1:9" x14ac:dyDescent="0.2">
      <c r="A775" s="12" t="str">
        <f>IF($B775="","",766)</f>
        <v/>
      </c>
      <c r="B775" s="18" t="str">
        <f>IF(766&gt;NBskParty,"",INDEX(PkBskParty,766))</f>
        <v/>
      </c>
      <c r="C775" s="16" t="str">
        <f t="shared" si="77"/>
        <v/>
      </c>
      <c r="D775" s="14" t="str">
        <f t="shared" si="78"/>
        <v/>
      </c>
      <c r="E775" s="14" t="str">
        <f t="shared" si="79"/>
        <v/>
      </c>
      <c r="F775" s="14" t="str">
        <f t="shared" si="80"/>
        <v/>
      </c>
      <c r="G775" s="14" t="str">
        <f t="shared" si="81"/>
        <v/>
      </c>
      <c r="H775" s="15" t="str">
        <f t="shared" si="82"/>
        <v/>
      </c>
      <c r="I775" s="13" t="str">
        <f t="shared" si="83"/>
        <v/>
      </c>
    </row>
    <row r="776" spans="1:9" x14ac:dyDescent="0.2">
      <c r="A776" s="7" t="str">
        <f>IF($B776="","",767)</f>
        <v/>
      </c>
      <c r="B776" s="17" t="str">
        <f>IF(767&gt;NBskParty,"",INDEX(PkBskParty,767))</f>
        <v/>
      </c>
      <c r="C776" s="11" t="str">
        <f t="shared" si="77"/>
        <v/>
      </c>
      <c r="D776" s="9" t="str">
        <f t="shared" si="78"/>
        <v/>
      </c>
      <c r="E776" s="9" t="str">
        <f t="shared" si="79"/>
        <v/>
      </c>
      <c r="F776" s="9" t="str">
        <f t="shared" si="80"/>
        <v/>
      </c>
      <c r="G776" s="9" t="str">
        <f t="shared" si="81"/>
        <v/>
      </c>
      <c r="H776" s="10" t="str">
        <f t="shared" si="82"/>
        <v/>
      </c>
      <c r="I776" s="8" t="str">
        <f t="shared" si="83"/>
        <v/>
      </c>
    </row>
    <row r="777" spans="1:9" x14ac:dyDescent="0.2">
      <c r="A777" s="12" t="str">
        <f>IF($B777="","",768)</f>
        <v/>
      </c>
      <c r="B777" s="18" t="str">
        <f>IF(768&gt;NBskParty,"",INDEX(PkBskParty,768))</f>
        <v/>
      </c>
      <c r="C777" s="16" t="str">
        <f t="shared" si="77"/>
        <v/>
      </c>
      <c r="D777" s="14" t="str">
        <f t="shared" si="78"/>
        <v/>
      </c>
      <c r="E777" s="14" t="str">
        <f t="shared" si="79"/>
        <v/>
      </c>
      <c r="F777" s="14" t="str">
        <f t="shared" si="80"/>
        <v/>
      </c>
      <c r="G777" s="14" t="str">
        <f t="shared" si="81"/>
        <v/>
      </c>
      <c r="H777" s="15" t="str">
        <f t="shared" si="82"/>
        <v/>
      </c>
      <c r="I777" s="13" t="str">
        <f t="shared" si="83"/>
        <v/>
      </c>
    </row>
    <row r="778" spans="1:9" x14ac:dyDescent="0.2">
      <c r="A778" s="7" t="str">
        <f>IF($B778="","",769)</f>
        <v/>
      </c>
      <c r="B778" s="17" t="str">
        <f>IF(769&gt;NBskParty,"",INDEX(PkBskParty,769))</f>
        <v/>
      </c>
      <c r="C778" s="11" t="str">
        <f t="shared" ref="C778:C841" si="84">IF($B778="","",IFERROR(IF(VLOOKUP($B778,AcctTbl,4,0)="","(بدون نام)",VLOOKUP($B778,AcctTbl,4,0)),"—"))</f>
        <v/>
      </c>
      <c r="D778" s="9" t="str">
        <f t="shared" ref="D778:D841" si="85">IF($B778="","",SUMIF(CalcPartyA,$B778,CalcQtyA))</f>
        <v/>
      </c>
      <c r="E778" s="9" t="str">
        <f t="shared" ref="E778:E841" si="86">IF($B778="","",SUMIF(CalcPartyA,$B778,CalcAmtA))</f>
        <v/>
      </c>
      <c r="F778" s="9" t="str">
        <f t="shared" ref="F778:F841" si="87">IF($B778="","",SUMIF(CalcPartyB,$B778,CalcWitB))</f>
        <v/>
      </c>
      <c r="G778" s="9" t="str">
        <f t="shared" ref="G778:G841" si="88">IF($B778="","",SUMIF(CalcPartyB,$B778,CalcDepB))</f>
        <v/>
      </c>
      <c r="H778" s="10" t="str">
        <f t="shared" ref="H778:H841" si="89">IF($B778="","",$E778-$F778+$G778)</f>
        <v/>
      </c>
      <c r="I778" s="8" t="str">
        <f t="shared" ref="I778:I841" si="90">IF($B778="","",IF(ROUND($H778,0)&gt;0,"● بستانکار",IF(ROUND($H778,0)&lt;0,"● بدهکار","تسویه")))</f>
        <v/>
      </c>
    </row>
    <row r="779" spans="1:9" x14ac:dyDescent="0.2">
      <c r="A779" s="12" t="str">
        <f>IF($B779="","",770)</f>
        <v/>
      </c>
      <c r="B779" s="18" t="str">
        <f>IF(770&gt;NBskParty,"",INDEX(PkBskParty,770))</f>
        <v/>
      </c>
      <c r="C779" s="16" t="str">
        <f t="shared" si="84"/>
        <v/>
      </c>
      <c r="D779" s="14" t="str">
        <f t="shared" si="85"/>
        <v/>
      </c>
      <c r="E779" s="14" t="str">
        <f t="shared" si="86"/>
        <v/>
      </c>
      <c r="F779" s="14" t="str">
        <f t="shared" si="87"/>
        <v/>
      </c>
      <c r="G779" s="14" t="str">
        <f t="shared" si="88"/>
        <v/>
      </c>
      <c r="H779" s="15" t="str">
        <f t="shared" si="89"/>
        <v/>
      </c>
      <c r="I779" s="13" t="str">
        <f t="shared" si="90"/>
        <v/>
      </c>
    </row>
    <row r="780" spans="1:9" x14ac:dyDescent="0.2">
      <c r="A780" s="7" t="str">
        <f>IF($B780="","",771)</f>
        <v/>
      </c>
      <c r="B780" s="17" t="str">
        <f>IF(771&gt;NBskParty,"",INDEX(PkBskParty,771))</f>
        <v/>
      </c>
      <c r="C780" s="11" t="str">
        <f t="shared" si="84"/>
        <v/>
      </c>
      <c r="D780" s="9" t="str">
        <f t="shared" si="85"/>
        <v/>
      </c>
      <c r="E780" s="9" t="str">
        <f t="shared" si="86"/>
        <v/>
      </c>
      <c r="F780" s="9" t="str">
        <f t="shared" si="87"/>
        <v/>
      </c>
      <c r="G780" s="9" t="str">
        <f t="shared" si="88"/>
        <v/>
      </c>
      <c r="H780" s="10" t="str">
        <f t="shared" si="89"/>
        <v/>
      </c>
      <c r="I780" s="8" t="str">
        <f t="shared" si="90"/>
        <v/>
      </c>
    </row>
    <row r="781" spans="1:9" x14ac:dyDescent="0.2">
      <c r="A781" s="12" t="str">
        <f>IF($B781="","",772)</f>
        <v/>
      </c>
      <c r="B781" s="18" t="str">
        <f>IF(772&gt;NBskParty,"",INDEX(PkBskParty,772))</f>
        <v/>
      </c>
      <c r="C781" s="16" t="str">
        <f t="shared" si="84"/>
        <v/>
      </c>
      <c r="D781" s="14" t="str">
        <f t="shared" si="85"/>
        <v/>
      </c>
      <c r="E781" s="14" t="str">
        <f t="shared" si="86"/>
        <v/>
      </c>
      <c r="F781" s="14" t="str">
        <f t="shared" si="87"/>
        <v/>
      </c>
      <c r="G781" s="14" t="str">
        <f t="shared" si="88"/>
        <v/>
      </c>
      <c r="H781" s="15" t="str">
        <f t="shared" si="89"/>
        <v/>
      </c>
      <c r="I781" s="13" t="str">
        <f t="shared" si="90"/>
        <v/>
      </c>
    </row>
    <row r="782" spans="1:9" x14ac:dyDescent="0.2">
      <c r="A782" s="7" t="str">
        <f>IF($B782="","",773)</f>
        <v/>
      </c>
      <c r="B782" s="17" t="str">
        <f>IF(773&gt;NBskParty,"",INDEX(PkBskParty,773))</f>
        <v/>
      </c>
      <c r="C782" s="11" t="str">
        <f t="shared" si="84"/>
        <v/>
      </c>
      <c r="D782" s="9" t="str">
        <f t="shared" si="85"/>
        <v/>
      </c>
      <c r="E782" s="9" t="str">
        <f t="shared" si="86"/>
        <v/>
      </c>
      <c r="F782" s="9" t="str">
        <f t="shared" si="87"/>
        <v/>
      </c>
      <c r="G782" s="9" t="str">
        <f t="shared" si="88"/>
        <v/>
      </c>
      <c r="H782" s="10" t="str">
        <f t="shared" si="89"/>
        <v/>
      </c>
      <c r="I782" s="8" t="str">
        <f t="shared" si="90"/>
        <v/>
      </c>
    </row>
    <row r="783" spans="1:9" x14ac:dyDescent="0.2">
      <c r="A783" s="12" t="str">
        <f>IF($B783="","",774)</f>
        <v/>
      </c>
      <c r="B783" s="18" t="str">
        <f>IF(774&gt;NBskParty,"",INDEX(PkBskParty,774))</f>
        <v/>
      </c>
      <c r="C783" s="16" t="str">
        <f t="shared" si="84"/>
        <v/>
      </c>
      <c r="D783" s="14" t="str">
        <f t="shared" si="85"/>
        <v/>
      </c>
      <c r="E783" s="14" t="str">
        <f t="shared" si="86"/>
        <v/>
      </c>
      <c r="F783" s="14" t="str">
        <f t="shared" si="87"/>
        <v/>
      </c>
      <c r="G783" s="14" t="str">
        <f t="shared" si="88"/>
        <v/>
      </c>
      <c r="H783" s="15" t="str">
        <f t="shared" si="89"/>
        <v/>
      </c>
      <c r="I783" s="13" t="str">
        <f t="shared" si="90"/>
        <v/>
      </c>
    </row>
    <row r="784" spans="1:9" x14ac:dyDescent="0.2">
      <c r="A784" s="7" t="str">
        <f>IF($B784="","",775)</f>
        <v/>
      </c>
      <c r="B784" s="17" t="str">
        <f>IF(775&gt;NBskParty,"",INDEX(PkBskParty,775))</f>
        <v/>
      </c>
      <c r="C784" s="11" t="str">
        <f t="shared" si="84"/>
        <v/>
      </c>
      <c r="D784" s="9" t="str">
        <f t="shared" si="85"/>
        <v/>
      </c>
      <c r="E784" s="9" t="str">
        <f t="shared" si="86"/>
        <v/>
      </c>
      <c r="F784" s="9" t="str">
        <f t="shared" si="87"/>
        <v/>
      </c>
      <c r="G784" s="9" t="str">
        <f t="shared" si="88"/>
        <v/>
      </c>
      <c r="H784" s="10" t="str">
        <f t="shared" si="89"/>
        <v/>
      </c>
      <c r="I784" s="8" t="str">
        <f t="shared" si="90"/>
        <v/>
      </c>
    </row>
    <row r="785" spans="1:9" x14ac:dyDescent="0.2">
      <c r="A785" s="12" t="str">
        <f>IF($B785="","",776)</f>
        <v/>
      </c>
      <c r="B785" s="18" t="str">
        <f>IF(776&gt;NBskParty,"",INDEX(PkBskParty,776))</f>
        <v/>
      </c>
      <c r="C785" s="16" t="str">
        <f t="shared" si="84"/>
        <v/>
      </c>
      <c r="D785" s="14" t="str">
        <f t="shared" si="85"/>
        <v/>
      </c>
      <c r="E785" s="14" t="str">
        <f t="shared" si="86"/>
        <v/>
      </c>
      <c r="F785" s="14" t="str">
        <f t="shared" si="87"/>
        <v/>
      </c>
      <c r="G785" s="14" t="str">
        <f t="shared" si="88"/>
        <v/>
      </c>
      <c r="H785" s="15" t="str">
        <f t="shared" si="89"/>
        <v/>
      </c>
      <c r="I785" s="13" t="str">
        <f t="shared" si="90"/>
        <v/>
      </c>
    </row>
    <row r="786" spans="1:9" x14ac:dyDescent="0.2">
      <c r="A786" s="7" t="str">
        <f>IF($B786="","",777)</f>
        <v/>
      </c>
      <c r="B786" s="17" t="str">
        <f>IF(777&gt;NBskParty,"",INDEX(PkBskParty,777))</f>
        <v/>
      </c>
      <c r="C786" s="11" t="str">
        <f t="shared" si="84"/>
        <v/>
      </c>
      <c r="D786" s="9" t="str">
        <f t="shared" si="85"/>
        <v/>
      </c>
      <c r="E786" s="9" t="str">
        <f t="shared" si="86"/>
        <v/>
      </c>
      <c r="F786" s="9" t="str">
        <f t="shared" si="87"/>
        <v/>
      </c>
      <c r="G786" s="9" t="str">
        <f t="shared" si="88"/>
        <v/>
      </c>
      <c r="H786" s="10" t="str">
        <f t="shared" si="89"/>
        <v/>
      </c>
      <c r="I786" s="8" t="str">
        <f t="shared" si="90"/>
        <v/>
      </c>
    </row>
    <row r="787" spans="1:9" x14ac:dyDescent="0.2">
      <c r="A787" s="12" t="str">
        <f>IF($B787="","",778)</f>
        <v/>
      </c>
      <c r="B787" s="18" t="str">
        <f>IF(778&gt;NBskParty,"",INDEX(PkBskParty,778))</f>
        <v/>
      </c>
      <c r="C787" s="16" t="str">
        <f t="shared" si="84"/>
        <v/>
      </c>
      <c r="D787" s="14" t="str">
        <f t="shared" si="85"/>
        <v/>
      </c>
      <c r="E787" s="14" t="str">
        <f t="shared" si="86"/>
        <v/>
      </c>
      <c r="F787" s="14" t="str">
        <f t="shared" si="87"/>
        <v/>
      </c>
      <c r="G787" s="14" t="str">
        <f t="shared" si="88"/>
        <v/>
      </c>
      <c r="H787" s="15" t="str">
        <f t="shared" si="89"/>
        <v/>
      </c>
      <c r="I787" s="13" t="str">
        <f t="shared" si="90"/>
        <v/>
      </c>
    </row>
    <row r="788" spans="1:9" x14ac:dyDescent="0.2">
      <c r="A788" s="7" t="str">
        <f>IF($B788="","",779)</f>
        <v/>
      </c>
      <c r="B788" s="17" t="str">
        <f>IF(779&gt;NBskParty,"",INDEX(PkBskParty,779))</f>
        <v/>
      </c>
      <c r="C788" s="11" t="str">
        <f t="shared" si="84"/>
        <v/>
      </c>
      <c r="D788" s="9" t="str">
        <f t="shared" si="85"/>
        <v/>
      </c>
      <c r="E788" s="9" t="str">
        <f t="shared" si="86"/>
        <v/>
      </c>
      <c r="F788" s="9" t="str">
        <f t="shared" si="87"/>
        <v/>
      </c>
      <c r="G788" s="9" t="str">
        <f t="shared" si="88"/>
        <v/>
      </c>
      <c r="H788" s="10" t="str">
        <f t="shared" si="89"/>
        <v/>
      </c>
      <c r="I788" s="8" t="str">
        <f t="shared" si="90"/>
        <v/>
      </c>
    </row>
    <row r="789" spans="1:9" x14ac:dyDescent="0.2">
      <c r="A789" s="12" t="str">
        <f>IF($B789="","",780)</f>
        <v/>
      </c>
      <c r="B789" s="18" t="str">
        <f>IF(780&gt;NBskParty,"",INDEX(PkBskParty,780))</f>
        <v/>
      </c>
      <c r="C789" s="16" t="str">
        <f t="shared" si="84"/>
        <v/>
      </c>
      <c r="D789" s="14" t="str">
        <f t="shared" si="85"/>
        <v/>
      </c>
      <c r="E789" s="14" t="str">
        <f t="shared" si="86"/>
        <v/>
      </c>
      <c r="F789" s="14" t="str">
        <f t="shared" si="87"/>
        <v/>
      </c>
      <c r="G789" s="14" t="str">
        <f t="shared" si="88"/>
        <v/>
      </c>
      <c r="H789" s="15" t="str">
        <f t="shared" si="89"/>
        <v/>
      </c>
      <c r="I789" s="13" t="str">
        <f t="shared" si="90"/>
        <v/>
      </c>
    </row>
    <row r="790" spans="1:9" x14ac:dyDescent="0.2">
      <c r="A790" s="7" t="str">
        <f>IF($B790="","",781)</f>
        <v/>
      </c>
      <c r="B790" s="17" t="str">
        <f>IF(781&gt;NBskParty,"",INDEX(PkBskParty,781))</f>
        <v/>
      </c>
      <c r="C790" s="11" t="str">
        <f t="shared" si="84"/>
        <v/>
      </c>
      <c r="D790" s="9" t="str">
        <f t="shared" si="85"/>
        <v/>
      </c>
      <c r="E790" s="9" t="str">
        <f t="shared" si="86"/>
        <v/>
      </c>
      <c r="F790" s="9" t="str">
        <f t="shared" si="87"/>
        <v/>
      </c>
      <c r="G790" s="9" t="str">
        <f t="shared" si="88"/>
        <v/>
      </c>
      <c r="H790" s="10" t="str">
        <f t="shared" si="89"/>
        <v/>
      </c>
      <c r="I790" s="8" t="str">
        <f t="shared" si="90"/>
        <v/>
      </c>
    </row>
    <row r="791" spans="1:9" x14ac:dyDescent="0.2">
      <c r="A791" s="12" t="str">
        <f>IF($B791="","",782)</f>
        <v/>
      </c>
      <c r="B791" s="18" t="str">
        <f>IF(782&gt;NBskParty,"",INDEX(PkBskParty,782))</f>
        <v/>
      </c>
      <c r="C791" s="16" t="str">
        <f t="shared" si="84"/>
        <v/>
      </c>
      <c r="D791" s="14" t="str">
        <f t="shared" si="85"/>
        <v/>
      </c>
      <c r="E791" s="14" t="str">
        <f t="shared" si="86"/>
        <v/>
      </c>
      <c r="F791" s="14" t="str">
        <f t="shared" si="87"/>
        <v/>
      </c>
      <c r="G791" s="14" t="str">
        <f t="shared" si="88"/>
        <v/>
      </c>
      <c r="H791" s="15" t="str">
        <f t="shared" si="89"/>
        <v/>
      </c>
      <c r="I791" s="13" t="str">
        <f t="shared" si="90"/>
        <v/>
      </c>
    </row>
    <row r="792" spans="1:9" x14ac:dyDescent="0.2">
      <c r="A792" s="7" t="str">
        <f>IF($B792="","",783)</f>
        <v/>
      </c>
      <c r="B792" s="17" t="str">
        <f>IF(783&gt;NBskParty,"",INDEX(PkBskParty,783))</f>
        <v/>
      </c>
      <c r="C792" s="11" t="str">
        <f t="shared" si="84"/>
        <v/>
      </c>
      <c r="D792" s="9" t="str">
        <f t="shared" si="85"/>
        <v/>
      </c>
      <c r="E792" s="9" t="str">
        <f t="shared" si="86"/>
        <v/>
      </c>
      <c r="F792" s="9" t="str">
        <f t="shared" si="87"/>
        <v/>
      </c>
      <c r="G792" s="9" t="str">
        <f t="shared" si="88"/>
        <v/>
      </c>
      <c r="H792" s="10" t="str">
        <f t="shared" si="89"/>
        <v/>
      </c>
      <c r="I792" s="8" t="str">
        <f t="shared" si="90"/>
        <v/>
      </c>
    </row>
    <row r="793" spans="1:9" x14ac:dyDescent="0.2">
      <c r="A793" s="12" t="str">
        <f>IF($B793="","",784)</f>
        <v/>
      </c>
      <c r="B793" s="18" t="str">
        <f>IF(784&gt;NBskParty,"",INDEX(PkBskParty,784))</f>
        <v/>
      </c>
      <c r="C793" s="16" t="str">
        <f t="shared" si="84"/>
        <v/>
      </c>
      <c r="D793" s="14" t="str">
        <f t="shared" si="85"/>
        <v/>
      </c>
      <c r="E793" s="14" t="str">
        <f t="shared" si="86"/>
        <v/>
      </c>
      <c r="F793" s="14" t="str">
        <f t="shared" si="87"/>
        <v/>
      </c>
      <c r="G793" s="14" t="str">
        <f t="shared" si="88"/>
        <v/>
      </c>
      <c r="H793" s="15" t="str">
        <f t="shared" si="89"/>
        <v/>
      </c>
      <c r="I793" s="13" t="str">
        <f t="shared" si="90"/>
        <v/>
      </c>
    </row>
    <row r="794" spans="1:9" x14ac:dyDescent="0.2">
      <c r="A794" s="7" t="str">
        <f>IF($B794="","",785)</f>
        <v/>
      </c>
      <c r="B794" s="17" t="str">
        <f>IF(785&gt;NBskParty,"",INDEX(PkBskParty,785))</f>
        <v/>
      </c>
      <c r="C794" s="11" t="str">
        <f t="shared" si="84"/>
        <v/>
      </c>
      <c r="D794" s="9" t="str">
        <f t="shared" si="85"/>
        <v/>
      </c>
      <c r="E794" s="9" t="str">
        <f t="shared" si="86"/>
        <v/>
      </c>
      <c r="F794" s="9" t="str">
        <f t="shared" si="87"/>
        <v/>
      </c>
      <c r="G794" s="9" t="str">
        <f t="shared" si="88"/>
        <v/>
      </c>
      <c r="H794" s="10" t="str">
        <f t="shared" si="89"/>
        <v/>
      </c>
      <c r="I794" s="8" t="str">
        <f t="shared" si="90"/>
        <v/>
      </c>
    </row>
    <row r="795" spans="1:9" x14ac:dyDescent="0.2">
      <c r="A795" s="12" t="str">
        <f>IF($B795="","",786)</f>
        <v/>
      </c>
      <c r="B795" s="18" t="str">
        <f>IF(786&gt;NBskParty,"",INDEX(PkBskParty,786))</f>
        <v/>
      </c>
      <c r="C795" s="16" t="str">
        <f t="shared" si="84"/>
        <v/>
      </c>
      <c r="D795" s="14" t="str">
        <f t="shared" si="85"/>
        <v/>
      </c>
      <c r="E795" s="14" t="str">
        <f t="shared" si="86"/>
        <v/>
      </c>
      <c r="F795" s="14" t="str">
        <f t="shared" si="87"/>
        <v/>
      </c>
      <c r="G795" s="14" t="str">
        <f t="shared" si="88"/>
        <v/>
      </c>
      <c r="H795" s="15" t="str">
        <f t="shared" si="89"/>
        <v/>
      </c>
      <c r="I795" s="13" t="str">
        <f t="shared" si="90"/>
        <v/>
      </c>
    </row>
    <row r="796" spans="1:9" x14ac:dyDescent="0.2">
      <c r="A796" s="7" t="str">
        <f>IF($B796="","",787)</f>
        <v/>
      </c>
      <c r="B796" s="17" t="str">
        <f>IF(787&gt;NBskParty,"",INDEX(PkBskParty,787))</f>
        <v/>
      </c>
      <c r="C796" s="11" t="str">
        <f t="shared" si="84"/>
        <v/>
      </c>
      <c r="D796" s="9" t="str">
        <f t="shared" si="85"/>
        <v/>
      </c>
      <c r="E796" s="9" t="str">
        <f t="shared" si="86"/>
        <v/>
      </c>
      <c r="F796" s="9" t="str">
        <f t="shared" si="87"/>
        <v/>
      </c>
      <c r="G796" s="9" t="str">
        <f t="shared" si="88"/>
        <v/>
      </c>
      <c r="H796" s="10" t="str">
        <f t="shared" si="89"/>
        <v/>
      </c>
      <c r="I796" s="8" t="str">
        <f t="shared" si="90"/>
        <v/>
      </c>
    </row>
    <row r="797" spans="1:9" x14ac:dyDescent="0.2">
      <c r="A797" s="12" t="str">
        <f>IF($B797="","",788)</f>
        <v/>
      </c>
      <c r="B797" s="18" t="str">
        <f>IF(788&gt;NBskParty,"",INDEX(PkBskParty,788))</f>
        <v/>
      </c>
      <c r="C797" s="16" t="str">
        <f t="shared" si="84"/>
        <v/>
      </c>
      <c r="D797" s="14" t="str">
        <f t="shared" si="85"/>
        <v/>
      </c>
      <c r="E797" s="14" t="str">
        <f t="shared" si="86"/>
        <v/>
      </c>
      <c r="F797" s="14" t="str">
        <f t="shared" si="87"/>
        <v/>
      </c>
      <c r="G797" s="14" t="str">
        <f t="shared" si="88"/>
        <v/>
      </c>
      <c r="H797" s="15" t="str">
        <f t="shared" si="89"/>
        <v/>
      </c>
      <c r="I797" s="13" t="str">
        <f t="shared" si="90"/>
        <v/>
      </c>
    </row>
    <row r="798" spans="1:9" x14ac:dyDescent="0.2">
      <c r="A798" s="7" t="str">
        <f>IF($B798="","",789)</f>
        <v/>
      </c>
      <c r="B798" s="17" t="str">
        <f>IF(789&gt;NBskParty,"",INDEX(PkBskParty,789))</f>
        <v/>
      </c>
      <c r="C798" s="11" t="str">
        <f t="shared" si="84"/>
        <v/>
      </c>
      <c r="D798" s="9" t="str">
        <f t="shared" si="85"/>
        <v/>
      </c>
      <c r="E798" s="9" t="str">
        <f t="shared" si="86"/>
        <v/>
      </c>
      <c r="F798" s="9" t="str">
        <f t="shared" si="87"/>
        <v/>
      </c>
      <c r="G798" s="9" t="str">
        <f t="shared" si="88"/>
        <v/>
      </c>
      <c r="H798" s="10" t="str">
        <f t="shared" si="89"/>
        <v/>
      </c>
      <c r="I798" s="8" t="str">
        <f t="shared" si="90"/>
        <v/>
      </c>
    </row>
    <row r="799" spans="1:9" x14ac:dyDescent="0.2">
      <c r="A799" s="12" t="str">
        <f>IF($B799="","",790)</f>
        <v/>
      </c>
      <c r="B799" s="18" t="str">
        <f>IF(790&gt;NBskParty,"",INDEX(PkBskParty,790))</f>
        <v/>
      </c>
      <c r="C799" s="16" t="str">
        <f t="shared" si="84"/>
        <v/>
      </c>
      <c r="D799" s="14" t="str">
        <f t="shared" si="85"/>
        <v/>
      </c>
      <c r="E799" s="14" t="str">
        <f t="shared" si="86"/>
        <v/>
      </c>
      <c r="F799" s="14" t="str">
        <f t="shared" si="87"/>
        <v/>
      </c>
      <c r="G799" s="14" t="str">
        <f t="shared" si="88"/>
        <v/>
      </c>
      <c r="H799" s="15" t="str">
        <f t="shared" si="89"/>
        <v/>
      </c>
      <c r="I799" s="13" t="str">
        <f t="shared" si="90"/>
        <v/>
      </c>
    </row>
    <row r="800" spans="1:9" x14ac:dyDescent="0.2">
      <c r="A800" s="7" t="str">
        <f>IF($B800="","",791)</f>
        <v/>
      </c>
      <c r="B800" s="17" t="str">
        <f>IF(791&gt;NBskParty,"",INDEX(PkBskParty,791))</f>
        <v/>
      </c>
      <c r="C800" s="11" t="str">
        <f t="shared" si="84"/>
        <v/>
      </c>
      <c r="D800" s="9" t="str">
        <f t="shared" si="85"/>
        <v/>
      </c>
      <c r="E800" s="9" t="str">
        <f t="shared" si="86"/>
        <v/>
      </c>
      <c r="F800" s="9" t="str">
        <f t="shared" si="87"/>
        <v/>
      </c>
      <c r="G800" s="9" t="str">
        <f t="shared" si="88"/>
        <v/>
      </c>
      <c r="H800" s="10" t="str">
        <f t="shared" si="89"/>
        <v/>
      </c>
      <c r="I800" s="8" t="str">
        <f t="shared" si="90"/>
        <v/>
      </c>
    </row>
    <row r="801" spans="1:9" x14ac:dyDescent="0.2">
      <c r="A801" s="12" t="str">
        <f>IF($B801="","",792)</f>
        <v/>
      </c>
      <c r="B801" s="18" t="str">
        <f>IF(792&gt;NBskParty,"",INDEX(PkBskParty,792))</f>
        <v/>
      </c>
      <c r="C801" s="16" t="str">
        <f t="shared" si="84"/>
        <v/>
      </c>
      <c r="D801" s="14" t="str">
        <f t="shared" si="85"/>
        <v/>
      </c>
      <c r="E801" s="14" t="str">
        <f t="shared" si="86"/>
        <v/>
      </c>
      <c r="F801" s="14" t="str">
        <f t="shared" si="87"/>
        <v/>
      </c>
      <c r="G801" s="14" t="str">
        <f t="shared" si="88"/>
        <v/>
      </c>
      <c r="H801" s="15" t="str">
        <f t="shared" si="89"/>
        <v/>
      </c>
      <c r="I801" s="13" t="str">
        <f t="shared" si="90"/>
        <v/>
      </c>
    </row>
    <row r="802" spans="1:9" x14ac:dyDescent="0.2">
      <c r="A802" s="7" t="str">
        <f>IF($B802="","",793)</f>
        <v/>
      </c>
      <c r="B802" s="17" t="str">
        <f>IF(793&gt;NBskParty,"",INDEX(PkBskParty,793))</f>
        <v/>
      </c>
      <c r="C802" s="11" t="str">
        <f t="shared" si="84"/>
        <v/>
      </c>
      <c r="D802" s="9" t="str">
        <f t="shared" si="85"/>
        <v/>
      </c>
      <c r="E802" s="9" t="str">
        <f t="shared" si="86"/>
        <v/>
      </c>
      <c r="F802" s="9" t="str">
        <f t="shared" si="87"/>
        <v/>
      </c>
      <c r="G802" s="9" t="str">
        <f t="shared" si="88"/>
        <v/>
      </c>
      <c r="H802" s="10" t="str">
        <f t="shared" si="89"/>
        <v/>
      </c>
      <c r="I802" s="8" t="str">
        <f t="shared" si="90"/>
        <v/>
      </c>
    </row>
    <row r="803" spans="1:9" x14ac:dyDescent="0.2">
      <c r="A803" s="12" t="str">
        <f>IF($B803="","",794)</f>
        <v/>
      </c>
      <c r="B803" s="18" t="str">
        <f>IF(794&gt;NBskParty,"",INDEX(PkBskParty,794))</f>
        <v/>
      </c>
      <c r="C803" s="16" t="str">
        <f t="shared" si="84"/>
        <v/>
      </c>
      <c r="D803" s="14" t="str">
        <f t="shared" si="85"/>
        <v/>
      </c>
      <c r="E803" s="14" t="str">
        <f t="shared" si="86"/>
        <v/>
      </c>
      <c r="F803" s="14" t="str">
        <f t="shared" si="87"/>
        <v/>
      </c>
      <c r="G803" s="14" t="str">
        <f t="shared" si="88"/>
        <v/>
      </c>
      <c r="H803" s="15" t="str">
        <f t="shared" si="89"/>
        <v/>
      </c>
      <c r="I803" s="13" t="str">
        <f t="shared" si="90"/>
        <v/>
      </c>
    </row>
    <row r="804" spans="1:9" x14ac:dyDescent="0.2">
      <c r="A804" s="7" t="str">
        <f>IF($B804="","",795)</f>
        <v/>
      </c>
      <c r="B804" s="17" t="str">
        <f>IF(795&gt;NBskParty,"",INDEX(PkBskParty,795))</f>
        <v/>
      </c>
      <c r="C804" s="11" t="str">
        <f t="shared" si="84"/>
        <v/>
      </c>
      <c r="D804" s="9" t="str">
        <f t="shared" si="85"/>
        <v/>
      </c>
      <c r="E804" s="9" t="str">
        <f t="shared" si="86"/>
        <v/>
      </c>
      <c r="F804" s="9" t="str">
        <f t="shared" si="87"/>
        <v/>
      </c>
      <c r="G804" s="9" t="str">
        <f t="shared" si="88"/>
        <v/>
      </c>
      <c r="H804" s="10" t="str">
        <f t="shared" si="89"/>
        <v/>
      </c>
      <c r="I804" s="8" t="str">
        <f t="shared" si="90"/>
        <v/>
      </c>
    </row>
    <row r="805" spans="1:9" x14ac:dyDescent="0.2">
      <c r="A805" s="12" t="str">
        <f>IF($B805="","",796)</f>
        <v/>
      </c>
      <c r="B805" s="18" t="str">
        <f>IF(796&gt;NBskParty,"",INDEX(PkBskParty,796))</f>
        <v/>
      </c>
      <c r="C805" s="16" t="str">
        <f t="shared" si="84"/>
        <v/>
      </c>
      <c r="D805" s="14" t="str">
        <f t="shared" si="85"/>
        <v/>
      </c>
      <c r="E805" s="14" t="str">
        <f t="shared" si="86"/>
        <v/>
      </c>
      <c r="F805" s="14" t="str">
        <f t="shared" si="87"/>
        <v/>
      </c>
      <c r="G805" s="14" t="str">
        <f t="shared" si="88"/>
        <v/>
      </c>
      <c r="H805" s="15" t="str">
        <f t="shared" si="89"/>
        <v/>
      </c>
      <c r="I805" s="13" t="str">
        <f t="shared" si="90"/>
        <v/>
      </c>
    </row>
    <row r="806" spans="1:9" x14ac:dyDescent="0.2">
      <c r="A806" s="7" t="str">
        <f>IF($B806="","",797)</f>
        <v/>
      </c>
      <c r="B806" s="17" t="str">
        <f>IF(797&gt;NBskParty,"",INDEX(PkBskParty,797))</f>
        <v/>
      </c>
      <c r="C806" s="11" t="str">
        <f t="shared" si="84"/>
        <v/>
      </c>
      <c r="D806" s="9" t="str">
        <f t="shared" si="85"/>
        <v/>
      </c>
      <c r="E806" s="9" t="str">
        <f t="shared" si="86"/>
        <v/>
      </c>
      <c r="F806" s="9" t="str">
        <f t="shared" si="87"/>
        <v/>
      </c>
      <c r="G806" s="9" t="str">
        <f t="shared" si="88"/>
        <v/>
      </c>
      <c r="H806" s="10" t="str">
        <f t="shared" si="89"/>
        <v/>
      </c>
      <c r="I806" s="8" t="str">
        <f t="shared" si="90"/>
        <v/>
      </c>
    </row>
    <row r="807" spans="1:9" x14ac:dyDescent="0.2">
      <c r="A807" s="12" t="str">
        <f>IF($B807="","",798)</f>
        <v/>
      </c>
      <c r="B807" s="18" t="str">
        <f>IF(798&gt;NBskParty,"",INDEX(PkBskParty,798))</f>
        <v/>
      </c>
      <c r="C807" s="16" t="str">
        <f t="shared" si="84"/>
        <v/>
      </c>
      <c r="D807" s="14" t="str">
        <f t="shared" si="85"/>
        <v/>
      </c>
      <c r="E807" s="14" t="str">
        <f t="shared" si="86"/>
        <v/>
      </c>
      <c r="F807" s="14" t="str">
        <f t="shared" si="87"/>
        <v/>
      </c>
      <c r="G807" s="14" t="str">
        <f t="shared" si="88"/>
        <v/>
      </c>
      <c r="H807" s="15" t="str">
        <f t="shared" si="89"/>
        <v/>
      </c>
      <c r="I807" s="13" t="str">
        <f t="shared" si="90"/>
        <v/>
      </c>
    </row>
    <row r="808" spans="1:9" x14ac:dyDescent="0.2">
      <c r="A808" s="7" t="str">
        <f>IF($B808="","",799)</f>
        <v/>
      </c>
      <c r="B808" s="17" t="str">
        <f>IF(799&gt;NBskParty,"",INDEX(PkBskParty,799))</f>
        <v/>
      </c>
      <c r="C808" s="11" t="str">
        <f t="shared" si="84"/>
        <v/>
      </c>
      <c r="D808" s="9" t="str">
        <f t="shared" si="85"/>
        <v/>
      </c>
      <c r="E808" s="9" t="str">
        <f t="shared" si="86"/>
        <v/>
      </c>
      <c r="F808" s="9" t="str">
        <f t="shared" si="87"/>
        <v/>
      </c>
      <c r="G808" s="9" t="str">
        <f t="shared" si="88"/>
        <v/>
      </c>
      <c r="H808" s="10" t="str">
        <f t="shared" si="89"/>
        <v/>
      </c>
      <c r="I808" s="8" t="str">
        <f t="shared" si="90"/>
        <v/>
      </c>
    </row>
    <row r="809" spans="1:9" x14ac:dyDescent="0.2">
      <c r="A809" s="12" t="str">
        <f>IF($B809="","",800)</f>
        <v/>
      </c>
      <c r="B809" s="18" t="str">
        <f>IF(800&gt;NBskParty,"",INDEX(PkBskParty,800))</f>
        <v/>
      </c>
      <c r="C809" s="16" t="str">
        <f t="shared" si="84"/>
        <v/>
      </c>
      <c r="D809" s="14" t="str">
        <f t="shared" si="85"/>
        <v/>
      </c>
      <c r="E809" s="14" t="str">
        <f t="shared" si="86"/>
        <v/>
      </c>
      <c r="F809" s="14" t="str">
        <f t="shared" si="87"/>
        <v/>
      </c>
      <c r="G809" s="14" t="str">
        <f t="shared" si="88"/>
        <v/>
      </c>
      <c r="H809" s="15" t="str">
        <f t="shared" si="89"/>
        <v/>
      </c>
      <c r="I809" s="13" t="str">
        <f t="shared" si="90"/>
        <v/>
      </c>
    </row>
    <row r="810" spans="1:9" x14ac:dyDescent="0.2">
      <c r="A810" s="7" t="str">
        <f>IF($B810="","",801)</f>
        <v/>
      </c>
      <c r="B810" s="17" t="str">
        <f>IF(801&gt;NBskParty,"",INDEX(PkBskParty,801))</f>
        <v/>
      </c>
      <c r="C810" s="11" t="str">
        <f t="shared" si="84"/>
        <v/>
      </c>
      <c r="D810" s="9" t="str">
        <f t="shared" si="85"/>
        <v/>
      </c>
      <c r="E810" s="9" t="str">
        <f t="shared" si="86"/>
        <v/>
      </c>
      <c r="F810" s="9" t="str">
        <f t="shared" si="87"/>
        <v/>
      </c>
      <c r="G810" s="9" t="str">
        <f t="shared" si="88"/>
        <v/>
      </c>
      <c r="H810" s="10" t="str">
        <f t="shared" si="89"/>
        <v/>
      </c>
      <c r="I810" s="8" t="str">
        <f t="shared" si="90"/>
        <v/>
      </c>
    </row>
    <row r="811" spans="1:9" x14ac:dyDescent="0.2">
      <c r="A811" s="12" t="str">
        <f>IF($B811="","",802)</f>
        <v/>
      </c>
      <c r="B811" s="18" t="str">
        <f>IF(802&gt;NBskParty,"",INDEX(PkBskParty,802))</f>
        <v/>
      </c>
      <c r="C811" s="16" t="str">
        <f t="shared" si="84"/>
        <v/>
      </c>
      <c r="D811" s="14" t="str">
        <f t="shared" si="85"/>
        <v/>
      </c>
      <c r="E811" s="14" t="str">
        <f t="shared" si="86"/>
        <v/>
      </c>
      <c r="F811" s="14" t="str">
        <f t="shared" si="87"/>
        <v/>
      </c>
      <c r="G811" s="14" t="str">
        <f t="shared" si="88"/>
        <v/>
      </c>
      <c r="H811" s="15" t="str">
        <f t="shared" si="89"/>
        <v/>
      </c>
      <c r="I811" s="13" t="str">
        <f t="shared" si="90"/>
        <v/>
      </c>
    </row>
    <row r="812" spans="1:9" x14ac:dyDescent="0.2">
      <c r="A812" s="7" t="str">
        <f>IF($B812="","",803)</f>
        <v/>
      </c>
      <c r="B812" s="17" t="str">
        <f>IF(803&gt;NBskParty,"",INDEX(PkBskParty,803))</f>
        <v/>
      </c>
      <c r="C812" s="11" t="str">
        <f t="shared" si="84"/>
        <v/>
      </c>
      <c r="D812" s="9" t="str">
        <f t="shared" si="85"/>
        <v/>
      </c>
      <c r="E812" s="9" t="str">
        <f t="shared" si="86"/>
        <v/>
      </c>
      <c r="F812" s="9" t="str">
        <f t="shared" si="87"/>
        <v/>
      </c>
      <c r="G812" s="9" t="str">
        <f t="shared" si="88"/>
        <v/>
      </c>
      <c r="H812" s="10" t="str">
        <f t="shared" si="89"/>
        <v/>
      </c>
      <c r="I812" s="8" t="str">
        <f t="shared" si="90"/>
        <v/>
      </c>
    </row>
    <row r="813" spans="1:9" x14ac:dyDescent="0.2">
      <c r="A813" s="12" t="str">
        <f>IF($B813="","",804)</f>
        <v/>
      </c>
      <c r="B813" s="18" t="str">
        <f>IF(804&gt;NBskParty,"",INDEX(PkBskParty,804))</f>
        <v/>
      </c>
      <c r="C813" s="16" t="str">
        <f t="shared" si="84"/>
        <v/>
      </c>
      <c r="D813" s="14" t="str">
        <f t="shared" si="85"/>
        <v/>
      </c>
      <c r="E813" s="14" t="str">
        <f t="shared" si="86"/>
        <v/>
      </c>
      <c r="F813" s="14" t="str">
        <f t="shared" si="87"/>
        <v/>
      </c>
      <c r="G813" s="14" t="str">
        <f t="shared" si="88"/>
        <v/>
      </c>
      <c r="H813" s="15" t="str">
        <f t="shared" si="89"/>
        <v/>
      </c>
      <c r="I813" s="13" t="str">
        <f t="shared" si="90"/>
        <v/>
      </c>
    </row>
    <row r="814" spans="1:9" x14ac:dyDescent="0.2">
      <c r="A814" s="7" t="str">
        <f>IF($B814="","",805)</f>
        <v/>
      </c>
      <c r="B814" s="17" t="str">
        <f>IF(805&gt;NBskParty,"",INDEX(PkBskParty,805))</f>
        <v/>
      </c>
      <c r="C814" s="11" t="str">
        <f t="shared" si="84"/>
        <v/>
      </c>
      <c r="D814" s="9" t="str">
        <f t="shared" si="85"/>
        <v/>
      </c>
      <c r="E814" s="9" t="str">
        <f t="shared" si="86"/>
        <v/>
      </c>
      <c r="F814" s="9" t="str">
        <f t="shared" si="87"/>
        <v/>
      </c>
      <c r="G814" s="9" t="str">
        <f t="shared" si="88"/>
        <v/>
      </c>
      <c r="H814" s="10" t="str">
        <f t="shared" si="89"/>
        <v/>
      </c>
      <c r="I814" s="8" t="str">
        <f t="shared" si="90"/>
        <v/>
      </c>
    </row>
    <row r="815" spans="1:9" x14ac:dyDescent="0.2">
      <c r="A815" s="12" t="str">
        <f>IF($B815="","",806)</f>
        <v/>
      </c>
      <c r="B815" s="18" t="str">
        <f>IF(806&gt;NBskParty,"",INDEX(PkBskParty,806))</f>
        <v/>
      </c>
      <c r="C815" s="16" t="str">
        <f t="shared" si="84"/>
        <v/>
      </c>
      <c r="D815" s="14" t="str">
        <f t="shared" si="85"/>
        <v/>
      </c>
      <c r="E815" s="14" t="str">
        <f t="shared" si="86"/>
        <v/>
      </c>
      <c r="F815" s="14" t="str">
        <f t="shared" si="87"/>
        <v/>
      </c>
      <c r="G815" s="14" t="str">
        <f t="shared" si="88"/>
        <v/>
      </c>
      <c r="H815" s="15" t="str">
        <f t="shared" si="89"/>
        <v/>
      </c>
      <c r="I815" s="13" t="str">
        <f t="shared" si="90"/>
        <v/>
      </c>
    </row>
    <row r="816" spans="1:9" x14ac:dyDescent="0.2">
      <c r="A816" s="7" t="str">
        <f>IF($B816="","",807)</f>
        <v/>
      </c>
      <c r="B816" s="17" t="str">
        <f>IF(807&gt;NBskParty,"",INDEX(PkBskParty,807))</f>
        <v/>
      </c>
      <c r="C816" s="11" t="str">
        <f t="shared" si="84"/>
        <v/>
      </c>
      <c r="D816" s="9" t="str">
        <f t="shared" si="85"/>
        <v/>
      </c>
      <c r="E816" s="9" t="str">
        <f t="shared" si="86"/>
        <v/>
      </c>
      <c r="F816" s="9" t="str">
        <f t="shared" si="87"/>
        <v/>
      </c>
      <c r="G816" s="9" t="str">
        <f t="shared" si="88"/>
        <v/>
      </c>
      <c r="H816" s="10" t="str">
        <f t="shared" si="89"/>
        <v/>
      </c>
      <c r="I816" s="8" t="str">
        <f t="shared" si="90"/>
        <v/>
      </c>
    </row>
    <row r="817" spans="1:9" x14ac:dyDescent="0.2">
      <c r="A817" s="12" t="str">
        <f>IF($B817="","",808)</f>
        <v/>
      </c>
      <c r="B817" s="18" t="str">
        <f>IF(808&gt;NBskParty,"",INDEX(PkBskParty,808))</f>
        <v/>
      </c>
      <c r="C817" s="16" t="str">
        <f t="shared" si="84"/>
        <v/>
      </c>
      <c r="D817" s="14" t="str">
        <f t="shared" si="85"/>
        <v/>
      </c>
      <c r="E817" s="14" t="str">
        <f t="shared" si="86"/>
        <v/>
      </c>
      <c r="F817" s="14" t="str">
        <f t="shared" si="87"/>
        <v/>
      </c>
      <c r="G817" s="14" t="str">
        <f t="shared" si="88"/>
        <v/>
      </c>
      <c r="H817" s="15" t="str">
        <f t="shared" si="89"/>
        <v/>
      </c>
      <c r="I817" s="13" t="str">
        <f t="shared" si="90"/>
        <v/>
      </c>
    </row>
    <row r="818" spans="1:9" x14ac:dyDescent="0.2">
      <c r="A818" s="7" t="str">
        <f>IF($B818="","",809)</f>
        <v/>
      </c>
      <c r="B818" s="17" t="str">
        <f>IF(809&gt;NBskParty,"",INDEX(PkBskParty,809))</f>
        <v/>
      </c>
      <c r="C818" s="11" t="str">
        <f t="shared" si="84"/>
        <v/>
      </c>
      <c r="D818" s="9" t="str">
        <f t="shared" si="85"/>
        <v/>
      </c>
      <c r="E818" s="9" t="str">
        <f t="shared" si="86"/>
        <v/>
      </c>
      <c r="F818" s="9" t="str">
        <f t="shared" si="87"/>
        <v/>
      </c>
      <c r="G818" s="9" t="str">
        <f t="shared" si="88"/>
        <v/>
      </c>
      <c r="H818" s="10" t="str">
        <f t="shared" si="89"/>
        <v/>
      </c>
      <c r="I818" s="8" t="str">
        <f t="shared" si="90"/>
        <v/>
      </c>
    </row>
    <row r="819" spans="1:9" x14ac:dyDescent="0.2">
      <c r="A819" s="12" t="str">
        <f>IF($B819="","",810)</f>
        <v/>
      </c>
      <c r="B819" s="18" t="str">
        <f>IF(810&gt;NBskParty,"",INDEX(PkBskParty,810))</f>
        <v/>
      </c>
      <c r="C819" s="16" t="str">
        <f t="shared" si="84"/>
        <v/>
      </c>
      <c r="D819" s="14" t="str">
        <f t="shared" si="85"/>
        <v/>
      </c>
      <c r="E819" s="14" t="str">
        <f t="shared" si="86"/>
        <v/>
      </c>
      <c r="F819" s="14" t="str">
        <f t="shared" si="87"/>
        <v/>
      </c>
      <c r="G819" s="14" t="str">
        <f t="shared" si="88"/>
        <v/>
      </c>
      <c r="H819" s="15" t="str">
        <f t="shared" si="89"/>
        <v/>
      </c>
      <c r="I819" s="13" t="str">
        <f t="shared" si="90"/>
        <v/>
      </c>
    </row>
    <row r="820" spans="1:9" x14ac:dyDescent="0.2">
      <c r="A820" s="7" t="str">
        <f>IF($B820="","",811)</f>
        <v/>
      </c>
      <c r="B820" s="17" t="str">
        <f>IF(811&gt;NBskParty,"",INDEX(PkBskParty,811))</f>
        <v/>
      </c>
      <c r="C820" s="11" t="str">
        <f t="shared" si="84"/>
        <v/>
      </c>
      <c r="D820" s="9" t="str">
        <f t="shared" si="85"/>
        <v/>
      </c>
      <c r="E820" s="9" t="str">
        <f t="shared" si="86"/>
        <v/>
      </c>
      <c r="F820" s="9" t="str">
        <f t="shared" si="87"/>
        <v/>
      </c>
      <c r="G820" s="9" t="str">
        <f t="shared" si="88"/>
        <v/>
      </c>
      <c r="H820" s="10" t="str">
        <f t="shared" si="89"/>
        <v/>
      </c>
      <c r="I820" s="8" t="str">
        <f t="shared" si="90"/>
        <v/>
      </c>
    </row>
    <row r="821" spans="1:9" x14ac:dyDescent="0.2">
      <c r="A821" s="12" t="str">
        <f>IF($B821="","",812)</f>
        <v/>
      </c>
      <c r="B821" s="18" t="str">
        <f>IF(812&gt;NBskParty,"",INDEX(PkBskParty,812))</f>
        <v/>
      </c>
      <c r="C821" s="16" t="str">
        <f t="shared" si="84"/>
        <v/>
      </c>
      <c r="D821" s="14" t="str">
        <f t="shared" si="85"/>
        <v/>
      </c>
      <c r="E821" s="14" t="str">
        <f t="shared" si="86"/>
        <v/>
      </c>
      <c r="F821" s="14" t="str">
        <f t="shared" si="87"/>
        <v/>
      </c>
      <c r="G821" s="14" t="str">
        <f t="shared" si="88"/>
        <v/>
      </c>
      <c r="H821" s="15" t="str">
        <f t="shared" si="89"/>
        <v/>
      </c>
      <c r="I821" s="13" t="str">
        <f t="shared" si="90"/>
        <v/>
      </c>
    </row>
    <row r="822" spans="1:9" x14ac:dyDescent="0.2">
      <c r="A822" s="7" t="str">
        <f>IF($B822="","",813)</f>
        <v/>
      </c>
      <c r="B822" s="17" t="str">
        <f>IF(813&gt;NBskParty,"",INDEX(PkBskParty,813))</f>
        <v/>
      </c>
      <c r="C822" s="11" t="str">
        <f t="shared" si="84"/>
        <v/>
      </c>
      <c r="D822" s="9" t="str">
        <f t="shared" si="85"/>
        <v/>
      </c>
      <c r="E822" s="9" t="str">
        <f t="shared" si="86"/>
        <v/>
      </c>
      <c r="F822" s="9" t="str">
        <f t="shared" si="87"/>
        <v/>
      </c>
      <c r="G822" s="9" t="str">
        <f t="shared" si="88"/>
        <v/>
      </c>
      <c r="H822" s="10" t="str">
        <f t="shared" si="89"/>
        <v/>
      </c>
      <c r="I822" s="8" t="str">
        <f t="shared" si="90"/>
        <v/>
      </c>
    </row>
    <row r="823" spans="1:9" x14ac:dyDescent="0.2">
      <c r="A823" s="12" t="str">
        <f>IF($B823="","",814)</f>
        <v/>
      </c>
      <c r="B823" s="18" t="str">
        <f>IF(814&gt;NBskParty,"",INDEX(PkBskParty,814))</f>
        <v/>
      </c>
      <c r="C823" s="16" t="str">
        <f t="shared" si="84"/>
        <v/>
      </c>
      <c r="D823" s="14" t="str">
        <f t="shared" si="85"/>
        <v/>
      </c>
      <c r="E823" s="14" t="str">
        <f t="shared" si="86"/>
        <v/>
      </c>
      <c r="F823" s="14" t="str">
        <f t="shared" si="87"/>
        <v/>
      </c>
      <c r="G823" s="14" t="str">
        <f t="shared" si="88"/>
        <v/>
      </c>
      <c r="H823" s="15" t="str">
        <f t="shared" si="89"/>
        <v/>
      </c>
      <c r="I823" s="13" t="str">
        <f t="shared" si="90"/>
        <v/>
      </c>
    </row>
    <row r="824" spans="1:9" x14ac:dyDescent="0.2">
      <c r="A824" s="7" t="str">
        <f>IF($B824="","",815)</f>
        <v/>
      </c>
      <c r="B824" s="17" t="str">
        <f>IF(815&gt;NBskParty,"",INDEX(PkBskParty,815))</f>
        <v/>
      </c>
      <c r="C824" s="11" t="str">
        <f t="shared" si="84"/>
        <v/>
      </c>
      <c r="D824" s="9" t="str">
        <f t="shared" si="85"/>
        <v/>
      </c>
      <c r="E824" s="9" t="str">
        <f t="shared" si="86"/>
        <v/>
      </c>
      <c r="F824" s="9" t="str">
        <f t="shared" si="87"/>
        <v/>
      </c>
      <c r="G824" s="9" t="str">
        <f t="shared" si="88"/>
        <v/>
      </c>
      <c r="H824" s="10" t="str">
        <f t="shared" si="89"/>
        <v/>
      </c>
      <c r="I824" s="8" t="str">
        <f t="shared" si="90"/>
        <v/>
      </c>
    </row>
    <row r="825" spans="1:9" x14ac:dyDescent="0.2">
      <c r="A825" s="12" t="str">
        <f>IF($B825="","",816)</f>
        <v/>
      </c>
      <c r="B825" s="18" t="str">
        <f>IF(816&gt;NBskParty,"",INDEX(PkBskParty,816))</f>
        <v/>
      </c>
      <c r="C825" s="16" t="str">
        <f t="shared" si="84"/>
        <v/>
      </c>
      <c r="D825" s="14" t="str">
        <f t="shared" si="85"/>
        <v/>
      </c>
      <c r="E825" s="14" t="str">
        <f t="shared" si="86"/>
        <v/>
      </c>
      <c r="F825" s="14" t="str">
        <f t="shared" si="87"/>
        <v/>
      </c>
      <c r="G825" s="14" t="str">
        <f t="shared" si="88"/>
        <v/>
      </c>
      <c r="H825" s="15" t="str">
        <f t="shared" si="89"/>
        <v/>
      </c>
      <c r="I825" s="13" t="str">
        <f t="shared" si="90"/>
        <v/>
      </c>
    </row>
    <row r="826" spans="1:9" x14ac:dyDescent="0.2">
      <c r="A826" s="7" t="str">
        <f>IF($B826="","",817)</f>
        <v/>
      </c>
      <c r="B826" s="17" t="str">
        <f>IF(817&gt;NBskParty,"",INDEX(PkBskParty,817))</f>
        <v/>
      </c>
      <c r="C826" s="11" t="str">
        <f t="shared" si="84"/>
        <v/>
      </c>
      <c r="D826" s="9" t="str">
        <f t="shared" si="85"/>
        <v/>
      </c>
      <c r="E826" s="9" t="str">
        <f t="shared" si="86"/>
        <v/>
      </c>
      <c r="F826" s="9" t="str">
        <f t="shared" si="87"/>
        <v/>
      </c>
      <c r="G826" s="9" t="str">
        <f t="shared" si="88"/>
        <v/>
      </c>
      <c r="H826" s="10" t="str">
        <f t="shared" si="89"/>
        <v/>
      </c>
      <c r="I826" s="8" t="str">
        <f t="shared" si="90"/>
        <v/>
      </c>
    </row>
    <row r="827" spans="1:9" x14ac:dyDescent="0.2">
      <c r="A827" s="12" t="str">
        <f>IF($B827="","",818)</f>
        <v/>
      </c>
      <c r="B827" s="18" t="str">
        <f>IF(818&gt;NBskParty,"",INDEX(PkBskParty,818))</f>
        <v/>
      </c>
      <c r="C827" s="16" t="str">
        <f t="shared" si="84"/>
        <v/>
      </c>
      <c r="D827" s="14" t="str">
        <f t="shared" si="85"/>
        <v/>
      </c>
      <c r="E827" s="14" t="str">
        <f t="shared" si="86"/>
        <v/>
      </c>
      <c r="F827" s="14" t="str">
        <f t="shared" si="87"/>
        <v/>
      </c>
      <c r="G827" s="14" t="str">
        <f t="shared" si="88"/>
        <v/>
      </c>
      <c r="H827" s="15" t="str">
        <f t="shared" si="89"/>
        <v/>
      </c>
      <c r="I827" s="13" t="str">
        <f t="shared" si="90"/>
        <v/>
      </c>
    </row>
    <row r="828" spans="1:9" x14ac:dyDescent="0.2">
      <c r="A828" s="7" t="str">
        <f>IF($B828="","",819)</f>
        <v/>
      </c>
      <c r="B828" s="17" t="str">
        <f>IF(819&gt;NBskParty,"",INDEX(PkBskParty,819))</f>
        <v/>
      </c>
      <c r="C828" s="11" t="str">
        <f t="shared" si="84"/>
        <v/>
      </c>
      <c r="D828" s="9" t="str">
        <f t="shared" si="85"/>
        <v/>
      </c>
      <c r="E828" s="9" t="str">
        <f t="shared" si="86"/>
        <v/>
      </c>
      <c r="F828" s="9" t="str">
        <f t="shared" si="87"/>
        <v/>
      </c>
      <c r="G828" s="9" t="str">
        <f t="shared" si="88"/>
        <v/>
      </c>
      <c r="H828" s="10" t="str">
        <f t="shared" si="89"/>
        <v/>
      </c>
      <c r="I828" s="8" t="str">
        <f t="shared" si="90"/>
        <v/>
      </c>
    </row>
    <row r="829" spans="1:9" x14ac:dyDescent="0.2">
      <c r="A829" s="12" t="str">
        <f>IF($B829="","",820)</f>
        <v/>
      </c>
      <c r="B829" s="18" t="str">
        <f>IF(820&gt;NBskParty,"",INDEX(PkBskParty,820))</f>
        <v/>
      </c>
      <c r="C829" s="16" t="str">
        <f t="shared" si="84"/>
        <v/>
      </c>
      <c r="D829" s="14" t="str">
        <f t="shared" si="85"/>
        <v/>
      </c>
      <c r="E829" s="14" t="str">
        <f t="shared" si="86"/>
        <v/>
      </c>
      <c r="F829" s="14" t="str">
        <f t="shared" si="87"/>
        <v/>
      </c>
      <c r="G829" s="14" t="str">
        <f t="shared" si="88"/>
        <v/>
      </c>
      <c r="H829" s="15" t="str">
        <f t="shared" si="89"/>
        <v/>
      </c>
      <c r="I829" s="13" t="str">
        <f t="shared" si="90"/>
        <v/>
      </c>
    </row>
    <row r="830" spans="1:9" x14ac:dyDescent="0.2">
      <c r="A830" s="7" t="str">
        <f>IF($B830="","",821)</f>
        <v/>
      </c>
      <c r="B830" s="17" t="str">
        <f>IF(821&gt;NBskParty,"",INDEX(PkBskParty,821))</f>
        <v/>
      </c>
      <c r="C830" s="11" t="str">
        <f t="shared" si="84"/>
        <v/>
      </c>
      <c r="D830" s="9" t="str">
        <f t="shared" si="85"/>
        <v/>
      </c>
      <c r="E830" s="9" t="str">
        <f t="shared" si="86"/>
        <v/>
      </c>
      <c r="F830" s="9" t="str">
        <f t="shared" si="87"/>
        <v/>
      </c>
      <c r="G830" s="9" t="str">
        <f t="shared" si="88"/>
        <v/>
      </c>
      <c r="H830" s="10" t="str">
        <f t="shared" si="89"/>
        <v/>
      </c>
      <c r="I830" s="8" t="str">
        <f t="shared" si="90"/>
        <v/>
      </c>
    </row>
    <row r="831" spans="1:9" x14ac:dyDescent="0.2">
      <c r="A831" s="12" t="str">
        <f>IF($B831="","",822)</f>
        <v/>
      </c>
      <c r="B831" s="18" t="str">
        <f>IF(822&gt;NBskParty,"",INDEX(PkBskParty,822))</f>
        <v/>
      </c>
      <c r="C831" s="16" t="str">
        <f t="shared" si="84"/>
        <v/>
      </c>
      <c r="D831" s="14" t="str">
        <f t="shared" si="85"/>
        <v/>
      </c>
      <c r="E831" s="14" t="str">
        <f t="shared" si="86"/>
        <v/>
      </c>
      <c r="F831" s="14" t="str">
        <f t="shared" si="87"/>
        <v/>
      </c>
      <c r="G831" s="14" t="str">
        <f t="shared" si="88"/>
        <v/>
      </c>
      <c r="H831" s="15" t="str">
        <f t="shared" si="89"/>
        <v/>
      </c>
      <c r="I831" s="13" t="str">
        <f t="shared" si="90"/>
        <v/>
      </c>
    </row>
    <row r="832" spans="1:9" x14ac:dyDescent="0.2">
      <c r="A832" s="7" t="str">
        <f>IF($B832="","",823)</f>
        <v/>
      </c>
      <c r="B832" s="17" t="str">
        <f>IF(823&gt;NBskParty,"",INDEX(PkBskParty,823))</f>
        <v/>
      </c>
      <c r="C832" s="11" t="str">
        <f t="shared" si="84"/>
        <v/>
      </c>
      <c r="D832" s="9" t="str">
        <f t="shared" si="85"/>
        <v/>
      </c>
      <c r="E832" s="9" t="str">
        <f t="shared" si="86"/>
        <v/>
      </c>
      <c r="F832" s="9" t="str">
        <f t="shared" si="87"/>
        <v/>
      </c>
      <c r="G832" s="9" t="str">
        <f t="shared" si="88"/>
        <v/>
      </c>
      <c r="H832" s="10" t="str">
        <f t="shared" si="89"/>
        <v/>
      </c>
      <c r="I832" s="8" t="str">
        <f t="shared" si="90"/>
        <v/>
      </c>
    </row>
    <row r="833" spans="1:9" x14ac:dyDescent="0.2">
      <c r="A833" s="12" t="str">
        <f>IF($B833="","",824)</f>
        <v/>
      </c>
      <c r="B833" s="18" t="str">
        <f>IF(824&gt;NBskParty,"",INDEX(PkBskParty,824))</f>
        <v/>
      </c>
      <c r="C833" s="16" t="str">
        <f t="shared" si="84"/>
        <v/>
      </c>
      <c r="D833" s="14" t="str">
        <f t="shared" si="85"/>
        <v/>
      </c>
      <c r="E833" s="14" t="str">
        <f t="shared" si="86"/>
        <v/>
      </c>
      <c r="F833" s="14" t="str">
        <f t="shared" si="87"/>
        <v/>
      </c>
      <c r="G833" s="14" t="str">
        <f t="shared" si="88"/>
        <v/>
      </c>
      <c r="H833" s="15" t="str">
        <f t="shared" si="89"/>
        <v/>
      </c>
      <c r="I833" s="13" t="str">
        <f t="shared" si="90"/>
        <v/>
      </c>
    </row>
    <row r="834" spans="1:9" x14ac:dyDescent="0.2">
      <c r="A834" s="7" t="str">
        <f>IF($B834="","",825)</f>
        <v/>
      </c>
      <c r="B834" s="17" t="str">
        <f>IF(825&gt;NBskParty,"",INDEX(PkBskParty,825))</f>
        <v/>
      </c>
      <c r="C834" s="11" t="str">
        <f t="shared" si="84"/>
        <v/>
      </c>
      <c r="D834" s="9" t="str">
        <f t="shared" si="85"/>
        <v/>
      </c>
      <c r="E834" s="9" t="str">
        <f t="shared" si="86"/>
        <v/>
      </c>
      <c r="F834" s="9" t="str">
        <f t="shared" si="87"/>
        <v/>
      </c>
      <c r="G834" s="9" t="str">
        <f t="shared" si="88"/>
        <v/>
      </c>
      <c r="H834" s="10" t="str">
        <f t="shared" si="89"/>
        <v/>
      </c>
      <c r="I834" s="8" t="str">
        <f t="shared" si="90"/>
        <v/>
      </c>
    </row>
    <row r="835" spans="1:9" x14ac:dyDescent="0.2">
      <c r="A835" s="12" t="str">
        <f>IF($B835="","",826)</f>
        <v/>
      </c>
      <c r="B835" s="18" t="str">
        <f>IF(826&gt;NBskParty,"",INDEX(PkBskParty,826))</f>
        <v/>
      </c>
      <c r="C835" s="16" t="str">
        <f t="shared" si="84"/>
        <v/>
      </c>
      <c r="D835" s="14" t="str">
        <f t="shared" si="85"/>
        <v/>
      </c>
      <c r="E835" s="14" t="str">
        <f t="shared" si="86"/>
        <v/>
      </c>
      <c r="F835" s="14" t="str">
        <f t="shared" si="87"/>
        <v/>
      </c>
      <c r="G835" s="14" t="str">
        <f t="shared" si="88"/>
        <v/>
      </c>
      <c r="H835" s="15" t="str">
        <f t="shared" si="89"/>
        <v/>
      </c>
      <c r="I835" s="13" t="str">
        <f t="shared" si="90"/>
        <v/>
      </c>
    </row>
    <row r="836" spans="1:9" x14ac:dyDescent="0.2">
      <c r="A836" s="7" t="str">
        <f>IF($B836="","",827)</f>
        <v/>
      </c>
      <c r="B836" s="17" t="str">
        <f>IF(827&gt;NBskParty,"",INDEX(PkBskParty,827))</f>
        <v/>
      </c>
      <c r="C836" s="11" t="str">
        <f t="shared" si="84"/>
        <v/>
      </c>
      <c r="D836" s="9" t="str">
        <f t="shared" si="85"/>
        <v/>
      </c>
      <c r="E836" s="9" t="str">
        <f t="shared" si="86"/>
        <v/>
      </c>
      <c r="F836" s="9" t="str">
        <f t="shared" si="87"/>
        <v/>
      </c>
      <c r="G836" s="9" t="str">
        <f t="shared" si="88"/>
        <v/>
      </c>
      <c r="H836" s="10" t="str">
        <f t="shared" si="89"/>
        <v/>
      </c>
      <c r="I836" s="8" t="str">
        <f t="shared" si="90"/>
        <v/>
      </c>
    </row>
    <row r="837" spans="1:9" x14ac:dyDescent="0.2">
      <c r="A837" s="12" t="str">
        <f>IF($B837="","",828)</f>
        <v/>
      </c>
      <c r="B837" s="18" t="str">
        <f>IF(828&gt;NBskParty,"",INDEX(PkBskParty,828))</f>
        <v/>
      </c>
      <c r="C837" s="16" t="str">
        <f t="shared" si="84"/>
        <v/>
      </c>
      <c r="D837" s="14" t="str">
        <f t="shared" si="85"/>
        <v/>
      </c>
      <c r="E837" s="14" t="str">
        <f t="shared" si="86"/>
        <v/>
      </c>
      <c r="F837" s="14" t="str">
        <f t="shared" si="87"/>
        <v/>
      </c>
      <c r="G837" s="14" t="str">
        <f t="shared" si="88"/>
        <v/>
      </c>
      <c r="H837" s="15" t="str">
        <f t="shared" si="89"/>
        <v/>
      </c>
      <c r="I837" s="13" t="str">
        <f t="shared" si="90"/>
        <v/>
      </c>
    </row>
    <row r="838" spans="1:9" x14ac:dyDescent="0.2">
      <c r="A838" s="7" t="str">
        <f>IF($B838="","",829)</f>
        <v/>
      </c>
      <c r="B838" s="17" t="str">
        <f>IF(829&gt;NBskParty,"",INDEX(PkBskParty,829))</f>
        <v/>
      </c>
      <c r="C838" s="11" t="str">
        <f t="shared" si="84"/>
        <v/>
      </c>
      <c r="D838" s="9" t="str">
        <f t="shared" si="85"/>
        <v/>
      </c>
      <c r="E838" s="9" t="str">
        <f t="shared" si="86"/>
        <v/>
      </c>
      <c r="F838" s="9" t="str">
        <f t="shared" si="87"/>
        <v/>
      </c>
      <c r="G838" s="9" t="str">
        <f t="shared" si="88"/>
        <v/>
      </c>
      <c r="H838" s="10" t="str">
        <f t="shared" si="89"/>
        <v/>
      </c>
      <c r="I838" s="8" t="str">
        <f t="shared" si="90"/>
        <v/>
      </c>
    </row>
    <row r="839" spans="1:9" x14ac:dyDescent="0.2">
      <c r="A839" s="12" t="str">
        <f>IF($B839="","",830)</f>
        <v/>
      </c>
      <c r="B839" s="18" t="str">
        <f>IF(830&gt;NBskParty,"",INDEX(PkBskParty,830))</f>
        <v/>
      </c>
      <c r="C839" s="16" t="str">
        <f t="shared" si="84"/>
        <v/>
      </c>
      <c r="D839" s="14" t="str">
        <f t="shared" si="85"/>
        <v/>
      </c>
      <c r="E839" s="14" t="str">
        <f t="shared" si="86"/>
        <v/>
      </c>
      <c r="F839" s="14" t="str">
        <f t="shared" si="87"/>
        <v/>
      </c>
      <c r="G839" s="14" t="str">
        <f t="shared" si="88"/>
        <v/>
      </c>
      <c r="H839" s="15" t="str">
        <f t="shared" si="89"/>
        <v/>
      </c>
      <c r="I839" s="13" t="str">
        <f t="shared" si="90"/>
        <v/>
      </c>
    </row>
    <row r="840" spans="1:9" x14ac:dyDescent="0.2">
      <c r="A840" s="7" t="str">
        <f>IF($B840="","",831)</f>
        <v/>
      </c>
      <c r="B840" s="17" t="str">
        <f>IF(831&gt;NBskParty,"",INDEX(PkBskParty,831))</f>
        <v/>
      </c>
      <c r="C840" s="11" t="str">
        <f t="shared" si="84"/>
        <v/>
      </c>
      <c r="D840" s="9" t="str">
        <f t="shared" si="85"/>
        <v/>
      </c>
      <c r="E840" s="9" t="str">
        <f t="shared" si="86"/>
        <v/>
      </c>
      <c r="F840" s="9" t="str">
        <f t="shared" si="87"/>
        <v/>
      </c>
      <c r="G840" s="9" t="str">
        <f t="shared" si="88"/>
        <v/>
      </c>
      <c r="H840" s="10" t="str">
        <f t="shared" si="89"/>
        <v/>
      </c>
      <c r="I840" s="8" t="str">
        <f t="shared" si="90"/>
        <v/>
      </c>
    </row>
    <row r="841" spans="1:9" x14ac:dyDescent="0.2">
      <c r="A841" s="12" t="str">
        <f>IF($B841="","",832)</f>
        <v/>
      </c>
      <c r="B841" s="18" t="str">
        <f>IF(832&gt;NBskParty,"",INDEX(PkBskParty,832))</f>
        <v/>
      </c>
      <c r="C841" s="16" t="str">
        <f t="shared" si="84"/>
        <v/>
      </c>
      <c r="D841" s="14" t="str">
        <f t="shared" si="85"/>
        <v/>
      </c>
      <c r="E841" s="14" t="str">
        <f t="shared" si="86"/>
        <v/>
      </c>
      <c r="F841" s="14" t="str">
        <f t="shared" si="87"/>
        <v/>
      </c>
      <c r="G841" s="14" t="str">
        <f t="shared" si="88"/>
        <v/>
      </c>
      <c r="H841" s="15" t="str">
        <f t="shared" si="89"/>
        <v/>
      </c>
      <c r="I841" s="13" t="str">
        <f t="shared" si="90"/>
        <v/>
      </c>
    </row>
    <row r="842" spans="1:9" x14ac:dyDescent="0.2">
      <c r="A842" s="7" t="str">
        <f>IF($B842="","",833)</f>
        <v/>
      </c>
      <c r="B842" s="17" t="str">
        <f>IF(833&gt;NBskParty,"",INDEX(PkBskParty,833))</f>
        <v/>
      </c>
      <c r="C842" s="11" t="str">
        <f t="shared" ref="C842:C905" si="91">IF($B842="","",IFERROR(IF(VLOOKUP($B842,AcctTbl,4,0)="","(بدون نام)",VLOOKUP($B842,AcctTbl,4,0)),"—"))</f>
        <v/>
      </c>
      <c r="D842" s="9" t="str">
        <f t="shared" ref="D842:D905" si="92">IF($B842="","",SUMIF(CalcPartyA,$B842,CalcQtyA))</f>
        <v/>
      </c>
      <c r="E842" s="9" t="str">
        <f t="shared" ref="E842:E905" si="93">IF($B842="","",SUMIF(CalcPartyA,$B842,CalcAmtA))</f>
        <v/>
      </c>
      <c r="F842" s="9" t="str">
        <f t="shared" ref="F842:F905" si="94">IF($B842="","",SUMIF(CalcPartyB,$B842,CalcWitB))</f>
        <v/>
      </c>
      <c r="G842" s="9" t="str">
        <f t="shared" ref="G842:G905" si="95">IF($B842="","",SUMIF(CalcPartyB,$B842,CalcDepB))</f>
        <v/>
      </c>
      <c r="H842" s="10" t="str">
        <f t="shared" ref="H842:H905" si="96">IF($B842="","",$E842-$F842+$G842)</f>
        <v/>
      </c>
      <c r="I842" s="8" t="str">
        <f t="shared" ref="I842:I905" si="97">IF($B842="","",IF(ROUND($H842,0)&gt;0,"● بستانکار",IF(ROUND($H842,0)&lt;0,"● بدهکار","تسویه")))</f>
        <v/>
      </c>
    </row>
    <row r="843" spans="1:9" x14ac:dyDescent="0.2">
      <c r="A843" s="12" t="str">
        <f>IF($B843="","",834)</f>
        <v/>
      </c>
      <c r="B843" s="18" t="str">
        <f>IF(834&gt;NBskParty,"",INDEX(PkBskParty,834))</f>
        <v/>
      </c>
      <c r="C843" s="16" t="str">
        <f t="shared" si="91"/>
        <v/>
      </c>
      <c r="D843" s="14" t="str">
        <f t="shared" si="92"/>
        <v/>
      </c>
      <c r="E843" s="14" t="str">
        <f t="shared" si="93"/>
        <v/>
      </c>
      <c r="F843" s="14" t="str">
        <f t="shared" si="94"/>
        <v/>
      </c>
      <c r="G843" s="14" t="str">
        <f t="shared" si="95"/>
        <v/>
      </c>
      <c r="H843" s="15" t="str">
        <f t="shared" si="96"/>
        <v/>
      </c>
      <c r="I843" s="13" t="str">
        <f t="shared" si="97"/>
        <v/>
      </c>
    </row>
    <row r="844" spans="1:9" x14ac:dyDescent="0.2">
      <c r="A844" s="7" t="str">
        <f>IF($B844="","",835)</f>
        <v/>
      </c>
      <c r="B844" s="17" t="str">
        <f>IF(835&gt;NBskParty,"",INDEX(PkBskParty,835))</f>
        <v/>
      </c>
      <c r="C844" s="11" t="str">
        <f t="shared" si="91"/>
        <v/>
      </c>
      <c r="D844" s="9" t="str">
        <f t="shared" si="92"/>
        <v/>
      </c>
      <c r="E844" s="9" t="str">
        <f t="shared" si="93"/>
        <v/>
      </c>
      <c r="F844" s="9" t="str">
        <f t="shared" si="94"/>
        <v/>
      </c>
      <c r="G844" s="9" t="str">
        <f t="shared" si="95"/>
        <v/>
      </c>
      <c r="H844" s="10" t="str">
        <f t="shared" si="96"/>
        <v/>
      </c>
      <c r="I844" s="8" t="str">
        <f t="shared" si="97"/>
        <v/>
      </c>
    </row>
    <row r="845" spans="1:9" x14ac:dyDescent="0.2">
      <c r="A845" s="12" t="str">
        <f>IF($B845="","",836)</f>
        <v/>
      </c>
      <c r="B845" s="18" t="str">
        <f>IF(836&gt;NBskParty,"",INDEX(PkBskParty,836))</f>
        <v/>
      </c>
      <c r="C845" s="16" t="str">
        <f t="shared" si="91"/>
        <v/>
      </c>
      <c r="D845" s="14" t="str">
        <f t="shared" si="92"/>
        <v/>
      </c>
      <c r="E845" s="14" t="str">
        <f t="shared" si="93"/>
        <v/>
      </c>
      <c r="F845" s="14" t="str">
        <f t="shared" si="94"/>
        <v/>
      </c>
      <c r="G845" s="14" t="str">
        <f t="shared" si="95"/>
        <v/>
      </c>
      <c r="H845" s="15" t="str">
        <f t="shared" si="96"/>
        <v/>
      </c>
      <c r="I845" s="13" t="str">
        <f t="shared" si="97"/>
        <v/>
      </c>
    </row>
    <row r="846" spans="1:9" x14ac:dyDescent="0.2">
      <c r="A846" s="7" t="str">
        <f>IF($B846="","",837)</f>
        <v/>
      </c>
      <c r="B846" s="17" t="str">
        <f>IF(837&gt;NBskParty,"",INDEX(PkBskParty,837))</f>
        <v/>
      </c>
      <c r="C846" s="11" t="str">
        <f t="shared" si="91"/>
        <v/>
      </c>
      <c r="D846" s="9" t="str">
        <f t="shared" si="92"/>
        <v/>
      </c>
      <c r="E846" s="9" t="str">
        <f t="shared" si="93"/>
        <v/>
      </c>
      <c r="F846" s="9" t="str">
        <f t="shared" si="94"/>
        <v/>
      </c>
      <c r="G846" s="9" t="str">
        <f t="shared" si="95"/>
        <v/>
      </c>
      <c r="H846" s="10" t="str">
        <f t="shared" si="96"/>
        <v/>
      </c>
      <c r="I846" s="8" t="str">
        <f t="shared" si="97"/>
        <v/>
      </c>
    </row>
    <row r="847" spans="1:9" x14ac:dyDescent="0.2">
      <c r="A847" s="12" t="str">
        <f>IF($B847="","",838)</f>
        <v/>
      </c>
      <c r="B847" s="18" t="str">
        <f>IF(838&gt;NBskParty,"",INDEX(PkBskParty,838))</f>
        <v/>
      </c>
      <c r="C847" s="16" t="str">
        <f t="shared" si="91"/>
        <v/>
      </c>
      <c r="D847" s="14" t="str">
        <f t="shared" si="92"/>
        <v/>
      </c>
      <c r="E847" s="14" t="str">
        <f t="shared" si="93"/>
        <v/>
      </c>
      <c r="F847" s="14" t="str">
        <f t="shared" si="94"/>
        <v/>
      </c>
      <c r="G847" s="14" t="str">
        <f t="shared" si="95"/>
        <v/>
      </c>
      <c r="H847" s="15" t="str">
        <f t="shared" si="96"/>
        <v/>
      </c>
      <c r="I847" s="13" t="str">
        <f t="shared" si="97"/>
        <v/>
      </c>
    </row>
    <row r="848" spans="1:9" x14ac:dyDescent="0.2">
      <c r="A848" s="7" t="str">
        <f>IF($B848="","",839)</f>
        <v/>
      </c>
      <c r="B848" s="17" t="str">
        <f>IF(839&gt;NBskParty,"",INDEX(PkBskParty,839))</f>
        <v/>
      </c>
      <c r="C848" s="11" t="str">
        <f t="shared" si="91"/>
        <v/>
      </c>
      <c r="D848" s="9" t="str">
        <f t="shared" si="92"/>
        <v/>
      </c>
      <c r="E848" s="9" t="str">
        <f t="shared" si="93"/>
        <v/>
      </c>
      <c r="F848" s="9" t="str">
        <f t="shared" si="94"/>
        <v/>
      </c>
      <c r="G848" s="9" t="str">
        <f t="shared" si="95"/>
        <v/>
      </c>
      <c r="H848" s="10" t="str">
        <f t="shared" si="96"/>
        <v/>
      </c>
      <c r="I848" s="8" t="str">
        <f t="shared" si="97"/>
        <v/>
      </c>
    </row>
    <row r="849" spans="1:9" x14ac:dyDescent="0.2">
      <c r="A849" s="12" t="str">
        <f>IF($B849="","",840)</f>
        <v/>
      </c>
      <c r="B849" s="18" t="str">
        <f>IF(840&gt;NBskParty,"",INDEX(PkBskParty,840))</f>
        <v/>
      </c>
      <c r="C849" s="16" t="str">
        <f t="shared" si="91"/>
        <v/>
      </c>
      <c r="D849" s="14" t="str">
        <f t="shared" si="92"/>
        <v/>
      </c>
      <c r="E849" s="14" t="str">
        <f t="shared" si="93"/>
        <v/>
      </c>
      <c r="F849" s="14" t="str">
        <f t="shared" si="94"/>
        <v/>
      </c>
      <c r="G849" s="14" t="str">
        <f t="shared" si="95"/>
        <v/>
      </c>
      <c r="H849" s="15" t="str">
        <f t="shared" si="96"/>
        <v/>
      </c>
      <c r="I849" s="13" t="str">
        <f t="shared" si="97"/>
        <v/>
      </c>
    </row>
    <row r="850" spans="1:9" x14ac:dyDescent="0.2">
      <c r="A850" s="7" t="str">
        <f>IF($B850="","",841)</f>
        <v/>
      </c>
      <c r="B850" s="17" t="str">
        <f>IF(841&gt;NBskParty,"",INDEX(PkBskParty,841))</f>
        <v/>
      </c>
      <c r="C850" s="11" t="str">
        <f t="shared" si="91"/>
        <v/>
      </c>
      <c r="D850" s="9" t="str">
        <f t="shared" si="92"/>
        <v/>
      </c>
      <c r="E850" s="9" t="str">
        <f t="shared" si="93"/>
        <v/>
      </c>
      <c r="F850" s="9" t="str">
        <f t="shared" si="94"/>
        <v/>
      </c>
      <c r="G850" s="9" t="str">
        <f t="shared" si="95"/>
        <v/>
      </c>
      <c r="H850" s="10" t="str">
        <f t="shared" si="96"/>
        <v/>
      </c>
      <c r="I850" s="8" t="str">
        <f t="shared" si="97"/>
        <v/>
      </c>
    </row>
    <row r="851" spans="1:9" x14ac:dyDescent="0.2">
      <c r="A851" s="12" t="str">
        <f>IF($B851="","",842)</f>
        <v/>
      </c>
      <c r="B851" s="18" t="str">
        <f>IF(842&gt;NBskParty,"",INDEX(PkBskParty,842))</f>
        <v/>
      </c>
      <c r="C851" s="16" t="str">
        <f t="shared" si="91"/>
        <v/>
      </c>
      <c r="D851" s="14" t="str">
        <f t="shared" si="92"/>
        <v/>
      </c>
      <c r="E851" s="14" t="str">
        <f t="shared" si="93"/>
        <v/>
      </c>
      <c r="F851" s="14" t="str">
        <f t="shared" si="94"/>
        <v/>
      </c>
      <c r="G851" s="14" t="str">
        <f t="shared" si="95"/>
        <v/>
      </c>
      <c r="H851" s="15" t="str">
        <f t="shared" si="96"/>
        <v/>
      </c>
      <c r="I851" s="13" t="str">
        <f t="shared" si="97"/>
        <v/>
      </c>
    </row>
    <row r="852" spans="1:9" x14ac:dyDescent="0.2">
      <c r="A852" s="7" t="str">
        <f>IF($B852="","",843)</f>
        <v/>
      </c>
      <c r="B852" s="17" t="str">
        <f>IF(843&gt;NBskParty,"",INDEX(PkBskParty,843))</f>
        <v/>
      </c>
      <c r="C852" s="11" t="str">
        <f t="shared" si="91"/>
        <v/>
      </c>
      <c r="D852" s="9" t="str">
        <f t="shared" si="92"/>
        <v/>
      </c>
      <c r="E852" s="9" t="str">
        <f t="shared" si="93"/>
        <v/>
      </c>
      <c r="F852" s="9" t="str">
        <f t="shared" si="94"/>
        <v/>
      </c>
      <c r="G852" s="9" t="str">
        <f t="shared" si="95"/>
        <v/>
      </c>
      <c r="H852" s="10" t="str">
        <f t="shared" si="96"/>
        <v/>
      </c>
      <c r="I852" s="8" t="str">
        <f t="shared" si="97"/>
        <v/>
      </c>
    </row>
    <row r="853" spans="1:9" x14ac:dyDescent="0.2">
      <c r="A853" s="12" t="str">
        <f>IF($B853="","",844)</f>
        <v/>
      </c>
      <c r="B853" s="18" t="str">
        <f>IF(844&gt;NBskParty,"",INDEX(PkBskParty,844))</f>
        <v/>
      </c>
      <c r="C853" s="16" t="str">
        <f t="shared" si="91"/>
        <v/>
      </c>
      <c r="D853" s="14" t="str">
        <f t="shared" si="92"/>
        <v/>
      </c>
      <c r="E853" s="14" t="str">
        <f t="shared" si="93"/>
        <v/>
      </c>
      <c r="F853" s="14" t="str">
        <f t="shared" si="94"/>
        <v/>
      </c>
      <c r="G853" s="14" t="str">
        <f t="shared" si="95"/>
        <v/>
      </c>
      <c r="H853" s="15" t="str">
        <f t="shared" si="96"/>
        <v/>
      </c>
      <c r="I853" s="13" t="str">
        <f t="shared" si="97"/>
        <v/>
      </c>
    </row>
    <row r="854" spans="1:9" x14ac:dyDescent="0.2">
      <c r="A854" s="7" t="str">
        <f>IF($B854="","",845)</f>
        <v/>
      </c>
      <c r="B854" s="17" t="str">
        <f>IF(845&gt;NBskParty,"",INDEX(PkBskParty,845))</f>
        <v/>
      </c>
      <c r="C854" s="11" t="str">
        <f t="shared" si="91"/>
        <v/>
      </c>
      <c r="D854" s="9" t="str">
        <f t="shared" si="92"/>
        <v/>
      </c>
      <c r="E854" s="9" t="str">
        <f t="shared" si="93"/>
        <v/>
      </c>
      <c r="F854" s="9" t="str">
        <f t="shared" si="94"/>
        <v/>
      </c>
      <c r="G854" s="9" t="str">
        <f t="shared" si="95"/>
        <v/>
      </c>
      <c r="H854" s="10" t="str">
        <f t="shared" si="96"/>
        <v/>
      </c>
      <c r="I854" s="8" t="str">
        <f t="shared" si="97"/>
        <v/>
      </c>
    </row>
    <row r="855" spans="1:9" x14ac:dyDescent="0.2">
      <c r="A855" s="12" t="str">
        <f>IF($B855="","",846)</f>
        <v/>
      </c>
      <c r="B855" s="18" t="str">
        <f>IF(846&gt;NBskParty,"",INDEX(PkBskParty,846))</f>
        <v/>
      </c>
      <c r="C855" s="16" t="str">
        <f t="shared" si="91"/>
        <v/>
      </c>
      <c r="D855" s="14" t="str">
        <f t="shared" si="92"/>
        <v/>
      </c>
      <c r="E855" s="14" t="str">
        <f t="shared" si="93"/>
        <v/>
      </c>
      <c r="F855" s="14" t="str">
        <f t="shared" si="94"/>
        <v/>
      </c>
      <c r="G855" s="14" t="str">
        <f t="shared" si="95"/>
        <v/>
      </c>
      <c r="H855" s="15" t="str">
        <f t="shared" si="96"/>
        <v/>
      </c>
      <c r="I855" s="13" t="str">
        <f t="shared" si="97"/>
        <v/>
      </c>
    </row>
    <row r="856" spans="1:9" x14ac:dyDescent="0.2">
      <c r="A856" s="7" t="str">
        <f>IF($B856="","",847)</f>
        <v/>
      </c>
      <c r="B856" s="17" t="str">
        <f>IF(847&gt;NBskParty,"",INDEX(PkBskParty,847))</f>
        <v/>
      </c>
      <c r="C856" s="11" t="str">
        <f t="shared" si="91"/>
        <v/>
      </c>
      <c r="D856" s="9" t="str">
        <f t="shared" si="92"/>
        <v/>
      </c>
      <c r="E856" s="9" t="str">
        <f t="shared" si="93"/>
        <v/>
      </c>
      <c r="F856" s="9" t="str">
        <f t="shared" si="94"/>
        <v/>
      </c>
      <c r="G856" s="9" t="str">
        <f t="shared" si="95"/>
        <v/>
      </c>
      <c r="H856" s="10" t="str">
        <f t="shared" si="96"/>
        <v/>
      </c>
      <c r="I856" s="8" t="str">
        <f t="shared" si="97"/>
        <v/>
      </c>
    </row>
    <row r="857" spans="1:9" x14ac:dyDescent="0.2">
      <c r="A857" s="12" t="str">
        <f>IF($B857="","",848)</f>
        <v/>
      </c>
      <c r="B857" s="18" t="str">
        <f>IF(848&gt;NBskParty,"",INDEX(PkBskParty,848))</f>
        <v/>
      </c>
      <c r="C857" s="16" t="str">
        <f t="shared" si="91"/>
        <v/>
      </c>
      <c r="D857" s="14" t="str">
        <f t="shared" si="92"/>
        <v/>
      </c>
      <c r="E857" s="14" t="str">
        <f t="shared" si="93"/>
        <v/>
      </c>
      <c r="F857" s="14" t="str">
        <f t="shared" si="94"/>
        <v/>
      </c>
      <c r="G857" s="14" t="str">
        <f t="shared" si="95"/>
        <v/>
      </c>
      <c r="H857" s="15" t="str">
        <f t="shared" si="96"/>
        <v/>
      </c>
      <c r="I857" s="13" t="str">
        <f t="shared" si="97"/>
        <v/>
      </c>
    </row>
    <row r="858" spans="1:9" x14ac:dyDescent="0.2">
      <c r="A858" s="7" t="str">
        <f>IF($B858="","",849)</f>
        <v/>
      </c>
      <c r="B858" s="17" t="str">
        <f>IF(849&gt;NBskParty,"",INDEX(PkBskParty,849))</f>
        <v/>
      </c>
      <c r="C858" s="11" t="str">
        <f t="shared" si="91"/>
        <v/>
      </c>
      <c r="D858" s="9" t="str">
        <f t="shared" si="92"/>
        <v/>
      </c>
      <c r="E858" s="9" t="str">
        <f t="shared" si="93"/>
        <v/>
      </c>
      <c r="F858" s="9" t="str">
        <f t="shared" si="94"/>
        <v/>
      </c>
      <c r="G858" s="9" t="str">
        <f t="shared" si="95"/>
        <v/>
      </c>
      <c r="H858" s="10" t="str">
        <f t="shared" si="96"/>
        <v/>
      </c>
      <c r="I858" s="8" t="str">
        <f t="shared" si="97"/>
        <v/>
      </c>
    </row>
    <row r="859" spans="1:9" x14ac:dyDescent="0.2">
      <c r="A859" s="12" t="str">
        <f>IF($B859="","",850)</f>
        <v/>
      </c>
      <c r="B859" s="18" t="str">
        <f>IF(850&gt;NBskParty,"",INDEX(PkBskParty,850))</f>
        <v/>
      </c>
      <c r="C859" s="16" t="str">
        <f t="shared" si="91"/>
        <v/>
      </c>
      <c r="D859" s="14" t="str">
        <f t="shared" si="92"/>
        <v/>
      </c>
      <c r="E859" s="14" t="str">
        <f t="shared" si="93"/>
        <v/>
      </c>
      <c r="F859" s="14" t="str">
        <f t="shared" si="94"/>
        <v/>
      </c>
      <c r="G859" s="14" t="str">
        <f t="shared" si="95"/>
        <v/>
      </c>
      <c r="H859" s="15" t="str">
        <f t="shared" si="96"/>
        <v/>
      </c>
      <c r="I859" s="13" t="str">
        <f t="shared" si="97"/>
        <v/>
      </c>
    </row>
    <row r="860" spans="1:9" x14ac:dyDescent="0.2">
      <c r="A860" s="7" t="str">
        <f>IF($B860="","",851)</f>
        <v/>
      </c>
      <c r="B860" s="17" t="str">
        <f>IF(851&gt;NBskParty,"",INDEX(PkBskParty,851))</f>
        <v/>
      </c>
      <c r="C860" s="11" t="str">
        <f t="shared" si="91"/>
        <v/>
      </c>
      <c r="D860" s="9" t="str">
        <f t="shared" si="92"/>
        <v/>
      </c>
      <c r="E860" s="9" t="str">
        <f t="shared" si="93"/>
        <v/>
      </c>
      <c r="F860" s="9" t="str">
        <f t="shared" si="94"/>
        <v/>
      </c>
      <c r="G860" s="9" t="str">
        <f t="shared" si="95"/>
        <v/>
      </c>
      <c r="H860" s="10" t="str">
        <f t="shared" si="96"/>
        <v/>
      </c>
      <c r="I860" s="8" t="str">
        <f t="shared" si="97"/>
        <v/>
      </c>
    </row>
    <row r="861" spans="1:9" x14ac:dyDescent="0.2">
      <c r="A861" s="12" t="str">
        <f>IF($B861="","",852)</f>
        <v/>
      </c>
      <c r="B861" s="18" t="str">
        <f>IF(852&gt;NBskParty,"",INDEX(PkBskParty,852))</f>
        <v/>
      </c>
      <c r="C861" s="16" t="str">
        <f t="shared" si="91"/>
        <v/>
      </c>
      <c r="D861" s="14" t="str">
        <f t="shared" si="92"/>
        <v/>
      </c>
      <c r="E861" s="14" t="str">
        <f t="shared" si="93"/>
        <v/>
      </c>
      <c r="F861" s="14" t="str">
        <f t="shared" si="94"/>
        <v/>
      </c>
      <c r="G861" s="14" t="str">
        <f t="shared" si="95"/>
        <v/>
      </c>
      <c r="H861" s="15" t="str">
        <f t="shared" si="96"/>
        <v/>
      </c>
      <c r="I861" s="13" t="str">
        <f t="shared" si="97"/>
        <v/>
      </c>
    </row>
    <row r="862" spans="1:9" x14ac:dyDescent="0.2">
      <c r="A862" s="7" t="str">
        <f>IF($B862="","",853)</f>
        <v/>
      </c>
      <c r="B862" s="17" t="str">
        <f>IF(853&gt;NBskParty,"",INDEX(PkBskParty,853))</f>
        <v/>
      </c>
      <c r="C862" s="11" t="str">
        <f t="shared" si="91"/>
        <v/>
      </c>
      <c r="D862" s="9" t="str">
        <f t="shared" si="92"/>
        <v/>
      </c>
      <c r="E862" s="9" t="str">
        <f t="shared" si="93"/>
        <v/>
      </c>
      <c r="F862" s="9" t="str">
        <f t="shared" si="94"/>
        <v/>
      </c>
      <c r="G862" s="9" t="str">
        <f t="shared" si="95"/>
        <v/>
      </c>
      <c r="H862" s="10" t="str">
        <f t="shared" si="96"/>
        <v/>
      </c>
      <c r="I862" s="8" t="str">
        <f t="shared" si="97"/>
        <v/>
      </c>
    </row>
    <row r="863" spans="1:9" x14ac:dyDescent="0.2">
      <c r="A863" s="12" t="str">
        <f>IF($B863="","",854)</f>
        <v/>
      </c>
      <c r="B863" s="18" t="str">
        <f>IF(854&gt;NBskParty,"",INDEX(PkBskParty,854))</f>
        <v/>
      </c>
      <c r="C863" s="16" t="str">
        <f t="shared" si="91"/>
        <v/>
      </c>
      <c r="D863" s="14" t="str">
        <f t="shared" si="92"/>
        <v/>
      </c>
      <c r="E863" s="14" t="str">
        <f t="shared" si="93"/>
        <v/>
      </c>
      <c r="F863" s="14" t="str">
        <f t="shared" si="94"/>
        <v/>
      </c>
      <c r="G863" s="14" t="str">
        <f t="shared" si="95"/>
        <v/>
      </c>
      <c r="H863" s="15" t="str">
        <f t="shared" si="96"/>
        <v/>
      </c>
      <c r="I863" s="13" t="str">
        <f t="shared" si="97"/>
        <v/>
      </c>
    </row>
    <row r="864" spans="1:9" x14ac:dyDescent="0.2">
      <c r="A864" s="7" t="str">
        <f>IF($B864="","",855)</f>
        <v/>
      </c>
      <c r="B864" s="17" t="str">
        <f>IF(855&gt;NBskParty,"",INDEX(PkBskParty,855))</f>
        <v/>
      </c>
      <c r="C864" s="11" t="str">
        <f t="shared" si="91"/>
        <v/>
      </c>
      <c r="D864" s="9" t="str">
        <f t="shared" si="92"/>
        <v/>
      </c>
      <c r="E864" s="9" t="str">
        <f t="shared" si="93"/>
        <v/>
      </c>
      <c r="F864" s="9" t="str">
        <f t="shared" si="94"/>
        <v/>
      </c>
      <c r="G864" s="9" t="str">
        <f t="shared" si="95"/>
        <v/>
      </c>
      <c r="H864" s="10" t="str">
        <f t="shared" si="96"/>
        <v/>
      </c>
      <c r="I864" s="8" t="str">
        <f t="shared" si="97"/>
        <v/>
      </c>
    </row>
    <row r="865" spans="1:9" x14ac:dyDescent="0.2">
      <c r="A865" s="12" t="str">
        <f>IF($B865="","",856)</f>
        <v/>
      </c>
      <c r="B865" s="18" t="str">
        <f>IF(856&gt;NBskParty,"",INDEX(PkBskParty,856))</f>
        <v/>
      </c>
      <c r="C865" s="16" t="str">
        <f t="shared" si="91"/>
        <v/>
      </c>
      <c r="D865" s="14" t="str">
        <f t="shared" si="92"/>
        <v/>
      </c>
      <c r="E865" s="14" t="str">
        <f t="shared" si="93"/>
        <v/>
      </c>
      <c r="F865" s="14" t="str">
        <f t="shared" si="94"/>
        <v/>
      </c>
      <c r="G865" s="14" t="str">
        <f t="shared" si="95"/>
        <v/>
      </c>
      <c r="H865" s="15" t="str">
        <f t="shared" si="96"/>
        <v/>
      </c>
      <c r="I865" s="13" t="str">
        <f t="shared" si="97"/>
        <v/>
      </c>
    </row>
    <row r="866" spans="1:9" x14ac:dyDescent="0.2">
      <c r="A866" s="7" t="str">
        <f>IF($B866="","",857)</f>
        <v/>
      </c>
      <c r="B866" s="17" t="str">
        <f>IF(857&gt;NBskParty,"",INDEX(PkBskParty,857))</f>
        <v/>
      </c>
      <c r="C866" s="11" t="str">
        <f t="shared" si="91"/>
        <v/>
      </c>
      <c r="D866" s="9" t="str">
        <f t="shared" si="92"/>
        <v/>
      </c>
      <c r="E866" s="9" t="str">
        <f t="shared" si="93"/>
        <v/>
      </c>
      <c r="F866" s="9" t="str">
        <f t="shared" si="94"/>
        <v/>
      </c>
      <c r="G866" s="9" t="str">
        <f t="shared" si="95"/>
        <v/>
      </c>
      <c r="H866" s="10" t="str">
        <f t="shared" si="96"/>
        <v/>
      </c>
      <c r="I866" s="8" t="str">
        <f t="shared" si="97"/>
        <v/>
      </c>
    </row>
    <row r="867" spans="1:9" x14ac:dyDescent="0.2">
      <c r="A867" s="12" t="str">
        <f>IF($B867="","",858)</f>
        <v/>
      </c>
      <c r="B867" s="18" t="str">
        <f>IF(858&gt;NBskParty,"",INDEX(PkBskParty,858))</f>
        <v/>
      </c>
      <c r="C867" s="16" t="str">
        <f t="shared" si="91"/>
        <v/>
      </c>
      <c r="D867" s="14" t="str">
        <f t="shared" si="92"/>
        <v/>
      </c>
      <c r="E867" s="14" t="str">
        <f t="shared" si="93"/>
        <v/>
      </c>
      <c r="F867" s="14" t="str">
        <f t="shared" si="94"/>
        <v/>
      </c>
      <c r="G867" s="14" t="str">
        <f t="shared" si="95"/>
        <v/>
      </c>
      <c r="H867" s="15" t="str">
        <f t="shared" si="96"/>
        <v/>
      </c>
      <c r="I867" s="13" t="str">
        <f t="shared" si="97"/>
        <v/>
      </c>
    </row>
    <row r="868" spans="1:9" x14ac:dyDescent="0.2">
      <c r="A868" s="7" t="str">
        <f>IF($B868="","",859)</f>
        <v/>
      </c>
      <c r="B868" s="17" t="str">
        <f>IF(859&gt;NBskParty,"",INDEX(PkBskParty,859))</f>
        <v/>
      </c>
      <c r="C868" s="11" t="str">
        <f t="shared" si="91"/>
        <v/>
      </c>
      <c r="D868" s="9" t="str">
        <f t="shared" si="92"/>
        <v/>
      </c>
      <c r="E868" s="9" t="str">
        <f t="shared" si="93"/>
        <v/>
      </c>
      <c r="F868" s="9" t="str">
        <f t="shared" si="94"/>
        <v/>
      </c>
      <c r="G868" s="9" t="str">
        <f t="shared" si="95"/>
        <v/>
      </c>
      <c r="H868" s="10" t="str">
        <f t="shared" si="96"/>
        <v/>
      </c>
      <c r="I868" s="8" t="str">
        <f t="shared" si="97"/>
        <v/>
      </c>
    </row>
    <row r="869" spans="1:9" x14ac:dyDescent="0.2">
      <c r="A869" s="12" t="str">
        <f>IF($B869="","",860)</f>
        <v/>
      </c>
      <c r="B869" s="18" t="str">
        <f>IF(860&gt;NBskParty,"",INDEX(PkBskParty,860))</f>
        <v/>
      </c>
      <c r="C869" s="16" t="str">
        <f t="shared" si="91"/>
        <v/>
      </c>
      <c r="D869" s="14" t="str">
        <f t="shared" si="92"/>
        <v/>
      </c>
      <c r="E869" s="14" t="str">
        <f t="shared" si="93"/>
        <v/>
      </c>
      <c r="F869" s="14" t="str">
        <f t="shared" si="94"/>
        <v/>
      </c>
      <c r="G869" s="14" t="str">
        <f t="shared" si="95"/>
        <v/>
      </c>
      <c r="H869" s="15" t="str">
        <f t="shared" si="96"/>
        <v/>
      </c>
      <c r="I869" s="13" t="str">
        <f t="shared" si="97"/>
        <v/>
      </c>
    </row>
    <row r="870" spans="1:9" x14ac:dyDescent="0.2">
      <c r="A870" s="7" t="str">
        <f>IF($B870="","",861)</f>
        <v/>
      </c>
      <c r="B870" s="17" t="str">
        <f>IF(861&gt;NBskParty,"",INDEX(PkBskParty,861))</f>
        <v/>
      </c>
      <c r="C870" s="11" t="str">
        <f t="shared" si="91"/>
        <v/>
      </c>
      <c r="D870" s="9" t="str">
        <f t="shared" si="92"/>
        <v/>
      </c>
      <c r="E870" s="9" t="str">
        <f t="shared" si="93"/>
        <v/>
      </c>
      <c r="F870" s="9" t="str">
        <f t="shared" si="94"/>
        <v/>
      </c>
      <c r="G870" s="9" t="str">
        <f t="shared" si="95"/>
        <v/>
      </c>
      <c r="H870" s="10" t="str">
        <f t="shared" si="96"/>
        <v/>
      </c>
      <c r="I870" s="8" t="str">
        <f t="shared" si="97"/>
        <v/>
      </c>
    </row>
    <row r="871" spans="1:9" x14ac:dyDescent="0.2">
      <c r="A871" s="12" t="str">
        <f>IF($B871="","",862)</f>
        <v/>
      </c>
      <c r="B871" s="18" t="str">
        <f>IF(862&gt;NBskParty,"",INDEX(PkBskParty,862))</f>
        <v/>
      </c>
      <c r="C871" s="16" t="str">
        <f t="shared" si="91"/>
        <v/>
      </c>
      <c r="D871" s="14" t="str">
        <f t="shared" si="92"/>
        <v/>
      </c>
      <c r="E871" s="14" t="str">
        <f t="shared" si="93"/>
        <v/>
      </c>
      <c r="F871" s="14" t="str">
        <f t="shared" si="94"/>
        <v/>
      </c>
      <c r="G871" s="14" t="str">
        <f t="shared" si="95"/>
        <v/>
      </c>
      <c r="H871" s="15" t="str">
        <f t="shared" si="96"/>
        <v/>
      </c>
      <c r="I871" s="13" t="str">
        <f t="shared" si="97"/>
        <v/>
      </c>
    </row>
    <row r="872" spans="1:9" x14ac:dyDescent="0.2">
      <c r="A872" s="7" t="str">
        <f>IF($B872="","",863)</f>
        <v/>
      </c>
      <c r="B872" s="17" t="str">
        <f>IF(863&gt;NBskParty,"",INDEX(PkBskParty,863))</f>
        <v/>
      </c>
      <c r="C872" s="11" t="str">
        <f t="shared" si="91"/>
        <v/>
      </c>
      <c r="D872" s="9" t="str">
        <f t="shared" si="92"/>
        <v/>
      </c>
      <c r="E872" s="9" t="str">
        <f t="shared" si="93"/>
        <v/>
      </c>
      <c r="F872" s="9" t="str">
        <f t="shared" si="94"/>
        <v/>
      </c>
      <c r="G872" s="9" t="str">
        <f t="shared" si="95"/>
        <v/>
      </c>
      <c r="H872" s="10" t="str">
        <f t="shared" si="96"/>
        <v/>
      </c>
      <c r="I872" s="8" t="str">
        <f t="shared" si="97"/>
        <v/>
      </c>
    </row>
    <row r="873" spans="1:9" x14ac:dyDescent="0.2">
      <c r="A873" s="12" t="str">
        <f>IF($B873="","",864)</f>
        <v/>
      </c>
      <c r="B873" s="18" t="str">
        <f>IF(864&gt;NBskParty,"",INDEX(PkBskParty,864))</f>
        <v/>
      </c>
      <c r="C873" s="16" t="str">
        <f t="shared" si="91"/>
        <v/>
      </c>
      <c r="D873" s="14" t="str">
        <f t="shared" si="92"/>
        <v/>
      </c>
      <c r="E873" s="14" t="str">
        <f t="shared" si="93"/>
        <v/>
      </c>
      <c r="F873" s="14" t="str">
        <f t="shared" si="94"/>
        <v/>
      </c>
      <c r="G873" s="14" t="str">
        <f t="shared" si="95"/>
        <v/>
      </c>
      <c r="H873" s="15" t="str">
        <f t="shared" si="96"/>
        <v/>
      </c>
      <c r="I873" s="13" t="str">
        <f t="shared" si="97"/>
        <v/>
      </c>
    </row>
    <row r="874" spans="1:9" x14ac:dyDescent="0.2">
      <c r="A874" s="7" t="str">
        <f>IF($B874="","",865)</f>
        <v/>
      </c>
      <c r="B874" s="17" t="str">
        <f>IF(865&gt;NBskParty,"",INDEX(PkBskParty,865))</f>
        <v/>
      </c>
      <c r="C874" s="11" t="str">
        <f t="shared" si="91"/>
        <v/>
      </c>
      <c r="D874" s="9" t="str">
        <f t="shared" si="92"/>
        <v/>
      </c>
      <c r="E874" s="9" t="str">
        <f t="shared" si="93"/>
        <v/>
      </c>
      <c r="F874" s="9" t="str">
        <f t="shared" si="94"/>
        <v/>
      </c>
      <c r="G874" s="9" t="str">
        <f t="shared" si="95"/>
        <v/>
      </c>
      <c r="H874" s="10" t="str">
        <f t="shared" si="96"/>
        <v/>
      </c>
      <c r="I874" s="8" t="str">
        <f t="shared" si="97"/>
        <v/>
      </c>
    </row>
    <row r="875" spans="1:9" x14ac:dyDescent="0.2">
      <c r="A875" s="12" t="str">
        <f>IF($B875="","",866)</f>
        <v/>
      </c>
      <c r="B875" s="18" t="str">
        <f>IF(866&gt;NBskParty,"",INDEX(PkBskParty,866))</f>
        <v/>
      </c>
      <c r="C875" s="16" t="str">
        <f t="shared" si="91"/>
        <v/>
      </c>
      <c r="D875" s="14" t="str">
        <f t="shared" si="92"/>
        <v/>
      </c>
      <c r="E875" s="14" t="str">
        <f t="shared" si="93"/>
        <v/>
      </c>
      <c r="F875" s="14" t="str">
        <f t="shared" si="94"/>
        <v/>
      </c>
      <c r="G875" s="14" t="str">
        <f t="shared" si="95"/>
        <v/>
      </c>
      <c r="H875" s="15" t="str">
        <f t="shared" si="96"/>
        <v/>
      </c>
      <c r="I875" s="13" t="str">
        <f t="shared" si="97"/>
        <v/>
      </c>
    </row>
    <row r="876" spans="1:9" x14ac:dyDescent="0.2">
      <c r="A876" s="7" t="str">
        <f>IF($B876="","",867)</f>
        <v/>
      </c>
      <c r="B876" s="17" t="str">
        <f>IF(867&gt;NBskParty,"",INDEX(PkBskParty,867))</f>
        <v/>
      </c>
      <c r="C876" s="11" t="str">
        <f t="shared" si="91"/>
        <v/>
      </c>
      <c r="D876" s="9" t="str">
        <f t="shared" si="92"/>
        <v/>
      </c>
      <c r="E876" s="9" t="str">
        <f t="shared" si="93"/>
        <v/>
      </c>
      <c r="F876" s="9" t="str">
        <f t="shared" si="94"/>
        <v/>
      </c>
      <c r="G876" s="9" t="str">
        <f t="shared" si="95"/>
        <v/>
      </c>
      <c r="H876" s="10" t="str">
        <f t="shared" si="96"/>
        <v/>
      </c>
      <c r="I876" s="8" t="str">
        <f t="shared" si="97"/>
        <v/>
      </c>
    </row>
    <row r="877" spans="1:9" x14ac:dyDescent="0.2">
      <c r="A877" s="12" t="str">
        <f>IF($B877="","",868)</f>
        <v/>
      </c>
      <c r="B877" s="18" t="str">
        <f>IF(868&gt;NBskParty,"",INDEX(PkBskParty,868))</f>
        <v/>
      </c>
      <c r="C877" s="16" t="str">
        <f t="shared" si="91"/>
        <v/>
      </c>
      <c r="D877" s="14" t="str">
        <f t="shared" si="92"/>
        <v/>
      </c>
      <c r="E877" s="14" t="str">
        <f t="shared" si="93"/>
        <v/>
      </c>
      <c r="F877" s="14" t="str">
        <f t="shared" si="94"/>
        <v/>
      </c>
      <c r="G877" s="14" t="str">
        <f t="shared" si="95"/>
        <v/>
      </c>
      <c r="H877" s="15" t="str">
        <f t="shared" si="96"/>
        <v/>
      </c>
      <c r="I877" s="13" t="str">
        <f t="shared" si="97"/>
        <v/>
      </c>
    </row>
    <row r="878" spans="1:9" x14ac:dyDescent="0.2">
      <c r="A878" s="7" t="str">
        <f>IF($B878="","",869)</f>
        <v/>
      </c>
      <c r="B878" s="17" t="str">
        <f>IF(869&gt;NBskParty,"",INDEX(PkBskParty,869))</f>
        <v/>
      </c>
      <c r="C878" s="11" t="str">
        <f t="shared" si="91"/>
        <v/>
      </c>
      <c r="D878" s="9" t="str">
        <f t="shared" si="92"/>
        <v/>
      </c>
      <c r="E878" s="9" t="str">
        <f t="shared" si="93"/>
        <v/>
      </c>
      <c r="F878" s="9" t="str">
        <f t="shared" si="94"/>
        <v/>
      </c>
      <c r="G878" s="9" t="str">
        <f t="shared" si="95"/>
        <v/>
      </c>
      <c r="H878" s="10" t="str">
        <f t="shared" si="96"/>
        <v/>
      </c>
      <c r="I878" s="8" t="str">
        <f t="shared" si="97"/>
        <v/>
      </c>
    </row>
    <row r="879" spans="1:9" x14ac:dyDescent="0.2">
      <c r="A879" s="12" t="str">
        <f>IF($B879="","",870)</f>
        <v/>
      </c>
      <c r="B879" s="18" t="str">
        <f>IF(870&gt;NBskParty,"",INDEX(PkBskParty,870))</f>
        <v/>
      </c>
      <c r="C879" s="16" t="str">
        <f t="shared" si="91"/>
        <v/>
      </c>
      <c r="D879" s="14" t="str">
        <f t="shared" si="92"/>
        <v/>
      </c>
      <c r="E879" s="14" t="str">
        <f t="shared" si="93"/>
        <v/>
      </c>
      <c r="F879" s="14" t="str">
        <f t="shared" si="94"/>
        <v/>
      </c>
      <c r="G879" s="14" t="str">
        <f t="shared" si="95"/>
        <v/>
      </c>
      <c r="H879" s="15" t="str">
        <f t="shared" si="96"/>
        <v/>
      </c>
      <c r="I879" s="13" t="str">
        <f t="shared" si="97"/>
        <v/>
      </c>
    </row>
    <row r="880" spans="1:9" x14ac:dyDescent="0.2">
      <c r="A880" s="7" t="str">
        <f>IF($B880="","",871)</f>
        <v/>
      </c>
      <c r="B880" s="17" t="str">
        <f>IF(871&gt;NBskParty,"",INDEX(PkBskParty,871))</f>
        <v/>
      </c>
      <c r="C880" s="11" t="str">
        <f t="shared" si="91"/>
        <v/>
      </c>
      <c r="D880" s="9" t="str">
        <f t="shared" si="92"/>
        <v/>
      </c>
      <c r="E880" s="9" t="str">
        <f t="shared" si="93"/>
        <v/>
      </c>
      <c r="F880" s="9" t="str">
        <f t="shared" si="94"/>
        <v/>
      </c>
      <c r="G880" s="9" t="str">
        <f t="shared" si="95"/>
        <v/>
      </c>
      <c r="H880" s="10" t="str">
        <f t="shared" si="96"/>
        <v/>
      </c>
      <c r="I880" s="8" t="str">
        <f t="shared" si="97"/>
        <v/>
      </c>
    </row>
    <row r="881" spans="1:9" x14ac:dyDescent="0.2">
      <c r="A881" s="12" t="str">
        <f>IF($B881="","",872)</f>
        <v/>
      </c>
      <c r="B881" s="18" t="str">
        <f>IF(872&gt;NBskParty,"",INDEX(PkBskParty,872))</f>
        <v/>
      </c>
      <c r="C881" s="16" t="str">
        <f t="shared" si="91"/>
        <v/>
      </c>
      <c r="D881" s="14" t="str">
        <f t="shared" si="92"/>
        <v/>
      </c>
      <c r="E881" s="14" t="str">
        <f t="shared" si="93"/>
        <v/>
      </c>
      <c r="F881" s="14" t="str">
        <f t="shared" si="94"/>
        <v/>
      </c>
      <c r="G881" s="14" t="str">
        <f t="shared" si="95"/>
        <v/>
      </c>
      <c r="H881" s="15" t="str">
        <f t="shared" si="96"/>
        <v/>
      </c>
      <c r="I881" s="13" t="str">
        <f t="shared" si="97"/>
        <v/>
      </c>
    </row>
    <row r="882" spans="1:9" x14ac:dyDescent="0.2">
      <c r="A882" s="7" t="str">
        <f>IF($B882="","",873)</f>
        <v/>
      </c>
      <c r="B882" s="17" t="str">
        <f>IF(873&gt;NBskParty,"",INDEX(PkBskParty,873))</f>
        <v/>
      </c>
      <c r="C882" s="11" t="str">
        <f t="shared" si="91"/>
        <v/>
      </c>
      <c r="D882" s="9" t="str">
        <f t="shared" si="92"/>
        <v/>
      </c>
      <c r="E882" s="9" t="str">
        <f t="shared" si="93"/>
        <v/>
      </c>
      <c r="F882" s="9" t="str">
        <f t="shared" si="94"/>
        <v/>
      </c>
      <c r="G882" s="9" t="str">
        <f t="shared" si="95"/>
        <v/>
      </c>
      <c r="H882" s="10" t="str">
        <f t="shared" si="96"/>
        <v/>
      </c>
      <c r="I882" s="8" t="str">
        <f t="shared" si="97"/>
        <v/>
      </c>
    </row>
    <row r="883" spans="1:9" x14ac:dyDescent="0.2">
      <c r="A883" s="12" t="str">
        <f>IF($B883="","",874)</f>
        <v/>
      </c>
      <c r="B883" s="18" t="str">
        <f>IF(874&gt;NBskParty,"",INDEX(PkBskParty,874))</f>
        <v/>
      </c>
      <c r="C883" s="16" t="str">
        <f t="shared" si="91"/>
        <v/>
      </c>
      <c r="D883" s="14" t="str">
        <f t="shared" si="92"/>
        <v/>
      </c>
      <c r="E883" s="14" t="str">
        <f t="shared" si="93"/>
        <v/>
      </c>
      <c r="F883" s="14" t="str">
        <f t="shared" si="94"/>
        <v/>
      </c>
      <c r="G883" s="14" t="str">
        <f t="shared" si="95"/>
        <v/>
      </c>
      <c r="H883" s="15" t="str">
        <f t="shared" si="96"/>
        <v/>
      </c>
      <c r="I883" s="13" t="str">
        <f t="shared" si="97"/>
        <v/>
      </c>
    </row>
    <row r="884" spans="1:9" x14ac:dyDescent="0.2">
      <c r="A884" s="7" t="str">
        <f>IF($B884="","",875)</f>
        <v/>
      </c>
      <c r="B884" s="17" t="str">
        <f>IF(875&gt;NBskParty,"",INDEX(PkBskParty,875))</f>
        <v/>
      </c>
      <c r="C884" s="11" t="str">
        <f t="shared" si="91"/>
        <v/>
      </c>
      <c r="D884" s="9" t="str">
        <f t="shared" si="92"/>
        <v/>
      </c>
      <c r="E884" s="9" t="str">
        <f t="shared" si="93"/>
        <v/>
      </c>
      <c r="F884" s="9" t="str">
        <f t="shared" si="94"/>
        <v/>
      </c>
      <c r="G884" s="9" t="str">
        <f t="shared" si="95"/>
        <v/>
      </c>
      <c r="H884" s="10" t="str">
        <f t="shared" si="96"/>
        <v/>
      </c>
      <c r="I884" s="8" t="str">
        <f t="shared" si="97"/>
        <v/>
      </c>
    </row>
    <row r="885" spans="1:9" x14ac:dyDescent="0.2">
      <c r="A885" s="12" t="str">
        <f>IF($B885="","",876)</f>
        <v/>
      </c>
      <c r="B885" s="18" t="str">
        <f>IF(876&gt;NBskParty,"",INDEX(PkBskParty,876))</f>
        <v/>
      </c>
      <c r="C885" s="16" t="str">
        <f t="shared" si="91"/>
        <v/>
      </c>
      <c r="D885" s="14" t="str">
        <f t="shared" si="92"/>
        <v/>
      </c>
      <c r="E885" s="14" t="str">
        <f t="shared" si="93"/>
        <v/>
      </c>
      <c r="F885" s="14" t="str">
        <f t="shared" si="94"/>
        <v/>
      </c>
      <c r="G885" s="14" t="str">
        <f t="shared" si="95"/>
        <v/>
      </c>
      <c r="H885" s="15" t="str">
        <f t="shared" si="96"/>
        <v/>
      </c>
      <c r="I885" s="13" t="str">
        <f t="shared" si="97"/>
        <v/>
      </c>
    </row>
    <row r="886" spans="1:9" x14ac:dyDescent="0.2">
      <c r="A886" s="7" t="str">
        <f>IF($B886="","",877)</f>
        <v/>
      </c>
      <c r="B886" s="17" t="str">
        <f>IF(877&gt;NBskParty,"",INDEX(PkBskParty,877))</f>
        <v/>
      </c>
      <c r="C886" s="11" t="str">
        <f t="shared" si="91"/>
        <v/>
      </c>
      <c r="D886" s="9" t="str">
        <f t="shared" si="92"/>
        <v/>
      </c>
      <c r="E886" s="9" t="str">
        <f t="shared" si="93"/>
        <v/>
      </c>
      <c r="F886" s="9" t="str">
        <f t="shared" si="94"/>
        <v/>
      </c>
      <c r="G886" s="9" t="str">
        <f t="shared" si="95"/>
        <v/>
      </c>
      <c r="H886" s="10" t="str">
        <f t="shared" si="96"/>
        <v/>
      </c>
      <c r="I886" s="8" t="str">
        <f t="shared" si="97"/>
        <v/>
      </c>
    </row>
    <row r="887" spans="1:9" x14ac:dyDescent="0.2">
      <c r="A887" s="12" t="str">
        <f>IF($B887="","",878)</f>
        <v/>
      </c>
      <c r="B887" s="18" t="str">
        <f>IF(878&gt;NBskParty,"",INDEX(PkBskParty,878))</f>
        <v/>
      </c>
      <c r="C887" s="16" t="str">
        <f t="shared" si="91"/>
        <v/>
      </c>
      <c r="D887" s="14" t="str">
        <f t="shared" si="92"/>
        <v/>
      </c>
      <c r="E887" s="14" t="str">
        <f t="shared" si="93"/>
        <v/>
      </c>
      <c r="F887" s="14" t="str">
        <f t="shared" si="94"/>
        <v/>
      </c>
      <c r="G887" s="14" t="str">
        <f t="shared" si="95"/>
        <v/>
      </c>
      <c r="H887" s="15" t="str">
        <f t="shared" si="96"/>
        <v/>
      </c>
      <c r="I887" s="13" t="str">
        <f t="shared" si="97"/>
        <v/>
      </c>
    </row>
    <row r="888" spans="1:9" x14ac:dyDescent="0.2">
      <c r="A888" s="7" t="str">
        <f>IF($B888="","",879)</f>
        <v/>
      </c>
      <c r="B888" s="17" t="str">
        <f>IF(879&gt;NBskParty,"",INDEX(PkBskParty,879))</f>
        <v/>
      </c>
      <c r="C888" s="11" t="str">
        <f t="shared" si="91"/>
        <v/>
      </c>
      <c r="D888" s="9" t="str">
        <f t="shared" si="92"/>
        <v/>
      </c>
      <c r="E888" s="9" t="str">
        <f t="shared" si="93"/>
        <v/>
      </c>
      <c r="F888" s="9" t="str">
        <f t="shared" si="94"/>
        <v/>
      </c>
      <c r="G888" s="9" t="str">
        <f t="shared" si="95"/>
        <v/>
      </c>
      <c r="H888" s="10" t="str">
        <f t="shared" si="96"/>
        <v/>
      </c>
      <c r="I888" s="8" t="str">
        <f t="shared" si="97"/>
        <v/>
      </c>
    </row>
    <row r="889" spans="1:9" x14ac:dyDescent="0.2">
      <c r="A889" s="12" t="str">
        <f>IF($B889="","",880)</f>
        <v/>
      </c>
      <c r="B889" s="18" t="str">
        <f>IF(880&gt;NBskParty,"",INDEX(PkBskParty,880))</f>
        <v/>
      </c>
      <c r="C889" s="16" t="str">
        <f t="shared" si="91"/>
        <v/>
      </c>
      <c r="D889" s="14" t="str">
        <f t="shared" si="92"/>
        <v/>
      </c>
      <c r="E889" s="14" t="str">
        <f t="shared" si="93"/>
        <v/>
      </c>
      <c r="F889" s="14" t="str">
        <f t="shared" si="94"/>
        <v/>
      </c>
      <c r="G889" s="14" t="str">
        <f t="shared" si="95"/>
        <v/>
      </c>
      <c r="H889" s="15" t="str">
        <f t="shared" si="96"/>
        <v/>
      </c>
      <c r="I889" s="13" t="str">
        <f t="shared" si="97"/>
        <v/>
      </c>
    </row>
    <row r="890" spans="1:9" x14ac:dyDescent="0.2">
      <c r="A890" s="7" t="str">
        <f>IF($B890="","",881)</f>
        <v/>
      </c>
      <c r="B890" s="17" t="str">
        <f>IF(881&gt;NBskParty,"",INDEX(PkBskParty,881))</f>
        <v/>
      </c>
      <c r="C890" s="11" t="str">
        <f t="shared" si="91"/>
        <v/>
      </c>
      <c r="D890" s="9" t="str">
        <f t="shared" si="92"/>
        <v/>
      </c>
      <c r="E890" s="9" t="str">
        <f t="shared" si="93"/>
        <v/>
      </c>
      <c r="F890" s="9" t="str">
        <f t="shared" si="94"/>
        <v/>
      </c>
      <c r="G890" s="9" t="str">
        <f t="shared" si="95"/>
        <v/>
      </c>
      <c r="H890" s="10" t="str">
        <f t="shared" si="96"/>
        <v/>
      </c>
      <c r="I890" s="8" t="str">
        <f t="shared" si="97"/>
        <v/>
      </c>
    </row>
    <row r="891" spans="1:9" x14ac:dyDescent="0.2">
      <c r="A891" s="12" t="str">
        <f>IF($B891="","",882)</f>
        <v/>
      </c>
      <c r="B891" s="18" t="str">
        <f>IF(882&gt;NBskParty,"",INDEX(PkBskParty,882))</f>
        <v/>
      </c>
      <c r="C891" s="16" t="str">
        <f t="shared" si="91"/>
        <v/>
      </c>
      <c r="D891" s="14" t="str">
        <f t="shared" si="92"/>
        <v/>
      </c>
      <c r="E891" s="14" t="str">
        <f t="shared" si="93"/>
        <v/>
      </c>
      <c r="F891" s="14" t="str">
        <f t="shared" si="94"/>
        <v/>
      </c>
      <c r="G891" s="14" t="str">
        <f t="shared" si="95"/>
        <v/>
      </c>
      <c r="H891" s="15" t="str">
        <f t="shared" si="96"/>
        <v/>
      </c>
      <c r="I891" s="13" t="str">
        <f t="shared" si="97"/>
        <v/>
      </c>
    </row>
    <row r="892" spans="1:9" x14ac:dyDescent="0.2">
      <c r="A892" s="7" t="str">
        <f>IF($B892="","",883)</f>
        <v/>
      </c>
      <c r="B892" s="17" t="str">
        <f>IF(883&gt;NBskParty,"",INDEX(PkBskParty,883))</f>
        <v/>
      </c>
      <c r="C892" s="11" t="str">
        <f t="shared" si="91"/>
        <v/>
      </c>
      <c r="D892" s="9" t="str">
        <f t="shared" si="92"/>
        <v/>
      </c>
      <c r="E892" s="9" t="str">
        <f t="shared" si="93"/>
        <v/>
      </c>
      <c r="F892" s="9" t="str">
        <f t="shared" si="94"/>
        <v/>
      </c>
      <c r="G892" s="9" t="str">
        <f t="shared" si="95"/>
        <v/>
      </c>
      <c r="H892" s="10" t="str">
        <f t="shared" si="96"/>
        <v/>
      </c>
      <c r="I892" s="8" t="str">
        <f t="shared" si="97"/>
        <v/>
      </c>
    </row>
    <row r="893" spans="1:9" x14ac:dyDescent="0.2">
      <c r="A893" s="12" t="str">
        <f>IF($B893="","",884)</f>
        <v/>
      </c>
      <c r="B893" s="18" t="str">
        <f>IF(884&gt;NBskParty,"",INDEX(PkBskParty,884))</f>
        <v/>
      </c>
      <c r="C893" s="16" t="str">
        <f t="shared" si="91"/>
        <v/>
      </c>
      <c r="D893" s="14" t="str">
        <f t="shared" si="92"/>
        <v/>
      </c>
      <c r="E893" s="14" t="str">
        <f t="shared" si="93"/>
        <v/>
      </c>
      <c r="F893" s="14" t="str">
        <f t="shared" si="94"/>
        <v/>
      </c>
      <c r="G893" s="14" t="str">
        <f t="shared" si="95"/>
        <v/>
      </c>
      <c r="H893" s="15" t="str">
        <f t="shared" si="96"/>
        <v/>
      </c>
      <c r="I893" s="13" t="str">
        <f t="shared" si="97"/>
        <v/>
      </c>
    </row>
    <row r="894" spans="1:9" x14ac:dyDescent="0.2">
      <c r="A894" s="7" t="str">
        <f>IF($B894="","",885)</f>
        <v/>
      </c>
      <c r="B894" s="17" t="str">
        <f>IF(885&gt;NBskParty,"",INDEX(PkBskParty,885))</f>
        <v/>
      </c>
      <c r="C894" s="11" t="str">
        <f t="shared" si="91"/>
        <v/>
      </c>
      <c r="D894" s="9" t="str">
        <f t="shared" si="92"/>
        <v/>
      </c>
      <c r="E894" s="9" t="str">
        <f t="shared" si="93"/>
        <v/>
      </c>
      <c r="F894" s="9" t="str">
        <f t="shared" si="94"/>
        <v/>
      </c>
      <c r="G894" s="9" t="str">
        <f t="shared" si="95"/>
        <v/>
      </c>
      <c r="H894" s="10" t="str">
        <f t="shared" si="96"/>
        <v/>
      </c>
      <c r="I894" s="8" t="str">
        <f t="shared" si="97"/>
        <v/>
      </c>
    </row>
    <row r="895" spans="1:9" x14ac:dyDescent="0.2">
      <c r="A895" s="12" t="str">
        <f>IF($B895="","",886)</f>
        <v/>
      </c>
      <c r="B895" s="18" t="str">
        <f>IF(886&gt;NBskParty,"",INDEX(PkBskParty,886))</f>
        <v/>
      </c>
      <c r="C895" s="16" t="str">
        <f t="shared" si="91"/>
        <v/>
      </c>
      <c r="D895" s="14" t="str">
        <f t="shared" si="92"/>
        <v/>
      </c>
      <c r="E895" s="14" t="str">
        <f t="shared" si="93"/>
        <v/>
      </c>
      <c r="F895" s="14" t="str">
        <f t="shared" si="94"/>
        <v/>
      </c>
      <c r="G895" s="14" t="str">
        <f t="shared" si="95"/>
        <v/>
      </c>
      <c r="H895" s="15" t="str">
        <f t="shared" si="96"/>
        <v/>
      </c>
      <c r="I895" s="13" t="str">
        <f t="shared" si="97"/>
        <v/>
      </c>
    </row>
    <row r="896" spans="1:9" x14ac:dyDescent="0.2">
      <c r="A896" s="7" t="str">
        <f>IF($B896="","",887)</f>
        <v/>
      </c>
      <c r="B896" s="17" t="str">
        <f>IF(887&gt;NBskParty,"",INDEX(PkBskParty,887))</f>
        <v/>
      </c>
      <c r="C896" s="11" t="str">
        <f t="shared" si="91"/>
        <v/>
      </c>
      <c r="D896" s="9" t="str">
        <f t="shared" si="92"/>
        <v/>
      </c>
      <c r="E896" s="9" t="str">
        <f t="shared" si="93"/>
        <v/>
      </c>
      <c r="F896" s="9" t="str">
        <f t="shared" si="94"/>
        <v/>
      </c>
      <c r="G896" s="9" t="str">
        <f t="shared" si="95"/>
        <v/>
      </c>
      <c r="H896" s="10" t="str">
        <f t="shared" si="96"/>
        <v/>
      </c>
      <c r="I896" s="8" t="str">
        <f t="shared" si="97"/>
        <v/>
      </c>
    </row>
    <row r="897" spans="1:9" x14ac:dyDescent="0.2">
      <c r="A897" s="12" t="str">
        <f>IF($B897="","",888)</f>
        <v/>
      </c>
      <c r="B897" s="18" t="str">
        <f>IF(888&gt;NBskParty,"",INDEX(PkBskParty,888))</f>
        <v/>
      </c>
      <c r="C897" s="16" t="str">
        <f t="shared" si="91"/>
        <v/>
      </c>
      <c r="D897" s="14" t="str">
        <f t="shared" si="92"/>
        <v/>
      </c>
      <c r="E897" s="14" t="str">
        <f t="shared" si="93"/>
        <v/>
      </c>
      <c r="F897" s="14" t="str">
        <f t="shared" si="94"/>
        <v/>
      </c>
      <c r="G897" s="14" t="str">
        <f t="shared" si="95"/>
        <v/>
      </c>
      <c r="H897" s="15" t="str">
        <f t="shared" si="96"/>
        <v/>
      </c>
      <c r="I897" s="13" t="str">
        <f t="shared" si="97"/>
        <v/>
      </c>
    </row>
    <row r="898" spans="1:9" x14ac:dyDescent="0.2">
      <c r="A898" s="7" t="str">
        <f>IF($B898="","",889)</f>
        <v/>
      </c>
      <c r="B898" s="17" t="str">
        <f>IF(889&gt;NBskParty,"",INDEX(PkBskParty,889))</f>
        <v/>
      </c>
      <c r="C898" s="11" t="str">
        <f t="shared" si="91"/>
        <v/>
      </c>
      <c r="D898" s="9" t="str">
        <f t="shared" si="92"/>
        <v/>
      </c>
      <c r="E898" s="9" t="str">
        <f t="shared" si="93"/>
        <v/>
      </c>
      <c r="F898" s="9" t="str">
        <f t="shared" si="94"/>
        <v/>
      </c>
      <c r="G898" s="9" t="str">
        <f t="shared" si="95"/>
        <v/>
      </c>
      <c r="H898" s="10" t="str">
        <f t="shared" si="96"/>
        <v/>
      </c>
      <c r="I898" s="8" t="str">
        <f t="shared" si="97"/>
        <v/>
      </c>
    </row>
    <row r="899" spans="1:9" x14ac:dyDescent="0.2">
      <c r="A899" s="12" t="str">
        <f>IF($B899="","",890)</f>
        <v/>
      </c>
      <c r="B899" s="18" t="str">
        <f>IF(890&gt;NBskParty,"",INDEX(PkBskParty,890))</f>
        <v/>
      </c>
      <c r="C899" s="16" t="str">
        <f t="shared" si="91"/>
        <v/>
      </c>
      <c r="D899" s="14" t="str">
        <f t="shared" si="92"/>
        <v/>
      </c>
      <c r="E899" s="14" t="str">
        <f t="shared" si="93"/>
        <v/>
      </c>
      <c r="F899" s="14" t="str">
        <f t="shared" si="94"/>
        <v/>
      </c>
      <c r="G899" s="14" t="str">
        <f t="shared" si="95"/>
        <v/>
      </c>
      <c r="H899" s="15" t="str">
        <f t="shared" si="96"/>
        <v/>
      </c>
      <c r="I899" s="13" t="str">
        <f t="shared" si="97"/>
        <v/>
      </c>
    </row>
    <row r="900" spans="1:9" x14ac:dyDescent="0.2">
      <c r="A900" s="7" t="str">
        <f>IF($B900="","",891)</f>
        <v/>
      </c>
      <c r="B900" s="17" t="str">
        <f>IF(891&gt;NBskParty,"",INDEX(PkBskParty,891))</f>
        <v/>
      </c>
      <c r="C900" s="11" t="str">
        <f t="shared" si="91"/>
        <v/>
      </c>
      <c r="D900" s="9" t="str">
        <f t="shared" si="92"/>
        <v/>
      </c>
      <c r="E900" s="9" t="str">
        <f t="shared" si="93"/>
        <v/>
      </c>
      <c r="F900" s="9" t="str">
        <f t="shared" si="94"/>
        <v/>
      </c>
      <c r="G900" s="9" t="str">
        <f t="shared" si="95"/>
        <v/>
      </c>
      <c r="H900" s="10" t="str">
        <f t="shared" si="96"/>
        <v/>
      </c>
      <c r="I900" s="8" t="str">
        <f t="shared" si="97"/>
        <v/>
      </c>
    </row>
    <row r="901" spans="1:9" x14ac:dyDescent="0.2">
      <c r="A901" s="12" t="str">
        <f>IF($B901="","",892)</f>
        <v/>
      </c>
      <c r="B901" s="18" t="str">
        <f>IF(892&gt;NBskParty,"",INDEX(PkBskParty,892))</f>
        <v/>
      </c>
      <c r="C901" s="16" t="str">
        <f t="shared" si="91"/>
        <v/>
      </c>
      <c r="D901" s="14" t="str">
        <f t="shared" si="92"/>
        <v/>
      </c>
      <c r="E901" s="14" t="str">
        <f t="shared" si="93"/>
        <v/>
      </c>
      <c r="F901" s="14" t="str">
        <f t="shared" si="94"/>
        <v/>
      </c>
      <c r="G901" s="14" t="str">
        <f t="shared" si="95"/>
        <v/>
      </c>
      <c r="H901" s="15" t="str">
        <f t="shared" si="96"/>
        <v/>
      </c>
      <c r="I901" s="13" t="str">
        <f t="shared" si="97"/>
        <v/>
      </c>
    </row>
    <row r="902" spans="1:9" x14ac:dyDescent="0.2">
      <c r="A902" s="7" t="str">
        <f>IF($B902="","",893)</f>
        <v/>
      </c>
      <c r="B902" s="17" t="str">
        <f>IF(893&gt;NBskParty,"",INDEX(PkBskParty,893))</f>
        <v/>
      </c>
      <c r="C902" s="11" t="str">
        <f t="shared" si="91"/>
        <v/>
      </c>
      <c r="D902" s="9" t="str">
        <f t="shared" si="92"/>
        <v/>
      </c>
      <c r="E902" s="9" t="str">
        <f t="shared" si="93"/>
        <v/>
      </c>
      <c r="F902" s="9" t="str">
        <f t="shared" si="94"/>
        <v/>
      </c>
      <c r="G902" s="9" t="str">
        <f t="shared" si="95"/>
        <v/>
      </c>
      <c r="H902" s="10" t="str">
        <f t="shared" si="96"/>
        <v/>
      </c>
      <c r="I902" s="8" t="str">
        <f t="shared" si="97"/>
        <v/>
      </c>
    </row>
    <row r="903" spans="1:9" x14ac:dyDescent="0.2">
      <c r="A903" s="12" t="str">
        <f>IF($B903="","",894)</f>
        <v/>
      </c>
      <c r="B903" s="18" t="str">
        <f>IF(894&gt;NBskParty,"",INDEX(PkBskParty,894))</f>
        <v/>
      </c>
      <c r="C903" s="16" t="str">
        <f t="shared" si="91"/>
        <v/>
      </c>
      <c r="D903" s="14" t="str">
        <f t="shared" si="92"/>
        <v/>
      </c>
      <c r="E903" s="14" t="str">
        <f t="shared" si="93"/>
        <v/>
      </c>
      <c r="F903" s="14" t="str">
        <f t="shared" si="94"/>
        <v/>
      </c>
      <c r="G903" s="14" t="str">
        <f t="shared" si="95"/>
        <v/>
      </c>
      <c r="H903" s="15" t="str">
        <f t="shared" si="96"/>
        <v/>
      </c>
      <c r="I903" s="13" t="str">
        <f t="shared" si="97"/>
        <v/>
      </c>
    </row>
    <row r="904" spans="1:9" x14ac:dyDescent="0.2">
      <c r="A904" s="7" t="str">
        <f>IF($B904="","",895)</f>
        <v/>
      </c>
      <c r="B904" s="17" t="str">
        <f>IF(895&gt;NBskParty,"",INDEX(PkBskParty,895))</f>
        <v/>
      </c>
      <c r="C904" s="11" t="str">
        <f t="shared" si="91"/>
        <v/>
      </c>
      <c r="D904" s="9" t="str">
        <f t="shared" si="92"/>
        <v/>
      </c>
      <c r="E904" s="9" t="str">
        <f t="shared" si="93"/>
        <v/>
      </c>
      <c r="F904" s="9" t="str">
        <f t="shared" si="94"/>
        <v/>
      </c>
      <c r="G904" s="9" t="str">
        <f t="shared" si="95"/>
        <v/>
      </c>
      <c r="H904" s="10" t="str">
        <f t="shared" si="96"/>
        <v/>
      </c>
      <c r="I904" s="8" t="str">
        <f t="shared" si="97"/>
        <v/>
      </c>
    </row>
    <row r="905" spans="1:9" x14ac:dyDescent="0.2">
      <c r="A905" s="12" t="str">
        <f>IF($B905="","",896)</f>
        <v/>
      </c>
      <c r="B905" s="18" t="str">
        <f>IF(896&gt;NBskParty,"",INDEX(PkBskParty,896))</f>
        <v/>
      </c>
      <c r="C905" s="16" t="str">
        <f t="shared" si="91"/>
        <v/>
      </c>
      <c r="D905" s="14" t="str">
        <f t="shared" si="92"/>
        <v/>
      </c>
      <c r="E905" s="14" t="str">
        <f t="shared" si="93"/>
        <v/>
      </c>
      <c r="F905" s="14" t="str">
        <f t="shared" si="94"/>
        <v/>
      </c>
      <c r="G905" s="14" t="str">
        <f t="shared" si="95"/>
        <v/>
      </c>
      <c r="H905" s="15" t="str">
        <f t="shared" si="96"/>
        <v/>
      </c>
      <c r="I905" s="13" t="str">
        <f t="shared" si="97"/>
        <v/>
      </c>
    </row>
    <row r="906" spans="1:9" x14ac:dyDescent="0.2">
      <c r="A906" s="7" t="str">
        <f>IF($B906="","",897)</f>
        <v/>
      </c>
      <c r="B906" s="17" t="str">
        <f>IF(897&gt;NBskParty,"",INDEX(PkBskParty,897))</f>
        <v/>
      </c>
      <c r="C906" s="11" t="str">
        <f t="shared" ref="C906:C969" si="98">IF($B906="","",IFERROR(IF(VLOOKUP($B906,AcctTbl,4,0)="","(بدون نام)",VLOOKUP($B906,AcctTbl,4,0)),"—"))</f>
        <v/>
      </c>
      <c r="D906" s="9" t="str">
        <f t="shared" ref="D906:D969" si="99">IF($B906="","",SUMIF(CalcPartyA,$B906,CalcQtyA))</f>
        <v/>
      </c>
      <c r="E906" s="9" t="str">
        <f t="shared" ref="E906:E969" si="100">IF($B906="","",SUMIF(CalcPartyA,$B906,CalcAmtA))</f>
        <v/>
      </c>
      <c r="F906" s="9" t="str">
        <f t="shared" ref="F906:F969" si="101">IF($B906="","",SUMIF(CalcPartyB,$B906,CalcWitB))</f>
        <v/>
      </c>
      <c r="G906" s="9" t="str">
        <f t="shared" ref="G906:G969" si="102">IF($B906="","",SUMIF(CalcPartyB,$B906,CalcDepB))</f>
        <v/>
      </c>
      <c r="H906" s="10" t="str">
        <f t="shared" ref="H906:H969" si="103">IF($B906="","",$E906-$F906+$G906)</f>
        <v/>
      </c>
      <c r="I906" s="8" t="str">
        <f t="shared" ref="I906:I969" si="104">IF($B906="","",IF(ROUND($H906,0)&gt;0,"● بستانکار",IF(ROUND($H906,0)&lt;0,"● بدهکار","تسویه")))</f>
        <v/>
      </c>
    </row>
    <row r="907" spans="1:9" x14ac:dyDescent="0.2">
      <c r="A907" s="12" t="str">
        <f>IF($B907="","",898)</f>
        <v/>
      </c>
      <c r="B907" s="18" t="str">
        <f>IF(898&gt;NBskParty,"",INDEX(PkBskParty,898))</f>
        <v/>
      </c>
      <c r="C907" s="16" t="str">
        <f t="shared" si="98"/>
        <v/>
      </c>
      <c r="D907" s="14" t="str">
        <f t="shared" si="99"/>
        <v/>
      </c>
      <c r="E907" s="14" t="str">
        <f t="shared" si="100"/>
        <v/>
      </c>
      <c r="F907" s="14" t="str">
        <f t="shared" si="101"/>
        <v/>
      </c>
      <c r="G907" s="14" t="str">
        <f t="shared" si="102"/>
        <v/>
      </c>
      <c r="H907" s="15" t="str">
        <f t="shared" si="103"/>
        <v/>
      </c>
      <c r="I907" s="13" t="str">
        <f t="shared" si="104"/>
        <v/>
      </c>
    </row>
    <row r="908" spans="1:9" x14ac:dyDescent="0.2">
      <c r="A908" s="7" t="str">
        <f>IF($B908="","",899)</f>
        <v/>
      </c>
      <c r="B908" s="17" t="str">
        <f>IF(899&gt;NBskParty,"",INDEX(PkBskParty,899))</f>
        <v/>
      </c>
      <c r="C908" s="11" t="str">
        <f t="shared" si="98"/>
        <v/>
      </c>
      <c r="D908" s="9" t="str">
        <f t="shared" si="99"/>
        <v/>
      </c>
      <c r="E908" s="9" t="str">
        <f t="shared" si="100"/>
        <v/>
      </c>
      <c r="F908" s="9" t="str">
        <f t="shared" si="101"/>
        <v/>
      </c>
      <c r="G908" s="9" t="str">
        <f t="shared" si="102"/>
        <v/>
      </c>
      <c r="H908" s="10" t="str">
        <f t="shared" si="103"/>
        <v/>
      </c>
      <c r="I908" s="8" t="str">
        <f t="shared" si="104"/>
        <v/>
      </c>
    </row>
    <row r="909" spans="1:9" x14ac:dyDescent="0.2">
      <c r="A909" s="12" t="str">
        <f>IF($B909="","",900)</f>
        <v/>
      </c>
      <c r="B909" s="18" t="str">
        <f>IF(900&gt;NBskParty,"",INDEX(PkBskParty,900))</f>
        <v/>
      </c>
      <c r="C909" s="16" t="str">
        <f t="shared" si="98"/>
        <v/>
      </c>
      <c r="D909" s="14" t="str">
        <f t="shared" si="99"/>
        <v/>
      </c>
      <c r="E909" s="14" t="str">
        <f t="shared" si="100"/>
        <v/>
      </c>
      <c r="F909" s="14" t="str">
        <f t="shared" si="101"/>
        <v/>
      </c>
      <c r="G909" s="14" t="str">
        <f t="shared" si="102"/>
        <v/>
      </c>
      <c r="H909" s="15" t="str">
        <f t="shared" si="103"/>
        <v/>
      </c>
      <c r="I909" s="13" t="str">
        <f t="shared" si="104"/>
        <v/>
      </c>
    </row>
    <row r="910" spans="1:9" x14ac:dyDescent="0.2">
      <c r="A910" s="7" t="str">
        <f>IF($B910="","",901)</f>
        <v/>
      </c>
      <c r="B910" s="17" t="str">
        <f>IF(901&gt;NBskParty,"",INDEX(PkBskParty,901))</f>
        <v/>
      </c>
      <c r="C910" s="11" t="str">
        <f t="shared" si="98"/>
        <v/>
      </c>
      <c r="D910" s="9" t="str">
        <f t="shared" si="99"/>
        <v/>
      </c>
      <c r="E910" s="9" t="str">
        <f t="shared" si="100"/>
        <v/>
      </c>
      <c r="F910" s="9" t="str">
        <f t="shared" si="101"/>
        <v/>
      </c>
      <c r="G910" s="9" t="str">
        <f t="shared" si="102"/>
        <v/>
      </c>
      <c r="H910" s="10" t="str">
        <f t="shared" si="103"/>
        <v/>
      </c>
      <c r="I910" s="8" t="str">
        <f t="shared" si="104"/>
        <v/>
      </c>
    </row>
    <row r="911" spans="1:9" x14ac:dyDescent="0.2">
      <c r="A911" s="12" t="str">
        <f>IF($B911="","",902)</f>
        <v/>
      </c>
      <c r="B911" s="18" t="str">
        <f>IF(902&gt;NBskParty,"",INDEX(PkBskParty,902))</f>
        <v/>
      </c>
      <c r="C911" s="16" t="str">
        <f t="shared" si="98"/>
        <v/>
      </c>
      <c r="D911" s="14" t="str">
        <f t="shared" si="99"/>
        <v/>
      </c>
      <c r="E911" s="14" t="str">
        <f t="shared" si="100"/>
        <v/>
      </c>
      <c r="F911" s="14" t="str">
        <f t="shared" si="101"/>
        <v/>
      </c>
      <c r="G911" s="14" t="str">
        <f t="shared" si="102"/>
        <v/>
      </c>
      <c r="H911" s="15" t="str">
        <f t="shared" si="103"/>
        <v/>
      </c>
      <c r="I911" s="13" t="str">
        <f t="shared" si="104"/>
        <v/>
      </c>
    </row>
    <row r="912" spans="1:9" x14ac:dyDescent="0.2">
      <c r="A912" s="7" t="str">
        <f>IF($B912="","",903)</f>
        <v/>
      </c>
      <c r="B912" s="17" t="str">
        <f>IF(903&gt;NBskParty,"",INDEX(PkBskParty,903))</f>
        <v/>
      </c>
      <c r="C912" s="11" t="str">
        <f t="shared" si="98"/>
        <v/>
      </c>
      <c r="D912" s="9" t="str">
        <f t="shared" si="99"/>
        <v/>
      </c>
      <c r="E912" s="9" t="str">
        <f t="shared" si="100"/>
        <v/>
      </c>
      <c r="F912" s="9" t="str">
        <f t="shared" si="101"/>
        <v/>
      </c>
      <c r="G912" s="9" t="str">
        <f t="shared" si="102"/>
        <v/>
      </c>
      <c r="H912" s="10" t="str">
        <f t="shared" si="103"/>
        <v/>
      </c>
      <c r="I912" s="8" t="str">
        <f t="shared" si="104"/>
        <v/>
      </c>
    </row>
    <row r="913" spans="1:9" x14ac:dyDescent="0.2">
      <c r="A913" s="12" t="str">
        <f>IF($B913="","",904)</f>
        <v/>
      </c>
      <c r="B913" s="18" t="str">
        <f>IF(904&gt;NBskParty,"",INDEX(PkBskParty,904))</f>
        <v/>
      </c>
      <c r="C913" s="16" t="str">
        <f t="shared" si="98"/>
        <v/>
      </c>
      <c r="D913" s="14" t="str">
        <f t="shared" si="99"/>
        <v/>
      </c>
      <c r="E913" s="14" t="str">
        <f t="shared" si="100"/>
        <v/>
      </c>
      <c r="F913" s="14" t="str">
        <f t="shared" si="101"/>
        <v/>
      </c>
      <c r="G913" s="14" t="str">
        <f t="shared" si="102"/>
        <v/>
      </c>
      <c r="H913" s="15" t="str">
        <f t="shared" si="103"/>
        <v/>
      </c>
      <c r="I913" s="13" t="str">
        <f t="shared" si="104"/>
        <v/>
      </c>
    </row>
    <row r="914" spans="1:9" x14ac:dyDescent="0.2">
      <c r="A914" s="7" t="str">
        <f>IF($B914="","",905)</f>
        <v/>
      </c>
      <c r="B914" s="17" t="str">
        <f>IF(905&gt;NBskParty,"",INDEX(PkBskParty,905))</f>
        <v/>
      </c>
      <c r="C914" s="11" t="str">
        <f t="shared" si="98"/>
        <v/>
      </c>
      <c r="D914" s="9" t="str">
        <f t="shared" si="99"/>
        <v/>
      </c>
      <c r="E914" s="9" t="str">
        <f t="shared" si="100"/>
        <v/>
      </c>
      <c r="F914" s="9" t="str">
        <f t="shared" si="101"/>
        <v/>
      </c>
      <c r="G914" s="9" t="str">
        <f t="shared" si="102"/>
        <v/>
      </c>
      <c r="H914" s="10" t="str">
        <f t="shared" si="103"/>
        <v/>
      </c>
      <c r="I914" s="8" t="str">
        <f t="shared" si="104"/>
        <v/>
      </c>
    </row>
    <row r="915" spans="1:9" x14ac:dyDescent="0.2">
      <c r="A915" s="12" t="str">
        <f>IF($B915="","",906)</f>
        <v/>
      </c>
      <c r="B915" s="18" t="str">
        <f>IF(906&gt;NBskParty,"",INDEX(PkBskParty,906))</f>
        <v/>
      </c>
      <c r="C915" s="16" t="str">
        <f t="shared" si="98"/>
        <v/>
      </c>
      <c r="D915" s="14" t="str">
        <f t="shared" si="99"/>
        <v/>
      </c>
      <c r="E915" s="14" t="str">
        <f t="shared" si="100"/>
        <v/>
      </c>
      <c r="F915" s="14" t="str">
        <f t="shared" si="101"/>
        <v/>
      </c>
      <c r="G915" s="14" t="str">
        <f t="shared" si="102"/>
        <v/>
      </c>
      <c r="H915" s="15" t="str">
        <f t="shared" si="103"/>
        <v/>
      </c>
      <c r="I915" s="13" t="str">
        <f t="shared" si="104"/>
        <v/>
      </c>
    </row>
    <row r="916" spans="1:9" x14ac:dyDescent="0.2">
      <c r="A916" s="7" t="str">
        <f>IF($B916="","",907)</f>
        <v/>
      </c>
      <c r="B916" s="17" t="str">
        <f>IF(907&gt;NBskParty,"",INDEX(PkBskParty,907))</f>
        <v/>
      </c>
      <c r="C916" s="11" t="str">
        <f t="shared" si="98"/>
        <v/>
      </c>
      <c r="D916" s="9" t="str">
        <f t="shared" si="99"/>
        <v/>
      </c>
      <c r="E916" s="9" t="str">
        <f t="shared" si="100"/>
        <v/>
      </c>
      <c r="F916" s="9" t="str">
        <f t="shared" si="101"/>
        <v/>
      </c>
      <c r="G916" s="9" t="str">
        <f t="shared" si="102"/>
        <v/>
      </c>
      <c r="H916" s="10" t="str">
        <f t="shared" si="103"/>
        <v/>
      </c>
      <c r="I916" s="8" t="str">
        <f t="shared" si="104"/>
        <v/>
      </c>
    </row>
    <row r="917" spans="1:9" x14ac:dyDescent="0.2">
      <c r="A917" s="12" t="str">
        <f>IF($B917="","",908)</f>
        <v/>
      </c>
      <c r="B917" s="18" t="str">
        <f>IF(908&gt;NBskParty,"",INDEX(PkBskParty,908))</f>
        <v/>
      </c>
      <c r="C917" s="16" t="str">
        <f t="shared" si="98"/>
        <v/>
      </c>
      <c r="D917" s="14" t="str">
        <f t="shared" si="99"/>
        <v/>
      </c>
      <c r="E917" s="14" t="str">
        <f t="shared" si="100"/>
        <v/>
      </c>
      <c r="F917" s="14" t="str">
        <f t="shared" si="101"/>
        <v/>
      </c>
      <c r="G917" s="14" t="str">
        <f t="shared" si="102"/>
        <v/>
      </c>
      <c r="H917" s="15" t="str">
        <f t="shared" si="103"/>
        <v/>
      </c>
      <c r="I917" s="13" t="str">
        <f t="shared" si="104"/>
        <v/>
      </c>
    </row>
    <row r="918" spans="1:9" x14ac:dyDescent="0.2">
      <c r="A918" s="7" t="str">
        <f>IF($B918="","",909)</f>
        <v/>
      </c>
      <c r="B918" s="17" t="str">
        <f>IF(909&gt;NBskParty,"",INDEX(PkBskParty,909))</f>
        <v/>
      </c>
      <c r="C918" s="11" t="str">
        <f t="shared" si="98"/>
        <v/>
      </c>
      <c r="D918" s="9" t="str">
        <f t="shared" si="99"/>
        <v/>
      </c>
      <c r="E918" s="9" t="str">
        <f t="shared" si="100"/>
        <v/>
      </c>
      <c r="F918" s="9" t="str">
        <f t="shared" si="101"/>
        <v/>
      </c>
      <c r="G918" s="9" t="str">
        <f t="shared" si="102"/>
        <v/>
      </c>
      <c r="H918" s="10" t="str">
        <f t="shared" si="103"/>
        <v/>
      </c>
      <c r="I918" s="8" t="str">
        <f t="shared" si="104"/>
        <v/>
      </c>
    </row>
    <row r="919" spans="1:9" x14ac:dyDescent="0.2">
      <c r="A919" s="12" t="str">
        <f>IF($B919="","",910)</f>
        <v/>
      </c>
      <c r="B919" s="18" t="str">
        <f>IF(910&gt;NBskParty,"",INDEX(PkBskParty,910))</f>
        <v/>
      </c>
      <c r="C919" s="16" t="str">
        <f t="shared" si="98"/>
        <v/>
      </c>
      <c r="D919" s="14" t="str">
        <f t="shared" si="99"/>
        <v/>
      </c>
      <c r="E919" s="14" t="str">
        <f t="shared" si="100"/>
        <v/>
      </c>
      <c r="F919" s="14" t="str">
        <f t="shared" si="101"/>
        <v/>
      </c>
      <c r="G919" s="14" t="str">
        <f t="shared" si="102"/>
        <v/>
      </c>
      <c r="H919" s="15" t="str">
        <f t="shared" si="103"/>
        <v/>
      </c>
      <c r="I919" s="13" t="str">
        <f t="shared" si="104"/>
        <v/>
      </c>
    </row>
    <row r="920" spans="1:9" x14ac:dyDescent="0.2">
      <c r="A920" s="7" t="str">
        <f>IF($B920="","",911)</f>
        <v/>
      </c>
      <c r="B920" s="17" t="str">
        <f>IF(911&gt;NBskParty,"",INDEX(PkBskParty,911))</f>
        <v/>
      </c>
      <c r="C920" s="11" t="str">
        <f t="shared" si="98"/>
        <v/>
      </c>
      <c r="D920" s="9" t="str">
        <f t="shared" si="99"/>
        <v/>
      </c>
      <c r="E920" s="9" t="str">
        <f t="shared" si="100"/>
        <v/>
      </c>
      <c r="F920" s="9" t="str">
        <f t="shared" si="101"/>
        <v/>
      </c>
      <c r="G920" s="9" t="str">
        <f t="shared" si="102"/>
        <v/>
      </c>
      <c r="H920" s="10" t="str">
        <f t="shared" si="103"/>
        <v/>
      </c>
      <c r="I920" s="8" t="str">
        <f t="shared" si="104"/>
        <v/>
      </c>
    </row>
    <row r="921" spans="1:9" x14ac:dyDescent="0.2">
      <c r="A921" s="12" t="str">
        <f>IF($B921="","",912)</f>
        <v/>
      </c>
      <c r="B921" s="18" t="str">
        <f>IF(912&gt;NBskParty,"",INDEX(PkBskParty,912))</f>
        <v/>
      </c>
      <c r="C921" s="16" t="str">
        <f t="shared" si="98"/>
        <v/>
      </c>
      <c r="D921" s="14" t="str">
        <f t="shared" si="99"/>
        <v/>
      </c>
      <c r="E921" s="14" t="str">
        <f t="shared" si="100"/>
        <v/>
      </c>
      <c r="F921" s="14" t="str">
        <f t="shared" si="101"/>
        <v/>
      </c>
      <c r="G921" s="14" t="str">
        <f t="shared" si="102"/>
        <v/>
      </c>
      <c r="H921" s="15" t="str">
        <f t="shared" si="103"/>
        <v/>
      </c>
      <c r="I921" s="13" t="str">
        <f t="shared" si="104"/>
        <v/>
      </c>
    </row>
    <row r="922" spans="1:9" x14ac:dyDescent="0.2">
      <c r="A922" s="7" t="str">
        <f>IF($B922="","",913)</f>
        <v/>
      </c>
      <c r="B922" s="17" t="str">
        <f>IF(913&gt;NBskParty,"",INDEX(PkBskParty,913))</f>
        <v/>
      </c>
      <c r="C922" s="11" t="str">
        <f t="shared" si="98"/>
        <v/>
      </c>
      <c r="D922" s="9" t="str">
        <f t="shared" si="99"/>
        <v/>
      </c>
      <c r="E922" s="9" t="str">
        <f t="shared" si="100"/>
        <v/>
      </c>
      <c r="F922" s="9" t="str">
        <f t="shared" si="101"/>
        <v/>
      </c>
      <c r="G922" s="9" t="str">
        <f t="shared" si="102"/>
        <v/>
      </c>
      <c r="H922" s="10" t="str">
        <f t="shared" si="103"/>
        <v/>
      </c>
      <c r="I922" s="8" t="str">
        <f t="shared" si="104"/>
        <v/>
      </c>
    </row>
    <row r="923" spans="1:9" x14ac:dyDescent="0.2">
      <c r="A923" s="12" t="str">
        <f>IF($B923="","",914)</f>
        <v/>
      </c>
      <c r="B923" s="18" t="str">
        <f>IF(914&gt;NBskParty,"",INDEX(PkBskParty,914))</f>
        <v/>
      </c>
      <c r="C923" s="16" t="str">
        <f t="shared" si="98"/>
        <v/>
      </c>
      <c r="D923" s="14" t="str">
        <f t="shared" si="99"/>
        <v/>
      </c>
      <c r="E923" s="14" t="str">
        <f t="shared" si="100"/>
        <v/>
      </c>
      <c r="F923" s="14" t="str">
        <f t="shared" si="101"/>
        <v/>
      </c>
      <c r="G923" s="14" t="str">
        <f t="shared" si="102"/>
        <v/>
      </c>
      <c r="H923" s="15" t="str">
        <f t="shared" si="103"/>
        <v/>
      </c>
      <c r="I923" s="13" t="str">
        <f t="shared" si="104"/>
        <v/>
      </c>
    </row>
    <row r="924" spans="1:9" x14ac:dyDescent="0.2">
      <c r="A924" s="7" t="str">
        <f>IF($B924="","",915)</f>
        <v/>
      </c>
      <c r="B924" s="17" t="str">
        <f>IF(915&gt;NBskParty,"",INDEX(PkBskParty,915))</f>
        <v/>
      </c>
      <c r="C924" s="11" t="str">
        <f t="shared" si="98"/>
        <v/>
      </c>
      <c r="D924" s="9" t="str">
        <f t="shared" si="99"/>
        <v/>
      </c>
      <c r="E924" s="9" t="str">
        <f t="shared" si="100"/>
        <v/>
      </c>
      <c r="F924" s="9" t="str">
        <f t="shared" si="101"/>
        <v/>
      </c>
      <c r="G924" s="9" t="str">
        <f t="shared" si="102"/>
        <v/>
      </c>
      <c r="H924" s="10" t="str">
        <f t="shared" si="103"/>
        <v/>
      </c>
      <c r="I924" s="8" t="str">
        <f t="shared" si="104"/>
        <v/>
      </c>
    </row>
    <row r="925" spans="1:9" x14ac:dyDescent="0.2">
      <c r="A925" s="12" t="str">
        <f>IF($B925="","",916)</f>
        <v/>
      </c>
      <c r="B925" s="18" t="str">
        <f>IF(916&gt;NBskParty,"",INDEX(PkBskParty,916))</f>
        <v/>
      </c>
      <c r="C925" s="16" t="str">
        <f t="shared" si="98"/>
        <v/>
      </c>
      <c r="D925" s="14" t="str">
        <f t="shared" si="99"/>
        <v/>
      </c>
      <c r="E925" s="14" t="str">
        <f t="shared" si="100"/>
        <v/>
      </c>
      <c r="F925" s="14" t="str">
        <f t="shared" si="101"/>
        <v/>
      </c>
      <c r="G925" s="14" t="str">
        <f t="shared" si="102"/>
        <v/>
      </c>
      <c r="H925" s="15" t="str">
        <f t="shared" si="103"/>
        <v/>
      </c>
      <c r="I925" s="13" t="str">
        <f t="shared" si="104"/>
        <v/>
      </c>
    </row>
    <row r="926" spans="1:9" x14ac:dyDescent="0.2">
      <c r="A926" s="7" t="str">
        <f>IF($B926="","",917)</f>
        <v/>
      </c>
      <c r="B926" s="17" t="str">
        <f>IF(917&gt;NBskParty,"",INDEX(PkBskParty,917))</f>
        <v/>
      </c>
      <c r="C926" s="11" t="str">
        <f t="shared" si="98"/>
        <v/>
      </c>
      <c r="D926" s="9" t="str">
        <f t="shared" si="99"/>
        <v/>
      </c>
      <c r="E926" s="9" t="str">
        <f t="shared" si="100"/>
        <v/>
      </c>
      <c r="F926" s="9" t="str">
        <f t="shared" si="101"/>
        <v/>
      </c>
      <c r="G926" s="9" t="str">
        <f t="shared" si="102"/>
        <v/>
      </c>
      <c r="H926" s="10" t="str">
        <f t="shared" si="103"/>
        <v/>
      </c>
      <c r="I926" s="8" t="str">
        <f t="shared" si="104"/>
        <v/>
      </c>
    </row>
    <row r="927" spans="1:9" x14ac:dyDescent="0.2">
      <c r="A927" s="12" t="str">
        <f>IF($B927="","",918)</f>
        <v/>
      </c>
      <c r="B927" s="18" t="str">
        <f>IF(918&gt;NBskParty,"",INDEX(PkBskParty,918))</f>
        <v/>
      </c>
      <c r="C927" s="16" t="str">
        <f t="shared" si="98"/>
        <v/>
      </c>
      <c r="D927" s="14" t="str">
        <f t="shared" si="99"/>
        <v/>
      </c>
      <c r="E927" s="14" t="str">
        <f t="shared" si="100"/>
        <v/>
      </c>
      <c r="F927" s="14" t="str">
        <f t="shared" si="101"/>
        <v/>
      </c>
      <c r="G927" s="14" t="str">
        <f t="shared" si="102"/>
        <v/>
      </c>
      <c r="H927" s="15" t="str">
        <f t="shared" si="103"/>
        <v/>
      </c>
      <c r="I927" s="13" t="str">
        <f t="shared" si="104"/>
        <v/>
      </c>
    </row>
    <row r="928" spans="1:9" x14ac:dyDescent="0.2">
      <c r="A928" s="7" t="str">
        <f>IF($B928="","",919)</f>
        <v/>
      </c>
      <c r="B928" s="17" t="str">
        <f>IF(919&gt;NBskParty,"",INDEX(PkBskParty,919))</f>
        <v/>
      </c>
      <c r="C928" s="11" t="str">
        <f t="shared" si="98"/>
        <v/>
      </c>
      <c r="D928" s="9" t="str">
        <f t="shared" si="99"/>
        <v/>
      </c>
      <c r="E928" s="9" t="str">
        <f t="shared" si="100"/>
        <v/>
      </c>
      <c r="F928" s="9" t="str">
        <f t="shared" si="101"/>
        <v/>
      </c>
      <c r="G928" s="9" t="str">
        <f t="shared" si="102"/>
        <v/>
      </c>
      <c r="H928" s="10" t="str">
        <f t="shared" si="103"/>
        <v/>
      </c>
      <c r="I928" s="8" t="str">
        <f t="shared" si="104"/>
        <v/>
      </c>
    </row>
    <row r="929" spans="1:9" x14ac:dyDescent="0.2">
      <c r="A929" s="12" t="str">
        <f>IF($B929="","",920)</f>
        <v/>
      </c>
      <c r="B929" s="18" t="str">
        <f>IF(920&gt;NBskParty,"",INDEX(PkBskParty,920))</f>
        <v/>
      </c>
      <c r="C929" s="16" t="str">
        <f t="shared" si="98"/>
        <v/>
      </c>
      <c r="D929" s="14" t="str">
        <f t="shared" si="99"/>
        <v/>
      </c>
      <c r="E929" s="14" t="str">
        <f t="shared" si="100"/>
        <v/>
      </c>
      <c r="F929" s="14" t="str">
        <f t="shared" si="101"/>
        <v/>
      </c>
      <c r="G929" s="14" t="str">
        <f t="shared" si="102"/>
        <v/>
      </c>
      <c r="H929" s="15" t="str">
        <f t="shared" si="103"/>
        <v/>
      </c>
      <c r="I929" s="13" t="str">
        <f t="shared" si="104"/>
        <v/>
      </c>
    </row>
    <row r="930" spans="1:9" x14ac:dyDescent="0.2">
      <c r="A930" s="7" t="str">
        <f>IF($B930="","",921)</f>
        <v/>
      </c>
      <c r="B930" s="17" t="str">
        <f>IF(921&gt;NBskParty,"",INDEX(PkBskParty,921))</f>
        <v/>
      </c>
      <c r="C930" s="11" t="str">
        <f t="shared" si="98"/>
        <v/>
      </c>
      <c r="D930" s="9" t="str">
        <f t="shared" si="99"/>
        <v/>
      </c>
      <c r="E930" s="9" t="str">
        <f t="shared" si="100"/>
        <v/>
      </c>
      <c r="F930" s="9" t="str">
        <f t="shared" si="101"/>
        <v/>
      </c>
      <c r="G930" s="9" t="str">
        <f t="shared" si="102"/>
        <v/>
      </c>
      <c r="H930" s="10" t="str">
        <f t="shared" si="103"/>
        <v/>
      </c>
      <c r="I930" s="8" t="str">
        <f t="shared" si="104"/>
        <v/>
      </c>
    </row>
    <row r="931" spans="1:9" x14ac:dyDescent="0.2">
      <c r="A931" s="12" t="str">
        <f>IF($B931="","",922)</f>
        <v/>
      </c>
      <c r="B931" s="18" t="str">
        <f>IF(922&gt;NBskParty,"",INDEX(PkBskParty,922))</f>
        <v/>
      </c>
      <c r="C931" s="16" t="str">
        <f t="shared" si="98"/>
        <v/>
      </c>
      <c r="D931" s="14" t="str">
        <f t="shared" si="99"/>
        <v/>
      </c>
      <c r="E931" s="14" t="str">
        <f t="shared" si="100"/>
        <v/>
      </c>
      <c r="F931" s="14" t="str">
        <f t="shared" si="101"/>
        <v/>
      </c>
      <c r="G931" s="14" t="str">
        <f t="shared" si="102"/>
        <v/>
      </c>
      <c r="H931" s="15" t="str">
        <f t="shared" si="103"/>
        <v/>
      </c>
      <c r="I931" s="13" t="str">
        <f t="shared" si="104"/>
        <v/>
      </c>
    </row>
    <row r="932" spans="1:9" x14ac:dyDescent="0.2">
      <c r="A932" s="7" t="str">
        <f>IF($B932="","",923)</f>
        <v/>
      </c>
      <c r="B932" s="17" t="str">
        <f>IF(923&gt;NBskParty,"",INDEX(PkBskParty,923))</f>
        <v/>
      </c>
      <c r="C932" s="11" t="str">
        <f t="shared" si="98"/>
        <v/>
      </c>
      <c r="D932" s="9" t="str">
        <f t="shared" si="99"/>
        <v/>
      </c>
      <c r="E932" s="9" t="str">
        <f t="shared" si="100"/>
        <v/>
      </c>
      <c r="F932" s="9" t="str">
        <f t="shared" si="101"/>
        <v/>
      </c>
      <c r="G932" s="9" t="str">
        <f t="shared" si="102"/>
        <v/>
      </c>
      <c r="H932" s="10" t="str">
        <f t="shared" si="103"/>
        <v/>
      </c>
      <c r="I932" s="8" t="str">
        <f t="shared" si="104"/>
        <v/>
      </c>
    </row>
    <row r="933" spans="1:9" x14ac:dyDescent="0.2">
      <c r="A933" s="12" t="str">
        <f>IF($B933="","",924)</f>
        <v/>
      </c>
      <c r="B933" s="18" t="str">
        <f>IF(924&gt;NBskParty,"",INDEX(PkBskParty,924))</f>
        <v/>
      </c>
      <c r="C933" s="16" t="str">
        <f t="shared" si="98"/>
        <v/>
      </c>
      <c r="D933" s="14" t="str">
        <f t="shared" si="99"/>
        <v/>
      </c>
      <c r="E933" s="14" t="str">
        <f t="shared" si="100"/>
        <v/>
      </c>
      <c r="F933" s="14" t="str">
        <f t="shared" si="101"/>
        <v/>
      </c>
      <c r="G933" s="14" t="str">
        <f t="shared" si="102"/>
        <v/>
      </c>
      <c r="H933" s="15" t="str">
        <f t="shared" si="103"/>
        <v/>
      </c>
      <c r="I933" s="13" t="str">
        <f t="shared" si="104"/>
        <v/>
      </c>
    </row>
    <row r="934" spans="1:9" x14ac:dyDescent="0.2">
      <c r="A934" s="7" t="str">
        <f>IF($B934="","",925)</f>
        <v/>
      </c>
      <c r="B934" s="17" t="str">
        <f>IF(925&gt;NBskParty,"",INDEX(PkBskParty,925))</f>
        <v/>
      </c>
      <c r="C934" s="11" t="str">
        <f t="shared" si="98"/>
        <v/>
      </c>
      <c r="D934" s="9" t="str">
        <f t="shared" si="99"/>
        <v/>
      </c>
      <c r="E934" s="9" t="str">
        <f t="shared" si="100"/>
        <v/>
      </c>
      <c r="F934" s="9" t="str">
        <f t="shared" si="101"/>
        <v/>
      </c>
      <c r="G934" s="9" t="str">
        <f t="shared" si="102"/>
        <v/>
      </c>
      <c r="H934" s="10" t="str">
        <f t="shared" si="103"/>
        <v/>
      </c>
      <c r="I934" s="8" t="str">
        <f t="shared" si="104"/>
        <v/>
      </c>
    </row>
    <row r="935" spans="1:9" x14ac:dyDescent="0.2">
      <c r="A935" s="12" t="str">
        <f>IF($B935="","",926)</f>
        <v/>
      </c>
      <c r="B935" s="18" t="str">
        <f>IF(926&gt;NBskParty,"",INDEX(PkBskParty,926))</f>
        <v/>
      </c>
      <c r="C935" s="16" t="str">
        <f t="shared" si="98"/>
        <v/>
      </c>
      <c r="D935" s="14" t="str">
        <f t="shared" si="99"/>
        <v/>
      </c>
      <c r="E935" s="14" t="str">
        <f t="shared" si="100"/>
        <v/>
      </c>
      <c r="F935" s="14" t="str">
        <f t="shared" si="101"/>
        <v/>
      </c>
      <c r="G935" s="14" t="str">
        <f t="shared" si="102"/>
        <v/>
      </c>
      <c r="H935" s="15" t="str">
        <f t="shared" si="103"/>
        <v/>
      </c>
      <c r="I935" s="13" t="str">
        <f t="shared" si="104"/>
        <v/>
      </c>
    </row>
    <row r="936" spans="1:9" x14ac:dyDescent="0.2">
      <c r="A936" s="7" t="str">
        <f>IF($B936="","",927)</f>
        <v/>
      </c>
      <c r="B936" s="17" t="str">
        <f>IF(927&gt;NBskParty,"",INDEX(PkBskParty,927))</f>
        <v/>
      </c>
      <c r="C936" s="11" t="str">
        <f t="shared" si="98"/>
        <v/>
      </c>
      <c r="D936" s="9" t="str">
        <f t="shared" si="99"/>
        <v/>
      </c>
      <c r="E936" s="9" t="str">
        <f t="shared" si="100"/>
        <v/>
      </c>
      <c r="F936" s="9" t="str">
        <f t="shared" si="101"/>
        <v/>
      </c>
      <c r="G936" s="9" t="str">
        <f t="shared" si="102"/>
        <v/>
      </c>
      <c r="H936" s="10" t="str">
        <f t="shared" si="103"/>
        <v/>
      </c>
      <c r="I936" s="8" t="str">
        <f t="shared" si="104"/>
        <v/>
      </c>
    </row>
    <row r="937" spans="1:9" x14ac:dyDescent="0.2">
      <c r="A937" s="12" t="str">
        <f>IF($B937="","",928)</f>
        <v/>
      </c>
      <c r="B937" s="18" t="str">
        <f>IF(928&gt;NBskParty,"",INDEX(PkBskParty,928))</f>
        <v/>
      </c>
      <c r="C937" s="16" t="str">
        <f t="shared" si="98"/>
        <v/>
      </c>
      <c r="D937" s="14" t="str">
        <f t="shared" si="99"/>
        <v/>
      </c>
      <c r="E937" s="14" t="str">
        <f t="shared" si="100"/>
        <v/>
      </c>
      <c r="F937" s="14" t="str">
        <f t="shared" si="101"/>
        <v/>
      </c>
      <c r="G937" s="14" t="str">
        <f t="shared" si="102"/>
        <v/>
      </c>
      <c r="H937" s="15" t="str">
        <f t="shared" si="103"/>
        <v/>
      </c>
      <c r="I937" s="13" t="str">
        <f t="shared" si="104"/>
        <v/>
      </c>
    </row>
    <row r="938" spans="1:9" x14ac:dyDescent="0.2">
      <c r="A938" s="7" t="str">
        <f>IF($B938="","",929)</f>
        <v/>
      </c>
      <c r="B938" s="17" t="str">
        <f>IF(929&gt;NBskParty,"",INDEX(PkBskParty,929))</f>
        <v/>
      </c>
      <c r="C938" s="11" t="str">
        <f t="shared" si="98"/>
        <v/>
      </c>
      <c r="D938" s="9" t="str">
        <f t="shared" si="99"/>
        <v/>
      </c>
      <c r="E938" s="9" t="str">
        <f t="shared" si="100"/>
        <v/>
      </c>
      <c r="F938" s="9" t="str">
        <f t="shared" si="101"/>
        <v/>
      </c>
      <c r="G938" s="9" t="str">
        <f t="shared" si="102"/>
        <v/>
      </c>
      <c r="H938" s="10" t="str">
        <f t="shared" si="103"/>
        <v/>
      </c>
      <c r="I938" s="8" t="str">
        <f t="shared" si="104"/>
        <v/>
      </c>
    </row>
    <row r="939" spans="1:9" x14ac:dyDescent="0.2">
      <c r="A939" s="12" t="str">
        <f>IF($B939="","",930)</f>
        <v/>
      </c>
      <c r="B939" s="18" t="str">
        <f>IF(930&gt;NBskParty,"",INDEX(PkBskParty,930))</f>
        <v/>
      </c>
      <c r="C939" s="16" t="str">
        <f t="shared" si="98"/>
        <v/>
      </c>
      <c r="D939" s="14" t="str">
        <f t="shared" si="99"/>
        <v/>
      </c>
      <c r="E939" s="14" t="str">
        <f t="shared" si="100"/>
        <v/>
      </c>
      <c r="F939" s="14" t="str">
        <f t="shared" si="101"/>
        <v/>
      </c>
      <c r="G939" s="14" t="str">
        <f t="shared" si="102"/>
        <v/>
      </c>
      <c r="H939" s="15" t="str">
        <f t="shared" si="103"/>
        <v/>
      </c>
      <c r="I939" s="13" t="str">
        <f t="shared" si="104"/>
        <v/>
      </c>
    </row>
    <row r="940" spans="1:9" x14ac:dyDescent="0.2">
      <c r="A940" s="7" t="str">
        <f>IF($B940="","",931)</f>
        <v/>
      </c>
      <c r="B940" s="17" t="str">
        <f>IF(931&gt;NBskParty,"",INDEX(PkBskParty,931))</f>
        <v/>
      </c>
      <c r="C940" s="11" t="str">
        <f t="shared" si="98"/>
        <v/>
      </c>
      <c r="D940" s="9" t="str">
        <f t="shared" si="99"/>
        <v/>
      </c>
      <c r="E940" s="9" t="str">
        <f t="shared" si="100"/>
        <v/>
      </c>
      <c r="F940" s="9" t="str">
        <f t="shared" si="101"/>
        <v/>
      </c>
      <c r="G940" s="9" t="str">
        <f t="shared" si="102"/>
        <v/>
      </c>
      <c r="H940" s="10" t="str">
        <f t="shared" si="103"/>
        <v/>
      </c>
      <c r="I940" s="8" t="str">
        <f t="shared" si="104"/>
        <v/>
      </c>
    </row>
    <row r="941" spans="1:9" x14ac:dyDescent="0.2">
      <c r="A941" s="12" t="str">
        <f>IF($B941="","",932)</f>
        <v/>
      </c>
      <c r="B941" s="18" t="str">
        <f>IF(932&gt;NBskParty,"",INDEX(PkBskParty,932))</f>
        <v/>
      </c>
      <c r="C941" s="16" t="str">
        <f t="shared" si="98"/>
        <v/>
      </c>
      <c r="D941" s="14" t="str">
        <f t="shared" si="99"/>
        <v/>
      </c>
      <c r="E941" s="14" t="str">
        <f t="shared" si="100"/>
        <v/>
      </c>
      <c r="F941" s="14" t="str">
        <f t="shared" si="101"/>
        <v/>
      </c>
      <c r="G941" s="14" t="str">
        <f t="shared" si="102"/>
        <v/>
      </c>
      <c r="H941" s="15" t="str">
        <f t="shared" si="103"/>
        <v/>
      </c>
      <c r="I941" s="13" t="str">
        <f t="shared" si="104"/>
        <v/>
      </c>
    </row>
    <row r="942" spans="1:9" x14ac:dyDescent="0.2">
      <c r="A942" s="7" t="str">
        <f>IF($B942="","",933)</f>
        <v/>
      </c>
      <c r="B942" s="17" t="str">
        <f>IF(933&gt;NBskParty,"",INDEX(PkBskParty,933))</f>
        <v/>
      </c>
      <c r="C942" s="11" t="str">
        <f t="shared" si="98"/>
        <v/>
      </c>
      <c r="D942" s="9" t="str">
        <f t="shared" si="99"/>
        <v/>
      </c>
      <c r="E942" s="9" t="str">
        <f t="shared" si="100"/>
        <v/>
      </c>
      <c r="F942" s="9" t="str">
        <f t="shared" si="101"/>
        <v/>
      </c>
      <c r="G942" s="9" t="str">
        <f t="shared" si="102"/>
        <v/>
      </c>
      <c r="H942" s="10" t="str">
        <f t="shared" si="103"/>
        <v/>
      </c>
      <c r="I942" s="8" t="str">
        <f t="shared" si="104"/>
        <v/>
      </c>
    </row>
    <row r="943" spans="1:9" x14ac:dyDescent="0.2">
      <c r="A943" s="12" t="str">
        <f>IF($B943="","",934)</f>
        <v/>
      </c>
      <c r="B943" s="18" t="str">
        <f>IF(934&gt;NBskParty,"",INDEX(PkBskParty,934))</f>
        <v/>
      </c>
      <c r="C943" s="16" t="str">
        <f t="shared" si="98"/>
        <v/>
      </c>
      <c r="D943" s="14" t="str">
        <f t="shared" si="99"/>
        <v/>
      </c>
      <c r="E943" s="14" t="str">
        <f t="shared" si="100"/>
        <v/>
      </c>
      <c r="F943" s="14" t="str">
        <f t="shared" si="101"/>
        <v/>
      </c>
      <c r="G943" s="14" t="str">
        <f t="shared" si="102"/>
        <v/>
      </c>
      <c r="H943" s="15" t="str">
        <f t="shared" si="103"/>
        <v/>
      </c>
      <c r="I943" s="13" t="str">
        <f t="shared" si="104"/>
        <v/>
      </c>
    </row>
    <row r="944" spans="1:9" x14ac:dyDescent="0.2">
      <c r="A944" s="7" t="str">
        <f>IF($B944="","",935)</f>
        <v/>
      </c>
      <c r="B944" s="17" t="str">
        <f>IF(935&gt;NBskParty,"",INDEX(PkBskParty,935))</f>
        <v/>
      </c>
      <c r="C944" s="11" t="str">
        <f t="shared" si="98"/>
        <v/>
      </c>
      <c r="D944" s="9" t="str">
        <f t="shared" si="99"/>
        <v/>
      </c>
      <c r="E944" s="9" t="str">
        <f t="shared" si="100"/>
        <v/>
      </c>
      <c r="F944" s="9" t="str">
        <f t="shared" si="101"/>
        <v/>
      </c>
      <c r="G944" s="9" t="str">
        <f t="shared" si="102"/>
        <v/>
      </c>
      <c r="H944" s="10" t="str">
        <f t="shared" si="103"/>
        <v/>
      </c>
      <c r="I944" s="8" t="str">
        <f t="shared" si="104"/>
        <v/>
      </c>
    </row>
    <row r="945" spans="1:9" x14ac:dyDescent="0.2">
      <c r="A945" s="12" t="str">
        <f>IF($B945="","",936)</f>
        <v/>
      </c>
      <c r="B945" s="18" t="str">
        <f>IF(936&gt;NBskParty,"",INDEX(PkBskParty,936))</f>
        <v/>
      </c>
      <c r="C945" s="16" t="str">
        <f t="shared" si="98"/>
        <v/>
      </c>
      <c r="D945" s="14" t="str">
        <f t="shared" si="99"/>
        <v/>
      </c>
      <c r="E945" s="14" t="str">
        <f t="shared" si="100"/>
        <v/>
      </c>
      <c r="F945" s="14" t="str">
        <f t="shared" si="101"/>
        <v/>
      </c>
      <c r="G945" s="14" t="str">
        <f t="shared" si="102"/>
        <v/>
      </c>
      <c r="H945" s="15" t="str">
        <f t="shared" si="103"/>
        <v/>
      </c>
      <c r="I945" s="13" t="str">
        <f t="shared" si="104"/>
        <v/>
      </c>
    </row>
    <row r="946" spans="1:9" x14ac:dyDescent="0.2">
      <c r="A946" s="7" t="str">
        <f>IF($B946="","",937)</f>
        <v/>
      </c>
      <c r="B946" s="17" t="str">
        <f>IF(937&gt;NBskParty,"",INDEX(PkBskParty,937))</f>
        <v/>
      </c>
      <c r="C946" s="11" t="str">
        <f t="shared" si="98"/>
        <v/>
      </c>
      <c r="D946" s="9" t="str">
        <f t="shared" si="99"/>
        <v/>
      </c>
      <c r="E946" s="9" t="str">
        <f t="shared" si="100"/>
        <v/>
      </c>
      <c r="F946" s="9" t="str">
        <f t="shared" si="101"/>
        <v/>
      </c>
      <c r="G946" s="9" t="str">
        <f t="shared" si="102"/>
        <v/>
      </c>
      <c r="H946" s="10" t="str">
        <f t="shared" si="103"/>
        <v/>
      </c>
      <c r="I946" s="8" t="str">
        <f t="shared" si="104"/>
        <v/>
      </c>
    </row>
    <row r="947" spans="1:9" x14ac:dyDescent="0.2">
      <c r="A947" s="12" t="str">
        <f>IF($B947="","",938)</f>
        <v/>
      </c>
      <c r="B947" s="18" t="str">
        <f>IF(938&gt;NBskParty,"",INDEX(PkBskParty,938))</f>
        <v/>
      </c>
      <c r="C947" s="16" t="str">
        <f t="shared" si="98"/>
        <v/>
      </c>
      <c r="D947" s="14" t="str">
        <f t="shared" si="99"/>
        <v/>
      </c>
      <c r="E947" s="14" t="str">
        <f t="shared" si="100"/>
        <v/>
      </c>
      <c r="F947" s="14" t="str">
        <f t="shared" si="101"/>
        <v/>
      </c>
      <c r="G947" s="14" t="str">
        <f t="shared" si="102"/>
        <v/>
      </c>
      <c r="H947" s="15" t="str">
        <f t="shared" si="103"/>
        <v/>
      </c>
      <c r="I947" s="13" t="str">
        <f t="shared" si="104"/>
        <v/>
      </c>
    </row>
    <row r="948" spans="1:9" x14ac:dyDescent="0.2">
      <c r="A948" s="7" t="str">
        <f>IF($B948="","",939)</f>
        <v/>
      </c>
      <c r="B948" s="17" t="str">
        <f>IF(939&gt;NBskParty,"",INDEX(PkBskParty,939))</f>
        <v/>
      </c>
      <c r="C948" s="11" t="str">
        <f t="shared" si="98"/>
        <v/>
      </c>
      <c r="D948" s="9" t="str">
        <f t="shared" si="99"/>
        <v/>
      </c>
      <c r="E948" s="9" t="str">
        <f t="shared" si="100"/>
        <v/>
      </c>
      <c r="F948" s="9" t="str">
        <f t="shared" si="101"/>
        <v/>
      </c>
      <c r="G948" s="9" t="str">
        <f t="shared" si="102"/>
        <v/>
      </c>
      <c r="H948" s="10" t="str">
        <f t="shared" si="103"/>
        <v/>
      </c>
      <c r="I948" s="8" t="str">
        <f t="shared" si="104"/>
        <v/>
      </c>
    </row>
    <row r="949" spans="1:9" x14ac:dyDescent="0.2">
      <c r="A949" s="12" t="str">
        <f>IF($B949="","",940)</f>
        <v/>
      </c>
      <c r="B949" s="18" t="str">
        <f>IF(940&gt;NBskParty,"",INDEX(PkBskParty,940))</f>
        <v/>
      </c>
      <c r="C949" s="16" t="str">
        <f t="shared" si="98"/>
        <v/>
      </c>
      <c r="D949" s="14" t="str">
        <f t="shared" si="99"/>
        <v/>
      </c>
      <c r="E949" s="14" t="str">
        <f t="shared" si="100"/>
        <v/>
      </c>
      <c r="F949" s="14" t="str">
        <f t="shared" si="101"/>
        <v/>
      </c>
      <c r="G949" s="14" t="str">
        <f t="shared" si="102"/>
        <v/>
      </c>
      <c r="H949" s="15" t="str">
        <f t="shared" si="103"/>
        <v/>
      </c>
      <c r="I949" s="13" t="str">
        <f t="shared" si="104"/>
        <v/>
      </c>
    </row>
    <row r="950" spans="1:9" x14ac:dyDescent="0.2">
      <c r="A950" s="7" t="str">
        <f>IF($B950="","",941)</f>
        <v/>
      </c>
      <c r="B950" s="17" t="str">
        <f>IF(941&gt;NBskParty,"",INDEX(PkBskParty,941))</f>
        <v/>
      </c>
      <c r="C950" s="11" t="str">
        <f t="shared" si="98"/>
        <v/>
      </c>
      <c r="D950" s="9" t="str">
        <f t="shared" si="99"/>
        <v/>
      </c>
      <c r="E950" s="9" t="str">
        <f t="shared" si="100"/>
        <v/>
      </c>
      <c r="F950" s="9" t="str">
        <f t="shared" si="101"/>
        <v/>
      </c>
      <c r="G950" s="9" t="str">
        <f t="shared" si="102"/>
        <v/>
      </c>
      <c r="H950" s="10" t="str">
        <f t="shared" si="103"/>
        <v/>
      </c>
      <c r="I950" s="8" t="str">
        <f t="shared" si="104"/>
        <v/>
      </c>
    </row>
    <row r="951" spans="1:9" x14ac:dyDescent="0.2">
      <c r="A951" s="12" t="str">
        <f>IF($B951="","",942)</f>
        <v/>
      </c>
      <c r="B951" s="18" t="str">
        <f>IF(942&gt;NBskParty,"",INDEX(PkBskParty,942))</f>
        <v/>
      </c>
      <c r="C951" s="16" t="str">
        <f t="shared" si="98"/>
        <v/>
      </c>
      <c r="D951" s="14" t="str">
        <f t="shared" si="99"/>
        <v/>
      </c>
      <c r="E951" s="14" t="str">
        <f t="shared" si="100"/>
        <v/>
      </c>
      <c r="F951" s="14" t="str">
        <f t="shared" si="101"/>
        <v/>
      </c>
      <c r="G951" s="14" t="str">
        <f t="shared" si="102"/>
        <v/>
      </c>
      <c r="H951" s="15" t="str">
        <f t="shared" si="103"/>
        <v/>
      </c>
      <c r="I951" s="13" t="str">
        <f t="shared" si="104"/>
        <v/>
      </c>
    </row>
    <row r="952" spans="1:9" x14ac:dyDescent="0.2">
      <c r="A952" s="7" t="str">
        <f>IF($B952="","",943)</f>
        <v/>
      </c>
      <c r="B952" s="17" t="str">
        <f>IF(943&gt;NBskParty,"",INDEX(PkBskParty,943))</f>
        <v/>
      </c>
      <c r="C952" s="11" t="str">
        <f t="shared" si="98"/>
        <v/>
      </c>
      <c r="D952" s="9" t="str">
        <f t="shared" si="99"/>
        <v/>
      </c>
      <c r="E952" s="9" t="str">
        <f t="shared" si="100"/>
        <v/>
      </c>
      <c r="F952" s="9" t="str">
        <f t="shared" si="101"/>
        <v/>
      </c>
      <c r="G952" s="9" t="str">
        <f t="shared" si="102"/>
        <v/>
      </c>
      <c r="H952" s="10" t="str">
        <f t="shared" si="103"/>
        <v/>
      </c>
      <c r="I952" s="8" t="str">
        <f t="shared" si="104"/>
        <v/>
      </c>
    </row>
    <row r="953" spans="1:9" x14ac:dyDescent="0.2">
      <c r="A953" s="12" t="str">
        <f>IF($B953="","",944)</f>
        <v/>
      </c>
      <c r="B953" s="18" t="str">
        <f>IF(944&gt;NBskParty,"",INDEX(PkBskParty,944))</f>
        <v/>
      </c>
      <c r="C953" s="16" t="str">
        <f t="shared" si="98"/>
        <v/>
      </c>
      <c r="D953" s="14" t="str">
        <f t="shared" si="99"/>
        <v/>
      </c>
      <c r="E953" s="14" t="str">
        <f t="shared" si="100"/>
        <v/>
      </c>
      <c r="F953" s="14" t="str">
        <f t="shared" si="101"/>
        <v/>
      </c>
      <c r="G953" s="14" t="str">
        <f t="shared" si="102"/>
        <v/>
      </c>
      <c r="H953" s="15" t="str">
        <f t="shared" si="103"/>
        <v/>
      </c>
      <c r="I953" s="13" t="str">
        <f t="shared" si="104"/>
        <v/>
      </c>
    </row>
    <row r="954" spans="1:9" x14ac:dyDescent="0.2">
      <c r="A954" s="7" t="str">
        <f>IF($B954="","",945)</f>
        <v/>
      </c>
      <c r="B954" s="17" t="str">
        <f>IF(945&gt;NBskParty,"",INDEX(PkBskParty,945))</f>
        <v/>
      </c>
      <c r="C954" s="11" t="str">
        <f t="shared" si="98"/>
        <v/>
      </c>
      <c r="D954" s="9" t="str">
        <f t="shared" si="99"/>
        <v/>
      </c>
      <c r="E954" s="9" t="str">
        <f t="shared" si="100"/>
        <v/>
      </c>
      <c r="F954" s="9" t="str">
        <f t="shared" si="101"/>
        <v/>
      </c>
      <c r="G954" s="9" t="str">
        <f t="shared" si="102"/>
        <v/>
      </c>
      <c r="H954" s="10" t="str">
        <f t="shared" si="103"/>
        <v/>
      </c>
      <c r="I954" s="8" t="str">
        <f t="shared" si="104"/>
        <v/>
      </c>
    </row>
    <row r="955" spans="1:9" x14ac:dyDescent="0.2">
      <c r="A955" s="12" t="str">
        <f>IF($B955="","",946)</f>
        <v/>
      </c>
      <c r="B955" s="18" t="str">
        <f>IF(946&gt;NBskParty,"",INDEX(PkBskParty,946))</f>
        <v/>
      </c>
      <c r="C955" s="16" t="str">
        <f t="shared" si="98"/>
        <v/>
      </c>
      <c r="D955" s="14" t="str">
        <f t="shared" si="99"/>
        <v/>
      </c>
      <c r="E955" s="14" t="str">
        <f t="shared" si="100"/>
        <v/>
      </c>
      <c r="F955" s="14" t="str">
        <f t="shared" si="101"/>
        <v/>
      </c>
      <c r="G955" s="14" t="str">
        <f t="shared" si="102"/>
        <v/>
      </c>
      <c r="H955" s="15" t="str">
        <f t="shared" si="103"/>
        <v/>
      </c>
      <c r="I955" s="13" t="str">
        <f t="shared" si="104"/>
        <v/>
      </c>
    </row>
    <row r="956" spans="1:9" x14ac:dyDescent="0.2">
      <c r="A956" s="7" t="str">
        <f>IF($B956="","",947)</f>
        <v/>
      </c>
      <c r="B956" s="17" t="str">
        <f>IF(947&gt;NBskParty,"",INDEX(PkBskParty,947))</f>
        <v/>
      </c>
      <c r="C956" s="11" t="str">
        <f t="shared" si="98"/>
        <v/>
      </c>
      <c r="D956" s="9" t="str">
        <f t="shared" si="99"/>
        <v/>
      </c>
      <c r="E956" s="9" t="str">
        <f t="shared" si="100"/>
        <v/>
      </c>
      <c r="F956" s="9" t="str">
        <f t="shared" si="101"/>
        <v/>
      </c>
      <c r="G956" s="9" t="str">
        <f t="shared" si="102"/>
        <v/>
      </c>
      <c r="H956" s="10" t="str">
        <f t="shared" si="103"/>
        <v/>
      </c>
      <c r="I956" s="8" t="str">
        <f t="shared" si="104"/>
        <v/>
      </c>
    </row>
    <row r="957" spans="1:9" x14ac:dyDescent="0.2">
      <c r="A957" s="12" t="str">
        <f>IF($B957="","",948)</f>
        <v/>
      </c>
      <c r="B957" s="18" t="str">
        <f>IF(948&gt;NBskParty,"",INDEX(PkBskParty,948))</f>
        <v/>
      </c>
      <c r="C957" s="16" t="str">
        <f t="shared" si="98"/>
        <v/>
      </c>
      <c r="D957" s="14" t="str">
        <f t="shared" si="99"/>
        <v/>
      </c>
      <c r="E957" s="14" t="str">
        <f t="shared" si="100"/>
        <v/>
      </c>
      <c r="F957" s="14" t="str">
        <f t="shared" si="101"/>
        <v/>
      </c>
      <c r="G957" s="14" t="str">
        <f t="shared" si="102"/>
        <v/>
      </c>
      <c r="H957" s="15" t="str">
        <f t="shared" si="103"/>
        <v/>
      </c>
      <c r="I957" s="13" t="str">
        <f t="shared" si="104"/>
        <v/>
      </c>
    </row>
    <row r="958" spans="1:9" x14ac:dyDescent="0.2">
      <c r="A958" s="7" t="str">
        <f>IF($B958="","",949)</f>
        <v/>
      </c>
      <c r="B958" s="17" t="str">
        <f>IF(949&gt;NBskParty,"",INDEX(PkBskParty,949))</f>
        <v/>
      </c>
      <c r="C958" s="11" t="str">
        <f t="shared" si="98"/>
        <v/>
      </c>
      <c r="D958" s="9" t="str">
        <f t="shared" si="99"/>
        <v/>
      </c>
      <c r="E958" s="9" t="str">
        <f t="shared" si="100"/>
        <v/>
      </c>
      <c r="F958" s="9" t="str">
        <f t="shared" si="101"/>
        <v/>
      </c>
      <c r="G958" s="9" t="str">
        <f t="shared" si="102"/>
        <v/>
      </c>
      <c r="H958" s="10" t="str">
        <f t="shared" si="103"/>
        <v/>
      </c>
      <c r="I958" s="8" t="str">
        <f t="shared" si="104"/>
        <v/>
      </c>
    </row>
    <row r="959" spans="1:9" x14ac:dyDescent="0.2">
      <c r="A959" s="12" t="str">
        <f>IF($B959="","",950)</f>
        <v/>
      </c>
      <c r="B959" s="18" t="str">
        <f>IF(950&gt;NBskParty,"",INDEX(PkBskParty,950))</f>
        <v/>
      </c>
      <c r="C959" s="16" t="str">
        <f t="shared" si="98"/>
        <v/>
      </c>
      <c r="D959" s="14" t="str">
        <f t="shared" si="99"/>
        <v/>
      </c>
      <c r="E959" s="14" t="str">
        <f t="shared" si="100"/>
        <v/>
      </c>
      <c r="F959" s="14" t="str">
        <f t="shared" si="101"/>
        <v/>
      </c>
      <c r="G959" s="14" t="str">
        <f t="shared" si="102"/>
        <v/>
      </c>
      <c r="H959" s="15" t="str">
        <f t="shared" si="103"/>
        <v/>
      </c>
      <c r="I959" s="13" t="str">
        <f t="shared" si="104"/>
        <v/>
      </c>
    </row>
    <row r="960" spans="1:9" x14ac:dyDescent="0.2">
      <c r="A960" s="7" t="str">
        <f>IF($B960="","",951)</f>
        <v/>
      </c>
      <c r="B960" s="17" t="str">
        <f>IF(951&gt;NBskParty,"",INDEX(PkBskParty,951))</f>
        <v/>
      </c>
      <c r="C960" s="11" t="str">
        <f t="shared" si="98"/>
        <v/>
      </c>
      <c r="D960" s="9" t="str">
        <f t="shared" si="99"/>
        <v/>
      </c>
      <c r="E960" s="9" t="str">
        <f t="shared" si="100"/>
        <v/>
      </c>
      <c r="F960" s="9" t="str">
        <f t="shared" si="101"/>
        <v/>
      </c>
      <c r="G960" s="9" t="str">
        <f t="shared" si="102"/>
        <v/>
      </c>
      <c r="H960" s="10" t="str">
        <f t="shared" si="103"/>
        <v/>
      </c>
      <c r="I960" s="8" t="str">
        <f t="shared" si="104"/>
        <v/>
      </c>
    </row>
    <row r="961" spans="1:9" x14ac:dyDescent="0.2">
      <c r="A961" s="12" t="str">
        <f>IF($B961="","",952)</f>
        <v/>
      </c>
      <c r="B961" s="18" t="str">
        <f>IF(952&gt;NBskParty,"",INDEX(PkBskParty,952))</f>
        <v/>
      </c>
      <c r="C961" s="16" t="str">
        <f t="shared" si="98"/>
        <v/>
      </c>
      <c r="D961" s="14" t="str">
        <f t="shared" si="99"/>
        <v/>
      </c>
      <c r="E961" s="14" t="str">
        <f t="shared" si="100"/>
        <v/>
      </c>
      <c r="F961" s="14" t="str">
        <f t="shared" si="101"/>
        <v/>
      </c>
      <c r="G961" s="14" t="str">
        <f t="shared" si="102"/>
        <v/>
      </c>
      <c r="H961" s="15" t="str">
        <f t="shared" si="103"/>
        <v/>
      </c>
      <c r="I961" s="13" t="str">
        <f t="shared" si="104"/>
        <v/>
      </c>
    </row>
    <row r="962" spans="1:9" x14ac:dyDescent="0.2">
      <c r="A962" s="7" t="str">
        <f>IF($B962="","",953)</f>
        <v/>
      </c>
      <c r="B962" s="17" t="str">
        <f>IF(953&gt;NBskParty,"",INDEX(PkBskParty,953))</f>
        <v/>
      </c>
      <c r="C962" s="11" t="str">
        <f t="shared" si="98"/>
        <v/>
      </c>
      <c r="D962" s="9" t="str">
        <f t="shared" si="99"/>
        <v/>
      </c>
      <c r="E962" s="9" t="str">
        <f t="shared" si="100"/>
        <v/>
      </c>
      <c r="F962" s="9" t="str">
        <f t="shared" si="101"/>
        <v/>
      </c>
      <c r="G962" s="9" t="str">
        <f t="shared" si="102"/>
        <v/>
      </c>
      <c r="H962" s="10" t="str">
        <f t="shared" si="103"/>
        <v/>
      </c>
      <c r="I962" s="8" t="str">
        <f t="shared" si="104"/>
        <v/>
      </c>
    </row>
    <row r="963" spans="1:9" x14ac:dyDescent="0.2">
      <c r="A963" s="12" t="str">
        <f>IF($B963="","",954)</f>
        <v/>
      </c>
      <c r="B963" s="18" t="str">
        <f>IF(954&gt;NBskParty,"",INDEX(PkBskParty,954))</f>
        <v/>
      </c>
      <c r="C963" s="16" t="str">
        <f t="shared" si="98"/>
        <v/>
      </c>
      <c r="D963" s="14" t="str">
        <f t="shared" si="99"/>
        <v/>
      </c>
      <c r="E963" s="14" t="str">
        <f t="shared" si="100"/>
        <v/>
      </c>
      <c r="F963" s="14" t="str">
        <f t="shared" si="101"/>
        <v/>
      </c>
      <c r="G963" s="14" t="str">
        <f t="shared" si="102"/>
        <v/>
      </c>
      <c r="H963" s="15" t="str">
        <f t="shared" si="103"/>
        <v/>
      </c>
      <c r="I963" s="13" t="str">
        <f t="shared" si="104"/>
        <v/>
      </c>
    </row>
    <row r="964" spans="1:9" x14ac:dyDescent="0.2">
      <c r="A964" s="7" t="str">
        <f>IF($B964="","",955)</f>
        <v/>
      </c>
      <c r="B964" s="17" t="str">
        <f>IF(955&gt;NBskParty,"",INDEX(PkBskParty,955))</f>
        <v/>
      </c>
      <c r="C964" s="11" t="str">
        <f t="shared" si="98"/>
        <v/>
      </c>
      <c r="D964" s="9" t="str">
        <f t="shared" si="99"/>
        <v/>
      </c>
      <c r="E964" s="9" t="str">
        <f t="shared" si="100"/>
        <v/>
      </c>
      <c r="F964" s="9" t="str">
        <f t="shared" si="101"/>
        <v/>
      </c>
      <c r="G964" s="9" t="str">
        <f t="shared" si="102"/>
        <v/>
      </c>
      <c r="H964" s="10" t="str">
        <f t="shared" si="103"/>
        <v/>
      </c>
      <c r="I964" s="8" t="str">
        <f t="shared" si="104"/>
        <v/>
      </c>
    </row>
    <row r="965" spans="1:9" x14ac:dyDescent="0.2">
      <c r="A965" s="12" t="str">
        <f>IF($B965="","",956)</f>
        <v/>
      </c>
      <c r="B965" s="18" t="str">
        <f>IF(956&gt;NBskParty,"",INDEX(PkBskParty,956))</f>
        <v/>
      </c>
      <c r="C965" s="16" t="str">
        <f t="shared" si="98"/>
        <v/>
      </c>
      <c r="D965" s="14" t="str">
        <f t="shared" si="99"/>
        <v/>
      </c>
      <c r="E965" s="14" t="str">
        <f t="shared" si="100"/>
        <v/>
      </c>
      <c r="F965" s="14" t="str">
        <f t="shared" si="101"/>
        <v/>
      </c>
      <c r="G965" s="14" t="str">
        <f t="shared" si="102"/>
        <v/>
      </c>
      <c r="H965" s="15" t="str">
        <f t="shared" si="103"/>
        <v/>
      </c>
      <c r="I965" s="13" t="str">
        <f t="shared" si="104"/>
        <v/>
      </c>
    </row>
    <row r="966" spans="1:9" x14ac:dyDescent="0.2">
      <c r="A966" s="7" t="str">
        <f>IF($B966="","",957)</f>
        <v/>
      </c>
      <c r="B966" s="17" t="str">
        <f>IF(957&gt;NBskParty,"",INDEX(PkBskParty,957))</f>
        <v/>
      </c>
      <c r="C966" s="11" t="str">
        <f t="shared" si="98"/>
        <v/>
      </c>
      <c r="D966" s="9" t="str">
        <f t="shared" si="99"/>
        <v/>
      </c>
      <c r="E966" s="9" t="str">
        <f t="shared" si="100"/>
        <v/>
      </c>
      <c r="F966" s="9" t="str">
        <f t="shared" si="101"/>
        <v/>
      </c>
      <c r="G966" s="9" t="str">
        <f t="shared" si="102"/>
        <v/>
      </c>
      <c r="H966" s="10" t="str">
        <f t="shared" si="103"/>
        <v/>
      </c>
      <c r="I966" s="8" t="str">
        <f t="shared" si="104"/>
        <v/>
      </c>
    </row>
    <row r="967" spans="1:9" x14ac:dyDescent="0.2">
      <c r="A967" s="12" t="str">
        <f>IF($B967="","",958)</f>
        <v/>
      </c>
      <c r="B967" s="18" t="str">
        <f>IF(958&gt;NBskParty,"",INDEX(PkBskParty,958))</f>
        <v/>
      </c>
      <c r="C967" s="16" t="str">
        <f t="shared" si="98"/>
        <v/>
      </c>
      <c r="D967" s="14" t="str">
        <f t="shared" si="99"/>
        <v/>
      </c>
      <c r="E967" s="14" t="str">
        <f t="shared" si="100"/>
        <v/>
      </c>
      <c r="F967" s="14" t="str">
        <f t="shared" si="101"/>
        <v/>
      </c>
      <c r="G967" s="14" t="str">
        <f t="shared" si="102"/>
        <v/>
      </c>
      <c r="H967" s="15" t="str">
        <f t="shared" si="103"/>
        <v/>
      </c>
      <c r="I967" s="13" t="str">
        <f t="shared" si="104"/>
        <v/>
      </c>
    </row>
    <row r="968" spans="1:9" x14ac:dyDescent="0.2">
      <c r="A968" s="7" t="str">
        <f>IF($B968="","",959)</f>
        <v/>
      </c>
      <c r="B968" s="17" t="str">
        <f>IF(959&gt;NBskParty,"",INDEX(PkBskParty,959))</f>
        <v/>
      </c>
      <c r="C968" s="11" t="str">
        <f t="shared" si="98"/>
        <v/>
      </c>
      <c r="D968" s="9" t="str">
        <f t="shared" si="99"/>
        <v/>
      </c>
      <c r="E968" s="9" t="str">
        <f t="shared" si="100"/>
        <v/>
      </c>
      <c r="F968" s="9" t="str">
        <f t="shared" si="101"/>
        <v/>
      </c>
      <c r="G968" s="9" t="str">
        <f t="shared" si="102"/>
        <v/>
      </c>
      <c r="H968" s="10" t="str">
        <f t="shared" si="103"/>
        <v/>
      </c>
      <c r="I968" s="8" t="str">
        <f t="shared" si="104"/>
        <v/>
      </c>
    </row>
    <row r="969" spans="1:9" x14ac:dyDescent="0.2">
      <c r="A969" s="12" t="str">
        <f>IF($B969="","",960)</f>
        <v/>
      </c>
      <c r="B969" s="18" t="str">
        <f>IF(960&gt;NBskParty,"",INDEX(PkBskParty,960))</f>
        <v/>
      </c>
      <c r="C969" s="16" t="str">
        <f t="shared" si="98"/>
        <v/>
      </c>
      <c r="D969" s="14" t="str">
        <f t="shared" si="99"/>
        <v/>
      </c>
      <c r="E969" s="14" t="str">
        <f t="shared" si="100"/>
        <v/>
      </c>
      <c r="F969" s="14" t="str">
        <f t="shared" si="101"/>
        <v/>
      </c>
      <c r="G969" s="14" t="str">
        <f t="shared" si="102"/>
        <v/>
      </c>
      <c r="H969" s="15" t="str">
        <f t="shared" si="103"/>
        <v/>
      </c>
      <c r="I969" s="13" t="str">
        <f t="shared" si="104"/>
        <v/>
      </c>
    </row>
    <row r="970" spans="1:9" x14ac:dyDescent="0.2">
      <c r="A970" s="7" t="str">
        <f>IF($B970="","",961)</f>
        <v/>
      </c>
      <c r="B970" s="17" t="str">
        <f>IF(961&gt;NBskParty,"",INDEX(PkBskParty,961))</f>
        <v/>
      </c>
      <c r="C970" s="11" t="str">
        <f t="shared" ref="C970:C1009" si="105">IF($B970="","",IFERROR(IF(VLOOKUP($B970,AcctTbl,4,0)="","(بدون نام)",VLOOKUP($B970,AcctTbl,4,0)),"—"))</f>
        <v/>
      </c>
      <c r="D970" s="9" t="str">
        <f t="shared" ref="D970:D1009" si="106">IF($B970="","",SUMIF(CalcPartyA,$B970,CalcQtyA))</f>
        <v/>
      </c>
      <c r="E970" s="9" t="str">
        <f t="shared" ref="E970:E1009" si="107">IF($B970="","",SUMIF(CalcPartyA,$B970,CalcAmtA))</f>
        <v/>
      </c>
      <c r="F970" s="9" t="str">
        <f t="shared" ref="F970:F1009" si="108">IF($B970="","",SUMIF(CalcPartyB,$B970,CalcWitB))</f>
        <v/>
      </c>
      <c r="G970" s="9" t="str">
        <f t="shared" ref="G970:G1009" si="109">IF($B970="","",SUMIF(CalcPartyB,$B970,CalcDepB))</f>
        <v/>
      </c>
      <c r="H970" s="10" t="str">
        <f t="shared" ref="H970:H1009" si="110">IF($B970="","",$E970-$F970+$G970)</f>
        <v/>
      </c>
      <c r="I970" s="8" t="str">
        <f t="shared" ref="I970:I1009" si="111">IF($B970="","",IF(ROUND($H970,0)&gt;0,"● بستانکار",IF(ROUND($H970,0)&lt;0,"● بدهکار","تسویه")))</f>
        <v/>
      </c>
    </row>
    <row r="971" spans="1:9" x14ac:dyDescent="0.2">
      <c r="A971" s="12" t="str">
        <f>IF($B971="","",962)</f>
        <v/>
      </c>
      <c r="B971" s="18" t="str">
        <f>IF(962&gt;NBskParty,"",INDEX(PkBskParty,962))</f>
        <v/>
      </c>
      <c r="C971" s="16" t="str">
        <f t="shared" si="105"/>
        <v/>
      </c>
      <c r="D971" s="14" t="str">
        <f t="shared" si="106"/>
        <v/>
      </c>
      <c r="E971" s="14" t="str">
        <f t="shared" si="107"/>
        <v/>
      </c>
      <c r="F971" s="14" t="str">
        <f t="shared" si="108"/>
        <v/>
      </c>
      <c r="G971" s="14" t="str">
        <f t="shared" si="109"/>
        <v/>
      </c>
      <c r="H971" s="15" t="str">
        <f t="shared" si="110"/>
        <v/>
      </c>
      <c r="I971" s="13" t="str">
        <f t="shared" si="111"/>
        <v/>
      </c>
    </row>
    <row r="972" spans="1:9" x14ac:dyDescent="0.2">
      <c r="A972" s="7" t="str">
        <f>IF($B972="","",963)</f>
        <v/>
      </c>
      <c r="B972" s="17" t="str">
        <f>IF(963&gt;NBskParty,"",INDEX(PkBskParty,963))</f>
        <v/>
      </c>
      <c r="C972" s="11" t="str">
        <f t="shared" si="105"/>
        <v/>
      </c>
      <c r="D972" s="9" t="str">
        <f t="shared" si="106"/>
        <v/>
      </c>
      <c r="E972" s="9" t="str">
        <f t="shared" si="107"/>
        <v/>
      </c>
      <c r="F972" s="9" t="str">
        <f t="shared" si="108"/>
        <v/>
      </c>
      <c r="G972" s="9" t="str">
        <f t="shared" si="109"/>
        <v/>
      </c>
      <c r="H972" s="10" t="str">
        <f t="shared" si="110"/>
        <v/>
      </c>
      <c r="I972" s="8" t="str">
        <f t="shared" si="111"/>
        <v/>
      </c>
    </row>
    <row r="973" spans="1:9" x14ac:dyDescent="0.2">
      <c r="A973" s="12" t="str">
        <f>IF($B973="","",964)</f>
        <v/>
      </c>
      <c r="B973" s="18" t="str">
        <f>IF(964&gt;NBskParty,"",INDEX(PkBskParty,964))</f>
        <v/>
      </c>
      <c r="C973" s="16" t="str">
        <f t="shared" si="105"/>
        <v/>
      </c>
      <c r="D973" s="14" t="str">
        <f t="shared" si="106"/>
        <v/>
      </c>
      <c r="E973" s="14" t="str">
        <f t="shared" si="107"/>
        <v/>
      </c>
      <c r="F973" s="14" t="str">
        <f t="shared" si="108"/>
        <v/>
      </c>
      <c r="G973" s="14" t="str">
        <f t="shared" si="109"/>
        <v/>
      </c>
      <c r="H973" s="15" t="str">
        <f t="shared" si="110"/>
        <v/>
      </c>
      <c r="I973" s="13" t="str">
        <f t="shared" si="111"/>
        <v/>
      </c>
    </row>
    <row r="974" spans="1:9" x14ac:dyDescent="0.2">
      <c r="A974" s="7" t="str">
        <f>IF($B974="","",965)</f>
        <v/>
      </c>
      <c r="B974" s="17" t="str">
        <f>IF(965&gt;NBskParty,"",INDEX(PkBskParty,965))</f>
        <v/>
      </c>
      <c r="C974" s="11" t="str">
        <f t="shared" si="105"/>
        <v/>
      </c>
      <c r="D974" s="9" t="str">
        <f t="shared" si="106"/>
        <v/>
      </c>
      <c r="E974" s="9" t="str">
        <f t="shared" si="107"/>
        <v/>
      </c>
      <c r="F974" s="9" t="str">
        <f t="shared" si="108"/>
        <v/>
      </c>
      <c r="G974" s="9" t="str">
        <f t="shared" si="109"/>
        <v/>
      </c>
      <c r="H974" s="10" t="str">
        <f t="shared" si="110"/>
        <v/>
      </c>
      <c r="I974" s="8" t="str">
        <f t="shared" si="111"/>
        <v/>
      </c>
    </row>
    <row r="975" spans="1:9" x14ac:dyDescent="0.2">
      <c r="A975" s="12" t="str">
        <f>IF($B975="","",966)</f>
        <v/>
      </c>
      <c r="B975" s="18" t="str">
        <f>IF(966&gt;NBskParty,"",INDEX(PkBskParty,966))</f>
        <v/>
      </c>
      <c r="C975" s="16" t="str">
        <f t="shared" si="105"/>
        <v/>
      </c>
      <c r="D975" s="14" t="str">
        <f t="shared" si="106"/>
        <v/>
      </c>
      <c r="E975" s="14" t="str">
        <f t="shared" si="107"/>
        <v/>
      </c>
      <c r="F975" s="14" t="str">
        <f t="shared" si="108"/>
        <v/>
      </c>
      <c r="G975" s="14" t="str">
        <f t="shared" si="109"/>
        <v/>
      </c>
      <c r="H975" s="15" t="str">
        <f t="shared" si="110"/>
        <v/>
      </c>
      <c r="I975" s="13" t="str">
        <f t="shared" si="111"/>
        <v/>
      </c>
    </row>
    <row r="976" spans="1:9" x14ac:dyDescent="0.2">
      <c r="A976" s="7" t="str">
        <f>IF($B976="","",967)</f>
        <v/>
      </c>
      <c r="B976" s="17" t="str">
        <f>IF(967&gt;NBskParty,"",INDEX(PkBskParty,967))</f>
        <v/>
      </c>
      <c r="C976" s="11" t="str">
        <f t="shared" si="105"/>
        <v/>
      </c>
      <c r="D976" s="9" t="str">
        <f t="shared" si="106"/>
        <v/>
      </c>
      <c r="E976" s="9" t="str">
        <f t="shared" si="107"/>
        <v/>
      </c>
      <c r="F976" s="9" t="str">
        <f t="shared" si="108"/>
        <v/>
      </c>
      <c r="G976" s="9" t="str">
        <f t="shared" si="109"/>
        <v/>
      </c>
      <c r="H976" s="10" t="str">
        <f t="shared" si="110"/>
        <v/>
      </c>
      <c r="I976" s="8" t="str">
        <f t="shared" si="111"/>
        <v/>
      </c>
    </row>
    <row r="977" spans="1:9" x14ac:dyDescent="0.2">
      <c r="A977" s="12" t="str">
        <f>IF($B977="","",968)</f>
        <v/>
      </c>
      <c r="B977" s="18" t="str">
        <f>IF(968&gt;NBskParty,"",INDEX(PkBskParty,968))</f>
        <v/>
      </c>
      <c r="C977" s="16" t="str">
        <f t="shared" si="105"/>
        <v/>
      </c>
      <c r="D977" s="14" t="str">
        <f t="shared" si="106"/>
        <v/>
      </c>
      <c r="E977" s="14" t="str">
        <f t="shared" si="107"/>
        <v/>
      </c>
      <c r="F977" s="14" t="str">
        <f t="shared" si="108"/>
        <v/>
      </c>
      <c r="G977" s="14" t="str">
        <f t="shared" si="109"/>
        <v/>
      </c>
      <c r="H977" s="15" t="str">
        <f t="shared" si="110"/>
        <v/>
      </c>
      <c r="I977" s="13" t="str">
        <f t="shared" si="111"/>
        <v/>
      </c>
    </row>
    <row r="978" spans="1:9" x14ac:dyDescent="0.2">
      <c r="A978" s="7" t="str">
        <f>IF($B978="","",969)</f>
        <v/>
      </c>
      <c r="B978" s="17" t="str">
        <f>IF(969&gt;NBskParty,"",INDEX(PkBskParty,969))</f>
        <v/>
      </c>
      <c r="C978" s="11" t="str">
        <f t="shared" si="105"/>
        <v/>
      </c>
      <c r="D978" s="9" t="str">
        <f t="shared" si="106"/>
        <v/>
      </c>
      <c r="E978" s="9" t="str">
        <f t="shared" si="107"/>
        <v/>
      </c>
      <c r="F978" s="9" t="str">
        <f t="shared" si="108"/>
        <v/>
      </c>
      <c r="G978" s="9" t="str">
        <f t="shared" si="109"/>
        <v/>
      </c>
      <c r="H978" s="10" t="str">
        <f t="shared" si="110"/>
        <v/>
      </c>
      <c r="I978" s="8" t="str">
        <f t="shared" si="111"/>
        <v/>
      </c>
    </row>
    <row r="979" spans="1:9" x14ac:dyDescent="0.2">
      <c r="A979" s="12" t="str">
        <f>IF($B979="","",970)</f>
        <v/>
      </c>
      <c r="B979" s="18" t="str">
        <f>IF(970&gt;NBskParty,"",INDEX(PkBskParty,970))</f>
        <v/>
      </c>
      <c r="C979" s="16" t="str">
        <f t="shared" si="105"/>
        <v/>
      </c>
      <c r="D979" s="14" t="str">
        <f t="shared" si="106"/>
        <v/>
      </c>
      <c r="E979" s="14" t="str">
        <f t="shared" si="107"/>
        <v/>
      </c>
      <c r="F979" s="14" t="str">
        <f t="shared" si="108"/>
        <v/>
      </c>
      <c r="G979" s="14" t="str">
        <f t="shared" si="109"/>
        <v/>
      </c>
      <c r="H979" s="15" t="str">
        <f t="shared" si="110"/>
        <v/>
      </c>
      <c r="I979" s="13" t="str">
        <f t="shared" si="111"/>
        <v/>
      </c>
    </row>
    <row r="980" spans="1:9" x14ac:dyDescent="0.2">
      <c r="A980" s="7" t="str">
        <f>IF($B980="","",971)</f>
        <v/>
      </c>
      <c r="B980" s="17" t="str">
        <f>IF(971&gt;NBskParty,"",INDEX(PkBskParty,971))</f>
        <v/>
      </c>
      <c r="C980" s="11" t="str">
        <f t="shared" si="105"/>
        <v/>
      </c>
      <c r="D980" s="9" t="str">
        <f t="shared" si="106"/>
        <v/>
      </c>
      <c r="E980" s="9" t="str">
        <f t="shared" si="107"/>
        <v/>
      </c>
      <c r="F980" s="9" t="str">
        <f t="shared" si="108"/>
        <v/>
      </c>
      <c r="G980" s="9" t="str">
        <f t="shared" si="109"/>
        <v/>
      </c>
      <c r="H980" s="10" t="str">
        <f t="shared" si="110"/>
        <v/>
      </c>
      <c r="I980" s="8" t="str">
        <f t="shared" si="111"/>
        <v/>
      </c>
    </row>
    <row r="981" spans="1:9" x14ac:dyDescent="0.2">
      <c r="A981" s="12" t="str">
        <f>IF($B981="","",972)</f>
        <v/>
      </c>
      <c r="B981" s="18" t="str">
        <f>IF(972&gt;NBskParty,"",INDEX(PkBskParty,972))</f>
        <v/>
      </c>
      <c r="C981" s="16" t="str">
        <f t="shared" si="105"/>
        <v/>
      </c>
      <c r="D981" s="14" t="str">
        <f t="shared" si="106"/>
        <v/>
      </c>
      <c r="E981" s="14" t="str">
        <f t="shared" si="107"/>
        <v/>
      </c>
      <c r="F981" s="14" t="str">
        <f t="shared" si="108"/>
        <v/>
      </c>
      <c r="G981" s="14" t="str">
        <f t="shared" si="109"/>
        <v/>
      </c>
      <c r="H981" s="15" t="str">
        <f t="shared" si="110"/>
        <v/>
      </c>
      <c r="I981" s="13" t="str">
        <f t="shared" si="111"/>
        <v/>
      </c>
    </row>
    <row r="982" spans="1:9" x14ac:dyDescent="0.2">
      <c r="A982" s="7" t="str">
        <f>IF($B982="","",973)</f>
        <v/>
      </c>
      <c r="B982" s="17" t="str">
        <f>IF(973&gt;NBskParty,"",INDEX(PkBskParty,973))</f>
        <v/>
      </c>
      <c r="C982" s="11" t="str">
        <f t="shared" si="105"/>
        <v/>
      </c>
      <c r="D982" s="9" t="str">
        <f t="shared" si="106"/>
        <v/>
      </c>
      <c r="E982" s="9" t="str">
        <f t="shared" si="107"/>
        <v/>
      </c>
      <c r="F982" s="9" t="str">
        <f t="shared" si="108"/>
        <v/>
      </c>
      <c r="G982" s="9" t="str">
        <f t="shared" si="109"/>
        <v/>
      </c>
      <c r="H982" s="10" t="str">
        <f t="shared" si="110"/>
        <v/>
      </c>
      <c r="I982" s="8" t="str">
        <f t="shared" si="111"/>
        <v/>
      </c>
    </row>
    <row r="983" spans="1:9" x14ac:dyDescent="0.2">
      <c r="A983" s="12" t="str">
        <f>IF($B983="","",974)</f>
        <v/>
      </c>
      <c r="B983" s="18" t="str">
        <f>IF(974&gt;NBskParty,"",INDEX(PkBskParty,974))</f>
        <v/>
      </c>
      <c r="C983" s="16" t="str">
        <f t="shared" si="105"/>
        <v/>
      </c>
      <c r="D983" s="14" t="str">
        <f t="shared" si="106"/>
        <v/>
      </c>
      <c r="E983" s="14" t="str">
        <f t="shared" si="107"/>
        <v/>
      </c>
      <c r="F983" s="14" t="str">
        <f t="shared" si="108"/>
        <v/>
      </c>
      <c r="G983" s="14" t="str">
        <f t="shared" si="109"/>
        <v/>
      </c>
      <c r="H983" s="15" t="str">
        <f t="shared" si="110"/>
        <v/>
      </c>
      <c r="I983" s="13" t="str">
        <f t="shared" si="111"/>
        <v/>
      </c>
    </row>
    <row r="984" spans="1:9" x14ac:dyDescent="0.2">
      <c r="A984" s="7" t="str">
        <f>IF($B984="","",975)</f>
        <v/>
      </c>
      <c r="B984" s="17" t="str">
        <f>IF(975&gt;NBskParty,"",INDEX(PkBskParty,975))</f>
        <v/>
      </c>
      <c r="C984" s="11" t="str">
        <f t="shared" si="105"/>
        <v/>
      </c>
      <c r="D984" s="9" t="str">
        <f t="shared" si="106"/>
        <v/>
      </c>
      <c r="E984" s="9" t="str">
        <f t="shared" si="107"/>
        <v/>
      </c>
      <c r="F984" s="9" t="str">
        <f t="shared" si="108"/>
        <v/>
      </c>
      <c r="G984" s="9" t="str">
        <f t="shared" si="109"/>
        <v/>
      </c>
      <c r="H984" s="10" t="str">
        <f t="shared" si="110"/>
        <v/>
      </c>
      <c r="I984" s="8" t="str">
        <f t="shared" si="111"/>
        <v/>
      </c>
    </row>
    <row r="985" spans="1:9" x14ac:dyDescent="0.2">
      <c r="A985" s="12" t="str">
        <f>IF($B985="","",976)</f>
        <v/>
      </c>
      <c r="B985" s="18" t="str">
        <f>IF(976&gt;NBskParty,"",INDEX(PkBskParty,976))</f>
        <v/>
      </c>
      <c r="C985" s="16" t="str">
        <f t="shared" si="105"/>
        <v/>
      </c>
      <c r="D985" s="14" t="str">
        <f t="shared" si="106"/>
        <v/>
      </c>
      <c r="E985" s="14" t="str">
        <f t="shared" si="107"/>
        <v/>
      </c>
      <c r="F985" s="14" t="str">
        <f t="shared" si="108"/>
        <v/>
      </c>
      <c r="G985" s="14" t="str">
        <f t="shared" si="109"/>
        <v/>
      </c>
      <c r="H985" s="15" t="str">
        <f t="shared" si="110"/>
        <v/>
      </c>
      <c r="I985" s="13" t="str">
        <f t="shared" si="111"/>
        <v/>
      </c>
    </row>
    <row r="986" spans="1:9" x14ac:dyDescent="0.2">
      <c r="A986" s="7" t="str">
        <f>IF($B986="","",977)</f>
        <v/>
      </c>
      <c r="B986" s="17" t="str">
        <f>IF(977&gt;NBskParty,"",INDEX(PkBskParty,977))</f>
        <v/>
      </c>
      <c r="C986" s="11" t="str">
        <f t="shared" si="105"/>
        <v/>
      </c>
      <c r="D986" s="9" t="str">
        <f t="shared" si="106"/>
        <v/>
      </c>
      <c r="E986" s="9" t="str">
        <f t="shared" si="107"/>
        <v/>
      </c>
      <c r="F986" s="9" t="str">
        <f t="shared" si="108"/>
        <v/>
      </c>
      <c r="G986" s="9" t="str">
        <f t="shared" si="109"/>
        <v/>
      </c>
      <c r="H986" s="10" t="str">
        <f t="shared" si="110"/>
        <v/>
      </c>
      <c r="I986" s="8" t="str">
        <f t="shared" si="111"/>
        <v/>
      </c>
    </row>
    <row r="987" spans="1:9" x14ac:dyDescent="0.2">
      <c r="A987" s="12" t="str">
        <f>IF($B987="","",978)</f>
        <v/>
      </c>
      <c r="B987" s="18" t="str">
        <f>IF(978&gt;NBskParty,"",INDEX(PkBskParty,978))</f>
        <v/>
      </c>
      <c r="C987" s="16" t="str">
        <f t="shared" si="105"/>
        <v/>
      </c>
      <c r="D987" s="14" t="str">
        <f t="shared" si="106"/>
        <v/>
      </c>
      <c r="E987" s="14" t="str">
        <f t="shared" si="107"/>
        <v/>
      </c>
      <c r="F987" s="14" t="str">
        <f t="shared" si="108"/>
        <v/>
      </c>
      <c r="G987" s="14" t="str">
        <f t="shared" si="109"/>
        <v/>
      </c>
      <c r="H987" s="15" t="str">
        <f t="shared" si="110"/>
        <v/>
      </c>
      <c r="I987" s="13" t="str">
        <f t="shared" si="111"/>
        <v/>
      </c>
    </row>
    <row r="988" spans="1:9" x14ac:dyDescent="0.2">
      <c r="A988" s="7" t="str">
        <f>IF($B988="","",979)</f>
        <v/>
      </c>
      <c r="B988" s="17" t="str">
        <f>IF(979&gt;NBskParty,"",INDEX(PkBskParty,979))</f>
        <v/>
      </c>
      <c r="C988" s="11" t="str">
        <f t="shared" si="105"/>
        <v/>
      </c>
      <c r="D988" s="9" t="str">
        <f t="shared" si="106"/>
        <v/>
      </c>
      <c r="E988" s="9" t="str">
        <f t="shared" si="107"/>
        <v/>
      </c>
      <c r="F988" s="9" t="str">
        <f t="shared" si="108"/>
        <v/>
      </c>
      <c r="G988" s="9" t="str">
        <f t="shared" si="109"/>
        <v/>
      </c>
      <c r="H988" s="10" t="str">
        <f t="shared" si="110"/>
        <v/>
      </c>
      <c r="I988" s="8" t="str">
        <f t="shared" si="111"/>
        <v/>
      </c>
    </row>
    <row r="989" spans="1:9" x14ac:dyDescent="0.2">
      <c r="A989" s="12" t="str">
        <f>IF($B989="","",980)</f>
        <v/>
      </c>
      <c r="B989" s="18" t="str">
        <f>IF(980&gt;NBskParty,"",INDEX(PkBskParty,980))</f>
        <v/>
      </c>
      <c r="C989" s="16" t="str">
        <f t="shared" si="105"/>
        <v/>
      </c>
      <c r="D989" s="14" t="str">
        <f t="shared" si="106"/>
        <v/>
      </c>
      <c r="E989" s="14" t="str">
        <f t="shared" si="107"/>
        <v/>
      </c>
      <c r="F989" s="14" t="str">
        <f t="shared" si="108"/>
        <v/>
      </c>
      <c r="G989" s="14" t="str">
        <f t="shared" si="109"/>
        <v/>
      </c>
      <c r="H989" s="15" t="str">
        <f t="shared" si="110"/>
        <v/>
      </c>
      <c r="I989" s="13" t="str">
        <f t="shared" si="111"/>
        <v/>
      </c>
    </row>
    <row r="990" spans="1:9" x14ac:dyDescent="0.2">
      <c r="A990" s="7" t="str">
        <f>IF($B990="","",981)</f>
        <v/>
      </c>
      <c r="B990" s="17" t="str">
        <f>IF(981&gt;NBskParty,"",INDEX(PkBskParty,981))</f>
        <v/>
      </c>
      <c r="C990" s="11" t="str">
        <f t="shared" si="105"/>
        <v/>
      </c>
      <c r="D990" s="9" t="str">
        <f t="shared" si="106"/>
        <v/>
      </c>
      <c r="E990" s="9" t="str">
        <f t="shared" si="107"/>
        <v/>
      </c>
      <c r="F990" s="9" t="str">
        <f t="shared" si="108"/>
        <v/>
      </c>
      <c r="G990" s="9" t="str">
        <f t="shared" si="109"/>
        <v/>
      </c>
      <c r="H990" s="10" t="str">
        <f t="shared" si="110"/>
        <v/>
      </c>
      <c r="I990" s="8" t="str">
        <f t="shared" si="111"/>
        <v/>
      </c>
    </row>
    <row r="991" spans="1:9" x14ac:dyDescent="0.2">
      <c r="A991" s="12" t="str">
        <f>IF($B991="","",982)</f>
        <v/>
      </c>
      <c r="B991" s="18" t="str">
        <f>IF(982&gt;NBskParty,"",INDEX(PkBskParty,982))</f>
        <v/>
      </c>
      <c r="C991" s="16" t="str">
        <f t="shared" si="105"/>
        <v/>
      </c>
      <c r="D991" s="14" t="str">
        <f t="shared" si="106"/>
        <v/>
      </c>
      <c r="E991" s="14" t="str">
        <f t="shared" si="107"/>
        <v/>
      </c>
      <c r="F991" s="14" t="str">
        <f t="shared" si="108"/>
        <v/>
      </c>
      <c r="G991" s="14" t="str">
        <f t="shared" si="109"/>
        <v/>
      </c>
      <c r="H991" s="15" t="str">
        <f t="shared" si="110"/>
        <v/>
      </c>
      <c r="I991" s="13" t="str">
        <f t="shared" si="111"/>
        <v/>
      </c>
    </row>
    <row r="992" spans="1:9" x14ac:dyDescent="0.2">
      <c r="A992" s="7" t="str">
        <f>IF($B992="","",983)</f>
        <v/>
      </c>
      <c r="B992" s="17" t="str">
        <f>IF(983&gt;NBskParty,"",INDEX(PkBskParty,983))</f>
        <v/>
      </c>
      <c r="C992" s="11" t="str">
        <f t="shared" si="105"/>
        <v/>
      </c>
      <c r="D992" s="9" t="str">
        <f t="shared" si="106"/>
        <v/>
      </c>
      <c r="E992" s="9" t="str">
        <f t="shared" si="107"/>
        <v/>
      </c>
      <c r="F992" s="9" t="str">
        <f t="shared" si="108"/>
        <v/>
      </c>
      <c r="G992" s="9" t="str">
        <f t="shared" si="109"/>
        <v/>
      </c>
      <c r="H992" s="10" t="str">
        <f t="shared" si="110"/>
        <v/>
      </c>
      <c r="I992" s="8" t="str">
        <f t="shared" si="111"/>
        <v/>
      </c>
    </row>
    <row r="993" spans="1:9" x14ac:dyDescent="0.2">
      <c r="A993" s="12" t="str">
        <f>IF($B993="","",984)</f>
        <v/>
      </c>
      <c r="B993" s="18" t="str">
        <f>IF(984&gt;NBskParty,"",INDEX(PkBskParty,984))</f>
        <v/>
      </c>
      <c r="C993" s="16" t="str">
        <f t="shared" si="105"/>
        <v/>
      </c>
      <c r="D993" s="14" t="str">
        <f t="shared" si="106"/>
        <v/>
      </c>
      <c r="E993" s="14" t="str">
        <f t="shared" si="107"/>
        <v/>
      </c>
      <c r="F993" s="14" t="str">
        <f t="shared" si="108"/>
        <v/>
      </c>
      <c r="G993" s="14" t="str">
        <f t="shared" si="109"/>
        <v/>
      </c>
      <c r="H993" s="15" t="str">
        <f t="shared" si="110"/>
        <v/>
      </c>
      <c r="I993" s="13" t="str">
        <f t="shared" si="111"/>
        <v/>
      </c>
    </row>
    <row r="994" spans="1:9" x14ac:dyDescent="0.2">
      <c r="A994" s="7" t="str">
        <f>IF($B994="","",985)</f>
        <v/>
      </c>
      <c r="B994" s="17" t="str">
        <f>IF(985&gt;NBskParty,"",INDEX(PkBskParty,985))</f>
        <v/>
      </c>
      <c r="C994" s="11" t="str">
        <f t="shared" si="105"/>
        <v/>
      </c>
      <c r="D994" s="9" t="str">
        <f t="shared" si="106"/>
        <v/>
      </c>
      <c r="E994" s="9" t="str">
        <f t="shared" si="107"/>
        <v/>
      </c>
      <c r="F994" s="9" t="str">
        <f t="shared" si="108"/>
        <v/>
      </c>
      <c r="G994" s="9" t="str">
        <f t="shared" si="109"/>
        <v/>
      </c>
      <c r="H994" s="10" t="str">
        <f t="shared" si="110"/>
        <v/>
      </c>
      <c r="I994" s="8" t="str">
        <f t="shared" si="111"/>
        <v/>
      </c>
    </row>
    <row r="995" spans="1:9" x14ac:dyDescent="0.2">
      <c r="A995" s="12" t="str">
        <f>IF($B995="","",986)</f>
        <v/>
      </c>
      <c r="B995" s="18" t="str">
        <f>IF(986&gt;NBskParty,"",INDEX(PkBskParty,986))</f>
        <v/>
      </c>
      <c r="C995" s="16" t="str">
        <f t="shared" si="105"/>
        <v/>
      </c>
      <c r="D995" s="14" t="str">
        <f t="shared" si="106"/>
        <v/>
      </c>
      <c r="E995" s="14" t="str">
        <f t="shared" si="107"/>
        <v/>
      </c>
      <c r="F995" s="14" t="str">
        <f t="shared" si="108"/>
        <v/>
      </c>
      <c r="G995" s="14" t="str">
        <f t="shared" si="109"/>
        <v/>
      </c>
      <c r="H995" s="15" t="str">
        <f t="shared" si="110"/>
        <v/>
      </c>
      <c r="I995" s="13" t="str">
        <f t="shared" si="111"/>
        <v/>
      </c>
    </row>
    <row r="996" spans="1:9" x14ac:dyDescent="0.2">
      <c r="A996" s="7" t="str">
        <f>IF($B996="","",987)</f>
        <v/>
      </c>
      <c r="B996" s="17" t="str">
        <f>IF(987&gt;NBskParty,"",INDEX(PkBskParty,987))</f>
        <v/>
      </c>
      <c r="C996" s="11" t="str">
        <f t="shared" si="105"/>
        <v/>
      </c>
      <c r="D996" s="9" t="str">
        <f t="shared" si="106"/>
        <v/>
      </c>
      <c r="E996" s="9" t="str">
        <f t="shared" si="107"/>
        <v/>
      </c>
      <c r="F996" s="9" t="str">
        <f t="shared" si="108"/>
        <v/>
      </c>
      <c r="G996" s="9" t="str">
        <f t="shared" si="109"/>
        <v/>
      </c>
      <c r="H996" s="10" t="str">
        <f t="shared" si="110"/>
        <v/>
      </c>
      <c r="I996" s="8" t="str">
        <f t="shared" si="111"/>
        <v/>
      </c>
    </row>
    <row r="997" spans="1:9" x14ac:dyDescent="0.2">
      <c r="A997" s="12" t="str">
        <f>IF($B997="","",988)</f>
        <v/>
      </c>
      <c r="B997" s="18" t="str">
        <f>IF(988&gt;NBskParty,"",INDEX(PkBskParty,988))</f>
        <v/>
      </c>
      <c r="C997" s="16" t="str">
        <f t="shared" si="105"/>
        <v/>
      </c>
      <c r="D997" s="14" t="str">
        <f t="shared" si="106"/>
        <v/>
      </c>
      <c r="E997" s="14" t="str">
        <f t="shared" si="107"/>
        <v/>
      </c>
      <c r="F997" s="14" t="str">
        <f t="shared" si="108"/>
        <v/>
      </c>
      <c r="G997" s="14" t="str">
        <f t="shared" si="109"/>
        <v/>
      </c>
      <c r="H997" s="15" t="str">
        <f t="shared" si="110"/>
        <v/>
      </c>
      <c r="I997" s="13" t="str">
        <f t="shared" si="111"/>
        <v/>
      </c>
    </row>
    <row r="998" spans="1:9" x14ac:dyDescent="0.2">
      <c r="A998" s="7" t="str">
        <f>IF($B998="","",989)</f>
        <v/>
      </c>
      <c r="B998" s="17" t="str">
        <f>IF(989&gt;NBskParty,"",INDEX(PkBskParty,989))</f>
        <v/>
      </c>
      <c r="C998" s="11" t="str">
        <f t="shared" si="105"/>
        <v/>
      </c>
      <c r="D998" s="9" t="str">
        <f t="shared" si="106"/>
        <v/>
      </c>
      <c r="E998" s="9" t="str">
        <f t="shared" si="107"/>
        <v/>
      </c>
      <c r="F998" s="9" t="str">
        <f t="shared" si="108"/>
        <v/>
      </c>
      <c r="G998" s="9" t="str">
        <f t="shared" si="109"/>
        <v/>
      </c>
      <c r="H998" s="10" t="str">
        <f t="shared" si="110"/>
        <v/>
      </c>
      <c r="I998" s="8" t="str">
        <f t="shared" si="111"/>
        <v/>
      </c>
    </row>
    <row r="999" spans="1:9" x14ac:dyDescent="0.2">
      <c r="A999" s="12" t="str">
        <f>IF($B999="","",990)</f>
        <v/>
      </c>
      <c r="B999" s="18" t="str">
        <f>IF(990&gt;NBskParty,"",INDEX(PkBskParty,990))</f>
        <v/>
      </c>
      <c r="C999" s="16" t="str">
        <f t="shared" si="105"/>
        <v/>
      </c>
      <c r="D999" s="14" t="str">
        <f t="shared" si="106"/>
        <v/>
      </c>
      <c r="E999" s="14" t="str">
        <f t="shared" si="107"/>
        <v/>
      </c>
      <c r="F999" s="14" t="str">
        <f t="shared" si="108"/>
        <v/>
      </c>
      <c r="G999" s="14" t="str">
        <f t="shared" si="109"/>
        <v/>
      </c>
      <c r="H999" s="15" t="str">
        <f t="shared" si="110"/>
        <v/>
      </c>
      <c r="I999" s="13" t="str">
        <f t="shared" si="111"/>
        <v/>
      </c>
    </row>
    <row r="1000" spans="1:9" x14ac:dyDescent="0.2">
      <c r="A1000" s="7" t="str">
        <f>IF($B1000="","",991)</f>
        <v/>
      </c>
      <c r="B1000" s="17" t="str">
        <f>IF(991&gt;NBskParty,"",INDEX(PkBskParty,991))</f>
        <v/>
      </c>
      <c r="C1000" s="11" t="str">
        <f t="shared" si="105"/>
        <v/>
      </c>
      <c r="D1000" s="9" t="str">
        <f t="shared" si="106"/>
        <v/>
      </c>
      <c r="E1000" s="9" t="str">
        <f t="shared" si="107"/>
        <v/>
      </c>
      <c r="F1000" s="9" t="str">
        <f t="shared" si="108"/>
        <v/>
      </c>
      <c r="G1000" s="9" t="str">
        <f t="shared" si="109"/>
        <v/>
      </c>
      <c r="H1000" s="10" t="str">
        <f t="shared" si="110"/>
        <v/>
      </c>
      <c r="I1000" s="8" t="str">
        <f t="shared" si="111"/>
        <v/>
      </c>
    </row>
    <row r="1001" spans="1:9" x14ac:dyDescent="0.2">
      <c r="A1001" s="12" t="str">
        <f>IF($B1001="","",992)</f>
        <v/>
      </c>
      <c r="B1001" s="18" t="str">
        <f>IF(992&gt;NBskParty,"",INDEX(PkBskParty,992))</f>
        <v/>
      </c>
      <c r="C1001" s="16" t="str">
        <f t="shared" si="105"/>
        <v/>
      </c>
      <c r="D1001" s="14" t="str">
        <f t="shared" si="106"/>
        <v/>
      </c>
      <c r="E1001" s="14" t="str">
        <f t="shared" si="107"/>
        <v/>
      </c>
      <c r="F1001" s="14" t="str">
        <f t="shared" si="108"/>
        <v/>
      </c>
      <c r="G1001" s="14" t="str">
        <f t="shared" si="109"/>
        <v/>
      </c>
      <c r="H1001" s="15" t="str">
        <f t="shared" si="110"/>
        <v/>
      </c>
      <c r="I1001" s="13" t="str">
        <f t="shared" si="111"/>
        <v/>
      </c>
    </row>
    <row r="1002" spans="1:9" x14ac:dyDescent="0.2">
      <c r="A1002" s="7" t="str">
        <f>IF($B1002="","",993)</f>
        <v/>
      </c>
      <c r="B1002" s="17" t="str">
        <f>IF(993&gt;NBskParty,"",INDEX(PkBskParty,993))</f>
        <v/>
      </c>
      <c r="C1002" s="11" t="str">
        <f t="shared" si="105"/>
        <v/>
      </c>
      <c r="D1002" s="9" t="str">
        <f t="shared" si="106"/>
        <v/>
      </c>
      <c r="E1002" s="9" t="str">
        <f t="shared" si="107"/>
        <v/>
      </c>
      <c r="F1002" s="9" t="str">
        <f t="shared" si="108"/>
        <v/>
      </c>
      <c r="G1002" s="9" t="str">
        <f t="shared" si="109"/>
        <v/>
      </c>
      <c r="H1002" s="10" t="str">
        <f t="shared" si="110"/>
        <v/>
      </c>
      <c r="I1002" s="8" t="str">
        <f t="shared" si="111"/>
        <v/>
      </c>
    </row>
    <row r="1003" spans="1:9" x14ac:dyDescent="0.2">
      <c r="A1003" s="12" t="str">
        <f>IF($B1003="","",994)</f>
        <v/>
      </c>
      <c r="B1003" s="18" t="str">
        <f>IF(994&gt;NBskParty,"",INDEX(PkBskParty,994))</f>
        <v/>
      </c>
      <c r="C1003" s="16" t="str">
        <f t="shared" si="105"/>
        <v/>
      </c>
      <c r="D1003" s="14" t="str">
        <f t="shared" si="106"/>
        <v/>
      </c>
      <c r="E1003" s="14" t="str">
        <f t="shared" si="107"/>
        <v/>
      </c>
      <c r="F1003" s="14" t="str">
        <f t="shared" si="108"/>
        <v/>
      </c>
      <c r="G1003" s="14" t="str">
        <f t="shared" si="109"/>
        <v/>
      </c>
      <c r="H1003" s="15" t="str">
        <f t="shared" si="110"/>
        <v/>
      </c>
      <c r="I1003" s="13" t="str">
        <f t="shared" si="111"/>
        <v/>
      </c>
    </row>
    <row r="1004" spans="1:9" x14ac:dyDescent="0.2">
      <c r="A1004" s="7" t="str">
        <f>IF($B1004="","",995)</f>
        <v/>
      </c>
      <c r="B1004" s="17" t="str">
        <f>IF(995&gt;NBskParty,"",INDEX(PkBskParty,995))</f>
        <v/>
      </c>
      <c r="C1004" s="11" t="str">
        <f t="shared" si="105"/>
        <v/>
      </c>
      <c r="D1004" s="9" t="str">
        <f t="shared" si="106"/>
        <v/>
      </c>
      <c r="E1004" s="9" t="str">
        <f t="shared" si="107"/>
        <v/>
      </c>
      <c r="F1004" s="9" t="str">
        <f t="shared" si="108"/>
        <v/>
      </c>
      <c r="G1004" s="9" t="str">
        <f t="shared" si="109"/>
        <v/>
      </c>
      <c r="H1004" s="10" t="str">
        <f t="shared" si="110"/>
        <v/>
      </c>
      <c r="I1004" s="8" t="str">
        <f t="shared" si="111"/>
        <v/>
      </c>
    </row>
    <row r="1005" spans="1:9" x14ac:dyDescent="0.2">
      <c r="A1005" s="12" t="str">
        <f>IF($B1005="","",996)</f>
        <v/>
      </c>
      <c r="B1005" s="18" t="str">
        <f>IF(996&gt;NBskParty,"",INDEX(PkBskParty,996))</f>
        <v/>
      </c>
      <c r="C1005" s="16" t="str">
        <f t="shared" si="105"/>
        <v/>
      </c>
      <c r="D1005" s="14" t="str">
        <f t="shared" si="106"/>
        <v/>
      </c>
      <c r="E1005" s="14" t="str">
        <f t="shared" si="107"/>
        <v/>
      </c>
      <c r="F1005" s="14" t="str">
        <f t="shared" si="108"/>
        <v/>
      </c>
      <c r="G1005" s="14" t="str">
        <f t="shared" si="109"/>
        <v/>
      </c>
      <c r="H1005" s="15" t="str">
        <f t="shared" si="110"/>
        <v/>
      </c>
      <c r="I1005" s="13" t="str">
        <f t="shared" si="111"/>
        <v/>
      </c>
    </row>
    <row r="1006" spans="1:9" x14ac:dyDescent="0.2">
      <c r="A1006" s="7" t="str">
        <f>IF($B1006="","",997)</f>
        <v/>
      </c>
      <c r="B1006" s="17" t="str">
        <f>IF(997&gt;NBskParty,"",INDEX(PkBskParty,997))</f>
        <v/>
      </c>
      <c r="C1006" s="11" t="str">
        <f t="shared" si="105"/>
        <v/>
      </c>
      <c r="D1006" s="9" t="str">
        <f t="shared" si="106"/>
        <v/>
      </c>
      <c r="E1006" s="9" t="str">
        <f t="shared" si="107"/>
        <v/>
      </c>
      <c r="F1006" s="9" t="str">
        <f t="shared" si="108"/>
        <v/>
      </c>
      <c r="G1006" s="9" t="str">
        <f t="shared" si="109"/>
        <v/>
      </c>
      <c r="H1006" s="10" t="str">
        <f t="shared" si="110"/>
        <v/>
      </c>
      <c r="I1006" s="8" t="str">
        <f t="shared" si="111"/>
        <v/>
      </c>
    </row>
    <row r="1007" spans="1:9" x14ac:dyDescent="0.2">
      <c r="A1007" s="12" t="str">
        <f>IF($B1007="","",998)</f>
        <v/>
      </c>
      <c r="B1007" s="18" t="str">
        <f>IF(998&gt;NBskParty,"",INDEX(PkBskParty,998))</f>
        <v/>
      </c>
      <c r="C1007" s="16" t="str">
        <f t="shared" si="105"/>
        <v/>
      </c>
      <c r="D1007" s="14" t="str">
        <f t="shared" si="106"/>
        <v/>
      </c>
      <c r="E1007" s="14" t="str">
        <f t="shared" si="107"/>
        <v/>
      </c>
      <c r="F1007" s="14" t="str">
        <f t="shared" si="108"/>
        <v/>
      </c>
      <c r="G1007" s="14" t="str">
        <f t="shared" si="109"/>
        <v/>
      </c>
      <c r="H1007" s="15" t="str">
        <f t="shared" si="110"/>
        <v/>
      </c>
      <c r="I1007" s="13" t="str">
        <f t="shared" si="111"/>
        <v/>
      </c>
    </row>
    <row r="1008" spans="1:9" x14ac:dyDescent="0.2">
      <c r="A1008" s="7" t="str">
        <f>IF($B1008="","",999)</f>
        <v/>
      </c>
      <c r="B1008" s="17" t="str">
        <f>IF(999&gt;NBskParty,"",INDEX(PkBskParty,999))</f>
        <v/>
      </c>
      <c r="C1008" s="11" t="str">
        <f t="shared" si="105"/>
        <v/>
      </c>
      <c r="D1008" s="9" t="str">
        <f t="shared" si="106"/>
        <v/>
      </c>
      <c r="E1008" s="9" t="str">
        <f t="shared" si="107"/>
        <v/>
      </c>
      <c r="F1008" s="9" t="str">
        <f t="shared" si="108"/>
        <v/>
      </c>
      <c r="G1008" s="9" t="str">
        <f t="shared" si="109"/>
        <v/>
      </c>
      <c r="H1008" s="10" t="str">
        <f t="shared" si="110"/>
        <v/>
      </c>
      <c r="I1008" s="8" t="str">
        <f t="shared" si="111"/>
        <v/>
      </c>
    </row>
    <row r="1009" spans="1:9" x14ac:dyDescent="0.2">
      <c r="A1009" s="12" t="str">
        <f>IF($B1009="","",1000)</f>
        <v/>
      </c>
      <c r="B1009" s="18" t="str">
        <f>IF(1000&gt;NBskParty,"",INDEX(PkBskParty,1000))</f>
        <v/>
      </c>
      <c r="C1009" s="16" t="str">
        <f t="shared" si="105"/>
        <v/>
      </c>
      <c r="D1009" s="14" t="str">
        <f t="shared" si="106"/>
        <v/>
      </c>
      <c r="E1009" s="14" t="str">
        <f t="shared" si="107"/>
        <v/>
      </c>
      <c r="F1009" s="14" t="str">
        <f t="shared" si="108"/>
        <v/>
      </c>
      <c r="G1009" s="14" t="str">
        <f t="shared" si="109"/>
        <v/>
      </c>
      <c r="H1009" s="15" t="str">
        <f t="shared" si="110"/>
        <v/>
      </c>
      <c r="I1009" s="13" t="str">
        <f t="shared" si="111"/>
        <v/>
      </c>
    </row>
    <row r="1010" spans="1:9" x14ac:dyDescent="0.2">
      <c r="A1010" s="40" t="s">
        <v>66</v>
      </c>
      <c r="B1010" s="40"/>
      <c r="C1010" s="40"/>
      <c r="D1010" s="40"/>
      <c r="E1010" s="19" t="e">
        <f>SUM(E10:E1009)</f>
        <v>#REF!</v>
      </c>
      <c r="F1010" s="19">
        <f>SUM(F10:F1009)</f>
        <v>179500000</v>
      </c>
      <c r="G1010" s="19">
        <f>SUM(G10:G1009)</f>
        <v>0</v>
      </c>
      <c r="H1010" s="19" t="e">
        <f>SUM(H10:H1009)</f>
        <v>#REF!</v>
      </c>
    </row>
    <row r="1012" spans="1:9" x14ac:dyDescent="0.2">
      <c r="A1012" s="41" t="s">
        <v>67</v>
      </c>
      <c r="B1012" s="41"/>
      <c r="C1012" s="41"/>
      <c r="D1012" s="41"/>
      <c r="E1012" s="41"/>
      <c r="F1012" s="41"/>
      <c r="G1012" s="41"/>
      <c r="H1012" s="41"/>
      <c r="I1012" s="41"/>
    </row>
    <row r="1013" spans="1:9" ht="30" customHeight="1" x14ac:dyDescent="0.2">
      <c r="A1013" s="1" t="s">
        <v>2</v>
      </c>
      <c r="B1013" s="1" t="s">
        <v>8</v>
      </c>
      <c r="C1013" s="1" t="s">
        <v>9</v>
      </c>
      <c r="D1013" s="1" t="s">
        <v>68</v>
      </c>
      <c r="E1013" s="1" t="s">
        <v>69</v>
      </c>
    </row>
    <row r="1014" spans="1:9" ht="12.95" customHeight="1" x14ac:dyDescent="0.2">
      <c r="A1014" s="2" t="s">
        <v>14</v>
      </c>
      <c r="B1014" s="2" t="s">
        <v>20</v>
      </c>
      <c r="C1014" s="2" t="s">
        <v>21</v>
      </c>
      <c r="D1014" s="2" t="s">
        <v>23</v>
      </c>
      <c r="E1014" s="2" t="s">
        <v>70</v>
      </c>
    </row>
    <row r="1015" spans="1:9" x14ac:dyDescent="0.2">
      <c r="A1015" s="7">
        <v>1</v>
      </c>
      <c r="B1015" s="11" t="str">
        <f>IF(Sync!$H$6="","",Sync!$H$6)</f>
        <v>6ک مشکی</v>
      </c>
      <c r="C1015" s="9">
        <f t="shared" ref="C1015:C1044" si="112">IF($B1015="","",SUMIF(CalcTypeA,$B1015,CalcQtyA))</f>
        <v>4135</v>
      </c>
      <c r="D1015" s="9">
        <f t="shared" ref="D1015:D1044" si="113">IF($B1015="","",SUMIF(CalcTypeA,$B1015,CalcAmtA))</f>
        <v>103375000</v>
      </c>
      <c r="E1015" s="20">
        <f t="shared" ref="E1015:E1044" si="114">IF(OR($B1015="",$D$1045=0),"",$D1015/$D$1045)</f>
        <v>0.12959164997279674</v>
      </c>
    </row>
    <row r="1016" spans="1:9" x14ac:dyDescent="0.2">
      <c r="A1016" s="12">
        <v>2</v>
      </c>
      <c r="B1016" s="16" t="str">
        <f>IF(Sync!$H$7="","",Sync!$H$7)</f>
        <v>درب6ک</v>
      </c>
      <c r="C1016" s="14">
        <f t="shared" si="112"/>
        <v>8100</v>
      </c>
      <c r="D1016" s="14">
        <f t="shared" si="113"/>
        <v>40500000</v>
      </c>
      <c r="E1016" s="21">
        <f t="shared" si="114"/>
        <v>5.0771093822474168E-2</v>
      </c>
    </row>
    <row r="1017" spans="1:9" x14ac:dyDescent="0.2">
      <c r="A1017" s="7">
        <v>3</v>
      </c>
      <c r="B1017" s="11" t="str">
        <f>IF(Sync!$H$8="","",Sync!$H$8)</f>
        <v>9ک مشکی</v>
      </c>
      <c r="C1017" s="9">
        <f t="shared" si="112"/>
        <v>9221</v>
      </c>
      <c r="D1017" s="9">
        <f t="shared" si="113"/>
        <v>420019000</v>
      </c>
      <c r="E1017" s="20">
        <f t="shared" si="114"/>
        <v>0.52653886558572294</v>
      </c>
    </row>
    <row r="1018" spans="1:9" x14ac:dyDescent="0.2">
      <c r="A1018" s="12">
        <v>4</v>
      </c>
      <c r="B1018" s="16" t="str">
        <f>IF(Sync!$H$9="","",Sync!$H$9)</f>
        <v>ریلی کوچک آبی</v>
      </c>
      <c r="C1018" s="14">
        <f t="shared" si="112"/>
        <v>5800</v>
      </c>
      <c r="D1018" s="14">
        <f t="shared" si="113"/>
        <v>92260000</v>
      </c>
      <c r="E1018" s="21">
        <f t="shared" si="114"/>
        <v>0.11565780533485104</v>
      </c>
    </row>
    <row r="1019" spans="1:9" x14ac:dyDescent="0.2">
      <c r="A1019" s="7">
        <v>5</v>
      </c>
      <c r="B1019" s="11" t="str">
        <f>IF(Sync!$H$10="","",Sync!$H$10)</f>
        <v>تک رج آبی بزرگ</v>
      </c>
      <c r="C1019" s="9">
        <f t="shared" si="112"/>
        <v>1760</v>
      </c>
      <c r="D1019" s="9">
        <f t="shared" si="113"/>
        <v>35200000</v>
      </c>
      <c r="E1019" s="20">
        <f t="shared" si="114"/>
        <v>4.412697537163187E-2</v>
      </c>
    </row>
    <row r="1020" spans="1:9" x14ac:dyDescent="0.2">
      <c r="A1020" s="12">
        <v>6</v>
      </c>
      <c r="B1020" s="16" t="str">
        <f>IF(Sync!$H$11="","",Sync!$H$11)</f>
        <v>آبی25*20</v>
      </c>
      <c r="C1020" s="14">
        <f t="shared" si="112"/>
        <v>4544</v>
      </c>
      <c r="D1020" s="14">
        <f t="shared" si="113"/>
        <v>68160000</v>
      </c>
      <c r="E1020" s="21">
        <f t="shared" si="114"/>
        <v>8.5445870492341716E-2</v>
      </c>
    </row>
    <row r="1021" spans="1:9" x14ac:dyDescent="0.2">
      <c r="A1021" s="7">
        <v>7</v>
      </c>
      <c r="B1021" s="11" t="str">
        <f>IF(Sync!$H$12="","",Sync!$H$12)</f>
        <v>8ک مشکی</v>
      </c>
      <c r="C1021" s="9">
        <f t="shared" si="112"/>
        <v>1032</v>
      </c>
      <c r="D1021" s="9">
        <f t="shared" si="113"/>
        <v>38184000</v>
      </c>
      <c r="E1021" s="20">
        <f t="shared" si="114"/>
        <v>4.786773942018157E-2</v>
      </c>
    </row>
    <row r="1022" spans="1:9" x14ac:dyDescent="0.2">
      <c r="A1022" s="12">
        <v>8</v>
      </c>
      <c r="B1022" s="16" t="str">
        <f>IF(Sync!$H$13="","",Sync!$H$13)</f>
        <v/>
      </c>
      <c r="C1022" s="14" t="str">
        <f t="shared" si="112"/>
        <v/>
      </c>
      <c r="D1022" s="14" t="str">
        <f t="shared" si="113"/>
        <v/>
      </c>
      <c r="E1022" s="21" t="str">
        <f t="shared" si="114"/>
        <v/>
      </c>
    </row>
    <row r="1023" spans="1:9" x14ac:dyDescent="0.2">
      <c r="A1023" s="7">
        <v>9</v>
      </c>
      <c r="B1023" s="11" t="str">
        <f>IF(Sync!$H$14="","",Sync!$H$14)</f>
        <v/>
      </c>
      <c r="C1023" s="9" t="str">
        <f t="shared" si="112"/>
        <v/>
      </c>
      <c r="D1023" s="9" t="str">
        <f t="shared" si="113"/>
        <v/>
      </c>
      <c r="E1023" s="20" t="str">
        <f t="shared" si="114"/>
        <v/>
      </c>
    </row>
    <row r="1024" spans="1:9" x14ac:dyDescent="0.2">
      <c r="A1024" s="12">
        <v>10</v>
      </c>
      <c r="B1024" s="16" t="str">
        <f>IF(Sync!$H$15="","",Sync!$H$15)</f>
        <v/>
      </c>
      <c r="C1024" s="14" t="str">
        <f t="shared" si="112"/>
        <v/>
      </c>
      <c r="D1024" s="14" t="str">
        <f t="shared" si="113"/>
        <v/>
      </c>
      <c r="E1024" s="21" t="str">
        <f t="shared" si="114"/>
        <v/>
      </c>
    </row>
    <row r="1025" spans="1:5" x14ac:dyDescent="0.2">
      <c r="A1025" s="7">
        <v>11</v>
      </c>
      <c r="B1025" s="11" t="str">
        <f>IF(Sync!$H$16="","",Sync!$H$16)</f>
        <v/>
      </c>
      <c r="C1025" s="9" t="str">
        <f t="shared" si="112"/>
        <v/>
      </c>
      <c r="D1025" s="9" t="str">
        <f t="shared" si="113"/>
        <v/>
      </c>
      <c r="E1025" s="20" t="str">
        <f t="shared" si="114"/>
        <v/>
      </c>
    </row>
    <row r="1026" spans="1:5" x14ac:dyDescent="0.2">
      <c r="A1026" s="12">
        <v>12</v>
      </c>
      <c r="B1026" s="16" t="str">
        <f>IF(Sync!$H$17="","",Sync!$H$17)</f>
        <v/>
      </c>
      <c r="C1026" s="14" t="str">
        <f t="shared" si="112"/>
        <v/>
      </c>
      <c r="D1026" s="14" t="str">
        <f t="shared" si="113"/>
        <v/>
      </c>
      <c r="E1026" s="21" t="str">
        <f t="shared" si="114"/>
        <v/>
      </c>
    </row>
    <row r="1027" spans="1:5" x14ac:dyDescent="0.2">
      <c r="A1027" s="7">
        <v>13</v>
      </c>
      <c r="B1027" s="11" t="str">
        <f>IF(Sync!$H$18="","",Sync!$H$18)</f>
        <v/>
      </c>
      <c r="C1027" s="9" t="str">
        <f t="shared" si="112"/>
        <v/>
      </c>
      <c r="D1027" s="9" t="str">
        <f t="shared" si="113"/>
        <v/>
      </c>
      <c r="E1027" s="20" t="str">
        <f t="shared" si="114"/>
        <v/>
      </c>
    </row>
    <row r="1028" spans="1:5" x14ac:dyDescent="0.2">
      <c r="A1028" s="12">
        <v>14</v>
      </c>
      <c r="B1028" s="16" t="str">
        <f>IF(Sync!$H$19="","",Sync!$H$19)</f>
        <v/>
      </c>
      <c r="C1028" s="14" t="str">
        <f t="shared" si="112"/>
        <v/>
      </c>
      <c r="D1028" s="14" t="str">
        <f t="shared" si="113"/>
        <v/>
      </c>
      <c r="E1028" s="21" t="str">
        <f t="shared" si="114"/>
        <v/>
      </c>
    </row>
    <row r="1029" spans="1:5" x14ac:dyDescent="0.2">
      <c r="A1029" s="7">
        <v>15</v>
      </c>
      <c r="B1029" s="11" t="str">
        <f>IF(Sync!$H$20="","",Sync!$H$20)</f>
        <v/>
      </c>
      <c r="C1029" s="9" t="str">
        <f t="shared" si="112"/>
        <v/>
      </c>
      <c r="D1029" s="9" t="str">
        <f t="shared" si="113"/>
        <v/>
      </c>
      <c r="E1029" s="20" t="str">
        <f t="shared" si="114"/>
        <v/>
      </c>
    </row>
    <row r="1030" spans="1:5" x14ac:dyDescent="0.2">
      <c r="A1030" s="12">
        <v>16</v>
      </c>
      <c r="B1030" s="16" t="str">
        <f>IF(Sync!$H$21="","",Sync!$H$21)</f>
        <v/>
      </c>
      <c r="C1030" s="14" t="str">
        <f t="shared" si="112"/>
        <v/>
      </c>
      <c r="D1030" s="14" t="str">
        <f t="shared" si="113"/>
        <v/>
      </c>
      <c r="E1030" s="21" t="str">
        <f t="shared" si="114"/>
        <v/>
      </c>
    </row>
    <row r="1031" spans="1:5" x14ac:dyDescent="0.2">
      <c r="A1031" s="7">
        <v>17</v>
      </c>
      <c r="B1031" s="11" t="str">
        <f>IF(Sync!$H$22="","",Sync!$H$22)</f>
        <v/>
      </c>
      <c r="C1031" s="9" t="str">
        <f t="shared" si="112"/>
        <v/>
      </c>
      <c r="D1031" s="9" t="str">
        <f t="shared" si="113"/>
        <v/>
      </c>
      <c r="E1031" s="20" t="str">
        <f t="shared" si="114"/>
        <v/>
      </c>
    </row>
    <row r="1032" spans="1:5" x14ac:dyDescent="0.2">
      <c r="A1032" s="12">
        <v>18</v>
      </c>
      <c r="B1032" s="16" t="str">
        <f>IF(Sync!$H$23="","",Sync!$H$23)</f>
        <v/>
      </c>
      <c r="C1032" s="14" t="str">
        <f t="shared" si="112"/>
        <v/>
      </c>
      <c r="D1032" s="14" t="str">
        <f t="shared" si="113"/>
        <v/>
      </c>
      <c r="E1032" s="21" t="str">
        <f t="shared" si="114"/>
        <v/>
      </c>
    </row>
    <row r="1033" spans="1:5" x14ac:dyDescent="0.2">
      <c r="A1033" s="7">
        <v>19</v>
      </c>
      <c r="B1033" s="11" t="str">
        <f>IF(Sync!$H$24="","",Sync!$H$24)</f>
        <v/>
      </c>
      <c r="C1033" s="9" t="str">
        <f t="shared" si="112"/>
        <v/>
      </c>
      <c r="D1033" s="9" t="str">
        <f t="shared" si="113"/>
        <v/>
      </c>
      <c r="E1033" s="20" t="str">
        <f t="shared" si="114"/>
        <v/>
      </c>
    </row>
    <row r="1034" spans="1:5" x14ac:dyDescent="0.2">
      <c r="A1034" s="12">
        <v>20</v>
      </c>
      <c r="B1034" s="16" t="str">
        <f>IF(Sync!$H$25="","",Sync!$H$25)</f>
        <v/>
      </c>
      <c r="C1034" s="14" t="str">
        <f t="shared" si="112"/>
        <v/>
      </c>
      <c r="D1034" s="14" t="str">
        <f t="shared" si="113"/>
        <v/>
      </c>
      <c r="E1034" s="21" t="str">
        <f t="shared" si="114"/>
        <v/>
      </c>
    </row>
    <row r="1035" spans="1:5" x14ac:dyDescent="0.2">
      <c r="A1035" s="7">
        <v>21</v>
      </c>
      <c r="B1035" s="11" t="str">
        <f>IF(Sync!$H$26="","",Sync!$H$26)</f>
        <v/>
      </c>
      <c r="C1035" s="9" t="str">
        <f t="shared" si="112"/>
        <v/>
      </c>
      <c r="D1035" s="9" t="str">
        <f t="shared" si="113"/>
        <v/>
      </c>
      <c r="E1035" s="20" t="str">
        <f t="shared" si="114"/>
        <v/>
      </c>
    </row>
    <row r="1036" spans="1:5" x14ac:dyDescent="0.2">
      <c r="A1036" s="12">
        <v>22</v>
      </c>
      <c r="B1036" s="16" t="str">
        <f>IF(Sync!$H$27="","",Sync!$H$27)</f>
        <v/>
      </c>
      <c r="C1036" s="14" t="str">
        <f t="shared" si="112"/>
        <v/>
      </c>
      <c r="D1036" s="14" t="str">
        <f t="shared" si="113"/>
        <v/>
      </c>
      <c r="E1036" s="21" t="str">
        <f t="shared" si="114"/>
        <v/>
      </c>
    </row>
    <row r="1037" spans="1:5" x14ac:dyDescent="0.2">
      <c r="A1037" s="7">
        <v>23</v>
      </c>
      <c r="B1037" s="11" t="str">
        <f>IF(Sync!$H$28="","",Sync!$H$28)</f>
        <v/>
      </c>
      <c r="C1037" s="9" t="str">
        <f t="shared" si="112"/>
        <v/>
      </c>
      <c r="D1037" s="9" t="str">
        <f t="shared" si="113"/>
        <v/>
      </c>
      <c r="E1037" s="20" t="str">
        <f t="shared" si="114"/>
        <v/>
      </c>
    </row>
    <row r="1038" spans="1:5" x14ac:dyDescent="0.2">
      <c r="A1038" s="12">
        <v>24</v>
      </c>
      <c r="B1038" s="16" t="str">
        <f>IF(Sync!$H$29="","",Sync!$H$29)</f>
        <v/>
      </c>
      <c r="C1038" s="14" t="str">
        <f t="shared" si="112"/>
        <v/>
      </c>
      <c r="D1038" s="14" t="str">
        <f t="shared" si="113"/>
        <v/>
      </c>
      <c r="E1038" s="21" t="str">
        <f t="shared" si="114"/>
        <v/>
      </c>
    </row>
    <row r="1039" spans="1:5" x14ac:dyDescent="0.2">
      <c r="A1039" s="7">
        <v>25</v>
      </c>
      <c r="B1039" s="11" t="str">
        <f>IF(Sync!$H$30="","",Sync!$H$30)</f>
        <v/>
      </c>
      <c r="C1039" s="9" t="str">
        <f t="shared" si="112"/>
        <v/>
      </c>
      <c r="D1039" s="9" t="str">
        <f t="shared" si="113"/>
        <v/>
      </c>
      <c r="E1039" s="20" t="str">
        <f t="shared" si="114"/>
        <v/>
      </c>
    </row>
    <row r="1040" spans="1:5" x14ac:dyDescent="0.2">
      <c r="A1040" s="12">
        <v>26</v>
      </c>
      <c r="B1040" s="16" t="str">
        <f>IF(Sync!$H$31="","",Sync!$H$31)</f>
        <v/>
      </c>
      <c r="C1040" s="14" t="str">
        <f t="shared" si="112"/>
        <v/>
      </c>
      <c r="D1040" s="14" t="str">
        <f t="shared" si="113"/>
        <v/>
      </c>
      <c r="E1040" s="21" t="str">
        <f t="shared" si="114"/>
        <v/>
      </c>
    </row>
    <row r="1041" spans="1:5" x14ac:dyDescent="0.2">
      <c r="A1041" s="7">
        <v>27</v>
      </c>
      <c r="B1041" s="11" t="str">
        <f>IF(Sync!$H$32="","",Sync!$H$32)</f>
        <v/>
      </c>
      <c r="C1041" s="9" t="str">
        <f t="shared" si="112"/>
        <v/>
      </c>
      <c r="D1041" s="9" t="str">
        <f t="shared" si="113"/>
        <v/>
      </c>
      <c r="E1041" s="20" t="str">
        <f t="shared" si="114"/>
        <v/>
      </c>
    </row>
    <row r="1042" spans="1:5" x14ac:dyDescent="0.2">
      <c r="A1042" s="12">
        <v>28</v>
      </c>
      <c r="B1042" s="16" t="str">
        <f>IF(Sync!$H$33="","",Sync!$H$33)</f>
        <v/>
      </c>
      <c r="C1042" s="14" t="str">
        <f t="shared" si="112"/>
        <v/>
      </c>
      <c r="D1042" s="14" t="str">
        <f t="shared" si="113"/>
        <v/>
      </c>
      <c r="E1042" s="21" t="str">
        <f t="shared" si="114"/>
        <v/>
      </c>
    </row>
    <row r="1043" spans="1:5" x14ac:dyDescent="0.2">
      <c r="A1043" s="7">
        <v>29</v>
      </c>
      <c r="B1043" s="11" t="str">
        <f>IF(Sync!$H$34="","",Sync!$H$34)</f>
        <v/>
      </c>
      <c r="C1043" s="9" t="str">
        <f t="shared" si="112"/>
        <v/>
      </c>
      <c r="D1043" s="9" t="str">
        <f t="shared" si="113"/>
        <v/>
      </c>
      <c r="E1043" s="20" t="str">
        <f t="shared" si="114"/>
        <v/>
      </c>
    </row>
    <row r="1044" spans="1:5" x14ac:dyDescent="0.2">
      <c r="A1044" s="12">
        <v>30</v>
      </c>
      <c r="B1044" s="16" t="str">
        <f>IF(Sync!$H$35="","",Sync!$H$35)</f>
        <v/>
      </c>
      <c r="C1044" s="14" t="str">
        <f t="shared" si="112"/>
        <v/>
      </c>
      <c r="D1044" s="14" t="str">
        <f t="shared" si="113"/>
        <v/>
      </c>
      <c r="E1044" s="21" t="str">
        <f t="shared" si="114"/>
        <v/>
      </c>
    </row>
    <row r="1045" spans="1:5" x14ac:dyDescent="0.2">
      <c r="A1045" s="40" t="s">
        <v>66</v>
      </c>
      <c r="B1045" s="40"/>
      <c r="C1045" s="40"/>
      <c r="D1045" s="19">
        <f>SUM(D1015:D1044)</f>
        <v>797698000</v>
      </c>
      <c r="E1045" s="22">
        <f>IF($D$1045=0,"",1)</f>
        <v>1</v>
      </c>
    </row>
  </sheetData>
  <mergeCells count="16">
    <mergeCell ref="A1:I1"/>
    <mergeCell ref="E5:F5"/>
    <mergeCell ref="G5:H5"/>
    <mergeCell ref="A1045:C1045"/>
    <mergeCell ref="A8:I8"/>
    <mergeCell ref="A3:I3"/>
    <mergeCell ref="G6:H6"/>
    <mergeCell ref="A4:I4"/>
    <mergeCell ref="A6:B6"/>
    <mergeCell ref="A1010:D1010"/>
    <mergeCell ref="A1012:I1012"/>
    <mergeCell ref="E6:F6"/>
    <mergeCell ref="A2:I2"/>
    <mergeCell ref="C6:D6"/>
    <mergeCell ref="C5:D5"/>
    <mergeCell ref="A5:B5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خلاصه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R2005"/>
  <sheetViews>
    <sheetView showGridLines="0" workbookViewId="0">
      <pane ySplit="5" topLeftCell="A6" activePane="bottomLeft" state="frozen"/>
      <selection pane="bottomLeft" sqref="A1:R1"/>
    </sheetView>
  </sheetViews>
  <sheetFormatPr defaultRowHeight="14.25" x14ac:dyDescent="0.2"/>
  <cols>
    <col min="1" max="1" width="9" customWidth="1"/>
    <col min="2" max="2" width="13" customWidth="1"/>
    <col min="3" max="3" width="18" customWidth="1"/>
    <col min="4" max="4" width="26" customWidth="1"/>
    <col min="5" max="6" width="13" customWidth="1"/>
    <col min="8" max="8" width="18" customWidth="1"/>
    <col min="10" max="10" width="12" customWidth="1"/>
    <col min="11" max="11" width="8" customWidth="1"/>
    <col min="12" max="12" width="26" customWidth="1"/>
    <col min="13" max="13" width="10" customWidth="1"/>
    <col min="14" max="15" width="14" customWidth="1"/>
    <col min="16" max="16" width="30" customWidth="1"/>
  </cols>
  <sheetData>
    <row r="1" spans="1:18" ht="26.1" customHeight="1" x14ac:dyDescent="0.2">
      <c r="A1" s="28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4.1" customHeight="1" x14ac:dyDescent="0.2">
      <c r="A2" s="27" t="s">
        <v>72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x14ac:dyDescent="0.2">
      <c r="A3" s="42" t="s">
        <v>73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5" spans="1:18" ht="21" x14ac:dyDescent="0.2">
      <c r="A5" s="23" t="s">
        <v>74</v>
      </c>
      <c r="B5" s="23" t="s">
        <v>75</v>
      </c>
      <c r="C5" s="23" t="s">
        <v>76</v>
      </c>
      <c r="D5" s="23" t="s">
        <v>77</v>
      </c>
      <c r="E5" s="23" t="s">
        <v>78</v>
      </c>
      <c r="F5" s="23" t="s">
        <v>79</v>
      </c>
      <c r="H5" s="23" t="s">
        <v>80</v>
      </c>
      <c r="J5" s="23" t="s">
        <v>81</v>
      </c>
      <c r="K5" s="23" t="s">
        <v>82</v>
      </c>
      <c r="L5" s="23" t="s">
        <v>83</v>
      </c>
      <c r="M5" s="23" t="s">
        <v>84</v>
      </c>
      <c r="N5" s="23" t="s">
        <v>85</v>
      </c>
      <c r="O5" s="23" t="s">
        <v>86</v>
      </c>
      <c r="P5" s="23" t="s">
        <v>87</v>
      </c>
    </row>
    <row r="6" spans="1:18" x14ac:dyDescent="0.2">
      <c r="A6" t="str">
        <f>IF([1]Accounts!$D$7="","",[1]Accounts!$A$7)</f>
        <v>C001</v>
      </c>
      <c r="B6" t="str">
        <f>IF([1]Accounts!$D$7="","",[1]Accounts!$B$7)</f>
        <v>فروشنده</v>
      </c>
      <c r="C6" t="str">
        <f>IF([1]Accounts!$D$7="","",[1]Accounts!$C$7)</f>
        <v>عمده</v>
      </c>
      <c r="D6" t="str">
        <f>IF([1]Accounts!$D$7="","",[1]Accounts!$D$7)</f>
        <v>زینب زاهدی</v>
      </c>
      <c r="E6" t="str">
        <f>IF([1]Accounts!$D$7="","",[1]Accounts!$J$7)</f>
        <v>کلیدی</v>
      </c>
      <c r="F6" t="str">
        <f>IF([1]Accounts!$D$7="","",[1]Accounts!$K$7)</f>
        <v>پایش کامل</v>
      </c>
      <c r="H6" t="str">
        <f>IF([1]Baskets!$B$7="","",[1]Baskets!$B$7)</f>
        <v>6ک مشکی</v>
      </c>
      <c r="J6" t="str">
        <f>IF([2]Entry!$C$9="","",[2]Entry!$C$9)</f>
        <v>1405/07/01</v>
      </c>
      <c r="K6" t="str">
        <f>IF([2]Entry!$D$9="","",[2]Entry!$D$9)</f>
        <v>08:30</v>
      </c>
      <c r="L6" t="str">
        <f>IF([2]Entry!$E$9="","",[2]Entry!$E$9)</f>
        <v>BANK01 – ملت — جاری شرکت</v>
      </c>
      <c r="M6" t="str">
        <f>IF([2]Entry!$G$9="","",[2]Entry!$G$9)</f>
        <v>C001</v>
      </c>
      <c r="N6">
        <f>IF([2]Entry!$M$9="","",[2]Entry!$M$9)</f>
        <v>250000000</v>
      </c>
      <c r="O6" t="str">
        <f>IF([2]Entry!$N$9="","",[2]Entry!$N$9)</f>
        <v/>
      </c>
      <c r="P6" t="str">
        <f>IF([2]Entry!$R$9="","",[2]Entry!$R$9)</f>
        <v>واریز بابت خرید مرکبات (ردیف نمونه)</v>
      </c>
    </row>
    <row r="7" spans="1:18" x14ac:dyDescent="0.2">
      <c r="A7" t="str">
        <f>IF([1]Accounts!$D$8="","",[1]Accounts!$A$8)</f>
        <v>C002</v>
      </c>
      <c r="B7" t="str">
        <f>IF([1]Accounts!$D$8="","",[1]Accounts!$B$8)</f>
        <v>فروشنده</v>
      </c>
      <c r="C7" t="str">
        <f>IF([1]Accounts!$D$8="","",[1]Accounts!$C$8)</f>
        <v>صادراتی</v>
      </c>
      <c r="D7" t="str">
        <f>IF([1]Accounts!$D$8="","",[1]Accounts!$D$8)</f>
        <v>سید عباس موسوی</v>
      </c>
      <c r="E7" t="str">
        <f>IF([1]Accounts!$D$8="","",[1]Accounts!$J$8)</f>
        <v>کلیدی</v>
      </c>
      <c r="F7" t="str">
        <f>IF([1]Accounts!$D$8="","",[1]Accounts!$K$8)</f>
        <v>پایش کامل</v>
      </c>
      <c r="H7" t="str">
        <f>IF([1]Baskets!$B$8="","",[1]Baskets!$B$8)</f>
        <v>درب6ک</v>
      </c>
      <c r="J7" t="str">
        <f>IF([2]Entry!$C$10="","",[2]Entry!$C$10)</f>
        <v>1405/07/01</v>
      </c>
      <c r="K7" t="str">
        <f>IF([2]Entry!$D$10="","",[2]Entry!$D$10)</f>
        <v>10:15</v>
      </c>
      <c r="L7" t="str">
        <f>IF([2]Entry!$E$10="","",[2]Entry!$E$10)</f>
        <v>BANK01 – ملت — جاری شرکت</v>
      </c>
      <c r="M7" t="str">
        <f>IF([2]Entry!$G$10="","",[2]Entry!$G$10)</f>
        <v>X001</v>
      </c>
      <c r="N7" t="str">
        <f>IF([2]Entry!$M$10="","",[2]Entry!$M$10)</f>
        <v/>
      </c>
      <c r="O7">
        <f>IF([2]Entry!$N$10="","",[2]Entry!$N$10)</f>
        <v>1200000</v>
      </c>
      <c r="P7" t="str">
        <f>IF([2]Entry!$R$10="","",[2]Entry!$R$10)</f>
        <v>کارمزد بانکی (نمونه)</v>
      </c>
    </row>
    <row r="8" spans="1:18" x14ac:dyDescent="0.2">
      <c r="A8" t="str">
        <f>IF([1]Accounts!$D$9="","",[1]Accounts!$A$9)</f>
        <v>C003</v>
      </c>
      <c r="B8" t="str">
        <f>IF([1]Accounts!$D$9="","",[1]Accounts!$B$9)</f>
        <v>فروشنده</v>
      </c>
      <c r="C8" t="str">
        <f>IF([1]Accounts!$D$9="","",[1]Accounts!$C$9)</f>
        <v>خرده‌فروش</v>
      </c>
      <c r="D8" t="str">
        <f>IF([1]Accounts!$D$9="","",[1]Accounts!$D$9)</f>
        <v>حاج احمد عیسی پور</v>
      </c>
      <c r="E8" t="str">
        <f>IF([1]Accounts!$D$9="","",[1]Accounts!$J$9)</f>
        <v>عادی</v>
      </c>
      <c r="F8" t="str">
        <f>IF([1]Accounts!$D$9="","",[1]Accounts!$K$9)</f>
        <v>نمونه‌ای</v>
      </c>
      <c r="H8" t="str">
        <f>IF([1]Baskets!$B$9="","",[1]Baskets!$B$9)</f>
        <v>9ک مشکی</v>
      </c>
      <c r="J8" t="str">
        <f>IF([2]Entry!$C$11="","",[2]Entry!$C$11)</f>
        <v>1405/07/02</v>
      </c>
      <c r="K8" t="str">
        <f>IF([2]Entry!$D$11="","",[2]Entry!$D$11)</f>
        <v>09:00</v>
      </c>
      <c r="L8" t="str">
        <f>IF([2]Entry!$E$11="","",[2]Entry!$E$11)</f>
        <v>BANK01 – ملت — جاری شرکت</v>
      </c>
      <c r="M8" t="str">
        <f>IF([2]Entry!$G$11="","",[2]Entry!$G$11)</f>
        <v>S002</v>
      </c>
      <c r="N8" t="str">
        <f>IF([2]Entry!$M$11="","",[2]Entry!$M$11)</f>
        <v/>
      </c>
      <c r="O8">
        <f>IF([2]Entry!$N$11="","",[2]Entry!$N$11)</f>
        <v>80000000</v>
      </c>
      <c r="P8" t="str">
        <f>IF([2]Entry!$R$11="","",[2]Entry!$R$11)</f>
        <v>خرید پرتقال از میدان بار (نمونه)</v>
      </c>
    </row>
    <row r="9" spans="1:18" x14ac:dyDescent="0.2">
      <c r="A9" t="str">
        <f>IF([1]Accounts!$D$10="","",[1]Accounts!$A$10)</f>
        <v>C004</v>
      </c>
      <c r="B9" t="str">
        <f>IF([1]Accounts!$D$10="","",[1]Accounts!$B$10)</f>
        <v>فروشنده</v>
      </c>
      <c r="C9">
        <f>IF([1]Accounts!$D$10="","",[1]Accounts!$C$10)</f>
        <v>0</v>
      </c>
      <c r="D9" t="str">
        <f>IF([1]Accounts!$D$10="","",[1]Accounts!$D$10)</f>
        <v>امید زاهدی</v>
      </c>
      <c r="E9">
        <f>IF([1]Accounts!$D$10="","",[1]Accounts!$J$10)</f>
        <v>0</v>
      </c>
      <c r="F9">
        <f>IF([1]Accounts!$D$10="","",[1]Accounts!$K$10)</f>
        <v>0</v>
      </c>
      <c r="H9" t="str">
        <f>IF([1]Baskets!$B$10="","",[1]Baskets!$B$10)</f>
        <v>ریلی کوچک آبی</v>
      </c>
      <c r="J9" t="str">
        <f>IF([2]Entry!$C$12="","",[2]Entry!$C$12)</f>
        <v>1405/07/02</v>
      </c>
      <c r="K9" t="str">
        <f>IF([2]Entry!$D$12="","",[2]Entry!$D$12)</f>
        <v>12:45</v>
      </c>
      <c r="L9" t="str">
        <f>IF([2]Entry!$E$12="","",[2]Entry!$E$12)</f>
        <v>BANK02 – صادرات — جاری شرکت</v>
      </c>
      <c r="M9" t="str">
        <f>IF([2]Entry!$G$12="","",[2]Entry!$G$12)</f>
        <v>C002</v>
      </c>
      <c r="N9">
        <f>IF([2]Entry!$M$12="","",[2]Entry!$M$12)</f>
        <v>90000000</v>
      </c>
      <c r="O9" t="str">
        <f>IF([2]Entry!$N$12="","",[2]Entry!$N$12)</f>
        <v/>
      </c>
      <c r="P9" t="str">
        <f>IF([2]Entry!$R$12="","",[2]Entry!$R$12)</f>
        <v>واریز مشتری — مغایرت عمدی برای نمایش × (نمونه)</v>
      </c>
    </row>
    <row r="10" spans="1:18" x14ac:dyDescent="0.2">
      <c r="A10" t="str">
        <f>IF([1]Accounts!$D$11="","",[1]Accounts!$A$11)</f>
        <v>C005</v>
      </c>
      <c r="B10" t="str">
        <f>IF([1]Accounts!$D$11="","",[1]Accounts!$B$11)</f>
        <v>فروشنده</v>
      </c>
      <c r="C10">
        <f>IF([1]Accounts!$D$11="","",[1]Accounts!$C$11)</f>
        <v>0</v>
      </c>
      <c r="D10" t="str">
        <f>IF([1]Accounts!$D$11="","",[1]Accounts!$D$11)</f>
        <v>بار شخصی قاسم زاهدی</v>
      </c>
      <c r="E10">
        <f>IF([1]Accounts!$D$11="","",[1]Accounts!$J$11)</f>
        <v>0</v>
      </c>
      <c r="F10">
        <f>IF([1]Accounts!$D$11="","",[1]Accounts!$K$11)</f>
        <v>0</v>
      </c>
      <c r="H10" t="str">
        <f>IF([1]Baskets!$B$11="","",[1]Baskets!$B$11)</f>
        <v>تک رج آبی بزرگ</v>
      </c>
      <c r="J10" t="str">
        <f>IF([2]Entry!$C$13="","",[2]Entry!$C$13)</f>
        <v>1405/07/03</v>
      </c>
      <c r="K10" t="str">
        <f>IF([2]Entry!$D$13="","",[2]Entry!$D$13)</f>
        <v>11:20</v>
      </c>
      <c r="L10" t="str">
        <f>IF([2]Entry!$E$13="","",[2]Entry!$E$13)</f>
        <v>BANK02 – صادرات — جاری شرکت</v>
      </c>
      <c r="M10" t="str">
        <f>IF([2]Entry!$G$13="","",[2]Entry!$G$13)</f>
        <v>X003</v>
      </c>
      <c r="N10" t="str">
        <f>IF([2]Entry!$M$13="","",[2]Entry!$M$13)</f>
        <v/>
      </c>
      <c r="O10">
        <f>IF([2]Entry!$N$13="","",[2]Entry!$N$13)</f>
        <v>15000000</v>
      </c>
      <c r="P10" t="str">
        <f>IF([2]Entry!$R$13="","",[2]Entry!$R$13)</f>
        <v>برداشت نقدی به صندوق — بدون گروه (نمونه)</v>
      </c>
    </row>
    <row r="11" spans="1:18" x14ac:dyDescent="0.2">
      <c r="A11" t="str">
        <f>IF([1]Accounts!$D$12="","",[1]Accounts!$A$12)</f>
        <v>C006</v>
      </c>
      <c r="B11" t="str">
        <f>IF([1]Accounts!$D$12="","",[1]Accounts!$B$12)</f>
        <v>فروشنده</v>
      </c>
      <c r="C11">
        <f>IF([1]Accounts!$D$12="","",[1]Accounts!$C$12)</f>
        <v>0</v>
      </c>
      <c r="D11" t="str">
        <f>IF([1]Accounts!$D$12="","",[1]Accounts!$D$12)</f>
        <v>هوشنگ عیسی پور</v>
      </c>
      <c r="E11">
        <f>IF([1]Accounts!$D$12="","",[1]Accounts!$J$12)</f>
        <v>0</v>
      </c>
      <c r="F11">
        <f>IF([1]Accounts!$D$12="","",[1]Accounts!$K$12)</f>
        <v>0</v>
      </c>
      <c r="H11" t="str">
        <f>IF([1]Baskets!$B$12="","",[1]Baskets!$B$12)</f>
        <v>آبی25*20</v>
      </c>
      <c r="J11" t="str">
        <f>IF([2]Entry!$C$14="","",[2]Entry!$C$14)</f>
        <v>1405/07/01</v>
      </c>
      <c r="K11" t="str">
        <f>IF([2]Entry!$D$14="","",[2]Entry!$D$14)</f>
        <v>08:30</v>
      </c>
      <c r="L11" t="str">
        <f>IF([2]Entry!$E$14="","",[2]Entry!$E$14)</f>
        <v>BANK01 – ملت — جاری شرکت</v>
      </c>
      <c r="M11" t="str">
        <f>IF([2]Entry!$G$14="","",[2]Entry!$G$14)</f>
        <v>C001</v>
      </c>
      <c r="N11">
        <f>IF([2]Entry!$M$14="","",[2]Entry!$M$14)</f>
        <v>250000000</v>
      </c>
      <c r="O11" t="str">
        <f>IF([2]Entry!$N$14="","",[2]Entry!$N$14)</f>
        <v/>
      </c>
      <c r="P11" t="str">
        <f>IF([2]Entry!$R$14="","",[2]Entry!$R$14)</f>
        <v>ردیف تکراری — اثر آن را بر ستون وضعیت ببینید (نمونه)</v>
      </c>
    </row>
    <row r="12" spans="1:18" x14ac:dyDescent="0.2">
      <c r="A12" t="str">
        <f>IF([1]Accounts!$D$13="","",[1]Accounts!$A$13)</f>
        <v>C007</v>
      </c>
      <c r="B12" t="str">
        <f>IF([1]Accounts!$D$13="","",[1]Accounts!$B$13)</f>
        <v>فروشنده</v>
      </c>
      <c r="C12">
        <f>IF([1]Accounts!$D$13="","",[1]Accounts!$C$13)</f>
        <v>0</v>
      </c>
      <c r="D12" t="str">
        <f>IF([1]Accounts!$D$13="","",[1]Accounts!$D$13)</f>
        <v>علی آهنگر</v>
      </c>
      <c r="E12">
        <f>IF([1]Accounts!$D$13="","",[1]Accounts!$J$13)</f>
        <v>0</v>
      </c>
      <c r="F12">
        <f>IF([1]Accounts!$D$13="","",[1]Accounts!$K$13)</f>
        <v>0</v>
      </c>
      <c r="H12" t="str">
        <f>IF([1]Baskets!$B$13="","",[1]Baskets!$B$13)</f>
        <v>8ک مشکی</v>
      </c>
      <c r="J12" t="str">
        <f>IF([2]Entry!$C$15="","",[2]Entry!$C$15)</f>
        <v>1405/07/04</v>
      </c>
      <c r="K12" t="str">
        <f>IF([2]Entry!$D$15="","",[2]Entry!$D$15)</f>
        <v>10:30</v>
      </c>
      <c r="L12" t="str">
        <f>IF([2]Entry!$E$15="","",[2]Entry!$E$15)</f>
        <v>BANK01 – ملت — جاری شرکت</v>
      </c>
      <c r="M12" t="str">
        <f>IF([2]Entry!$G$15="","",[2]Entry!$G$15)</f>
        <v>SL001</v>
      </c>
      <c r="N12">
        <f>IF([2]Entry!$M$15="","",[2]Entry!$M$15)</f>
        <v>300000000</v>
      </c>
      <c r="O12" t="str">
        <f>IF([2]Entry!$N$15="","",[2]Entry!$N$15)</f>
        <v/>
      </c>
      <c r="P12" t="str">
        <f>IF([2]Entry!$R$15="","",[2]Entry!$R$15)</f>
        <v>واریز فروشنده SL001 (نمونه)</v>
      </c>
    </row>
    <row r="13" spans="1:18" x14ac:dyDescent="0.2">
      <c r="A13" t="str">
        <f>IF([1]Accounts!$D$14="","",[1]Accounts!$A$14)</f>
        <v>C008</v>
      </c>
      <c r="B13" t="str">
        <f>IF([1]Accounts!$D$14="","",[1]Accounts!$B$14)</f>
        <v>فروشنده</v>
      </c>
      <c r="C13">
        <f>IF([1]Accounts!$D$14="","",[1]Accounts!$C$14)</f>
        <v>0</v>
      </c>
      <c r="D13" t="str">
        <f>IF([1]Accounts!$D$14="","",[1]Accounts!$D$14)</f>
        <v>صفدر مسلمی</v>
      </c>
      <c r="E13">
        <f>IF([1]Accounts!$D$14="","",[1]Accounts!$J$14)</f>
        <v>0</v>
      </c>
      <c r="F13">
        <f>IF([1]Accounts!$D$14="","",[1]Accounts!$K$14)</f>
        <v>0</v>
      </c>
      <c r="H13" t="str">
        <f>IF([1]Baskets!$B$14="","",[1]Baskets!$B$14)</f>
        <v/>
      </c>
      <c r="J13" t="str">
        <f>IF([2]Entry!$C$16="","",[2]Entry!$C$16)</f>
        <v>1405/07/09</v>
      </c>
      <c r="K13" t="str">
        <f>IF([2]Entry!$D$16="","",[2]Entry!$D$16)</f>
        <v>11:30</v>
      </c>
      <c r="L13" t="str">
        <f>IF([2]Entry!$E$16="","",[2]Entry!$E$16)</f>
        <v>BANK02 – صادرات — جاری شرکت</v>
      </c>
      <c r="M13" t="str">
        <f>IF([2]Entry!$G$16="","",[2]Entry!$G$16)</f>
        <v>SL002</v>
      </c>
      <c r="N13">
        <f>IF([2]Entry!$M$16="","",[2]Entry!$M$16)</f>
        <v>1600000000</v>
      </c>
      <c r="O13" t="str">
        <f>IF([2]Entry!$N$16="","",[2]Entry!$N$16)</f>
        <v/>
      </c>
      <c r="P13" t="str">
        <f>IF([2]Entry!$R$16="","",[2]Entry!$R$16)</f>
        <v>تسویه فروشنده SL002 (نمونه)</v>
      </c>
    </row>
    <row r="14" spans="1:18" x14ac:dyDescent="0.2">
      <c r="A14" t="str">
        <f>IF([1]Accounts!$D$15="","",[1]Accounts!$A$15)</f>
        <v>C009</v>
      </c>
      <c r="B14" t="str">
        <f>IF([1]Accounts!$D$15="","",[1]Accounts!$B$15)</f>
        <v>فروشنده</v>
      </c>
      <c r="C14">
        <f>IF([1]Accounts!$D$15="","",[1]Accounts!$C$15)</f>
        <v>0</v>
      </c>
      <c r="D14" t="str">
        <f>IF([1]Accounts!$D$15="","",[1]Accounts!$D$15)</f>
        <v>همایون بابایی</v>
      </c>
      <c r="E14">
        <f>IF([1]Accounts!$D$15="","",[1]Accounts!$J$15)</f>
        <v>0</v>
      </c>
      <c r="F14">
        <f>IF([1]Accounts!$D$15="","",[1]Accounts!$K$15)</f>
        <v>0</v>
      </c>
      <c r="H14" t="str">
        <f>IF([1]Baskets!$B$15="","",[1]Baskets!$B$15)</f>
        <v/>
      </c>
      <c r="J14" t="str">
        <f>IF([2]Entry!$C$17="","",[2]Entry!$C$17)</f>
        <v>1405/07/05</v>
      </c>
      <c r="K14" t="str">
        <f>IF([2]Entry!$D$17="","",[2]Entry!$D$17)</f>
        <v>13:00</v>
      </c>
      <c r="L14" t="str">
        <f>IF([2]Entry!$E$17="","",[2]Entry!$E$17)</f>
        <v>BANK01 – ملت — جاری شرکت</v>
      </c>
      <c r="M14" t="str">
        <f>IF([2]Entry!$G$17="","",[2]Entry!$G$17)</f>
        <v>E002</v>
      </c>
      <c r="N14" t="str">
        <f>IF([2]Entry!$M$17="","",[2]Entry!$M$17)</f>
        <v/>
      </c>
      <c r="O14">
        <f>IF([2]Entry!$N$17="","",[2]Entry!$N$17)</f>
        <v>25000000</v>
      </c>
      <c r="P14" t="str">
        <f>IF([2]Entry!$R$17="","",[2]Entry!$R$17)</f>
        <v>دستمزد هفتگی (نمونه)</v>
      </c>
    </row>
    <row r="15" spans="1:18" x14ac:dyDescent="0.2">
      <c r="A15" t="str">
        <f>IF([1]Accounts!$D$16="","",[1]Accounts!$A$16)</f>
        <v>C010</v>
      </c>
      <c r="B15" t="str">
        <f>IF([1]Accounts!$D$16="","",[1]Accounts!$B$16)</f>
        <v>فروشنده</v>
      </c>
      <c r="C15">
        <f>IF([1]Accounts!$D$16="","",[1]Accounts!$C$16)</f>
        <v>0</v>
      </c>
      <c r="D15" t="str">
        <f>IF([1]Accounts!$D$16="","",[1]Accounts!$D$16)</f>
        <v>دبیر فرجی</v>
      </c>
      <c r="E15">
        <f>IF([1]Accounts!$D$16="","",[1]Accounts!$J$16)</f>
        <v>0</v>
      </c>
      <c r="F15">
        <f>IF([1]Accounts!$D$16="","",[1]Accounts!$K$16)</f>
        <v>0</v>
      </c>
      <c r="H15" t="str">
        <f>IF([1]Baskets!$B$16="","",[1]Baskets!$B$16)</f>
        <v/>
      </c>
      <c r="J15" t="str">
        <f>IF([2]Entry!$C$18="","",[2]Entry!$C$18)</f>
        <v>1405/07/06</v>
      </c>
      <c r="K15" t="str">
        <f>IF([2]Entry!$D$18="","",[2]Entry!$D$18)</f>
        <v>16:30</v>
      </c>
      <c r="L15" t="str">
        <f>IF([2]Entry!$E$18="","",[2]Entry!$E$18)</f>
        <v>BANK02 – صادرات — جاری شرکت</v>
      </c>
      <c r="M15" t="str">
        <f>IF([2]Entry!$G$18="","",[2]Entry!$G$18)</f>
        <v>S002</v>
      </c>
      <c r="N15" t="str">
        <f>IF([2]Entry!$M$18="","",[2]Entry!$M$18)</f>
        <v/>
      </c>
      <c r="O15">
        <f>IF([2]Entry!$N$18="","",[2]Entry!$N$18)</f>
        <v>4500000</v>
      </c>
      <c r="P15" t="str">
        <f>IF([2]Entry!$R$18="","",[2]Entry!$R$18)</f>
        <v>خرید رنگ و واکس بسته‌بندی (نمونه)</v>
      </c>
    </row>
    <row r="16" spans="1:18" x14ac:dyDescent="0.2">
      <c r="A16" t="str">
        <f>IF([1]Accounts!$D$17="","",[1]Accounts!$A$17)</f>
        <v>C011</v>
      </c>
      <c r="B16" t="str">
        <f>IF([1]Accounts!$D$17="","",[1]Accounts!$B$17)</f>
        <v>فروشنده</v>
      </c>
      <c r="C16">
        <f>IF([1]Accounts!$D$17="","",[1]Accounts!$C$17)</f>
        <v>0</v>
      </c>
      <c r="D16" t="str">
        <f>IF([1]Accounts!$D$17="","",[1]Accounts!$D$17)</f>
        <v>محمود علیجانی</v>
      </c>
      <c r="E16">
        <f>IF([1]Accounts!$D$17="","",[1]Accounts!$J$17)</f>
        <v>0</v>
      </c>
      <c r="F16">
        <f>IF([1]Accounts!$D$17="","",[1]Accounts!$K$17)</f>
        <v>0</v>
      </c>
      <c r="H16" t="str">
        <f>IF([1]Baskets!$B$17="","",[1]Baskets!$B$17)</f>
        <v/>
      </c>
      <c r="J16" t="str">
        <f>IF([2]Entry!$C$19="","",[2]Entry!$C$19)</f>
        <v>1405/07/07</v>
      </c>
      <c r="K16" t="str">
        <f>IF([2]Entry!$D$19="","",[2]Entry!$D$19)</f>
        <v>09:15</v>
      </c>
      <c r="L16" t="str">
        <f>IF([2]Entry!$E$19="","",[2]Entry!$E$19)</f>
        <v>BANK01 – ملت — جاری شرکت</v>
      </c>
      <c r="M16" t="str">
        <f>IF([2]Entry!$G$19="","",[2]Entry!$G$19)</f>
        <v>E003</v>
      </c>
      <c r="N16" t="str">
        <f>IF([2]Entry!$M$19="","",[2]Entry!$M$19)</f>
        <v/>
      </c>
      <c r="O16">
        <f>IF([2]Entry!$N$19="","",[2]Entry!$N$19)</f>
        <v>8000000</v>
      </c>
      <c r="P16" t="str">
        <f>IF([2]Entry!$R$19="","",[2]Entry!$R$19)</f>
        <v>خوراک سالن (نمونه)</v>
      </c>
    </row>
    <row r="17" spans="1:16" x14ac:dyDescent="0.2">
      <c r="A17" t="str">
        <f>IF([1]Accounts!$D$18="","",[1]Accounts!$A$18)</f>
        <v>C012</v>
      </c>
      <c r="B17" t="str">
        <f>IF([1]Accounts!$D$18="","",[1]Accounts!$B$18)</f>
        <v>فروشنده</v>
      </c>
      <c r="C17">
        <f>IF([1]Accounts!$D$18="","",[1]Accounts!$C$18)</f>
        <v>0</v>
      </c>
      <c r="D17" t="str">
        <f>IF([1]Accounts!$D$18="","",[1]Accounts!$D$18)</f>
        <v>افشین بشتکار</v>
      </c>
      <c r="E17">
        <f>IF([1]Accounts!$D$18="","",[1]Accounts!$J$18)</f>
        <v>0</v>
      </c>
      <c r="F17">
        <f>IF([1]Accounts!$D$18="","",[1]Accounts!$K$18)</f>
        <v>0</v>
      </c>
      <c r="H17" t="str">
        <f>IF([1]Baskets!$B$18="","",[1]Baskets!$B$18)</f>
        <v/>
      </c>
      <c r="J17" t="str">
        <f>IF([2]Entry!$C$20="","",[2]Entry!$C$20)</f>
        <v>1405/07/08</v>
      </c>
      <c r="K17" t="str">
        <f>IF([2]Entry!$D$20="","",[2]Entry!$D$20)</f>
        <v>12:00</v>
      </c>
      <c r="L17" t="str">
        <f>IF([2]Entry!$E$20="","",[2]Entry!$E$20)</f>
        <v>BANK01 – ملت — جاری شرکت</v>
      </c>
      <c r="M17" t="str">
        <f>IF([2]Entry!$G$20="","",[2]Entry!$G$20)</f>
        <v>E001</v>
      </c>
      <c r="N17" t="str">
        <f>IF([2]Entry!$M$20="","",[2]Entry!$M$20)</f>
        <v/>
      </c>
      <c r="O17">
        <f>IF([2]Entry!$N$20="","",[2]Entry!$N$20)</f>
        <v>20000000</v>
      </c>
      <c r="P17" t="str">
        <f>IF([2]Entry!$R$20="","",[2]Entry!$R$20)</f>
        <v>برداشت شخصی مدیریت (نمونه)</v>
      </c>
    </row>
    <row r="18" spans="1:16" x14ac:dyDescent="0.2">
      <c r="A18" t="str">
        <f>IF([1]Accounts!$D$19="","",[1]Accounts!$A$19)</f>
        <v>C013</v>
      </c>
      <c r="B18" t="str">
        <f>IF([1]Accounts!$D$19="","",[1]Accounts!$B$19)</f>
        <v>فروشنده</v>
      </c>
      <c r="C18">
        <f>IF([1]Accounts!$D$19="","",[1]Accounts!$C$19)</f>
        <v>0</v>
      </c>
      <c r="D18" t="str">
        <f>IF([1]Accounts!$D$19="","",[1]Accounts!$D$19)</f>
        <v>میرقربان موسویان</v>
      </c>
      <c r="E18">
        <f>IF([1]Accounts!$D$19="","",[1]Accounts!$J$19)</f>
        <v>0</v>
      </c>
      <c r="F18">
        <f>IF([1]Accounts!$D$19="","",[1]Accounts!$K$19)</f>
        <v>0</v>
      </c>
      <c r="H18" t="str">
        <f>IF([1]Baskets!$B$19="","",[1]Baskets!$B$19)</f>
        <v/>
      </c>
      <c r="J18" t="str">
        <f>IF([2]Entry!$C$21="","",[2]Entry!$C$21)</f>
        <v>1405/07/07</v>
      </c>
      <c r="K18" t="str">
        <f>IF([2]Entry!$D$21="","",[2]Entry!$D$21)</f>
        <v>10:00</v>
      </c>
      <c r="L18" t="str">
        <f>IF([2]Entry!$E$21="","",[2]Entry!$E$21)</f>
        <v>BANK01 – ملت — جاری شرکت</v>
      </c>
      <c r="M18" t="str">
        <f>IF([2]Entry!$G$21="","",[2]Entry!$G$21)</f>
        <v>S001</v>
      </c>
      <c r="N18" t="str">
        <f>IF([2]Entry!$M$21="","",[2]Entry!$M$21)</f>
        <v/>
      </c>
      <c r="O18">
        <f>IF([2]Entry!$N$21="","",[2]Entry!$N$21)</f>
        <v>15000000</v>
      </c>
      <c r="P18" t="str">
        <f>IF([2]Entry!$R$21="","",[2]Entry!$R$21)</f>
        <v>پیش‌پرداخت باغ آقای رستمی (نمونه)</v>
      </c>
    </row>
    <row r="19" spans="1:16" x14ac:dyDescent="0.2">
      <c r="A19" t="str">
        <f>IF([1]Accounts!$D$20="","",[1]Accounts!$A$20)</f>
        <v>C014</v>
      </c>
      <c r="B19" t="str">
        <f>IF([1]Accounts!$D$20="","",[1]Accounts!$B$20)</f>
        <v>فروشنده</v>
      </c>
      <c r="C19">
        <f>IF([1]Accounts!$D$20="","",[1]Accounts!$C$20)</f>
        <v>0</v>
      </c>
      <c r="D19" t="str">
        <f>IF([1]Accounts!$D$20="","",[1]Accounts!$D$20)</f>
        <v>باباجانی (تراجیکلا)</v>
      </c>
      <c r="E19">
        <f>IF([1]Accounts!$D$20="","",[1]Accounts!$J$20)</f>
        <v>0</v>
      </c>
      <c r="F19">
        <f>IF([1]Accounts!$D$20="","",[1]Accounts!$K$20)</f>
        <v>0</v>
      </c>
      <c r="H19" t="str">
        <f>IF([1]Baskets!$B$20="","",[1]Baskets!$B$20)</f>
        <v/>
      </c>
      <c r="J19" t="str">
        <f>IF([2]Entry!$C$22="","",[2]Entry!$C$22)</f>
        <v>1405/07/15</v>
      </c>
      <c r="K19" t="str">
        <f>IF([2]Entry!$D$22="","",[2]Entry!$D$22)</f>
        <v>09:00</v>
      </c>
      <c r="L19" t="str">
        <f>IF([2]Entry!$E$22="","",[2]Entry!$E$22)</f>
        <v>BANK01 – ملت — جاری شرکت</v>
      </c>
      <c r="M19" t="str">
        <f>IF([2]Entry!$G$22="","",[2]Entry!$G$22)</f>
        <v>S001</v>
      </c>
      <c r="N19" t="str">
        <f>IF([2]Entry!$M$22="","",[2]Entry!$M$22)</f>
        <v/>
      </c>
      <c r="O19">
        <f>IF([2]Entry!$N$22="","",[2]Entry!$N$22)</f>
        <v>80000000</v>
      </c>
      <c r="P19" t="str">
        <f>IF([2]Entry!$R$22="","",[2]Entry!$R$22)</f>
        <v>پاس شدن چک ۲۴۰۱۲۳۴۵ — تسویه خرید باغ (نمونه)</v>
      </c>
    </row>
    <row r="20" spans="1:16" x14ac:dyDescent="0.2">
      <c r="A20" t="str">
        <f>IF([1]Accounts!$D$21="","",[1]Accounts!$A$21)</f>
        <v>C015</v>
      </c>
      <c r="B20" t="str">
        <f>IF([1]Accounts!$D$21="","",[1]Accounts!$B$21)</f>
        <v>فروشنده</v>
      </c>
      <c r="C20">
        <f>IF([1]Accounts!$D$21="","",[1]Accounts!$C$21)</f>
        <v>0</v>
      </c>
      <c r="D20" t="str">
        <f>IF([1]Accounts!$D$21="","",[1]Accounts!$D$21)</f>
        <v>کاظم میرزازاده</v>
      </c>
      <c r="E20">
        <f>IF([1]Accounts!$D$21="","",[1]Accounts!$J$21)</f>
        <v>0</v>
      </c>
      <c r="F20">
        <f>IF([1]Accounts!$D$21="","",[1]Accounts!$K$21)</f>
        <v>0</v>
      </c>
      <c r="H20" t="str">
        <f>IF([1]Baskets!$B$21="","",[1]Baskets!$B$21)</f>
        <v/>
      </c>
      <c r="J20" t="str">
        <f>IF([2]Entry!$C$23="","",[2]Entry!$C$23)</f>
        <v>1405/07/11</v>
      </c>
      <c r="K20" t="str">
        <f>IF([2]Entry!$D$23="","",[2]Entry!$D$23)</f>
        <v>10:00</v>
      </c>
      <c r="L20" t="str">
        <f>IF([2]Entry!$E$23="","",[2]Entry!$E$23)</f>
        <v>BANK01 – ملت — جاری شرکت</v>
      </c>
      <c r="M20" t="str">
        <f>IF([2]Entry!$G$23="","",[2]Entry!$G$23)</f>
        <v>CAP001</v>
      </c>
      <c r="N20">
        <f>IF([2]Entry!$M$23="","",[2]Entry!$M$23)</f>
        <v>400000000</v>
      </c>
      <c r="O20" t="str">
        <f>IF([2]Entry!$N$23="","",[2]Entry!$N$23)</f>
        <v/>
      </c>
      <c r="P20" t="str">
        <f>IF([2]Entry!$R$23="","",[2]Entry!$R$23)</f>
        <v>فروش زمین شخصی و آورده نقدی صاحب سرمایه (نمونه)</v>
      </c>
    </row>
    <row r="21" spans="1:16" x14ac:dyDescent="0.2">
      <c r="A21" t="str">
        <f>IF([1]Accounts!$D$22="","",[1]Accounts!$A$22)</f>
        <v>C016</v>
      </c>
      <c r="B21" t="str">
        <f>IF([1]Accounts!$D$22="","",[1]Accounts!$B$22)</f>
        <v>فروشنده</v>
      </c>
      <c r="C21">
        <f>IF([1]Accounts!$D$22="","",[1]Accounts!$C$22)</f>
        <v>0</v>
      </c>
      <c r="D21" t="str">
        <f>IF([1]Accounts!$D$22="","",[1]Accounts!$D$22)</f>
        <v>علی جانبرارپور</v>
      </c>
      <c r="E21">
        <f>IF([1]Accounts!$D$22="","",[1]Accounts!$J$22)</f>
        <v>0</v>
      </c>
      <c r="F21">
        <f>IF([1]Accounts!$D$22="","",[1]Accounts!$K$22)</f>
        <v>0</v>
      </c>
      <c r="H21" t="str">
        <f>IF([1]Baskets!$B$22="","",[1]Baskets!$B$22)</f>
        <v/>
      </c>
      <c r="J21" t="str">
        <f>IF([2]Entry!$C$24="","",[2]Entry!$C$24)</f>
        <v>1405/07/12</v>
      </c>
      <c r="K21" t="str">
        <f>IF([2]Entry!$D$24="","",[2]Entry!$D$24)</f>
        <v>09:30</v>
      </c>
      <c r="L21" t="str">
        <f>IF([2]Entry!$E$24="","",[2]Entry!$E$24)</f>
        <v>BANK02 – صادرات — جاری شرکت</v>
      </c>
      <c r="M21" t="str">
        <f>IF([2]Entry!$G$24="","",[2]Entry!$G$24)</f>
        <v>L001</v>
      </c>
      <c r="N21">
        <f>IF([2]Entry!$M$24="","",[2]Entry!$M$24)</f>
        <v>200000000</v>
      </c>
      <c r="O21" t="str">
        <f>IF([2]Entry!$N$24="","",[2]Entry!$N$24)</f>
        <v/>
      </c>
      <c r="P21" t="str">
        <f>IF([2]Entry!$R$24="","",[2]Entry!$R$24)</f>
        <v>دریافت وام بانک ملت (نمونه)</v>
      </c>
    </row>
    <row r="22" spans="1:16" x14ac:dyDescent="0.2">
      <c r="A22" t="str">
        <f>IF([1]Accounts!$D$23="","",[1]Accounts!$A$23)</f>
        <v>C017</v>
      </c>
      <c r="B22" t="str">
        <f>IF([1]Accounts!$D$23="","",[1]Accounts!$B$23)</f>
        <v>فروشنده</v>
      </c>
      <c r="C22">
        <f>IF([1]Accounts!$D$23="","",[1]Accounts!$C$23)</f>
        <v>0</v>
      </c>
      <c r="D22" t="str">
        <f>IF([1]Accounts!$D$23="","",[1]Accounts!$D$23)</f>
        <v>لیلا محمودنیا</v>
      </c>
      <c r="E22">
        <f>IF([1]Accounts!$D$23="","",[1]Accounts!$J$23)</f>
        <v>0</v>
      </c>
      <c r="F22">
        <f>IF([1]Accounts!$D$23="","",[1]Accounts!$K$23)</f>
        <v>0</v>
      </c>
      <c r="H22" t="str">
        <f>IF([1]Baskets!$B$23="","",[1]Baskets!$B$23)</f>
        <v/>
      </c>
      <c r="J22" t="str">
        <f>IF([2]Entry!$C$25="","",[2]Entry!$C$25)</f>
        <v>1405/07/16</v>
      </c>
      <c r="K22" t="str">
        <f>IF([2]Entry!$D$25="","",[2]Entry!$D$25)</f>
        <v>10:00</v>
      </c>
      <c r="L22" t="str">
        <f>IF([2]Entry!$E$25="","",[2]Entry!$E$25)</f>
        <v>BANK02 – صادرات — جاری شرکت</v>
      </c>
      <c r="M22" t="str">
        <f>IF([2]Entry!$G$25="","",[2]Entry!$G$25)</f>
        <v>L001</v>
      </c>
      <c r="N22" t="str">
        <f>IF([2]Entry!$M$25="","",[2]Entry!$M$25)</f>
        <v/>
      </c>
      <c r="O22">
        <f>IF([2]Entry!$N$25="","",[2]Entry!$N$25)</f>
        <v>20000000</v>
      </c>
      <c r="P22" t="str">
        <f>IF([2]Entry!$R$25="","",[2]Entry!$R$25)</f>
        <v>پرداخت قسط وام — اصل (نمونه)</v>
      </c>
    </row>
    <row r="23" spans="1:16" x14ac:dyDescent="0.2">
      <c r="A23" t="str">
        <f>IF([1]Accounts!$D$24="","",[1]Accounts!$A$24)</f>
        <v>C018</v>
      </c>
      <c r="B23" t="str">
        <f>IF([1]Accounts!$D$24="","",[1]Accounts!$B$24)</f>
        <v>فروشنده</v>
      </c>
      <c r="C23">
        <f>IF([1]Accounts!$D$24="","",[1]Accounts!$C$24)</f>
        <v>0</v>
      </c>
      <c r="D23" t="str">
        <f>IF([1]Accounts!$D$24="","",[1]Accounts!$D$24)</f>
        <v>اسماعیل خانیا</v>
      </c>
      <c r="E23">
        <f>IF([1]Accounts!$D$24="","",[1]Accounts!$J$24)</f>
        <v>0</v>
      </c>
      <c r="F23">
        <f>IF([1]Accounts!$D$24="","",[1]Accounts!$K$24)</f>
        <v>0</v>
      </c>
      <c r="H23" t="str">
        <f>IF([1]Baskets!$B$24="","",[1]Baskets!$B$24)</f>
        <v/>
      </c>
      <c r="J23" t="str">
        <f>IF([2]Entry!$C$26="","",[2]Entry!$C$26)</f>
        <v>1405/07/16</v>
      </c>
      <c r="K23" t="str">
        <f>IF([2]Entry!$D$26="","",[2]Entry!$D$26)</f>
        <v>10:05</v>
      </c>
      <c r="L23" t="str">
        <f>IF([2]Entry!$E$26="","",[2]Entry!$E$26)</f>
        <v>BANK01 – ملت — جاری شرکت</v>
      </c>
      <c r="M23" t="str">
        <f>IF([2]Entry!$G$26="","",[2]Entry!$G$26)</f>
        <v>L001</v>
      </c>
      <c r="N23" t="str">
        <f>IF([2]Entry!$M$26="","",[2]Entry!$M$26)</f>
        <v/>
      </c>
      <c r="O23">
        <f>IF([2]Entry!$N$26="","",[2]Entry!$N$26)</f>
        <v>2000000</v>
      </c>
      <c r="P23" t="str">
        <f>IF([2]Entry!$R$26="","",[2]Entry!$R$26)</f>
        <v>بهره و کارمزد اقساط وام — گروه هزینه (نمونه)</v>
      </c>
    </row>
    <row r="24" spans="1:16" x14ac:dyDescent="0.2">
      <c r="A24" t="str">
        <f>IF([1]Accounts!$D$25="","",[1]Accounts!$A$25)</f>
        <v>C019</v>
      </c>
      <c r="B24" t="str">
        <f>IF([1]Accounts!$D$25="","",[1]Accounts!$B$25)</f>
        <v>فروشنده</v>
      </c>
      <c r="C24">
        <f>IF([1]Accounts!$D$25="","",[1]Accounts!$C$25)</f>
        <v>0</v>
      </c>
      <c r="D24" t="str">
        <f>IF([1]Accounts!$D$25="","",[1]Accounts!$D$25)</f>
        <v>یوسف یوسف نژاد</v>
      </c>
      <c r="E24">
        <f>IF([1]Accounts!$D$25="","",[1]Accounts!$J$25)</f>
        <v>0</v>
      </c>
      <c r="F24">
        <f>IF([1]Accounts!$D$25="","",[1]Accounts!$K$25)</f>
        <v>0</v>
      </c>
      <c r="H24" t="str">
        <f>IF([1]Baskets!$B$25="","",[1]Baskets!$B$25)</f>
        <v/>
      </c>
      <c r="J24" t="str">
        <f>IF([2]Entry!$C$27="","",[2]Entry!$C$27)</f>
        <v>1405/07/18</v>
      </c>
      <c r="K24" t="str">
        <f>IF([2]Entry!$D$27="","",[2]Entry!$D$27)</f>
        <v>11:00</v>
      </c>
      <c r="L24" t="str">
        <f>IF([2]Entry!$E$27="","",[2]Entry!$E$27)</f>
        <v>BANK01 – ملت — جاری شرکت</v>
      </c>
      <c r="M24" t="str">
        <f>IF([2]Entry!$G$27="","",[2]Entry!$G$27)</f>
        <v>F002</v>
      </c>
      <c r="N24" t="str">
        <f>IF([2]Entry!$M$27="","",[2]Entry!$M$27)</f>
        <v/>
      </c>
      <c r="O24">
        <f>IF([2]Entry!$N$27="","",[2]Entry!$N$27)</f>
        <v>150000000</v>
      </c>
      <c r="P24" t="str">
        <f>IF([2]Entry!$R$27="","",[2]Entry!$R$27)</f>
        <v>خرید خودرو وانت حمل بار — دارایی ثابت شرکت (نمونه)</v>
      </c>
    </row>
    <row r="25" spans="1:16" x14ac:dyDescent="0.2">
      <c r="A25" t="str">
        <f>IF([1]Accounts!$D$26="","",[1]Accounts!$A$26)</f>
        <v>C020</v>
      </c>
      <c r="B25" t="str">
        <f>IF([1]Accounts!$D$26="","",[1]Accounts!$B$26)</f>
        <v>فروشنده</v>
      </c>
      <c r="C25">
        <f>IF([1]Accounts!$D$26="","",[1]Accounts!$C$26)</f>
        <v>0</v>
      </c>
      <c r="D25" t="str">
        <f>IF([1]Accounts!$D$26="","",[1]Accounts!$D$26)</f>
        <v>علی نوایی</v>
      </c>
      <c r="E25">
        <f>IF([1]Accounts!$D$26="","",[1]Accounts!$J$26)</f>
        <v>0</v>
      </c>
      <c r="F25">
        <f>IF([1]Accounts!$D$26="","",[1]Accounts!$K$26)</f>
        <v>0</v>
      </c>
      <c r="H25" t="str">
        <f>IF([1]Baskets!$B$26="","",[1]Baskets!$B$26)</f>
        <v/>
      </c>
      <c r="J25" t="str">
        <f>IF([2]Entry!$C$28="","",[2]Entry!$C$28)</f>
        <v>1405/07/15</v>
      </c>
      <c r="K25" t="str">
        <f>IF([2]Entry!$D$28="","",[2]Entry!$D$28)</f>
        <v>10:30</v>
      </c>
      <c r="L25" t="str">
        <f>IF([2]Entry!$E$28="","",[2]Entry!$E$28)</f>
        <v>BANK01 – ملت — جاری شرکت</v>
      </c>
      <c r="M25" t="str">
        <f>IF([2]Entry!$G$28="","",[2]Entry!$G$28)</f>
        <v>S004</v>
      </c>
      <c r="N25" t="str">
        <f>IF([2]Entry!$M$28="","",[2]Entry!$M$28)</f>
        <v/>
      </c>
      <c r="O25">
        <f>IF([2]Entry!$N$28="","",[2]Entry!$N$28)</f>
        <v>25000000</v>
      </c>
      <c r="P25" t="str">
        <f>IF([2]Entry!$R$28="","",[2]Entry!$R$28)</f>
        <v>پرداخت بابت سبد خریداری‌شده — تسویه فایل Baskets.xlsx (نمونه)</v>
      </c>
    </row>
    <row r="26" spans="1:16" x14ac:dyDescent="0.2">
      <c r="A26" t="str">
        <f>IF([1]Accounts!$D$27="","",[1]Accounts!$A$27)</f>
        <v>C021</v>
      </c>
      <c r="B26" t="str">
        <f>IF([1]Accounts!$D$27="","",[1]Accounts!$B$27)</f>
        <v>فروشنده</v>
      </c>
      <c r="C26">
        <f>IF([1]Accounts!$D$27="","",[1]Accounts!$C$27)</f>
        <v>0</v>
      </c>
      <c r="D26" t="str">
        <f>IF([1]Accounts!$D$27="","",[1]Accounts!$D$27)</f>
        <v>دومیری</v>
      </c>
      <c r="E26">
        <f>IF([1]Accounts!$D$27="","",[1]Accounts!$J$27)</f>
        <v>0</v>
      </c>
      <c r="F26">
        <f>IF([1]Accounts!$D$27="","",[1]Accounts!$K$27)</f>
        <v>0</v>
      </c>
      <c r="H26" t="str">
        <f>IF([1]Baskets!$B$27="","",[1]Baskets!$B$27)</f>
        <v/>
      </c>
      <c r="J26" t="str">
        <f>IF([2]Entry!$C$29="","",[2]Entry!$C$29)</f>
        <v>1405/07/20</v>
      </c>
      <c r="K26" t="str">
        <f>IF([2]Entry!$D$29="","",[2]Entry!$D$29)</f>
        <v>12:00</v>
      </c>
      <c r="L26" t="str">
        <f>IF([2]Entry!$E$29="","",[2]Entry!$E$29)</f>
        <v>BANK01 – ملت — جاری شرکت</v>
      </c>
      <c r="M26" t="str">
        <f>IF([2]Entry!$G$29="","",[2]Entry!$G$29)</f>
        <v>C099</v>
      </c>
      <c r="N26">
        <f>IF([2]Entry!$M$29="","",[2]Entry!$M$29)</f>
        <v>5000000</v>
      </c>
      <c r="O26" t="str">
        <f>IF([2]Entry!$N$29="","",[2]Entry!$N$29)</f>
        <v/>
      </c>
      <c r="P26" t="str">
        <f>IF([2]Entry!$R$29="","",[2]Entry!$R$29)</f>
        <v>مشتری جدید — هنوز در INFO تعریف نشده (نمونه برای شیت کنترل)</v>
      </c>
    </row>
    <row r="27" spans="1:16" x14ac:dyDescent="0.2">
      <c r="A27" t="str">
        <f>IF([1]Accounts!$D$28="","",[1]Accounts!$A$28)</f>
        <v>C022</v>
      </c>
      <c r="B27" t="str">
        <f>IF([1]Accounts!$D$28="","",[1]Accounts!$B$28)</f>
        <v>فروشنده</v>
      </c>
      <c r="C27">
        <f>IF([1]Accounts!$D$28="","",[1]Accounts!$C$28)</f>
        <v>0</v>
      </c>
      <c r="D27" t="str">
        <f>IF([1]Accounts!$D$28="","",[1]Accounts!$D$28)</f>
        <v>شمسعلی علیجانی</v>
      </c>
      <c r="E27">
        <f>IF([1]Accounts!$D$28="","",[1]Accounts!$J$28)</f>
        <v>0</v>
      </c>
      <c r="F27">
        <f>IF([1]Accounts!$D$28="","",[1]Accounts!$K$28)</f>
        <v>0</v>
      </c>
      <c r="H27" t="str">
        <f>IF([1]Baskets!$B$28="","",[1]Baskets!$B$28)</f>
        <v/>
      </c>
      <c r="J27" t="str">
        <f>IF([2]Entry!$C$30="","",[2]Entry!$C$30)</f>
        <v>1405/07/21</v>
      </c>
      <c r="K27" t="str">
        <f>IF([2]Entry!$D$30="","",[2]Entry!$D$30)</f>
        <v>09:40</v>
      </c>
      <c r="L27" t="str">
        <f>IF([2]Entry!$E$30="","",[2]Entry!$E$30)</f>
        <v>BANK01 – ملت — جاری شرکت</v>
      </c>
      <c r="M27" t="str">
        <f>IF([2]Entry!$G$30="","",[2]Entry!$G$30)</f>
        <v>X003</v>
      </c>
      <c r="N27" t="str">
        <f>IF([2]Entry!$M$30="","",[2]Entry!$M$30)</f>
        <v/>
      </c>
      <c r="O27">
        <f>IF([2]Entry!$N$30="","",[2]Entry!$N$30)</f>
        <v>3000000</v>
      </c>
      <c r="P27" t="str">
        <f>IF([2]Entry!$R$30="","",[2]Entry!$R$30)</f>
        <v>هزینه بدون زیرگروه — برای نمایش در شیت کنترل (نمونه)</v>
      </c>
    </row>
    <row r="28" spans="1:16" x14ac:dyDescent="0.2">
      <c r="A28" t="str">
        <f>IF([1]Accounts!$D$29="","",[1]Accounts!$A$29)</f>
        <v>C023</v>
      </c>
      <c r="B28" t="str">
        <f>IF([1]Accounts!$D$29="","",[1]Accounts!$B$29)</f>
        <v>فروشنده</v>
      </c>
      <c r="C28">
        <f>IF([1]Accounts!$D$29="","",[1]Accounts!$C$29)</f>
        <v>0</v>
      </c>
      <c r="D28" t="str">
        <f>IF([1]Accounts!$D$29="","",[1]Accounts!$D$29)</f>
        <v>یوسف نیا(موزیج)</v>
      </c>
      <c r="E28">
        <f>IF([1]Accounts!$D$29="","",[1]Accounts!$J$29)</f>
        <v>0</v>
      </c>
      <c r="F28">
        <f>IF([1]Accounts!$D$29="","",[1]Accounts!$K$29)</f>
        <v>0</v>
      </c>
      <c r="H28" t="str">
        <f>IF([1]Baskets!$B$29="","",[1]Baskets!$B$29)</f>
        <v/>
      </c>
      <c r="J28" t="str">
        <f>IF([2]Entry!$C$31="","",[2]Entry!$C$31)</f>
        <v/>
      </c>
      <c r="K28" t="str">
        <f>IF([2]Entry!$D$31="","",[2]Entry!$D$31)</f>
        <v/>
      </c>
      <c r="L28" t="str">
        <f>IF([2]Entry!$E$31="","",[2]Entry!$E$31)</f>
        <v/>
      </c>
      <c r="M28" t="str">
        <f>IF([2]Entry!$G$31="","",[2]Entry!$G$31)</f>
        <v/>
      </c>
      <c r="N28" t="str">
        <f>IF([2]Entry!$M$31="","",[2]Entry!$M$31)</f>
        <v/>
      </c>
      <c r="O28" t="str">
        <f>IF([2]Entry!$N$31="","",[2]Entry!$N$31)</f>
        <v/>
      </c>
      <c r="P28" t="str">
        <f>IF([2]Entry!$R$31="","",[2]Entry!$R$31)</f>
        <v/>
      </c>
    </row>
    <row r="29" spans="1:16" x14ac:dyDescent="0.2">
      <c r="A29" t="str">
        <f>IF([1]Accounts!$D$30="","",[1]Accounts!$A$30)</f>
        <v>C024</v>
      </c>
      <c r="B29" t="str">
        <f>IF([1]Accounts!$D$30="","",[1]Accounts!$B$30)</f>
        <v>فروشنده</v>
      </c>
      <c r="C29">
        <f>IF([1]Accounts!$D$30="","",[1]Accounts!$C$30)</f>
        <v>0</v>
      </c>
      <c r="D29" t="str">
        <f>IF([1]Accounts!$D$30="","",[1]Accounts!$D$30)</f>
        <v>کاظم ذبیح پور</v>
      </c>
      <c r="E29">
        <f>IF([1]Accounts!$D$30="","",[1]Accounts!$J$30)</f>
        <v>0</v>
      </c>
      <c r="F29">
        <f>IF([1]Accounts!$D$30="","",[1]Accounts!$K$30)</f>
        <v>0</v>
      </c>
      <c r="H29" t="str">
        <f>IF([1]Baskets!$B$30="","",[1]Baskets!$B$30)</f>
        <v/>
      </c>
      <c r="J29" t="str">
        <f>IF([2]Entry!$C$32="","",[2]Entry!$C$32)</f>
        <v/>
      </c>
      <c r="K29" t="str">
        <f>IF([2]Entry!$D$32="","",[2]Entry!$D$32)</f>
        <v/>
      </c>
      <c r="L29" t="str">
        <f>IF([2]Entry!$E$32="","",[2]Entry!$E$32)</f>
        <v/>
      </c>
      <c r="M29" t="str">
        <f>IF([2]Entry!$G$32="","",[2]Entry!$G$32)</f>
        <v/>
      </c>
      <c r="N29" t="str">
        <f>IF([2]Entry!$M$32="","",[2]Entry!$M$32)</f>
        <v/>
      </c>
      <c r="O29" t="str">
        <f>IF([2]Entry!$N$32="","",[2]Entry!$N$32)</f>
        <v/>
      </c>
      <c r="P29" t="str">
        <f>IF([2]Entry!$R$32="","",[2]Entry!$R$32)</f>
        <v/>
      </c>
    </row>
    <row r="30" spans="1:16" x14ac:dyDescent="0.2">
      <c r="A30" t="str">
        <f>IF([1]Accounts!$D$31="","",[1]Accounts!$A$31)</f>
        <v>C025</v>
      </c>
      <c r="B30" t="str">
        <f>IF([1]Accounts!$D$31="","",[1]Accounts!$B$31)</f>
        <v>فروشنده</v>
      </c>
      <c r="C30">
        <f>IF([1]Accounts!$D$31="","",[1]Accounts!$C$31)</f>
        <v>0</v>
      </c>
      <c r="D30" t="str">
        <f>IF([1]Accounts!$D$31="","",[1]Accounts!$D$31)</f>
        <v>علی غلام رضاپور</v>
      </c>
      <c r="E30">
        <f>IF([1]Accounts!$D$31="","",[1]Accounts!$J$31)</f>
        <v>0</v>
      </c>
      <c r="F30">
        <f>IF([1]Accounts!$D$31="","",[1]Accounts!$K$31)</f>
        <v>0</v>
      </c>
      <c r="H30" t="str">
        <f>IF([1]Baskets!$B$31="","",[1]Baskets!$B$31)</f>
        <v/>
      </c>
      <c r="J30" t="str">
        <f>IF([2]Entry!$C$33="","",[2]Entry!$C$33)</f>
        <v/>
      </c>
      <c r="K30" t="str">
        <f>IF([2]Entry!$D$33="","",[2]Entry!$D$33)</f>
        <v/>
      </c>
      <c r="L30" t="str">
        <f>IF([2]Entry!$E$33="","",[2]Entry!$E$33)</f>
        <v/>
      </c>
      <c r="M30" t="str">
        <f>IF([2]Entry!$G$33="","",[2]Entry!$G$33)</f>
        <v/>
      </c>
      <c r="N30" t="str">
        <f>IF([2]Entry!$M$33="","",[2]Entry!$M$33)</f>
        <v/>
      </c>
      <c r="O30" t="str">
        <f>IF([2]Entry!$N$33="","",[2]Entry!$N$33)</f>
        <v/>
      </c>
      <c r="P30" t="str">
        <f>IF([2]Entry!$R$33="","",[2]Entry!$R$33)</f>
        <v/>
      </c>
    </row>
    <row r="31" spans="1:16" x14ac:dyDescent="0.2">
      <c r="A31" t="str">
        <f>IF([1]Accounts!$D$32="","",[1]Accounts!$A$32)</f>
        <v>C026</v>
      </c>
      <c r="B31" t="str">
        <f>IF([1]Accounts!$D$32="","",[1]Accounts!$B$32)</f>
        <v>فروشنده</v>
      </c>
      <c r="C31">
        <f>IF([1]Accounts!$D$32="","",[1]Accounts!$C$32)</f>
        <v>0</v>
      </c>
      <c r="D31" t="str">
        <f>IF([1]Accounts!$D$32="","",[1]Accounts!$D$32)</f>
        <v>حسین شکرالله نیا</v>
      </c>
      <c r="E31">
        <f>IF([1]Accounts!$D$32="","",[1]Accounts!$J$32)</f>
        <v>0</v>
      </c>
      <c r="F31">
        <f>IF([1]Accounts!$D$32="","",[1]Accounts!$K$32)</f>
        <v>0</v>
      </c>
      <c r="H31" t="str">
        <f>IF([1]Baskets!$B$32="","",[1]Baskets!$B$32)</f>
        <v/>
      </c>
      <c r="J31" t="str">
        <f>IF([2]Entry!$C$34="","",[2]Entry!$C$34)</f>
        <v/>
      </c>
      <c r="K31" t="str">
        <f>IF([2]Entry!$D$34="","",[2]Entry!$D$34)</f>
        <v/>
      </c>
      <c r="L31" t="str">
        <f>IF([2]Entry!$E$34="","",[2]Entry!$E$34)</f>
        <v/>
      </c>
      <c r="M31" t="str">
        <f>IF([2]Entry!$G$34="","",[2]Entry!$G$34)</f>
        <v/>
      </c>
      <c r="N31" t="str">
        <f>IF([2]Entry!$M$34="","",[2]Entry!$M$34)</f>
        <v/>
      </c>
      <c r="O31" t="str">
        <f>IF([2]Entry!$N$34="","",[2]Entry!$N$34)</f>
        <v/>
      </c>
      <c r="P31" t="str">
        <f>IF([2]Entry!$R$34="","",[2]Entry!$R$34)</f>
        <v/>
      </c>
    </row>
    <row r="32" spans="1:16" x14ac:dyDescent="0.2">
      <c r="A32" t="str">
        <f>IF([1]Accounts!$D$33="","",[1]Accounts!$A$33)</f>
        <v>C027</v>
      </c>
      <c r="B32" t="str">
        <f>IF([1]Accounts!$D$33="","",[1]Accounts!$B$33)</f>
        <v>فروشنده</v>
      </c>
      <c r="C32">
        <f>IF([1]Accounts!$D$33="","",[1]Accounts!$C$33)</f>
        <v>0</v>
      </c>
      <c r="D32" t="str">
        <f>IF([1]Accounts!$D$33="","",[1]Accounts!$D$33)</f>
        <v>سید مهدی حسینی(دوست حاج هوشنگ)</v>
      </c>
      <c r="E32">
        <f>IF([1]Accounts!$D$33="","",[1]Accounts!$J$33)</f>
        <v>0</v>
      </c>
      <c r="F32">
        <f>IF([1]Accounts!$D$33="","",[1]Accounts!$K$33)</f>
        <v>0</v>
      </c>
      <c r="H32" t="str">
        <f>IF([1]Baskets!$B$33="","",[1]Baskets!$B$33)</f>
        <v/>
      </c>
      <c r="J32" t="str">
        <f>IF([2]Entry!$C$35="","",[2]Entry!$C$35)</f>
        <v/>
      </c>
      <c r="K32" t="str">
        <f>IF([2]Entry!$D$35="","",[2]Entry!$D$35)</f>
        <v/>
      </c>
      <c r="L32" t="str">
        <f>IF([2]Entry!$E$35="","",[2]Entry!$E$35)</f>
        <v/>
      </c>
      <c r="M32" t="str">
        <f>IF([2]Entry!$G$35="","",[2]Entry!$G$35)</f>
        <v/>
      </c>
      <c r="N32" t="str">
        <f>IF([2]Entry!$M$35="","",[2]Entry!$M$35)</f>
        <v/>
      </c>
      <c r="O32" t="str">
        <f>IF([2]Entry!$N$35="","",[2]Entry!$N$35)</f>
        <v/>
      </c>
      <c r="P32" t="str">
        <f>IF([2]Entry!$R$35="","",[2]Entry!$R$35)</f>
        <v/>
      </c>
    </row>
    <row r="33" spans="1:16" x14ac:dyDescent="0.2">
      <c r="A33" t="str">
        <f>IF([1]Accounts!$D$34="","",[1]Accounts!$A$34)</f>
        <v>C028</v>
      </c>
      <c r="B33" t="str">
        <f>IF([1]Accounts!$D$34="","",[1]Accounts!$B$34)</f>
        <v>فروشنده</v>
      </c>
      <c r="C33">
        <f>IF([1]Accounts!$D$34="","",[1]Accounts!$C$34)</f>
        <v>0</v>
      </c>
      <c r="D33" t="str">
        <f>IF([1]Accounts!$D$34="","",[1]Accounts!$D$34)</f>
        <v>آقای عزیزی</v>
      </c>
      <c r="E33">
        <f>IF([1]Accounts!$D$34="","",[1]Accounts!$J$34)</f>
        <v>0</v>
      </c>
      <c r="F33">
        <f>IF([1]Accounts!$D$34="","",[1]Accounts!$K$34)</f>
        <v>0</v>
      </c>
      <c r="H33" t="str">
        <f>IF([1]Baskets!$B$34="","",[1]Baskets!$B$34)</f>
        <v/>
      </c>
      <c r="J33" t="str">
        <f>IF([2]Entry!$C$36="","",[2]Entry!$C$36)</f>
        <v/>
      </c>
      <c r="K33" t="str">
        <f>IF([2]Entry!$D$36="","",[2]Entry!$D$36)</f>
        <v/>
      </c>
      <c r="L33" t="str">
        <f>IF([2]Entry!$E$36="","",[2]Entry!$E$36)</f>
        <v/>
      </c>
      <c r="M33" t="str">
        <f>IF([2]Entry!$G$36="","",[2]Entry!$G$36)</f>
        <v/>
      </c>
      <c r="N33" t="str">
        <f>IF([2]Entry!$M$36="","",[2]Entry!$M$36)</f>
        <v/>
      </c>
      <c r="O33" t="str">
        <f>IF([2]Entry!$N$36="","",[2]Entry!$N$36)</f>
        <v/>
      </c>
      <c r="P33" t="str">
        <f>IF([2]Entry!$R$36="","",[2]Entry!$R$36)</f>
        <v/>
      </c>
    </row>
    <row r="34" spans="1:16" x14ac:dyDescent="0.2">
      <c r="A34" t="str">
        <f>IF([1]Accounts!$D$35="","",[1]Accounts!$A$35)</f>
        <v>C029</v>
      </c>
      <c r="B34" t="str">
        <f>IF([1]Accounts!$D$35="","",[1]Accounts!$B$35)</f>
        <v>فروشنده</v>
      </c>
      <c r="C34">
        <f>IF([1]Accounts!$D$35="","",[1]Accounts!$C$35)</f>
        <v>0</v>
      </c>
      <c r="D34" t="str">
        <f>IF([1]Accounts!$D$35="","",[1]Accounts!$D$35)</f>
        <v>آقای حبیبی(بانک صادرات)</v>
      </c>
      <c r="E34">
        <f>IF([1]Accounts!$D$35="","",[1]Accounts!$J$35)</f>
        <v>0</v>
      </c>
      <c r="F34">
        <f>IF([1]Accounts!$D$35="","",[1]Accounts!$K$35)</f>
        <v>0</v>
      </c>
      <c r="H34" t="str">
        <f>IF([1]Baskets!$B$35="","",[1]Baskets!$B$35)</f>
        <v/>
      </c>
      <c r="J34" t="str">
        <f>IF([2]Entry!$C$37="","",[2]Entry!$C$37)</f>
        <v/>
      </c>
      <c r="K34" t="str">
        <f>IF([2]Entry!$D$37="","",[2]Entry!$D$37)</f>
        <v/>
      </c>
      <c r="L34" t="str">
        <f>IF([2]Entry!$E$37="","",[2]Entry!$E$37)</f>
        <v/>
      </c>
      <c r="M34" t="str">
        <f>IF([2]Entry!$G$37="","",[2]Entry!$G$37)</f>
        <v/>
      </c>
      <c r="N34" t="str">
        <f>IF([2]Entry!$M$37="","",[2]Entry!$M$37)</f>
        <v/>
      </c>
      <c r="O34" t="str">
        <f>IF([2]Entry!$N$37="","",[2]Entry!$N$37)</f>
        <v/>
      </c>
      <c r="P34" t="str">
        <f>IF([2]Entry!$R$37="","",[2]Entry!$R$37)</f>
        <v/>
      </c>
    </row>
    <row r="35" spans="1:16" x14ac:dyDescent="0.2">
      <c r="A35" t="str">
        <f>IF([1]Accounts!$D$36="","",[1]Accounts!$A$36)</f>
        <v>C030</v>
      </c>
      <c r="B35" t="str">
        <f>IF([1]Accounts!$D$36="","",[1]Accounts!$B$36)</f>
        <v>فروشنده</v>
      </c>
      <c r="C35">
        <f>IF([1]Accounts!$D$36="","",[1]Accounts!$C$36)</f>
        <v>0</v>
      </c>
      <c r="D35" t="str">
        <f>IF([1]Accounts!$D$36="","",[1]Accounts!$D$36)</f>
        <v>محمد علی اصغرزاده</v>
      </c>
      <c r="E35">
        <f>IF([1]Accounts!$D$36="","",[1]Accounts!$J$36)</f>
        <v>0</v>
      </c>
      <c r="F35">
        <f>IF([1]Accounts!$D$36="","",[1]Accounts!$K$36)</f>
        <v>0</v>
      </c>
      <c r="H35" t="str">
        <f>IF([1]Baskets!$B$36="","",[1]Baskets!$B$36)</f>
        <v/>
      </c>
      <c r="J35" t="str">
        <f>IF([2]Entry!$C$38="","",[2]Entry!$C$38)</f>
        <v/>
      </c>
      <c r="K35" t="str">
        <f>IF([2]Entry!$D$38="","",[2]Entry!$D$38)</f>
        <v/>
      </c>
      <c r="L35" t="str">
        <f>IF([2]Entry!$E$38="","",[2]Entry!$E$38)</f>
        <v/>
      </c>
      <c r="M35" t="str">
        <f>IF([2]Entry!$G$38="","",[2]Entry!$G$38)</f>
        <v/>
      </c>
      <c r="N35" t="str">
        <f>IF([2]Entry!$M$38="","",[2]Entry!$M$38)</f>
        <v/>
      </c>
      <c r="O35" t="str">
        <f>IF([2]Entry!$N$38="","",[2]Entry!$N$38)</f>
        <v/>
      </c>
      <c r="P35" t="str">
        <f>IF([2]Entry!$R$38="","",[2]Entry!$R$38)</f>
        <v/>
      </c>
    </row>
    <row r="36" spans="1:16" x14ac:dyDescent="0.2">
      <c r="A36" t="str">
        <f>IF([1]Accounts!$D$37="","",[1]Accounts!$A$37)</f>
        <v>C031</v>
      </c>
      <c r="B36" t="str">
        <f>IF([1]Accounts!$D$37="","",[1]Accounts!$B$37)</f>
        <v>فروشنده</v>
      </c>
      <c r="C36">
        <f>IF([1]Accounts!$D$37="","",[1]Accounts!$C$37)</f>
        <v>0</v>
      </c>
      <c r="D36" t="str">
        <f>IF([1]Accounts!$D$37="","",[1]Accounts!$D$37)</f>
        <v>فغان پور</v>
      </c>
      <c r="E36">
        <f>IF([1]Accounts!$D$37="","",[1]Accounts!$J$37)</f>
        <v>0</v>
      </c>
      <c r="F36">
        <f>IF([1]Accounts!$D$37="","",[1]Accounts!$K$37)</f>
        <v>0</v>
      </c>
      <c r="J36" t="str">
        <f>IF([2]Entry!$C$39="","",[2]Entry!$C$39)</f>
        <v/>
      </c>
      <c r="K36" t="str">
        <f>IF([2]Entry!$D$39="","",[2]Entry!$D$39)</f>
        <v/>
      </c>
      <c r="L36" t="str">
        <f>IF([2]Entry!$E$39="","",[2]Entry!$E$39)</f>
        <v/>
      </c>
      <c r="M36" t="str">
        <f>IF([2]Entry!$G$39="","",[2]Entry!$G$39)</f>
        <v/>
      </c>
      <c r="N36" t="str">
        <f>IF([2]Entry!$M$39="","",[2]Entry!$M$39)</f>
        <v/>
      </c>
      <c r="O36" t="str">
        <f>IF([2]Entry!$N$39="","",[2]Entry!$N$39)</f>
        <v/>
      </c>
      <c r="P36" t="str">
        <f>IF([2]Entry!$R$39="","",[2]Entry!$R$39)</f>
        <v/>
      </c>
    </row>
    <row r="37" spans="1:16" x14ac:dyDescent="0.2">
      <c r="A37" t="str">
        <f>IF([1]Accounts!$D$38="","",[1]Accounts!$A$38)</f>
        <v>C032</v>
      </c>
      <c r="B37" t="str">
        <f>IF([1]Accounts!$D$38="","",[1]Accounts!$B$38)</f>
        <v>فروشنده</v>
      </c>
      <c r="C37">
        <f>IF([1]Accounts!$D$38="","",[1]Accounts!$C$38)</f>
        <v>0</v>
      </c>
      <c r="D37" t="str">
        <f>IF([1]Accounts!$D$38="","",[1]Accounts!$D$38)</f>
        <v>عباس پور(بهنمیر)</v>
      </c>
      <c r="E37">
        <f>IF([1]Accounts!$D$38="","",[1]Accounts!$J$38)</f>
        <v>0</v>
      </c>
      <c r="F37">
        <f>IF([1]Accounts!$D$38="","",[1]Accounts!$K$38)</f>
        <v>0</v>
      </c>
      <c r="J37" t="str">
        <f>IF([2]Entry!$C$40="","",[2]Entry!$C$40)</f>
        <v/>
      </c>
      <c r="K37" t="str">
        <f>IF([2]Entry!$D$40="","",[2]Entry!$D$40)</f>
        <v/>
      </c>
      <c r="L37" t="str">
        <f>IF([2]Entry!$E$40="","",[2]Entry!$E$40)</f>
        <v/>
      </c>
      <c r="M37" t="str">
        <f>IF([2]Entry!$G$40="","",[2]Entry!$G$40)</f>
        <v/>
      </c>
      <c r="N37" t="str">
        <f>IF([2]Entry!$M$40="","",[2]Entry!$M$40)</f>
        <v/>
      </c>
      <c r="O37" t="str">
        <f>IF([2]Entry!$N$40="","",[2]Entry!$N$40)</f>
        <v/>
      </c>
      <c r="P37" t="str">
        <f>IF([2]Entry!$R$40="","",[2]Entry!$R$40)</f>
        <v/>
      </c>
    </row>
    <row r="38" spans="1:16" x14ac:dyDescent="0.2">
      <c r="A38" t="str">
        <f>IF([1]Accounts!$D$39="","",[1]Accounts!$A$39)</f>
        <v>C033</v>
      </c>
      <c r="B38" t="str">
        <f>IF([1]Accounts!$D$39="","",[1]Accounts!$B$39)</f>
        <v>فروشنده</v>
      </c>
      <c r="C38">
        <f>IF([1]Accounts!$D$39="","",[1]Accounts!$C$39)</f>
        <v>0</v>
      </c>
      <c r="D38" t="str">
        <f>IF([1]Accounts!$D$39="","",[1]Accounts!$D$39)</f>
        <v>رمضان خانیا(فرهاد پلنگ)</v>
      </c>
      <c r="E38">
        <f>IF([1]Accounts!$D$39="","",[1]Accounts!$J$39)</f>
        <v>0</v>
      </c>
      <c r="F38">
        <f>IF([1]Accounts!$D$39="","",[1]Accounts!$K$39)</f>
        <v>0</v>
      </c>
      <c r="J38" t="str">
        <f>IF([2]Entry!$C$41="","",[2]Entry!$C$41)</f>
        <v/>
      </c>
      <c r="K38" t="str">
        <f>IF([2]Entry!$D$41="","",[2]Entry!$D$41)</f>
        <v/>
      </c>
      <c r="L38" t="str">
        <f>IF([2]Entry!$E$41="","",[2]Entry!$E$41)</f>
        <v/>
      </c>
      <c r="M38" t="str">
        <f>IF([2]Entry!$G$41="","",[2]Entry!$G$41)</f>
        <v/>
      </c>
      <c r="N38" t="str">
        <f>IF([2]Entry!$M$41="","",[2]Entry!$M$41)</f>
        <v/>
      </c>
      <c r="O38" t="str">
        <f>IF([2]Entry!$N$41="","",[2]Entry!$N$41)</f>
        <v/>
      </c>
      <c r="P38" t="str">
        <f>IF([2]Entry!$R$41="","",[2]Entry!$R$41)</f>
        <v/>
      </c>
    </row>
    <row r="39" spans="1:16" x14ac:dyDescent="0.2">
      <c r="A39" t="str">
        <f>IF([1]Accounts!$D$40="","",[1]Accounts!$A$40)</f>
        <v>C034</v>
      </c>
      <c r="B39" t="str">
        <f>IF([1]Accounts!$D$40="","",[1]Accounts!$B$40)</f>
        <v>فروشنده</v>
      </c>
      <c r="C39">
        <f>IF([1]Accounts!$D$40="","",[1]Accounts!$C$40)</f>
        <v>0</v>
      </c>
      <c r="D39" t="str">
        <f>IF([1]Accounts!$D$40="","",[1]Accounts!$D$40)</f>
        <v>محمد رضایی</v>
      </c>
      <c r="E39">
        <f>IF([1]Accounts!$D$40="","",[1]Accounts!$J$40)</f>
        <v>0</v>
      </c>
      <c r="F39">
        <f>IF([1]Accounts!$D$40="","",[1]Accounts!$K$40)</f>
        <v>0</v>
      </c>
      <c r="J39" t="str">
        <f>IF([2]Entry!$C$42="","",[2]Entry!$C$42)</f>
        <v/>
      </c>
      <c r="K39" t="str">
        <f>IF([2]Entry!$D$42="","",[2]Entry!$D$42)</f>
        <v/>
      </c>
      <c r="L39" t="str">
        <f>IF([2]Entry!$E$42="","",[2]Entry!$E$42)</f>
        <v/>
      </c>
      <c r="M39" t="str">
        <f>IF([2]Entry!$G$42="","",[2]Entry!$G$42)</f>
        <v/>
      </c>
      <c r="N39" t="str">
        <f>IF([2]Entry!$M$42="","",[2]Entry!$M$42)</f>
        <v/>
      </c>
      <c r="O39" t="str">
        <f>IF([2]Entry!$N$42="","",[2]Entry!$N$42)</f>
        <v/>
      </c>
      <c r="P39" t="str">
        <f>IF([2]Entry!$R$42="","",[2]Entry!$R$42)</f>
        <v/>
      </c>
    </row>
    <row r="40" spans="1:16" x14ac:dyDescent="0.2">
      <c r="A40" t="str">
        <f>IF([1]Accounts!$D$41="","",[1]Accounts!$A$41)</f>
        <v>C035</v>
      </c>
      <c r="B40" t="str">
        <f>IF([1]Accounts!$D$41="","",[1]Accounts!$B$41)</f>
        <v>فروشنده</v>
      </c>
      <c r="C40">
        <f>IF([1]Accounts!$D$41="","",[1]Accounts!$C$41)</f>
        <v>0</v>
      </c>
      <c r="D40" t="str">
        <f>IF([1]Accounts!$D$41="","",[1]Accounts!$D$41)</f>
        <v>داریوش اسماعیلی</v>
      </c>
      <c r="E40">
        <f>IF([1]Accounts!$D$41="","",[1]Accounts!$J$41)</f>
        <v>0</v>
      </c>
      <c r="F40">
        <f>IF([1]Accounts!$D$41="","",[1]Accounts!$K$41)</f>
        <v>0</v>
      </c>
      <c r="J40" t="str">
        <f>IF([2]Entry!$C$43="","",[2]Entry!$C$43)</f>
        <v/>
      </c>
      <c r="K40" t="str">
        <f>IF([2]Entry!$D$43="","",[2]Entry!$D$43)</f>
        <v/>
      </c>
      <c r="L40" t="str">
        <f>IF([2]Entry!$E$43="","",[2]Entry!$E$43)</f>
        <v/>
      </c>
      <c r="M40" t="str">
        <f>IF([2]Entry!$G$43="","",[2]Entry!$G$43)</f>
        <v/>
      </c>
      <c r="N40" t="str">
        <f>IF([2]Entry!$M$43="","",[2]Entry!$M$43)</f>
        <v/>
      </c>
      <c r="O40" t="str">
        <f>IF([2]Entry!$N$43="","",[2]Entry!$N$43)</f>
        <v/>
      </c>
      <c r="P40" t="str">
        <f>IF([2]Entry!$R$43="","",[2]Entry!$R$43)</f>
        <v/>
      </c>
    </row>
    <row r="41" spans="1:16" x14ac:dyDescent="0.2">
      <c r="A41" t="str">
        <f>IF([1]Accounts!$D$42="","",[1]Accounts!$A$42)</f>
        <v>C036</v>
      </c>
      <c r="B41" t="str">
        <f>IF([1]Accounts!$D$42="","",[1]Accounts!$B$42)</f>
        <v>فروشنده</v>
      </c>
      <c r="C41">
        <f>IF([1]Accounts!$D$42="","",[1]Accounts!$C$42)</f>
        <v>0</v>
      </c>
      <c r="D41" t="str">
        <f>IF([1]Accounts!$D$42="","",[1]Accounts!$D$42)</f>
        <v>محسن قبادی</v>
      </c>
      <c r="E41">
        <f>IF([1]Accounts!$D$42="","",[1]Accounts!$J$42)</f>
        <v>0</v>
      </c>
      <c r="F41">
        <f>IF([1]Accounts!$D$42="","",[1]Accounts!$K$42)</f>
        <v>0</v>
      </c>
      <c r="J41" t="str">
        <f>IF([2]Entry!$C$44="","",[2]Entry!$C$44)</f>
        <v/>
      </c>
      <c r="K41" t="str">
        <f>IF([2]Entry!$D$44="","",[2]Entry!$D$44)</f>
        <v/>
      </c>
      <c r="L41" t="str">
        <f>IF([2]Entry!$E$44="","",[2]Entry!$E$44)</f>
        <v/>
      </c>
      <c r="M41" t="str">
        <f>IF([2]Entry!$G$44="","",[2]Entry!$G$44)</f>
        <v/>
      </c>
      <c r="N41" t="str">
        <f>IF([2]Entry!$M$44="","",[2]Entry!$M$44)</f>
        <v/>
      </c>
      <c r="O41" t="str">
        <f>IF([2]Entry!$N$44="","",[2]Entry!$N$44)</f>
        <v/>
      </c>
      <c r="P41" t="str">
        <f>IF([2]Entry!$R$44="","",[2]Entry!$R$44)</f>
        <v/>
      </c>
    </row>
    <row r="42" spans="1:16" x14ac:dyDescent="0.2">
      <c r="A42" t="str">
        <f>IF([1]Accounts!$D$43="","",[1]Accounts!$A$43)</f>
        <v>C037</v>
      </c>
      <c r="B42" t="str">
        <f>IF([1]Accounts!$D$43="","",[1]Accounts!$B$43)</f>
        <v>فروشنده</v>
      </c>
      <c r="C42">
        <f>IF([1]Accounts!$D$43="","",[1]Accounts!$C$43)</f>
        <v>0</v>
      </c>
      <c r="D42" t="str">
        <f>IF([1]Accounts!$D$43="","",[1]Accounts!$D$43)</f>
        <v>خانم قلی پور(یوسف نیا)</v>
      </c>
      <c r="E42">
        <f>IF([1]Accounts!$D$43="","",[1]Accounts!$J$43)</f>
        <v>0</v>
      </c>
      <c r="F42">
        <f>IF([1]Accounts!$D$43="","",[1]Accounts!$K$43)</f>
        <v>0</v>
      </c>
      <c r="J42" t="str">
        <f>IF([2]Entry!$C$45="","",[2]Entry!$C$45)</f>
        <v/>
      </c>
      <c r="K42" t="str">
        <f>IF([2]Entry!$D$45="","",[2]Entry!$D$45)</f>
        <v/>
      </c>
      <c r="L42" t="str">
        <f>IF([2]Entry!$E$45="","",[2]Entry!$E$45)</f>
        <v/>
      </c>
      <c r="M42" t="str">
        <f>IF([2]Entry!$G$45="","",[2]Entry!$G$45)</f>
        <v/>
      </c>
      <c r="N42" t="str">
        <f>IF([2]Entry!$M$45="","",[2]Entry!$M$45)</f>
        <v/>
      </c>
      <c r="O42" t="str">
        <f>IF([2]Entry!$N$45="","",[2]Entry!$N$45)</f>
        <v/>
      </c>
      <c r="P42" t="str">
        <f>IF([2]Entry!$R$45="","",[2]Entry!$R$45)</f>
        <v/>
      </c>
    </row>
    <row r="43" spans="1:16" x14ac:dyDescent="0.2">
      <c r="A43" t="str">
        <f>IF([1]Accounts!$D$44="","",[1]Accounts!$A$44)</f>
        <v>C038</v>
      </c>
      <c r="B43" t="str">
        <f>IF([1]Accounts!$D$44="","",[1]Accounts!$B$44)</f>
        <v>فروشنده</v>
      </c>
      <c r="C43">
        <f>IF([1]Accounts!$D$44="","",[1]Accounts!$C$44)</f>
        <v>0</v>
      </c>
      <c r="D43" t="str">
        <f>IF([1]Accounts!$D$44="","",[1]Accounts!$D$44)</f>
        <v>مهدی ولیپور</v>
      </c>
      <c r="E43">
        <f>IF([1]Accounts!$D$44="","",[1]Accounts!$J$44)</f>
        <v>0</v>
      </c>
      <c r="F43">
        <f>IF([1]Accounts!$D$44="","",[1]Accounts!$K$44)</f>
        <v>0</v>
      </c>
      <c r="J43" t="str">
        <f>IF([2]Entry!$C$46="","",[2]Entry!$C$46)</f>
        <v/>
      </c>
      <c r="K43" t="str">
        <f>IF([2]Entry!$D$46="","",[2]Entry!$D$46)</f>
        <v/>
      </c>
      <c r="L43" t="str">
        <f>IF([2]Entry!$E$46="","",[2]Entry!$E$46)</f>
        <v/>
      </c>
      <c r="M43" t="str">
        <f>IF([2]Entry!$G$46="","",[2]Entry!$G$46)</f>
        <v/>
      </c>
      <c r="N43" t="str">
        <f>IF([2]Entry!$M$46="","",[2]Entry!$M$46)</f>
        <v/>
      </c>
      <c r="O43" t="str">
        <f>IF([2]Entry!$N$46="","",[2]Entry!$N$46)</f>
        <v/>
      </c>
      <c r="P43" t="str">
        <f>IF([2]Entry!$R$46="","",[2]Entry!$R$46)</f>
        <v/>
      </c>
    </row>
    <row r="44" spans="1:16" x14ac:dyDescent="0.2">
      <c r="A44" t="str">
        <f>IF([1]Accounts!$D$45="","",[1]Accounts!$A$45)</f>
        <v>C039</v>
      </c>
      <c r="B44" t="str">
        <f>IF([1]Accounts!$D$45="","",[1]Accounts!$B$45)</f>
        <v>فروشنده</v>
      </c>
      <c r="C44">
        <f>IF([1]Accounts!$D$45="","",[1]Accounts!$C$45)</f>
        <v>0</v>
      </c>
      <c r="D44" t="str">
        <f>IF([1]Accounts!$D$45="","",[1]Accounts!$D$45)</f>
        <v>رمضان علی محمدیان</v>
      </c>
      <c r="E44">
        <f>IF([1]Accounts!$D$45="","",[1]Accounts!$J$45)</f>
        <v>0</v>
      </c>
      <c r="F44">
        <f>IF([1]Accounts!$D$45="","",[1]Accounts!$K$45)</f>
        <v>0</v>
      </c>
      <c r="J44" t="str">
        <f>IF([2]Entry!$C$47="","",[2]Entry!$C$47)</f>
        <v/>
      </c>
      <c r="K44" t="str">
        <f>IF([2]Entry!$D$47="","",[2]Entry!$D$47)</f>
        <v/>
      </c>
      <c r="L44" t="str">
        <f>IF([2]Entry!$E$47="","",[2]Entry!$E$47)</f>
        <v/>
      </c>
      <c r="M44" t="str">
        <f>IF([2]Entry!$G$47="","",[2]Entry!$G$47)</f>
        <v/>
      </c>
      <c r="N44" t="str">
        <f>IF([2]Entry!$M$47="","",[2]Entry!$M$47)</f>
        <v/>
      </c>
      <c r="O44" t="str">
        <f>IF([2]Entry!$N$47="","",[2]Entry!$N$47)</f>
        <v/>
      </c>
      <c r="P44" t="str">
        <f>IF([2]Entry!$R$47="","",[2]Entry!$R$47)</f>
        <v/>
      </c>
    </row>
    <row r="45" spans="1:16" x14ac:dyDescent="0.2">
      <c r="A45" t="str">
        <f>IF([1]Accounts!$D$46="","",[1]Accounts!$A$46)</f>
        <v>C040</v>
      </c>
      <c r="B45" t="str">
        <f>IF([1]Accounts!$D$46="","",[1]Accounts!$B$46)</f>
        <v>فروشنده</v>
      </c>
      <c r="C45">
        <f>IF([1]Accounts!$D$46="","",[1]Accounts!$C$46)</f>
        <v>0</v>
      </c>
      <c r="D45" t="str">
        <f>IF([1]Accounts!$D$46="","",[1]Accounts!$D$46)</f>
        <v>محمود آهنگر</v>
      </c>
      <c r="E45">
        <f>IF([1]Accounts!$D$46="","",[1]Accounts!$J$46)</f>
        <v>0</v>
      </c>
      <c r="F45">
        <f>IF([1]Accounts!$D$46="","",[1]Accounts!$K$46)</f>
        <v>0</v>
      </c>
      <c r="J45" t="str">
        <f>IF([2]Entry!$C$48="","",[2]Entry!$C$48)</f>
        <v/>
      </c>
      <c r="K45" t="str">
        <f>IF([2]Entry!$D$48="","",[2]Entry!$D$48)</f>
        <v/>
      </c>
      <c r="L45" t="str">
        <f>IF([2]Entry!$E$48="","",[2]Entry!$E$48)</f>
        <v/>
      </c>
      <c r="M45" t="str">
        <f>IF([2]Entry!$G$48="","",[2]Entry!$G$48)</f>
        <v/>
      </c>
      <c r="N45" t="str">
        <f>IF([2]Entry!$M$48="","",[2]Entry!$M$48)</f>
        <v/>
      </c>
      <c r="O45" t="str">
        <f>IF([2]Entry!$N$48="","",[2]Entry!$N$48)</f>
        <v/>
      </c>
      <c r="P45" t="str">
        <f>IF([2]Entry!$R$48="","",[2]Entry!$R$48)</f>
        <v/>
      </c>
    </row>
    <row r="46" spans="1:16" x14ac:dyDescent="0.2">
      <c r="A46" t="str">
        <f>IF([1]Accounts!$D$47="","",[1]Accounts!$A$47)</f>
        <v>C041</v>
      </c>
      <c r="B46" t="str">
        <f>IF([1]Accounts!$D$47="","",[1]Accounts!$B$47)</f>
        <v>فروشنده</v>
      </c>
      <c r="C46">
        <f>IF([1]Accounts!$D$47="","",[1]Accounts!$C$47)</f>
        <v>0</v>
      </c>
      <c r="D46" t="str">
        <f>IF([1]Accounts!$D$47="","",[1]Accounts!$D$47)</f>
        <v>محمد حسین عزیزی</v>
      </c>
      <c r="E46">
        <f>IF([1]Accounts!$D$47="","",[1]Accounts!$J$47)</f>
        <v>0</v>
      </c>
      <c r="F46">
        <f>IF([1]Accounts!$D$47="","",[1]Accounts!$K$47)</f>
        <v>0</v>
      </c>
      <c r="J46" t="str">
        <f>IF([2]Entry!$C$49="","",[2]Entry!$C$49)</f>
        <v/>
      </c>
      <c r="K46" t="str">
        <f>IF([2]Entry!$D$49="","",[2]Entry!$D$49)</f>
        <v/>
      </c>
      <c r="L46" t="str">
        <f>IF([2]Entry!$E$49="","",[2]Entry!$E$49)</f>
        <v/>
      </c>
      <c r="M46" t="str">
        <f>IF([2]Entry!$G$49="","",[2]Entry!$G$49)</f>
        <v/>
      </c>
      <c r="N46" t="str">
        <f>IF([2]Entry!$M$49="","",[2]Entry!$M$49)</f>
        <v/>
      </c>
      <c r="O46" t="str">
        <f>IF([2]Entry!$N$49="","",[2]Entry!$N$49)</f>
        <v/>
      </c>
      <c r="P46" t="str">
        <f>IF([2]Entry!$R$49="","",[2]Entry!$R$49)</f>
        <v/>
      </c>
    </row>
    <row r="47" spans="1:16" x14ac:dyDescent="0.2">
      <c r="A47" t="str">
        <f>IF([1]Accounts!$D$48="","",[1]Accounts!$A$48)</f>
        <v>C042</v>
      </c>
      <c r="B47" t="str">
        <f>IF([1]Accounts!$D$48="","",[1]Accounts!$B$48)</f>
        <v>فروشنده</v>
      </c>
      <c r="C47">
        <f>IF([1]Accounts!$D$48="","",[1]Accounts!$C$48)</f>
        <v>0</v>
      </c>
      <c r="D47" t="str">
        <f>IF([1]Accounts!$D$48="","",[1]Accounts!$D$48)</f>
        <v>مغداد طلایی</v>
      </c>
      <c r="E47">
        <f>IF([1]Accounts!$D$48="","",[1]Accounts!$J$48)</f>
        <v>0</v>
      </c>
      <c r="F47">
        <f>IF([1]Accounts!$D$48="","",[1]Accounts!$K$48)</f>
        <v>0</v>
      </c>
      <c r="J47" t="str">
        <f>IF([2]Entry!$C$50="","",[2]Entry!$C$50)</f>
        <v/>
      </c>
      <c r="K47" t="str">
        <f>IF([2]Entry!$D$50="","",[2]Entry!$D$50)</f>
        <v/>
      </c>
      <c r="L47" t="str">
        <f>IF([2]Entry!$E$50="","",[2]Entry!$E$50)</f>
        <v/>
      </c>
      <c r="M47" t="str">
        <f>IF([2]Entry!$G$50="","",[2]Entry!$G$50)</f>
        <v/>
      </c>
      <c r="N47" t="str">
        <f>IF([2]Entry!$M$50="","",[2]Entry!$M$50)</f>
        <v/>
      </c>
      <c r="O47" t="str">
        <f>IF([2]Entry!$N$50="","",[2]Entry!$N$50)</f>
        <v/>
      </c>
      <c r="P47" t="str">
        <f>IF([2]Entry!$R$50="","",[2]Entry!$R$50)</f>
        <v/>
      </c>
    </row>
    <row r="48" spans="1:16" x14ac:dyDescent="0.2">
      <c r="A48" t="str">
        <f>IF([1]Accounts!$D$49="","",[1]Accounts!$A$49)</f>
        <v>C043</v>
      </c>
      <c r="B48" t="str">
        <f>IF([1]Accounts!$D$49="","",[1]Accounts!$B$49)</f>
        <v>فروشنده</v>
      </c>
      <c r="C48">
        <f>IF([1]Accounts!$D$49="","",[1]Accounts!$C$49)</f>
        <v>0</v>
      </c>
      <c r="D48" t="str">
        <f>IF([1]Accounts!$D$49="","",[1]Accounts!$D$49)</f>
        <v>سید عبدالله میراقازاده</v>
      </c>
      <c r="E48">
        <f>IF([1]Accounts!$D$49="","",[1]Accounts!$J$49)</f>
        <v>0</v>
      </c>
      <c r="F48">
        <f>IF([1]Accounts!$D$49="","",[1]Accounts!$K$49)</f>
        <v>0</v>
      </c>
      <c r="J48" t="str">
        <f>IF([2]Entry!$C$51="","",[2]Entry!$C$51)</f>
        <v/>
      </c>
      <c r="K48" t="str">
        <f>IF([2]Entry!$D$51="","",[2]Entry!$D$51)</f>
        <v/>
      </c>
      <c r="L48" t="str">
        <f>IF([2]Entry!$E$51="","",[2]Entry!$E$51)</f>
        <v/>
      </c>
      <c r="M48" t="str">
        <f>IF([2]Entry!$G$51="","",[2]Entry!$G$51)</f>
        <v/>
      </c>
      <c r="N48" t="str">
        <f>IF([2]Entry!$M$51="","",[2]Entry!$M$51)</f>
        <v/>
      </c>
      <c r="O48" t="str">
        <f>IF([2]Entry!$N$51="","",[2]Entry!$N$51)</f>
        <v/>
      </c>
      <c r="P48" t="str">
        <f>IF([2]Entry!$R$51="","",[2]Entry!$R$51)</f>
        <v/>
      </c>
    </row>
    <row r="49" spans="1:16" x14ac:dyDescent="0.2">
      <c r="A49" t="str">
        <f>IF([1]Accounts!$D$50="","",[1]Accounts!$A$50)</f>
        <v>C044</v>
      </c>
      <c r="B49" t="str">
        <f>IF([1]Accounts!$D$50="","",[1]Accounts!$B$50)</f>
        <v>فروشنده</v>
      </c>
      <c r="C49">
        <f>IF([1]Accounts!$D$50="","",[1]Accounts!$C$50)</f>
        <v>0</v>
      </c>
      <c r="D49" t="str">
        <f>IF([1]Accounts!$D$50="","",[1]Accounts!$D$50)</f>
        <v>رجب پور</v>
      </c>
      <c r="E49">
        <f>IF([1]Accounts!$D$50="","",[1]Accounts!$J$50)</f>
        <v>0</v>
      </c>
      <c r="F49">
        <f>IF([1]Accounts!$D$50="","",[1]Accounts!$K$50)</f>
        <v>0</v>
      </c>
      <c r="J49" t="str">
        <f>IF([2]Entry!$C$52="","",[2]Entry!$C$52)</f>
        <v/>
      </c>
      <c r="K49" t="str">
        <f>IF([2]Entry!$D$52="","",[2]Entry!$D$52)</f>
        <v/>
      </c>
      <c r="L49" t="str">
        <f>IF([2]Entry!$E$52="","",[2]Entry!$E$52)</f>
        <v/>
      </c>
      <c r="M49" t="str">
        <f>IF([2]Entry!$G$52="","",[2]Entry!$G$52)</f>
        <v/>
      </c>
      <c r="N49" t="str">
        <f>IF([2]Entry!$M$52="","",[2]Entry!$M$52)</f>
        <v/>
      </c>
      <c r="O49" t="str">
        <f>IF([2]Entry!$N$52="","",[2]Entry!$N$52)</f>
        <v/>
      </c>
      <c r="P49" t="str">
        <f>IF([2]Entry!$R$52="","",[2]Entry!$R$52)</f>
        <v/>
      </c>
    </row>
    <row r="50" spans="1:16" x14ac:dyDescent="0.2">
      <c r="A50" t="str">
        <f>IF([1]Accounts!$D$51="","",[1]Accounts!$A$51)</f>
        <v>C045</v>
      </c>
      <c r="B50" t="str">
        <f>IF([1]Accounts!$D$51="","",[1]Accounts!$B$51)</f>
        <v>فروشنده</v>
      </c>
      <c r="C50">
        <f>IF([1]Accounts!$D$51="","",[1]Accounts!$C$51)</f>
        <v>0</v>
      </c>
      <c r="D50" t="str">
        <f>IF([1]Accounts!$D$51="","",[1]Accounts!$D$51)</f>
        <v>سعید بابایی</v>
      </c>
      <c r="E50">
        <f>IF([1]Accounts!$D$51="","",[1]Accounts!$J$51)</f>
        <v>0</v>
      </c>
      <c r="F50">
        <f>IF([1]Accounts!$D$51="","",[1]Accounts!$K$51)</f>
        <v>0</v>
      </c>
      <c r="J50" t="str">
        <f>IF([2]Entry!$C$53="","",[2]Entry!$C$53)</f>
        <v/>
      </c>
      <c r="K50" t="str">
        <f>IF([2]Entry!$D$53="","",[2]Entry!$D$53)</f>
        <v/>
      </c>
      <c r="L50" t="str">
        <f>IF([2]Entry!$E$53="","",[2]Entry!$E$53)</f>
        <v/>
      </c>
      <c r="M50" t="str">
        <f>IF([2]Entry!$G$53="","",[2]Entry!$G$53)</f>
        <v/>
      </c>
      <c r="N50" t="str">
        <f>IF([2]Entry!$M$53="","",[2]Entry!$M$53)</f>
        <v/>
      </c>
      <c r="O50" t="str">
        <f>IF([2]Entry!$N$53="","",[2]Entry!$N$53)</f>
        <v/>
      </c>
      <c r="P50" t="str">
        <f>IF([2]Entry!$R$53="","",[2]Entry!$R$53)</f>
        <v/>
      </c>
    </row>
    <row r="51" spans="1:16" x14ac:dyDescent="0.2">
      <c r="A51" t="str">
        <f>IF([1]Accounts!$D$52="","",[1]Accounts!$A$52)</f>
        <v>C046</v>
      </c>
      <c r="B51" t="str">
        <f>IF([1]Accounts!$D$52="","",[1]Accounts!$B$52)</f>
        <v>فروشنده</v>
      </c>
      <c r="C51">
        <f>IF([1]Accounts!$D$52="","",[1]Accounts!$C$52)</f>
        <v>0</v>
      </c>
      <c r="D51" t="str">
        <f>IF([1]Accounts!$D$52="","",[1]Accounts!$D$52)</f>
        <v>مطلب عیسی پور</v>
      </c>
      <c r="E51">
        <f>IF([1]Accounts!$D$52="","",[1]Accounts!$J$52)</f>
        <v>0</v>
      </c>
      <c r="F51">
        <f>IF([1]Accounts!$D$52="","",[1]Accounts!$K$52)</f>
        <v>0</v>
      </c>
      <c r="J51" t="str">
        <f>IF([2]Entry!$C$54="","",[2]Entry!$C$54)</f>
        <v/>
      </c>
      <c r="K51" t="str">
        <f>IF([2]Entry!$D$54="","",[2]Entry!$D$54)</f>
        <v/>
      </c>
      <c r="L51" t="str">
        <f>IF([2]Entry!$E$54="","",[2]Entry!$E$54)</f>
        <v/>
      </c>
      <c r="M51" t="str">
        <f>IF([2]Entry!$G$54="","",[2]Entry!$G$54)</f>
        <v/>
      </c>
      <c r="N51" t="str">
        <f>IF([2]Entry!$M$54="","",[2]Entry!$M$54)</f>
        <v/>
      </c>
      <c r="O51" t="str">
        <f>IF([2]Entry!$N$54="","",[2]Entry!$N$54)</f>
        <v/>
      </c>
      <c r="P51" t="str">
        <f>IF([2]Entry!$R$54="","",[2]Entry!$R$54)</f>
        <v/>
      </c>
    </row>
    <row r="52" spans="1:16" x14ac:dyDescent="0.2">
      <c r="A52" t="str">
        <f>IF([1]Accounts!$D$53="","",[1]Accounts!$A$53)</f>
        <v/>
      </c>
      <c r="B52" t="str">
        <f>IF([1]Accounts!$D$53="","",[1]Accounts!$B$53)</f>
        <v/>
      </c>
      <c r="C52" t="str">
        <f>IF([1]Accounts!$D$53="","",[1]Accounts!$C$53)</f>
        <v/>
      </c>
      <c r="D52" t="str">
        <f>IF([1]Accounts!$D$53="","",[1]Accounts!$D$53)</f>
        <v/>
      </c>
      <c r="E52" t="str">
        <f>IF([1]Accounts!$D$53="","",[1]Accounts!$J$53)</f>
        <v/>
      </c>
      <c r="F52" t="str">
        <f>IF([1]Accounts!$D$53="","",[1]Accounts!$K$53)</f>
        <v/>
      </c>
      <c r="J52" t="str">
        <f>IF([2]Entry!$C$55="","",[2]Entry!$C$55)</f>
        <v/>
      </c>
      <c r="K52" t="str">
        <f>IF([2]Entry!$D$55="","",[2]Entry!$D$55)</f>
        <v/>
      </c>
      <c r="L52" t="str">
        <f>IF([2]Entry!$E$55="","",[2]Entry!$E$55)</f>
        <v/>
      </c>
      <c r="M52" t="str">
        <f>IF([2]Entry!$G$55="","",[2]Entry!$G$55)</f>
        <v/>
      </c>
      <c r="N52" t="str">
        <f>IF([2]Entry!$M$55="","",[2]Entry!$M$55)</f>
        <v/>
      </c>
      <c r="O52" t="str">
        <f>IF([2]Entry!$N$55="","",[2]Entry!$N$55)</f>
        <v/>
      </c>
      <c r="P52" t="str">
        <f>IF([2]Entry!$R$55="","",[2]Entry!$R$55)</f>
        <v/>
      </c>
    </row>
    <row r="53" spans="1:16" x14ac:dyDescent="0.2">
      <c r="A53" t="str">
        <f>IF([1]Accounts!$D$54="","",[1]Accounts!$A$54)</f>
        <v>C048</v>
      </c>
      <c r="B53" t="str">
        <f>IF([1]Accounts!$D$54="","",[1]Accounts!$B$54)</f>
        <v>فروشنده</v>
      </c>
      <c r="C53">
        <f>IF([1]Accounts!$D$54="","",[1]Accounts!$C$54)</f>
        <v>0</v>
      </c>
      <c r="D53" t="str">
        <f>IF([1]Accounts!$D$54="","",[1]Accounts!$D$54)</f>
        <v>تقی اصغرنیا</v>
      </c>
      <c r="E53">
        <f>IF([1]Accounts!$D$54="","",[1]Accounts!$J$54)</f>
        <v>0</v>
      </c>
      <c r="F53">
        <f>IF([1]Accounts!$D$54="","",[1]Accounts!$K$54)</f>
        <v>0</v>
      </c>
      <c r="J53" t="str">
        <f>IF([2]Entry!$C$56="","",[2]Entry!$C$56)</f>
        <v/>
      </c>
      <c r="K53" t="str">
        <f>IF([2]Entry!$D$56="","",[2]Entry!$D$56)</f>
        <v/>
      </c>
      <c r="L53" t="str">
        <f>IF([2]Entry!$E$56="","",[2]Entry!$E$56)</f>
        <v/>
      </c>
      <c r="M53" t="str">
        <f>IF([2]Entry!$G$56="","",[2]Entry!$G$56)</f>
        <v/>
      </c>
      <c r="N53" t="str">
        <f>IF([2]Entry!$M$56="","",[2]Entry!$M$56)</f>
        <v/>
      </c>
      <c r="O53" t="str">
        <f>IF([2]Entry!$N$56="","",[2]Entry!$N$56)</f>
        <v/>
      </c>
      <c r="P53" t="str">
        <f>IF([2]Entry!$R$56="","",[2]Entry!$R$56)</f>
        <v/>
      </c>
    </row>
    <row r="54" spans="1:16" x14ac:dyDescent="0.2">
      <c r="A54" t="str">
        <f>IF([1]Accounts!$D$55="","",[1]Accounts!$A$55)</f>
        <v>C049</v>
      </c>
      <c r="B54" t="str">
        <f>IF([1]Accounts!$D$55="","",[1]Accounts!$B$55)</f>
        <v>فروشنده</v>
      </c>
      <c r="C54">
        <f>IF([1]Accounts!$D$55="","",[1]Accounts!$C$55)</f>
        <v>0</v>
      </c>
      <c r="D54" t="str">
        <f>IF([1]Accounts!$D$55="","",[1]Accounts!$D$55)</f>
        <v>مدانلو</v>
      </c>
      <c r="E54">
        <f>IF([1]Accounts!$D$55="","",[1]Accounts!$J$55)</f>
        <v>0</v>
      </c>
      <c r="F54">
        <f>IF([1]Accounts!$D$55="","",[1]Accounts!$K$55)</f>
        <v>0</v>
      </c>
      <c r="J54" t="str">
        <f>IF([2]Entry!$C$57="","",[2]Entry!$C$57)</f>
        <v/>
      </c>
      <c r="K54" t="str">
        <f>IF([2]Entry!$D$57="","",[2]Entry!$D$57)</f>
        <v/>
      </c>
      <c r="L54" t="str">
        <f>IF([2]Entry!$E$57="","",[2]Entry!$E$57)</f>
        <v/>
      </c>
      <c r="M54" t="str">
        <f>IF([2]Entry!$G$57="","",[2]Entry!$G$57)</f>
        <v/>
      </c>
      <c r="N54" t="str">
        <f>IF([2]Entry!$M$57="","",[2]Entry!$M$57)</f>
        <v/>
      </c>
      <c r="O54" t="str">
        <f>IF([2]Entry!$N$57="","",[2]Entry!$N$57)</f>
        <v/>
      </c>
      <c r="P54" t="str">
        <f>IF([2]Entry!$R$57="","",[2]Entry!$R$57)</f>
        <v/>
      </c>
    </row>
    <row r="55" spans="1:16" x14ac:dyDescent="0.2">
      <c r="A55" t="str">
        <f>IF([1]Accounts!$D$56="","",[1]Accounts!$A$56)</f>
        <v>C050</v>
      </c>
      <c r="B55" t="str">
        <f>IF([1]Accounts!$D$56="","",[1]Accounts!$B$56)</f>
        <v>فروشنده</v>
      </c>
      <c r="C55">
        <f>IF([1]Accounts!$D$56="","",[1]Accounts!$C$56)</f>
        <v>0</v>
      </c>
      <c r="D55" t="str">
        <f>IF([1]Accounts!$D$56="","",[1]Accounts!$D$56)</f>
        <v>خدیجه اصغرنیا</v>
      </c>
      <c r="E55">
        <f>IF([1]Accounts!$D$56="","",[1]Accounts!$J$56)</f>
        <v>0</v>
      </c>
      <c r="F55">
        <f>IF([1]Accounts!$D$56="","",[1]Accounts!$K$56)</f>
        <v>0</v>
      </c>
      <c r="J55" t="str">
        <f>IF([2]Entry!$C$58="","",[2]Entry!$C$58)</f>
        <v/>
      </c>
      <c r="K55" t="str">
        <f>IF([2]Entry!$D$58="","",[2]Entry!$D$58)</f>
        <v/>
      </c>
      <c r="L55" t="str">
        <f>IF([2]Entry!$E$58="","",[2]Entry!$E$58)</f>
        <v/>
      </c>
      <c r="M55" t="str">
        <f>IF([2]Entry!$G$58="","",[2]Entry!$G$58)</f>
        <v/>
      </c>
      <c r="N55" t="str">
        <f>IF([2]Entry!$M$58="","",[2]Entry!$M$58)</f>
        <v/>
      </c>
      <c r="O55" t="str">
        <f>IF([2]Entry!$N$58="","",[2]Entry!$N$58)</f>
        <v/>
      </c>
      <c r="P55" t="str">
        <f>IF([2]Entry!$R$58="","",[2]Entry!$R$58)</f>
        <v/>
      </c>
    </row>
    <row r="56" spans="1:16" x14ac:dyDescent="0.2">
      <c r="A56" t="str">
        <f>IF([1]Accounts!$D$57="","",[1]Accounts!$A$57)</f>
        <v>C051</v>
      </c>
      <c r="B56" t="str">
        <f>IF([1]Accounts!$D$57="","",[1]Accounts!$B$57)</f>
        <v>فروشنده</v>
      </c>
      <c r="C56">
        <f>IF([1]Accounts!$D$57="","",[1]Accounts!$C$57)</f>
        <v>0</v>
      </c>
      <c r="D56" t="str">
        <f>IF([1]Accounts!$D$57="","",[1]Accounts!$D$57)</f>
        <v>اصغر عزیزی</v>
      </c>
      <c r="E56">
        <f>IF([1]Accounts!$D$57="","",[1]Accounts!$J$57)</f>
        <v>0</v>
      </c>
      <c r="F56">
        <f>IF([1]Accounts!$D$57="","",[1]Accounts!$K$57)</f>
        <v>0</v>
      </c>
      <c r="J56" t="str">
        <f>IF([2]Entry!$C$59="","",[2]Entry!$C$59)</f>
        <v/>
      </c>
      <c r="K56" t="str">
        <f>IF([2]Entry!$D$59="","",[2]Entry!$D$59)</f>
        <v/>
      </c>
      <c r="L56" t="str">
        <f>IF([2]Entry!$E$59="","",[2]Entry!$E$59)</f>
        <v/>
      </c>
      <c r="M56" t="str">
        <f>IF([2]Entry!$G$59="","",[2]Entry!$G$59)</f>
        <v/>
      </c>
      <c r="N56" t="str">
        <f>IF([2]Entry!$M$59="","",[2]Entry!$M$59)</f>
        <v/>
      </c>
      <c r="O56" t="str">
        <f>IF([2]Entry!$N$59="","",[2]Entry!$N$59)</f>
        <v/>
      </c>
      <c r="P56" t="str">
        <f>IF([2]Entry!$R$59="","",[2]Entry!$R$59)</f>
        <v/>
      </c>
    </row>
    <row r="57" spans="1:16" x14ac:dyDescent="0.2">
      <c r="A57" t="str">
        <f>IF([1]Accounts!$D$58="","",[1]Accounts!$A$58)</f>
        <v>C052</v>
      </c>
      <c r="B57" t="str">
        <f>IF([1]Accounts!$D$58="","",[1]Accounts!$B$58)</f>
        <v>فروشنده</v>
      </c>
      <c r="C57">
        <f>IF([1]Accounts!$D$58="","",[1]Accounts!$C$58)</f>
        <v>0</v>
      </c>
      <c r="D57" t="str">
        <f>IF([1]Accounts!$D$58="","",[1]Accounts!$D$58)</f>
        <v>غلامی</v>
      </c>
      <c r="E57">
        <f>IF([1]Accounts!$D$58="","",[1]Accounts!$J$58)</f>
        <v>0</v>
      </c>
      <c r="F57">
        <f>IF([1]Accounts!$D$58="","",[1]Accounts!$K$58)</f>
        <v>0</v>
      </c>
      <c r="J57" t="str">
        <f>IF([2]Entry!$C$60="","",[2]Entry!$C$60)</f>
        <v/>
      </c>
      <c r="K57" t="str">
        <f>IF([2]Entry!$D$60="","",[2]Entry!$D$60)</f>
        <v/>
      </c>
      <c r="L57" t="str">
        <f>IF([2]Entry!$E$60="","",[2]Entry!$E$60)</f>
        <v/>
      </c>
      <c r="M57" t="str">
        <f>IF([2]Entry!$G$60="","",[2]Entry!$G$60)</f>
        <v/>
      </c>
      <c r="N57" t="str">
        <f>IF([2]Entry!$M$60="","",[2]Entry!$M$60)</f>
        <v/>
      </c>
      <c r="O57" t="str">
        <f>IF([2]Entry!$N$60="","",[2]Entry!$N$60)</f>
        <v/>
      </c>
      <c r="P57" t="str">
        <f>IF([2]Entry!$R$60="","",[2]Entry!$R$60)</f>
        <v/>
      </c>
    </row>
    <row r="58" spans="1:16" x14ac:dyDescent="0.2">
      <c r="A58" t="str">
        <f>IF([1]Accounts!$D$59="","",[1]Accounts!$A$59)</f>
        <v>C053</v>
      </c>
      <c r="B58" t="str">
        <f>IF([1]Accounts!$D$59="","",[1]Accounts!$B$59)</f>
        <v>فروشنده</v>
      </c>
      <c r="C58">
        <f>IF([1]Accounts!$D$59="","",[1]Accounts!$C$59)</f>
        <v>0</v>
      </c>
      <c r="D58" t="str">
        <f>IF([1]Accounts!$D$59="","",[1]Accounts!$D$59)</f>
        <v>علی عزیزنژاد</v>
      </c>
      <c r="E58">
        <f>IF([1]Accounts!$D$59="","",[1]Accounts!$J$59)</f>
        <v>0</v>
      </c>
      <c r="F58">
        <f>IF([1]Accounts!$D$59="","",[1]Accounts!$K$59)</f>
        <v>0</v>
      </c>
      <c r="J58" t="str">
        <f>IF([2]Entry!$C$61="","",[2]Entry!$C$61)</f>
        <v/>
      </c>
      <c r="K58" t="str">
        <f>IF([2]Entry!$D$61="","",[2]Entry!$D$61)</f>
        <v/>
      </c>
      <c r="L58" t="str">
        <f>IF([2]Entry!$E$61="","",[2]Entry!$E$61)</f>
        <v/>
      </c>
      <c r="M58" t="str">
        <f>IF([2]Entry!$G$61="","",[2]Entry!$G$61)</f>
        <v/>
      </c>
      <c r="N58" t="str">
        <f>IF([2]Entry!$M$61="","",[2]Entry!$M$61)</f>
        <v/>
      </c>
      <c r="O58" t="str">
        <f>IF([2]Entry!$N$61="","",[2]Entry!$N$61)</f>
        <v/>
      </c>
      <c r="P58" t="str">
        <f>IF([2]Entry!$R$61="","",[2]Entry!$R$61)</f>
        <v/>
      </c>
    </row>
    <row r="59" spans="1:16" x14ac:dyDescent="0.2">
      <c r="A59" t="str">
        <f>IF([1]Accounts!$D$60="","",[1]Accounts!$A$60)</f>
        <v>C054</v>
      </c>
      <c r="B59" t="str">
        <f>IF([1]Accounts!$D$60="","",[1]Accounts!$B$60)</f>
        <v>فروشنده</v>
      </c>
      <c r="C59">
        <f>IF([1]Accounts!$D$60="","",[1]Accounts!$C$60)</f>
        <v>0</v>
      </c>
      <c r="D59" t="str">
        <f>IF([1]Accounts!$D$60="","",[1]Accounts!$D$60)</f>
        <v>حسن عیسی پور</v>
      </c>
      <c r="E59">
        <f>IF([1]Accounts!$D$60="","",[1]Accounts!$J$60)</f>
        <v>0</v>
      </c>
      <c r="F59">
        <f>IF([1]Accounts!$D$60="","",[1]Accounts!$K$60)</f>
        <v>0</v>
      </c>
      <c r="J59" t="str">
        <f>IF([2]Entry!$C$62="","",[2]Entry!$C$62)</f>
        <v/>
      </c>
      <c r="K59" t="str">
        <f>IF([2]Entry!$D$62="","",[2]Entry!$D$62)</f>
        <v/>
      </c>
      <c r="L59" t="str">
        <f>IF([2]Entry!$E$62="","",[2]Entry!$E$62)</f>
        <v/>
      </c>
      <c r="M59" t="str">
        <f>IF([2]Entry!$G$62="","",[2]Entry!$G$62)</f>
        <v/>
      </c>
      <c r="N59" t="str">
        <f>IF([2]Entry!$M$62="","",[2]Entry!$M$62)</f>
        <v/>
      </c>
      <c r="O59" t="str">
        <f>IF([2]Entry!$N$62="","",[2]Entry!$N$62)</f>
        <v/>
      </c>
      <c r="P59" t="str">
        <f>IF([2]Entry!$R$62="","",[2]Entry!$R$62)</f>
        <v/>
      </c>
    </row>
    <row r="60" spans="1:16" x14ac:dyDescent="0.2">
      <c r="A60" t="str">
        <f>IF([1]Accounts!$D$61="","",[1]Accounts!$A$61)</f>
        <v>C055</v>
      </c>
      <c r="B60" t="str">
        <f>IF([1]Accounts!$D$61="","",[1]Accounts!$B$61)</f>
        <v>فروشنده</v>
      </c>
      <c r="C60">
        <f>IF([1]Accounts!$D$61="","",[1]Accounts!$C$61)</f>
        <v>0</v>
      </c>
      <c r="D60" t="str">
        <f>IF([1]Accounts!$D$61="","",[1]Accounts!$D$61)</f>
        <v>عسگری محمودی</v>
      </c>
      <c r="E60">
        <f>IF([1]Accounts!$D$61="","",[1]Accounts!$J$61)</f>
        <v>0</v>
      </c>
      <c r="F60">
        <f>IF([1]Accounts!$D$61="","",[1]Accounts!$K$61)</f>
        <v>0</v>
      </c>
      <c r="J60" t="str">
        <f>IF([2]Entry!$C$63="","",[2]Entry!$C$63)</f>
        <v/>
      </c>
      <c r="K60" t="str">
        <f>IF([2]Entry!$D$63="","",[2]Entry!$D$63)</f>
        <v/>
      </c>
      <c r="L60" t="str">
        <f>IF([2]Entry!$E$63="","",[2]Entry!$E$63)</f>
        <v/>
      </c>
      <c r="M60" t="str">
        <f>IF([2]Entry!$G$63="","",[2]Entry!$G$63)</f>
        <v/>
      </c>
      <c r="N60" t="str">
        <f>IF([2]Entry!$M$63="","",[2]Entry!$M$63)</f>
        <v/>
      </c>
      <c r="O60" t="str">
        <f>IF([2]Entry!$N$63="","",[2]Entry!$N$63)</f>
        <v/>
      </c>
      <c r="P60" t="str">
        <f>IF([2]Entry!$R$63="","",[2]Entry!$R$63)</f>
        <v/>
      </c>
    </row>
    <row r="61" spans="1:16" x14ac:dyDescent="0.2">
      <c r="A61" t="str">
        <f>IF([1]Accounts!$D$62="","",[1]Accounts!$A$62)</f>
        <v>C056</v>
      </c>
      <c r="B61" t="str">
        <f>IF([1]Accounts!$D$62="","",[1]Accounts!$B$62)</f>
        <v>فروشنده</v>
      </c>
      <c r="C61">
        <f>IF([1]Accounts!$D$62="","",[1]Accounts!$C$62)</f>
        <v>0</v>
      </c>
      <c r="D61" t="str">
        <f>IF([1]Accounts!$D$62="","",[1]Accounts!$D$62)</f>
        <v>اسماعیل حیدری</v>
      </c>
      <c r="E61">
        <f>IF([1]Accounts!$D$62="","",[1]Accounts!$J$62)</f>
        <v>0</v>
      </c>
      <c r="F61">
        <f>IF([1]Accounts!$D$62="","",[1]Accounts!$K$62)</f>
        <v>0</v>
      </c>
      <c r="J61" t="str">
        <f>IF([2]Entry!$C$64="","",[2]Entry!$C$64)</f>
        <v/>
      </c>
      <c r="K61" t="str">
        <f>IF([2]Entry!$D$64="","",[2]Entry!$D$64)</f>
        <v/>
      </c>
      <c r="L61" t="str">
        <f>IF([2]Entry!$E$64="","",[2]Entry!$E$64)</f>
        <v/>
      </c>
      <c r="M61" t="str">
        <f>IF([2]Entry!$G$64="","",[2]Entry!$G$64)</f>
        <v/>
      </c>
      <c r="N61" t="str">
        <f>IF([2]Entry!$M$64="","",[2]Entry!$M$64)</f>
        <v/>
      </c>
      <c r="O61" t="str">
        <f>IF([2]Entry!$N$64="","",[2]Entry!$N$64)</f>
        <v/>
      </c>
      <c r="P61" t="str">
        <f>IF([2]Entry!$R$64="","",[2]Entry!$R$64)</f>
        <v/>
      </c>
    </row>
    <row r="62" spans="1:16" x14ac:dyDescent="0.2">
      <c r="A62" t="str">
        <f>IF([1]Accounts!$D$63="","",[1]Accounts!$A$63)</f>
        <v>C057</v>
      </c>
      <c r="B62" t="str">
        <f>IF([1]Accounts!$D$63="","",[1]Accounts!$B$63)</f>
        <v>فروشنده</v>
      </c>
      <c r="C62">
        <f>IF([1]Accounts!$D$63="","",[1]Accounts!$C$63)</f>
        <v>0</v>
      </c>
      <c r="D62" t="str">
        <f>IF([1]Accounts!$D$63="","",[1]Accounts!$D$63)</f>
        <v>کبری اصغرنیا</v>
      </c>
      <c r="E62">
        <f>IF([1]Accounts!$D$63="","",[1]Accounts!$J$63)</f>
        <v>0</v>
      </c>
      <c r="F62">
        <f>IF([1]Accounts!$D$63="","",[1]Accounts!$K$63)</f>
        <v>0</v>
      </c>
      <c r="J62" t="str">
        <f>IF([2]Entry!$C$65="","",[2]Entry!$C$65)</f>
        <v/>
      </c>
      <c r="K62" t="str">
        <f>IF([2]Entry!$D$65="","",[2]Entry!$D$65)</f>
        <v/>
      </c>
      <c r="L62" t="str">
        <f>IF([2]Entry!$E$65="","",[2]Entry!$E$65)</f>
        <v/>
      </c>
      <c r="M62" t="str">
        <f>IF([2]Entry!$G$65="","",[2]Entry!$G$65)</f>
        <v/>
      </c>
      <c r="N62" t="str">
        <f>IF([2]Entry!$M$65="","",[2]Entry!$M$65)</f>
        <v/>
      </c>
      <c r="O62" t="str">
        <f>IF([2]Entry!$N$65="","",[2]Entry!$N$65)</f>
        <v/>
      </c>
      <c r="P62" t="str">
        <f>IF([2]Entry!$R$65="","",[2]Entry!$R$65)</f>
        <v/>
      </c>
    </row>
    <row r="63" spans="1:16" x14ac:dyDescent="0.2">
      <c r="A63" t="str">
        <f>IF([1]Accounts!$D$64="","",[1]Accounts!$A$64)</f>
        <v>C058</v>
      </c>
      <c r="B63" t="str">
        <f>IF([1]Accounts!$D$64="","",[1]Accounts!$B$64)</f>
        <v>فروشنده</v>
      </c>
      <c r="C63">
        <f>IF([1]Accounts!$D$64="","",[1]Accounts!$C$64)</f>
        <v>0</v>
      </c>
      <c r="D63" t="str">
        <f>IF([1]Accounts!$D$64="","",[1]Accounts!$D$64)</f>
        <v>حسین زاده(کیاکلا)</v>
      </c>
      <c r="E63">
        <f>IF([1]Accounts!$D$64="","",[1]Accounts!$J$64)</f>
        <v>0</v>
      </c>
      <c r="F63">
        <f>IF([1]Accounts!$D$64="","",[1]Accounts!$K$64)</f>
        <v>0</v>
      </c>
      <c r="J63" t="str">
        <f>IF([2]Entry!$C$66="","",[2]Entry!$C$66)</f>
        <v/>
      </c>
      <c r="K63" t="str">
        <f>IF([2]Entry!$D$66="","",[2]Entry!$D$66)</f>
        <v/>
      </c>
      <c r="L63" t="str">
        <f>IF([2]Entry!$E$66="","",[2]Entry!$E$66)</f>
        <v/>
      </c>
      <c r="M63" t="str">
        <f>IF([2]Entry!$G$66="","",[2]Entry!$G$66)</f>
        <v/>
      </c>
      <c r="N63" t="str">
        <f>IF([2]Entry!$M$66="","",[2]Entry!$M$66)</f>
        <v/>
      </c>
      <c r="O63" t="str">
        <f>IF([2]Entry!$N$66="","",[2]Entry!$N$66)</f>
        <v/>
      </c>
      <c r="P63" t="str">
        <f>IF([2]Entry!$R$66="","",[2]Entry!$R$66)</f>
        <v/>
      </c>
    </row>
    <row r="64" spans="1:16" x14ac:dyDescent="0.2">
      <c r="A64" t="str">
        <f>IF([1]Accounts!$D$65="","",[1]Accounts!$A$65)</f>
        <v>C059</v>
      </c>
      <c r="B64" t="str">
        <f>IF([1]Accounts!$D$65="","",[1]Accounts!$B$65)</f>
        <v>فروشنده</v>
      </c>
      <c r="C64">
        <f>IF([1]Accounts!$D$65="","",[1]Accounts!$C$65)</f>
        <v>0</v>
      </c>
      <c r="D64" t="str">
        <f>IF([1]Accounts!$D$65="","",[1]Accounts!$D$65)</f>
        <v>مجتبی اتش پیکر</v>
      </c>
      <c r="E64">
        <f>IF([1]Accounts!$D$65="","",[1]Accounts!$J$65)</f>
        <v>0</v>
      </c>
      <c r="F64">
        <f>IF([1]Accounts!$D$65="","",[1]Accounts!$K$65)</f>
        <v>0</v>
      </c>
      <c r="J64" t="str">
        <f>IF([2]Entry!$C$67="","",[2]Entry!$C$67)</f>
        <v/>
      </c>
      <c r="K64" t="str">
        <f>IF([2]Entry!$D$67="","",[2]Entry!$D$67)</f>
        <v/>
      </c>
      <c r="L64" t="str">
        <f>IF([2]Entry!$E$67="","",[2]Entry!$E$67)</f>
        <v/>
      </c>
      <c r="M64" t="str">
        <f>IF([2]Entry!$G$67="","",[2]Entry!$G$67)</f>
        <v/>
      </c>
      <c r="N64" t="str">
        <f>IF([2]Entry!$M$67="","",[2]Entry!$M$67)</f>
        <v/>
      </c>
      <c r="O64" t="str">
        <f>IF([2]Entry!$N$67="","",[2]Entry!$N$67)</f>
        <v/>
      </c>
      <c r="P64" t="str">
        <f>IF([2]Entry!$R$67="","",[2]Entry!$R$67)</f>
        <v/>
      </c>
    </row>
    <row r="65" spans="1:16" x14ac:dyDescent="0.2">
      <c r="A65" t="str">
        <f>IF([1]Accounts!$D$66="","",[1]Accounts!$A$66)</f>
        <v>C060</v>
      </c>
      <c r="B65" t="str">
        <f>IF([1]Accounts!$D$66="","",[1]Accounts!$B$66)</f>
        <v>فروشنده</v>
      </c>
      <c r="C65">
        <f>IF([1]Accounts!$D$66="","",[1]Accounts!$C$66)</f>
        <v>0</v>
      </c>
      <c r="D65" t="str">
        <f>IF([1]Accounts!$D$66="","",[1]Accounts!$D$66)</f>
        <v>سید جلیل میرحسینی</v>
      </c>
      <c r="E65">
        <f>IF([1]Accounts!$D$66="","",[1]Accounts!$J$66)</f>
        <v>0</v>
      </c>
      <c r="F65">
        <f>IF([1]Accounts!$D$66="","",[1]Accounts!$K$66)</f>
        <v>0</v>
      </c>
      <c r="J65" t="str">
        <f>IF([2]Entry!$C$68="","",[2]Entry!$C$68)</f>
        <v/>
      </c>
      <c r="K65" t="str">
        <f>IF([2]Entry!$D$68="","",[2]Entry!$D$68)</f>
        <v/>
      </c>
      <c r="L65" t="str">
        <f>IF([2]Entry!$E$68="","",[2]Entry!$E$68)</f>
        <v/>
      </c>
      <c r="M65" t="str">
        <f>IF([2]Entry!$G$68="","",[2]Entry!$G$68)</f>
        <v/>
      </c>
      <c r="N65" t="str">
        <f>IF([2]Entry!$M$68="","",[2]Entry!$M$68)</f>
        <v/>
      </c>
      <c r="O65" t="str">
        <f>IF([2]Entry!$N$68="","",[2]Entry!$N$68)</f>
        <v/>
      </c>
      <c r="P65" t="str">
        <f>IF([2]Entry!$R$68="","",[2]Entry!$R$68)</f>
        <v/>
      </c>
    </row>
    <row r="66" spans="1:16" x14ac:dyDescent="0.2">
      <c r="A66" t="str">
        <f>IF([1]Accounts!$D$67="","",[1]Accounts!$A$67)</f>
        <v>C061</v>
      </c>
      <c r="B66" t="str">
        <f>IF([1]Accounts!$D$67="","",[1]Accounts!$B$67)</f>
        <v>فروشنده</v>
      </c>
      <c r="C66">
        <f>IF([1]Accounts!$D$67="","",[1]Accounts!$C$67)</f>
        <v>0</v>
      </c>
      <c r="D66" t="str">
        <f>IF([1]Accounts!$D$67="","",[1]Accounts!$D$67)</f>
        <v>عبدالله  مهدی پور روشن</v>
      </c>
      <c r="E66">
        <f>IF([1]Accounts!$D$67="","",[1]Accounts!$J$67)</f>
        <v>0</v>
      </c>
      <c r="F66">
        <f>IF([1]Accounts!$D$67="","",[1]Accounts!$K$67)</f>
        <v>0</v>
      </c>
      <c r="J66" t="str">
        <f>IF([2]Entry!$C$69="","",[2]Entry!$C$69)</f>
        <v/>
      </c>
      <c r="K66" t="str">
        <f>IF([2]Entry!$D$69="","",[2]Entry!$D$69)</f>
        <v/>
      </c>
      <c r="L66" t="str">
        <f>IF([2]Entry!$E$69="","",[2]Entry!$E$69)</f>
        <v/>
      </c>
      <c r="M66" t="str">
        <f>IF([2]Entry!$G$69="","",[2]Entry!$G$69)</f>
        <v/>
      </c>
      <c r="N66" t="str">
        <f>IF([2]Entry!$M$69="","",[2]Entry!$M$69)</f>
        <v/>
      </c>
      <c r="O66" t="str">
        <f>IF([2]Entry!$N$69="","",[2]Entry!$N$69)</f>
        <v/>
      </c>
      <c r="P66" t="str">
        <f>IF([2]Entry!$R$69="","",[2]Entry!$R$69)</f>
        <v/>
      </c>
    </row>
    <row r="67" spans="1:16" x14ac:dyDescent="0.2">
      <c r="A67" t="str">
        <f>IF([1]Accounts!$D$68="","",[1]Accounts!$A$68)</f>
        <v/>
      </c>
      <c r="B67" t="str">
        <f>IF([1]Accounts!$D$68="","",[1]Accounts!$B$68)</f>
        <v/>
      </c>
      <c r="C67" t="str">
        <f>IF([1]Accounts!$D$68="","",[1]Accounts!$C$68)</f>
        <v/>
      </c>
      <c r="D67" t="str">
        <f>IF([1]Accounts!$D$68="","",[1]Accounts!$D$68)</f>
        <v/>
      </c>
      <c r="E67" t="str">
        <f>IF([1]Accounts!$D$68="","",[1]Accounts!$J$68)</f>
        <v/>
      </c>
      <c r="F67" t="str">
        <f>IF([1]Accounts!$D$68="","",[1]Accounts!$K$68)</f>
        <v/>
      </c>
      <c r="J67" t="str">
        <f>IF([2]Entry!$C$70="","",[2]Entry!$C$70)</f>
        <v/>
      </c>
      <c r="K67" t="str">
        <f>IF([2]Entry!$D$70="","",[2]Entry!$D$70)</f>
        <v/>
      </c>
      <c r="L67" t="str">
        <f>IF([2]Entry!$E$70="","",[2]Entry!$E$70)</f>
        <v/>
      </c>
      <c r="M67" t="str">
        <f>IF([2]Entry!$G$70="","",[2]Entry!$G$70)</f>
        <v/>
      </c>
      <c r="N67" t="str">
        <f>IF([2]Entry!$M$70="","",[2]Entry!$M$70)</f>
        <v/>
      </c>
      <c r="O67" t="str">
        <f>IF([2]Entry!$N$70="","",[2]Entry!$N$70)</f>
        <v/>
      </c>
      <c r="P67" t="str">
        <f>IF([2]Entry!$R$70="","",[2]Entry!$R$70)</f>
        <v/>
      </c>
    </row>
    <row r="68" spans="1:16" x14ac:dyDescent="0.2">
      <c r="A68" t="str">
        <f>IF([1]Accounts!$D$69="","",[1]Accounts!$A$69)</f>
        <v/>
      </c>
      <c r="B68" t="str">
        <f>IF([1]Accounts!$D$69="","",[1]Accounts!$B$69)</f>
        <v/>
      </c>
      <c r="C68" t="str">
        <f>IF([1]Accounts!$D$69="","",[1]Accounts!$C$69)</f>
        <v/>
      </c>
      <c r="D68" t="str">
        <f>IF([1]Accounts!$D$69="","",[1]Accounts!$D$69)</f>
        <v/>
      </c>
      <c r="E68" t="str">
        <f>IF([1]Accounts!$D$69="","",[1]Accounts!$J$69)</f>
        <v/>
      </c>
      <c r="F68" t="str">
        <f>IF([1]Accounts!$D$69="","",[1]Accounts!$K$69)</f>
        <v/>
      </c>
      <c r="J68" t="str">
        <f>IF([2]Entry!$C$71="","",[2]Entry!$C$71)</f>
        <v/>
      </c>
      <c r="K68" t="str">
        <f>IF([2]Entry!$D$71="","",[2]Entry!$D$71)</f>
        <v/>
      </c>
      <c r="L68" t="str">
        <f>IF([2]Entry!$E$71="","",[2]Entry!$E$71)</f>
        <v/>
      </c>
      <c r="M68" t="str">
        <f>IF([2]Entry!$G$71="","",[2]Entry!$G$71)</f>
        <v/>
      </c>
      <c r="N68" t="str">
        <f>IF([2]Entry!$M$71="","",[2]Entry!$M$71)</f>
        <v/>
      </c>
      <c r="O68" t="str">
        <f>IF([2]Entry!$N$71="","",[2]Entry!$N$71)</f>
        <v/>
      </c>
      <c r="P68" t="str">
        <f>IF([2]Entry!$R$71="","",[2]Entry!$R$71)</f>
        <v/>
      </c>
    </row>
    <row r="69" spans="1:16" x14ac:dyDescent="0.2">
      <c r="A69" t="str">
        <f>IF([1]Accounts!$D$70="","",[1]Accounts!$A$70)</f>
        <v/>
      </c>
      <c r="B69" t="str">
        <f>IF([1]Accounts!$D$70="","",[1]Accounts!$B$70)</f>
        <v/>
      </c>
      <c r="C69" t="str">
        <f>IF([1]Accounts!$D$70="","",[1]Accounts!$C$70)</f>
        <v/>
      </c>
      <c r="D69" t="str">
        <f>IF([1]Accounts!$D$70="","",[1]Accounts!$D$70)</f>
        <v/>
      </c>
      <c r="E69" t="str">
        <f>IF([1]Accounts!$D$70="","",[1]Accounts!$J$70)</f>
        <v/>
      </c>
      <c r="F69" t="str">
        <f>IF([1]Accounts!$D$70="","",[1]Accounts!$K$70)</f>
        <v/>
      </c>
      <c r="J69" t="str">
        <f>IF([2]Entry!$C$72="","",[2]Entry!$C$72)</f>
        <v/>
      </c>
      <c r="K69" t="str">
        <f>IF([2]Entry!$D$72="","",[2]Entry!$D$72)</f>
        <v/>
      </c>
      <c r="L69" t="str">
        <f>IF([2]Entry!$E$72="","",[2]Entry!$E$72)</f>
        <v/>
      </c>
      <c r="M69" t="str">
        <f>IF([2]Entry!$G$72="","",[2]Entry!$G$72)</f>
        <v/>
      </c>
      <c r="N69" t="str">
        <f>IF([2]Entry!$M$72="","",[2]Entry!$M$72)</f>
        <v/>
      </c>
      <c r="O69" t="str">
        <f>IF([2]Entry!$N$72="","",[2]Entry!$N$72)</f>
        <v/>
      </c>
      <c r="P69" t="str">
        <f>IF([2]Entry!$R$72="","",[2]Entry!$R$72)</f>
        <v/>
      </c>
    </row>
    <row r="70" spans="1:16" x14ac:dyDescent="0.2">
      <c r="A70" t="str">
        <f>IF([1]Accounts!$D$71="","",[1]Accounts!$A$71)</f>
        <v/>
      </c>
      <c r="B70" t="str">
        <f>IF([1]Accounts!$D$71="","",[1]Accounts!$B$71)</f>
        <v/>
      </c>
      <c r="C70" t="str">
        <f>IF([1]Accounts!$D$71="","",[1]Accounts!$C$71)</f>
        <v/>
      </c>
      <c r="D70" t="str">
        <f>IF([1]Accounts!$D$71="","",[1]Accounts!$D$71)</f>
        <v/>
      </c>
      <c r="E70" t="str">
        <f>IF([1]Accounts!$D$71="","",[1]Accounts!$J$71)</f>
        <v/>
      </c>
      <c r="F70" t="str">
        <f>IF([1]Accounts!$D$71="","",[1]Accounts!$K$71)</f>
        <v/>
      </c>
      <c r="J70" t="str">
        <f>IF([2]Entry!$C$73="","",[2]Entry!$C$73)</f>
        <v/>
      </c>
      <c r="K70" t="str">
        <f>IF([2]Entry!$D$73="","",[2]Entry!$D$73)</f>
        <v/>
      </c>
      <c r="L70" t="str">
        <f>IF([2]Entry!$E$73="","",[2]Entry!$E$73)</f>
        <v/>
      </c>
      <c r="M70" t="str">
        <f>IF([2]Entry!$G$73="","",[2]Entry!$G$73)</f>
        <v/>
      </c>
      <c r="N70" t="str">
        <f>IF([2]Entry!$M$73="","",[2]Entry!$M$73)</f>
        <v/>
      </c>
      <c r="O70" t="str">
        <f>IF([2]Entry!$N$73="","",[2]Entry!$N$73)</f>
        <v/>
      </c>
      <c r="P70" t="str">
        <f>IF([2]Entry!$R$73="","",[2]Entry!$R$73)</f>
        <v/>
      </c>
    </row>
    <row r="71" spans="1:16" x14ac:dyDescent="0.2">
      <c r="A71" t="str">
        <f>IF([1]Accounts!$D$72="","",[1]Accounts!$A$72)</f>
        <v/>
      </c>
      <c r="B71" t="str">
        <f>IF([1]Accounts!$D$72="","",[1]Accounts!$B$72)</f>
        <v/>
      </c>
      <c r="C71" t="str">
        <f>IF([1]Accounts!$D$72="","",[1]Accounts!$C$72)</f>
        <v/>
      </c>
      <c r="D71" t="str">
        <f>IF([1]Accounts!$D$72="","",[1]Accounts!$D$72)</f>
        <v/>
      </c>
      <c r="E71" t="str">
        <f>IF([1]Accounts!$D$72="","",[1]Accounts!$J$72)</f>
        <v/>
      </c>
      <c r="F71" t="str">
        <f>IF([1]Accounts!$D$72="","",[1]Accounts!$K$72)</f>
        <v/>
      </c>
      <c r="J71" t="str">
        <f>IF([2]Entry!$C$74="","",[2]Entry!$C$74)</f>
        <v/>
      </c>
      <c r="K71" t="str">
        <f>IF([2]Entry!$D$74="","",[2]Entry!$D$74)</f>
        <v/>
      </c>
      <c r="L71" t="str">
        <f>IF([2]Entry!$E$74="","",[2]Entry!$E$74)</f>
        <v/>
      </c>
      <c r="M71" t="str">
        <f>IF([2]Entry!$G$74="","",[2]Entry!$G$74)</f>
        <v/>
      </c>
      <c r="N71" t="str">
        <f>IF([2]Entry!$M$74="","",[2]Entry!$M$74)</f>
        <v/>
      </c>
      <c r="O71" t="str">
        <f>IF([2]Entry!$N$74="","",[2]Entry!$N$74)</f>
        <v/>
      </c>
      <c r="P71" t="str">
        <f>IF([2]Entry!$R$74="","",[2]Entry!$R$74)</f>
        <v/>
      </c>
    </row>
    <row r="72" spans="1:16" x14ac:dyDescent="0.2">
      <c r="A72" t="str">
        <f>IF([1]Accounts!$D$73="","",[1]Accounts!$A$73)</f>
        <v/>
      </c>
      <c r="B72" t="str">
        <f>IF([1]Accounts!$D$73="","",[1]Accounts!$B$73)</f>
        <v/>
      </c>
      <c r="C72" t="str">
        <f>IF([1]Accounts!$D$73="","",[1]Accounts!$C$73)</f>
        <v/>
      </c>
      <c r="D72" t="str">
        <f>IF([1]Accounts!$D$73="","",[1]Accounts!$D$73)</f>
        <v/>
      </c>
      <c r="E72" t="str">
        <f>IF([1]Accounts!$D$73="","",[1]Accounts!$J$73)</f>
        <v/>
      </c>
      <c r="F72" t="str">
        <f>IF([1]Accounts!$D$73="","",[1]Accounts!$K$73)</f>
        <v/>
      </c>
      <c r="J72" t="str">
        <f>IF([2]Entry!$C$75="","",[2]Entry!$C$75)</f>
        <v/>
      </c>
      <c r="K72" t="str">
        <f>IF([2]Entry!$D$75="","",[2]Entry!$D$75)</f>
        <v/>
      </c>
      <c r="L72" t="str">
        <f>IF([2]Entry!$E$75="","",[2]Entry!$E$75)</f>
        <v/>
      </c>
      <c r="M72" t="str">
        <f>IF([2]Entry!$G$75="","",[2]Entry!$G$75)</f>
        <v/>
      </c>
      <c r="N72" t="str">
        <f>IF([2]Entry!$M$75="","",[2]Entry!$M$75)</f>
        <v/>
      </c>
      <c r="O72" t="str">
        <f>IF([2]Entry!$N$75="","",[2]Entry!$N$75)</f>
        <v/>
      </c>
      <c r="P72" t="str">
        <f>IF([2]Entry!$R$75="","",[2]Entry!$R$75)</f>
        <v/>
      </c>
    </row>
    <row r="73" spans="1:16" x14ac:dyDescent="0.2">
      <c r="A73" t="str">
        <f>IF([1]Accounts!$D$74="","",[1]Accounts!$A$74)</f>
        <v/>
      </c>
      <c r="B73" t="str">
        <f>IF([1]Accounts!$D$74="","",[1]Accounts!$B$74)</f>
        <v/>
      </c>
      <c r="C73" t="str">
        <f>IF([1]Accounts!$D$74="","",[1]Accounts!$C$74)</f>
        <v/>
      </c>
      <c r="D73" t="str">
        <f>IF([1]Accounts!$D$74="","",[1]Accounts!$D$74)</f>
        <v/>
      </c>
      <c r="E73" t="str">
        <f>IF([1]Accounts!$D$74="","",[1]Accounts!$J$74)</f>
        <v/>
      </c>
      <c r="F73" t="str">
        <f>IF([1]Accounts!$D$74="","",[1]Accounts!$K$74)</f>
        <v/>
      </c>
      <c r="J73" t="str">
        <f>IF([2]Entry!$C$76="","",[2]Entry!$C$76)</f>
        <v/>
      </c>
      <c r="K73" t="str">
        <f>IF([2]Entry!$D$76="","",[2]Entry!$D$76)</f>
        <v/>
      </c>
      <c r="L73" t="str">
        <f>IF([2]Entry!$E$76="","",[2]Entry!$E$76)</f>
        <v/>
      </c>
      <c r="M73" t="str">
        <f>IF([2]Entry!$G$76="","",[2]Entry!$G$76)</f>
        <v/>
      </c>
      <c r="N73" t="str">
        <f>IF([2]Entry!$M$76="","",[2]Entry!$M$76)</f>
        <v/>
      </c>
      <c r="O73" t="str">
        <f>IF([2]Entry!$N$76="","",[2]Entry!$N$76)</f>
        <v/>
      </c>
      <c r="P73" t="str">
        <f>IF([2]Entry!$R$76="","",[2]Entry!$R$76)</f>
        <v/>
      </c>
    </row>
    <row r="74" spans="1:16" x14ac:dyDescent="0.2">
      <c r="A74" t="str">
        <f>IF([1]Accounts!$D$75="","",[1]Accounts!$A$75)</f>
        <v/>
      </c>
      <c r="B74" t="str">
        <f>IF([1]Accounts!$D$75="","",[1]Accounts!$B$75)</f>
        <v/>
      </c>
      <c r="C74" t="str">
        <f>IF([1]Accounts!$D$75="","",[1]Accounts!$C$75)</f>
        <v/>
      </c>
      <c r="D74" t="str">
        <f>IF([1]Accounts!$D$75="","",[1]Accounts!$D$75)</f>
        <v/>
      </c>
      <c r="E74" t="str">
        <f>IF([1]Accounts!$D$75="","",[1]Accounts!$J$75)</f>
        <v/>
      </c>
      <c r="F74" t="str">
        <f>IF([1]Accounts!$D$75="","",[1]Accounts!$K$75)</f>
        <v/>
      </c>
      <c r="J74" t="str">
        <f>IF([2]Entry!$C$77="","",[2]Entry!$C$77)</f>
        <v/>
      </c>
      <c r="K74" t="str">
        <f>IF([2]Entry!$D$77="","",[2]Entry!$D$77)</f>
        <v/>
      </c>
      <c r="L74" t="str">
        <f>IF([2]Entry!$E$77="","",[2]Entry!$E$77)</f>
        <v/>
      </c>
      <c r="M74" t="str">
        <f>IF([2]Entry!$G$77="","",[2]Entry!$G$77)</f>
        <v/>
      </c>
      <c r="N74" t="str">
        <f>IF([2]Entry!$M$77="","",[2]Entry!$M$77)</f>
        <v/>
      </c>
      <c r="O74" t="str">
        <f>IF([2]Entry!$N$77="","",[2]Entry!$N$77)</f>
        <v/>
      </c>
      <c r="P74" t="str">
        <f>IF([2]Entry!$R$77="","",[2]Entry!$R$77)</f>
        <v/>
      </c>
    </row>
    <row r="75" spans="1:16" x14ac:dyDescent="0.2">
      <c r="A75" t="str">
        <f>IF([1]Accounts!$D$76="","",[1]Accounts!$A$76)</f>
        <v/>
      </c>
      <c r="B75" t="str">
        <f>IF([1]Accounts!$D$76="","",[1]Accounts!$B$76)</f>
        <v/>
      </c>
      <c r="C75" t="str">
        <f>IF([1]Accounts!$D$76="","",[1]Accounts!$C$76)</f>
        <v/>
      </c>
      <c r="D75" t="str">
        <f>IF([1]Accounts!$D$76="","",[1]Accounts!$D$76)</f>
        <v/>
      </c>
      <c r="E75" t="str">
        <f>IF([1]Accounts!$D$76="","",[1]Accounts!$J$76)</f>
        <v/>
      </c>
      <c r="F75" t="str">
        <f>IF([1]Accounts!$D$76="","",[1]Accounts!$K$76)</f>
        <v/>
      </c>
      <c r="J75" t="str">
        <f>IF([2]Entry!$C$78="","",[2]Entry!$C$78)</f>
        <v/>
      </c>
      <c r="K75" t="str">
        <f>IF([2]Entry!$D$78="","",[2]Entry!$D$78)</f>
        <v/>
      </c>
      <c r="L75" t="str">
        <f>IF([2]Entry!$E$78="","",[2]Entry!$E$78)</f>
        <v/>
      </c>
      <c r="M75" t="str">
        <f>IF([2]Entry!$G$78="","",[2]Entry!$G$78)</f>
        <v/>
      </c>
      <c r="N75" t="str">
        <f>IF([2]Entry!$M$78="","",[2]Entry!$M$78)</f>
        <v/>
      </c>
      <c r="O75" t="str">
        <f>IF([2]Entry!$N$78="","",[2]Entry!$N$78)</f>
        <v/>
      </c>
      <c r="P75" t="str">
        <f>IF([2]Entry!$R$78="","",[2]Entry!$R$78)</f>
        <v/>
      </c>
    </row>
    <row r="76" spans="1:16" x14ac:dyDescent="0.2">
      <c r="A76" t="str">
        <f>IF([1]Accounts!$D$77="","",[1]Accounts!$A$77)</f>
        <v/>
      </c>
      <c r="B76" t="str">
        <f>IF([1]Accounts!$D$77="","",[1]Accounts!$B$77)</f>
        <v/>
      </c>
      <c r="C76" t="str">
        <f>IF([1]Accounts!$D$77="","",[1]Accounts!$C$77)</f>
        <v/>
      </c>
      <c r="D76" t="str">
        <f>IF([1]Accounts!$D$77="","",[1]Accounts!$D$77)</f>
        <v/>
      </c>
      <c r="E76" t="str">
        <f>IF([1]Accounts!$D$77="","",[1]Accounts!$J$77)</f>
        <v/>
      </c>
      <c r="F76" t="str">
        <f>IF([1]Accounts!$D$77="","",[1]Accounts!$K$77)</f>
        <v/>
      </c>
      <c r="J76" t="str">
        <f>IF([2]Entry!$C$79="","",[2]Entry!$C$79)</f>
        <v/>
      </c>
      <c r="K76" t="str">
        <f>IF([2]Entry!$D$79="","",[2]Entry!$D$79)</f>
        <v/>
      </c>
      <c r="L76" t="str">
        <f>IF([2]Entry!$E$79="","",[2]Entry!$E$79)</f>
        <v/>
      </c>
      <c r="M76" t="str">
        <f>IF([2]Entry!$G$79="","",[2]Entry!$G$79)</f>
        <v/>
      </c>
      <c r="N76" t="str">
        <f>IF([2]Entry!$M$79="","",[2]Entry!$M$79)</f>
        <v/>
      </c>
      <c r="O76" t="str">
        <f>IF([2]Entry!$N$79="","",[2]Entry!$N$79)</f>
        <v/>
      </c>
      <c r="P76" t="str">
        <f>IF([2]Entry!$R$79="","",[2]Entry!$R$79)</f>
        <v/>
      </c>
    </row>
    <row r="77" spans="1:16" x14ac:dyDescent="0.2">
      <c r="A77" t="str">
        <f>IF([1]Accounts!$D$78="","",[1]Accounts!$A$78)</f>
        <v/>
      </c>
      <c r="B77" t="str">
        <f>IF([1]Accounts!$D$78="","",[1]Accounts!$B$78)</f>
        <v/>
      </c>
      <c r="C77" t="str">
        <f>IF([1]Accounts!$D$78="","",[1]Accounts!$C$78)</f>
        <v/>
      </c>
      <c r="D77" t="str">
        <f>IF([1]Accounts!$D$78="","",[1]Accounts!$D$78)</f>
        <v/>
      </c>
      <c r="E77" t="str">
        <f>IF([1]Accounts!$D$78="","",[1]Accounts!$J$78)</f>
        <v/>
      </c>
      <c r="F77" t="str">
        <f>IF([1]Accounts!$D$78="","",[1]Accounts!$K$78)</f>
        <v/>
      </c>
      <c r="J77" t="str">
        <f>IF([2]Entry!$C$80="","",[2]Entry!$C$80)</f>
        <v/>
      </c>
      <c r="K77" t="str">
        <f>IF([2]Entry!$D$80="","",[2]Entry!$D$80)</f>
        <v/>
      </c>
      <c r="L77" t="str">
        <f>IF([2]Entry!$E$80="","",[2]Entry!$E$80)</f>
        <v/>
      </c>
      <c r="M77" t="str">
        <f>IF([2]Entry!$G$80="","",[2]Entry!$G$80)</f>
        <v/>
      </c>
      <c r="N77" t="str">
        <f>IF([2]Entry!$M$80="","",[2]Entry!$M$80)</f>
        <v/>
      </c>
      <c r="O77" t="str">
        <f>IF([2]Entry!$N$80="","",[2]Entry!$N$80)</f>
        <v/>
      </c>
      <c r="P77" t="str">
        <f>IF([2]Entry!$R$80="","",[2]Entry!$R$80)</f>
        <v/>
      </c>
    </row>
    <row r="78" spans="1:16" x14ac:dyDescent="0.2">
      <c r="A78" t="str">
        <f>IF([1]Accounts!$D$79="","",[1]Accounts!$A$79)</f>
        <v/>
      </c>
      <c r="B78" t="str">
        <f>IF([1]Accounts!$D$79="","",[1]Accounts!$B$79)</f>
        <v/>
      </c>
      <c r="C78" t="str">
        <f>IF([1]Accounts!$D$79="","",[1]Accounts!$C$79)</f>
        <v/>
      </c>
      <c r="D78" t="str">
        <f>IF([1]Accounts!$D$79="","",[1]Accounts!$D$79)</f>
        <v/>
      </c>
      <c r="E78" t="str">
        <f>IF([1]Accounts!$D$79="","",[1]Accounts!$J$79)</f>
        <v/>
      </c>
      <c r="F78" t="str">
        <f>IF([1]Accounts!$D$79="","",[1]Accounts!$K$79)</f>
        <v/>
      </c>
      <c r="J78" t="str">
        <f>IF([2]Entry!$C$81="","",[2]Entry!$C$81)</f>
        <v/>
      </c>
      <c r="K78" t="str">
        <f>IF([2]Entry!$D$81="","",[2]Entry!$D$81)</f>
        <v/>
      </c>
      <c r="L78" t="str">
        <f>IF([2]Entry!$E$81="","",[2]Entry!$E$81)</f>
        <v/>
      </c>
      <c r="M78" t="str">
        <f>IF([2]Entry!$G$81="","",[2]Entry!$G$81)</f>
        <v/>
      </c>
      <c r="N78" t="str">
        <f>IF([2]Entry!$M$81="","",[2]Entry!$M$81)</f>
        <v/>
      </c>
      <c r="O78" t="str">
        <f>IF([2]Entry!$N$81="","",[2]Entry!$N$81)</f>
        <v/>
      </c>
      <c r="P78" t="str">
        <f>IF([2]Entry!$R$81="","",[2]Entry!$R$81)</f>
        <v/>
      </c>
    </row>
    <row r="79" spans="1:16" x14ac:dyDescent="0.2">
      <c r="A79" t="str">
        <f>IF([1]Accounts!$D$80="","",[1]Accounts!$A$80)</f>
        <v/>
      </c>
      <c r="B79" t="str">
        <f>IF([1]Accounts!$D$80="","",[1]Accounts!$B$80)</f>
        <v/>
      </c>
      <c r="C79" t="str">
        <f>IF([1]Accounts!$D$80="","",[1]Accounts!$C$80)</f>
        <v/>
      </c>
      <c r="D79" t="str">
        <f>IF([1]Accounts!$D$80="","",[1]Accounts!$D$80)</f>
        <v/>
      </c>
      <c r="E79" t="str">
        <f>IF([1]Accounts!$D$80="","",[1]Accounts!$J$80)</f>
        <v/>
      </c>
      <c r="F79" t="str">
        <f>IF([1]Accounts!$D$80="","",[1]Accounts!$K$80)</f>
        <v/>
      </c>
      <c r="J79" t="str">
        <f>IF([2]Entry!$C$82="","",[2]Entry!$C$82)</f>
        <v/>
      </c>
      <c r="K79" t="str">
        <f>IF([2]Entry!$D$82="","",[2]Entry!$D$82)</f>
        <v/>
      </c>
      <c r="L79" t="str">
        <f>IF([2]Entry!$E$82="","",[2]Entry!$E$82)</f>
        <v/>
      </c>
      <c r="M79" t="str">
        <f>IF([2]Entry!$G$82="","",[2]Entry!$G$82)</f>
        <v/>
      </c>
      <c r="N79" t="str">
        <f>IF([2]Entry!$M$82="","",[2]Entry!$M$82)</f>
        <v/>
      </c>
      <c r="O79" t="str">
        <f>IF([2]Entry!$N$82="","",[2]Entry!$N$82)</f>
        <v/>
      </c>
      <c r="P79" t="str">
        <f>IF([2]Entry!$R$82="","",[2]Entry!$R$82)</f>
        <v/>
      </c>
    </row>
    <row r="80" spans="1:16" x14ac:dyDescent="0.2">
      <c r="A80" t="str">
        <f>IF([1]Accounts!$D$81="","",[1]Accounts!$A$81)</f>
        <v/>
      </c>
      <c r="B80" t="str">
        <f>IF([1]Accounts!$D$81="","",[1]Accounts!$B$81)</f>
        <v/>
      </c>
      <c r="C80" t="str">
        <f>IF([1]Accounts!$D$81="","",[1]Accounts!$C$81)</f>
        <v/>
      </c>
      <c r="D80" t="str">
        <f>IF([1]Accounts!$D$81="","",[1]Accounts!$D$81)</f>
        <v/>
      </c>
      <c r="E80" t="str">
        <f>IF([1]Accounts!$D$81="","",[1]Accounts!$J$81)</f>
        <v/>
      </c>
      <c r="F80" t="str">
        <f>IF([1]Accounts!$D$81="","",[1]Accounts!$K$81)</f>
        <v/>
      </c>
      <c r="J80" t="str">
        <f>IF([2]Entry!$C$83="","",[2]Entry!$C$83)</f>
        <v/>
      </c>
      <c r="K80" t="str">
        <f>IF([2]Entry!$D$83="","",[2]Entry!$D$83)</f>
        <v/>
      </c>
      <c r="L80" t="str">
        <f>IF([2]Entry!$E$83="","",[2]Entry!$E$83)</f>
        <v/>
      </c>
      <c r="M80" t="str">
        <f>IF([2]Entry!$G$83="","",[2]Entry!$G$83)</f>
        <v/>
      </c>
      <c r="N80" t="str">
        <f>IF([2]Entry!$M$83="","",[2]Entry!$M$83)</f>
        <v/>
      </c>
      <c r="O80" t="str">
        <f>IF([2]Entry!$N$83="","",[2]Entry!$N$83)</f>
        <v/>
      </c>
      <c r="P80" t="str">
        <f>IF([2]Entry!$R$83="","",[2]Entry!$R$83)</f>
        <v/>
      </c>
    </row>
    <row r="81" spans="1:16" x14ac:dyDescent="0.2">
      <c r="A81" t="str">
        <f>IF([1]Accounts!$D$82="","",[1]Accounts!$A$82)</f>
        <v/>
      </c>
      <c r="B81" t="str">
        <f>IF([1]Accounts!$D$82="","",[1]Accounts!$B$82)</f>
        <v/>
      </c>
      <c r="C81" t="str">
        <f>IF([1]Accounts!$D$82="","",[1]Accounts!$C$82)</f>
        <v/>
      </c>
      <c r="D81" t="str">
        <f>IF([1]Accounts!$D$82="","",[1]Accounts!$D$82)</f>
        <v/>
      </c>
      <c r="E81" t="str">
        <f>IF([1]Accounts!$D$82="","",[1]Accounts!$J$82)</f>
        <v/>
      </c>
      <c r="F81" t="str">
        <f>IF([1]Accounts!$D$82="","",[1]Accounts!$K$82)</f>
        <v/>
      </c>
      <c r="J81" t="str">
        <f>IF([2]Entry!$C$84="","",[2]Entry!$C$84)</f>
        <v/>
      </c>
      <c r="K81" t="str">
        <f>IF([2]Entry!$D$84="","",[2]Entry!$D$84)</f>
        <v/>
      </c>
      <c r="L81" t="str">
        <f>IF([2]Entry!$E$84="","",[2]Entry!$E$84)</f>
        <v/>
      </c>
      <c r="M81" t="str">
        <f>IF([2]Entry!$G$84="","",[2]Entry!$G$84)</f>
        <v/>
      </c>
      <c r="N81" t="str">
        <f>IF([2]Entry!$M$84="","",[2]Entry!$M$84)</f>
        <v/>
      </c>
      <c r="O81" t="str">
        <f>IF([2]Entry!$N$84="","",[2]Entry!$N$84)</f>
        <v/>
      </c>
      <c r="P81" t="str">
        <f>IF([2]Entry!$R$84="","",[2]Entry!$R$84)</f>
        <v/>
      </c>
    </row>
    <row r="82" spans="1:16" x14ac:dyDescent="0.2">
      <c r="A82" t="str">
        <f>IF([1]Accounts!$D$83="","",[1]Accounts!$A$83)</f>
        <v/>
      </c>
      <c r="B82" t="str">
        <f>IF([1]Accounts!$D$83="","",[1]Accounts!$B$83)</f>
        <v/>
      </c>
      <c r="C82" t="str">
        <f>IF([1]Accounts!$D$83="","",[1]Accounts!$C$83)</f>
        <v/>
      </c>
      <c r="D82" t="str">
        <f>IF([1]Accounts!$D$83="","",[1]Accounts!$D$83)</f>
        <v/>
      </c>
      <c r="E82" t="str">
        <f>IF([1]Accounts!$D$83="","",[1]Accounts!$J$83)</f>
        <v/>
      </c>
      <c r="F82" t="str">
        <f>IF([1]Accounts!$D$83="","",[1]Accounts!$K$83)</f>
        <v/>
      </c>
      <c r="J82" t="str">
        <f>IF([2]Entry!$C$85="","",[2]Entry!$C$85)</f>
        <v/>
      </c>
      <c r="K82" t="str">
        <f>IF([2]Entry!$D$85="","",[2]Entry!$D$85)</f>
        <v/>
      </c>
      <c r="L82" t="str">
        <f>IF([2]Entry!$E$85="","",[2]Entry!$E$85)</f>
        <v/>
      </c>
      <c r="M82" t="str">
        <f>IF([2]Entry!$G$85="","",[2]Entry!$G$85)</f>
        <v/>
      </c>
      <c r="N82" t="str">
        <f>IF([2]Entry!$M$85="","",[2]Entry!$M$85)</f>
        <v/>
      </c>
      <c r="O82" t="str">
        <f>IF([2]Entry!$N$85="","",[2]Entry!$N$85)</f>
        <v/>
      </c>
      <c r="P82" t="str">
        <f>IF([2]Entry!$R$85="","",[2]Entry!$R$85)</f>
        <v/>
      </c>
    </row>
    <row r="83" spans="1:16" x14ac:dyDescent="0.2">
      <c r="A83" t="str">
        <f>IF([1]Accounts!$D$84="","",[1]Accounts!$A$84)</f>
        <v/>
      </c>
      <c r="B83" t="str">
        <f>IF([1]Accounts!$D$84="","",[1]Accounts!$B$84)</f>
        <v/>
      </c>
      <c r="C83" t="str">
        <f>IF([1]Accounts!$D$84="","",[1]Accounts!$C$84)</f>
        <v/>
      </c>
      <c r="D83" t="str">
        <f>IF([1]Accounts!$D$84="","",[1]Accounts!$D$84)</f>
        <v/>
      </c>
      <c r="E83" t="str">
        <f>IF([1]Accounts!$D$84="","",[1]Accounts!$J$84)</f>
        <v/>
      </c>
      <c r="F83" t="str">
        <f>IF([1]Accounts!$D$84="","",[1]Accounts!$K$84)</f>
        <v/>
      </c>
      <c r="J83" t="str">
        <f>IF([2]Entry!$C$86="","",[2]Entry!$C$86)</f>
        <v/>
      </c>
      <c r="K83" t="str">
        <f>IF([2]Entry!$D$86="","",[2]Entry!$D$86)</f>
        <v/>
      </c>
      <c r="L83" t="str">
        <f>IF([2]Entry!$E$86="","",[2]Entry!$E$86)</f>
        <v/>
      </c>
      <c r="M83" t="str">
        <f>IF([2]Entry!$G$86="","",[2]Entry!$G$86)</f>
        <v/>
      </c>
      <c r="N83" t="str">
        <f>IF([2]Entry!$M$86="","",[2]Entry!$M$86)</f>
        <v/>
      </c>
      <c r="O83" t="str">
        <f>IF([2]Entry!$N$86="","",[2]Entry!$N$86)</f>
        <v/>
      </c>
      <c r="P83" t="str">
        <f>IF([2]Entry!$R$86="","",[2]Entry!$R$86)</f>
        <v/>
      </c>
    </row>
    <row r="84" spans="1:16" x14ac:dyDescent="0.2">
      <c r="A84" t="str">
        <f>IF([1]Accounts!$D$85="","",[1]Accounts!$A$85)</f>
        <v/>
      </c>
      <c r="B84" t="str">
        <f>IF([1]Accounts!$D$85="","",[1]Accounts!$B$85)</f>
        <v/>
      </c>
      <c r="C84" t="str">
        <f>IF([1]Accounts!$D$85="","",[1]Accounts!$C$85)</f>
        <v/>
      </c>
      <c r="D84" t="str">
        <f>IF([1]Accounts!$D$85="","",[1]Accounts!$D$85)</f>
        <v/>
      </c>
      <c r="E84" t="str">
        <f>IF([1]Accounts!$D$85="","",[1]Accounts!$J$85)</f>
        <v/>
      </c>
      <c r="F84" t="str">
        <f>IF([1]Accounts!$D$85="","",[1]Accounts!$K$85)</f>
        <v/>
      </c>
      <c r="J84" t="str">
        <f>IF([2]Entry!$C$87="","",[2]Entry!$C$87)</f>
        <v/>
      </c>
      <c r="K84" t="str">
        <f>IF([2]Entry!$D$87="","",[2]Entry!$D$87)</f>
        <v/>
      </c>
      <c r="L84" t="str">
        <f>IF([2]Entry!$E$87="","",[2]Entry!$E$87)</f>
        <v/>
      </c>
      <c r="M84" t="str">
        <f>IF([2]Entry!$G$87="","",[2]Entry!$G$87)</f>
        <v/>
      </c>
      <c r="N84" t="str">
        <f>IF([2]Entry!$M$87="","",[2]Entry!$M$87)</f>
        <v/>
      </c>
      <c r="O84" t="str">
        <f>IF([2]Entry!$N$87="","",[2]Entry!$N$87)</f>
        <v/>
      </c>
      <c r="P84" t="str">
        <f>IF([2]Entry!$R$87="","",[2]Entry!$R$87)</f>
        <v/>
      </c>
    </row>
    <row r="85" spans="1:16" x14ac:dyDescent="0.2">
      <c r="A85" t="str">
        <f>IF([1]Accounts!$D$86="","",[1]Accounts!$A$86)</f>
        <v/>
      </c>
      <c r="B85" t="str">
        <f>IF([1]Accounts!$D$86="","",[1]Accounts!$B$86)</f>
        <v/>
      </c>
      <c r="C85" t="str">
        <f>IF([1]Accounts!$D$86="","",[1]Accounts!$C$86)</f>
        <v/>
      </c>
      <c r="D85" t="str">
        <f>IF([1]Accounts!$D$86="","",[1]Accounts!$D$86)</f>
        <v/>
      </c>
      <c r="E85" t="str">
        <f>IF([1]Accounts!$D$86="","",[1]Accounts!$J$86)</f>
        <v/>
      </c>
      <c r="F85" t="str">
        <f>IF([1]Accounts!$D$86="","",[1]Accounts!$K$86)</f>
        <v/>
      </c>
      <c r="J85" t="str">
        <f>IF([2]Entry!$C$88="","",[2]Entry!$C$88)</f>
        <v/>
      </c>
      <c r="K85" t="str">
        <f>IF([2]Entry!$D$88="","",[2]Entry!$D$88)</f>
        <v/>
      </c>
      <c r="L85" t="str">
        <f>IF([2]Entry!$E$88="","",[2]Entry!$E$88)</f>
        <v/>
      </c>
      <c r="M85" t="str">
        <f>IF([2]Entry!$G$88="","",[2]Entry!$G$88)</f>
        <v/>
      </c>
      <c r="N85" t="str">
        <f>IF([2]Entry!$M$88="","",[2]Entry!$M$88)</f>
        <v/>
      </c>
      <c r="O85" t="str">
        <f>IF([2]Entry!$N$88="","",[2]Entry!$N$88)</f>
        <v/>
      </c>
      <c r="P85" t="str">
        <f>IF([2]Entry!$R$88="","",[2]Entry!$R$88)</f>
        <v/>
      </c>
    </row>
    <row r="86" spans="1:16" x14ac:dyDescent="0.2">
      <c r="A86" t="str">
        <f>IF([1]Accounts!$D$87="","",[1]Accounts!$A$87)</f>
        <v/>
      </c>
      <c r="B86" t="str">
        <f>IF([1]Accounts!$D$87="","",[1]Accounts!$B$87)</f>
        <v/>
      </c>
      <c r="C86" t="str">
        <f>IF([1]Accounts!$D$87="","",[1]Accounts!$C$87)</f>
        <v/>
      </c>
      <c r="D86" t="str">
        <f>IF([1]Accounts!$D$87="","",[1]Accounts!$D$87)</f>
        <v/>
      </c>
      <c r="E86" t="str">
        <f>IF([1]Accounts!$D$87="","",[1]Accounts!$J$87)</f>
        <v/>
      </c>
      <c r="F86" t="str">
        <f>IF([1]Accounts!$D$87="","",[1]Accounts!$K$87)</f>
        <v/>
      </c>
      <c r="J86" t="str">
        <f>IF([2]Entry!$C$89="","",[2]Entry!$C$89)</f>
        <v/>
      </c>
      <c r="K86" t="str">
        <f>IF([2]Entry!$D$89="","",[2]Entry!$D$89)</f>
        <v/>
      </c>
      <c r="L86" t="str">
        <f>IF([2]Entry!$E$89="","",[2]Entry!$E$89)</f>
        <v/>
      </c>
      <c r="M86" t="str">
        <f>IF([2]Entry!$G$89="","",[2]Entry!$G$89)</f>
        <v/>
      </c>
      <c r="N86" t="str">
        <f>IF([2]Entry!$M$89="","",[2]Entry!$M$89)</f>
        <v/>
      </c>
      <c r="O86" t="str">
        <f>IF([2]Entry!$N$89="","",[2]Entry!$N$89)</f>
        <v/>
      </c>
      <c r="P86" t="str">
        <f>IF([2]Entry!$R$89="","",[2]Entry!$R$89)</f>
        <v/>
      </c>
    </row>
    <row r="87" spans="1:16" x14ac:dyDescent="0.2">
      <c r="A87" t="str">
        <f>IF([1]Accounts!$D$88="","",[1]Accounts!$A$88)</f>
        <v/>
      </c>
      <c r="B87" t="str">
        <f>IF([1]Accounts!$D$88="","",[1]Accounts!$B$88)</f>
        <v/>
      </c>
      <c r="C87" t="str">
        <f>IF([1]Accounts!$D$88="","",[1]Accounts!$C$88)</f>
        <v/>
      </c>
      <c r="D87" t="str">
        <f>IF([1]Accounts!$D$88="","",[1]Accounts!$D$88)</f>
        <v/>
      </c>
      <c r="E87" t="str">
        <f>IF([1]Accounts!$D$88="","",[1]Accounts!$J$88)</f>
        <v/>
      </c>
      <c r="F87" t="str">
        <f>IF([1]Accounts!$D$88="","",[1]Accounts!$K$88)</f>
        <v/>
      </c>
      <c r="J87" t="str">
        <f>IF([2]Entry!$C$90="","",[2]Entry!$C$90)</f>
        <v/>
      </c>
      <c r="K87" t="str">
        <f>IF([2]Entry!$D$90="","",[2]Entry!$D$90)</f>
        <v/>
      </c>
      <c r="L87" t="str">
        <f>IF([2]Entry!$E$90="","",[2]Entry!$E$90)</f>
        <v/>
      </c>
      <c r="M87" t="str">
        <f>IF([2]Entry!$G$90="","",[2]Entry!$G$90)</f>
        <v/>
      </c>
      <c r="N87" t="str">
        <f>IF([2]Entry!$M$90="","",[2]Entry!$M$90)</f>
        <v/>
      </c>
      <c r="O87" t="str">
        <f>IF([2]Entry!$N$90="","",[2]Entry!$N$90)</f>
        <v/>
      </c>
      <c r="P87" t="str">
        <f>IF([2]Entry!$R$90="","",[2]Entry!$R$90)</f>
        <v/>
      </c>
    </row>
    <row r="88" spans="1:16" x14ac:dyDescent="0.2">
      <c r="A88" t="str">
        <f>IF([1]Accounts!$D$89="","",[1]Accounts!$A$89)</f>
        <v/>
      </c>
      <c r="B88" t="str">
        <f>IF([1]Accounts!$D$89="","",[1]Accounts!$B$89)</f>
        <v/>
      </c>
      <c r="C88" t="str">
        <f>IF([1]Accounts!$D$89="","",[1]Accounts!$C$89)</f>
        <v/>
      </c>
      <c r="D88" t="str">
        <f>IF([1]Accounts!$D$89="","",[1]Accounts!$D$89)</f>
        <v/>
      </c>
      <c r="E88" t="str">
        <f>IF([1]Accounts!$D$89="","",[1]Accounts!$J$89)</f>
        <v/>
      </c>
      <c r="F88" t="str">
        <f>IF([1]Accounts!$D$89="","",[1]Accounts!$K$89)</f>
        <v/>
      </c>
      <c r="J88" t="str">
        <f>IF([2]Entry!$C$91="","",[2]Entry!$C$91)</f>
        <v/>
      </c>
      <c r="K88" t="str">
        <f>IF([2]Entry!$D$91="","",[2]Entry!$D$91)</f>
        <v/>
      </c>
      <c r="L88" t="str">
        <f>IF([2]Entry!$E$91="","",[2]Entry!$E$91)</f>
        <v/>
      </c>
      <c r="M88" t="str">
        <f>IF([2]Entry!$G$91="","",[2]Entry!$G$91)</f>
        <v/>
      </c>
      <c r="N88" t="str">
        <f>IF([2]Entry!$M$91="","",[2]Entry!$M$91)</f>
        <v/>
      </c>
      <c r="O88" t="str">
        <f>IF([2]Entry!$N$91="","",[2]Entry!$N$91)</f>
        <v/>
      </c>
      <c r="P88" t="str">
        <f>IF([2]Entry!$R$91="","",[2]Entry!$R$91)</f>
        <v/>
      </c>
    </row>
    <row r="89" spans="1:16" x14ac:dyDescent="0.2">
      <c r="A89" t="str">
        <f>IF([1]Accounts!$D$90="","",[1]Accounts!$A$90)</f>
        <v/>
      </c>
      <c r="B89" t="str">
        <f>IF([1]Accounts!$D$90="","",[1]Accounts!$B$90)</f>
        <v/>
      </c>
      <c r="C89" t="str">
        <f>IF([1]Accounts!$D$90="","",[1]Accounts!$C$90)</f>
        <v/>
      </c>
      <c r="D89" t="str">
        <f>IF([1]Accounts!$D$90="","",[1]Accounts!$D$90)</f>
        <v/>
      </c>
      <c r="E89" t="str">
        <f>IF([1]Accounts!$D$90="","",[1]Accounts!$J$90)</f>
        <v/>
      </c>
      <c r="F89" t="str">
        <f>IF([1]Accounts!$D$90="","",[1]Accounts!$K$90)</f>
        <v/>
      </c>
      <c r="J89" t="str">
        <f>IF([2]Entry!$C$92="","",[2]Entry!$C$92)</f>
        <v/>
      </c>
      <c r="K89" t="str">
        <f>IF([2]Entry!$D$92="","",[2]Entry!$D$92)</f>
        <v/>
      </c>
      <c r="L89" t="str">
        <f>IF([2]Entry!$E$92="","",[2]Entry!$E$92)</f>
        <v/>
      </c>
      <c r="M89" t="str">
        <f>IF([2]Entry!$G$92="","",[2]Entry!$G$92)</f>
        <v/>
      </c>
      <c r="N89" t="str">
        <f>IF([2]Entry!$M$92="","",[2]Entry!$M$92)</f>
        <v/>
      </c>
      <c r="O89" t="str">
        <f>IF([2]Entry!$N$92="","",[2]Entry!$N$92)</f>
        <v/>
      </c>
      <c r="P89" t="str">
        <f>IF([2]Entry!$R$92="","",[2]Entry!$R$92)</f>
        <v/>
      </c>
    </row>
    <row r="90" spans="1:16" x14ac:dyDescent="0.2">
      <c r="A90" t="str">
        <f>IF([1]Accounts!$D$91="","",[1]Accounts!$A$91)</f>
        <v/>
      </c>
      <c r="B90" t="str">
        <f>IF([1]Accounts!$D$91="","",[1]Accounts!$B$91)</f>
        <v/>
      </c>
      <c r="C90" t="str">
        <f>IF([1]Accounts!$D$91="","",[1]Accounts!$C$91)</f>
        <v/>
      </c>
      <c r="D90" t="str">
        <f>IF([1]Accounts!$D$91="","",[1]Accounts!$D$91)</f>
        <v/>
      </c>
      <c r="E90" t="str">
        <f>IF([1]Accounts!$D$91="","",[1]Accounts!$J$91)</f>
        <v/>
      </c>
      <c r="F90" t="str">
        <f>IF([1]Accounts!$D$91="","",[1]Accounts!$K$91)</f>
        <v/>
      </c>
      <c r="J90" t="str">
        <f>IF([2]Entry!$C$93="","",[2]Entry!$C$93)</f>
        <v/>
      </c>
      <c r="K90" t="str">
        <f>IF([2]Entry!$D$93="","",[2]Entry!$D$93)</f>
        <v/>
      </c>
      <c r="L90" t="str">
        <f>IF([2]Entry!$E$93="","",[2]Entry!$E$93)</f>
        <v/>
      </c>
      <c r="M90" t="str">
        <f>IF([2]Entry!$G$93="","",[2]Entry!$G$93)</f>
        <v/>
      </c>
      <c r="N90" t="str">
        <f>IF([2]Entry!$M$93="","",[2]Entry!$M$93)</f>
        <v/>
      </c>
      <c r="O90" t="str">
        <f>IF([2]Entry!$N$93="","",[2]Entry!$N$93)</f>
        <v/>
      </c>
      <c r="P90" t="str">
        <f>IF([2]Entry!$R$93="","",[2]Entry!$R$93)</f>
        <v/>
      </c>
    </row>
    <row r="91" spans="1:16" x14ac:dyDescent="0.2">
      <c r="A91" t="str">
        <f>IF([1]Accounts!$D$92="","",[1]Accounts!$A$92)</f>
        <v/>
      </c>
      <c r="B91" t="str">
        <f>IF([1]Accounts!$D$92="","",[1]Accounts!$B$92)</f>
        <v/>
      </c>
      <c r="C91" t="str">
        <f>IF([1]Accounts!$D$92="","",[1]Accounts!$C$92)</f>
        <v/>
      </c>
      <c r="D91" t="str">
        <f>IF([1]Accounts!$D$92="","",[1]Accounts!$D$92)</f>
        <v/>
      </c>
      <c r="E91" t="str">
        <f>IF([1]Accounts!$D$92="","",[1]Accounts!$J$92)</f>
        <v/>
      </c>
      <c r="F91" t="str">
        <f>IF([1]Accounts!$D$92="","",[1]Accounts!$K$92)</f>
        <v/>
      </c>
      <c r="J91" t="str">
        <f>IF([2]Entry!$C$94="","",[2]Entry!$C$94)</f>
        <v/>
      </c>
      <c r="K91" t="str">
        <f>IF([2]Entry!$D$94="","",[2]Entry!$D$94)</f>
        <v/>
      </c>
      <c r="L91" t="str">
        <f>IF([2]Entry!$E$94="","",[2]Entry!$E$94)</f>
        <v/>
      </c>
      <c r="M91" t="str">
        <f>IF([2]Entry!$G$94="","",[2]Entry!$G$94)</f>
        <v/>
      </c>
      <c r="N91" t="str">
        <f>IF([2]Entry!$M$94="","",[2]Entry!$M$94)</f>
        <v/>
      </c>
      <c r="O91" t="str">
        <f>IF([2]Entry!$N$94="","",[2]Entry!$N$94)</f>
        <v/>
      </c>
      <c r="P91" t="str">
        <f>IF([2]Entry!$R$94="","",[2]Entry!$R$94)</f>
        <v/>
      </c>
    </row>
    <row r="92" spans="1:16" x14ac:dyDescent="0.2">
      <c r="A92" t="str">
        <f>IF([1]Accounts!$D$93="","",[1]Accounts!$A$93)</f>
        <v/>
      </c>
      <c r="B92" t="str">
        <f>IF([1]Accounts!$D$93="","",[1]Accounts!$B$93)</f>
        <v/>
      </c>
      <c r="C92" t="str">
        <f>IF([1]Accounts!$D$93="","",[1]Accounts!$C$93)</f>
        <v/>
      </c>
      <c r="D92" t="str">
        <f>IF([1]Accounts!$D$93="","",[1]Accounts!$D$93)</f>
        <v/>
      </c>
      <c r="E92" t="str">
        <f>IF([1]Accounts!$D$93="","",[1]Accounts!$J$93)</f>
        <v/>
      </c>
      <c r="F92" t="str">
        <f>IF([1]Accounts!$D$93="","",[1]Accounts!$K$93)</f>
        <v/>
      </c>
      <c r="J92" t="str">
        <f>IF([2]Entry!$C$95="","",[2]Entry!$C$95)</f>
        <v/>
      </c>
      <c r="K92" t="str">
        <f>IF([2]Entry!$D$95="","",[2]Entry!$D$95)</f>
        <v/>
      </c>
      <c r="L92" t="str">
        <f>IF([2]Entry!$E$95="","",[2]Entry!$E$95)</f>
        <v/>
      </c>
      <c r="M92" t="str">
        <f>IF([2]Entry!$G$95="","",[2]Entry!$G$95)</f>
        <v/>
      </c>
      <c r="N92" t="str">
        <f>IF([2]Entry!$M$95="","",[2]Entry!$M$95)</f>
        <v/>
      </c>
      <c r="O92" t="str">
        <f>IF([2]Entry!$N$95="","",[2]Entry!$N$95)</f>
        <v/>
      </c>
      <c r="P92" t="str">
        <f>IF([2]Entry!$R$95="","",[2]Entry!$R$95)</f>
        <v/>
      </c>
    </row>
    <row r="93" spans="1:16" x14ac:dyDescent="0.2">
      <c r="A93" t="str">
        <f>IF([1]Accounts!$D$94="","",[1]Accounts!$A$94)</f>
        <v/>
      </c>
      <c r="B93" t="str">
        <f>IF([1]Accounts!$D$94="","",[1]Accounts!$B$94)</f>
        <v/>
      </c>
      <c r="C93" t="str">
        <f>IF([1]Accounts!$D$94="","",[1]Accounts!$C$94)</f>
        <v/>
      </c>
      <c r="D93" t="str">
        <f>IF([1]Accounts!$D$94="","",[1]Accounts!$D$94)</f>
        <v/>
      </c>
      <c r="E93" t="str">
        <f>IF([1]Accounts!$D$94="","",[1]Accounts!$J$94)</f>
        <v/>
      </c>
      <c r="F93" t="str">
        <f>IF([1]Accounts!$D$94="","",[1]Accounts!$K$94)</f>
        <v/>
      </c>
      <c r="J93" t="str">
        <f>IF([2]Entry!$C$96="","",[2]Entry!$C$96)</f>
        <v/>
      </c>
      <c r="K93" t="str">
        <f>IF([2]Entry!$D$96="","",[2]Entry!$D$96)</f>
        <v/>
      </c>
      <c r="L93" t="str">
        <f>IF([2]Entry!$E$96="","",[2]Entry!$E$96)</f>
        <v/>
      </c>
      <c r="M93" t="str">
        <f>IF([2]Entry!$G$96="","",[2]Entry!$G$96)</f>
        <v/>
      </c>
      <c r="N93" t="str">
        <f>IF([2]Entry!$M$96="","",[2]Entry!$M$96)</f>
        <v/>
      </c>
      <c r="O93" t="str">
        <f>IF([2]Entry!$N$96="","",[2]Entry!$N$96)</f>
        <v/>
      </c>
      <c r="P93" t="str">
        <f>IF([2]Entry!$R$96="","",[2]Entry!$R$96)</f>
        <v/>
      </c>
    </row>
    <row r="94" spans="1:16" x14ac:dyDescent="0.2">
      <c r="A94" t="str">
        <f>IF([1]Accounts!$D$95="","",[1]Accounts!$A$95)</f>
        <v/>
      </c>
      <c r="B94" t="str">
        <f>IF([1]Accounts!$D$95="","",[1]Accounts!$B$95)</f>
        <v/>
      </c>
      <c r="C94" t="str">
        <f>IF([1]Accounts!$D$95="","",[1]Accounts!$C$95)</f>
        <v/>
      </c>
      <c r="D94" t="str">
        <f>IF([1]Accounts!$D$95="","",[1]Accounts!$D$95)</f>
        <v/>
      </c>
      <c r="E94" t="str">
        <f>IF([1]Accounts!$D$95="","",[1]Accounts!$J$95)</f>
        <v/>
      </c>
      <c r="F94" t="str">
        <f>IF([1]Accounts!$D$95="","",[1]Accounts!$K$95)</f>
        <v/>
      </c>
      <c r="J94" t="str">
        <f>IF([2]Entry!$C$97="","",[2]Entry!$C$97)</f>
        <v/>
      </c>
      <c r="K94" t="str">
        <f>IF([2]Entry!$D$97="","",[2]Entry!$D$97)</f>
        <v/>
      </c>
      <c r="L94" t="str">
        <f>IF([2]Entry!$E$97="","",[2]Entry!$E$97)</f>
        <v/>
      </c>
      <c r="M94" t="str">
        <f>IF([2]Entry!$G$97="","",[2]Entry!$G$97)</f>
        <v/>
      </c>
      <c r="N94" t="str">
        <f>IF([2]Entry!$M$97="","",[2]Entry!$M$97)</f>
        <v/>
      </c>
      <c r="O94" t="str">
        <f>IF([2]Entry!$N$97="","",[2]Entry!$N$97)</f>
        <v/>
      </c>
      <c r="P94" t="str">
        <f>IF([2]Entry!$R$97="","",[2]Entry!$R$97)</f>
        <v/>
      </c>
    </row>
    <row r="95" spans="1:16" x14ac:dyDescent="0.2">
      <c r="A95" t="str">
        <f>IF([1]Accounts!$D$96="","",[1]Accounts!$A$96)</f>
        <v/>
      </c>
      <c r="B95" t="str">
        <f>IF([1]Accounts!$D$96="","",[1]Accounts!$B$96)</f>
        <v/>
      </c>
      <c r="C95" t="str">
        <f>IF([1]Accounts!$D$96="","",[1]Accounts!$C$96)</f>
        <v/>
      </c>
      <c r="D95" t="str">
        <f>IF([1]Accounts!$D$96="","",[1]Accounts!$D$96)</f>
        <v/>
      </c>
      <c r="E95" t="str">
        <f>IF([1]Accounts!$D$96="","",[1]Accounts!$J$96)</f>
        <v/>
      </c>
      <c r="F95" t="str">
        <f>IF([1]Accounts!$D$96="","",[1]Accounts!$K$96)</f>
        <v/>
      </c>
      <c r="J95" t="str">
        <f>IF([2]Entry!$C$98="","",[2]Entry!$C$98)</f>
        <v/>
      </c>
      <c r="K95" t="str">
        <f>IF([2]Entry!$D$98="","",[2]Entry!$D$98)</f>
        <v/>
      </c>
      <c r="L95" t="str">
        <f>IF([2]Entry!$E$98="","",[2]Entry!$E$98)</f>
        <v/>
      </c>
      <c r="M95" t="str">
        <f>IF([2]Entry!$G$98="","",[2]Entry!$G$98)</f>
        <v/>
      </c>
      <c r="N95" t="str">
        <f>IF([2]Entry!$M$98="","",[2]Entry!$M$98)</f>
        <v/>
      </c>
      <c r="O95" t="str">
        <f>IF([2]Entry!$N$98="","",[2]Entry!$N$98)</f>
        <v/>
      </c>
      <c r="P95" t="str">
        <f>IF([2]Entry!$R$98="","",[2]Entry!$R$98)</f>
        <v/>
      </c>
    </row>
    <row r="96" spans="1:16" x14ac:dyDescent="0.2">
      <c r="A96" t="str">
        <f>IF([1]Accounts!$D$97="","",[1]Accounts!$A$97)</f>
        <v/>
      </c>
      <c r="B96" t="str">
        <f>IF([1]Accounts!$D$97="","",[1]Accounts!$B$97)</f>
        <v/>
      </c>
      <c r="C96" t="str">
        <f>IF([1]Accounts!$D$97="","",[1]Accounts!$C$97)</f>
        <v/>
      </c>
      <c r="D96" t="str">
        <f>IF([1]Accounts!$D$97="","",[1]Accounts!$D$97)</f>
        <v/>
      </c>
      <c r="E96" t="str">
        <f>IF([1]Accounts!$D$97="","",[1]Accounts!$J$97)</f>
        <v/>
      </c>
      <c r="F96" t="str">
        <f>IF([1]Accounts!$D$97="","",[1]Accounts!$K$97)</f>
        <v/>
      </c>
      <c r="J96" t="str">
        <f>IF([2]Entry!$C$99="","",[2]Entry!$C$99)</f>
        <v/>
      </c>
      <c r="K96" t="str">
        <f>IF([2]Entry!$D$99="","",[2]Entry!$D$99)</f>
        <v/>
      </c>
      <c r="L96" t="str">
        <f>IF([2]Entry!$E$99="","",[2]Entry!$E$99)</f>
        <v/>
      </c>
      <c r="M96" t="str">
        <f>IF([2]Entry!$G$99="","",[2]Entry!$G$99)</f>
        <v/>
      </c>
      <c r="N96" t="str">
        <f>IF([2]Entry!$M$99="","",[2]Entry!$M$99)</f>
        <v/>
      </c>
      <c r="O96" t="str">
        <f>IF([2]Entry!$N$99="","",[2]Entry!$N$99)</f>
        <v/>
      </c>
      <c r="P96" t="str">
        <f>IF([2]Entry!$R$99="","",[2]Entry!$R$99)</f>
        <v/>
      </c>
    </row>
    <row r="97" spans="1:16" x14ac:dyDescent="0.2">
      <c r="A97" t="str">
        <f>IF([1]Accounts!$D$98="","",[1]Accounts!$A$98)</f>
        <v/>
      </c>
      <c r="B97" t="str">
        <f>IF([1]Accounts!$D$98="","",[1]Accounts!$B$98)</f>
        <v/>
      </c>
      <c r="C97" t="str">
        <f>IF([1]Accounts!$D$98="","",[1]Accounts!$C$98)</f>
        <v/>
      </c>
      <c r="D97" t="str">
        <f>IF([1]Accounts!$D$98="","",[1]Accounts!$D$98)</f>
        <v/>
      </c>
      <c r="E97" t="str">
        <f>IF([1]Accounts!$D$98="","",[1]Accounts!$J$98)</f>
        <v/>
      </c>
      <c r="F97" t="str">
        <f>IF([1]Accounts!$D$98="","",[1]Accounts!$K$98)</f>
        <v/>
      </c>
      <c r="J97" t="str">
        <f>IF([2]Entry!$C$100="","",[2]Entry!$C$100)</f>
        <v/>
      </c>
      <c r="K97" t="str">
        <f>IF([2]Entry!$D$100="","",[2]Entry!$D$100)</f>
        <v/>
      </c>
      <c r="L97" t="str">
        <f>IF([2]Entry!$E$100="","",[2]Entry!$E$100)</f>
        <v/>
      </c>
      <c r="M97" t="str">
        <f>IF([2]Entry!$G$100="","",[2]Entry!$G$100)</f>
        <v/>
      </c>
      <c r="N97" t="str">
        <f>IF([2]Entry!$M$100="","",[2]Entry!$M$100)</f>
        <v/>
      </c>
      <c r="O97" t="str">
        <f>IF([2]Entry!$N$100="","",[2]Entry!$N$100)</f>
        <v/>
      </c>
      <c r="P97" t="str">
        <f>IF([2]Entry!$R$100="","",[2]Entry!$R$100)</f>
        <v/>
      </c>
    </row>
    <row r="98" spans="1:16" x14ac:dyDescent="0.2">
      <c r="A98" t="str">
        <f>IF([1]Accounts!$D$99="","",[1]Accounts!$A$99)</f>
        <v/>
      </c>
      <c r="B98" t="str">
        <f>IF([1]Accounts!$D$99="","",[1]Accounts!$B$99)</f>
        <v/>
      </c>
      <c r="C98" t="str">
        <f>IF([1]Accounts!$D$99="","",[1]Accounts!$C$99)</f>
        <v/>
      </c>
      <c r="D98" t="str">
        <f>IF([1]Accounts!$D$99="","",[1]Accounts!$D$99)</f>
        <v/>
      </c>
      <c r="E98" t="str">
        <f>IF([1]Accounts!$D$99="","",[1]Accounts!$J$99)</f>
        <v/>
      </c>
      <c r="F98" t="str">
        <f>IF([1]Accounts!$D$99="","",[1]Accounts!$K$99)</f>
        <v/>
      </c>
      <c r="J98" t="str">
        <f>IF([2]Entry!$C$101="","",[2]Entry!$C$101)</f>
        <v/>
      </c>
      <c r="K98" t="str">
        <f>IF([2]Entry!$D$101="","",[2]Entry!$D$101)</f>
        <v/>
      </c>
      <c r="L98" t="str">
        <f>IF([2]Entry!$E$101="","",[2]Entry!$E$101)</f>
        <v/>
      </c>
      <c r="M98" t="str">
        <f>IF([2]Entry!$G$101="","",[2]Entry!$G$101)</f>
        <v/>
      </c>
      <c r="N98" t="str">
        <f>IF([2]Entry!$M$101="","",[2]Entry!$M$101)</f>
        <v/>
      </c>
      <c r="O98" t="str">
        <f>IF([2]Entry!$N$101="","",[2]Entry!$N$101)</f>
        <v/>
      </c>
      <c r="P98" t="str">
        <f>IF([2]Entry!$R$101="","",[2]Entry!$R$101)</f>
        <v/>
      </c>
    </row>
    <row r="99" spans="1:16" x14ac:dyDescent="0.2">
      <c r="A99" t="str">
        <f>IF([1]Accounts!$D$100="","",[1]Accounts!$A$100)</f>
        <v/>
      </c>
      <c r="B99" t="str">
        <f>IF([1]Accounts!$D$100="","",[1]Accounts!$B$100)</f>
        <v/>
      </c>
      <c r="C99" t="str">
        <f>IF([1]Accounts!$D$100="","",[1]Accounts!$C$100)</f>
        <v/>
      </c>
      <c r="D99" t="str">
        <f>IF([1]Accounts!$D$100="","",[1]Accounts!$D$100)</f>
        <v/>
      </c>
      <c r="E99" t="str">
        <f>IF([1]Accounts!$D$100="","",[1]Accounts!$J$100)</f>
        <v/>
      </c>
      <c r="F99" t="str">
        <f>IF([1]Accounts!$D$100="","",[1]Accounts!$K$100)</f>
        <v/>
      </c>
      <c r="J99" t="str">
        <f>IF([2]Entry!$C$102="","",[2]Entry!$C$102)</f>
        <v/>
      </c>
      <c r="K99" t="str">
        <f>IF([2]Entry!$D$102="","",[2]Entry!$D$102)</f>
        <v/>
      </c>
      <c r="L99" t="str">
        <f>IF([2]Entry!$E$102="","",[2]Entry!$E$102)</f>
        <v/>
      </c>
      <c r="M99" t="str">
        <f>IF([2]Entry!$G$102="","",[2]Entry!$G$102)</f>
        <v/>
      </c>
      <c r="N99" t="str">
        <f>IF([2]Entry!$M$102="","",[2]Entry!$M$102)</f>
        <v/>
      </c>
      <c r="O99" t="str">
        <f>IF([2]Entry!$N$102="","",[2]Entry!$N$102)</f>
        <v/>
      </c>
      <c r="P99" t="str">
        <f>IF([2]Entry!$R$102="","",[2]Entry!$R$102)</f>
        <v/>
      </c>
    </row>
    <row r="100" spans="1:16" x14ac:dyDescent="0.2">
      <c r="A100" t="str">
        <f>IF([1]Accounts!$D$101="","",[1]Accounts!$A$101)</f>
        <v/>
      </c>
      <c r="B100" t="str">
        <f>IF([1]Accounts!$D$101="","",[1]Accounts!$B$101)</f>
        <v/>
      </c>
      <c r="C100" t="str">
        <f>IF([1]Accounts!$D$101="","",[1]Accounts!$C$101)</f>
        <v/>
      </c>
      <c r="D100" t="str">
        <f>IF([1]Accounts!$D$101="","",[1]Accounts!$D$101)</f>
        <v/>
      </c>
      <c r="E100" t="str">
        <f>IF([1]Accounts!$D$101="","",[1]Accounts!$J$101)</f>
        <v/>
      </c>
      <c r="F100" t="str">
        <f>IF([1]Accounts!$D$101="","",[1]Accounts!$K$101)</f>
        <v/>
      </c>
      <c r="J100" t="str">
        <f>IF([2]Entry!$C$103="","",[2]Entry!$C$103)</f>
        <v/>
      </c>
      <c r="K100" t="str">
        <f>IF([2]Entry!$D$103="","",[2]Entry!$D$103)</f>
        <v/>
      </c>
      <c r="L100" t="str">
        <f>IF([2]Entry!$E$103="","",[2]Entry!$E$103)</f>
        <v/>
      </c>
      <c r="M100" t="str">
        <f>IF([2]Entry!$G$103="","",[2]Entry!$G$103)</f>
        <v/>
      </c>
      <c r="N100" t="str">
        <f>IF([2]Entry!$M$103="","",[2]Entry!$M$103)</f>
        <v/>
      </c>
      <c r="O100" t="str">
        <f>IF([2]Entry!$N$103="","",[2]Entry!$N$103)</f>
        <v/>
      </c>
      <c r="P100" t="str">
        <f>IF([2]Entry!$R$103="","",[2]Entry!$R$103)</f>
        <v/>
      </c>
    </row>
    <row r="101" spans="1:16" x14ac:dyDescent="0.2">
      <c r="A101" t="str">
        <f>IF([1]Accounts!$D$102="","",[1]Accounts!$A$102)</f>
        <v/>
      </c>
      <c r="B101" t="str">
        <f>IF([1]Accounts!$D$102="","",[1]Accounts!$B$102)</f>
        <v/>
      </c>
      <c r="C101" t="str">
        <f>IF([1]Accounts!$D$102="","",[1]Accounts!$C$102)</f>
        <v/>
      </c>
      <c r="D101" t="str">
        <f>IF([1]Accounts!$D$102="","",[1]Accounts!$D$102)</f>
        <v/>
      </c>
      <c r="E101" t="str">
        <f>IF([1]Accounts!$D$102="","",[1]Accounts!$J$102)</f>
        <v/>
      </c>
      <c r="F101" t="str">
        <f>IF([1]Accounts!$D$102="","",[1]Accounts!$K$102)</f>
        <v/>
      </c>
      <c r="J101" t="str">
        <f>IF([2]Entry!$C$104="","",[2]Entry!$C$104)</f>
        <v/>
      </c>
      <c r="K101" t="str">
        <f>IF([2]Entry!$D$104="","",[2]Entry!$D$104)</f>
        <v/>
      </c>
      <c r="L101" t="str">
        <f>IF([2]Entry!$E$104="","",[2]Entry!$E$104)</f>
        <v/>
      </c>
      <c r="M101" t="str">
        <f>IF([2]Entry!$G$104="","",[2]Entry!$G$104)</f>
        <v/>
      </c>
      <c r="N101" t="str">
        <f>IF([2]Entry!$M$104="","",[2]Entry!$M$104)</f>
        <v/>
      </c>
      <c r="O101" t="str">
        <f>IF([2]Entry!$N$104="","",[2]Entry!$N$104)</f>
        <v/>
      </c>
      <c r="P101" t="str">
        <f>IF([2]Entry!$R$104="","",[2]Entry!$R$104)</f>
        <v/>
      </c>
    </row>
    <row r="102" spans="1:16" x14ac:dyDescent="0.2">
      <c r="A102" t="str">
        <f>IF([1]Accounts!$D$103="","",[1]Accounts!$A$103)</f>
        <v/>
      </c>
      <c r="B102" t="str">
        <f>IF([1]Accounts!$D$103="","",[1]Accounts!$B$103)</f>
        <v/>
      </c>
      <c r="C102" t="str">
        <f>IF([1]Accounts!$D$103="","",[1]Accounts!$C$103)</f>
        <v/>
      </c>
      <c r="D102" t="str">
        <f>IF([1]Accounts!$D$103="","",[1]Accounts!$D$103)</f>
        <v/>
      </c>
      <c r="E102" t="str">
        <f>IF([1]Accounts!$D$103="","",[1]Accounts!$J$103)</f>
        <v/>
      </c>
      <c r="F102" t="str">
        <f>IF([1]Accounts!$D$103="","",[1]Accounts!$K$103)</f>
        <v/>
      </c>
      <c r="J102" t="str">
        <f>IF([2]Entry!$C$105="","",[2]Entry!$C$105)</f>
        <v/>
      </c>
      <c r="K102" t="str">
        <f>IF([2]Entry!$D$105="","",[2]Entry!$D$105)</f>
        <v/>
      </c>
      <c r="L102" t="str">
        <f>IF([2]Entry!$E$105="","",[2]Entry!$E$105)</f>
        <v/>
      </c>
      <c r="M102" t="str">
        <f>IF([2]Entry!$G$105="","",[2]Entry!$G$105)</f>
        <v/>
      </c>
      <c r="N102" t="str">
        <f>IF([2]Entry!$M$105="","",[2]Entry!$M$105)</f>
        <v/>
      </c>
      <c r="O102" t="str">
        <f>IF([2]Entry!$N$105="","",[2]Entry!$N$105)</f>
        <v/>
      </c>
      <c r="P102" t="str">
        <f>IF([2]Entry!$R$105="","",[2]Entry!$R$105)</f>
        <v/>
      </c>
    </row>
    <row r="103" spans="1:16" x14ac:dyDescent="0.2">
      <c r="A103" t="str">
        <f>IF([1]Accounts!$D$104="","",[1]Accounts!$A$104)</f>
        <v/>
      </c>
      <c r="B103" t="str">
        <f>IF([1]Accounts!$D$104="","",[1]Accounts!$B$104)</f>
        <v/>
      </c>
      <c r="C103" t="str">
        <f>IF([1]Accounts!$D$104="","",[1]Accounts!$C$104)</f>
        <v/>
      </c>
      <c r="D103" t="str">
        <f>IF([1]Accounts!$D$104="","",[1]Accounts!$D$104)</f>
        <v/>
      </c>
      <c r="E103" t="str">
        <f>IF([1]Accounts!$D$104="","",[1]Accounts!$J$104)</f>
        <v/>
      </c>
      <c r="F103" t="str">
        <f>IF([1]Accounts!$D$104="","",[1]Accounts!$K$104)</f>
        <v/>
      </c>
      <c r="J103" t="str">
        <f>IF([2]Entry!$C$106="","",[2]Entry!$C$106)</f>
        <v/>
      </c>
      <c r="K103" t="str">
        <f>IF([2]Entry!$D$106="","",[2]Entry!$D$106)</f>
        <v/>
      </c>
      <c r="L103" t="str">
        <f>IF([2]Entry!$E$106="","",[2]Entry!$E$106)</f>
        <v/>
      </c>
      <c r="M103" t="str">
        <f>IF([2]Entry!$G$106="","",[2]Entry!$G$106)</f>
        <v/>
      </c>
      <c r="N103" t="str">
        <f>IF([2]Entry!$M$106="","",[2]Entry!$M$106)</f>
        <v/>
      </c>
      <c r="O103" t="str">
        <f>IF([2]Entry!$N$106="","",[2]Entry!$N$106)</f>
        <v/>
      </c>
      <c r="P103" t="str">
        <f>IF([2]Entry!$R$106="","",[2]Entry!$R$106)</f>
        <v/>
      </c>
    </row>
    <row r="104" spans="1:16" x14ac:dyDescent="0.2">
      <c r="A104" t="str">
        <f>IF([1]Accounts!$D$105="","",[1]Accounts!$A$105)</f>
        <v/>
      </c>
      <c r="B104" t="str">
        <f>IF([1]Accounts!$D$105="","",[1]Accounts!$B$105)</f>
        <v/>
      </c>
      <c r="C104" t="str">
        <f>IF([1]Accounts!$D$105="","",[1]Accounts!$C$105)</f>
        <v/>
      </c>
      <c r="D104" t="str">
        <f>IF([1]Accounts!$D$105="","",[1]Accounts!$D$105)</f>
        <v/>
      </c>
      <c r="E104" t="str">
        <f>IF([1]Accounts!$D$105="","",[1]Accounts!$J$105)</f>
        <v/>
      </c>
      <c r="F104" t="str">
        <f>IF([1]Accounts!$D$105="","",[1]Accounts!$K$105)</f>
        <v/>
      </c>
      <c r="J104" t="str">
        <f>IF([2]Entry!$C$107="","",[2]Entry!$C$107)</f>
        <v/>
      </c>
      <c r="K104" t="str">
        <f>IF([2]Entry!$D$107="","",[2]Entry!$D$107)</f>
        <v/>
      </c>
      <c r="L104" t="str">
        <f>IF([2]Entry!$E$107="","",[2]Entry!$E$107)</f>
        <v/>
      </c>
      <c r="M104" t="str">
        <f>IF([2]Entry!$G$107="","",[2]Entry!$G$107)</f>
        <v/>
      </c>
      <c r="N104" t="str">
        <f>IF([2]Entry!$M$107="","",[2]Entry!$M$107)</f>
        <v/>
      </c>
      <c r="O104" t="str">
        <f>IF([2]Entry!$N$107="","",[2]Entry!$N$107)</f>
        <v/>
      </c>
      <c r="P104" t="str">
        <f>IF([2]Entry!$R$107="","",[2]Entry!$R$107)</f>
        <v/>
      </c>
    </row>
    <row r="105" spans="1:16" x14ac:dyDescent="0.2">
      <c r="A105" t="str">
        <f>IF([1]Accounts!$D$106="","",[1]Accounts!$A$106)</f>
        <v/>
      </c>
      <c r="B105" t="str">
        <f>IF([1]Accounts!$D$106="","",[1]Accounts!$B$106)</f>
        <v/>
      </c>
      <c r="C105" t="str">
        <f>IF([1]Accounts!$D$106="","",[1]Accounts!$C$106)</f>
        <v/>
      </c>
      <c r="D105" t="str">
        <f>IF([1]Accounts!$D$106="","",[1]Accounts!$D$106)</f>
        <v/>
      </c>
      <c r="E105" t="str">
        <f>IF([1]Accounts!$D$106="","",[1]Accounts!$J$106)</f>
        <v/>
      </c>
      <c r="F105" t="str">
        <f>IF([1]Accounts!$D$106="","",[1]Accounts!$K$106)</f>
        <v/>
      </c>
      <c r="J105" t="str">
        <f>IF([2]Entry!$C$108="","",[2]Entry!$C$108)</f>
        <v/>
      </c>
      <c r="K105" t="str">
        <f>IF([2]Entry!$D$108="","",[2]Entry!$D$108)</f>
        <v/>
      </c>
      <c r="L105" t="str">
        <f>IF([2]Entry!$E$108="","",[2]Entry!$E$108)</f>
        <v/>
      </c>
      <c r="M105" t="str">
        <f>IF([2]Entry!$G$108="","",[2]Entry!$G$108)</f>
        <v/>
      </c>
      <c r="N105" t="str">
        <f>IF([2]Entry!$M$108="","",[2]Entry!$M$108)</f>
        <v/>
      </c>
      <c r="O105" t="str">
        <f>IF([2]Entry!$N$108="","",[2]Entry!$N$108)</f>
        <v/>
      </c>
      <c r="P105" t="str">
        <f>IF([2]Entry!$R$108="","",[2]Entry!$R$108)</f>
        <v/>
      </c>
    </row>
    <row r="106" spans="1:16" x14ac:dyDescent="0.2">
      <c r="A106" t="str">
        <f>IF([1]Accounts!$D$107="","",[1]Accounts!$A$107)</f>
        <v/>
      </c>
      <c r="B106" t="str">
        <f>IF([1]Accounts!$D$107="","",[1]Accounts!$B$107)</f>
        <v/>
      </c>
      <c r="C106" t="str">
        <f>IF([1]Accounts!$D$107="","",[1]Accounts!$C$107)</f>
        <v/>
      </c>
      <c r="D106" t="str">
        <f>IF([1]Accounts!$D$107="","",[1]Accounts!$D$107)</f>
        <v/>
      </c>
      <c r="E106" t="str">
        <f>IF([1]Accounts!$D$107="","",[1]Accounts!$J$107)</f>
        <v/>
      </c>
      <c r="F106" t="str">
        <f>IF([1]Accounts!$D$107="","",[1]Accounts!$K$107)</f>
        <v/>
      </c>
      <c r="J106" t="str">
        <f>IF([2]Entry!$C$109="","",[2]Entry!$C$109)</f>
        <v/>
      </c>
      <c r="K106" t="str">
        <f>IF([2]Entry!$D$109="","",[2]Entry!$D$109)</f>
        <v/>
      </c>
      <c r="L106" t="str">
        <f>IF([2]Entry!$E$109="","",[2]Entry!$E$109)</f>
        <v/>
      </c>
      <c r="M106" t="str">
        <f>IF([2]Entry!$G$109="","",[2]Entry!$G$109)</f>
        <v/>
      </c>
      <c r="N106" t="str">
        <f>IF([2]Entry!$M$109="","",[2]Entry!$M$109)</f>
        <v/>
      </c>
      <c r="O106" t="str">
        <f>IF([2]Entry!$N$109="","",[2]Entry!$N$109)</f>
        <v/>
      </c>
      <c r="P106" t="str">
        <f>IF([2]Entry!$R$109="","",[2]Entry!$R$109)</f>
        <v/>
      </c>
    </row>
    <row r="107" spans="1:16" x14ac:dyDescent="0.2">
      <c r="A107" t="str">
        <f>IF([1]Accounts!$D$108="","",[1]Accounts!$A$108)</f>
        <v/>
      </c>
      <c r="B107" t="str">
        <f>IF([1]Accounts!$D$108="","",[1]Accounts!$B$108)</f>
        <v/>
      </c>
      <c r="C107" t="str">
        <f>IF([1]Accounts!$D$108="","",[1]Accounts!$C$108)</f>
        <v/>
      </c>
      <c r="D107" t="str">
        <f>IF([1]Accounts!$D$108="","",[1]Accounts!$D$108)</f>
        <v/>
      </c>
      <c r="E107" t="str">
        <f>IF([1]Accounts!$D$108="","",[1]Accounts!$J$108)</f>
        <v/>
      </c>
      <c r="F107" t="str">
        <f>IF([1]Accounts!$D$108="","",[1]Accounts!$K$108)</f>
        <v/>
      </c>
      <c r="J107" t="str">
        <f>IF([2]Entry!$C$110="","",[2]Entry!$C$110)</f>
        <v/>
      </c>
      <c r="K107" t="str">
        <f>IF([2]Entry!$D$110="","",[2]Entry!$D$110)</f>
        <v/>
      </c>
      <c r="L107" t="str">
        <f>IF([2]Entry!$E$110="","",[2]Entry!$E$110)</f>
        <v/>
      </c>
      <c r="M107" t="str">
        <f>IF([2]Entry!$G$110="","",[2]Entry!$G$110)</f>
        <v/>
      </c>
      <c r="N107" t="str">
        <f>IF([2]Entry!$M$110="","",[2]Entry!$M$110)</f>
        <v/>
      </c>
      <c r="O107" t="str">
        <f>IF([2]Entry!$N$110="","",[2]Entry!$N$110)</f>
        <v/>
      </c>
      <c r="P107" t="str">
        <f>IF([2]Entry!$R$110="","",[2]Entry!$R$110)</f>
        <v/>
      </c>
    </row>
    <row r="108" spans="1:16" x14ac:dyDescent="0.2">
      <c r="A108" t="str">
        <f>IF([1]Accounts!$D$109="","",[1]Accounts!$A$109)</f>
        <v/>
      </c>
      <c r="B108" t="str">
        <f>IF([1]Accounts!$D$109="","",[1]Accounts!$B$109)</f>
        <v/>
      </c>
      <c r="C108" t="str">
        <f>IF([1]Accounts!$D$109="","",[1]Accounts!$C$109)</f>
        <v/>
      </c>
      <c r="D108" t="str">
        <f>IF([1]Accounts!$D$109="","",[1]Accounts!$D$109)</f>
        <v/>
      </c>
      <c r="E108" t="str">
        <f>IF([1]Accounts!$D$109="","",[1]Accounts!$J$109)</f>
        <v/>
      </c>
      <c r="F108" t="str">
        <f>IF([1]Accounts!$D$109="","",[1]Accounts!$K$109)</f>
        <v/>
      </c>
      <c r="J108" t="str">
        <f>IF([2]Entry!$C$111="","",[2]Entry!$C$111)</f>
        <v/>
      </c>
      <c r="K108" t="str">
        <f>IF([2]Entry!$D$111="","",[2]Entry!$D$111)</f>
        <v/>
      </c>
      <c r="L108" t="str">
        <f>IF([2]Entry!$E$111="","",[2]Entry!$E$111)</f>
        <v/>
      </c>
      <c r="M108" t="str">
        <f>IF([2]Entry!$G$111="","",[2]Entry!$G$111)</f>
        <v/>
      </c>
      <c r="N108" t="str">
        <f>IF([2]Entry!$M$111="","",[2]Entry!$M$111)</f>
        <v/>
      </c>
      <c r="O108" t="str">
        <f>IF([2]Entry!$N$111="","",[2]Entry!$N$111)</f>
        <v/>
      </c>
      <c r="P108" t="str">
        <f>IF([2]Entry!$R$111="","",[2]Entry!$R$111)</f>
        <v/>
      </c>
    </row>
    <row r="109" spans="1:16" x14ac:dyDescent="0.2">
      <c r="A109" t="str">
        <f>IF([1]Accounts!$D$110="","",[1]Accounts!$A$110)</f>
        <v/>
      </c>
      <c r="B109" t="str">
        <f>IF([1]Accounts!$D$110="","",[1]Accounts!$B$110)</f>
        <v/>
      </c>
      <c r="C109" t="str">
        <f>IF([1]Accounts!$D$110="","",[1]Accounts!$C$110)</f>
        <v/>
      </c>
      <c r="D109" t="str">
        <f>IF([1]Accounts!$D$110="","",[1]Accounts!$D$110)</f>
        <v/>
      </c>
      <c r="E109" t="str">
        <f>IF([1]Accounts!$D$110="","",[1]Accounts!$J$110)</f>
        <v/>
      </c>
      <c r="F109" t="str">
        <f>IF([1]Accounts!$D$110="","",[1]Accounts!$K$110)</f>
        <v/>
      </c>
      <c r="J109" t="str">
        <f>IF([2]Entry!$C$112="","",[2]Entry!$C$112)</f>
        <v/>
      </c>
      <c r="K109" t="str">
        <f>IF([2]Entry!$D$112="","",[2]Entry!$D$112)</f>
        <v/>
      </c>
      <c r="L109" t="str">
        <f>IF([2]Entry!$E$112="","",[2]Entry!$E$112)</f>
        <v/>
      </c>
      <c r="M109" t="str">
        <f>IF([2]Entry!$G$112="","",[2]Entry!$G$112)</f>
        <v/>
      </c>
      <c r="N109" t="str">
        <f>IF([2]Entry!$M$112="","",[2]Entry!$M$112)</f>
        <v/>
      </c>
      <c r="O109" t="str">
        <f>IF([2]Entry!$N$112="","",[2]Entry!$N$112)</f>
        <v/>
      </c>
      <c r="P109" t="str">
        <f>IF([2]Entry!$R$112="","",[2]Entry!$R$112)</f>
        <v/>
      </c>
    </row>
    <row r="110" spans="1:16" x14ac:dyDescent="0.2">
      <c r="A110" t="str">
        <f>IF([1]Accounts!$D$111="","",[1]Accounts!$A$111)</f>
        <v/>
      </c>
      <c r="B110" t="str">
        <f>IF([1]Accounts!$D$111="","",[1]Accounts!$B$111)</f>
        <v/>
      </c>
      <c r="C110" t="str">
        <f>IF([1]Accounts!$D$111="","",[1]Accounts!$C$111)</f>
        <v/>
      </c>
      <c r="D110" t="str">
        <f>IF([1]Accounts!$D$111="","",[1]Accounts!$D$111)</f>
        <v/>
      </c>
      <c r="E110" t="str">
        <f>IF([1]Accounts!$D$111="","",[1]Accounts!$J$111)</f>
        <v/>
      </c>
      <c r="F110" t="str">
        <f>IF([1]Accounts!$D$111="","",[1]Accounts!$K$111)</f>
        <v/>
      </c>
      <c r="J110" t="str">
        <f>IF([2]Entry!$C$113="","",[2]Entry!$C$113)</f>
        <v/>
      </c>
      <c r="K110" t="str">
        <f>IF([2]Entry!$D$113="","",[2]Entry!$D$113)</f>
        <v/>
      </c>
      <c r="L110" t="str">
        <f>IF([2]Entry!$E$113="","",[2]Entry!$E$113)</f>
        <v/>
      </c>
      <c r="M110" t="str">
        <f>IF([2]Entry!$G$113="","",[2]Entry!$G$113)</f>
        <v/>
      </c>
      <c r="N110" t="str">
        <f>IF([2]Entry!$M$113="","",[2]Entry!$M$113)</f>
        <v/>
      </c>
      <c r="O110" t="str">
        <f>IF([2]Entry!$N$113="","",[2]Entry!$N$113)</f>
        <v/>
      </c>
      <c r="P110" t="str">
        <f>IF([2]Entry!$R$113="","",[2]Entry!$R$113)</f>
        <v/>
      </c>
    </row>
    <row r="111" spans="1:16" x14ac:dyDescent="0.2">
      <c r="A111" t="str">
        <f>IF([1]Accounts!$D$112="","",[1]Accounts!$A$112)</f>
        <v/>
      </c>
      <c r="B111" t="str">
        <f>IF([1]Accounts!$D$112="","",[1]Accounts!$B$112)</f>
        <v/>
      </c>
      <c r="C111" t="str">
        <f>IF([1]Accounts!$D$112="","",[1]Accounts!$C$112)</f>
        <v/>
      </c>
      <c r="D111" t="str">
        <f>IF([1]Accounts!$D$112="","",[1]Accounts!$D$112)</f>
        <v/>
      </c>
      <c r="E111" t="str">
        <f>IF([1]Accounts!$D$112="","",[1]Accounts!$J$112)</f>
        <v/>
      </c>
      <c r="F111" t="str">
        <f>IF([1]Accounts!$D$112="","",[1]Accounts!$K$112)</f>
        <v/>
      </c>
      <c r="J111" t="str">
        <f>IF([2]Entry!$C$114="","",[2]Entry!$C$114)</f>
        <v/>
      </c>
      <c r="K111" t="str">
        <f>IF([2]Entry!$D$114="","",[2]Entry!$D$114)</f>
        <v/>
      </c>
      <c r="L111" t="str">
        <f>IF([2]Entry!$E$114="","",[2]Entry!$E$114)</f>
        <v/>
      </c>
      <c r="M111" t="str">
        <f>IF([2]Entry!$G$114="","",[2]Entry!$G$114)</f>
        <v/>
      </c>
      <c r="N111" t="str">
        <f>IF([2]Entry!$M$114="","",[2]Entry!$M$114)</f>
        <v/>
      </c>
      <c r="O111" t="str">
        <f>IF([2]Entry!$N$114="","",[2]Entry!$N$114)</f>
        <v/>
      </c>
      <c r="P111" t="str">
        <f>IF([2]Entry!$R$114="","",[2]Entry!$R$114)</f>
        <v/>
      </c>
    </row>
    <row r="112" spans="1:16" x14ac:dyDescent="0.2">
      <c r="A112" t="str">
        <f>IF([1]Accounts!$D$113="","",[1]Accounts!$A$113)</f>
        <v/>
      </c>
      <c r="B112" t="str">
        <f>IF([1]Accounts!$D$113="","",[1]Accounts!$B$113)</f>
        <v/>
      </c>
      <c r="C112" t="str">
        <f>IF([1]Accounts!$D$113="","",[1]Accounts!$C$113)</f>
        <v/>
      </c>
      <c r="D112" t="str">
        <f>IF([1]Accounts!$D$113="","",[1]Accounts!$D$113)</f>
        <v/>
      </c>
      <c r="E112" t="str">
        <f>IF([1]Accounts!$D$113="","",[1]Accounts!$J$113)</f>
        <v/>
      </c>
      <c r="F112" t="str">
        <f>IF([1]Accounts!$D$113="","",[1]Accounts!$K$113)</f>
        <v/>
      </c>
      <c r="J112" t="str">
        <f>IF([2]Entry!$C$115="","",[2]Entry!$C$115)</f>
        <v/>
      </c>
      <c r="K112" t="str">
        <f>IF([2]Entry!$D$115="","",[2]Entry!$D$115)</f>
        <v/>
      </c>
      <c r="L112" t="str">
        <f>IF([2]Entry!$E$115="","",[2]Entry!$E$115)</f>
        <v/>
      </c>
      <c r="M112" t="str">
        <f>IF([2]Entry!$G$115="","",[2]Entry!$G$115)</f>
        <v/>
      </c>
      <c r="N112" t="str">
        <f>IF([2]Entry!$M$115="","",[2]Entry!$M$115)</f>
        <v/>
      </c>
      <c r="O112" t="str">
        <f>IF([2]Entry!$N$115="","",[2]Entry!$N$115)</f>
        <v/>
      </c>
      <c r="P112" t="str">
        <f>IF([2]Entry!$R$115="","",[2]Entry!$R$115)</f>
        <v/>
      </c>
    </row>
    <row r="113" spans="1:16" x14ac:dyDescent="0.2">
      <c r="A113" t="str">
        <f>IF([1]Accounts!$D$114="","",[1]Accounts!$A$114)</f>
        <v/>
      </c>
      <c r="B113" t="str">
        <f>IF([1]Accounts!$D$114="","",[1]Accounts!$B$114)</f>
        <v/>
      </c>
      <c r="C113" t="str">
        <f>IF([1]Accounts!$D$114="","",[1]Accounts!$C$114)</f>
        <v/>
      </c>
      <c r="D113" t="str">
        <f>IF([1]Accounts!$D$114="","",[1]Accounts!$D$114)</f>
        <v/>
      </c>
      <c r="E113" t="str">
        <f>IF([1]Accounts!$D$114="","",[1]Accounts!$J$114)</f>
        <v/>
      </c>
      <c r="F113" t="str">
        <f>IF([1]Accounts!$D$114="","",[1]Accounts!$K$114)</f>
        <v/>
      </c>
      <c r="J113" t="str">
        <f>IF([2]Entry!$C$116="","",[2]Entry!$C$116)</f>
        <v/>
      </c>
      <c r="K113" t="str">
        <f>IF([2]Entry!$D$116="","",[2]Entry!$D$116)</f>
        <v/>
      </c>
      <c r="L113" t="str">
        <f>IF([2]Entry!$E$116="","",[2]Entry!$E$116)</f>
        <v/>
      </c>
      <c r="M113" t="str">
        <f>IF([2]Entry!$G$116="","",[2]Entry!$G$116)</f>
        <v/>
      </c>
      <c r="N113" t="str">
        <f>IF([2]Entry!$M$116="","",[2]Entry!$M$116)</f>
        <v/>
      </c>
      <c r="O113" t="str">
        <f>IF([2]Entry!$N$116="","",[2]Entry!$N$116)</f>
        <v/>
      </c>
      <c r="P113" t="str">
        <f>IF([2]Entry!$R$116="","",[2]Entry!$R$116)</f>
        <v/>
      </c>
    </row>
    <row r="114" spans="1:16" x14ac:dyDescent="0.2">
      <c r="A114" t="str">
        <f>IF([1]Accounts!$D$115="","",[1]Accounts!$A$115)</f>
        <v/>
      </c>
      <c r="B114" t="str">
        <f>IF([1]Accounts!$D$115="","",[1]Accounts!$B$115)</f>
        <v/>
      </c>
      <c r="C114" t="str">
        <f>IF([1]Accounts!$D$115="","",[1]Accounts!$C$115)</f>
        <v/>
      </c>
      <c r="D114" t="str">
        <f>IF([1]Accounts!$D$115="","",[1]Accounts!$D$115)</f>
        <v/>
      </c>
      <c r="E114" t="str">
        <f>IF([1]Accounts!$D$115="","",[1]Accounts!$J$115)</f>
        <v/>
      </c>
      <c r="F114" t="str">
        <f>IF([1]Accounts!$D$115="","",[1]Accounts!$K$115)</f>
        <v/>
      </c>
      <c r="J114" t="str">
        <f>IF([2]Entry!$C$117="","",[2]Entry!$C$117)</f>
        <v/>
      </c>
      <c r="K114" t="str">
        <f>IF([2]Entry!$D$117="","",[2]Entry!$D$117)</f>
        <v/>
      </c>
      <c r="L114" t="str">
        <f>IF([2]Entry!$E$117="","",[2]Entry!$E$117)</f>
        <v/>
      </c>
      <c r="M114" t="str">
        <f>IF([2]Entry!$G$117="","",[2]Entry!$G$117)</f>
        <v/>
      </c>
      <c r="N114" t="str">
        <f>IF([2]Entry!$M$117="","",[2]Entry!$M$117)</f>
        <v/>
      </c>
      <c r="O114" t="str">
        <f>IF([2]Entry!$N$117="","",[2]Entry!$N$117)</f>
        <v/>
      </c>
      <c r="P114" t="str">
        <f>IF([2]Entry!$R$117="","",[2]Entry!$R$117)</f>
        <v/>
      </c>
    </row>
    <row r="115" spans="1:16" x14ac:dyDescent="0.2">
      <c r="A115" t="str">
        <f>IF([1]Accounts!$D$116="","",[1]Accounts!$A$116)</f>
        <v/>
      </c>
      <c r="B115" t="str">
        <f>IF([1]Accounts!$D$116="","",[1]Accounts!$B$116)</f>
        <v/>
      </c>
      <c r="C115" t="str">
        <f>IF([1]Accounts!$D$116="","",[1]Accounts!$C$116)</f>
        <v/>
      </c>
      <c r="D115" t="str">
        <f>IF([1]Accounts!$D$116="","",[1]Accounts!$D$116)</f>
        <v/>
      </c>
      <c r="E115" t="str">
        <f>IF([1]Accounts!$D$116="","",[1]Accounts!$J$116)</f>
        <v/>
      </c>
      <c r="F115" t="str">
        <f>IF([1]Accounts!$D$116="","",[1]Accounts!$K$116)</f>
        <v/>
      </c>
      <c r="J115" t="str">
        <f>IF([2]Entry!$C$118="","",[2]Entry!$C$118)</f>
        <v/>
      </c>
      <c r="K115" t="str">
        <f>IF([2]Entry!$D$118="","",[2]Entry!$D$118)</f>
        <v/>
      </c>
      <c r="L115" t="str">
        <f>IF([2]Entry!$E$118="","",[2]Entry!$E$118)</f>
        <v/>
      </c>
      <c r="M115" t="str">
        <f>IF([2]Entry!$G$118="","",[2]Entry!$G$118)</f>
        <v/>
      </c>
      <c r="N115" t="str">
        <f>IF([2]Entry!$M$118="","",[2]Entry!$M$118)</f>
        <v/>
      </c>
      <c r="O115" t="str">
        <f>IF([2]Entry!$N$118="","",[2]Entry!$N$118)</f>
        <v/>
      </c>
      <c r="P115" t="str">
        <f>IF([2]Entry!$R$118="","",[2]Entry!$R$118)</f>
        <v/>
      </c>
    </row>
    <row r="116" spans="1:16" x14ac:dyDescent="0.2">
      <c r="A116" t="str">
        <f>IF([1]Accounts!$D$117="","",[1]Accounts!$A$117)</f>
        <v/>
      </c>
      <c r="B116" t="str">
        <f>IF([1]Accounts!$D$117="","",[1]Accounts!$B$117)</f>
        <v/>
      </c>
      <c r="C116" t="str">
        <f>IF([1]Accounts!$D$117="","",[1]Accounts!$C$117)</f>
        <v/>
      </c>
      <c r="D116" t="str">
        <f>IF([1]Accounts!$D$117="","",[1]Accounts!$D$117)</f>
        <v/>
      </c>
      <c r="E116" t="str">
        <f>IF([1]Accounts!$D$117="","",[1]Accounts!$J$117)</f>
        <v/>
      </c>
      <c r="F116" t="str">
        <f>IF([1]Accounts!$D$117="","",[1]Accounts!$K$117)</f>
        <v/>
      </c>
      <c r="J116" t="str">
        <f>IF([2]Entry!$C$119="","",[2]Entry!$C$119)</f>
        <v/>
      </c>
      <c r="K116" t="str">
        <f>IF([2]Entry!$D$119="","",[2]Entry!$D$119)</f>
        <v/>
      </c>
      <c r="L116" t="str">
        <f>IF([2]Entry!$E$119="","",[2]Entry!$E$119)</f>
        <v/>
      </c>
      <c r="M116" t="str">
        <f>IF([2]Entry!$G$119="","",[2]Entry!$G$119)</f>
        <v/>
      </c>
      <c r="N116" t="str">
        <f>IF([2]Entry!$M$119="","",[2]Entry!$M$119)</f>
        <v/>
      </c>
      <c r="O116" t="str">
        <f>IF([2]Entry!$N$119="","",[2]Entry!$N$119)</f>
        <v/>
      </c>
      <c r="P116" t="str">
        <f>IF([2]Entry!$R$119="","",[2]Entry!$R$119)</f>
        <v/>
      </c>
    </row>
    <row r="117" spans="1:16" x14ac:dyDescent="0.2">
      <c r="A117" t="str">
        <f>IF([1]Accounts!$D$118="","",[1]Accounts!$A$118)</f>
        <v/>
      </c>
      <c r="B117" t="str">
        <f>IF([1]Accounts!$D$118="","",[1]Accounts!$B$118)</f>
        <v/>
      </c>
      <c r="C117" t="str">
        <f>IF([1]Accounts!$D$118="","",[1]Accounts!$C$118)</f>
        <v/>
      </c>
      <c r="D117" t="str">
        <f>IF([1]Accounts!$D$118="","",[1]Accounts!$D$118)</f>
        <v/>
      </c>
      <c r="E117" t="str">
        <f>IF([1]Accounts!$D$118="","",[1]Accounts!$J$118)</f>
        <v/>
      </c>
      <c r="F117" t="str">
        <f>IF([1]Accounts!$D$118="","",[1]Accounts!$K$118)</f>
        <v/>
      </c>
      <c r="J117" t="str">
        <f>IF([2]Entry!$C$120="","",[2]Entry!$C$120)</f>
        <v/>
      </c>
      <c r="K117" t="str">
        <f>IF([2]Entry!$D$120="","",[2]Entry!$D$120)</f>
        <v/>
      </c>
      <c r="L117" t="str">
        <f>IF([2]Entry!$E$120="","",[2]Entry!$E$120)</f>
        <v/>
      </c>
      <c r="M117" t="str">
        <f>IF([2]Entry!$G$120="","",[2]Entry!$G$120)</f>
        <v/>
      </c>
      <c r="N117" t="str">
        <f>IF([2]Entry!$M$120="","",[2]Entry!$M$120)</f>
        <v/>
      </c>
      <c r="O117" t="str">
        <f>IF([2]Entry!$N$120="","",[2]Entry!$N$120)</f>
        <v/>
      </c>
      <c r="P117" t="str">
        <f>IF([2]Entry!$R$120="","",[2]Entry!$R$120)</f>
        <v/>
      </c>
    </row>
    <row r="118" spans="1:16" x14ac:dyDescent="0.2">
      <c r="A118" t="str">
        <f>IF([1]Accounts!$D$119="","",[1]Accounts!$A$119)</f>
        <v/>
      </c>
      <c r="B118" t="str">
        <f>IF([1]Accounts!$D$119="","",[1]Accounts!$B$119)</f>
        <v/>
      </c>
      <c r="C118" t="str">
        <f>IF([1]Accounts!$D$119="","",[1]Accounts!$C$119)</f>
        <v/>
      </c>
      <c r="D118" t="str">
        <f>IF([1]Accounts!$D$119="","",[1]Accounts!$D$119)</f>
        <v/>
      </c>
      <c r="E118" t="str">
        <f>IF([1]Accounts!$D$119="","",[1]Accounts!$J$119)</f>
        <v/>
      </c>
      <c r="F118" t="str">
        <f>IF([1]Accounts!$D$119="","",[1]Accounts!$K$119)</f>
        <v/>
      </c>
      <c r="J118" t="str">
        <f>IF([2]Entry!$C$121="","",[2]Entry!$C$121)</f>
        <v/>
      </c>
      <c r="K118" t="str">
        <f>IF([2]Entry!$D$121="","",[2]Entry!$D$121)</f>
        <v/>
      </c>
      <c r="L118" t="str">
        <f>IF([2]Entry!$E$121="","",[2]Entry!$E$121)</f>
        <v/>
      </c>
      <c r="M118" t="str">
        <f>IF([2]Entry!$G$121="","",[2]Entry!$G$121)</f>
        <v/>
      </c>
      <c r="N118" t="str">
        <f>IF([2]Entry!$M$121="","",[2]Entry!$M$121)</f>
        <v/>
      </c>
      <c r="O118" t="str">
        <f>IF([2]Entry!$N$121="","",[2]Entry!$N$121)</f>
        <v/>
      </c>
      <c r="P118" t="str">
        <f>IF([2]Entry!$R$121="","",[2]Entry!$R$121)</f>
        <v/>
      </c>
    </row>
    <row r="119" spans="1:16" x14ac:dyDescent="0.2">
      <c r="A119" t="str">
        <f>IF([1]Accounts!$D$120="","",[1]Accounts!$A$120)</f>
        <v/>
      </c>
      <c r="B119" t="str">
        <f>IF([1]Accounts!$D$120="","",[1]Accounts!$B$120)</f>
        <v/>
      </c>
      <c r="C119" t="str">
        <f>IF([1]Accounts!$D$120="","",[1]Accounts!$C$120)</f>
        <v/>
      </c>
      <c r="D119" t="str">
        <f>IF([1]Accounts!$D$120="","",[1]Accounts!$D$120)</f>
        <v/>
      </c>
      <c r="E119" t="str">
        <f>IF([1]Accounts!$D$120="","",[1]Accounts!$J$120)</f>
        <v/>
      </c>
      <c r="F119" t="str">
        <f>IF([1]Accounts!$D$120="","",[1]Accounts!$K$120)</f>
        <v/>
      </c>
      <c r="J119" t="str">
        <f>IF([2]Entry!$C$122="","",[2]Entry!$C$122)</f>
        <v/>
      </c>
      <c r="K119" t="str">
        <f>IF([2]Entry!$D$122="","",[2]Entry!$D$122)</f>
        <v/>
      </c>
      <c r="L119" t="str">
        <f>IF([2]Entry!$E$122="","",[2]Entry!$E$122)</f>
        <v/>
      </c>
      <c r="M119" t="str">
        <f>IF([2]Entry!$G$122="","",[2]Entry!$G$122)</f>
        <v/>
      </c>
      <c r="N119" t="str">
        <f>IF([2]Entry!$M$122="","",[2]Entry!$M$122)</f>
        <v/>
      </c>
      <c r="O119" t="str">
        <f>IF([2]Entry!$N$122="","",[2]Entry!$N$122)</f>
        <v/>
      </c>
      <c r="P119" t="str">
        <f>IF([2]Entry!$R$122="","",[2]Entry!$R$122)</f>
        <v/>
      </c>
    </row>
    <row r="120" spans="1:16" x14ac:dyDescent="0.2">
      <c r="A120" t="str">
        <f>IF([1]Accounts!$D$121="","",[1]Accounts!$A$121)</f>
        <v/>
      </c>
      <c r="B120" t="str">
        <f>IF([1]Accounts!$D$121="","",[1]Accounts!$B$121)</f>
        <v/>
      </c>
      <c r="C120" t="str">
        <f>IF([1]Accounts!$D$121="","",[1]Accounts!$C$121)</f>
        <v/>
      </c>
      <c r="D120" t="str">
        <f>IF([1]Accounts!$D$121="","",[1]Accounts!$D$121)</f>
        <v/>
      </c>
      <c r="E120" t="str">
        <f>IF([1]Accounts!$D$121="","",[1]Accounts!$J$121)</f>
        <v/>
      </c>
      <c r="F120" t="str">
        <f>IF([1]Accounts!$D$121="","",[1]Accounts!$K$121)</f>
        <v/>
      </c>
      <c r="J120" t="str">
        <f>IF([2]Entry!$C$123="","",[2]Entry!$C$123)</f>
        <v/>
      </c>
      <c r="K120" t="str">
        <f>IF([2]Entry!$D$123="","",[2]Entry!$D$123)</f>
        <v/>
      </c>
      <c r="L120" t="str">
        <f>IF([2]Entry!$E$123="","",[2]Entry!$E$123)</f>
        <v/>
      </c>
      <c r="M120" t="str">
        <f>IF([2]Entry!$G$123="","",[2]Entry!$G$123)</f>
        <v/>
      </c>
      <c r="N120" t="str">
        <f>IF([2]Entry!$M$123="","",[2]Entry!$M$123)</f>
        <v/>
      </c>
      <c r="O120" t="str">
        <f>IF([2]Entry!$N$123="","",[2]Entry!$N$123)</f>
        <v/>
      </c>
      <c r="P120" t="str">
        <f>IF([2]Entry!$R$123="","",[2]Entry!$R$123)</f>
        <v/>
      </c>
    </row>
    <row r="121" spans="1:16" x14ac:dyDescent="0.2">
      <c r="A121" t="str">
        <f>IF([1]Accounts!$D$122="","",[1]Accounts!$A$122)</f>
        <v/>
      </c>
      <c r="B121" t="str">
        <f>IF([1]Accounts!$D$122="","",[1]Accounts!$B$122)</f>
        <v/>
      </c>
      <c r="C121" t="str">
        <f>IF([1]Accounts!$D$122="","",[1]Accounts!$C$122)</f>
        <v/>
      </c>
      <c r="D121" t="str">
        <f>IF([1]Accounts!$D$122="","",[1]Accounts!$D$122)</f>
        <v/>
      </c>
      <c r="E121" t="str">
        <f>IF([1]Accounts!$D$122="","",[1]Accounts!$J$122)</f>
        <v/>
      </c>
      <c r="F121" t="str">
        <f>IF([1]Accounts!$D$122="","",[1]Accounts!$K$122)</f>
        <v/>
      </c>
      <c r="J121" t="str">
        <f>IF([2]Entry!$C$124="","",[2]Entry!$C$124)</f>
        <v/>
      </c>
      <c r="K121" t="str">
        <f>IF([2]Entry!$D$124="","",[2]Entry!$D$124)</f>
        <v/>
      </c>
      <c r="L121" t="str">
        <f>IF([2]Entry!$E$124="","",[2]Entry!$E$124)</f>
        <v/>
      </c>
      <c r="M121" t="str">
        <f>IF([2]Entry!$G$124="","",[2]Entry!$G$124)</f>
        <v/>
      </c>
      <c r="N121" t="str">
        <f>IF([2]Entry!$M$124="","",[2]Entry!$M$124)</f>
        <v/>
      </c>
      <c r="O121" t="str">
        <f>IF([2]Entry!$N$124="","",[2]Entry!$N$124)</f>
        <v/>
      </c>
      <c r="P121" t="str">
        <f>IF([2]Entry!$R$124="","",[2]Entry!$R$124)</f>
        <v/>
      </c>
    </row>
    <row r="122" spans="1:16" x14ac:dyDescent="0.2">
      <c r="A122" t="str">
        <f>IF([1]Accounts!$D$123="","",[1]Accounts!$A$123)</f>
        <v/>
      </c>
      <c r="B122" t="str">
        <f>IF([1]Accounts!$D$123="","",[1]Accounts!$B$123)</f>
        <v/>
      </c>
      <c r="C122" t="str">
        <f>IF([1]Accounts!$D$123="","",[1]Accounts!$C$123)</f>
        <v/>
      </c>
      <c r="D122" t="str">
        <f>IF([1]Accounts!$D$123="","",[1]Accounts!$D$123)</f>
        <v/>
      </c>
      <c r="E122" t="str">
        <f>IF([1]Accounts!$D$123="","",[1]Accounts!$J$123)</f>
        <v/>
      </c>
      <c r="F122" t="str">
        <f>IF([1]Accounts!$D$123="","",[1]Accounts!$K$123)</f>
        <v/>
      </c>
      <c r="J122" t="str">
        <f>IF([2]Entry!$C$125="","",[2]Entry!$C$125)</f>
        <v/>
      </c>
      <c r="K122" t="str">
        <f>IF([2]Entry!$D$125="","",[2]Entry!$D$125)</f>
        <v/>
      </c>
      <c r="L122" t="str">
        <f>IF([2]Entry!$E$125="","",[2]Entry!$E$125)</f>
        <v/>
      </c>
      <c r="M122" t="str">
        <f>IF([2]Entry!$G$125="","",[2]Entry!$G$125)</f>
        <v/>
      </c>
      <c r="N122" t="str">
        <f>IF([2]Entry!$M$125="","",[2]Entry!$M$125)</f>
        <v/>
      </c>
      <c r="O122" t="str">
        <f>IF([2]Entry!$N$125="","",[2]Entry!$N$125)</f>
        <v/>
      </c>
      <c r="P122" t="str">
        <f>IF([2]Entry!$R$125="","",[2]Entry!$R$125)</f>
        <v/>
      </c>
    </row>
    <row r="123" spans="1:16" x14ac:dyDescent="0.2">
      <c r="A123" t="str">
        <f>IF([1]Accounts!$D$124="","",[1]Accounts!$A$124)</f>
        <v/>
      </c>
      <c r="B123" t="str">
        <f>IF([1]Accounts!$D$124="","",[1]Accounts!$B$124)</f>
        <v/>
      </c>
      <c r="C123" t="str">
        <f>IF([1]Accounts!$D$124="","",[1]Accounts!$C$124)</f>
        <v/>
      </c>
      <c r="D123" t="str">
        <f>IF([1]Accounts!$D$124="","",[1]Accounts!$D$124)</f>
        <v/>
      </c>
      <c r="E123" t="str">
        <f>IF([1]Accounts!$D$124="","",[1]Accounts!$J$124)</f>
        <v/>
      </c>
      <c r="F123" t="str">
        <f>IF([1]Accounts!$D$124="","",[1]Accounts!$K$124)</f>
        <v/>
      </c>
      <c r="J123" t="str">
        <f>IF([2]Entry!$C$126="","",[2]Entry!$C$126)</f>
        <v/>
      </c>
      <c r="K123" t="str">
        <f>IF([2]Entry!$D$126="","",[2]Entry!$D$126)</f>
        <v/>
      </c>
      <c r="L123" t="str">
        <f>IF([2]Entry!$E$126="","",[2]Entry!$E$126)</f>
        <v/>
      </c>
      <c r="M123" t="str">
        <f>IF([2]Entry!$G$126="","",[2]Entry!$G$126)</f>
        <v/>
      </c>
      <c r="N123" t="str">
        <f>IF([2]Entry!$M$126="","",[2]Entry!$M$126)</f>
        <v/>
      </c>
      <c r="O123" t="str">
        <f>IF([2]Entry!$N$126="","",[2]Entry!$N$126)</f>
        <v/>
      </c>
      <c r="P123" t="str">
        <f>IF([2]Entry!$R$126="","",[2]Entry!$R$126)</f>
        <v/>
      </c>
    </row>
    <row r="124" spans="1:16" x14ac:dyDescent="0.2">
      <c r="A124" t="str">
        <f>IF([1]Accounts!$D$125="","",[1]Accounts!$A$125)</f>
        <v/>
      </c>
      <c r="B124" t="str">
        <f>IF([1]Accounts!$D$125="","",[1]Accounts!$B$125)</f>
        <v/>
      </c>
      <c r="C124" t="str">
        <f>IF([1]Accounts!$D$125="","",[1]Accounts!$C$125)</f>
        <v/>
      </c>
      <c r="D124" t="str">
        <f>IF([1]Accounts!$D$125="","",[1]Accounts!$D$125)</f>
        <v/>
      </c>
      <c r="E124" t="str">
        <f>IF([1]Accounts!$D$125="","",[1]Accounts!$J$125)</f>
        <v/>
      </c>
      <c r="F124" t="str">
        <f>IF([1]Accounts!$D$125="","",[1]Accounts!$K$125)</f>
        <v/>
      </c>
      <c r="J124" t="str">
        <f>IF([2]Entry!$C$127="","",[2]Entry!$C$127)</f>
        <v/>
      </c>
      <c r="K124" t="str">
        <f>IF([2]Entry!$D$127="","",[2]Entry!$D$127)</f>
        <v/>
      </c>
      <c r="L124" t="str">
        <f>IF([2]Entry!$E$127="","",[2]Entry!$E$127)</f>
        <v/>
      </c>
      <c r="M124" t="str">
        <f>IF([2]Entry!$G$127="","",[2]Entry!$G$127)</f>
        <v/>
      </c>
      <c r="N124" t="str">
        <f>IF([2]Entry!$M$127="","",[2]Entry!$M$127)</f>
        <v/>
      </c>
      <c r="O124" t="str">
        <f>IF([2]Entry!$N$127="","",[2]Entry!$N$127)</f>
        <v/>
      </c>
      <c r="P124" t="str">
        <f>IF([2]Entry!$R$127="","",[2]Entry!$R$127)</f>
        <v/>
      </c>
    </row>
    <row r="125" spans="1:16" x14ac:dyDescent="0.2">
      <c r="A125" t="str">
        <f>IF([1]Accounts!$D$126="","",[1]Accounts!$A$126)</f>
        <v/>
      </c>
      <c r="B125" t="str">
        <f>IF([1]Accounts!$D$126="","",[1]Accounts!$B$126)</f>
        <v/>
      </c>
      <c r="C125" t="str">
        <f>IF([1]Accounts!$D$126="","",[1]Accounts!$C$126)</f>
        <v/>
      </c>
      <c r="D125" t="str">
        <f>IF([1]Accounts!$D$126="","",[1]Accounts!$D$126)</f>
        <v/>
      </c>
      <c r="E125" t="str">
        <f>IF([1]Accounts!$D$126="","",[1]Accounts!$J$126)</f>
        <v/>
      </c>
      <c r="F125" t="str">
        <f>IF([1]Accounts!$D$126="","",[1]Accounts!$K$126)</f>
        <v/>
      </c>
      <c r="J125" t="str">
        <f>IF([2]Entry!$C$128="","",[2]Entry!$C$128)</f>
        <v/>
      </c>
      <c r="K125" t="str">
        <f>IF([2]Entry!$D$128="","",[2]Entry!$D$128)</f>
        <v/>
      </c>
      <c r="L125" t="str">
        <f>IF([2]Entry!$E$128="","",[2]Entry!$E$128)</f>
        <v/>
      </c>
      <c r="M125" t="str">
        <f>IF([2]Entry!$G$128="","",[2]Entry!$G$128)</f>
        <v/>
      </c>
      <c r="N125" t="str">
        <f>IF([2]Entry!$M$128="","",[2]Entry!$M$128)</f>
        <v/>
      </c>
      <c r="O125" t="str">
        <f>IF([2]Entry!$N$128="","",[2]Entry!$N$128)</f>
        <v/>
      </c>
      <c r="P125" t="str">
        <f>IF([2]Entry!$R$128="","",[2]Entry!$R$128)</f>
        <v/>
      </c>
    </row>
    <row r="126" spans="1:16" x14ac:dyDescent="0.2">
      <c r="A126" t="str">
        <f>IF([1]Accounts!$D$127="","",[1]Accounts!$A$127)</f>
        <v/>
      </c>
      <c r="B126" t="str">
        <f>IF([1]Accounts!$D$127="","",[1]Accounts!$B$127)</f>
        <v/>
      </c>
      <c r="C126" t="str">
        <f>IF([1]Accounts!$D$127="","",[1]Accounts!$C$127)</f>
        <v/>
      </c>
      <c r="D126" t="str">
        <f>IF([1]Accounts!$D$127="","",[1]Accounts!$D$127)</f>
        <v/>
      </c>
      <c r="E126" t="str">
        <f>IF([1]Accounts!$D$127="","",[1]Accounts!$J$127)</f>
        <v/>
      </c>
      <c r="F126" t="str">
        <f>IF([1]Accounts!$D$127="","",[1]Accounts!$K$127)</f>
        <v/>
      </c>
      <c r="J126" t="str">
        <f>IF([2]Entry!$C$129="","",[2]Entry!$C$129)</f>
        <v/>
      </c>
      <c r="K126" t="str">
        <f>IF([2]Entry!$D$129="","",[2]Entry!$D$129)</f>
        <v/>
      </c>
      <c r="L126" t="str">
        <f>IF([2]Entry!$E$129="","",[2]Entry!$E$129)</f>
        <v/>
      </c>
      <c r="M126" t="str">
        <f>IF([2]Entry!$G$129="","",[2]Entry!$G$129)</f>
        <v/>
      </c>
      <c r="N126" t="str">
        <f>IF([2]Entry!$M$129="","",[2]Entry!$M$129)</f>
        <v/>
      </c>
      <c r="O126" t="str">
        <f>IF([2]Entry!$N$129="","",[2]Entry!$N$129)</f>
        <v/>
      </c>
      <c r="P126" t="str">
        <f>IF([2]Entry!$R$129="","",[2]Entry!$R$129)</f>
        <v/>
      </c>
    </row>
    <row r="127" spans="1:16" x14ac:dyDescent="0.2">
      <c r="A127" t="str">
        <f>IF([1]Accounts!$D$128="","",[1]Accounts!$A$128)</f>
        <v/>
      </c>
      <c r="B127" t="str">
        <f>IF([1]Accounts!$D$128="","",[1]Accounts!$B$128)</f>
        <v/>
      </c>
      <c r="C127" t="str">
        <f>IF([1]Accounts!$D$128="","",[1]Accounts!$C$128)</f>
        <v/>
      </c>
      <c r="D127" t="str">
        <f>IF([1]Accounts!$D$128="","",[1]Accounts!$D$128)</f>
        <v/>
      </c>
      <c r="E127" t="str">
        <f>IF([1]Accounts!$D$128="","",[1]Accounts!$J$128)</f>
        <v/>
      </c>
      <c r="F127" t="str">
        <f>IF([1]Accounts!$D$128="","",[1]Accounts!$K$128)</f>
        <v/>
      </c>
      <c r="J127" t="str">
        <f>IF([2]Entry!$C$130="","",[2]Entry!$C$130)</f>
        <v/>
      </c>
      <c r="K127" t="str">
        <f>IF([2]Entry!$D$130="","",[2]Entry!$D$130)</f>
        <v/>
      </c>
      <c r="L127" t="str">
        <f>IF([2]Entry!$E$130="","",[2]Entry!$E$130)</f>
        <v/>
      </c>
      <c r="M127" t="str">
        <f>IF([2]Entry!$G$130="","",[2]Entry!$G$130)</f>
        <v/>
      </c>
      <c r="N127" t="str">
        <f>IF([2]Entry!$M$130="","",[2]Entry!$M$130)</f>
        <v/>
      </c>
      <c r="O127" t="str">
        <f>IF([2]Entry!$N$130="","",[2]Entry!$N$130)</f>
        <v/>
      </c>
      <c r="P127" t="str">
        <f>IF([2]Entry!$R$130="","",[2]Entry!$R$130)</f>
        <v/>
      </c>
    </row>
    <row r="128" spans="1:16" x14ac:dyDescent="0.2">
      <c r="A128" t="str">
        <f>IF([1]Accounts!$D$129="","",[1]Accounts!$A$129)</f>
        <v/>
      </c>
      <c r="B128" t="str">
        <f>IF([1]Accounts!$D$129="","",[1]Accounts!$B$129)</f>
        <v/>
      </c>
      <c r="C128" t="str">
        <f>IF([1]Accounts!$D$129="","",[1]Accounts!$C$129)</f>
        <v/>
      </c>
      <c r="D128" t="str">
        <f>IF([1]Accounts!$D$129="","",[1]Accounts!$D$129)</f>
        <v/>
      </c>
      <c r="E128" t="str">
        <f>IF([1]Accounts!$D$129="","",[1]Accounts!$J$129)</f>
        <v/>
      </c>
      <c r="F128" t="str">
        <f>IF([1]Accounts!$D$129="","",[1]Accounts!$K$129)</f>
        <v/>
      </c>
      <c r="J128" t="str">
        <f>IF([2]Entry!$C$131="","",[2]Entry!$C$131)</f>
        <v/>
      </c>
      <c r="K128" t="str">
        <f>IF([2]Entry!$D$131="","",[2]Entry!$D$131)</f>
        <v/>
      </c>
      <c r="L128" t="str">
        <f>IF([2]Entry!$E$131="","",[2]Entry!$E$131)</f>
        <v/>
      </c>
      <c r="M128" t="str">
        <f>IF([2]Entry!$G$131="","",[2]Entry!$G$131)</f>
        <v/>
      </c>
      <c r="N128" t="str">
        <f>IF([2]Entry!$M$131="","",[2]Entry!$M$131)</f>
        <v/>
      </c>
      <c r="O128" t="str">
        <f>IF([2]Entry!$N$131="","",[2]Entry!$N$131)</f>
        <v/>
      </c>
      <c r="P128" t="str">
        <f>IF([2]Entry!$R$131="","",[2]Entry!$R$131)</f>
        <v/>
      </c>
    </row>
    <row r="129" spans="1:16" x14ac:dyDescent="0.2">
      <c r="A129" t="str">
        <f>IF([1]Accounts!$D$130="","",[1]Accounts!$A$130)</f>
        <v/>
      </c>
      <c r="B129" t="str">
        <f>IF([1]Accounts!$D$130="","",[1]Accounts!$B$130)</f>
        <v/>
      </c>
      <c r="C129" t="str">
        <f>IF([1]Accounts!$D$130="","",[1]Accounts!$C$130)</f>
        <v/>
      </c>
      <c r="D129" t="str">
        <f>IF([1]Accounts!$D$130="","",[1]Accounts!$D$130)</f>
        <v/>
      </c>
      <c r="E129" t="str">
        <f>IF([1]Accounts!$D$130="","",[1]Accounts!$J$130)</f>
        <v/>
      </c>
      <c r="F129" t="str">
        <f>IF([1]Accounts!$D$130="","",[1]Accounts!$K$130)</f>
        <v/>
      </c>
      <c r="J129" t="str">
        <f>IF([2]Entry!$C$132="","",[2]Entry!$C$132)</f>
        <v/>
      </c>
      <c r="K129" t="str">
        <f>IF([2]Entry!$D$132="","",[2]Entry!$D$132)</f>
        <v/>
      </c>
      <c r="L129" t="str">
        <f>IF([2]Entry!$E$132="","",[2]Entry!$E$132)</f>
        <v/>
      </c>
      <c r="M129" t="str">
        <f>IF([2]Entry!$G$132="","",[2]Entry!$G$132)</f>
        <v/>
      </c>
      <c r="N129" t="str">
        <f>IF([2]Entry!$M$132="","",[2]Entry!$M$132)</f>
        <v/>
      </c>
      <c r="O129" t="str">
        <f>IF([2]Entry!$N$132="","",[2]Entry!$N$132)</f>
        <v/>
      </c>
      <c r="P129" t="str">
        <f>IF([2]Entry!$R$132="","",[2]Entry!$R$132)</f>
        <v/>
      </c>
    </row>
    <row r="130" spans="1:16" x14ac:dyDescent="0.2">
      <c r="A130" t="str">
        <f>IF([1]Accounts!$D$131="","",[1]Accounts!$A$131)</f>
        <v/>
      </c>
      <c r="B130" t="str">
        <f>IF([1]Accounts!$D$131="","",[1]Accounts!$B$131)</f>
        <v/>
      </c>
      <c r="C130" t="str">
        <f>IF([1]Accounts!$D$131="","",[1]Accounts!$C$131)</f>
        <v/>
      </c>
      <c r="D130" t="str">
        <f>IF([1]Accounts!$D$131="","",[1]Accounts!$D$131)</f>
        <v/>
      </c>
      <c r="E130" t="str">
        <f>IF([1]Accounts!$D$131="","",[1]Accounts!$J$131)</f>
        <v/>
      </c>
      <c r="F130" t="str">
        <f>IF([1]Accounts!$D$131="","",[1]Accounts!$K$131)</f>
        <v/>
      </c>
      <c r="J130" t="str">
        <f>IF([2]Entry!$C$133="","",[2]Entry!$C$133)</f>
        <v/>
      </c>
      <c r="K130" t="str">
        <f>IF([2]Entry!$D$133="","",[2]Entry!$D$133)</f>
        <v/>
      </c>
      <c r="L130" t="str">
        <f>IF([2]Entry!$E$133="","",[2]Entry!$E$133)</f>
        <v/>
      </c>
      <c r="M130" t="str">
        <f>IF([2]Entry!$G$133="","",[2]Entry!$G$133)</f>
        <v/>
      </c>
      <c r="N130" t="str">
        <f>IF([2]Entry!$M$133="","",[2]Entry!$M$133)</f>
        <v/>
      </c>
      <c r="O130" t="str">
        <f>IF([2]Entry!$N$133="","",[2]Entry!$N$133)</f>
        <v/>
      </c>
      <c r="P130" t="str">
        <f>IF([2]Entry!$R$133="","",[2]Entry!$R$133)</f>
        <v/>
      </c>
    </row>
    <row r="131" spans="1:16" x14ac:dyDescent="0.2">
      <c r="A131" t="str">
        <f>IF([1]Accounts!$D$132="","",[1]Accounts!$A$132)</f>
        <v/>
      </c>
      <c r="B131" t="str">
        <f>IF([1]Accounts!$D$132="","",[1]Accounts!$B$132)</f>
        <v/>
      </c>
      <c r="C131" t="str">
        <f>IF([1]Accounts!$D$132="","",[1]Accounts!$C$132)</f>
        <v/>
      </c>
      <c r="D131" t="str">
        <f>IF([1]Accounts!$D$132="","",[1]Accounts!$D$132)</f>
        <v/>
      </c>
      <c r="E131" t="str">
        <f>IF([1]Accounts!$D$132="","",[1]Accounts!$J$132)</f>
        <v/>
      </c>
      <c r="F131" t="str">
        <f>IF([1]Accounts!$D$132="","",[1]Accounts!$K$132)</f>
        <v/>
      </c>
      <c r="J131" t="str">
        <f>IF([2]Entry!$C$134="","",[2]Entry!$C$134)</f>
        <v/>
      </c>
      <c r="K131" t="str">
        <f>IF([2]Entry!$D$134="","",[2]Entry!$D$134)</f>
        <v/>
      </c>
      <c r="L131" t="str">
        <f>IF([2]Entry!$E$134="","",[2]Entry!$E$134)</f>
        <v/>
      </c>
      <c r="M131" t="str">
        <f>IF([2]Entry!$G$134="","",[2]Entry!$G$134)</f>
        <v/>
      </c>
      <c r="N131" t="str">
        <f>IF([2]Entry!$M$134="","",[2]Entry!$M$134)</f>
        <v/>
      </c>
      <c r="O131" t="str">
        <f>IF([2]Entry!$N$134="","",[2]Entry!$N$134)</f>
        <v/>
      </c>
      <c r="P131" t="str">
        <f>IF([2]Entry!$R$134="","",[2]Entry!$R$134)</f>
        <v/>
      </c>
    </row>
    <row r="132" spans="1:16" x14ac:dyDescent="0.2">
      <c r="A132" t="str">
        <f>IF([1]Accounts!$D$133="","",[1]Accounts!$A$133)</f>
        <v/>
      </c>
      <c r="B132" t="str">
        <f>IF([1]Accounts!$D$133="","",[1]Accounts!$B$133)</f>
        <v/>
      </c>
      <c r="C132" t="str">
        <f>IF([1]Accounts!$D$133="","",[1]Accounts!$C$133)</f>
        <v/>
      </c>
      <c r="D132" t="str">
        <f>IF([1]Accounts!$D$133="","",[1]Accounts!$D$133)</f>
        <v/>
      </c>
      <c r="E132" t="str">
        <f>IF([1]Accounts!$D$133="","",[1]Accounts!$J$133)</f>
        <v/>
      </c>
      <c r="F132" t="str">
        <f>IF([1]Accounts!$D$133="","",[1]Accounts!$K$133)</f>
        <v/>
      </c>
      <c r="J132" t="str">
        <f>IF([2]Entry!$C$135="","",[2]Entry!$C$135)</f>
        <v/>
      </c>
      <c r="K132" t="str">
        <f>IF([2]Entry!$D$135="","",[2]Entry!$D$135)</f>
        <v/>
      </c>
      <c r="L132" t="str">
        <f>IF([2]Entry!$E$135="","",[2]Entry!$E$135)</f>
        <v/>
      </c>
      <c r="M132" t="str">
        <f>IF([2]Entry!$G$135="","",[2]Entry!$G$135)</f>
        <v/>
      </c>
      <c r="N132" t="str">
        <f>IF([2]Entry!$M$135="","",[2]Entry!$M$135)</f>
        <v/>
      </c>
      <c r="O132" t="str">
        <f>IF([2]Entry!$N$135="","",[2]Entry!$N$135)</f>
        <v/>
      </c>
      <c r="P132" t="str">
        <f>IF([2]Entry!$R$135="","",[2]Entry!$R$135)</f>
        <v/>
      </c>
    </row>
    <row r="133" spans="1:16" x14ac:dyDescent="0.2">
      <c r="A133" t="str">
        <f>IF([1]Accounts!$D$134="","",[1]Accounts!$A$134)</f>
        <v/>
      </c>
      <c r="B133" t="str">
        <f>IF([1]Accounts!$D$134="","",[1]Accounts!$B$134)</f>
        <v/>
      </c>
      <c r="C133" t="str">
        <f>IF([1]Accounts!$D$134="","",[1]Accounts!$C$134)</f>
        <v/>
      </c>
      <c r="D133" t="str">
        <f>IF([1]Accounts!$D$134="","",[1]Accounts!$D$134)</f>
        <v/>
      </c>
      <c r="E133" t="str">
        <f>IF([1]Accounts!$D$134="","",[1]Accounts!$J$134)</f>
        <v/>
      </c>
      <c r="F133" t="str">
        <f>IF([1]Accounts!$D$134="","",[1]Accounts!$K$134)</f>
        <v/>
      </c>
      <c r="J133" t="str">
        <f>IF([2]Entry!$C$136="","",[2]Entry!$C$136)</f>
        <v/>
      </c>
      <c r="K133" t="str">
        <f>IF([2]Entry!$D$136="","",[2]Entry!$D$136)</f>
        <v/>
      </c>
      <c r="L133" t="str">
        <f>IF([2]Entry!$E$136="","",[2]Entry!$E$136)</f>
        <v/>
      </c>
      <c r="M133" t="str">
        <f>IF([2]Entry!$G$136="","",[2]Entry!$G$136)</f>
        <v/>
      </c>
      <c r="N133" t="str">
        <f>IF([2]Entry!$M$136="","",[2]Entry!$M$136)</f>
        <v/>
      </c>
      <c r="O133" t="str">
        <f>IF([2]Entry!$N$136="","",[2]Entry!$N$136)</f>
        <v/>
      </c>
      <c r="P133" t="str">
        <f>IF([2]Entry!$R$136="","",[2]Entry!$R$136)</f>
        <v/>
      </c>
    </row>
    <row r="134" spans="1:16" x14ac:dyDescent="0.2">
      <c r="A134" t="str">
        <f>IF([1]Accounts!$D$135="","",[1]Accounts!$A$135)</f>
        <v/>
      </c>
      <c r="B134" t="str">
        <f>IF([1]Accounts!$D$135="","",[1]Accounts!$B$135)</f>
        <v/>
      </c>
      <c r="C134" t="str">
        <f>IF([1]Accounts!$D$135="","",[1]Accounts!$C$135)</f>
        <v/>
      </c>
      <c r="D134" t="str">
        <f>IF([1]Accounts!$D$135="","",[1]Accounts!$D$135)</f>
        <v/>
      </c>
      <c r="E134" t="str">
        <f>IF([1]Accounts!$D$135="","",[1]Accounts!$J$135)</f>
        <v/>
      </c>
      <c r="F134" t="str">
        <f>IF([1]Accounts!$D$135="","",[1]Accounts!$K$135)</f>
        <v/>
      </c>
      <c r="J134" t="str">
        <f>IF([2]Entry!$C$137="","",[2]Entry!$C$137)</f>
        <v/>
      </c>
      <c r="K134" t="str">
        <f>IF([2]Entry!$D$137="","",[2]Entry!$D$137)</f>
        <v/>
      </c>
      <c r="L134" t="str">
        <f>IF([2]Entry!$E$137="","",[2]Entry!$E$137)</f>
        <v/>
      </c>
      <c r="M134" t="str">
        <f>IF([2]Entry!$G$137="","",[2]Entry!$G$137)</f>
        <v/>
      </c>
      <c r="N134" t="str">
        <f>IF([2]Entry!$M$137="","",[2]Entry!$M$137)</f>
        <v/>
      </c>
      <c r="O134" t="str">
        <f>IF([2]Entry!$N$137="","",[2]Entry!$N$137)</f>
        <v/>
      </c>
      <c r="P134" t="str">
        <f>IF([2]Entry!$R$137="","",[2]Entry!$R$137)</f>
        <v/>
      </c>
    </row>
    <row r="135" spans="1:16" x14ac:dyDescent="0.2">
      <c r="A135" t="str">
        <f>IF([1]Accounts!$D$136="","",[1]Accounts!$A$136)</f>
        <v/>
      </c>
      <c r="B135" t="str">
        <f>IF([1]Accounts!$D$136="","",[1]Accounts!$B$136)</f>
        <v/>
      </c>
      <c r="C135" t="str">
        <f>IF([1]Accounts!$D$136="","",[1]Accounts!$C$136)</f>
        <v/>
      </c>
      <c r="D135" t="str">
        <f>IF([1]Accounts!$D$136="","",[1]Accounts!$D$136)</f>
        <v/>
      </c>
      <c r="E135" t="str">
        <f>IF([1]Accounts!$D$136="","",[1]Accounts!$J$136)</f>
        <v/>
      </c>
      <c r="F135" t="str">
        <f>IF([1]Accounts!$D$136="","",[1]Accounts!$K$136)</f>
        <v/>
      </c>
      <c r="J135" t="str">
        <f>IF([2]Entry!$C$138="","",[2]Entry!$C$138)</f>
        <v/>
      </c>
      <c r="K135" t="str">
        <f>IF([2]Entry!$D$138="","",[2]Entry!$D$138)</f>
        <v/>
      </c>
      <c r="L135" t="str">
        <f>IF([2]Entry!$E$138="","",[2]Entry!$E$138)</f>
        <v/>
      </c>
      <c r="M135" t="str">
        <f>IF([2]Entry!$G$138="","",[2]Entry!$G$138)</f>
        <v/>
      </c>
      <c r="N135" t="str">
        <f>IF([2]Entry!$M$138="","",[2]Entry!$M$138)</f>
        <v/>
      </c>
      <c r="O135" t="str">
        <f>IF([2]Entry!$N$138="","",[2]Entry!$N$138)</f>
        <v/>
      </c>
      <c r="P135" t="str">
        <f>IF([2]Entry!$R$138="","",[2]Entry!$R$138)</f>
        <v/>
      </c>
    </row>
    <row r="136" spans="1:16" x14ac:dyDescent="0.2">
      <c r="A136" t="str">
        <f>IF([1]Accounts!$D$137="","",[1]Accounts!$A$137)</f>
        <v/>
      </c>
      <c r="B136" t="str">
        <f>IF([1]Accounts!$D$137="","",[1]Accounts!$B$137)</f>
        <v/>
      </c>
      <c r="C136" t="str">
        <f>IF([1]Accounts!$D$137="","",[1]Accounts!$C$137)</f>
        <v/>
      </c>
      <c r="D136" t="str">
        <f>IF([1]Accounts!$D$137="","",[1]Accounts!$D$137)</f>
        <v/>
      </c>
      <c r="E136" t="str">
        <f>IF([1]Accounts!$D$137="","",[1]Accounts!$J$137)</f>
        <v/>
      </c>
      <c r="F136" t="str">
        <f>IF([1]Accounts!$D$137="","",[1]Accounts!$K$137)</f>
        <v/>
      </c>
      <c r="J136" t="str">
        <f>IF([2]Entry!$C$139="","",[2]Entry!$C$139)</f>
        <v/>
      </c>
      <c r="K136" t="str">
        <f>IF([2]Entry!$D$139="","",[2]Entry!$D$139)</f>
        <v/>
      </c>
      <c r="L136" t="str">
        <f>IF([2]Entry!$E$139="","",[2]Entry!$E$139)</f>
        <v/>
      </c>
      <c r="M136" t="str">
        <f>IF([2]Entry!$G$139="","",[2]Entry!$G$139)</f>
        <v/>
      </c>
      <c r="N136" t="str">
        <f>IF([2]Entry!$M$139="","",[2]Entry!$M$139)</f>
        <v/>
      </c>
      <c r="O136" t="str">
        <f>IF([2]Entry!$N$139="","",[2]Entry!$N$139)</f>
        <v/>
      </c>
      <c r="P136" t="str">
        <f>IF([2]Entry!$R$139="","",[2]Entry!$R$139)</f>
        <v/>
      </c>
    </row>
    <row r="137" spans="1:16" x14ac:dyDescent="0.2">
      <c r="A137" t="str">
        <f>IF([1]Accounts!$D$138="","",[1]Accounts!$A$138)</f>
        <v/>
      </c>
      <c r="B137" t="str">
        <f>IF([1]Accounts!$D$138="","",[1]Accounts!$B$138)</f>
        <v/>
      </c>
      <c r="C137" t="str">
        <f>IF([1]Accounts!$D$138="","",[1]Accounts!$C$138)</f>
        <v/>
      </c>
      <c r="D137" t="str">
        <f>IF([1]Accounts!$D$138="","",[1]Accounts!$D$138)</f>
        <v/>
      </c>
      <c r="E137" t="str">
        <f>IF([1]Accounts!$D$138="","",[1]Accounts!$J$138)</f>
        <v/>
      </c>
      <c r="F137" t="str">
        <f>IF([1]Accounts!$D$138="","",[1]Accounts!$K$138)</f>
        <v/>
      </c>
      <c r="J137" t="str">
        <f>IF([2]Entry!$C$140="","",[2]Entry!$C$140)</f>
        <v/>
      </c>
      <c r="K137" t="str">
        <f>IF([2]Entry!$D$140="","",[2]Entry!$D$140)</f>
        <v/>
      </c>
      <c r="L137" t="str">
        <f>IF([2]Entry!$E$140="","",[2]Entry!$E$140)</f>
        <v/>
      </c>
      <c r="M137" t="str">
        <f>IF([2]Entry!$G$140="","",[2]Entry!$G$140)</f>
        <v/>
      </c>
      <c r="N137" t="str">
        <f>IF([2]Entry!$M$140="","",[2]Entry!$M$140)</f>
        <v/>
      </c>
      <c r="O137" t="str">
        <f>IF([2]Entry!$N$140="","",[2]Entry!$N$140)</f>
        <v/>
      </c>
      <c r="P137" t="str">
        <f>IF([2]Entry!$R$140="","",[2]Entry!$R$140)</f>
        <v/>
      </c>
    </row>
    <row r="138" spans="1:16" x14ac:dyDescent="0.2">
      <c r="A138" t="str">
        <f>IF([1]Accounts!$D$139="","",[1]Accounts!$A$139)</f>
        <v/>
      </c>
      <c r="B138" t="str">
        <f>IF([1]Accounts!$D$139="","",[1]Accounts!$B$139)</f>
        <v/>
      </c>
      <c r="C138" t="str">
        <f>IF([1]Accounts!$D$139="","",[1]Accounts!$C$139)</f>
        <v/>
      </c>
      <c r="D138" t="str">
        <f>IF([1]Accounts!$D$139="","",[1]Accounts!$D$139)</f>
        <v/>
      </c>
      <c r="E138" t="str">
        <f>IF([1]Accounts!$D$139="","",[1]Accounts!$J$139)</f>
        <v/>
      </c>
      <c r="F138" t="str">
        <f>IF([1]Accounts!$D$139="","",[1]Accounts!$K$139)</f>
        <v/>
      </c>
      <c r="J138" t="str">
        <f>IF([2]Entry!$C$141="","",[2]Entry!$C$141)</f>
        <v/>
      </c>
      <c r="K138" t="str">
        <f>IF([2]Entry!$D$141="","",[2]Entry!$D$141)</f>
        <v/>
      </c>
      <c r="L138" t="str">
        <f>IF([2]Entry!$E$141="","",[2]Entry!$E$141)</f>
        <v/>
      </c>
      <c r="M138" t="str">
        <f>IF([2]Entry!$G$141="","",[2]Entry!$G$141)</f>
        <v/>
      </c>
      <c r="N138" t="str">
        <f>IF([2]Entry!$M$141="","",[2]Entry!$M$141)</f>
        <v/>
      </c>
      <c r="O138" t="str">
        <f>IF([2]Entry!$N$141="","",[2]Entry!$N$141)</f>
        <v/>
      </c>
      <c r="P138" t="str">
        <f>IF([2]Entry!$R$141="","",[2]Entry!$R$141)</f>
        <v/>
      </c>
    </row>
    <row r="139" spans="1:16" x14ac:dyDescent="0.2">
      <c r="A139" t="str">
        <f>IF([1]Accounts!$D$140="","",[1]Accounts!$A$140)</f>
        <v/>
      </c>
      <c r="B139" t="str">
        <f>IF([1]Accounts!$D$140="","",[1]Accounts!$B$140)</f>
        <v/>
      </c>
      <c r="C139" t="str">
        <f>IF([1]Accounts!$D$140="","",[1]Accounts!$C$140)</f>
        <v/>
      </c>
      <c r="D139" t="str">
        <f>IF([1]Accounts!$D$140="","",[1]Accounts!$D$140)</f>
        <v/>
      </c>
      <c r="E139" t="str">
        <f>IF([1]Accounts!$D$140="","",[1]Accounts!$J$140)</f>
        <v/>
      </c>
      <c r="F139" t="str">
        <f>IF([1]Accounts!$D$140="","",[1]Accounts!$K$140)</f>
        <v/>
      </c>
      <c r="J139" t="str">
        <f>IF([2]Entry!$C$142="","",[2]Entry!$C$142)</f>
        <v/>
      </c>
      <c r="K139" t="str">
        <f>IF([2]Entry!$D$142="","",[2]Entry!$D$142)</f>
        <v/>
      </c>
      <c r="L139" t="str">
        <f>IF([2]Entry!$E$142="","",[2]Entry!$E$142)</f>
        <v/>
      </c>
      <c r="M139" t="str">
        <f>IF([2]Entry!$G$142="","",[2]Entry!$G$142)</f>
        <v/>
      </c>
      <c r="N139" t="str">
        <f>IF([2]Entry!$M$142="","",[2]Entry!$M$142)</f>
        <v/>
      </c>
      <c r="O139" t="str">
        <f>IF([2]Entry!$N$142="","",[2]Entry!$N$142)</f>
        <v/>
      </c>
      <c r="P139" t="str">
        <f>IF([2]Entry!$R$142="","",[2]Entry!$R$142)</f>
        <v/>
      </c>
    </row>
    <row r="140" spans="1:16" x14ac:dyDescent="0.2">
      <c r="A140" t="str">
        <f>IF([1]Accounts!$D$141="","",[1]Accounts!$A$141)</f>
        <v/>
      </c>
      <c r="B140" t="str">
        <f>IF([1]Accounts!$D$141="","",[1]Accounts!$B$141)</f>
        <v/>
      </c>
      <c r="C140" t="str">
        <f>IF([1]Accounts!$D$141="","",[1]Accounts!$C$141)</f>
        <v/>
      </c>
      <c r="D140" t="str">
        <f>IF([1]Accounts!$D$141="","",[1]Accounts!$D$141)</f>
        <v/>
      </c>
      <c r="E140" t="str">
        <f>IF([1]Accounts!$D$141="","",[1]Accounts!$J$141)</f>
        <v/>
      </c>
      <c r="F140" t="str">
        <f>IF([1]Accounts!$D$141="","",[1]Accounts!$K$141)</f>
        <v/>
      </c>
      <c r="J140" t="str">
        <f>IF([2]Entry!$C$143="","",[2]Entry!$C$143)</f>
        <v/>
      </c>
      <c r="K140" t="str">
        <f>IF([2]Entry!$D$143="","",[2]Entry!$D$143)</f>
        <v/>
      </c>
      <c r="L140" t="str">
        <f>IF([2]Entry!$E$143="","",[2]Entry!$E$143)</f>
        <v/>
      </c>
      <c r="M140" t="str">
        <f>IF([2]Entry!$G$143="","",[2]Entry!$G$143)</f>
        <v/>
      </c>
      <c r="N140" t="str">
        <f>IF([2]Entry!$M$143="","",[2]Entry!$M$143)</f>
        <v/>
      </c>
      <c r="O140" t="str">
        <f>IF([2]Entry!$N$143="","",[2]Entry!$N$143)</f>
        <v/>
      </c>
      <c r="P140" t="str">
        <f>IF([2]Entry!$R$143="","",[2]Entry!$R$143)</f>
        <v/>
      </c>
    </row>
    <row r="141" spans="1:16" x14ac:dyDescent="0.2">
      <c r="A141" t="str">
        <f>IF([1]Accounts!$D$142="","",[1]Accounts!$A$142)</f>
        <v/>
      </c>
      <c r="B141" t="str">
        <f>IF([1]Accounts!$D$142="","",[1]Accounts!$B$142)</f>
        <v/>
      </c>
      <c r="C141" t="str">
        <f>IF([1]Accounts!$D$142="","",[1]Accounts!$C$142)</f>
        <v/>
      </c>
      <c r="D141" t="str">
        <f>IF([1]Accounts!$D$142="","",[1]Accounts!$D$142)</f>
        <v/>
      </c>
      <c r="E141" t="str">
        <f>IF([1]Accounts!$D$142="","",[1]Accounts!$J$142)</f>
        <v/>
      </c>
      <c r="F141" t="str">
        <f>IF([1]Accounts!$D$142="","",[1]Accounts!$K$142)</f>
        <v/>
      </c>
      <c r="J141" t="str">
        <f>IF([2]Entry!$C$144="","",[2]Entry!$C$144)</f>
        <v/>
      </c>
      <c r="K141" t="str">
        <f>IF([2]Entry!$D$144="","",[2]Entry!$D$144)</f>
        <v/>
      </c>
      <c r="L141" t="str">
        <f>IF([2]Entry!$E$144="","",[2]Entry!$E$144)</f>
        <v/>
      </c>
      <c r="M141" t="str">
        <f>IF([2]Entry!$G$144="","",[2]Entry!$G$144)</f>
        <v/>
      </c>
      <c r="N141" t="str">
        <f>IF([2]Entry!$M$144="","",[2]Entry!$M$144)</f>
        <v/>
      </c>
      <c r="O141" t="str">
        <f>IF([2]Entry!$N$144="","",[2]Entry!$N$144)</f>
        <v/>
      </c>
      <c r="P141" t="str">
        <f>IF([2]Entry!$R$144="","",[2]Entry!$R$144)</f>
        <v/>
      </c>
    </row>
    <row r="142" spans="1:16" x14ac:dyDescent="0.2">
      <c r="A142" t="str">
        <f>IF([1]Accounts!$D$143="","",[1]Accounts!$A$143)</f>
        <v/>
      </c>
      <c r="B142" t="str">
        <f>IF([1]Accounts!$D$143="","",[1]Accounts!$B$143)</f>
        <v/>
      </c>
      <c r="C142" t="str">
        <f>IF([1]Accounts!$D$143="","",[1]Accounts!$C$143)</f>
        <v/>
      </c>
      <c r="D142" t="str">
        <f>IF([1]Accounts!$D$143="","",[1]Accounts!$D$143)</f>
        <v/>
      </c>
      <c r="E142" t="str">
        <f>IF([1]Accounts!$D$143="","",[1]Accounts!$J$143)</f>
        <v/>
      </c>
      <c r="F142" t="str">
        <f>IF([1]Accounts!$D$143="","",[1]Accounts!$K$143)</f>
        <v/>
      </c>
      <c r="J142" t="str">
        <f>IF([2]Entry!$C$145="","",[2]Entry!$C$145)</f>
        <v/>
      </c>
      <c r="K142" t="str">
        <f>IF([2]Entry!$D$145="","",[2]Entry!$D$145)</f>
        <v/>
      </c>
      <c r="L142" t="str">
        <f>IF([2]Entry!$E$145="","",[2]Entry!$E$145)</f>
        <v/>
      </c>
      <c r="M142" t="str">
        <f>IF([2]Entry!$G$145="","",[2]Entry!$G$145)</f>
        <v/>
      </c>
      <c r="N142" t="str">
        <f>IF([2]Entry!$M$145="","",[2]Entry!$M$145)</f>
        <v/>
      </c>
      <c r="O142" t="str">
        <f>IF([2]Entry!$N$145="","",[2]Entry!$N$145)</f>
        <v/>
      </c>
      <c r="P142" t="str">
        <f>IF([2]Entry!$R$145="","",[2]Entry!$R$145)</f>
        <v/>
      </c>
    </row>
    <row r="143" spans="1:16" x14ac:dyDescent="0.2">
      <c r="A143" t="str">
        <f>IF([1]Accounts!$D$144="","",[1]Accounts!$A$144)</f>
        <v/>
      </c>
      <c r="B143" t="str">
        <f>IF([1]Accounts!$D$144="","",[1]Accounts!$B$144)</f>
        <v/>
      </c>
      <c r="C143" t="str">
        <f>IF([1]Accounts!$D$144="","",[1]Accounts!$C$144)</f>
        <v/>
      </c>
      <c r="D143" t="str">
        <f>IF([1]Accounts!$D$144="","",[1]Accounts!$D$144)</f>
        <v/>
      </c>
      <c r="E143" t="str">
        <f>IF([1]Accounts!$D$144="","",[1]Accounts!$J$144)</f>
        <v/>
      </c>
      <c r="F143" t="str">
        <f>IF([1]Accounts!$D$144="","",[1]Accounts!$K$144)</f>
        <v/>
      </c>
      <c r="J143" t="str">
        <f>IF([2]Entry!$C$146="","",[2]Entry!$C$146)</f>
        <v/>
      </c>
      <c r="K143" t="str">
        <f>IF([2]Entry!$D$146="","",[2]Entry!$D$146)</f>
        <v/>
      </c>
      <c r="L143" t="str">
        <f>IF([2]Entry!$E$146="","",[2]Entry!$E$146)</f>
        <v/>
      </c>
      <c r="M143" t="str">
        <f>IF([2]Entry!$G$146="","",[2]Entry!$G$146)</f>
        <v/>
      </c>
      <c r="N143" t="str">
        <f>IF([2]Entry!$M$146="","",[2]Entry!$M$146)</f>
        <v/>
      </c>
      <c r="O143" t="str">
        <f>IF([2]Entry!$N$146="","",[2]Entry!$N$146)</f>
        <v/>
      </c>
      <c r="P143" t="str">
        <f>IF([2]Entry!$R$146="","",[2]Entry!$R$146)</f>
        <v/>
      </c>
    </row>
    <row r="144" spans="1:16" x14ac:dyDescent="0.2">
      <c r="A144" t="str">
        <f>IF([1]Accounts!$D$145="","",[1]Accounts!$A$145)</f>
        <v/>
      </c>
      <c r="B144" t="str">
        <f>IF([1]Accounts!$D$145="","",[1]Accounts!$B$145)</f>
        <v/>
      </c>
      <c r="C144" t="str">
        <f>IF([1]Accounts!$D$145="","",[1]Accounts!$C$145)</f>
        <v/>
      </c>
      <c r="D144" t="str">
        <f>IF([1]Accounts!$D$145="","",[1]Accounts!$D$145)</f>
        <v/>
      </c>
      <c r="E144" t="str">
        <f>IF([1]Accounts!$D$145="","",[1]Accounts!$J$145)</f>
        <v/>
      </c>
      <c r="F144" t="str">
        <f>IF([1]Accounts!$D$145="","",[1]Accounts!$K$145)</f>
        <v/>
      </c>
      <c r="J144" t="str">
        <f>IF([2]Entry!$C$147="","",[2]Entry!$C$147)</f>
        <v/>
      </c>
      <c r="K144" t="str">
        <f>IF([2]Entry!$D$147="","",[2]Entry!$D$147)</f>
        <v/>
      </c>
      <c r="L144" t="str">
        <f>IF([2]Entry!$E$147="","",[2]Entry!$E$147)</f>
        <v/>
      </c>
      <c r="M144" t="str">
        <f>IF([2]Entry!$G$147="","",[2]Entry!$G$147)</f>
        <v/>
      </c>
      <c r="N144" t="str">
        <f>IF([2]Entry!$M$147="","",[2]Entry!$M$147)</f>
        <v/>
      </c>
      <c r="O144" t="str">
        <f>IF([2]Entry!$N$147="","",[2]Entry!$N$147)</f>
        <v/>
      </c>
      <c r="P144" t="str">
        <f>IF([2]Entry!$R$147="","",[2]Entry!$R$147)</f>
        <v/>
      </c>
    </row>
    <row r="145" spans="1:16" x14ac:dyDescent="0.2">
      <c r="A145" t="str">
        <f>IF([1]Accounts!$D$146="","",[1]Accounts!$A$146)</f>
        <v/>
      </c>
      <c r="B145" t="str">
        <f>IF([1]Accounts!$D$146="","",[1]Accounts!$B$146)</f>
        <v/>
      </c>
      <c r="C145" t="str">
        <f>IF([1]Accounts!$D$146="","",[1]Accounts!$C$146)</f>
        <v/>
      </c>
      <c r="D145" t="str">
        <f>IF([1]Accounts!$D$146="","",[1]Accounts!$D$146)</f>
        <v/>
      </c>
      <c r="E145" t="str">
        <f>IF([1]Accounts!$D$146="","",[1]Accounts!$J$146)</f>
        <v/>
      </c>
      <c r="F145" t="str">
        <f>IF([1]Accounts!$D$146="","",[1]Accounts!$K$146)</f>
        <v/>
      </c>
      <c r="J145" t="str">
        <f>IF([2]Entry!$C$148="","",[2]Entry!$C$148)</f>
        <v/>
      </c>
      <c r="K145" t="str">
        <f>IF([2]Entry!$D$148="","",[2]Entry!$D$148)</f>
        <v/>
      </c>
      <c r="L145" t="str">
        <f>IF([2]Entry!$E$148="","",[2]Entry!$E$148)</f>
        <v/>
      </c>
      <c r="M145" t="str">
        <f>IF([2]Entry!$G$148="","",[2]Entry!$G$148)</f>
        <v/>
      </c>
      <c r="N145" t="str">
        <f>IF([2]Entry!$M$148="","",[2]Entry!$M$148)</f>
        <v/>
      </c>
      <c r="O145" t="str">
        <f>IF([2]Entry!$N$148="","",[2]Entry!$N$148)</f>
        <v/>
      </c>
      <c r="P145" t="str">
        <f>IF([2]Entry!$R$148="","",[2]Entry!$R$148)</f>
        <v/>
      </c>
    </row>
    <row r="146" spans="1:16" x14ac:dyDescent="0.2">
      <c r="A146" t="str">
        <f>IF([1]Accounts!$D$147="","",[1]Accounts!$A$147)</f>
        <v/>
      </c>
      <c r="B146" t="str">
        <f>IF([1]Accounts!$D$147="","",[1]Accounts!$B$147)</f>
        <v/>
      </c>
      <c r="C146" t="str">
        <f>IF([1]Accounts!$D$147="","",[1]Accounts!$C$147)</f>
        <v/>
      </c>
      <c r="D146" t="str">
        <f>IF([1]Accounts!$D$147="","",[1]Accounts!$D$147)</f>
        <v/>
      </c>
      <c r="E146" t="str">
        <f>IF([1]Accounts!$D$147="","",[1]Accounts!$J$147)</f>
        <v/>
      </c>
      <c r="F146" t="str">
        <f>IF([1]Accounts!$D$147="","",[1]Accounts!$K$147)</f>
        <v/>
      </c>
      <c r="J146" t="str">
        <f>IF([2]Entry!$C$149="","",[2]Entry!$C$149)</f>
        <v/>
      </c>
      <c r="K146" t="str">
        <f>IF([2]Entry!$D$149="","",[2]Entry!$D$149)</f>
        <v/>
      </c>
      <c r="L146" t="str">
        <f>IF([2]Entry!$E$149="","",[2]Entry!$E$149)</f>
        <v/>
      </c>
      <c r="M146" t="str">
        <f>IF([2]Entry!$G$149="","",[2]Entry!$G$149)</f>
        <v/>
      </c>
      <c r="N146" t="str">
        <f>IF([2]Entry!$M$149="","",[2]Entry!$M$149)</f>
        <v/>
      </c>
      <c r="O146" t="str">
        <f>IF([2]Entry!$N$149="","",[2]Entry!$N$149)</f>
        <v/>
      </c>
      <c r="P146" t="str">
        <f>IF([2]Entry!$R$149="","",[2]Entry!$R$149)</f>
        <v/>
      </c>
    </row>
    <row r="147" spans="1:16" x14ac:dyDescent="0.2">
      <c r="A147" t="str">
        <f>IF([1]Accounts!$D$148="","",[1]Accounts!$A$148)</f>
        <v/>
      </c>
      <c r="B147" t="str">
        <f>IF([1]Accounts!$D$148="","",[1]Accounts!$B$148)</f>
        <v/>
      </c>
      <c r="C147" t="str">
        <f>IF([1]Accounts!$D$148="","",[1]Accounts!$C$148)</f>
        <v/>
      </c>
      <c r="D147" t="str">
        <f>IF([1]Accounts!$D$148="","",[1]Accounts!$D$148)</f>
        <v/>
      </c>
      <c r="E147" t="str">
        <f>IF([1]Accounts!$D$148="","",[1]Accounts!$J$148)</f>
        <v/>
      </c>
      <c r="F147" t="str">
        <f>IF([1]Accounts!$D$148="","",[1]Accounts!$K$148)</f>
        <v/>
      </c>
      <c r="J147" t="str">
        <f>IF([2]Entry!$C$150="","",[2]Entry!$C$150)</f>
        <v/>
      </c>
      <c r="K147" t="str">
        <f>IF([2]Entry!$D$150="","",[2]Entry!$D$150)</f>
        <v/>
      </c>
      <c r="L147" t="str">
        <f>IF([2]Entry!$E$150="","",[2]Entry!$E$150)</f>
        <v/>
      </c>
      <c r="M147" t="str">
        <f>IF([2]Entry!$G$150="","",[2]Entry!$G$150)</f>
        <v/>
      </c>
      <c r="N147" t="str">
        <f>IF([2]Entry!$M$150="","",[2]Entry!$M$150)</f>
        <v/>
      </c>
      <c r="O147" t="str">
        <f>IF([2]Entry!$N$150="","",[2]Entry!$N$150)</f>
        <v/>
      </c>
      <c r="P147" t="str">
        <f>IF([2]Entry!$R$150="","",[2]Entry!$R$150)</f>
        <v/>
      </c>
    </row>
    <row r="148" spans="1:16" x14ac:dyDescent="0.2">
      <c r="A148" t="str">
        <f>IF([1]Accounts!$D$149="","",[1]Accounts!$A$149)</f>
        <v/>
      </c>
      <c r="B148" t="str">
        <f>IF([1]Accounts!$D$149="","",[1]Accounts!$B$149)</f>
        <v/>
      </c>
      <c r="C148" t="str">
        <f>IF([1]Accounts!$D$149="","",[1]Accounts!$C$149)</f>
        <v/>
      </c>
      <c r="D148" t="str">
        <f>IF([1]Accounts!$D$149="","",[1]Accounts!$D$149)</f>
        <v/>
      </c>
      <c r="E148" t="str">
        <f>IF([1]Accounts!$D$149="","",[1]Accounts!$J$149)</f>
        <v/>
      </c>
      <c r="F148" t="str">
        <f>IF([1]Accounts!$D$149="","",[1]Accounts!$K$149)</f>
        <v/>
      </c>
      <c r="J148" t="str">
        <f>IF([2]Entry!$C$151="","",[2]Entry!$C$151)</f>
        <v/>
      </c>
      <c r="K148" t="str">
        <f>IF([2]Entry!$D$151="","",[2]Entry!$D$151)</f>
        <v/>
      </c>
      <c r="L148" t="str">
        <f>IF([2]Entry!$E$151="","",[2]Entry!$E$151)</f>
        <v/>
      </c>
      <c r="M148" t="str">
        <f>IF([2]Entry!$G$151="","",[2]Entry!$G$151)</f>
        <v/>
      </c>
      <c r="N148" t="str">
        <f>IF([2]Entry!$M$151="","",[2]Entry!$M$151)</f>
        <v/>
      </c>
      <c r="O148" t="str">
        <f>IF([2]Entry!$N$151="","",[2]Entry!$N$151)</f>
        <v/>
      </c>
      <c r="P148" t="str">
        <f>IF([2]Entry!$R$151="","",[2]Entry!$R$151)</f>
        <v/>
      </c>
    </row>
    <row r="149" spans="1:16" x14ac:dyDescent="0.2">
      <c r="A149" t="str">
        <f>IF([1]Accounts!$D$150="","",[1]Accounts!$A$150)</f>
        <v/>
      </c>
      <c r="B149" t="str">
        <f>IF([1]Accounts!$D$150="","",[1]Accounts!$B$150)</f>
        <v/>
      </c>
      <c r="C149" t="str">
        <f>IF([1]Accounts!$D$150="","",[1]Accounts!$C$150)</f>
        <v/>
      </c>
      <c r="D149" t="str">
        <f>IF([1]Accounts!$D$150="","",[1]Accounts!$D$150)</f>
        <v/>
      </c>
      <c r="E149" t="str">
        <f>IF([1]Accounts!$D$150="","",[1]Accounts!$J$150)</f>
        <v/>
      </c>
      <c r="F149" t="str">
        <f>IF([1]Accounts!$D$150="","",[1]Accounts!$K$150)</f>
        <v/>
      </c>
      <c r="J149" t="str">
        <f>IF([2]Entry!$C$152="","",[2]Entry!$C$152)</f>
        <v/>
      </c>
      <c r="K149" t="str">
        <f>IF([2]Entry!$D$152="","",[2]Entry!$D$152)</f>
        <v/>
      </c>
      <c r="L149" t="str">
        <f>IF([2]Entry!$E$152="","",[2]Entry!$E$152)</f>
        <v/>
      </c>
      <c r="M149" t="str">
        <f>IF([2]Entry!$G$152="","",[2]Entry!$G$152)</f>
        <v/>
      </c>
      <c r="N149" t="str">
        <f>IF([2]Entry!$M$152="","",[2]Entry!$M$152)</f>
        <v/>
      </c>
      <c r="O149" t="str">
        <f>IF([2]Entry!$N$152="","",[2]Entry!$N$152)</f>
        <v/>
      </c>
      <c r="P149" t="str">
        <f>IF([2]Entry!$R$152="","",[2]Entry!$R$152)</f>
        <v/>
      </c>
    </row>
    <row r="150" spans="1:16" x14ac:dyDescent="0.2">
      <c r="A150" t="str">
        <f>IF([1]Accounts!$D$151="","",[1]Accounts!$A$151)</f>
        <v/>
      </c>
      <c r="B150" t="str">
        <f>IF([1]Accounts!$D$151="","",[1]Accounts!$B$151)</f>
        <v/>
      </c>
      <c r="C150" t="str">
        <f>IF([1]Accounts!$D$151="","",[1]Accounts!$C$151)</f>
        <v/>
      </c>
      <c r="D150" t="str">
        <f>IF([1]Accounts!$D$151="","",[1]Accounts!$D$151)</f>
        <v/>
      </c>
      <c r="E150" t="str">
        <f>IF([1]Accounts!$D$151="","",[1]Accounts!$J$151)</f>
        <v/>
      </c>
      <c r="F150" t="str">
        <f>IF([1]Accounts!$D$151="","",[1]Accounts!$K$151)</f>
        <v/>
      </c>
      <c r="J150" t="str">
        <f>IF([2]Entry!$C$153="","",[2]Entry!$C$153)</f>
        <v/>
      </c>
      <c r="K150" t="str">
        <f>IF([2]Entry!$D$153="","",[2]Entry!$D$153)</f>
        <v/>
      </c>
      <c r="L150" t="str">
        <f>IF([2]Entry!$E$153="","",[2]Entry!$E$153)</f>
        <v/>
      </c>
      <c r="M150" t="str">
        <f>IF([2]Entry!$G$153="","",[2]Entry!$G$153)</f>
        <v/>
      </c>
      <c r="N150" t="str">
        <f>IF([2]Entry!$M$153="","",[2]Entry!$M$153)</f>
        <v/>
      </c>
      <c r="O150" t="str">
        <f>IF([2]Entry!$N$153="","",[2]Entry!$N$153)</f>
        <v/>
      </c>
      <c r="P150" t="str">
        <f>IF([2]Entry!$R$153="","",[2]Entry!$R$153)</f>
        <v/>
      </c>
    </row>
    <row r="151" spans="1:16" x14ac:dyDescent="0.2">
      <c r="A151" t="str">
        <f>IF([1]Accounts!$D$152="","",[1]Accounts!$A$152)</f>
        <v/>
      </c>
      <c r="B151" t="str">
        <f>IF([1]Accounts!$D$152="","",[1]Accounts!$B$152)</f>
        <v/>
      </c>
      <c r="C151" t="str">
        <f>IF([1]Accounts!$D$152="","",[1]Accounts!$C$152)</f>
        <v/>
      </c>
      <c r="D151" t="str">
        <f>IF([1]Accounts!$D$152="","",[1]Accounts!$D$152)</f>
        <v/>
      </c>
      <c r="E151" t="str">
        <f>IF([1]Accounts!$D$152="","",[1]Accounts!$J$152)</f>
        <v/>
      </c>
      <c r="F151" t="str">
        <f>IF([1]Accounts!$D$152="","",[1]Accounts!$K$152)</f>
        <v/>
      </c>
      <c r="J151" t="str">
        <f>IF([2]Entry!$C$154="","",[2]Entry!$C$154)</f>
        <v/>
      </c>
      <c r="K151" t="str">
        <f>IF([2]Entry!$D$154="","",[2]Entry!$D$154)</f>
        <v/>
      </c>
      <c r="L151" t="str">
        <f>IF([2]Entry!$E$154="","",[2]Entry!$E$154)</f>
        <v/>
      </c>
      <c r="M151" t="str">
        <f>IF([2]Entry!$G$154="","",[2]Entry!$G$154)</f>
        <v/>
      </c>
      <c r="N151" t="str">
        <f>IF([2]Entry!$M$154="","",[2]Entry!$M$154)</f>
        <v/>
      </c>
      <c r="O151" t="str">
        <f>IF([2]Entry!$N$154="","",[2]Entry!$N$154)</f>
        <v/>
      </c>
      <c r="P151" t="str">
        <f>IF([2]Entry!$R$154="","",[2]Entry!$R$154)</f>
        <v/>
      </c>
    </row>
    <row r="152" spans="1:16" x14ac:dyDescent="0.2">
      <c r="A152" t="str">
        <f>IF([1]Accounts!$D$153="","",[1]Accounts!$A$153)</f>
        <v/>
      </c>
      <c r="B152" t="str">
        <f>IF([1]Accounts!$D$153="","",[1]Accounts!$B$153)</f>
        <v/>
      </c>
      <c r="C152" t="str">
        <f>IF([1]Accounts!$D$153="","",[1]Accounts!$C$153)</f>
        <v/>
      </c>
      <c r="D152" t="str">
        <f>IF([1]Accounts!$D$153="","",[1]Accounts!$D$153)</f>
        <v/>
      </c>
      <c r="E152" t="str">
        <f>IF([1]Accounts!$D$153="","",[1]Accounts!$J$153)</f>
        <v/>
      </c>
      <c r="F152" t="str">
        <f>IF([1]Accounts!$D$153="","",[1]Accounts!$K$153)</f>
        <v/>
      </c>
      <c r="J152" t="str">
        <f>IF([2]Entry!$C$155="","",[2]Entry!$C$155)</f>
        <v/>
      </c>
      <c r="K152" t="str">
        <f>IF([2]Entry!$D$155="","",[2]Entry!$D$155)</f>
        <v/>
      </c>
      <c r="L152" t="str">
        <f>IF([2]Entry!$E$155="","",[2]Entry!$E$155)</f>
        <v/>
      </c>
      <c r="M152" t="str">
        <f>IF([2]Entry!$G$155="","",[2]Entry!$G$155)</f>
        <v/>
      </c>
      <c r="N152" t="str">
        <f>IF([2]Entry!$M$155="","",[2]Entry!$M$155)</f>
        <v/>
      </c>
      <c r="O152" t="str">
        <f>IF([2]Entry!$N$155="","",[2]Entry!$N$155)</f>
        <v/>
      </c>
      <c r="P152" t="str">
        <f>IF([2]Entry!$R$155="","",[2]Entry!$R$155)</f>
        <v/>
      </c>
    </row>
    <row r="153" spans="1:16" x14ac:dyDescent="0.2">
      <c r="A153" t="str">
        <f>IF([1]Accounts!$D$154="","",[1]Accounts!$A$154)</f>
        <v/>
      </c>
      <c r="B153" t="str">
        <f>IF([1]Accounts!$D$154="","",[1]Accounts!$B$154)</f>
        <v/>
      </c>
      <c r="C153" t="str">
        <f>IF([1]Accounts!$D$154="","",[1]Accounts!$C$154)</f>
        <v/>
      </c>
      <c r="D153" t="str">
        <f>IF([1]Accounts!$D$154="","",[1]Accounts!$D$154)</f>
        <v/>
      </c>
      <c r="E153" t="str">
        <f>IF([1]Accounts!$D$154="","",[1]Accounts!$J$154)</f>
        <v/>
      </c>
      <c r="F153" t="str">
        <f>IF([1]Accounts!$D$154="","",[1]Accounts!$K$154)</f>
        <v/>
      </c>
      <c r="J153" t="str">
        <f>IF([2]Entry!$C$156="","",[2]Entry!$C$156)</f>
        <v/>
      </c>
      <c r="K153" t="str">
        <f>IF([2]Entry!$D$156="","",[2]Entry!$D$156)</f>
        <v/>
      </c>
      <c r="L153" t="str">
        <f>IF([2]Entry!$E$156="","",[2]Entry!$E$156)</f>
        <v/>
      </c>
      <c r="M153" t="str">
        <f>IF([2]Entry!$G$156="","",[2]Entry!$G$156)</f>
        <v/>
      </c>
      <c r="N153" t="str">
        <f>IF([2]Entry!$M$156="","",[2]Entry!$M$156)</f>
        <v/>
      </c>
      <c r="O153" t="str">
        <f>IF([2]Entry!$N$156="","",[2]Entry!$N$156)</f>
        <v/>
      </c>
      <c r="P153" t="str">
        <f>IF([2]Entry!$R$156="","",[2]Entry!$R$156)</f>
        <v/>
      </c>
    </row>
    <row r="154" spans="1:16" x14ac:dyDescent="0.2">
      <c r="A154" t="str">
        <f>IF([1]Accounts!$D$155="","",[1]Accounts!$A$155)</f>
        <v/>
      </c>
      <c r="B154" t="str">
        <f>IF([1]Accounts!$D$155="","",[1]Accounts!$B$155)</f>
        <v/>
      </c>
      <c r="C154" t="str">
        <f>IF([1]Accounts!$D$155="","",[1]Accounts!$C$155)</f>
        <v/>
      </c>
      <c r="D154" t="str">
        <f>IF([1]Accounts!$D$155="","",[1]Accounts!$D$155)</f>
        <v/>
      </c>
      <c r="E154" t="str">
        <f>IF([1]Accounts!$D$155="","",[1]Accounts!$J$155)</f>
        <v/>
      </c>
      <c r="F154" t="str">
        <f>IF([1]Accounts!$D$155="","",[1]Accounts!$K$155)</f>
        <v/>
      </c>
      <c r="J154" t="str">
        <f>IF([2]Entry!$C$157="","",[2]Entry!$C$157)</f>
        <v/>
      </c>
      <c r="K154" t="str">
        <f>IF([2]Entry!$D$157="","",[2]Entry!$D$157)</f>
        <v/>
      </c>
      <c r="L154" t="str">
        <f>IF([2]Entry!$E$157="","",[2]Entry!$E$157)</f>
        <v/>
      </c>
      <c r="M154" t="str">
        <f>IF([2]Entry!$G$157="","",[2]Entry!$G$157)</f>
        <v/>
      </c>
      <c r="N154" t="str">
        <f>IF([2]Entry!$M$157="","",[2]Entry!$M$157)</f>
        <v/>
      </c>
      <c r="O154" t="str">
        <f>IF([2]Entry!$N$157="","",[2]Entry!$N$157)</f>
        <v/>
      </c>
      <c r="P154" t="str">
        <f>IF([2]Entry!$R$157="","",[2]Entry!$R$157)</f>
        <v/>
      </c>
    </row>
    <row r="155" spans="1:16" x14ac:dyDescent="0.2">
      <c r="A155" t="str">
        <f>IF([1]Accounts!$D$156="","",[1]Accounts!$A$156)</f>
        <v/>
      </c>
      <c r="B155" t="str">
        <f>IF([1]Accounts!$D$156="","",[1]Accounts!$B$156)</f>
        <v/>
      </c>
      <c r="C155" t="str">
        <f>IF([1]Accounts!$D$156="","",[1]Accounts!$C$156)</f>
        <v/>
      </c>
      <c r="D155" t="str">
        <f>IF([1]Accounts!$D$156="","",[1]Accounts!$D$156)</f>
        <v/>
      </c>
      <c r="E155" t="str">
        <f>IF([1]Accounts!$D$156="","",[1]Accounts!$J$156)</f>
        <v/>
      </c>
      <c r="F155" t="str">
        <f>IF([1]Accounts!$D$156="","",[1]Accounts!$K$156)</f>
        <v/>
      </c>
      <c r="J155" t="str">
        <f>IF([2]Entry!$C$158="","",[2]Entry!$C$158)</f>
        <v/>
      </c>
      <c r="K155" t="str">
        <f>IF([2]Entry!$D$158="","",[2]Entry!$D$158)</f>
        <v/>
      </c>
      <c r="L155" t="str">
        <f>IF([2]Entry!$E$158="","",[2]Entry!$E$158)</f>
        <v/>
      </c>
      <c r="M155" t="str">
        <f>IF([2]Entry!$G$158="","",[2]Entry!$G$158)</f>
        <v/>
      </c>
      <c r="N155" t="str">
        <f>IF([2]Entry!$M$158="","",[2]Entry!$M$158)</f>
        <v/>
      </c>
      <c r="O155" t="str">
        <f>IF([2]Entry!$N$158="","",[2]Entry!$N$158)</f>
        <v/>
      </c>
      <c r="P155" t="str">
        <f>IF([2]Entry!$R$158="","",[2]Entry!$R$158)</f>
        <v/>
      </c>
    </row>
    <row r="156" spans="1:16" x14ac:dyDescent="0.2">
      <c r="A156" t="str">
        <f>IF([1]Accounts!$D$157="","",[1]Accounts!$A$157)</f>
        <v/>
      </c>
      <c r="B156" t="str">
        <f>IF([1]Accounts!$D$157="","",[1]Accounts!$B$157)</f>
        <v/>
      </c>
      <c r="C156" t="str">
        <f>IF([1]Accounts!$D$157="","",[1]Accounts!$C$157)</f>
        <v/>
      </c>
      <c r="D156" t="str">
        <f>IF([1]Accounts!$D$157="","",[1]Accounts!$D$157)</f>
        <v/>
      </c>
      <c r="E156" t="str">
        <f>IF([1]Accounts!$D$157="","",[1]Accounts!$J$157)</f>
        <v/>
      </c>
      <c r="F156" t="str">
        <f>IF([1]Accounts!$D$157="","",[1]Accounts!$K$157)</f>
        <v/>
      </c>
      <c r="J156" t="str">
        <f>IF([2]Entry!$C$159="","",[2]Entry!$C$159)</f>
        <v/>
      </c>
      <c r="K156" t="str">
        <f>IF([2]Entry!$D$159="","",[2]Entry!$D$159)</f>
        <v/>
      </c>
      <c r="L156" t="str">
        <f>IF([2]Entry!$E$159="","",[2]Entry!$E$159)</f>
        <v/>
      </c>
      <c r="M156" t="str">
        <f>IF([2]Entry!$G$159="","",[2]Entry!$G$159)</f>
        <v/>
      </c>
      <c r="N156" t="str">
        <f>IF([2]Entry!$M$159="","",[2]Entry!$M$159)</f>
        <v/>
      </c>
      <c r="O156" t="str">
        <f>IF([2]Entry!$N$159="","",[2]Entry!$N$159)</f>
        <v/>
      </c>
      <c r="P156" t="str">
        <f>IF([2]Entry!$R$159="","",[2]Entry!$R$159)</f>
        <v/>
      </c>
    </row>
    <row r="157" spans="1:16" x14ac:dyDescent="0.2">
      <c r="A157" t="str">
        <f>IF([1]Accounts!$D$158="","",[1]Accounts!$A$158)</f>
        <v/>
      </c>
      <c r="B157" t="str">
        <f>IF([1]Accounts!$D$158="","",[1]Accounts!$B$158)</f>
        <v/>
      </c>
      <c r="C157" t="str">
        <f>IF([1]Accounts!$D$158="","",[1]Accounts!$C$158)</f>
        <v/>
      </c>
      <c r="D157" t="str">
        <f>IF([1]Accounts!$D$158="","",[1]Accounts!$D$158)</f>
        <v/>
      </c>
      <c r="E157" t="str">
        <f>IF([1]Accounts!$D$158="","",[1]Accounts!$J$158)</f>
        <v/>
      </c>
      <c r="F157" t="str">
        <f>IF([1]Accounts!$D$158="","",[1]Accounts!$K$158)</f>
        <v/>
      </c>
      <c r="J157" t="str">
        <f>IF([2]Entry!$C$160="","",[2]Entry!$C$160)</f>
        <v/>
      </c>
      <c r="K157" t="str">
        <f>IF([2]Entry!$D$160="","",[2]Entry!$D$160)</f>
        <v/>
      </c>
      <c r="L157" t="str">
        <f>IF([2]Entry!$E$160="","",[2]Entry!$E$160)</f>
        <v/>
      </c>
      <c r="M157" t="str">
        <f>IF([2]Entry!$G$160="","",[2]Entry!$G$160)</f>
        <v/>
      </c>
      <c r="N157" t="str">
        <f>IF([2]Entry!$M$160="","",[2]Entry!$M$160)</f>
        <v/>
      </c>
      <c r="O157" t="str">
        <f>IF([2]Entry!$N$160="","",[2]Entry!$N$160)</f>
        <v/>
      </c>
      <c r="P157" t="str">
        <f>IF([2]Entry!$R$160="","",[2]Entry!$R$160)</f>
        <v/>
      </c>
    </row>
    <row r="158" spans="1:16" x14ac:dyDescent="0.2">
      <c r="A158" t="str">
        <f>IF([1]Accounts!$D$159="","",[1]Accounts!$A$159)</f>
        <v/>
      </c>
      <c r="B158" t="str">
        <f>IF([1]Accounts!$D$159="","",[1]Accounts!$B$159)</f>
        <v/>
      </c>
      <c r="C158" t="str">
        <f>IF([1]Accounts!$D$159="","",[1]Accounts!$C$159)</f>
        <v/>
      </c>
      <c r="D158" t="str">
        <f>IF([1]Accounts!$D$159="","",[1]Accounts!$D$159)</f>
        <v/>
      </c>
      <c r="E158" t="str">
        <f>IF([1]Accounts!$D$159="","",[1]Accounts!$J$159)</f>
        <v/>
      </c>
      <c r="F158" t="str">
        <f>IF([1]Accounts!$D$159="","",[1]Accounts!$K$159)</f>
        <v/>
      </c>
      <c r="J158" t="str">
        <f>IF([2]Entry!$C$161="","",[2]Entry!$C$161)</f>
        <v/>
      </c>
      <c r="K158" t="str">
        <f>IF([2]Entry!$D$161="","",[2]Entry!$D$161)</f>
        <v/>
      </c>
      <c r="L158" t="str">
        <f>IF([2]Entry!$E$161="","",[2]Entry!$E$161)</f>
        <v/>
      </c>
      <c r="M158" t="str">
        <f>IF([2]Entry!$G$161="","",[2]Entry!$G$161)</f>
        <v/>
      </c>
      <c r="N158" t="str">
        <f>IF([2]Entry!$M$161="","",[2]Entry!$M$161)</f>
        <v/>
      </c>
      <c r="O158" t="str">
        <f>IF([2]Entry!$N$161="","",[2]Entry!$N$161)</f>
        <v/>
      </c>
      <c r="P158" t="str">
        <f>IF([2]Entry!$R$161="","",[2]Entry!$R$161)</f>
        <v/>
      </c>
    </row>
    <row r="159" spans="1:16" x14ac:dyDescent="0.2">
      <c r="A159" t="str">
        <f>IF([1]Accounts!$D$160="","",[1]Accounts!$A$160)</f>
        <v/>
      </c>
      <c r="B159" t="str">
        <f>IF([1]Accounts!$D$160="","",[1]Accounts!$B$160)</f>
        <v/>
      </c>
      <c r="C159" t="str">
        <f>IF([1]Accounts!$D$160="","",[1]Accounts!$C$160)</f>
        <v/>
      </c>
      <c r="D159" t="str">
        <f>IF([1]Accounts!$D$160="","",[1]Accounts!$D$160)</f>
        <v/>
      </c>
      <c r="E159" t="str">
        <f>IF([1]Accounts!$D$160="","",[1]Accounts!$J$160)</f>
        <v/>
      </c>
      <c r="F159" t="str">
        <f>IF([1]Accounts!$D$160="","",[1]Accounts!$K$160)</f>
        <v/>
      </c>
      <c r="J159" t="str">
        <f>IF([2]Entry!$C$162="","",[2]Entry!$C$162)</f>
        <v/>
      </c>
      <c r="K159" t="str">
        <f>IF([2]Entry!$D$162="","",[2]Entry!$D$162)</f>
        <v/>
      </c>
      <c r="L159" t="str">
        <f>IF([2]Entry!$E$162="","",[2]Entry!$E$162)</f>
        <v/>
      </c>
      <c r="M159" t="str">
        <f>IF([2]Entry!$G$162="","",[2]Entry!$G$162)</f>
        <v/>
      </c>
      <c r="N159" t="str">
        <f>IF([2]Entry!$M$162="","",[2]Entry!$M$162)</f>
        <v/>
      </c>
      <c r="O159" t="str">
        <f>IF([2]Entry!$N$162="","",[2]Entry!$N$162)</f>
        <v/>
      </c>
      <c r="P159" t="str">
        <f>IF([2]Entry!$R$162="","",[2]Entry!$R$162)</f>
        <v/>
      </c>
    </row>
    <row r="160" spans="1:16" x14ac:dyDescent="0.2">
      <c r="A160" t="str">
        <f>IF([1]Accounts!$D$161="","",[1]Accounts!$A$161)</f>
        <v/>
      </c>
      <c r="B160" t="str">
        <f>IF([1]Accounts!$D$161="","",[1]Accounts!$B$161)</f>
        <v/>
      </c>
      <c r="C160" t="str">
        <f>IF([1]Accounts!$D$161="","",[1]Accounts!$C$161)</f>
        <v/>
      </c>
      <c r="D160" t="str">
        <f>IF([1]Accounts!$D$161="","",[1]Accounts!$D$161)</f>
        <v/>
      </c>
      <c r="E160" t="str">
        <f>IF([1]Accounts!$D$161="","",[1]Accounts!$J$161)</f>
        <v/>
      </c>
      <c r="F160" t="str">
        <f>IF([1]Accounts!$D$161="","",[1]Accounts!$K$161)</f>
        <v/>
      </c>
      <c r="J160" t="str">
        <f>IF([2]Entry!$C$163="","",[2]Entry!$C$163)</f>
        <v/>
      </c>
      <c r="K160" t="str">
        <f>IF([2]Entry!$D$163="","",[2]Entry!$D$163)</f>
        <v/>
      </c>
      <c r="L160" t="str">
        <f>IF([2]Entry!$E$163="","",[2]Entry!$E$163)</f>
        <v/>
      </c>
      <c r="M160" t="str">
        <f>IF([2]Entry!$G$163="","",[2]Entry!$G$163)</f>
        <v/>
      </c>
      <c r="N160" t="str">
        <f>IF([2]Entry!$M$163="","",[2]Entry!$M$163)</f>
        <v/>
      </c>
      <c r="O160" t="str">
        <f>IF([2]Entry!$N$163="","",[2]Entry!$N$163)</f>
        <v/>
      </c>
      <c r="P160" t="str">
        <f>IF([2]Entry!$R$163="","",[2]Entry!$R$163)</f>
        <v/>
      </c>
    </row>
    <row r="161" spans="1:16" x14ac:dyDescent="0.2">
      <c r="A161" t="str">
        <f>IF([1]Accounts!$D$162="","",[1]Accounts!$A$162)</f>
        <v/>
      </c>
      <c r="B161" t="str">
        <f>IF([1]Accounts!$D$162="","",[1]Accounts!$B$162)</f>
        <v/>
      </c>
      <c r="C161" t="str">
        <f>IF([1]Accounts!$D$162="","",[1]Accounts!$C$162)</f>
        <v/>
      </c>
      <c r="D161" t="str">
        <f>IF([1]Accounts!$D$162="","",[1]Accounts!$D$162)</f>
        <v/>
      </c>
      <c r="E161" t="str">
        <f>IF([1]Accounts!$D$162="","",[1]Accounts!$J$162)</f>
        <v/>
      </c>
      <c r="F161" t="str">
        <f>IF([1]Accounts!$D$162="","",[1]Accounts!$K$162)</f>
        <v/>
      </c>
      <c r="J161" t="str">
        <f>IF([2]Entry!$C$164="","",[2]Entry!$C$164)</f>
        <v/>
      </c>
      <c r="K161" t="str">
        <f>IF([2]Entry!$D$164="","",[2]Entry!$D$164)</f>
        <v/>
      </c>
      <c r="L161" t="str">
        <f>IF([2]Entry!$E$164="","",[2]Entry!$E$164)</f>
        <v/>
      </c>
      <c r="M161" t="str">
        <f>IF([2]Entry!$G$164="","",[2]Entry!$G$164)</f>
        <v/>
      </c>
      <c r="N161" t="str">
        <f>IF([2]Entry!$M$164="","",[2]Entry!$M$164)</f>
        <v/>
      </c>
      <c r="O161" t="str">
        <f>IF([2]Entry!$N$164="","",[2]Entry!$N$164)</f>
        <v/>
      </c>
      <c r="P161" t="str">
        <f>IF([2]Entry!$R$164="","",[2]Entry!$R$164)</f>
        <v/>
      </c>
    </row>
    <row r="162" spans="1:16" x14ac:dyDescent="0.2">
      <c r="A162" t="str">
        <f>IF([1]Accounts!$D$163="","",[1]Accounts!$A$163)</f>
        <v/>
      </c>
      <c r="B162" t="str">
        <f>IF([1]Accounts!$D$163="","",[1]Accounts!$B$163)</f>
        <v/>
      </c>
      <c r="C162" t="str">
        <f>IF([1]Accounts!$D$163="","",[1]Accounts!$C$163)</f>
        <v/>
      </c>
      <c r="D162" t="str">
        <f>IF([1]Accounts!$D$163="","",[1]Accounts!$D$163)</f>
        <v/>
      </c>
      <c r="E162" t="str">
        <f>IF([1]Accounts!$D$163="","",[1]Accounts!$J$163)</f>
        <v/>
      </c>
      <c r="F162" t="str">
        <f>IF([1]Accounts!$D$163="","",[1]Accounts!$K$163)</f>
        <v/>
      </c>
      <c r="J162" t="str">
        <f>IF([2]Entry!$C$165="","",[2]Entry!$C$165)</f>
        <v/>
      </c>
      <c r="K162" t="str">
        <f>IF([2]Entry!$D$165="","",[2]Entry!$D$165)</f>
        <v/>
      </c>
      <c r="L162" t="str">
        <f>IF([2]Entry!$E$165="","",[2]Entry!$E$165)</f>
        <v/>
      </c>
      <c r="M162" t="str">
        <f>IF([2]Entry!$G$165="","",[2]Entry!$G$165)</f>
        <v/>
      </c>
      <c r="N162" t="str">
        <f>IF([2]Entry!$M$165="","",[2]Entry!$M$165)</f>
        <v/>
      </c>
      <c r="O162" t="str">
        <f>IF([2]Entry!$N$165="","",[2]Entry!$N$165)</f>
        <v/>
      </c>
      <c r="P162" t="str">
        <f>IF([2]Entry!$R$165="","",[2]Entry!$R$165)</f>
        <v/>
      </c>
    </row>
    <row r="163" spans="1:16" x14ac:dyDescent="0.2">
      <c r="A163" t="str">
        <f>IF([1]Accounts!$D$164="","",[1]Accounts!$A$164)</f>
        <v/>
      </c>
      <c r="B163" t="str">
        <f>IF([1]Accounts!$D$164="","",[1]Accounts!$B$164)</f>
        <v/>
      </c>
      <c r="C163" t="str">
        <f>IF([1]Accounts!$D$164="","",[1]Accounts!$C$164)</f>
        <v/>
      </c>
      <c r="D163" t="str">
        <f>IF([1]Accounts!$D$164="","",[1]Accounts!$D$164)</f>
        <v/>
      </c>
      <c r="E163" t="str">
        <f>IF([1]Accounts!$D$164="","",[1]Accounts!$J$164)</f>
        <v/>
      </c>
      <c r="F163" t="str">
        <f>IF([1]Accounts!$D$164="","",[1]Accounts!$K$164)</f>
        <v/>
      </c>
      <c r="J163" t="str">
        <f>IF([2]Entry!$C$166="","",[2]Entry!$C$166)</f>
        <v/>
      </c>
      <c r="K163" t="str">
        <f>IF([2]Entry!$D$166="","",[2]Entry!$D$166)</f>
        <v/>
      </c>
      <c r="L163" t="str">
        <f>IF([2]Entry!$E$166="","",[2]Entry!$E$166)</f>
        <v/>
      </c>
      <c r="M163" t="str">
        <f>IF([2]Entry!$G$166="","",[2]Entry!$G$166)</f>
        <v/>
      </c>
      <c r="N163" t="str">
        <f>IF([2]Entry!$M$166="","",[2]Entry!$M$166)</f>
        <v/>
      </c>
      <c r="O163" t="str">
        <f>IF([2]Entry!$N$166="","",[2]Entry!$N$166)</f>
        <v/>
      </c>
      <c r="P163" t="str">
        <f>IF([2]Entry!$R$166="","",[2]Entry!$R$166)</f>
        <v/>
      </c>
    </row>
    <row r="164" spans="1:16" x14ac:dyDescent="0.2">
      <c r="A164" t="str">
        <f>IF([1]Accounts!$D$165="","",[1]Accounts!$A$165)</f>
        <v/>
      </c>
      <c r="B164" t="str">
        <f>IF([1]Accounts!$D$165="","",[1]Accounts!$B$165)</f>
        <v/>
      </c>
      <c r="C164" t="str">
        <f>IF([1]Accounts!$D$165="","",[1]Accounts!$C$165)</f>
        <v/>
      </c>
      <c r="D164" t="str">
        <f>IF([1]Accounts!$D$165="","",[1]Accounts!$D$165)</f>
        <v/>
      </c>
      <c r="E164" t="str">
        <f>IF([1]Accounts!$D$165="","",[1]Accounts!$J$165)</f>
        <v/>
      </c>
      <c r="F164" t="str">
        <f>IF([1]Accounts!$D$165="","",[1]Accounts!$K$165)</f>
        <v/>
      </c>
      <c r="J164" t="str">
        <f>IF([2]Entry!$C$167="","",[2]Entry!$C$167)</f>
        <v/>
      </c>
      <c r="K164" t="str">
        <f>IF([2]Entry!$D$167="","",[2]Entry!$D$167)</f>
        <v/>
      </c>
      <c r="L164" t="str">
        <f>IF([2]Entry!$E$167="","",[2]Entry!$E$167)</f>
        <v/>
      </c>
      <c r="M164" t="str">
        <f>IF([2]Entry!$G$167="","",[2]Entry!$G$167)</f>
        <v/>
      </c>
      <c r="N164" t="str">
        <f>IF([2]Entry!$M$167="","",[2]Entry!$M$167)</f>
        <v/>
      </c>
      <c r="O164" t="str">
        <f>IF([2]Entry!$N$167="","",[2]Entry!$N$167)</f>
        <v/>
      </c>
      <c r="P164" t="str">
        <f>IF([2]Entry!$R$167="","",[2]Entry!$R$167)</f>
        <v/>
      </c>
    </row>
    <row r="165" spans="1:16" x14ac:dyDescent="0.2">
      <c r="A165" t="str">
        <f>IF([1]Accounts!$D$166="","",[1]Accounts!$A$166)</f>
        <v/>
      </c>
      <c r="B165" t="str">
        <f>IF([1]Accounts!$D$166="","",[1]Accounts!$B$166)</f>
        <v/>
      </c>
      <c r="C165" t="str">
        <f>IF([1]Accounts!$D$166="","",[1]Accounts!$C$166)</f>
        <v/>
      </c>
      <c r="D165" t="str">
        <f>IF([1]Accounts!$D$166="","",[1]Accounts!$D$166)</f>
        <v/>
      </c>
      <c r="E165" t="str">
        <f>IF([1]Accounts!$D$166="","",[1]Accounts!$J$166)</f>
        <v/>
      </c>
      <c r="F165" t="str">
        <f>IF([1]Accounts!$D$166="","",[1]Accounts!$K$166)</f>
        <v/>
      </c>
      <c r="J165" t="str">
        <f>IF([2]Entry!$C$168="","",[2]Entry!$C$168)</f>
        <v/>
      </c>
      <c r="K165" t="str">
        <f>IF([2]Entry!$D$168="","",[2]Entry!$D$168)</f>
        <v/>
      </c>
      <c r="L165" t="str">
        <f>IF([2]Entry!$E$168="","",[2]Entry!$E$168)</f>
        <v/>
      </c>
      <c r="M165" t="str">
        <f>IF([2]Entry!$G$168="","",[2]Entry!$G$168)</f>
        <v/>
      </c>
      <c r="N165" t="str">
        <f>IF([2]Entry!$M$168="","",[2]Entry!$M$168)</f>
        <v/>
      </c>
      <c r="O165" t="str">
        <f>IF([2]Entry!$N$168="","",[2]Entry!$N$168)</f>
        <v/>
      </c>
      <c r="P165" t="str">
        <f>IF([2]Entry!$R$168="","",[2]Entry!$R$168)</f>
        <v/>
      </c>
    </row>
    <row r="166" spans="1:16" x14ac:dyDescent="0.2">
      <c r="A166" t="str">
        <f>IF([1]Accounts!$D$167="","",[1]Accounts!$A$167)</f>
        <v/>
      </c>
      <c r="B166" t="str">
        <f>IF([1]Accounts!$D$167="","",[1]Accounts!$B$167)</f>
        <v/>
      </c>
      <c r="C166" t="str">
        <f>IF([1]Accounts!$D$167="","",[1]Accounts!$C$167)</f>
        <v/>
      </c>
      <c r="D166" t="str">
        <f>IF([1]Accounts!$D$167="","",[1]Accounts!$D$167)</f>
        <v/>
      </c>
      <c r="E166" t="str">
        <f>IF([1]Accounts!$D$167="","",[1]Accounts!$J$167)</f>
        <v/>
      </c>
      <c r="F166" t="str">
        <f>IF([1]Accounts!$D$167="","",[1]Accounts!$K$167)</f>
        <v/>
      </c>
      <c r="J166" t="str">
        <f>IF([2]Entry!$C$169="","",[2]Entry!$C$169)</f>
        <v/>
      </c>
      <c r="K166" t="str">
        <f>IF([2]Entry!$D$169="","",[2]Entry!$D$169)</f>
        <v/>
      </c>
      <c r="L166" t="str">
        <f>IF([2]Entry!$E$169="","",[2]Entry!$E$169)</f>
        <v/>
      </c>
      <c r="M166" t="str">
        <f>IF([2]Entry!$G$169="","",[2]Entry!$G$169)</f>
        <v/>
      </c>
      <c r="N166" t="str">
        <f>IF([2]Entry!$M$169="","",[2]Entry!$M$169)</f>
        <v/>
      </c>
      <c r="O166" t="str">
        <f>IF([2]Entry!$N$169="","",[2]Entry!$N$169)</f>
        <v/>
      </c>
      <c r="P166" t="str">
        <f>IF([2]Entry!$R$169="","",[2]Entry!$R$169)</f>
        <v/>
      </c>
    </row>
    <row r="167" spans="1:16" x14ac:dyDescent="0.2">
      <c r="A167" t="str">
        <f>IF([1]Accounts!$D$168="","",[1]Accounts!$A$168)</f>
        <v/>
      </c>
      <c r="B167" t="str">
        <f>IF([1]Accounts!$D$168="","",[1]Accounts!$B$168)</f>
        <v/>
      </c>
      <c r="C167" t="str">
        <f>IF([1]Accounts!$D$168="","",[1]Accounts!$C$168)</f>
        <v/>
      </c>
      <c r="D167" t="str">
        <f>IF([1]Accounts!$D$168="","",[1]Accounts!$D$168)</f>
        <v/>
      </c>
      <c r="E167" t="str">
        <f>IF([1]Accounts!$D$168="","",[1]Accounts!$J$168)</f>
        <v/>
      </c>
      <c r="F167" t="str">
        <f>IF([1]Accounts!$D$168="","",[1]Accounts!$K$168)</f>
        <v/>
      </c>
      <c r="J167" t="str">
        <f>IF([2]Entry!$C$170="","",[2]Entry!$C$170)</f>
        <v/>
      </c>
      <c r="K167" t="str">
        <f>IF([2]Entry!$D$170="","",[2]Entry!$D$170)</f>
        <v/>
      </c>
      <c r="L167" t="str">
        <f>IF([2]Entry!$E$170="","",[2]Entry!$E$170)</f>
        <v/>
      </c>
      <c r="M167" t="str">
        <f>IF([2]Entry!$G$170="","",[2]Entry!$G$170)</f>
        <v/>
      </c>
      <c r="N167" t="str">
        <f>IF([2]Entry!$M$170="","",[2]Entry!$M$170)</f>
        <v/>
      </c>
      <c r="O167" t="str">
        <f>IF([2]Entry!$N$170="","",[2]Entry!$N$170)</f>
        <v/>
      </c>
      <c r="P167" t="str">
        <f>IF([2]Entry!$R$170="","",[2]Entry!$R$170)</f>
        <v/>
      </c>
    </row>
    <row r="168" spans="1:16" x14ac:dyDescent="0.2">
      <c r="A168" t="str">
        <f>IF([1]Accounts!$D$169="","",[1]Accounts!$A$169)</f>
        <v/>
      </c>
      <c r="B168" t="str">
        <f>IF([1]Accounts!$D$169="","",[1]Accounts!$B$169)</f>
        <v/>
      </c>
      <c r="C168" t="str">
        <f>IF([1]Accounts!$D$169="","",[1]Accounts!$C$169)</f>
        <v/>
      </c>
      <c r="D168" t="str">
        <f>IF([1]Accounts!$D$169="","",[1]Accounts!$D$169)</f>
        <v/>
      </c>
      <c r="E168" t="str">
        <f>IF([1]Accounts!$D$169="","",[1]Accounts!$J$169)</f>
        <v/>
      </c>
      <c r="F168" t="str">
        <f>IF([1]Accounts!$D$169="","",[1]Accounts!$K$169)</f>
        <v/>
      </c>
      <c r="J168" t="str">
        <f>IF([2]Entry!$C$171="","",[2]Entry!$C$171)</f>
        <v/>
      </c>
      <c r="K168" t="str">
        <f>IF([2]Entry!$D$171="","",[2]Entry!$D$171)</f>
        <v/>
      </c>
      <c r="L168" t="str">
        <f>IF([2]Entry!$E$171="","",[2]Entry!$E$171)</f>
        <v/>
      </c>
      <c r="M168" t="str">
        <f>IF([2]Entry!$G$171="","",[2]Entry!$G$171)</f>
        <v/>
      </c>
      <c r="N168" t="str">
        <f>IF([2]Entry!$M$171="","",[2]Entry!$M$171)</f>
        <v/>
      </c>
      <c r="O168" t="str">
        <f>IF([2]Entry!$N$171="","",[2]Entry!$N$171)</f>
        <v/>
      </c>
      <c r="P168" t="str">
        <f>IF([2]Entry!$R$171="","",[2]Entry!$R$171)</f>
        <v/>
      </c>
    </row>
    <row r="169" spans="1:16" x14ac:dyDescent="0.2">
      <c r="A169" t="str">
        <f>IF([1]Accounts!$D$170="","",[1]Accounts!$A$170)</f>
        <v/>
      </c>
      <c r="B169" t="str">
        <f>IF([1]Accounts!$D$170="","",[1]Accounts!$B$170)</f>
        <v/>
      </c>
      <c r="C169" t="str">
        <f>IF([1]Accounts!$D$170="","",[1]Accounts!$C$170)</f>
        <v/>
      </c>
      <c r="D169" t="str">
        <f>IF([1]Accounts!$D$170="","",[1]Accounts!$D$170)</f>
        <v/>
      </c>
      <c r="E169" t="str">
        <f>IF([1]Accounts!$D$170="","",[1]Accounts!$J$170)</f>
        <v/>
      </c>
      <c r="F169" t="str">
        <f>IF([1]Accounts!$D$170="","",[1]Accounts!$K$170)</f>
        <v/>
      </c>
      <c r="J169" t="str">
        <f>IF([2]Entry!$C$172="","",[2]Entry!$C$172)</f>
        <v/>
      </c>
      <c r="K169" t="str">
        <f>IF([2]Entry!$D$172="","",[2]Entry!$D$172)</f>
        <v/>
      </c>
      <c r="L169" t="str">
        <f>IF([2]Entry!$E$172="","",[2]Entry!$E$172)</f>
        <v/>
      </c>
      <c r="M169" t="str">
        <f>IF([2]Entry!$G$172="","",[2]Entry!$G$172)</f>
        <v/>
      </c>
      <c r="N169" t="str">
        <f>IF([2]Entry!$M$172="","",[2]Entry!$M$172)</f>
        <v/>
      </c>
      <c r="O169" t="str">
        <f>IF([2]Entry!$N$172="","",[2]Entry!$N$172)</f>
        <v/>
      </c>
      <c r="P169" t="str">
        <f>IF([2]Entry!$R$172="","",[2]Entry!$R$172)</f>
        <v/>
      </c>
    </row>
    <row r="170" spans="1:16" x14ac:dyDescent="0.2">
      <c r="A170" t="str">
        <f>IF([1]Accounts!$D$171="","",[1]Accounts!$A$171)</f>
        <v/>
      </c>
      <c r="B170" t="str">
        <f>IF([1]Accounts!$D$171="","",[1]Accounts!$B$171)</f>
        <v/>
      </c>
      <c r="C170" t="str">
        <f>IF([1]Accounts!$D$171="","",[1]Accounts!$C$171)</f>
        <v/>
      </c>
      <c r="D170" t="str">
        <f>IF([1]Accounts!$D$171="","",[1]Accounts!$D$171)</f>
        <v/>
      </c>
      <c r="E170" t="str">
        <f>IF([1]Accounts!$D$171="","",[1]Accounts!$J$171)</f>
        <v/>
      </c>
      <c r="F170" t="str">
        <f>IF([1]Accounts!$D$171="","",[1]Accounts!$K$171)</f>
        <v/>
      </c>
      <c r="J170" t="str">
        <f>IF([2]Entry!$C$173="","",[2]Entry!$C$173)</f>
        <v/>
      </c>
      <c r="K170" t="str">
        <f>IF([2]Entry!$D$173="","",[2]Entry!$D$173)</f>
        <v/>
      </c>
      <c r="L170" t="str">
        <f>IF([2]Entry!$E$173="","",[2]Entry!$E$173)</f>
        <v/>
      </c>
      <c r="M170" t="str">
        <f>IF([2]Entry!$G$173="","",[2]Entry!$G$173)</f>
        <v/>
      </c>
      <c r="N170" t="str">
        <f>IF([2]Entry!$M$173="","",[2]Entry!$M$173)</f>
        <v/>
      </c>
      <c r="O170" t="str">
        <f>IF([2]Entry!$N$173="","",[2]Entry!$N$173)</f>
        <v/>
      </c>
      <c r="P170" t="str">
        <f>IF([2]Entry!$R$173="","",[2]Entry!$R$173)</f>
        <v/>
      </c>
    </row>
    <row r="171" spans="1:16" x14ac:dyDescent="0.2">
      <c r="A171" t="str">
        <f>IF([1]Accounts!$D$172="","",[1]Accounts!$A$172)</f>
        <v/>
      </c>
      <c r="B171" t="str">
        <f>IF([1]Accounts!$D$172="","",[1]Accounts!$B$172)</f>
        <v/>
      </c>
      <c r="C171" t="str">
        <f>IF([1]Accounts!$D$172="","",[1]Accounts!$C$172)</f>
        <v/>
      </c>
      <c r="D171" t="str">
        <f>IF([1]Accounts!$D$172="","",[1]Accounts!$D$172)</f>
        <v/>
      </c>
      <c r="E171" t="str">
        <f>IF([1]Accounts!$D$172="","",[1]Accounts!$J$172)</f>
        <v/>
      </c>
      <c r="F171" t="str">
        <f>IF([1]Accounts!$D$172="","",[1]Accounts!$K$172)</f>
        <v/>
      </c>
      <c r="J171" t="str">
        <f>IF([2]Entry!$C$174="","",[2]Entry!$C$174)</f>
        <v/>
      </c>
      <c r="K171" t="str">
        <f>IF([2]Entry!$D$174="","",[2]Entry!$D$174)</f>
        <v/>
      </c>
      <c r="L171" t="str">
        <f>IF([2]Entry!$E$174="","",[2]Entry!$E$174)</f>
        <v/>
      </c>
      <c r="M171" t="str">
        <f>IF([2]Entry!$G$174="","",[2]Entry!$G$174)</f>
        <v/>
      </c>
      <c r="N171" t="str">
        <f>IF([2]Entry!$M$174="","",[2]Entry!$M$174)</f>
        <v/>
      </c>
      <c r="O171" t="str">
        <f>IF([2]Entry!$N$174="","",[2]Entry!$N$174)</f>
        <v/>
      </c>
      <c r="P171" t="str">
        <f>IF([2]Entry!$R$174="","",[2]Entry!$R$174)</f>
        <v/>
      </c>
    </row>
    <row r="172" spans="1:16" x14ac:dyDescent="0.2">
      <c r="A172" t="str">
        <f>IF([1]Accounts!$D$173="","",[1]Accounts!$A$173)</f>
        <v/>
      </c>
      <c r="B172" t="str">
        <f>IF([1]Accounts!$D$173="","",[1]Accounts!$B$173)</f>
        <v/>
      </c>
      <c r="C172" t="str">
        <f>IF([1]Accounts!$D$173="","",[1]Accounts!$C$173)</f>
        <v/>
      </c>
      <c r="D172" t="str">
        <f>IF([1]Accounts!$D$173="","",[1]Accounts!$D$173)</f>
        <v/>
      </c>
      <c r="E172" t="str">
        <f>IF([1]Accounts!$D$173="","",[1]Accounts!$J$173)</f>
        <v/>
      </c>
      <c r="F172" t="str">
        <f>IF([1]Accounts!$D$173="","",[1]Accounts!$K$173)</f>
        <v/>
      </c>
      <c r="J172" t="str">
        <f>IF([2]Entry!$C$175="","",[2]Entry!$C$175)</f>
        <v/>
      </c>
      <c r="K172" t="str">
        <f>IF([2]Entry!$D$175="","",[2]Entry!$D$175)</f>
        <v/>
      </c>
      <c r="L172" t="str">
        <f>IF([2]Entry!$E$175="","",[2]Entry!$E$175)</f>
        <v/>
      </c>
      <c r="M172" t="str">
        <f>IF([2]Entry!$G$175="","",[2]Entry!$G$175)</f>
        <v/>
      </c>
      <c r="N172" t="str">
        <f>IF([2]Entry!$M$175="","",[2]Entry!$M$175)</f>
        <v/>
      </c>
      <c r="O172" t="str">
        <f>IF([2]Entry!$N$175="","",[2]Entry!$N$175)</f>
        <v/>
      </c>
      <c r="P172" t="str">
        <f>IF([2]Entry!$R$175="","",[2]Entry!$R$175)</f>
        <v/>
      </c>
    </row>
    <row r="173" spans="1:16" x14ac:dyDescent="0.2">
      <c r="A173" t="str">
        <f>IF([1]Accounts!$D$174="","",[1]Accounts!$A$174)</f>
        <v/>
      </c>
      <c r="B173" t="str">
        <f>IF([1]Accounts!$D$174="","",[1]Accounts!$B$174)</f>
        <v/>
      </c>
      <c r="C173" t="str">
        <f>IF([1]Accounts!$D$174="","",[1]Accounts!$C$174)</f>
        <v/>
      </c>
      <c r="D173" t="str">
        <f>IF([1]Accounts!$D$174="","",[1]Accounts!$D$174)</f>
        <v/>
      </c>
      <c r="E173" t="str">
        <f>IF([1]Accounts!$D$174="","",[1]Accounts!$J$174)</f>
        <v/>
      </c>
      <c r="F173" t="str">
        <f>IF([1]Accounts!$D$174="","",[1]Accounts!$K$174)</f>
        <v/>
      </c>
      <c r="J173" t="str">
        <f>IF([2]Entry!$C$176="","",[2]Entry!$C$176)</f>
        <v/>
      </c>
      <c r="K173" t="str">
        <f>IF([2]Entry!$D$176="","",[2]Entry!$D$176)</f>
        <v/>
      </c>
      <c r="L173" t="str">
        <f>IF([2]Entry!$E$176="","",[2]Entry!$E$176)</f>
        <v/>
      </c>
      <c r="M173" t="str">
        <f>IF([2]Entry!$G$176="","",[2]Entry!$G$176)</f>
        <v/>
      </c>
      <c r="N173" t="str">
        <f>IF([2]Entry!$M$176="","",[2]Entry!$M$176)</f>
        <v/>
      </c>
      <c r="O173" t="str">
        <f>IF([2]Entry!$N$176="","",[2]Entry!$N$176)</f>
        <v/>
      </c>
      <c r="P173" t="str">
        <f>IF([2]Entry!$R$176="","",[2]Entry!$R$176)</f>
        <v/>
      </c>
    </row>
    <row r="174" spans="1:16" x14ac:dyDescent="0.2">
      <c r="A174" t="str">
        <f>IF([1]Accounts!$D$175="","",[1]Accounts!$A$175)</f>
        <v/>
      </c>
      <c r="B174" t="str">
        <f>IF([1]Accounts!$D$175="","",[1]Accounts!$B$175)</f>
        <v/>
      </c>
      <c r="C174" t="str">
        <f>IF([1]Accounts!$D$175="","",[1]Accounts!$C$175)</f>
        <v/>
      </c>
      <c r="D174" t="str">
        <f>IF([1]Accounts!$D$175="","",[1]Accounts!$D$175)</f>
        <v/>
      </c>
      <c r="E174" t="str">
        <f>IF([1]Accounts!$D$175="","",[1]Accounts!$J$175)</f>
        <v/>
      </c>
      <c r="F174" t="str">
        <f>IF([1]Accounts!$D$175="","",[1]Accounts!$K$175)</f>
        <v/>
      </c>
      <c r="J174" t="str">
        <f>IF([2]Entry!$C$177="","",[2]Entry!$C$177)</f>
        <v/>
      </c>
      <c r="K174" t="str">
        <f>IF([2]Entry!$D$177="","",[2]Entry!$D$177)</f>
        <v/>
      </c>
      <c r="L174" t="str">
        <f>IF([2]Entry!$E$177="","",[2]Entry!$E$177)</f>
        <v/>
      </c>
      <c r="M174" t="str">
        <f>IF([2]Entry!$G$177="","",[2]Entry!$G$177)</f>
        <v/>
      </c>
      <c r="N174" t="str">
        <f>IF([2]Entry!$M$177="","",[2]Entry!$M$177)</f>
        <v/>
      </c>
      <c r="O174" t="str">
        <f>IF([2]Entry!$N$177="","",[2]Entry!$N$177)</f>
        <v/>
      </c>
      <c r="P174" t="str">
        <f>IF([2]Entry!$R$177="","",[2]Entry!$R$177)</f>
        <v/>
      </c>
    </row>
    <row r="175" spans="1:16" x14ac:dyDescent="0.2">
      <c r="A175" t="str">
        <f>IF([1]Accounts!$D$176="","",[1]Accounts!$A$176)</f>
        <v/>
      </c>
      <c r="B175" t="str">
        <f>IF([1]Accounts!$D$176="","",[1]Accounts!$B$176)</f>
        <v/>
      </c>
      <c r="C175" t="str">
        <f>IF([1]Accounts!$D$176="","",[1]Accounts!$C$176)</f>
        <v/>
      </c>
      <c r="D175" t="str">
        <f>IF([1]Accounts!$D$176="","",[1]Accounts!$D$176)</f>
        <v/>
      </c>
      <c r="E175" t="str">
        <f>IF([1]Accounts!$D$176="","",[1]Accounts!$J$176)</f>
        <v/>
      </c>
      <c r="F175" t="str">
        <f>IF([1]Accounts!$D$176="","",[1]Accounts!$K$176)</f>
        <v/>
      </c>
      <c r="J175" t="str">
        <f>IF([2]Entry!$C$178="","",[2]Entry!$C$178)</f>
        <v/>
      </c>
      <c r="K175" t="str">
        <f>IF([2]Entry!$D$178="","",[2]Entry!$D$178)</f>
        <v/>
      </c>
      <c r="L175" t="str">
        <f>IF([2]Entry!$E$178="","",[2]Entry!$E$178)</f>
        <v/>
      </c>
      <c r="M175" t="str">
        <f>IF([2]Entry!$G$178="","",[2]Entry!$G$178)</f>
        <v/>
      </c>
      <c r="N175" t="str">
        <f>IF([2]Entry!$M$178="","",[2]Entry!$M$178)</f>
        <v/>
      </c>
      <c r="O175" t="str">
        <f>IF([2]Entry!$N$178="","",[2]Entry!$N$178)</f>
        <v/>
      </c>
      <c r="P175" t="str">
        <f>IF([2]Entry!$R$178="","",[2]Entry!$R$178)</f>
        <v/>
      </c>
    </row>
    <row r="176" spans="1:16" x14ac:dyDescent="0.2">
      <c r="A176" t="str">
        <f>IF([1]Accounts!$D$177="","",[1]Accounts!$A$177)</f>
        <v/>
      </c>
      <c r="B176" t="str">
        <f>IF([1]Accounts!$D$177="","",[1]Accounts!$B$177)</f>
        <v/>
      </c>
      <c r="C176" t="str">
        <f>IF([1]Accounts!$D$177="","",[1]Accounts!$C$177)</f>
        <v/>
      </c>
      <c r="D176" t="str">
        <f>IF([1]Accounts!$D$177="","",[1]Accounts!$D$177)</f>
        <v/>
      </c>
      <c r="E176" t="str">
        <f>IF([1]Accounts!$D$177="","",[1]Accounts!$J$177)</f>
        <v/>
      </c>
      <c r="F176" t="str">
        <f>IF([1]Accounts!$D$177="","",[1]Accounts!$K$177)</f>
        <v/>
      </c>
      <c r="J176" t="str">
        <f>IF([2]Entry!$C$179="","",[2]Entry!$C$179)</f>
        <v/>
      </c>
      <c r="K176" t="str">
        <f>IF([2]Entry!$D$179="","",[2]Entry!$D$179)</f>
        <v/>
      </c>
      <c r="L176" t="str">
        <f>IF([2]Entry!$E$179="","",[2]Entry!$E$179)</f>
        <v/>
      </c>
      <c r="M176" t="str">
        <f>IF([2]Entry!$G$179="","",[2]Entry!$G$179)</f>
        <v/>
      </c>
      <c r="N176" t="str">
        <f>IF([2]Entry!$M$179="","",[2]Entry!$M$179)</f>
        <v/>
      </c>
      <c r="O176" t="str">
        <f>IF([2]Entry!$N$179="","",[2]Entry!$N$179)</f>
        <v/>
      </c>
      <c r="P176" t="str">
        <f>IF([2]Entry!$R$179="","",[2]Entry!$R$179)</f>
        <v/>
      </c>
    </row>
    <row r="177" spans="1:16" x14ac:dyDescent="0.2">
      <c r="A177" t="str">
        <f>IF([1]Accounts!$D$178="","",[1]Accounts!$A$178)</f>
        <v/>
      </c>
      <c r="B177" t="str">
        <f>IF([1]Accounts!$D$178="","",[1]Accounts!$B$178)</f>
        <v/>
      </c>
      <c r="C177" t="str">
        <f>IF([1]Accounts!$D$178="","",[1]Accounts!$C$178)</f>
        <v/>
      </c>
      <c r="D177" t="str">
        <f>IF([1]Accounts!$D$178="","",[1]Accounts!$D$178)</f>
        <v/>
      </c>
      <c r="E177" t="str">
        <f>IF([1]Accounts!$D$178="","",[1]Accounts!$J$178)</f>
        <v/>
      </c>
      <c r="F177" t="str">
        <f>IF([1]Accounts!$D$178="","",[1]Accounts!$K$178)</f>
        <v/>
      </c>
      <c r="J177" t="str">
        <f>IF([2]Entry!$C$180="","",[2]Entry!$C$180)</f>
        <v/>
      </c>
      <c r="K177" t="str">
        <f>IF([2]Entry!$D$180="","",[2]Entry!$D$180)</f>
        <v/>
      </c>
      <c r="L177" t="str">
        <f>IF([2]Entry!$E$180="","",[2]Entry!$E$180)</f>
        <v/>
      </c>
      <c r="M177" t="str">
        <f>IF([2]Entry!$G$180="","",[2]Entry!$G$180)</f>
        <v/>
      </c>
      <c r="N177" t="str">
        <f>IF([2]Entry!$M$180="","",[2]Entry!$M$180)</f>
        <v/>
      </c>
      <c r="O177" t="str">
        <f>IF([2]Entry!$N$180="","",[2]Entry!$N$180)</f>
        <v/>
      </c>
      <c r="P177" t="str">
        <f>IF([2]Entry!$R$180="","",[2]Entry!$R$180)</f>
        <v/>
      </c>
    </row>
    <row r="178" spans="1:16" x14ac:dyDescent="0.2">
      <c r="A178" t="str">
        <f>IF([1]Accounts!$D$179="","",[1]Accounts!$A$179)</f>
        <v/>
      </c>
      <c r="B178" t="str">
        <f>IF([1]Accounts!$D$179="","",[1]Accounts!$B$179)</f>
        <v/>
      </c>
      <c r="C178" t="str">
        <f>IF([1]Accounts!$D$179="","",[1]Accounts!$C$179)</f>
        <v/>
      </c>
      <c r="D178" t="str">
        <f>IF([1]Accounts!$D$179="","",[1]Accounts!$D$179)</f>
        <v/>
      </c>
      <c r="E178" t="str">
        <f>IF([1]Accounts!$D$179="","",[1]Accounts!$J$179)</f>
        <v/>
      </c>
      <c r="F178" t="str">
        <f>IF([1]Accounts!$D$179="","",[1]Accounts!$K$179)</f>
        <v/>
      </c>
      <c r="J178" t="str">
        <f>IF([2]Entry!$C$181="","",[2]Entry!$C$181)</f>
        <v/>
      </c>
      <c r="K178" t="str">
        <f>IF([2]Entry!$D$181="","",[2]Entry!$D$181)</f>
        <v/>
      </c>
      <c r="L178" t="str">
        <f>IF([2]Entry!$E$181="","",[2]Entry!$E$181)</f>
        <v/>
      </c>
      <c r="M178" t="str">
        <f>IF([2]Entry!$G$181="","",[2]Entry!$G$181)</f>
        <v/>
      </c>
      <c r="N178" t="str">
        <f>IF([2]Entry!$M$181="","",[2]Entry!$M$181)</f>
        <v/>
      </c>
      <c r="O178" t="str">
        <f>IF([2]Entry!$N$181="","",[2]Entry!$N$181)</f>
        <v/>
      </c>
      <c r="P178" t="str">
        <f>IF([2]Entry!$R$181="","",[2]Entry!$R$181)</f>
        <v/>
      </c>
    </row>
    <row r="179" spans="1:16" x14ac:dyDescent="0.2">
      <c r="A179" t="str">
        <f>IF([1]Accounts!$D$180="","",[1]Accounts!$A$180)</f>
        <v/>
      </c>
      <c r="B179" t="str">
        <f>IF([1]Accounts!$D$180="","",[1]Accounts!$B$180)</f>
        <v/>
      </c>
      <c r="C179" t="str">
        <f>IF([1]Accounts!$D$180="","",[1]Accounts!$C$180)</f>
        <v/>
      </c>
      <c r="D179" t="str">
        <f>IF([1]Accounts!$D$180="","",[1]Accounts!$D$180)</f>
        <v/>
      </c>
      <c r="E179" t="str">
        <f>IF([1]Accounts!$D$180="","",[1]Accounts!$J$180)</f>
        <v/>
      </c>
      <c r="F179" t="str">
        <f>IF([1]Accounts!$D$180="","",[1]Accounts!$K$180)</f>
        <v/>
      </c>
      <c r="J179" t="str">
        <f>IF([2]Entry!$C$182="","",[2]Entry!$C$182)</f>
        <v/>
      </c>
      <c r="K179" t="str">
        <f>IF([2]Entry!$D$182="","",[2]Entry!$D$182)</f>
        <v/>
      </c>
      <c r="L179" t="str">
        <f>IF([2]Entry!$E$182="","",[2]Entry!$E$182)</f>
        <v/>
      </c>
      <c r="M179" t="str">
        <f>IF([2]Entry!$G$182="","",[2]Entry!$G$182)</f>
        <v/>
      </c>
      <c r="N179" t="str">
        <f>IF([2]Entry!$M$182="","",[2]Entry!$M$182)</f>
        <v/>
      </c>
      <c r="O179" t="str">
        <f>IF([2]Entry!$N$182="","",[2]Entry!$N$182)</f>
        <v/>
      </c>
      <c r="P179" t="str">
        <f>IF([2]Entry!$R$182="","",[2]Entry!$R$182)</f>
        <v/>
      </c>
    </row>
    <row r="180" spans="1:16" x14ac:dyDescent="0.2">
      <c r="A180" t="str">
        <f>IF([1]Accounts!$D$181="","",[1]Accounts!$A$181)</f>
        <v/>
      </c>
      <c r="B180" t="str">
        <f>IF([1]Accounts!$D$181="","",[1]Accounts!$B$181)</f>
        <v/>
      </c>
      <c r="C180" t="str">
        <f>IF([1]Accounts!$D$181="","",[1]Accounts!$C$181)</f>
        <v/>
      </c>
      <c r="D180" t="str">
        <f>IF([1]Accounts!$D$181="","",[1]Accounts!$D$181)</f>
        <v/>
      </c>
      <c r="E180" t="str">
        <f>IF([1]Accounts!$D$181="","",[1]Accounts!$J$181)</f>
        <v/>
      </c>
      <c r="F180" t="str">
        <f>IF([1]Accounts!$D$181="","",[1]Accounts!$K$181)</f>
        <v/>
      </c>
      <c r="J180" t="str">
        <f>IF([2]Entry!$C$183="","",[2]Entry!$C$183)</f>
        <v/>
      </c>
      <c r="K180" t="str">
        <f>IF([2]Entry!$D$183="","",[2]Entry!$D$183)</f>
        <v/>
      </c>
      <c r="L180" t="str">
        <f>IF([2]Entry!$E$183="","",[2]Entry!$E$183)</f>
        <v/>
      </c>
      <c r="M180" t="str">
        <f>IF([2]Entry!$G$183="","",[2]Entry!$G$183)</f>
        <v/>
      </c>
      <c r="N180" t="str">
        <f>IF([2]Entry!$M$183="","",[2]Entry!$M$183)</f>
        <v/>
      </c>
      <c r="O180" t="str">
        <f>IF([2]Entry!$N$183="","",[2]Entry!$N$183)</f>
        <v/>
      </c>
      <c r="P180" t="str">
        <f>IF([2]Entry!$R$183="","",[2]Entry!$R$183)</f>
        <v/>
      </c>
    </row>
    <row r="181" spans="1:16" x14ac:dyDescent="0.2">
      <c r="A181" t="str">
        <f>IF([1]Accounts!$D$182="","",[1]Accounts!$A$182)</f>
        <v/>
      </c>
      <c r="B181" t="str">
        <f>IF([1]Accounts!$D$182="","",[1]Accounts!$B$182)</f>
        <v/>
      </c>
      <c r="C181" t="str">
        <f>IF([1]Accounts!$D$182="","",[1]Accounts!$C$182)</f>
        <v/>
      </c>
      <c r="D181" t="str">
        <f>IF([1]Accounts!$D$182="","",[1]Accounts!$D$182)</f>
        <v/>
      </c>
      <c r="E181" t="str">
        <f>IF([1]Accounts!$D$182="","",[1]Accounts!$J$182)</f>
        <v/>
      </c>
      <c r="F181" t="str">
        <f>IF([1]Accounts!$D$182="","",[1]Accounts!$K$182)</f>
        <v/>
      </c>
      <c r="J181" t="str">
        <f>IF([2]Entry!$C$184="","",[2]Entry!$C$184)</f>
        <v/>
      </c>
      <c r="K181" t="str">
        <f>IF([2]Entry!$D$184="","",[2]Entry!$D$184)</f>
        <v/>
      </c>
      <c r="L181" t="str">
        <f>IF([2]Entry!$E$184="","",[2]Entry!$E$184)</f>
        <v/>
      </c>
      <c r="M181" t="str">
        <f>IF([2]Entry!$G$184="","",[2]Entry!$G$184)</f>
        <v/>
      </c>
      <c r="N181" t="str">
        <f>IF([2]Entry!$M$184="","",[2]Entry!$M$184)</f>
        <v/>
      </c>
      <c r="O181" t="str">
        <f>IF([2]Entry!$N$184="","",[2]Entry!$N$184)</f>
        <v/>
      </c>
      <c r="P181" t="str">
        <f>IF([2]Entry!$R$184="","",[2]Entry!$R$184)</f>
        <v/>
      </c>
    </row>
    <row r="182" spans="1:16" x14ac:dyDescent="0.2">
      <c r="A182" t="str">
        <f>IF([1]Accounts!$D$183="","",[1]Accounts!$A$183)</f>
        <v/>
      </c>
      <c r="B182" t="str">
        <f>IF([1]Accounts!$D$183="","",[1]Accounts!$B$183)</f>
        <v/>
      </c>
      <c r="C182" t="str">
        <f>IF([1]Accounts!$D$183="","",[1]Accounts!$C$183)</f>
        <v/>
      </c>
      <c r="D182" t="str">
        <f>IF([1]Accounts!$D$183="","",[1]Accounts!$D$183)</f>
        <v/>
      </c>
      <c r="E182" t="str">
        <f>IF([1]Accounts!$D$183="","",[1]Accounts!$J$183)</f>
        <v/>
      </c>
      <c r="F182" t="str">
        <f>IF([1]Accounts!$D$183="","",[1]Accounts!$K$183)</f>
        <v/>
      </c>
      <c r="J182" t="str">
        <f>IF([2]Entry!$C$185="","",[2]Entry!$C$185)</f>
        <v/>
      </c>
      <c r="K182" t="str">
        <f>IF([2]Entry!$D$185="","",[2]Entry!$D$185)</f>
        <v/>
      </c>
      <c r="L182" t="str">
        <f>IF([2]Entry!$E$185="","",[2]Entry!$E$185)</f>
        <v/>
      </c>
      <c r="M182" t="str">
        <f>IF([2]Entry!$G$185="","",[2]Entry!$G$185)</f>
        <v/>
      </c>
      <c r="N182" t="str">
        <f>IF([2]Entry!$M$185="","",[2]Entry!$M$185)</f>
        <v/>
      </c>
      <c r="O182" t="str">
        <f>IF([2]Entry!$N$185="","",[2]Entry!$N$185)</f>
        <v/>
      </c>
      <c r="P182" t="str">
        <f>IF([2]Entry!$R$185="","",[2]Entry!$R$185)</f>
        <v/>
      </c>
    </row>
    <row r="183" spans="1:16" x14ac:dyDescent="0.2">
      <c r="A183" t="str">
        <f>IF([1]Accounts!$D$184="","",[1]Accounts!$A$184)</f>
        <v/>
      </c>
      <c r="B183" t="str">
        <f>IF([1]Accounts!$D$184="","",[1]Accounts!$B$184)</f>
        <v/>
      </c>
      <c r="C183" t="str">
        <f>IF([1]Accounts!$D$184="","",[1]Accounts!$C$184)</f>
        <v/>
      </c>
      <c r="D183" t="str">
        <f>IF([1]Accounts!$D$184="","",[1]Accounts!$D$184)</f>
        <v/>
      </c>
      <c r="E183" t="str">
        <f>IF([1]Accounts!$D$184="","",[1]Accounts!$J$184)</f>
        <v/>
      </c>
      <c r="F183" t="str">
        <f>IF([1]Accounts!$D$184="","",[1]Accounts!$K$184)</f>
        <v/>
      </c>
      <c r="J183" t="str">
        <f>IF([2]Entry!$C$186="","",[2]Entry!$C$186)</f>
        <v/>
      </c>
      <c r="K183" t="str">
        <f>IF([2]Entry!$D$186="","",[2]Entry!$D$186)</f>
        <v/>
      </c>
      <c r="L183" t="str">
        <f>IF([2]Entry!$E$186="","",[2]Entry!$E$186)</f>
        <v/>
      </c>
      <c r="M183" t="str">
        <f>IF([2]Entry!$G$186="","",[2]Entry!$G$186)</f>
        <v/>
      </c>
      <c r="N183" t="str">
        <f>IF([2]Entry!$M$186="","",[2]Entry!$M$186)</f>
        <v/>
      </c>
      <c r="O183" t="str">
        <f>IF([2]Entry!$N$186="","",[2]Entry!$N$186)</f>
        <v/>
      </c>
      <c r="P183" t="str">
        <f>IF([2]Entry!$R$186="","",[2]Entry!$R$186)</f>
        <v/>
      </c>
    </row>
    <row r="184" spans="1:16" x14ac:dyDescent="0.2">
      <c r="A184" t="str">
        <f>IF([1]Accounts!$D$185="","",[1]Accounts!$A$185)</f>
        <v/>
      </c>
      <c r="B184" t="str">
        <f>IF([1]Accounts!$D$185="","",[1]Accounts!$B$185)</f>
        <v/>
      </c>
      <c r="C184" t="str">
        <f>IF([1]Accounts!$D$185="","",[1]Accounts!$C$185)</f>
        <v/>
      </c>
      <c r="D184" t="str">
        <f>IF([1]Accounts!$D$185="","",[1]Accounts!$D$185)</f>
        <v/>
      </c>
      <c r="E184" t="str">
        <f>IF([1]Accounts!$D$185="","",[1]Accounts!$J$185)</f>
        <v/>
      </c>
      <c r="F184" t="str">
        <f>IF([1]Accounts!$D$185="","",[1]Accounts!$K$185)</f>
        <v/>
      </c>
      <c r="J184" t="str">
        <f>IF([2]Entry!$C$187="","",[2]Entry!$C$187)</f>
        <v/>
      </c>
      <c r="K184" t="str">
        <f>IF([2]Entry!$D$187="","",[2]Entry!$D$187)</f>
        <v/>
      </c>
      <c r="L184" t="str">
        <f>IF([2]Entry!$E$187="","",[2]Entry!$E$187)</f>
        <v/>
      </c>
      <c r="M184" t="str">
        <f>IF([2]Entry!$G$187="","",[2]Entry!$G$187)</f>
        <v/>
      </c>
      <c r="N184" t="str">
        <f>IF([2]Entry!$M$187="","",[2]Entry!$M$187)</f>
        <v/>
      </c>
      <c r="O184" t="str">
        <f>IF([2]Entry!$N$187="","",[2]Entry!$N$187)</f>
        <v/>
      </c>
      <c r="P184" t="str">
        <f>IF([2]Entry!$R$187="","",[2]Entry!$R$187)</f>
        <v/>
      </c>
    </row>
    <row r="185" spans="1:16" x14ac:dyDescent="0.2">
      <c r="A185" t="str">
        <f>IF([1]Accounts!$D$186="","",[1]Accounts!$A$186)</f>
        <v/>
      </c>
      <c r="B185" t="str">
        <f>IF([1]Accounts!$D$186="","",[1]Accounts!$B$186)</f>
        <v/>
      </c>
      <c r="C185" t="str">
        <f>IF([1]Accounts!$D$186="","",[1]Accounts!$C$186)</f>
        <v/>
      </c>
      <c r="D185" t="str">
        <f>IF([1]Accounts!$D$186="","",[1]Accounts!$D$186)</f>
        <v/>
      </c>
      <c r="E185" t="str">
        <f>IF([1]Accounts!$D$186="","",[1]Accounts!$J$186)</f>
        <v/>
      </c>
      <c r="F185" t="str">
        <f>IF([1]Accounts!$D$186="","",[1]Accounts!$K$186)</f>
        <v/>
      </c>
      <c r="J185" t="str">
        <f>IF([2]Entry!$C$188="","",[2]Entry!$C$188)</f>
        <v/>
      </c>
      <c r="K185" t="str">
        <f>IF([2]Entry!$D$188="","",[2]Entry!$D$188)</f>
        <v/>
      </c>
      <c r="L185" t="str">
        <f>IF([2]Entry!$E$188="","",[2]Entry!$E$188)</f>
        <v/>
      </c>
      <c r="M185" t="str">
        <f>IF([2]Entry!$G$188="","",[2]Entry!$G$188)</f>
        <v/>
      </c>
      <c r="N185" t="str">
        <f>IF([2]Entry!$M$188="","",[2]Entry!$M$188)</f>
        <v/>
      </c>
      <c r="O185" t="str">
        <f>IF([2]Entry!$N$188="","",[2]Entry!$N$188)</f>
        <v/>
      </c>
      <c r="P185" t="str">
        <f>IF([2]Entry!$R$188="","",[2]Entry!$R$188)</f>
        <v/>
      </c>
    </row>
    <row r="186" spans="1:16" x14ac:dyDescent="0.2">
      <c r="A186" t="str">
        <f>IF([1]Accounts!$D$187="","",[1]Accounts!$A$187)</f>
        <v/>
      </c>
      <c r="B186" t="str">
        <f>IF([1]Accounts!$D$187="","",[1]Accounts!$B$187)</f>
        <v/>
      </c>
      <c r="C186" t="str">
        <f>IF([1]Accounts!$D$187="","",[1]Accounts!$C$187)</f>
        <v/>
      </c>
      <c r="D186" t="str">
        <f>IF([1]Accounts!$D$187="","",[1]Accounts!$D$187)</f>
        <v/>
      </c>
      <c r="E186" t="str">
        <f>IF([1]Accounts!$D$187="","",[1]Accounts!$J$187)</f>
        <v/>
      </c>
      <c r="F186" t="str">
        <f>IF([1]Accounts!$D$187="","",[1]Accounts!$K$187)</f>
        <v/>
      </c>
      <c r="J186" t="str">
        <f>IF([2]Entry!$C$189="","",[2]Entry!$C$189)</f>
        <v/>
      </c>
      <c r="K186" t="str">
        <f>IF([2]Entry!$D$189="","",[2]Entry!$D$189)</f>
        <v/>
      </c>
      <c r="L186" t="str">
        <f>IF([2]Entry!$E$189="","",[2]Entry!$E$189)</f>
        <v/>
      </c>
      <c r="M186" t="str">
        <f>IF([2]Entry!$G$189="","",[2]Entry!$G$189)</f>
        <v/>
      </c>
      <c r="N186" t="str">
        <f>IF([2]Entry!$M$189="","",[2]Entry!$M$189)</f>
        <v/>
      </c>
      <c r="O186" t="str">
        <f>IF([2]Entry!$N$189="","",[2]Entry!$N$189)</f>
        <v/>
      </c>
      <c r="P186" t="str">
        <f>IF([2]Entry!$R$189="","",[2]Entry!$R$189)</f>
        <v/>
      </c>
    </row>
    <row r="187" spans="1:16" x14ac:dyDescent="0.2">
      <c r="A187" t="str">
        <f>IF([1]Accounts!$D$188="","",[1]Accounts!$A$188)</f>
        <v/>
      </c>
      <c r="B187" t="str">
        <f>IF([1]Accounts!$D$188="","",[1]Accounts!$B$188)</f>
        <v/>
      </c>
      <c r="C187" t="str">
        <f>IF([1]Accounts!$D$188="","",[1]Accounts!$C$188)</f>
        <v/>
      </c>
      <c r="D187" t="str">
        <f>IF([1]Accounts!$D$188="","",[1]Accounts!$D$188)</f>
        <v/>
      </c>
      <c r="E187" t="str">
        <f>IF([1]Accounts!$D$188="","",[1]Accounts!$J$188)</f>
        <v/>
      </c>
      <c r="F187" t="str">
        <f>IF([1]Accounts!$D$188="","",[1]Accounts!$K$188)</f>
        <v/>
      </c>
      <c r="J187" t="str">
        <f>IF([2]Entry!$C$190="","",[2]Entry!$C$190)</f>
        <v/>
      </c>
      <c r="K187" t="str">
        <f>IF([2]Entry!$D$190="","",[2]Entry!$D$190)</f>
        <v/>
      </c>
      <c r="L187" t="str">
        <f>IF([2]Entry!$E$190="","",[2]Entry!$E$190)</f>
        <v/>
      </c>
      <c r="M187" t="str">
        <f>IF([2]Entry!$G$190="","",[2]Entry!$G$190)</f>
        <v/>
      </c>
      <c r="N187" t="str">
        <f>IF([2]Entry!$M$190="","",[2]Entry!$M$190)</f>
        <v/>
      </c>
      <c r="O187" t="str">
        <f>IF([2]Entry!$N$190="","",[2]Entry!$N$190)</f>
        <v/>
      </c>
      <c r="P187" t="str">
        <f>IF([2]Entry!$R$190="","",[2]Entry!$R$190)</f>
        <v/>
      </c>
    </row>
    <row r="188" spans="1:16" x14ac:dyDescent="0.2">
      <c r="A188" t="str">
        <f>IF([1]Accounts!$D$189="","",[1]Accounts!$A$189)</f>
        <v/>
      </c>
      <c r="B188" t="str">
        <f>IF([1]Accounts!$D$189="","",[1]Accounts!$B$189)</f>
        <v/>
      </c>
      <c r="C188" t="str">
        <f>IF([1]Accounts!$D$189="","",[1]Accounts!$C$189)</f>
        <v/>
      </c>
      <c r="D188" t="str">
        <f>IF([1]Accounts!$D$189="","",[1]Accounts!$D$189)</f>
        <v/>
      </c>
      <c r="E188" t="str">
        <f>IF([1]Accounts!$D$189="","",[1]Accounts!$J$189)</f>
        <v/>
      </c>
      <c r="F188" t="str">
        <f>IF([1]Accounts!$D$189="","",[1]Accounts!$K$189)</f>
        <v/>
      </c>
      <c r="J188" t="str">
        <f>IF([2]Entry!$C$191="","",[2]Entry!$C$191)</f>
        <v/>
      </c>
      <c r="K188" t="str">
        <f>IF([2]Entry!$D$191="","",[2]Entry!$D$191)</f>
        <v/>
      </c>
      <c r="L188" t="str">
        <f>IF([2]Entry!$E$191="","",[2]Entry!$E$191)</f>
        <v/>
      </c>
      <c r="M188" t="str">
        <f>IF([2]Entry!$G$191="","",[2]Entry!$G$191)</f>
        <v/>
      </c>
      <c r="N188" t="str">
        <f>IF([2]Entry!$M$191="","",[2]Entry!$M$191)</f>
        <v/>
      </c>
      <c r="O188" t="str">
        <f>IF([2]Entry!$N$191="","",[2]Entry!$N$191)</f>
        <v/>
      </c>
      <c r="P188" t="str">
        <f>IF([2]Entry!$R$191="","",[2]Entry!$R$191)</f>
        <v/>
      </c>
    </row>
    <row r="189" spans="1:16" x14ac:dyDescent="0.2">
      <c r="A189" t="str">
        <f>IF([1]Accounts!$D$190="","",[1]Accounts!$A$190)</f>
        <v/>
      </c>
      <c r="B189" t="str">
        <f>IF([1]Accounts!$D$190="","",[1]Accounts!$B$190)</f>
        <v/>
      </c>
      <c r="C189" t="str">
        <f>IF([1]Accounts!$D$190="","",[1]Accounts!$C$190)</f>
        <v/>
      </c>
      <c r="D189" t="str">
        <f>IF([1]Accounts!$D$190="","",[1]Accounts!$D$190)</f>
        <v/>
      </c>
      <c r="E189" t="str">
        <f>IF([1]Accounts!$D$190="","",[1]Accounts!$J$190)</f>
        <v/>
      </c>
      <c r="F189" t="str">
        <f>IF([1]Accounts!$D$190="","",[1]Accounts!$K$190)</f>
        <v/>
      </c>
      <c r="J189" t="str">
        <f>IF([2]Entry!$C$192="","",[2]Entry!$C$192)</f>
        <v/>
      </c>
      <c r="K189" t="str">
        <f>IF([2]Entry!$D$192="","",[2]Entry!$D$192)</f>
        <v/>
      </c>
      <c r="L189" t="str">
        <f>IF([2]Entry!$E$192="","",[2]Entry!$E$192)</f>
        <v/>
      </c>
      <c r="M189" t="str">
        <f>IF([2]Entry!$G$192="","",[2]Entry!$G$192)</f>
        <v/>
      </c>
      <c r="N189" t="str">
        <f>IF([2]Entry!$M$192="","",[2]Entry!$M$192)</f>
        <v/>
      </c>
      <c r="O189" t="str">
        <f>IF([2]Entry!$N$192="","",[2]Entry!$N$192)</f>
        <v/>
      </c>
      <c r="P189" t="str">
        <f>IF([2]Entry!$R$192="","",[2]Entry!$R$192)</f>
        <v/>
      </c>
    </row>
    <row r="190" spans="1:16" x14ac:dyDescent="0.2">
      <c r="A190" t="str">
        <f>IF([1]Accounts!$D$191="","",[1]Accounts!$A$191)</f>
        <v/>
      </c>
      <c r="B190" t="str">
        <f>IF([1]Accounts!$D$191="","",[1]Accounts!$B$191)</f>
        <v/>
      </c>
      <c r="C190" t="str">
        <f>IF([1]Accounts!$D$191="","",[1]Accounts!$C$191)</f>
        <v/>
      </c>
      <c r="D190" t="str">
        <f>IF([1]Accounts!$D$191="","",[1]Accounts!$D$191)</f>
        <v/>
      </c>
      <c r="E190" t="str">
        <f>IF([1]Accounts!$D$191="","",[1]Accounts!$J$191)</f>
        <v/>
      </c>
      <c r="F190" t="str">
        <f>IF([1]Accounts!$D$191="","",[1]Accounts!$K$191)</f>
        <v/>
      </c>
      <c r="J190" t="str">
        <f>IF([2]Entry!$C$193="","",[2]Entry!$C$193)</f>
        <v/>
      </c>
      <c r="K190" t="str">
        <f>IF([2]Entry!$D$193="","",[2]Entry!$D$193)</f>
        <v/>
      </c>
      <c r="L190" t="str">
        <f>IF([2]Entry!$E$193="","",[2]Entry!$E$193)</f>
        <v/>
      </c>
      <c r="M190" t="str">
        <f>IF([2]Entry!$G$193="","",[2]Entry!$G$193)</f>
        <v/>
      </c>
      <c r="N190" t="str">
        <f>IF([2]Entry!$M$193="","",[2]Entry!$M$193)</f>
        <v/>
      </c>
      <c r="O190" t="str">
        <f>IF([2]Entry!$N$193="","",[2]Entry!$N$193)</f>
        <v/>
      </c>
      <c r="P190" t="str">
        <f>IF([2]Entry!$R$193="","",[2]Entry!$R$193)</f>
        <v/>
      </c>
    </row>
    <row r="191" spans="1:16" x14ac:dyDescent="0.2">
      <c r="A191" t="str">
        <f>IF([1]Accounts!$D$192="","",[1]Accounts!$A$192)</f>
        <v/>
      </c>
      <c r="B191" t="str">
        <f>IF([1]Accounts!$D$192="","",[1]Accounts!$B$192)</f>
        <v/>
      </c>
      <c r="C191" t="str">
        <f>IF([1]Accounts!$D$192="","",[1]Accounts!$C$192)</f>
        <v/>
      </c>
      <c r="D191" t="str">
        <f>IF([1]Accounts!$D$192="","",[1]Accounts!$D$192)</f>
        <v/>
      </c>
      <c r="E191" t="str">
        <f>IF([1]Accounts!$D$192="","",[1]Accounts!$J$192)</f>
        <v/>
      </c>
      <c r="F191" t="str">
        <f>IF([1]Accounts!$D$192="","",[1]Accounts!$K$192)</f>
        <v/>
      </c>
      <c r="J191" t="str">
        <f>IF([2]Entry!$C$194="","",[2]Entry!$C$194)</f>
        <v/>
      </c>
      <c r="K191" t="str">
        <f>IF([2]Entry!$D$194="","",[2]Entry!$D$194)</f>
        <v/>
      </c>
      <c r="L191" t="str">
        <f>IF([2]Entry!$E$194="","",[2]Entry!$E$194)</f>
        <v/>
      </c>
      <c r="M191" t="str">
        <f>IF([2]Entry!$G$194="","",[2]Entry!$G$194)</f>
        <v/>
      </c>
      <c r="N191" t="str">
        <f>IF([2]Entry!$M$194="","",[2]Entry!$M$194)</f>
        <v/>
      </c>
      <c r="O191" t="str">
        <f>IF([2]Entry!$N$194="","",[2]Entry!$N$194)</f>
        <v/>
      </c>
      <c r="P191" t="str">
        <f>IF([2]Entry!$R$194="","",[2]Entry!$R$194)</f>
        <v/>
      </c>
    </row>
    <row r="192" spans="1:16" x14ac:dyDescent="0.2">
      <c r="A192" t="str">
        <f>IF([1]Accounts!$D$193="","",[1]Accounts!$A$193)</f>
        <v/>
      </c>
      <c r="B192" t="str">
        <f>IF([1]Accounts!$D$193="","",[1]Accounts!$B$193)</f>
        <v/>
      </c>
      <c r="C192" t="str">
        <f>IF([1]Accounts!$D$193="","",[1]Accounts!$C$193)</f>
        <v/>
      </c>
      <c r="D192" t="str">
        <f>IF([1]Accounts!$D$193="","",[1]Accounts!$D$193)</f>
        <v/>
      </c>
      <c r="E192" t="str">
        <f>IF([1]Accounts!$D$193="","",[1]Accounts!$J$193)</f>
        <v/>
      </c>
      <c r="F192" t="str">
        <f>IF([1]Accounts!$D$193="","",[1]Accounts!$K$193)</f>
        <v/>
      </c>
      <c r="J192" t="str">
        <f>IF([2]Entry!$C$195="","",[2]Entry!$C$195)</f>
        <v/>
      </c>
      <c r="K192" t="str">
        <f>IF([2]Entry!$D$195="","",[2]Entry!$D$195)</f>
        <v/>
      </c>
      <c r="L192" t="str">
        <f>IF([2]Entry!$E$195="","",[2]Entry!$E$195)</f>
        <v/>
      </c>
      <c r="M192" t="str">
        <f>IF([2]Entry!$G$195="","",[2]Entry!$G$195)</f>
        <v/>
      </c>
      <c r="N192" t="str">
        <f>IF([2]Entry!$M$195="","",[2]Entry!$M$195)</f>
        <v/>
      </c>
      <c r="O192" t="str">
        <f>IF([2]Entry!$N$195="","",[2]Entry!$N$195)</f>
        <v/>
      </c>
      <c r="P192" t="str">
        <f>IF([2]Entry!$R$195="","",[2]Entry!$R$195)</f>
        <v/>
      </c>
    </row>
    <row r="193" spans="1:16" x14ac:dyDescent="0.2">
      <c r="A193" t="str">
        <f>IF([1]Accounts!$D$194="","",[1]Accounts!$A$194)</f>
        <v/>
      </c>
      <c r="B193" t="str">
        <f>IF([1]Accounts!$D$194="","",[1]Accounts!$B$194)</f>
        <v/>
      </c>
      <c r="C193" t="str">
        <f>IF([1]Accounts!$D$194="","",[1]Accounts!$C$194)</f>
        <v/>
      </c>
      <c r="D193" t="str">
        <f>IF([1]Accounts!$D$194="","",[1]Accounts!$D$194)</f>
        <v/>
      </c>
      <c r="E193" t="str">
        <f>IF([1]Accounts!$D$194="","",[1]Accounts!$J$194)</f>
        <v/>
      </c>
      <c r="F193" t="str">
        <f>IF([1]Accounts!$D$194="","",[1]Accounts!$K$194)</f>
        <v/>
      </c>
      <c r="J193" t="str">
        <f>IF([2]Entry!$C$196="","",[2]Entry!$C$196)</f>
        <v/>
      </c>
      <c r="K193" t="str">
        <f>IF([2]Entry!$D$196="","",[2]Entry!$D$196)</f>
        <v/>
      </c>
      <c r="L193" t="str">
        <f>IF([2]Entry!$E$196="","",[2]Entry!$E$196)</f>
        <v/>
      </c>
      <c r="M193" t="str">
        <f>IF([2]Entry!$G$196="","",[2]Entry!$G$196)</f>
        <v/>
      </c>
      <c r="N193" t="str">
        <f>IF([2]Entry!$M$196="","",[2]Entry!$M$196)</f>
        <v/>
      </c>
      <c r="O193" t="str">
        <f>IF([2]Entry!$N$196="","",[2]Entry!$N$196)</f>
        <v/>
      </c>
      <c r="P193" t="str">
        <f>IF([2]Entry!$R$196="","",[2]Entry!$R$196)</f>
        <v/>
      </c>
    </row>
    <row r="194" spans="1:16" x14ac:dyDescent="0.2">
      <c r="A194" t="str">
        <f>IF([1]Accounts!$D$195="","",[1]Accounts!$A$195)</f>
        <v/>
      </c>
      <c r="B194" t="str">
        <f>IF([1]Accounts!$D$195="","",[1]Accounts!$B$195)</f>
        <v/>
      </c>
      <c r="C194" t="str">
        <f>IF([1]Accounts!$D$195="","",[1]Accounts!$C$195)</f>
        <v/>
      </c>
      <c r="D194" t="str">
        <f>IF([1]Accounts!$D$195="","",[1]Accounts!$D$195)</f>
        <v/>
      </c>
      <c r="E194" t="str">
        <f>IF([1]Accounts!$D$195="","",[1]Accounts!$J$195)</f>
        <v/>
      </c>
      <c r="F194" t="str">
        <f>IF([1]Accounts!$D$195="","",[1]Accounts!$K$195)</f>
        <v/>
      </c>
      <c r="J194" t="str">
        <f>IF([2]Entry!$C$197="","",[2]Entry!$C$197)</f>
        <v/>
      </c>
      <c r="K194" t="str">
        <f>IF([2]Entry!$D$197="","",[2]Entry!$D$197)</f>
        <v/>
      </c>
      <c r="L194" t="str">
        <f>IF([2]Entry!$E$197="","",[2]Entry!$E$197)</f>
        <v/>
      </c>
      <c r="M194" t="str">
        <f>IF([2]Entry!$G$197="","",[2]Entry!$G$197)</f>
        <v/>
      </c>
      <c r="N194" t="str">
        <f>IF([2]Entry!$M$197="","",[2]Entry!$M$197)</f>
        <v/>
      </c>
      <c r="O194" t="str">
        <f>IF([2]Entry!$N$197="","",[2]Entry!$N$197)</f>
        <v/>
      </c>
      <c r="P194" t="str">
        <f>IF([2]Entry!$R$197="","",[2]Entry!$R$197)</f>
        <v/>
      </c>
    </row>
    <row r="195" spans="1:16" x14ac:dyDescent="0.2">
      <c r="A195" t="str">
        <f>IF([1]Accounts!$D$196="","",[1]Accounts!$A$196)</f>
        <v/>
      </c>
      <c r="B195" t="str">
        <f>IF([1]Accounts!$D$196="","",[1]Accounts!$B$196)</f>
        <v/>
      </c>
      <c r="C195" t="str">
        <f>IF([1]Accounts!$D$196="","",[1]Accounts!$C$196)</f>
        <v/>
      </c>
      <c r="D195" t="str">
        <f>IF([1]Accounts!$D$196="","",[1]Accounts!$D$196)</f>
        <v/>
      </c>
      <c r="E195" t="str">
        <f>IF([1]Accounts!$D$196="","",[1]Accounts!$J$196)</f>
        <v/>
      </c>
      <c r="F195" t="str">
        <f>IF([1]Accounts!$D$196="","",[1]Accounts!$K$196)</f>
        <v/>
      </c>
      <c r="J195" t="str">
        <f>IF([2]Entry!$C$198="","",[2]Entry!$C$198)</f>
        <v/>
      </c>
      <c r="K195" t="str">
        <f>IF([2]Entry!$D$198="","",[2]Entry!$D$198)</f>
        <v/>
      </c>
      <c r="L195" t="str">
        <f>IF([2]Entry!$E$198="","",[2]Entry!$E$198)</f>
        <v/>
      </c>
      <c r="M195" t="str">
        <f>IF([2]Entry!$G$198="","",[2]Entry!$G$198)</f>
        <v/>
      </c>
      <c r="N195" t="str">
        <f>IF([2]Entry!$M$198="","",[2]Entry!$M$198)</f>
        <v/>
      </c>
      <c r="O195" t="str">
        <f>IF([2]Entry!$N$198="","",[2]Entry!$N$198)</f>
        <v/>
      </c>
      <c r="P195" t="str">
        <f>IF([2]Entry!$R$198="","",[2]Entry!$R$198)</f>
        <v/>
      </c>
    </row>
    <row r="196" spans="1:16" x14ac:dyDescent="0.2">
      <c r="A196" t="str">
        <f>IF([1]Accounts!$D$197="","",[1]Accounts!$A$197)</f>
        <v/>
      </c>
      <c r="B196" t="str">
        <f>IF([1]Accounts!$D$197="","",[1]Accounts!$B$197)</f>
        <v/>
      </c>
      <c r="C196" t="str">
        <f>IF([1]Accounts!$D$197="","",[1]Accounts!$C$197)</f>
        <v/>
      </c>
      <c r="D196" t="str">
        <f>IF([1]Accounts!$D$197="","",[1]Accounts!$D$197)</f>
        <v/>
      </c>
      <c r="E196" t="str">
        <f>IF([1]Accounts!$D$197="","",[1]Accounts!$J$197)</f>
        <v/>
      </c>
      <c r="F196" t="str">
        <f>IF([1]Accounts!$D$197="","",[1]Accounts!$K$197)</f>
        <v/>
      </c>
      <c r="J196" t="str">
        <f>IF([2]Entry!$C$199="","",[2]Entry!$C$199)</f>
        <v/>
      </c>
      <c r="K196" t="str">
        <f>IF([2]Entry!$D$199="","",[2]Entry!$D$199)</f>
        <v/>
      </c>
      <c r="L196" t="str">
        <f>IF([2]Entry!$E$199="","",[2]Entry!$E$199)</f>
        <v/>
      </c>
      <c r="M196" t="str">
        <f>IF([2]Entry!$G$199="","",[2]Entry!$G$199)</f>
        <v/>
      </c>
      <c r="N196" t="str">
        <f>IF([2]Entry!$M$199="","",[2]Entry!$M$199)</f>
        <v/>
      </c>
      <c r="O196" t="str">
        <f>IF([2]Entry!$N$199="","",[2]Entry!$N$199)</f>
        <v/>
      </c>
      <c r="P196" t="str">
        <f>IF([2]Entry!$R$199="","",[2]Entry!$R$199)</f>
        <v/>
      </c>
    </row>
    <row r="197" spans="1:16" x14ac:dyDescent="0.2">
      <c r="A197" t="str">
        <f>IF([1]Accounts!$D$198="","",[1]Accounts!$A$198)</f>
        <v/>
      </c>
      <c r="B197" t="str">
        <f>IF([1]Accounts!$D$198="","",[1]Accounts!$B$198)</f>
        <v/>
      </c>
      <c r="C197" t="str">
        <f>IF([1]Accounts!$D$198="","",[1]Accounts!$C$198)</f>
        <v/>
      </c>
      <c r="D197" t="str">
        <f>IF([1]Accounts!$D$198="","",[1]Accounts!$D$198)</f>
        <v/>
      </c>
      <c r="E197" t="str">
        <f>IF([1]Accounts!$D$198="","",[1]Accounts!$J$198)</f>
        <v/>
      </c>
      <c r="F197" t="str">
        <f>IF([1]Accounts!$D$198="","",[1]Accounts!$K$198)</f>
        <v/>
      </c>
      <c r="J197" t="str">
        <f>IF([2]Entry!$C$200="","",[2]Entry!$C$200)</f>
        <v/>
      </c>
      <c r="K197" t="str">
        <f>IF([2]Entry!$D$200="","",[2]Entry!$D$200)</f>
        <v/>
      </c>
      <c r="L197" t="str">
        <f>IF([2]Entry!$E$200="","",[2]Entry!$E$200)</f>
        <v/>
      </c>
      <c r="M197" t="str">
        <f>IF([2]Entry!$G$200="","",[2]Entry!$G$200)</f>
        <v/>
      </c>
      <c r="N197" t="str">
        <f>IF([2]Entry!$M$200="","",[2]Entry!$M$200)</f>
        <v/>
      </c>
      <c r="O197" t="str">
        <f>IF([2]Entry!$N$200="","",[2]Entry!$N$200)</f>
        <v/>
      </c>
      <c r="P197" t="str">
        <f>IF([2]Entry!$R$200="","",[2]Entry!$R$200)</f>
        <v/>
      </c>
    </row>
    <row r="198" spans="1:16" x14ac:dyDescent="0.2">
      <c r="A198" t="str">
        <f>IF([1]Accounts!$D$199="","",[1]Accounts!$A$199)</f>
        <v/>
      </c>
      <c r="B198" t="str">
        <f>IF([1]Accounts!$D$199="","",[1]Accounts!$B$199)</f>
        <v/>
      </c>
      <c r="C198" t="str">
        <f>IF([1]Accounts!$D$199="","",[1]Accounts!$C$199)</f>
        <v/>
      </c>
      <c r="D198" t="str">
        <f>IF([1]Accounts!$D$199="","",[1]Accounts!$D$199)</f>
        <v/>
      </c>
      <c r="E198" t="str">
        <f>IF([1]Accounts!$D$199="","",[1]Accounts!$J$199)</f>
        <v/>
      </c>
      <c r="F198" t="str">
        <f>IF([1]Accounts!$D$199="","",[1]Accounts!$K$199)</f>
        <v/>
      </c>
      <c r="J198" t="str">
        <f>IF([2]Entry!$C$201="","",[2]Entry!$C$201)</f>
        <v/>
      </c>
      <c r="K198" t="str">
        <f>IF([2]Entry!$D$201="","",[2]Entry!$D$201)</f>
        <v/>
      </c>
      <c r="L198" t="str">
        <f>IF([2]Entry!$E$201="","",[2]Entry!$E$201)</f>
        <v/>
      </c>
      <c r="M198" t="str">
        <f>IF([2]Entry!$G$201="","",[2]Entry!$G$201)</f>
        <v/>
      </c>
      <c r="N198" t="str">
        <f>IF([2]Entry!$M$201="","",[2]Entry!$M$201)</f>
        <v/>
      </c>
      <c r="O198" t="str">
        <f>IF([2]Entry!$N$201="","",[2]Entry!$N$201)</f>
        <v/>
      </c>
      <c r="P198" t="str">
        <f>IF([2]Entry!$R$201="","",[2]Entry!$R$201)</f>
        <v/>
      </c>
    </row>
    <row r="199" spans="1:16" x14ac:dyDescent="0.2">
      <c r="A199" t="str">
        <f>IF([1]Accounts!$D$200="","",[1]Accounts!$A$200)</f>
        <v/>
      </c>
      <c r="B199" t="str">
        <f>IF([1]Accounts!$D$200="","",[1]Accounts!$B$200)</f>
        <v/>
      </c>
      <c r="C199" t="str">
        <f>IF([1]Accounts!$D$200="","",[1]Accounts!$C$200)</f>
        <v/>
      </c>
      <c r="D199" t="str">
        <f>IF([1]Accounts!$D$200="","",[1]Accounts!$D$200)</f>
        <v/>
      </c>
      <c r="E199" t="str">
        <f>IF([1]Accounts!$D$200="","",[1]Accounts!$J$200)</f>
        <v/>
      </c>
      <c r="F199" t="str">
        <f>IF([1]Accounts!$D$200="","",[1]Accounts!$K$200)</f>
        <v/>
      </c>
      <c r="J199" t="str">
        <f>IF([2]Entry!$C$202="","",[2]Entry!$C$202)</f>
        <v/>
      </c>
      <c r="K199" t="str">
        <f>IF([2]Entry!$D$202="","",[2]Entry!$D$202)</f>
        <v/>
      </c>
      <c r="L199" t="str">
        <f>IF([2]Entry!$E$202="","",[2]Entry!$E$202)</f>
        <v/>
      </c>
      <c r="M199" t="str">
        <f>IF([2]Entry!$G$202="","",[2]Entry!$G$202)</f>
        <v/>
      </c>
      <c r="N199" t="str">
        <f>IF([2]Entry!$M$202="","",[2]Entry!$M$202)</f>
        <v/>
      </c>
      <c r="O199" t="str">
        <f>IF([2]Entry!$N$202="","",[2]Entry!$N$202)</f>
        <v/>
      </c>
      <c r="P199" t="str">
        <f>IF([2]Entry!$R$202="","",[2]Entry!$R$202)</f>
        <v/>
      </c>
    </row>
    <row r="200" spans="1:16" x14ac:dyDescent="0.2">
      <c r="A200" t="str">
        <f>IF([1]Accounts!$D$201="","",[1]Accounts!$A$201)</f>
        <v/>
      </c>
      <c r="B200" t="str">
        <f>IF([1]Accounts!$D$201="","",[1]Accounts!$B$201)</f>
        <v/>
      </c>
      <c r="C200" t="str">
        <f>IF([1]Accounts!$D$201="","",[1]Accounts!$C$201)</f>
        <v/>
      </c>
      <c r="D200" t="str">
        <f>IF([1]Accounts!$D$201="","",[1]Accounts!$D$201)</f>
        <v/>
      </c>
      <c r="E200" t="str">
        <f>IF([1]Accounts!$D$201="","",[1]Accounts!$J$201)</f>
        <v/>
      </c>
      <c r="F200" t="str">
        <f>IF([1]Accounts!$D$201="","",[1]Accounts!$K$201)</f>
        <v/>
      </c>
      <c r="J200" t="str">
        <f>IF([2]Entry!$C$203="","",[2]Entry!$C$203)</f>
        <v/>
      </c>
      <c r="K200" t="str">
        <f>IF([2]Entry!$D$203="","",[2]Entry!$D$203)</f>
        <v/>
      </c>
      <c r="L200" t="str">
        <f>IF([2]Entry!$E$203="","",[2]Entry!$E$203)</f>
        <v/>
      </c>
      <c r="M200" t="str">
        <f>IF([2]Entry!$G$203="","",[2]Entry!$G$203)</f>
        <v/>
      </c>
      <c r="N200" t="str">
        <f>IF([2]Entry!$M$203="","",[2]Entry!$M$203)</f>
        <v/>
      </c>
      <c r="O200" t="str">
        <f>IF([2]Entry!$N$203="","",[2]Entry!$N$203)</f>
        <v/>
      </c>
      <c r="P200" t="str">
        <f>IF([2]Entry!$R$203="","",[2]Entry!$R$203)</f>
        <v/>
      </c>
    </row>
    <row r="201" spans="1:16" x14ac:dyDescent="0.2">
      <c r="A201" t="str">
        <f>IF([1]Accounts!$D$202="","",[1]Accounts!$A$202)</f>
        <v/>
      </c>
      <c r="B201" t="str">
        <f>IF([1]Accounts!$D$202="","",[1]Accounts!$B$202)</f>
        <v/>
      </c>
      <c r="C201" t="str">
        <f>IF([1]Accounts!$D$202="","",[1]Accounts!$C$202)</f>
        <v/>
      </c>
      <c r="D201" t="str">
        <f>IF([1]Accounts!$D$202="","",[1]Accounts!$D$202)</f>
        <v/>
      </c>
      <c r="E201" t="str">
        <f>IF([1]Accounts!$D$202="","",[1]Accounts!$J$202)</f>
        <v/>
      </c>
      <c r="F201" t="str">
        <f>IF([1]Accounts!$D$202="","",[1]Accounts!$K$202)</f>
        <v/>
      </c>
      <c r="J201" t="str">
        <f>IF([2]Entry!$C$204="","",[2]Entry!$C$204)</f>
        <v/>
      </c>
      <c r="K201" t="str">
        <f>IF([2]Entry!$D$204="","",[2]Entry!$D$204)</f>
        <v/>
      </c>
      <c r="L201" t="str">
        <f>IF([2]Entry!$E$204="","",[2]Entry!$E$204)</f>
        <v/>
      </c>
      <c r="M201" t="str">
        <f>IF([2]Entry!$G$204="","",[2]Entry!$G$204)</f>
        <v/>
      </c>
      <c r="N201" t="str">
        <f>IF([2]Entry!$M$204="","",[2]Entry!$M$204)</f>
        <v/>
      </c>
      <c r="O201" t="str">
        <f>IF([2]Entry!$N$204="","",[2]Entry!$N$204)</f>
        <v/>
      </c>
      <c r="P201" t="str">
        <f>IF([2]Entry!$R$204="","",[2]Entry!$R$204)</f>
        <v/>
      </c>
    </row>
    <row r="202" spans="1:16" x14ac:dyDescent="0.2">
      <c r="A202" t="str">
        <f>IF([1]Accounts!$D$203="","",[1]Accounts!$A$203)</f>
        <v/>
      </c>
      <c r="B202" t="str">
        <f>IF([1]Accounts!$D$203="","",[1]Accounts!$B$203)</f>
        <v/>
      </c>
      <c r="C202" t="str">
        <f>IF([1]Accounts!$D$203="","",[1]Accounts!$C$203)</f>
        <v/>
      </c>
      <c r="D202" t="str">
        <f>IF([1]Accounts!$D$203="","",[1]Accounts!$D$203)</f>
        <v/>
      </c>
      <c r="E202" t="str">
        <f>IF([1]Accounts!$D$203="","",[1]Accounts!$J$203)</f>
        <v/>
      </c>
      <c r="F202" t="str">
        <f>IF([1]Accounts!$D$203="","",[1]Accounts!$K$203)</f>
        <v/>
      </c>
      <c r="J202" t="str">
        <f>IF([2]Entry!$C$205="","",[2]Entry!$C$205)</f>
        <v/>
      </c>
      <c r="K202" t="str">
        <f>IF([2]Entry!$D$205="","",[2]Entry!$D$205)</f>
        <v/>
      </c>
      <c r="L202" t="str">
        <f>IF([2]Entry!$E$205="","",[2]Entry!$E$205)</f>
        <v/>
      </c>
      <c r="M202" t="str">
        <f>IF([2]Entry!$G$205="","",[2]Entry!$G$205)</f>
        <v/>
      </c>
      <c r="N202" t="str">
        <f>IF([2]Entry!$M$205="","",[2]Entry!$M$205)</f>
        <v/>
      </c>
      <c r="O202" t="str">
        <f>IF([2]Entry!$N$205="","",[2]Entry!$N$205)</f>
        <v/>
      </c>
      <c r="P202" t="str">
        <f>IF([2]Entry!$R$205="","",[2]Entry!$R$205)</f>
        <v/>
      </c>
    </row>
    <row r="203" spans="1:16" x14ac:dyDescent="0.2">
      <c r="A203" t="str">
        <f>IF([1]Accounts!$D$204="","",[1]Accounts!$A$204)</f>
        <v/>
      </c>
      <c r="B203" t="str">
        <f>IF([1]Accounts!$D$204="","",[1]Accounts!$B$204)</f>
        <v/>
      </c>
      <c r="C203" t="str">
        <f>IF([1]Accounts!$D$204="","",[1]Accounts!$C$204)</f>
        <v/>
      </c>
      <c r="D203" t="str">
        <f>IF([1]Accounts!$D$204="","",[1]Accounts!$D$204)</f>
        <v/>
      </c>
      <c r="E203" t="str">
        <f>IF([1]Accounts!$D$204="","",[1]Accounts!$J$204)</f>
        <v/>
      </c>
      <c r="F203" t="str">
        <f>IF([1]Accounts!$D$204="","",[1]Accounts!$K$204)</f>
        <v/>
      </c>
      <c r="J203" t="str">
        <f>IF([2]Entry!$C$206="","",[2]Entry!$C$206)</f>
        <v/>
      </c>
      <c r="K203" t="str">
        <f>IF([2]Entry!$D$206="","",[2]Entry!$D$206)</f>
        <v/>
      </c>
      <c r="L203" t="str">
        <f>IF([2]Entry!$E$206="","",[2]Entry!$E$206)</f>
        <v/>
      </c>
      <c r="M203" t="str">
        <f>IF([2]Entry!$G$206="","",[2]Entry!$G$206)</f>
        <v/>
      </c>
      <c r="N203" t="str">
        <f>IF([2]Entry!$M$206="","",[2]Entry!$M$206)</f>
        <v/>
      </c>
      <c r="O203" t="str">
        <f>IF([2]Entry!$N$206="","",[2]Entry!$N$206)</f>
        <v/>
      </c>
      <c r="P203" t="str">
        <f>IF([2]Entry!$R$206="","",[2]Entry!$R$206)</f>
        <v/>
      </c>
    </row>
    <row r="204" spans="1:16" x14ac:dyDescent="0.2">
      <c r="A204" t="str">
        <f>IF([1]Accounts!$D$205="","",[1]Accounts!$A$205)</f>
        <v/>
      </c>
      <c r="B204" t="str">
        <f>IF([1]Accounts!$D$205="","",[1]Accounts!$B$205)</f>
        <v/>
      </c>
      <c r="C204" t="str">
        <f>IF([1]Accounts!$D$205="","",[1]Accounts!$C$205)</f>
        <v/>
      </c>
      <c r="D204" t="str">
        <f>IF([1]Accounts!$D$205="","",[1]Accounts!$D$205)</f>
        <v/>
      </c>
      <c r="E204" t="str">
        <f>IF([1]Accounts!$D$205="","",[1]Accounts!$J$205)</f>
        <v/>
      </c>
      <c r="F204" t="str">
        <f>IF([1]Accounts!$D$205="","",[1]Accounts!$K$205)</f>
        <v/>
      </c>
      <c r="J204" t="str">
        <f>IF([2]Entry!$C$207="","",[2]Entry!$C$207)</f>
        <v/>
      </c>
      <c r="K204" t="str">
        <f>IF([2]Entry!$D$207="","",[2]Entry!$D$207)</f>
        <v/>
      </c>
      <c r="L204" t="str">
        <f>IF([2]Entry!$E$207="","",[2]Entry!$E$207)</f>
        <v/>
      </c>
      <c r="M204" t="str">
        <f>IF([2]Entry!$G$207="","",[2]Entry!$G$207)</f>
        <v/>
      </c>
      <c r="N204" t="str">
        <f>IF([2]Entry!$M$207="","",[2]Entry!$M$207)</f>
        <v/>
      </c>
      <c r="O204" t="str">
        <f>IF([2]Entry!$N$207="","",[2]Entry!$N$207)</f>
        <v/>
      </c>
      <c r="P204" t="str">
        <f>IF([2]Entry!$R$207="","",[2]Entry!$R$207)</f>
        <v/>
      </c>
    </row>
    <row r="205" spans="1:16" x14ac:dyDescent="0.2">
      <c r="A205" t="str">
        <f>IF([1]Accounts!$D$206="","",[1]Accounts!$A$206)</f>
        <v/>
      </c>
      <c r="B205" t="str">
        <f>IF([1]Accounts!$D$206="","",[1]Accounts!$B$206)</f>
        <v/>
      </c>
      <c r="C205" t="str">
        <f>IF([1]Accounts!$D$206="","",[1]Accounts!$C$206)</f>
        <v/>
      </c>
      <c r="D205" t="str">
        <f>IF([1]Accounts!$D$206="","",[1]Accounts!$D$206)</f>
        <v/>
      </c>
      <c r="E205" t="str">
        <f>IF([1]Accounts!$D$206="","",[1]Accounts!$J$206)</f>
        <v/>
      </c>
      <c r="F205" t="str">
        <f>IF([1]Accounts!$D$206="","",[1]Accounts!$K$206)</f>
        <v/>
      </c>
      <c r="J205" t="str">
        <f>IF([2]Entry!$C$208="","",[2]Entry!$C$208)</f>
        <v/>
      </c>
      <c r="K205" t="str">
        <f>IF([2]Entry!$D$208="","",[2]Entry!$D$208)</f>
        <v/>
      </c>
      <c r="L205" t="str">
        <f>IF([2]Entry!$E$208="","",[2]Entry!$E$208)</f>
        <v/>
      </c>
      <c r="M205" t="str">
        <f>IF([2]Entry!$G$208="","",[2]Entry!$G$208)</f>
        <v/>
      </c>
      <c r="N205" t="str">
        <f>IF([2]Entry!$M$208="","",[2]Entry!$M$208)</f>
        <v/>
      </c>
      <c r="O205" t="str">
        <f>IF([2]Entry!$N$208="","",[2]Entry!$N$208)</f>
        <v/>
      </c>
      <c r="P205" t="str">
        <f>IF([2]Entry!$R$208="","",[2]Entry!$R$208)</f>
        <v/>
      </c>
    </row>
    <row r="206" spans="1:16" x14ac:dyDescent="0.2">
      <c r="A206" t="str">
        <f>IF([1]Accounts!$D$207="","",[1]Accounts!$A$207)</f>
        <v>SL001</v>
      </c>
      <c r="B206" t="str">
        <f>IF([1]Accounts!$D$207="","",[1]Accounts!$B$207)</f>
        <v>فروشنده</v>
      </c>
      <c r="C206">
        <f>IF([1]Accounts!$D$207="","",[1]Accounts!$C$207)</f>
        <v>0</v>
      </c>
      <c r="D206" t="str">
        <f>IF([1]Accounts!$D$207="","",[1]Accounts!$D$207)</f>
        <v>قم-سید حسین حسینی</v>
      </c>
      <c r="E206" t="str">
        <f>IF([1]Accounts!$D$207="","",[1]Accounts!$J$207)</f>
        <v>کلیدی</v>
      </c>
      <c r="F206" t="str">
        <f>IF([1]Accounts!$D$207="","",[1]Accounts!$K$207)</f>
        <v>پایش کامل</v>
      </c>
      <c r="J206" t="str">
        <f>IF([2]Entry!$C$209="","",[2]Entry!$C$209)</f>
        <v/>
      </c>
      <c r="K206" t="str">
        <f>IF([2]Entry!$D$209="","",[2]Entry!$D$209)</f>
        <v/>
      </c>
      <c r="L206" t="str">
        <f>IF([2]Entry!$E$209="","",[2]Entry!$E$209)</f>
        <v/>
      </c>
      <c r="M206" t="str">
        <f>IF([2]Entry!$G$209="","",[2]Entry!$G$209)</f>
        <v/>
      </c>
      <c r="N206" t="str">
        <f>IF([2]Entry!$M$209="","",[2]Entry!$M$209)</f>
        <v/>
      </c>
      <c r="O206" t="str">
        <f>IF([2]Entry!$N$209="","",[2]Entry!$N$209)</f>
        <v/>
      </c>
      <c r="P206" t="str">
        <f>IF([2]Entry!$R$209="","",[2]Entry!$R$209)</f>
        <v/>
      </c>
    </row>
    <row r="207" spans="1:16" x14ac:dyDescent="0.2">
      <c r="A207" t="str">
        <f>IF([1]Accounts!$D$208="","",[1]Accounts!$A$208)</f>
        <v>SL002</v>
      </c>
      <c r="B207" t="str">
        <f>IF([1]Accounts!$D$208="","",[1]Accounts!$B$208)</f>
        <v>فروشنده</v>
      </c>
      <c r="C207">
        <f>IF([1]Accounts!$D$208="","",[1]Accounts!$C$208)</f>
        <v>0</v>
      </c>
      <c r="D207" t="str">
        <f>IF([1]Accounts!$D$208="","",[1]Accounts!$D$208)</f>
        <v>مشهد-محمد توکلی</v>
      </c>
      <c r="E207" t="str">
        <f>IF([1]Accounts!$D$208="","",[1]Accounts!$J$208)</f>
        <v>کلیدی</v>
      </c>
      <c r="F207" t="str">
        <f>IF([1]Accounts!$D$208="","",[1]Accounts!$K$208)</f>
        <v>پایش کامل</v>
      </c>
      <c r="J207" t="str">
        <f>IF([2]Entry!$C$210="","",[2]Entry!$C$210)</f>
        <v/>
      </c>
      <c r="K207" t="str">
        <f>IF([2]Entry!$D$210="","",[2]Entry!$D$210)</f>
        <v/>
      </c>
      <c r="L207" t="str">
        <f>IF([2]Entry!$E$210="","",[2]Entry!$E$210)</f>
        <v/>
      </c>
      <c r="M207" t="str">
        <f>IF([2]Entry!$G$210="","",[2]Entry!$G$210)</f>
        <v/>
      </c>
      <c r="N207" t="str">
        <f>IF([2]Entry!$M$210="","",[2]Entry!$M$210)</f>
        <v/>
      </c>
      <c r="O207" t="str">
        <f>IF([2]Entry!$N$210="","",[2]Entry!$N$210)</f>
        <v/>
      </c>
      <c r="P207" t="str">
        <f>IF([2]Entry!$R$210="","",[2]Entry!$R$210)</f>
        <v/>
      </c>
    </row>
    <row r="208" spans="1:16" x14ac:dyDescent="0.2">
      <c r="A208" t="str">
        <f>IF([1]Accounts!$D$209="","",[1]Accounts!$A$209)</f>
        <v>SL003</v>
      </c>
      <c r="B208" t="str">
        <f>IF([1]Accounts!$D$209="","",[1]Accounts!$B$209)</f>
        <v>فروشنده</v>
      </c>
      <c r="C208">
        <f>IF([1]Accounts!$D$209="","",[1]Accounts!$C$209)</f>
        <v>0</v>
      </c>
      <c r="D208" t="str">
        <f>IF([1]Accounts!$D$209="","",[1]Accounts!$D$209)</f>
        <v>اراک-پوریا خوشنمکیان</v>
      </c>
      <c r="E208" t="str">
        <f>IF([1]Accounts!$D$209="","",[1]Accounts!$J$209)</f>
        <v>عادی</v>
      </c>
      <c r="F208" t="str">
        <f>IF([1]Accounts!$D$209="","",[1]Accounts!$K$209)</f>
        <v>نمونه‌ای</v>
      </c>
      <c r="J208" t="str">
        <f>IF([2]Entry!$C$211="","",[2]Entry!$C$211)</f>
        <v/>
      </c>
      <c r="K208" t="str">
        <f>IF([2]Entry!$D$211="","",[2]Entry!$D$211)</f>
        <v/>
      </c>
      <c r="L208" t="str">
        <f>IF([2]Entry!$E$211="","",[2]Entry!$E$211)</f>
        <v/>
      </c>
      <c r="M208" t="str">
        <f>IF([2]Entry!$G$211="","",[2]Entry!$G$211)</f>
        <v/>
      </c>
      <c r="N208" t="str">
        <f>IF([2]Entry!$M$211="","",[2]Entry!$M$211)</f>
        <v/>
      </c>
      <c r="O208" t="str">
        <f>IF([2]Entry!$N$211="","",[2]Entry!$N$211)</f>
        <v/>
      </c>
      <c r="P208" t="str">
        <f>IF([2]Entry!$R$211="","",[2]Entry!$R$211)</f>
        <v/>
      </c>
    </row>
    <row r="209" spans="1:16" x14ac:dyDescent="0.2">
      <c r="A209" t="str">
        <f>IF([1]Accounts!$D$210="","",[1]Accounts!$A$210)</f>
        <v>SL004</v>
      </c>
      <c r="B209" t="str">
        <f>IF([1]Accounts!$D$210="","",[1]Accounts!$B$210)</f>
        <v>فروشنده</v>
      </c>
      <c r="C209">
        <f>IF([1]Accounts!$D$210="","",[1]Accounts!$C$210)</f>
        <v>0</v>
      </c>
      <c r="D209" t="str">
        <f>IF([1]Accounts!$D$210="","",[1]Accounts!$D$210)</f>
        <v>نورزاده-تبریز</v>
      </c>
      <c r="E209" t="str">
        <f>IF([1]Accounts!$D$210="","",[1]Accounts!$J$210)</f>
        <v>موقت</v>
      </c>
      <c r="F209" t="str">
        <f>IF([1]Accounts!$D$210="","",[1]Accounts!$K$210)</f>
        <v>نمونه‌ای</v>
      </c>
      <c r="J209" t="str">
        <f>IF([2]Entry!$C$212="","",[2]Entry!$C$212)</f>
        <v/>
      </c>
      <c r="K209" t="str">
        <f>IF([2]Entry!$D$212="","",[2]Entry!$D$212)</f>
        <v/>
      </c>
      <c r="L209" t="str">
        <f>IF([2]Entry!$E$212="","",[2]Entry!$E$212)</f>
        <v/>
      </c>
      <c r="M209" t="str">
        <f>IF([2]Entry!$G$212="","",[2]Entry!$G$212)</f>
        <v/>
      </c>
      <c r="N209" t="str">
        <f>IF([2]Entry!$M$212="","",[2]Entry!$M$212)</f>
        <v/>
      </c>
      <c r="O209" t="str">
        <f>IF([2]Entry!$N$212="","",[2]Entry!$N$212)</f>
        <v/>
      </c>
      <c r="P209" t="str">
        <f>IF([2]Entry!$R$212="","",[2]Entry!$R$212)</f>
        <v/>
      </c>
    </row>
    <row r="210" spans="1:16" x14ac:dyDescent="0.2">
      <c r="A210" t="str">
        <f>IF([1]Accounts!$D$211="","",[1]Accounts!$A$211)</f>
        <v>SL005</v>
      </c>
      <c r="B210" t="str">
        <f>IF([1]Accounts!$D$211="","",[1]Accounts!$B$211)</f>
        <v>فروشنده</v>
      </c>
      <c r="C210">
        <f>IF([1]Accounts!$D$211="","",[1]Accounts!$C$211)</f>
        <v>0</v>
      </c>
      <c r="D210" t="str">
        <f>IF([1]Accounts!$D$211="","",[1]Accounts!$D$211)</f>
        <v>زنجان-خانی</v>
      </c>
      <c r="E210">
        <f>IF([1]Accounts!$D$211="","",[1]Accounts!$J$211)</f>
        <v>0</v>
      </c>
      <c r="F210">
        <f>IF([1]Accounts!$D$211="","",[1]Accounts!$K$211)</f>
        <v>0</v>
      </c>
      <c r="J210" t="str">
        <f>IF([2]Entry!$C$213="","",[2]Entry!$C$213)</f>
        <v/>
      </c>
      <c r="K210" t="str">
        <f>IF([2]Entry!$D$213="","",[2]Entry!$D$213)</f>
        <v/>
      </c>
      <c r="L210" t="str">
        <f>IF([2]Entry!$E$213="","",[2]Entry!$E$213)</f>
        <v/>
      </c>
      <c r="M210" t="str">
        <f>IF([2]Entry!$G$213="","",[2]Entry!$G$213)</f>
        <v/>
      </c>
      <c r="N210" t="str">
        <f>IF([2]Entry!$M$213="","",[2]Entry!$M$213)</f>
        <v/>
      </c>
      <c r="O210" t="str">
        <f>IF([2]Entry!$N$213="","",[2]Entry!$N$213)</f>
        <v/>
      </c>
      <c r="P210" t="str">
        <f>IF([2]Entry!$R$213="","",[2]Entry!$R$213)</f>
        <v/>
      </c>
    </row>
    <row r="211" spans="1:16" x14ac:dyDescent="0.2">
      <c r="A211" t="str">
        <f>IF([1]Accounts!$D$212="","",[1]Accounts!$A$212)</f>
        <v>SL006</v>
      </c>
      <c r="B211" t="str">
        <f>IF([1]Accounts!$D$212="","",[1]Accounts!$B$212)</f>
        <v>فروشنده</v>
      </c>
      <c r="C211">
        <f>IF([1]Accounts!$D$212="","",[1]Accounts!$C$212)</f>
        <v>0</v>
      </c>
      <c r="D211" t="str">
        <f>IF([1]Accounts!$D$212="","",[1]Accounts!$D$212)</f>
        <v>بوکان</v>
      </c>
      <c r="E211">
        <f>IF([1]Accounts!$D$212="","",[1]Accounts!$J$212)</f>
        <v>0</v>
      </c>
      <c r="F211">
        <f>IF([1]Accounts!$D$212="","",[1]Accounts!$K$212)</f>
        <v>0</v>
      </c>
      <c r="J211" t="str">
        <f>IF([2]Entry!$C$214="","",[2]Entry!$C$214)</f>
        <v/>
      </c>
      <c r="K211" t="str">
        <f>IF([2]Entry!$D$214="","",[2]Entry!$D$214)</f>
        <v/>
      </c>
      <c r="L211" t="str">
        <f>IF([2]Entry!$E$214="","",[2]Entry!$E$214)</f>
        <v/>
      </c>
      <c r="M211" t="str">
        <f>IF([2]Entry!$G$214="","",[2]Entry!$G$214)</f>
        <v/>
      </c>
      <c r="N211" t="str">
        <f>IF([2]Entry!$M$214="","",[2]Entry!$M$214)</f>
        <v/>
      </c>
      <c r="O211" t="str">
        <f>IF([2]Entry!$N$214="","",[2]Entry!$N$214)</f>
        <v/>
      </c>
      <c r="P211" t="str">
        <f>IF([2]Entry!$R$214="","",[2]Entry!$R$214)</f>
        <v/>
      </c>
    </row>
    <row r="212" spans="1:16" x14ac:dyDescent="0.2">
      <c r="A212" t="str">
        <f>IF([1]Accounts!$D$213="","",[1]Accounts!$A$213)</f>
        <v/>
      </c>
      <c r="B212" t="str">
        <f>IF([1]Accounts!$D$213="","",[1]Accounts!$B$213)</f>
        <v/>
      </c>
      <c r="C212" t="str">
        <f>IF([1]Accounts!$D$213="","",[1]Accounts!$C$213)</f>
        <v/>
      </c>
      <c r="D212" t="str">
        <f>IF([1]Accounts!$D$213="","",[1]Accounts!$D$213)</f>
        <v/>
      </c>
      <c r="E212" t="str">
        <f>IF([1]Accounts!$D$213="","",[1]Accounts!$J$213)</f>
        <v/>
      </c>
      <c r="F212" t="str">
        <f>IF([1]Accounts!$D$213="","",[1]Accounts!$K$213)</f>
        <v/>
      </c>
      <c r="J212" t="str">
        <f>IF([2]Entry!$C$215="","",[2]Entry!$C$215)</f>
        <v/>
      </c>
      <c r="K212" t="str">
        <f>IF([2]Entry!$D$215="","",[2]Entry!$D$215)</f>
        <v/>
      </c>
      <c r="L212" t="str">
        <f>IF([2]Entry!$E$215="","",[2]Entry!$E$215)</f>
        <v/>
      </c>
      <c r="M212" t="str">
        <f>IF([2]Entry!$G$215="","",[2]Entry!$G$215)</f>
        <v/>
      </c>
      <c r="N212" t="str">
        <f>IF([2]Entry!$M$215="","",[2]Entry!$M$215)</f>
        <v/>
      </c>
      <c r="O212" t="str">
        <f>IF([2]Entry!$N$215="","",[2]Entry!$N$215)</f>
        <v/>
      </c>
      <c r="P212" t="str">
        <f>IF([2]Entry!$R$215="","",[2]Entry!$R$215)</f>
        <v/>
      </c>
    </row>
    <row r="213" spans="1:16" x14ac:dyDescent="0.2">
      <c r="A213" t="str">
        <f>IF([1]Accounts!$D$214="","",[1]Accounts!$A$214)</f>
        <v/>
      </c>
      <c r="B213" t="str">
        <f>IF([1]Accounts!$D$214="","",[1]Accounts!$B$214)</f>
        <v/>
      </c>
      <c r="C213" t="str">
        <f>IF([1]Accounts!$D$214="","",[1]Accounts!$C$214)</f>
        <v/>
      </c>
      <c r="D213" t="str">
        <f>IF([1]Accounts!$D$214="","",[1]Accounts!$D$214)</f>
        <v/>
      </c>
      <c r="E213" t="str">
        <f>IF([1]Accounts!$D$214="","",[1]Accounts!$J$214)</f>
        <v/>
      </c>
      <c r="F213" t="str">
        <f>IF([1]Accounts!$D$214="","",[1]Accounts!$K$214)</f>
        <v/>
      </c>
      <c r="J213" t="str">
        <f>IF([2]Entry!$C$216="","",[2]Entry!$C$216)</f>
        <v/>
      </c>
      <c r="K213" t="str">
        <f>IF([2]Entry!$D$216="","",[2]Entry!$D$216)</f>
        <v/>
      </c>
      <c r="L213" t="str">
        <f>IF([2]Entry!$E$216="","",[2]Entry!$E$216)</f>
        <v/>
      </c>
      <c r="M213" t="str">
        <f>IF([2]Entry!$G$216="","",[2]Entry!$G$216)</f>
        <v/>
      </c>
      <c r="N213" t="str">
        <f>IF([2]Entry!$M$216="","",[2]Entry!$M$216)</f>
        <v/>
      </c>
      <c r="O213" t="str">
        <f>IF([2]Entry!$N$216="","",[2]Entry!$N$216)</f>
        <v/>
      </c>
      <c r="P213" t="str">
        <f>IF([2]Entry!$R$216="","",[2]Entry!$R$216)</f>
        <v/>
      </c>
    </row>
    <row r="214" spans="1:16" x14ac:dyDescent="0.2">
      <c r="A214" t="str">
        <f>IF([1]Accounts!$D$215="","",[1]Accounts!$A$215)</f>
        <v/>
      </c>
      <c r="B214" t="str">
        <f>IF([1]Accounts!$D$215="","",[1]Accounts!$B$215)</f>
        <v/>
      </c>
      <c r="C214" t="str">
        <f>IF([1]Accounts!$D$215="","",[1]Accounts!$C$215)</f>
        <v/>
      </c>
      <c r="D214" t="str">
        <f>IF([1]Accounts!$D$215="","",[1]Accounts!$D$215)</f>
        <v/>
      </c>
      <c r="E214" t="str">
        <f>IF([1]Accounts!$D$215="","",[1]Accounts!$J$215)</f>
        <v/>
      </c>
      <c r="F214" t="str">
        <f>IF([1]Accounts!$D$215="","",[1]Accounts!$K$215)</f>
        <v/>
      </c>
      <c r="J214" t="str">
        <f>IF([2]Entry!$C$217="","",[2]Entry!$C$217)</f>
        <v/>
      </c>
      <c r="K214" t="str">
        <f>IF([2]Entry!$D$217="","",[2]Entry!$D$217)</f>
        <v/>
      </c>
      <c r="L214" t="str">
        <f>IF([2]Entry!$E$217="","",[2]Entry!$E$217)</f>
        <v/>
      </c>
      <c r="M214" t="str">
        <f>IF([2]Entry!$G$217="","",[2]Entry!$G$217)</f>
        <v/>
      </c>
      <c r="N214" t="str">
        <f>IF([2]Entry!$M$217="","",[2]Entry!$M$217)</f>
        <v/>
      </c>
      <c r="O214" t="str">
        <f>IF([2]Entry!$N$217="","",[2]Entry!$N$217)</f>
        <v/>
      </c>
      <c r="P214" t="str">
        <f>IF([2]Entry!$R$217="","",[2]Entry!$R$217)</f>
        <v/>
      </c>
    </row>
    <row r="215" spans="1:16" x14ac:dyDescent="0.2">
      <c r="A215" t="str">
        <f>IF([1]Accounts!$D$216="","",[1]Accounts!$A$216)</f>
        <v/>
      </c>
      <c r="B215" t="str">
        <f>IF([1]Accounts!$D$216="","",[1]Accounts!$B$216)</f>
        <v/>
      </c>
      <c r="C215" t="str">
        <f>IF([1]Accounts!$D$216="","",[1]Accounts!$C$216)</f>
        <v/>
      </c>
      <c r="D215" t="str">
        <f>IF([1]Accounts!$D$216="","",[1]Accounts!$D$216)</f>
        <v/>
      </c>
      <c r="E215" t="str">
        <f>IF([1]Accounts!$D$216="","",[1]Accounts!$J$216)</f>
        <v/>
      </c>
      <c r="F215" t="str">
        <f>IF([1]Accounts!$D$216="","",[1]Accounts!$K$216)</f>
        <v/>
      </c>
      <c r="J215" t="str">
        <f>IF([2]Entry!$C$218="","",[2]Entry!$C$218)</f>
        <v/>
      </c>
      <c r="K215" t="str">
        <f>IF([2]Entry!$D$218="","",[2]Entry!$D$218)</f>
        <v/>
      </c>
      <c r="L215" t="str">
        <f>IF([2]Entry!$E$218="","",[2]Entry!$E$218)</f>
        <v/>
      </c>
      <c r="M215" t="str">
        <f>IF([2]Entry!$G$218="","",[2]Entry!$G$218)</f>
        <v/>
      </c>
      <c r="N215" t="str">
        <f>IF([2]Entry!$M$218="","",[2]Entry!$M$218)</f>
        <v/>
      </c>
      <c r="O215" t="str">
        <f>IF([2]Entry!$N$218="","",[2]Entry!$N$218)</f>
        <v/>
      </c>
      <c r="P215" t="str">
        <f>IF([2]Entry!$R$218="","",[2]Entry!$R$218)</f>
        <v/>
      </c>
    </row>
    <row r="216" spans="1:16" x14ac:dyDescent="0.2">
      <c r="A216" t="str">
        <f>IF([1]Accounts!$D$217="","",[1]Accounts!$A$217)</f>
        <v/>
      </c>
      <c r="B216" t="str">
        <f>IF([1]Accounts!$D$217="","",[1]Accounts!$B$217)</f>
        <v/>
      </c>
      <c r="C216" t="str">
        <f>IF([1]Accounts!$D$217="","",[1]Accounts!$C$217)</f>
        <v/>
      </c>
      <c r="D216" t="str">
        <f>IF([1]Accounts!$D$217="","",[1]Accounts!$D$217)</f>
        <v/>
      </c>
      <c r="E216" t="str">
        <f>IF([1]Accounts!$D$217="","",[1]Accounts!$J$217)</f>
        <v/>
      </c>
      <c r="F216" t="str">
        <f>IF([1]Accounts!$D$217="","",[1]Accounts!$K$217)</f>
        <v/>
      </c>
      <c r="J216" t="str">
        <f>IF([2]Entry!$C$219="","",[2]Entry!$C$219)</f>
        <v/>
      </c>
      <c r="K216" t="str">
        <f>IF([2]Entry!$D$219="","",[2]Entry!$D$219)</f>
        <v/>
      </c>
      <c r="L216" t="str">
        <f>IF([2]Entry!$E$219="","",[2]Entry!$E$219)</f>
        <v/>
      </c>
      <c r="M216" t="str">
        <f>IF([2]Entry!$G$219="","",[2]Entry!$G$219)</f>
        <v/>
      </c>
      <c r="N216" t="str">
        <f>IF([2]Entry!$M$219="","",[2]Entry!$M$219)</f>
        <v/>
      </c>
      <c r="O216" t="str">
        <f>IF([2]Entry!$N$219="","",[2]Entry!$N$219)</f>
        <v/>
      </c>
      <c r="P216" t="str">
        <f>IF([2]Entry!$R$219="","",[2]Entry!$R$219)</f>
        <v/>
      </c>
    </row>
    <row r="217" spans="1:16" x14ac:dyDescent="0.2">
      <c r="A217" t="str">
        <f>IF([1]Accounts!$D$218="","",[1]Accounts!$A$218)</f>
        <v/>
      </c>
      <c r="B217" t="str">
        <f>IF([1]Accounts!$D$218="","",[1]Accounts!$B$218)</f>
        <v/>
      </c>
      <c r="C217" t="str">
        <f>IF([1]Accounts!$D$218="","",[1]Accounts!$C$218)</f>
        <v/>
      </c>
      <c r="D217" t="str">
        <f>IF([1]Accounts!$D$218="","",[1]Accounts!$D$218)</f>
        <v/>
      </c>
      <c r="E217" t="str">
        <f>IF([1]Accounts!$D$218="","",[1]Accounts!$J$218)</f>
        <v/>
      </c>
      <c r="F217" t="str">
        <f>IF([1]Accounts!$D$218="","",[1]Accounts!$K$218)</f>
        <v/>
      </c>
      <c r="J217" t="str">
        <f>IF([2]Entry!$C$220="","",[2]Entry!$C$220)</f>
        <v/>
      </c>
      <c r="K217" t="str">
        <f>IF([2]Entry!$D$220="","",[2]Entry!$D$220)</f>
        <v/>
      </c>
      <c r="L217" t="str">
        <f>IF([2]Entry!$E$220="","",[2]Entry!$E$220)</f>
        <v/>
      </c>
      <c r="M217" t="str">
        <f>IF([2]Entry!$G$220="","",[2]Entry!$G$220)</f>
        <v/>
      </c>
      <c r="N217" t="str">
        <f>IF([2]Entry!$M$220="","",[2]Entry!$M$220)</f>
        <v/>
      </c>
      <c r="O217" t="str">
        <f>IF([2]Entry!$N$220="","",[2]Entry!$N$220)</f>
        <v/>
      </c>
      <c r="P217" t="str">
        <f>IF([2]Entry!$R$220="","",[2]Entry!$R$220)</f>
        <v/>
      </c>
    </row>
    <row r="218" spans="1:16" x14ac:dyDescent="0.2">
      <c r="A218" t="str">
        <f>IF([1]Accounts!$D$219="","",[1]Accounts!$A$219)</f>
        <v/>
      </c>
      <c r="B218" t="str">
        <f>IF([1]Accounts!$D$219="","",[1]Accounts!$B$219)</f>
        <v/>
      </c>
      <c r="C218" t="str">
        <f>IF([1]Accounts!$D$219="","",[1]Accounts!$C$219)</f>
        <v/>
      </c>
      <c r="D218" t="str">
        <f>IF([1]Accounts!$D$219="","",[1]Accounts!$D$219)</f>
        <v/>
      </c>
      <c r="E218" t="str">
        <f>IF([1]Accounts!$D$219="","",[1]Accounts!$J$219)</f>
        <v/>
      </c>
      <c r="F218" t="str">
        <f>IF([1]Accounts!$D$219="","",[1]Accounts!$K$219)</f>
        <v/>
      </c>
      <c r="J218" t="str">
        <f>IF([2]Entry!$C$221="","",[2]Entry!$C$221)</f>
        <v/>
      </c>
      <c r="K218" t="str">
        <f>IF([2]Entry!$D$221="","",[2]Entry!$D$221)</f>
        <v/>
      </c>
      <c r="L218" t="str">
        <f>IF([2]Entry!$E$221="","",[2]Entry!$E$221)</f>
        <v/>
      </c>
      <c r="M218" t="str">
        <f>IF([2]Entry!$G$221="","",[2]Entry!$G$221)</f>
        <v/>
      </c>
      <c r="N218" t="str">
        <f>IF([2]Entry!$M$221="","",[2]Entry!$M$221)</f>
        <v/>
      </c>
      <c r="O218" t="str">
        <f>IF([2]Entry!$N$221="","",[2]Entry!$N$221)</f>
        <v/>
      </c>
      <c r="P218" t="str">
        <f>IF([2]Entry!$R$221="","",[2]Entry!$R$221)</f>
        <v/>
      </c>
    </row>
    <row r="219" spans="1:16" x14ac:dyDescent="0.2">
      <c r="A219" t="str">
        <f>IF([1]Accounts!$D$220="","",[1]Accounts!$A$220)</f>
        <v/>
      </c>
      <c r="B219" t="str">
        <f>IF([1]Accounts!$D$220="","",[1]Accounts!$B$220)</f>
        <v/>
      </c>
      <c r="C219" t="str">
        <f>IF([1]Accounts!$D$220="","",[1]Accounts!$C$220)</f>
        <v/>
      </c>
      <c r="D219" t="str">
        <f>IF([1]Accounts!$D$220="","",[1]Accounts!$D$220)</f>
        <v/>
      </c>
      <c r="E219" t="str">
        <f>IF([1]Accounts!$D$220="","",[1]Accounts!$J$220)</f>
        <v/>
      </c>
      <c r="F219" t="str">
        <f>IF([1]Accounts!$D$220="","",[1]Accounts!$K$220)</f>
        <v/>
      </c>
      <c r="J219" t="str">
        <f>IF([2]Entry!$C$222="","",[2]Entry!$C$222)</f>
        <v/>
      </c>
      <c r="K219" t="str">
        <f>IF([2]Entry!$D$222="","",[2]Entry!$D$222)</f>
        <v/>
      </c>
      <c r="L219" t="str">
        <f>IF([2]Entry!$E$222="","",[2]Entry!$E$222)</f>
        <v/>
      </c>
      <c r="M219" t="str">
        <f>IF([2]Entry!$G$222="","",[2]Entry!$G$222)</f>
        <v/>
      </c>
      <c r="N219" t="str">
        <f>IF([2]Entry!$M$222="","",[2]Entry!$M$222)</f>
        <v/>
      </c>
      <c r="O219" t="str">
        <f>IF([2]Entry!$N$222="","",[2]Entry!$N$222)</f>
        <v/>
      </c>
      <c r="P219" t="str">
        <f>IF([2]Entry!$R$222="","",[2]Entry!$R$222)</f>
        <v/>
      </c>
    </row>
    <row r="220" spans="1:16" x14ac:dyDescent="0.2">
      <c r="A220" t="str">
        <f>IF([1]Accounts!$D$221="","",[1]Accounts!$A$221)</f>
        <v/>
      </c>
      <c r="B220" t="str">
        <f>IF([1]Accounts!$D$221="","",[1]Accounts!$B$221)</f>
        <v/>
      </c>
      <c r="C220" t="str">
        <f>IF([1]Accounts!$D$221="","",[1]Accounts!$C$221)</f>
        <v/>
      </c>
      <c r="D220" t="str">
        <f>IF([1]Accounts!$D$221="","",[1]Accounts!$D$221)</f>
        <v/>
      </c>
      <c r="E220" t="str">
        <f>IF([1]Accounts!$D$221="","",[1]Accounts!$J$221)</f>
        <v/>
      </c>
      <c r="F220" t="str">
        <f>IF([1]Accounts!$D$221="","",[1]Accounts!$K$221)</f>
        <v/>
      </c>
      <c r="J220" t="str">
        <f>IF([2]Entry!$C$223="","",[2]Entry!$C$223)</f>
        <v/>
      </c>
      <c r="K220" t="str">
        <f>IF([2]Entry!$D$223="","",[2]Entry!$D$223)</f>
        <v/>
      </c>
      <c r="L220" t="str">
        <f>IF([2]Entry!$E$223="","",[2]Entry!$E$223)</f>
        <v/>
      </c>
      <c r="M220" t="str">
        <f>IF([2]Entry!$G$223="","",[2]Entry!$G$223)</f>
        <v/>
      </c>
      <c r="N220" t="str">
        <f>IF([2]Entry!$M$223="","",[2]Entry!$M$223)</f>
        <v/>
      </c>
      <c r="O220" t="str">
        <f>IF([2]Entry!$N$223="","",[2]Entry!$N$223)</f>
        <v/>
      </c>
      <c r="P220" t="str">
        <f>IF([2]Entry!$R$223="","",[2]Entry!$R$223)</f>
        <v/>
      </c>
    </row>
    <row r="221" spans="1:16" x14ac:dyDescent="0.2">
      <c r="A221" t="str">
        <f>IF([1]Accounts!$D$222="","",[1]Accounts!$A$222)</f>
        <v/>
      </c>
      <c r="B221" t="str">
        <f>IF([1]Accounts!$D$222="","",[1]Accounts!$B$222)</f>
        <v/>
      </c>
      <c r="C221" t="str">
        <f>IF([1]Accounts!$D$222="","",[1]Accounts!$C$222)</f>
        <v/>
      </c>
      <c r="D221" t="str">
        <f>IF([1]Accounts!$D$222="","",[1]Accounts!$D$222)</f>
        <v/>
      </c>
      <c r="E221" t="str">
        <f>IF([1]Accounts!$D$222="","",[1]Accounts!$J$222)</f>
        <v/>
      </c>
      <c r="F221" t="str">
        <f>IF([1]Accounts!$D$222="","",[1]Accounts!$K$222)</f>
        <v/>
      </c>
      <c r="J221" t="str">
        <f>IF([2]Entry!$C$224="","",[2]Entry!$C$224)</f>
        <v/>
      </c>
      <c r="K221" t="str">
        <f>IF([2]Entry!$D$224="","",[2]Entry!$D$224)</f>
        <v/>
      </c>
      <c r="L221" t="str">
        <f>IF([2]Entry!$E$224="","",[2]Entry!$E$224)</f>
        <v/>
      </c>
      <c r="M221" t="str">
        <f>IF([2]Entry!$G$224="","",[2]Entry!$G$224)</f>
        <v/>
      </c>
      <c r="N221" t="str">
        <f>IF([2]Entry!$M$224="","",[2]Entry!$M$224)</f>
        <v/>
      </c>
      <c r="O221" t="str">
        <f>IF([2]Entry!$N$224="","",[2]Entry!$N$224)</f>
        <v/>
      </c>
      <c r="P221" t="str">
        <f>IF([2]Entry!$R$224="","",[2]Entry!$R$224)</f>
        <v/>
      </c>
    </row>
    <row r="222" spans="1:16" x14ac:dyDescent="0.2">
      <c r="A222" t="str">
        <f>IF([1]Accounts!$D$223="","",[1]Accounts!$A$223)</f>
        <v/>
      </c>
      <c r="B222" t="str">
        <f>IF([1]Accounts!$D$223="","",[1]Accounts!$B$223)</f>
        <v/>
      </c>
      <c r="C222" t="str">
        <f>IF([1]Accounts!$D$223="","",[1]Accounts!$C$223)</f>
        <v/>
      </c>
      <c r="D222" t="str">
        <f>IF([1]Accounts!$D$223="","",[1]Accounts!$D$223)</f>
        <v/>
      </c>
      <c r="E222" t="str">
        <f>IF([1]Accounts!$D$223="","",[1]Accounts!$J$223)</f>
        <v/>
      </c>
      <c r="F222" t="str">
        <f>IF([1]Accounts!$D$223="","",[1]Accounts!$K$223)</f>
        <v/>
      </c>
      <c r="J222" t="str">
        <f>IF([2]Entry!$C$225="","",[2]Entry!$C$225)</f>
        <v/>
      </c>
      <c r="K222" t="str">
        <f>IF([2]Entry!$D$225="","",[2]Entry!$D$225)</f>
        <v/>
      </c>
      <c r="L222" t="str">
        <f>IF([2]Entry!$E$225="","",[2]Entry!$E$225)</f>
        <v/>
      </c>
      <c r="M222" t="str">
        <f>IF([2]Entry!$G$225="","",[2]Entry!$G$225)</f>
        <v/>
      </c>
      <c r="N222" t="str">
        <f>IF([2]Entry!$M$225="","",[2]Entry!$M$225)</f>
        <v/>
      </c>
      <c r="O222" t="str">
        <f>IF([2]Entry!$N$225="","",[2]Entry!$N$225)</f>
        <v/>
      </c>
      <c r="P222" t="str">
        <f>IF([2]Entry!$R$225="","",[2]Entry!$R$225)</f>
        <v/>
      </c>
    </row>
    <row r="223" spans="1:16" x14ac:dyDescent="0.2">
      <c r="A223" t="str">
        <f>IF([1]Accounts!$D$224="","",[1]Accounts!$A$224)</f>
        <v/>
      </c>
      <c r="B223" t="str">
        <f>IF([1]Accounts!$D$224="","",[1]Accounts!$B$224)</f>
        <v/>
      </c>
      <c r="C223" t="str">
        <f>IF([1]Accounts!$D$224="","",[1]Accounts!$C$224)</f>
        <v/>
      </c>
      <c r="D223" t="str">
        <f>IF([1]Accounts!$D$224="","",[1]Accounts!$D$224)</f>
        <v/>
      </c>
      <c r="E223" t="str">
        <f>IF([1]Accounts!$D$224="","",[1]Accounts!$J$224)</f>
        <v/>
      </c>
      <c r="F223" t="str">
        <f>IF([1]Accounts!$D$224="","",[1]Accounts!$K$224)</f>
        <v/>
      </c>
      <c r="J223" t="str">
        <f>IF([2]Entry!$C$226="","",[2]Entry!$C$226)</f>
        <v/>
      </c>
      <c r="K223" t="str">
        <f>IF([2]Entry!$D$226="","",[2]Entry!$D$226)</f>
        <v/>
      </c>
      <c r="L223" t="str">
        <f>IF([2]Entry!$E$226="","",[2]Entry!$E$226)</f>
        <v/>
      </c>
      <c r="M223" t="str">
        <f>IF([2]Entry!$G$226="","",[2]Entry!$G$226)</f>
        <v/>
      </c>
      <c r="N223" t="str">
        <f>IF([2]Entry!$M$226="","",[2]Entry!$M$226)</f>
        <v/>
      </c>
      <c r="O223" t="str">
        <f>IF([2]Entry!$N$226="","",[2]Entry!$N$226)</f>
        <v/>
      </c>
      <c r="P223" t="str">
        <f>IF([2]Entry!$R$226="","",[2]Entry!$R$226)</f>
        <v/>
      </c>
    </row>
    <row r="224" spans="1:16" x14ac:dyDescent="0.2">
      <c r="A224" t="str">
        <f>IF([1]Accounts!$D$225="","",[1]Accounts!$A$225)</f>
        <v/>
      </c>
      <c r="B224" t="str">
        <f>IF([1]Accounts!$D$225="","",[1]Accounts!$B$225)</f>
        <v/>
      </c>
      <c r="C224" t="str">
        <f>IF([1]Accounts!$D$225="","",[1]Accounts!$C$225)</f>
        <v/>
      </c>
      <c r="D224" t="str">
        <f>IF([1]Accounts!$D$225="","",[1]Accounts!$D$225)</f>
        <v/>
      </c>
      <c r="E224" t="str">
        <f>IF([1]Accounts!$D$225="","",[1]Accounts!$J$225)</f>
        <v/>
      </c>
      <c r="F224" t="str">
        <f>IF([1]Accounts!$D$225="","",[1]Accounts!$K$225)</f>
        <v/>
      </c>
      <c r="J224" t="str">
        <f>IF([2]Entry!$C$227="","",[2]Entry!$C$227)</f>
        <v/>
      </c>
      <c r="K224" t="str">
        <f>IF([2]Entry!$D$227="","",[2]Entry!$D$227)</f>
        <v/>
      </c>
      <c r="L224" t="str">
        <f>IF([2]Entry!$E$227="","",[2]Entry!$E$227)</f>
        <v/>
      </c>
      <c r="M224" t="str">
        <f>IF([2]Entry!$G$227="","",[2]Entry!$G$227)</f>
        <v/>
      </c>
      <c r="N224" t="str">
        <f>IF([2]Entry!$M$227="","",[2]Entry!$M$227)</f>
        <v/>
      </c>
      <c r="O224" t="str">
        <f>IF([2]Entry!$N$227="","",[2]Entry!$N$227)</f>
        <v/>
      </c>
      <c r="P224" t="str">
        <f>IF([2]Entry!$R$227="","",[2]Entry!$R$227)</f>
        <v/>
      </c>
    </row>
    <row r="225" spans="1:16" x14ac:dyDescent="0.2">
      <c r="A225" t="str">
        <f>IF([1]Accounts!$D$226="","",[1]Accounts!$A$226)</f>
        <v/>
      </c>
      <c r="B225" t="str">
        <f>IF([1]Accounts!$D$226="","",[1]Accounts!$B$226)</f>
        <v/>
      </c>
      <c r="C225" t="str">
        <f>IF([1]Accounts!$D$226="","",[1]Accounts!$C$226)</f>
        <v/>
      </c>
      <c r="D225" t="str">
        <f>IF([1]Accounts!$D$226="","",[1]Accounts!$D$226)</f>
        <v/>
      </c>
      <c r="E225" t="str">
        <f>IF([1]Accounts!$D$226="","",[1]Accounts!$J$226)</f>
        <v/>
      </c>
      <c r="F225" t="str">
        <f>IF([1]Accounts!$D$226="","",[1]Accounts!$K$226)</f>
        <v/>
      </c>
      <c r="J225" t="str">
        <f>IF([2]Entry!$C$228="","",[2]Entry!$C$228)</f>
        <v/>
      </c>
      <c r="K225" t="str">
        <f>IF([2]Entry!$D$228="","",[2]Entry!$D$228)</f>
        <v/>
      </c>
      <c r="L225" t="str">
        <f>IF([2]Entry!$E$228="","",[2]Entry!$E$228)</f>
        <v/>
      </c>
      <c r="M225" t="str">
        <f>IF([2]Entry!$G$228="","",[2]Entry!$G$228)</f>
        <v/>
      </c>
      <c r="N225" t="str">
        <f>IF([2]Entry!$M$228="","",[2]Entry!$M$228)</f>
        <v/>
      </c>
      <c r="O225" t="str">
        <f>IF([2]Entry!$N$228="","",[2]Entry!$N$228)</f>
        <v/>
      </c>
      <c r="P225" t="str">
        <f>IF([2]Entry!$R$228="","",[2]Entry!$R$228)</f>
        <v/>
      </c>
    </row>
    <row r="226" spans="1:16" x14ac:dyDescent="0.2">
      <c r="A226" t="str">
        <f>IF([1]Accounts!$D$227="","",[1]Accounts!$A$227)</f>
        <v/>
      </c>
      <c r="B226" t="str">
        <f>IF([1]Accounts!$D$227="","",[1]Accounts!$B$227)</f>
        <v/>
      </c>
      <c r="C226" t="str">
        <f>IF([1]Accounts!$D$227="","",[1]Accounts!$C$227)</f>
        <v/>
      </c>
      <c r="D226" t="str">
        <f>IF([1]Accounts!$D$227="","",[1]Accounts!$D$227)</f>
        <v/>
      </c>
      <c r="E226" t="str">
        <f>IF([1]Accounts!$D$227="","",[1]Accounts!$J$227)</f>
        <v/>
      </c>
      <c r="F226" t="str">
        <f>IF([1]Accounts!$D$227="","",[1]Accounts!$K$227)</f>
        <v/>
      </c>
      <c r="J226" t="str">
        <f>IF([2]Entry!$C$229="","",[2]Entry!$C$229)</f>
        <v/>
      </c>
      <c r="K226" t="str">
        <f>IF([2]Entry!$D$229="","",[2]Entry!$D$229)</f>
        <v/>
      </c>
      <c r="L226" t="str">
        <f>IF([2]Entry!$E$229="","",[2]Entry!$E$229)</f>
        <v/>
      </c>
      <c r="M226" t="str">
        <f>IF([2]Entry!$G$229="","",[2]Entry!$G$229)</f>
        <v/>
      </c>
      <c r="N226" t="str">
        <f>IF([2]Entry!$M$229="","",[2]Entry!$M$229)</f>
        <v/>
      </c>
      <c r="O226" t="str">
        <f>IF([2]Entry!$N$229="","",[2]Entry!$N$229)</f>
        <v/>
      </c>
      <c r="P226" t="str">
        <f>IF([2]Entry!$R$229="","",[2]Entry!$R$229)</f>
        <v/>
      </c>
    </row>
    <row r="227" spans="1:16" x14ac:dyDescent="0.2">
      <c r="A227" t="str">
        <f>IF([1]Accounts!$D$228="","",[1]Accounts!$A$228)</f>
        <v/>
      </c>
      <c r="B227" t="str">
        <f>IF([1]Accounts!$D$228="","",[1]Accounts!$B$228)</f>
        <v/>
      </c>
      <c r="C227" t="str">
        <f>IF([1]Accounts!$D$228="","",[1]Accounts!$C$228)</f>
        <v/>
      </c>
      <c r="D227" t="str">
        <f>IF([1]Accounts!$D$228="","",[1]Accounts!$D$228)</f>
        <v/>
      </c>
      <c r="E227" t="str">
        <f>IF([1]Accounts!$D$228="","",[1]Accounts!$J$228)</f>
        <v/>
      </c>
      <c r="F227" t="str">
        <f>IF([1]Accounts!$D$228="","",[1]Accounts!$K$228)</f>
        <v/>
      </c>
      <c r="J227" t="str">
        <f>IF([2]Entry!$C$230="","",[2]Entry!$C$230)</f>
        <v/>
      </c>
      <c r="K227" t="str">
        <f>IF([2]Entry!$D$230="","",[2]Entry!$D$230)</f>
        <v/>
      </c>
      <c r="L227" t="str">
        <f>IF([2]Entry!$E$230="","",[2]Entry!$E$230)</f>
        <v/>
      </c>
      <c r="M227" t="str">
        <f>IF([2]Entry!$G$230="","",[2]Entry!$G$230)</f>
        <v/>
      </c>
      <c r="N227" t="str">
        <f>IF([2]Entry!$M$230="","",[2]Entry!$M$230)</f>
        <v/>
      </c>
      <c r="O227" t="str">
        <f>IF([2]Entry!$N$230="","",[2]Entry!$N$230)</f>
        <v/>
      </c>
      <c r="P227" t="str">
        <f>IF([2]Entry!$R$230="","",[2]Entry!$R$230)</f>
        <v/>
      </c>
    </row>
    <row r="228" spans="1:16" x14ac:dyDescent="0.2">
      <c r="A228" t="str">
        <f>IF([1]Accounts!$D$229="","",[1]Accounts!$A$229)</f>
        <v/>
      </c>
      <c r="B228" t="str">
        <f>IF([1]Accounts!$D$229="","",[1]Accounts!$B$229)</f>
        <v/>
      </c>
      <c r="C228" t="str">
        <f>IF([1]Accounts!$D$229="","",[1]Accounts!$C$229)</f>
        <v/>
      </c>
      <c r="D228" t="str">
        <f>IF([1]Accounts!$D$229="","",[1]Accounts!$D$229)</f>
        <v/>
      </c>
      <c r="E228" t="str">
        <f>IF([1]Accounts!$D$229="","",[1]Accounts!$J$229)</f>
        <v/>
      </c>
      <c r="F228" t="str">
        <f>IF([1]Accounts!$D$229="","",[1]Accounts!$K$229)</f>
        <v/>
      </c>
      <c r="J228" t="str">
        <f>IF([2]Entry!$C$231="","",[2]Entry!$C$231)</f>
        <v/>
      </c>
      <c r="K228" t="str">
        <f>IF([2]Entry!$D$231="","",[2]Entry!$D$231)</f>
        <v/>
      </c>
      <c r="L228" t="str">
        <f>IF([2]Entry!$E$231="","",[2]Entry!$E$231)</f>
        <v/>
      </c>
      <c r="M228" t="str">
        <f>IF([2]Entry!$G$231="","",[2]Entry!$G$231)</f>
        <v/>
      </c>
      <c r="N228" t="str">
        <f>IF([2]Entry!$M$231="","",[2]Entry!$M$231)</f>
        <v/>
      </c>
      <c r="O228" t="str">
        <f>IF([2]Entry!$N$231="","",[2]Entry!$N$231)</f>
        <v/>
      </c>
      <c r="P228" t="str">
        <f>IF([2]Entry!$R$231="","",[2]Entry!$R$231)</f>
        <v/>
      </c>
    </row>
    <row r="229" spans="1:16" x14ac:dyDescent="0.2">
      <c r="A229" t="str">
        <f>IF([1]Accounts!$D$230="","",[1]Accounts!$A$230)</f>
        <v/>
      </c>
      <c r="B229" t="str">
        <f>IF([1]Accounts!$D$230="","",[1]Accounts!$B$230)</f>
        <v/>
      </c>
      <c r="C229" t="str">
        <f>IF([1]Accounts!$D$230="","",[1]Accounts!$C$230)</f>
        <v/>
      </c>
      <c r="D229" t="str">
        <f>IF([1]Accounts!$D$230="","",[1]Accounts!$D$230)</f>
        <v/>
      </c>
      <c r="E229" t="str">
        <f>IF([1]Accounts!$D$230="","",[1]Accounts!$J$230)</f>
        <v/>
      </c>
      <c r="F229" t="str">
        <f>IF([1]Accounts!$D$230="","",[1]Accounts!$K$230)</f>
        <v/>
      </c>
      <c r="J229" t="str">
        <f>IF([2]Entry!$C$232="","",[2]Entry!$C$232)</f>
        <v/>
      </c>
      <c r="K229" t="str">
        <f>IF([2]Entry!$D$232="","",[2]Entry!$D$232)</f>
        <v/>
      </c>
      <c r="L229" t="str">
        <f>IF([2]Entry!$E$232="","",[2]Entry!$E$232)</f>
        <v/>
      </c>
      <c r="M229" t="str">
        <f>IF([2]Entry!$G$232="","",[2]Entry!$G$232)</f>
        <v/>
      </c>
      <c r="N229" t="str">
        <f>IF([2]Entry!$M$232="","",[2]Entry!$M$232)</f>
        <v/>
      </c>
      <c r="O229" t="str">
        <f>IF([2]Entry!$N$232="","",[2]Entry!$N$232)</f>
        <v/>
      </c>
      <c r="P229" t="str">
        <f>IF([2]Entry!$R$232="","",[2]Entry!$R$232)</f>
        <v/>
      </c>
    </row>
    <row r="230" spans="1:16" x14ac:dyDescent="0.2">
      <c r="A230" t="str">
        <f>IF([1]Accounts!$D$231="","",[1]Accounts!$A$231)</f>
        <v/>
      </c>
      <c r="B230" t="str">
        <f>IF([1]Accounts!$D$231="","",[1]Accounts!$B$231)</f>
        <v/>
      </c>
      <c r="C230" t="str">
        <f>IF([1]Accounts!$D$231="","",[1]Accounts!$C$231)</f>
        <v/>
      </c>
      <c r="D230" t="str">
        <f>IF([1]Accounts!$D$231="","",[1]Accounts!$D$231)</f>
        <v/>
      </c>
      <c r="E230" t="str">
        <f>IF([1]Accounts!$D$231="","",[1]Accounts!$J$231)</f>
        <v/>
      </c>
      <c r="F230" t="str">
        <f>IF([1]Accounts!$D$231="","",[1]Accounts!$K$231)</f>
        <v/>
      </c>
      <c r="J230" t="str">
        <f>IF([2]Entry!$C$233="","",[2]Entry!$C$233)</f>
        <v/>
      </c>
      <c r="K230" t="str">
        <f>IF([2]Entry!$D$233="","",[2]Entry!$D$233)</f>
        <v/>
      </c>
      <c r="L230" t="str">
        <f>IF([2]Entry!$E$233="","",[2]Entry!$E$233)</f>
        <v/>
      </c>
      <c r="M230" t="str">
        <f>IF([2]Entry!$G$233="","",[2]Entry!$G$233)</f>
        <v/>
      </c>
      <c r="N230" t="str">
        <f>IF([2]Entry!$M$233="","",[2]Entry!$M$233)</f>
        <v/>
      </c>
      <c r="O230" t="str">
        <f>IF([2]Entry!$N$233="","",[2]Entry!$N$233)</f>
        <v/>
      </c>
      <c r="P230" t="str">
        <f>IF([2]Entry!$R$233="","",[2]Entry!$R$233)</f>
        <v/>
      </c>
    </row>
    <row r="231" spans="1:16" x14ac:dyDescent="0.2">
      <c r="A231" t="str">
        <f>IF([1]Accounts!$D$232="","",[1]Accounts!$A$232)</f>
        <v/>
      </c>
      <c r="B231" t="str">
        <f>IF([1]Accounts!$D$232="","",[1]Accounts!$B$232)</f>
        <v/>
      </c>
      <c r="C231" t="str">
        <f>IF([1]Accounts!$D$232="","",[1]Accounts!$C$232)</f>
        <v/>
      </c>
      <c r="D231" t="str">
        <f>IF([1]Accounts!$D$232="","",[1]Accounts!$D$232)</f>
        <v/>
      </c>
      <c r="E231" t="str">
        <f>IF([1]Accounts!$D$232="","",[1]Accounts!$J$232)</f>
        <v/>
      </c>
      <c r="F231" t="str">
        <f>IF([1]Accounts!$D$232="","",[1]Accounts!$K$232)</f>
        <v/>
      </c>
      <c r="J231" t="str">
        <f>IF([2]Entry!$C$234="","",[2]Entry!$C$234)</f>
        <v/>
      </c>
      <c r="K231" t="str">
        <f>IF([2]Entry!$D$234="","",[2]Entry!$D$234)</f>
        <v/>
      </c>
      <c r="L231" t="str">
        <f>IF([2]Entry!$E$234="","",[2]Entry!$E$234)</f>
        <v/>
      </c>
      <c r="M231" t="str">
        <f>IF([2]Entry!$G$234="","",[2]Entry!$G$234)</f>
        <v/>
      </c>
      <c r="N231" t="str">
        <f>IF([2]Entry!$M$234="","",[2]Entry!$M$234)</f>
        <v/>
      </c>
      <c r="O231" t="str">
        <f>IF([2]Entry!$N$234="","",[2]Entry!$N$234)</f>
        <v/>
      </c>
      <c r="P231" t="str">
        <f>IF([2]Entry!$R$234="","",[2]Entry!$R$234)</f>
        <v/>
      </c>
    </row>
    <row r="232" spans="1:16" x14ac:dyDescent="0.2">
      <c r="A232" t="str">
        <f>IF([1]Accounts!$D$233="","",[1]Accounts!$A$233)</f>
        <v/>
      </c>
      <c r="B232" t="str">
        <f>IF([1]Accounts!$D$233="","",[1]Accounts!$B$233)</f>
        <v/>
      </c>
      <c r="C232" t="str">
        <f>IF([1]Accounts!$D$233="","",[1]Accounts!$C$233)</f>
        <v/>
      </c>
      <c r="D232" t="str">
        <f>IF([1]Accounts!$D$233="","",[1]Accounts!$D$233)</f>
        <v/>
      </c>
      <c r="E232" t="str">
        <f>IF([1]Accounts!$D$233="","",[1]Accounts!$J$233)</f>
        <v/>
      </c>
      <c r="F232" t="str">
        <f>IF([1]Accounts!$D$233="","",[1]Accounts!$K$233)</f>
        <v/>
      </c>
      <c r="J232" t="str">
        <f>IF([2]Entry!$C$235="","",[2]Entry!$C$235)</f>
        <v/>
      </c>
      <c r="K232" t="str">
        <f>IF([2]Entry!$D$235="","",[2]Entry!$D$235)</f>
        <v/>
      </c>
      <c r="L232" t="str">
        <f>IF([2]Entry!$E$235="","",[2]Entry!$E$235)</f>
        <v/>
      </c>
      <c r="M232" t="str">
        <f>IF([2]Entry!$G$235="","",[2]Entry!$G$235)</f>
        <v/>
      </c>
      <c r="N232" t="str">
        <f>IF([2]Entry!$M$235="","",[2]Entry!$M$235)</f>
        <v/>
      </c>
      <c r="O232" t="str">
        <f>IF([2]Entry!$N$235="","",[2]Entry!$N$235)</f>
        <v/>
      </c>
      <c r="P232" t="str">
        <f>IF([2]Entry!$R$235="","",[2]Entry!$R$235)</f>
        <v/>
      </c>
    </row>
    <row r="233" spans="1:16" x14ac:dyDescent="0.2">
      <c r="A233" t="str">
        <f>IF([1]Accounts!$D$234="","",[1]Accounts!$A$234)</f>
        <v/>
      </c>
      <c r="B233" t="str">
        <f>IF([1]Accounts!$D$234="","",[1]Accounts!$B$234)</f>
        <v/>
      </c>
      <c r="C233" t="str">
        <f>IF([1]Accounts!$D$234="","",[1]Accounts!$C$234)</f>
        <v/>
      </c>
      <c r="D233" t="str">
        <f>IF([1]Accounts!$D$234="","",[1]Accounts!$D$234)</f>
        <v/>
      </c>
      <c r="E233" t="str">
        <f>IF([1]Accounts!$D$234="","",[1]Accounts!$J$234)</f>
        <v/>
      </c>
      <c r="F233" t="str">
        <f>IF([1]Accounts!$D$234="","",[1]Accounts!$K$234)</f>
        <v/>
      </c>
      <c r="J233" t="str">
        <f>IF([2]Entry!$C$236="","",[2]Entry!$C$236)</f>
        <v/>
      </c>
      <c r="K233" t="str">
        <f>IF([2]Entry!$D$236="","",[2]Entry!$D$236)</f>
        <v/>
      </c>
      <c r="L233" t="str">
        <f>IF([2]Entry!$E$236="","",[2]Entry!$E$236)</f>
        <v/>
      </c>
      <c r="M233" t="str">
        <f>IF([2]Entry!$G$236="","",[2]Entry!$G$236)</f>
        <v/>
      </c>
      <c r="N233" t="str">
        <f>IF([2]Entry!$M$236="","",[2]Entry!$M$236)</f>
        <v/>
      </c>
      <c r="O233" t="str">
        <f>IF([2]Entry!$N$236="","",[2]Entry!$N$236)</f>
        <v/>
      </c>
      <c r="P233" t="str">
        <f>IF([2]Entry!$R$236="","",[2]Entry!$R$236)</f>
        <v/>
      </c>
    </row>
    <row r="234" spans="1:16" x14ac:dyDescent="0.2">
      <c r="A234" t="str">
        <f>IF([1]Accounts!$D$235="","",[1]Accounts!$A$235)</f>
        <v/>
      </c>
      <c r="B234" t="str">
        <f>IF([1]Accounts!$D$235="","",[1]Accounts!$B$235)</f>
        <v/>
      </c>
      <c r="C234" t="str">
        <f>IF([1]Accounts!$D$235="","",[1]Accounts!$C$235)</f>
        <v/>
      </c>
      <c r="D234" t="str">
        <f>IF([1]Accounts!$D$235="","",[1]Accounts!$D$235)</f>
        <v/>
      </c>
      <c r="E234" t="str">
        <f>IF([1]Accounts!$D$235="","",[1]Accounts!$J$235)</f>
        <v/>
      </c>
      <c r="F234" t="str">
        <f>IF([1]Accounts!$D$235="","",[1]Accounts!$K$235)</f>
        <v/>
      </c>
      <c r="J234" t="str">
        <f>IF([2]Entry!$C$237="","",[2]Entry!$C$237)</f>
        <v/>
      </c>
      <c r="K234" t="str">
        <f>IF([2]Entry!$D$237="","",[2]Entry!$D$237)</f>
        <v/>
      </c>
      <c r="L234" t="str">
        <f>IF([2]Entry!$E$237="","",[2]Entry!$E$237)</f>
        <v/>
      </c>
      <c r="M234" t="str">
        <f>IF([2]Entry!$G$237="","",[2]Entry!$G$237)</f>
        <v/>
      </c>
      <c r="N234" t="str">
        <f>IF([2]Entry!$M$237="","",[2]Entry!$M$237)</f>
        <v/>
      </c>
      <c r="O234" t="str">
        <f>IF([2]Entry!$N$237="","",[2]Entry!$N$237)</f>
        <v/>
      </c>
      <c r="P234" t="str">
        <f>IF([2]Entry!$R$237="","",[2]Entry!$R$237)</f>
        <v/>
      </c>
    </row>
    <row r="235" spans="1:16" x14ac:dyDescent="0.2">
      <c r="A235" t="str">
        <f>IF([1]Accounts!$D$236="","",[1]Accounts!$A$236)</f>
        <v/>
      </c>
      <c r="B235" t="str">
        <f>IF([1]Accounts!$D$236="","",[1]Accounts!$B$236)</f>
        <v/>
      </c>
      <c r="C235" t="str">
        <f>IF([1]Accounts!$D$236="","",[1]Accounts!$C$236)</f>
        <v/>
      </c>
      <c r="D235" t="str">
        <f>IF([1]Accounts!$D$236="","",[1]Accounts!$D$236)</f>
        <v/>
      </c>
      <c r="E235" t="str">
        <f>IF([1]Accounts!$D$236="","",[1]Accounts!$J$236)</f>
        <v/>
      </c>
      <c r="F235" t="str">
        <f>IF([1]Accounts!$D$236="","",[1]Accounts!$K$236)</f>
        <v/>
      </c>
      <c r="J235" t="str">
        <f>IF([2]Entry!$C$238="","",[2]Entry!$C$238)</f>
        <v/>
      </c>
      <c r="K235" t="str">
        <f>IF([2]Entry!$D$238="","",[2]Entry!$D$238)</f>
        <v/>
      </c>
      <c r="L235" t="str">
        <f>IF([2]Entry!$E$238="","",[2]Entry!$E$238)</f>
        <v/>
      </c>
      <c r="M235" t="str">
        <f>IF([2]Entry!$G$238="","",[2]Entry!$G$238)</f>
        <v/>
      </c>
      <c r="N235" t="str">
        <f>IF([2]Entry!$M$238="","",[2]Entry!$M$238)</f>
        <v/>
      </c>
      <c r="O235" t="str">
        <f>IF([2]Entry!$N$238="","",[2]Entry!$N$238)</f>
        <v/>
      </c>
      <c r="P235" t="str">
        <f>IF([2]Entry!$R$238="","",[2]Entry!$R$238)</f>
        <v/>
      </c>
    </row>
    <row r="236" spans="1:16" x14ac:dyDescent="0.2">
      <c r="A236" t="str">
        <f>IF([1]Accounts!$D$237="","",[1]Accounts!$A$237)</f>
        <v/>
      </c>
      <c r="B236" t="str">
        <f>IF([1]Accounts!$D$237="","",[1]Accounts!$B$237)</f>
        <v/>
      </c>
      <c r="C236" t="str">
        <f>IF([1]Accounts!$D$237="","",[1]Accounts!$C$237)</f>
        <v/>
      </c>
      <c r="D236" t="str">
        <f>IF([1]Accounts!$D$237="","",[1]Accounts!$D$237)</f>
        <v/>
      </c>
      <c r="E236" t="str">
        <f>IF([1]Accounts!$D$237="","",[1]Accounts!$J$237)</f>
        <v/>
      </c>
      <c r="F236" t="str">
        <f>IF([1]Accounts!$D$237="","",[1]Accounts!$K$237)</f>
        <v/>
      </c>
      <c r="J236" t="str">
        <f>IF([2]Entry!$C$239="","",[2]Entry!$C$239)</f>
        <v/>
      </c>
      <c r="K236" t="str">
        <f>IF([2]Entry!$D$239="","",[2]Entry!$D$239)</f>
        <v/>
      </c>
      <c r="L236" t="str">
        <f>IF([2]Entry!$E$239="","",[2]Entry!$E$239)</f>
        <v/>
      </c>
      <c r="M236" t="str">
        <f>IF([2]Entry!$G$239="","",[2]Entry!$G$239)</f>
        <v/>
      </c>
      <c r="N236" t="str">
        <f>IF([2]Entry!$M$239="","",[2]Entry!$M$239)</f>
        <v/>
      </c>
      <c r="O236" t="str">
        <f>IF([2]Entry!$N$239="","",[2]Entry!$N$239)</f>
        <v/>
      </c>
      <c r="P236" t="str">
        <f>IF([2]Entry!$R$239="","",[2]Entry!$R$239)</f>
        <v/>
      </c>
    </row>
    <row r="237" spans="1:16" x14ac:dyDescent="0.2">
      <c r="A237" t="str">
        <f>IF([1]Accounts!$D$238="","",[1]Accounts!$A$238)</f>
        <v/>
      </c>
      <c r="B237" t="str">
        <f>IF([1]Accounts!$D$238="","",[1]Accounts!$B$238)</f>
        <v/>
      </c>
      <c r="C237" t="str">
        <f>IF([1]Accounts!$D$238="","",[1]Accounts!$C$238)</f>
        <v/>
      </c>
      <c r="D237" t="str">
        <f>IF([1]Accounts!$D$238="","",[1]Accounts!$D$238)</f>
        <v/>
      </c>
      <c r="E237" t="str">
        <f>IF([1]Accounts!$D$238="","",[1]Accounts!$J$238)</f>
        <v/>
      </c>
      <c r="F237" t="str">
        <f>IF([1]Accounts!$D$238="","",[1]Accounts!$K$238)</f>
        <v/>
      </c>
      <c r="J237" t="str">
        <f>IF([2]Entry!$C$240="","",[2]Entry!$C$240)</f>
        <v/>
      </c>
      <c r="K237" t="str">
        <f>IF([2]Entry!$D$240="","",[2]Entry!$D$240)</f>
        <v/>
      </c>
      <c r="L237" t="str">
        <f>IF([2]Entry!$E$240="","",[2]Entry!$E$240)</f>
        <v/>
      </c>
      <c r="M237" t="str">
        <f>IF([2]Entry!$G$240="","",[2]Entry!$G$240)</f>
        <v/>
      </c>
      <c r="N237" t="str">
        <f>IF([2]Entry!$M$240="","",[2]Entry!$M$240)</f>
        <v/>
      </c>
      <c r="O237" t="str">
        <f>IF([2]Entry!$N$240="","",[2]Entry!$N$240)</f>
        <v/>
      </c>
      <c r="P237" t="str">
        <f>IF([2]Entry!$R$240="","",[2]Entry!$R$240)</f>
        <v/>
      </c>
    </row>
    <row r="238" spans="1:16" x14ac:dyDescent="0.2">
      <c r="A238" t="str">
        <f>IF([1]Accounts!$D$239="","",[1]Accounts!$A$239)</f>
        <v/>
      </c>
      <c r="B238" t="str">
        <f>IF([1]Accounts!$D$239="","",[1]Accounts!$B$239)</f>
        <v/>
      </c>
      <c r="C238" t="str">
        <f>IF([1]Accounts!$D$239="","",[1]Accounts!$C$239)</f>
        <v/>
      </c>
      <c r="D238" t="str">
        <f>IF([1]Accounts!$D$239="","",[1]Accounts!$D$239)</f>
        <v/>
      </c>
      <c r="E238" t="str">
        <f>IF([1]Accounts!$D$239="","",[1]Accounts!$J$239)</f>
        <v/>
      </c>
      <c r="F238" t="str">
        <f>IF([1]Accounts!$D$239="","",[1]Accounts!$K$239)</f>
        <v/>
      </c>
      <c r="J238" t="str">
        <f>IF([2]Entry!$C$241="","",[2]Entry!$C$241)</f>
        <v/>
      </c>
      <c r="K238" t="str">
        <f>IF([2]Entry!$D$241="","",[2]Entry!$D$241)</f>
        <v/>
      </c>
      <c r="L238" t="str">
        <f>IF([2]Entry!$E$241="","",[2]Entry!$E$241)</f>
        <v/>
      </c>
      <c r="M238" t="str">
        <f>IF([2]Entry!$G$241="","",[2]Entry!$G$241)</f>
        <v/>
      </c>
      <c r="N238" t="str">
        <f>IF([2]Entry!$M$241="","",[2]Entry!$M$241)</f>
        <v/>
      </c>
      <c r="O238" t="str">
        <f>IF([2]Entry!$N$241="","",[2]Entry!$N$241)</f>
        <v/>
      </c>
      <c r="P238" t="str">
        <f>IF([2]Entry!$R$241="","",[2]Entry!$R$241)</f>
        <v/>
      </c>
    </row>
    <row r="239" spans="1:16" x14ac:dyDescent="0.2">
      <c r="A239" t="str">
        <f>IF([1]Accounts!$D$240="","",[1]Accounts!$A$240)</f>
        <v/>
      </c>
      <c r="B239" t="str">
        <f>IF([1]Accounts!$D$240="","",[1]Accounts!$B$240)</f>
        <v/>
      </c>
      <c r="C239" t="str">
        <f>IF([1]Accounts!$D$240="","",[1]Accounts!$C$240)</f>
        <v/>
      </c>
      <c r="D239" t="str">
        <f>IF([1]Accounts!$D$240="","",[1]Accounts!$D$240)</f>
        <v/>
      </c>
      <c r="E239" t="str">
        <f>IF([1]Accounts!$D$240="","",[1]Accounts!$J$240)</f>
        <v/>
      </c>
      <c r="F239" t="str">
        <f>IF([1]Accounts!$D$240="","",[1]Accounts!$K$240)</f>
        <v/>
      </c>
      <c r="J239" t="str">
        <f>IF([2]Entry!$C$242="","",[2]Entry!$C$242)</f>
        <v/>
      </c>
      <c r="K239" t="str">
        <f>IF([2]Entry!$D$242="","",[2]Entry!$D$242)</f>
        <v/>
      </c>
      <c r="L239" t="str">
        <f>IF([2]Entry!$E$242="","",[2]Entry!$E$242)</f>
        <v/>
      </c>
      <c r="M239" t="str">
        <f>IF([2]Entry!$G$242="","",[2]Entry!$G$242)</f>
        <v/>
      </c>
      <c r="N239" t="str">
        <f>IF([2]Entry!$M$242="","",[2]Entry!$M$242)</f>
        <v/>
      </c>
      <c r="O239" t="str">
        <f>IF([2]Entry!$N$242="","",[2]Entry!$N$242)</f>
        <v/>
      </c>
      <c r="P239" t="str">
        <f>IF([2]Entry!$R$242="","",[2]Entry!$R$242)</f>
        <v/>
      </c>
    </row>
    <row r="240" spans="1:16" x14ac:dyDescent="0.2">
      <c r="A240" t="str">
        <f>IF([1]Accounts!$D$241="","",[1]Accounts!$A$241)</f>
        <v/>
      </c>
      <c r="B240" t="str">
        <f>IF([1]Accounts!$D$241="","",[1]Accounts!$B$241)</f>
        <v/>
      </c>
      <c r="C240" t="str">
        <f>IF([1]Accounts!$D$241="","",[1]Accounts!$C$241)</f>
        <v/>
      </c>
      <c r="D240" t="str">
        <f>IF([1]Accounts!$D$241="","",[1]Accounts!$D$241)</f>
        <v/>
      </c>
      <c r="E240" t="str">
        <f>IF([1]Accounts!$D$241="","",[1]Accounts!$J$241)</f>
        <v/>
      </c>
      <c r="F240" t="str">
        <f>IF([1]Accounts!$D$241="","",[1]Accounts!$K$241)</f>
        <v/>
      </c>
      <c r="J240" t="str">
        <f>IF([2]Entry!$C$243="","",[2]Entry!$C$243)</f>
        <v/>
      </c>
      <c r="K240" t="str">
        <f>IF([2]Entry!$D$243="","",[2]Entry!$D$243)</f>
        <v/>
      </c>
      <c r="L240" t="str">
        <f>IF([2]Entry!$E$243="","",[2]Entry!$E$243)</f>
        <v/>
      </c>
      <c r="M240" t="str">
        <f>IF([2]Entry!$G$243="","",[2]Entry!$G$243)</f>
        <v/>
      </c>
      <c r="N240" t="str">
        <f>IF([2]Entry!$M$243="","",[2]Entry!$M$243)</f>
        <v/>
      </c>
      <c r="O240" t="str">
        <f>IF([2]Entry!$N$243="","",[2]Entry!$N$243)</f>
        <v/>
      </c>
      <c r="P240" t="str">
        <f>IF([2]Entry!$R$243="","",[2]Entry!$R$243)</f>
        <v/>
      </c>
    </row>
    <row r="241" spans="1:16" x14ac:dyDescent="0.2">
      <c r="A241" t="str">
        <f>IF([1]Accounts!$D$242="","",[1]Accounts!$A$242)</f>
        <v/>
      </c>
      <c r="B241" t="str">
        <f>IF([1]Accounts!$D$242="","",[1]Accounts!$B$242)</f>
        <v/>
      </c>
      <c r="C241" t="str">
        <f>IF([1]Accounts!$D$242="","",[1]Accounts!$C$242)</f>
        <v/>
      </c>
      <c r="D241" t="str">
        <f>IF([1]Accounts!$D$242="","",[1]Accounts!$D$242)</f>
        <v/>
      </c>
      <c r="E241" t="str">
        <f>IF([1]Accounts!$D$242="","",[1]Accounts!$J$242)</f>
        <v/>
      </c>
      <c r="F241" t="str">
        <f>IF([1]Accounts!$D$242="","",[1]Accounts!$K$242)</f>
        <v/>
      </c>
      <c r="J241" t="str">
        <f>IF([2]Entry!$C$244="","",[2]Entry!$C$244)</f>
        <v/>
      </c>
      <c r="K241" t="str">
        <f>IF([2]Entry!$D$244="","",[2]Entry!$D$244)</f>
        <v/>
      </c>
      <c r="L241" t="str">
        <f>IF([2]Entry!$E$244="","",[2]Entry!$E$244)</f>
        <v/>
      </c>
      <c r="M241" t="str">
        <f>IF([2]Entry!$G$244="","",[2]Entry!$G$244)</f>
        <v/>
      </c>
      <c r="N241" t="str">
        <f>IF([2]Entry!$M$244="","",[2]Entry!$M$244)</f>
        <v/>
      </c>
      <c r="O241" t="str">
        <f>IF([2]Entry!$N$244="","",[2]Entry!$N$244)</f>
        <v/>
      </c>
      <c r="P241" t="str">
        <f>IF([2]Entry!$R$244="","",[2]Entry!$R$244)</f>
        <v/>
      </c>
    </row>
    <row r="242" spans="1:16" x14ac:dyDescent="0.2">
      <c r="A242" t="str">
        <f>IF([1]Accounts!$D$243="","",[1]Accounts!$A$243)</f>
        <v/>
      </c>
      <c r="B242" t="str">
        <f>IF([1]Accounts!$D$243="","",[1]Accounts!$B$243)</f>
        <v/>
      </c>
      <c r="C242" t="str">
        <f>IF([1]Accounts!$D$243="","",[1]Accounts!$C$243)</f>
        <v/>
      </c>
      <c r="D242" t="str">
        <f>IF([1]Accounts!$D$243="","",[1]Accounts!$D$243)</f>
        <v/>
      </c>
      <c r="E242" t="str">
        <f>IF([1]Accounts!$D$243="","",[1]Accounts!$J$243)</f>
        <v/>
      </c>
      <c r="F242" t="str">
        <f>IF([1]Accounts!$D$243="","",[1]Accounts!$K$243)</f>
        <v/>
      </c>
      <c r="J242" t="str">
        <f>IF([2]Entry!$C$245="","",[2]Entry!$C$245)</f>
        <v/>
      </c>
      <c r="K242" t="str">
        <f>IF([2]Entry!$D$245="","",[2]Entry!$D$245)</f>
        <v/>
      </c>
      <c r="L242" t="str">
        <f>IF([2]Entry!$E$245="","",[2]Entry!$E$245)</f>
        <v/>
      </c>
      <c r="M242" t="str">
        <f>IF([2]Entry!$G$245="","",[2]Entry!$G$245)</f>
        <v/>
      </c>
      <c r="N242" t="str">
        <f>IF([2]Entry!$M$245="","",[2]Entry!$M$245)</f>
        <v/>
      </c>
      <c r="O242" t="str">
        <f>IF([2]Entry!$N$245="","",[2]Entry!$N$245)</f>
        <v/>
      </c>
      <c r="P242" t="str">
        <f>IF([2]Entry!$R$245="","",[2]Entry!$R$245)</f>
        <v/>
      </c>
    </row>
    <row r="243" spans="1:16" x14ac:dyDescent="0.2">
      <c r="A243" t="str">
        <f>IF([1]Accounts!$D$244="","",[1]Accounts!$A$244)</f>
        <v/>
      </c>
      <c r="B243" t="str">
        <f>IF([1]Accounts!$D$244="","",[1]Accounts!$B$244)</f>
        <v/>
      </c>
      <c r="C243" t="str">
        <f>IF([1]Accounts!$D$244="","",[1]Accounts!$C$244)</f>
        <v/>
      </c>
      <c r="D243" t="str">
        <f>IF([1]Accounts!$D$244="","",[1]Accounts!$D$244)</f>
        <v/>
      </c>
      <c r="E243" t="str">
        <f>IF([1]Accounts!$D$244="","",[1]Accounts!$J$244)</f>
        <v/>
      </c>
      <c r="F243" t="str">
        <f>IF([1]Accounts!$D$244="","",[1]Accounts!$K$244)</f>
        <v/>
      </c>
      <c r="J243" t="str">
        <f>IF([2]Entry!$C$246="","",[2]Entry!$C$246)</f>
        <v/>
      </c>
      <c r="K243" t="str">
        <f>IF([2]Entry!$D$246="","",[2]Entry!$D$246)</f>
        <v/>
      </c>
      <c r="L243" t="str">
        <f>IF([2]Entry!$E$246="","",[2]Entry!$E$246)</f>
        <v/>
      </c>
      <c r="M243" t="str">
        <f>IF([2]Entry!$G$246="","",[2]Entry!$G$246)</f>
        <v/>
      </c>
      <c r="N243" t="str">
        <f>IF([2]Entry!$M$246="","",[2]Entry!$M$246)</f>
        <v/>
      </c>
      <c r="O243" t="str">
        <f>IF([2]Entry!$N$246="","",[2]Entry!$N$246)</f>
        <v/>
      </c>
      <c r="P243" t="str">
        <f>IF([2]Entry!$R$246="","",[2]Entry!$R$246)</f>
        <v/>
      </c>
    </row>
    <row r="244" spans="1:16" x14ac:dyDescent="0.2">
      <c r="A244" t="str">
        <f>IF([1]Accounts!$D$245="","",[1]Accounts!$A$245)</f>
        <v/>
      </c>
      <c r="B244" t="str">
        <f>IF([1]Accounts!$D$245="","",[1]Accounts!$B$245)</f>
        <v/>
      </c>
      <c r="C244" t="str">
        <f>IF([1]Accounts!$D$245="","",[1]Accounts!$C$245)</f>
        <v/>
      </c>
      <c r="D244" t="str">
        <f>IF([1]Accounts!$D$245="","",[1]Accounts!$D$245)</f>
        <v/>
      </c>
      <c r="E244" t="str">
        <f>IF([1]Accounts!$D$245="","",[1]Accounts!$J$245)</f>
        <v/>
      </c>
      <c r="F244" t="str">
        <f>IF([1]Accounts!$D$245="","",[1]Accounts!$K$245)</f>
        <v/>
      </c>
      <c r="J244" t="str">
        <f>IF([2]Entry!$C$247="","",[2]Entry!$C$247)</f>
        <v/>
      </c>
      <c r="K244" t="str">
        <f>IF([2]Entry!$D$247="","",[2]Entry!$D$247)</f>
        <v/>
      </c>
      <c r="L244" t="str">
        <f>IF([2]Entry!$E$247="","",[2]Entry!$E$247)</f>
        <v/>
      </c>
      <c r="M244" t="str">
        <f>IF([2]Entry!$G$247="","",[2]Entry!$G$247)</f>
        <v/>
      </c>
      <c r="N244" t="str">
        <f>IF([2]Entry!$M$247="","",[2]Entry!$M$247)</f>
        <v/>
      </c>
      <c r="O244" t="str">
        <f>IF([2]Entry!$N$247="","",[2]Entry!$N$247)</f>
        <v/>
      </c>
      <c r="P244" t="str">
        <f>IF([2]Entry!$R$247="","",[2]Entry!$R$247)</f>
        <v/>
      </c>
    </row>
    <row r="245" spans="1:16" x14ac:dyDescent="0.2">
      <c r="A245" t="str">
        <f>IF([1]Accounts!$D$246="","",[1]Accounts!$A$246)</f>
        <v/>
      </c>
      <c r="B245" t="str">
        <f>IF([1]Accounts!$D$246="","",[1]Accounts!$B$246)</f>
        <v/>
      </c>
      <c r="C245" t="str">
        <f>IF([1]Accounts!$D$246="","",[1]Accounts!$C$246)</f>
        <v/>
      </c>
      <c r="D245" t="str">
        <f>IF([1]Accounts!$D$246="","",[1]Accounts!$D$246)</f>
        <v/>
      </c>
      <c r="E245" t="str">
        <f>IF([1]Accounts!$D$246="","",[1]Accounts!$J$246)</f>
        <v/>
      </c>
      <c r="F245" t="str">
        <f>IF([1]Accounts!$D$246="","",[1]Accounts!$K$246)</f>
        <v/>
      </c>
      <c r="J245" t="str">
        <f>IF([2]Entry!$C$248="","",[2]Entry!$C$248)</f>
        <v/>
      </c>
      <c r="K245" t="str">
        <f>IF([2]Entry!$D$248="","",[2]Entry!$D$248)</f>
        <v/>
      </c>
      <c r="L245" t="str">
        <f>IF([2]Entry!$E$248="","",[2]Entry!$E$248)</f>
        <v/>
      </c>
      <c r="M245" t="str">
        <f>IF([2]Entry!$G$248="","",[2]Entry!$G$248)</f>
        <v/>
      </c>
      <c r="N245" t="str">
        <f>IF([2]Entry!$M$248="","",[2]Entry!$M$248)</f>
        <v/>
      </c>
      <c r="O245" t="str">
        <f>IF([2]Entry!$N$248="","",[2]Entry!$N$248)</f>
        <v/>
      </c>
      <c r="P245" t="str">
        <f>IF([2]Entry!$R$248="","",[2]Entry!$R$248)</f>
        <v/>
      </c>
    </row>
    <row r="246" spans="1:16" x14ac:dyDescent="0.2">
      <c r="A246" t="str">
        <f>IF([1]Accounts!$D$247="","",[1]Accounts!$A$247)</f>
        <v/>
      </c>
      <c r="B246" t="str">
        <f>IF([1]Accounts!$D$247="","",[1]Accounts!$B$247)</f>
        <v/>
      </c>
      <c r="C246" t="str">
        <f>IF([1]Accounts!$D$247="","",[1]Accounts!$C$247)</f>
        <v/>
      </c>
      <c r="D246" t="str">
        <f>IF([1]Accounts!$D$247="","",[1]Accounts!$D$247)</f>
        <v/>
      </c>
      <c r="E246" t="str">
        <f>IF([1]Accounts!$D$247="","",[1]Accounts!$J$247)</f>
        <v/>
      </c>
      <c r="F246" t="str">
        <f>IF([1]Accounts!$D$247="","",[1]Accounts!$K$247)</f>
        <v/>
      </c>
      <c r="J246" t="str">
        <f>IF([2]Entry!$C$249="","",[2]Entry!$C$249)</f>
        <v/>
      </c>
      <c r="K246" t="str">
        <f>IF([2]Entry!$D$249="","",[2]Entry!$D$249)</f>
        <v/>
      </c>
      <c r="L246" t="str">
        <f>IF([2]Entry!$E$249="","",[2]Entry!$E$249)</f>
        <v/>
      </c>
      <c r="M246" t="str">
        <f>IF([2]Entry!$G$249="","",[2]Entry!$G$249)</f>
        <v/>
      </c>
      <c r="N246" t="str">
        <f>IF([2]Entry!$M$249="","",[2]Entry!$M$249)</f>
        <v/>
      </c>
      <c r="O246" t="str">
        <f>IF([2]Entry!$N$249="","",[2]Entry!$N$249)</f>
        <v/>
      </c>
      <c r="P246" t="str">
        <f>IF([2]Entry!$R$249="","",[2]Entry!$R$249)</f>
        <v/>
      </c>
    </row>
    <row r="247" spans="1:16" x14ac:dyDescent="0.2">
      <c r="A247" t="str">
        <f>IF([1]Accounts!$D$248="","",[1]Accounts!$A$248)</f>
        <v/>
      </c>
      <c r="B247" t="str">
        <f>IF([1]Accounts!$D$248="","",[1]Accounts!$B$248)</f>
        <v/>
      </c>
      <c r="C247" t="str">
        <f>IF([1]Accounts!$D$248="","",[1]Accounts!$C$248)</f>
        <v/>
      </c>
      <c r="D247" t="str">
        <f>IF([1]Accounts!$D$248="","",[1]Accounts!$D$248)</f>
        <v/>
      </c>
      <c r="E247" t="str">
        <f>IF([1]Accounts!$D$248="","",[1]Accounts!$J$248)</f>
        <v/>
      </c>
      <c r="F247" t="str">
        <f>IF([1]Accounts!$D$248="","",[1]Accounts!$K$248)</f>
        <v/>
      </c>
      <c r="J247" t="str">
        <f>IF([2]Entry!$C$250="","",[2]Entry!$C$250)</f>
        <v/>
      </c>
      <c r="K247" t="str">
        <f>IF([2]Entry!$D$250="","",[2]Entry!$D$250)</f>
        <v/>
      </c>
      <c r="L247" t="str">
        <f>IF([2]Entry!$E$250="","",[2]Entry!$E$250)</f>
        <v/>
      </c>
      <c r="M247" t="str">
        <f>IF([2]Entry!$G$250="","",[2]Entry!$G$250)</f>
        <v/>
      </c>
      <c r="N247" t="str">
        <f>IF([2]Entry!$M$250="","",[2]Entry!$M$250)</f>
        <v/>
      </c>
      <c r="O247" t="str">
        <f>IF([2]Entry!$N$250="","",[2]Entry!$N$250)</f>
        <v/>
      </c>
      <c r="P247" t="str">
        <f>IF([2]Entry!$R$250="","",[2]Entry!$R$250)</f>
        <v/>
      </c>
    </row>
    <row r="248" spans="1:16" x14ac:dyDescent="0.2">
      <c r="A248" t="str">
        <f>IF([1]Accounts!$D$249="","",[1]Accounts!$A$249)</f>
        <v/>
      </c>
      <c r="B248" t="str">
        <f>IF([1]Accounts!$D$249="","",[1]Accounts!$B$249)</f>
        <v/>
      </c>
      <c r="C248" t="str">
        <f>IF([1]Accounts!$D$249="","",[1]Accounts!$C$249)</f>
        <v/>
      </c>
      <c r="D248" t="str">
        <f>IF([1]Accounts!$D$249="","",[1]Accounts!$D$249)</f>
        <v/>
      </c>
      <c r="E248" t="str">
        <f>IF([1]Accounts!$D$249="","",[1]Accounts!$J$249)</f>
        <v/>
      </c>
      <c r="F248" t="str">
        <f>IF([1]Accounts!$D$249="","",[1]Accounts!$K$249)</f>
        <v/>
      </c>
      <c r="J248" t="str">
        <f>IF([2]Entry!$C$251="","",[2]Entry!$C$251)</f>
        <v/>
      </c>
      <c r="K248" t="str">
        <f>IF([2]Entry!$D$251="","",[2]Entry!$D$251)</f>
        <v/>
      </c>
      <c r="L248" t="str">
        <f>IF([2]Entry!$E$251="","",[2]Entry!$E$251)</f>
        <v/>
      </c>
      <c r="M248" t="str">
        <f>IF([2]Entry!$G$251="","",[2]Entry!$G$251)</f>
        <v/>
      </c>
      <c r="N248" t="str">
        <f>IF([2]Entry!$M$251="","",[2]Entry!$M$251)</f>
        <v/>
      </c>
      <c r="O248" t="str">
        <f>IF([2]Entry!$N$251="","",[2]Entry!$N$251)</f>
        <v/>
      </c>
      <c r="P248" t="str">
        <f>IF([2]Entry!$R$251="","",[2]Entry!$R$251)</f>
        <v/>
      </c>
    </row>
    <row r="249" spans="1:16" x14ac:dyDescent="0.2">
      <c r="A249" t="str">
        <f>IF([1]Accounts!$D$250="","",[1]Accounts!$A$250)</f>
        <v/>
      </c>
      <c r="B249" t="str">
        <f>IF([1]Accounts!$D$250="","",[1]Accounts!$B$250)</f>
        <v/>
      </c>
      <c r="C249" t="str">
        <f>IF([1]Accounts!$D$250="","",[1]Accounts!$C$250)</f>
        <v/>
      </c>
      <c r="D249" t="str">
        <f>IF([1]Accounts!$D$250="","",[1]Accounts!$D$250)</f>
        <v/>
      </c>
      <c r="E249" t="str">
        <f>IF([1]Accounts!$D$250="","",[1]Accounts!$J$250)</f>
        <v/>
      </c>
      <c r="F249" t="str">
        <f>IF([1]Accounts!$D$250="","",[1]Accounts!$K$250)</f>
        <v/>
      </c>
      <c r="J249" t="str">
        <f>IF([2]Entry!$C$252="","",[2]Entry!$C$252)</f>
        <v/>
      </c>
      <c r="K249" t="str">
        <f>IF([2]Entry!$D$252="","",[2]Entry!$D$252)</f>
        <v/>
      </c>
      <c r="L249" t="str">
        <f>IF([2]Entry!$E$252="","",[2]Entry!$E$252)</f>
        <v/>
      </c>
      <c r="M249" t="str">
        <f>IF([2]Entry!$G$252="","",[2]Entry!$G$252)</f>
        <v/>
      </c>
      <c r="N249" t="str">
        <f>IF([2]Entry!$M$252="","",[2]Entry!$M$252)</f>
        <v/>
      </c>
      <c r="O249" t="str">
        <f>IF([2]Entry!$N$252="","",[2]Entry!$N$252)</f>
        <v/>
      </c>
      <c r="P249" t="str">
        <f>IF([2]Entry!$R$252="","",[2]Entry!$R$252)</f>
        <v/>
      </c>
    </row>
    <row r="250" spans="1:16" x14ac:dyDescent="0.2">
      <c r="A250" t="str">
        <f>IF([1]Accounts!$D$251="","",[1]Accounts!$A$251)</f>
        <v/>
      </c>
      <c r="B250" t="str">
        <f>IF([1]Accounts!$D$251="","",[1]Accounts!$B$251)</f>
        <v/>
      </c>
      <c r="C250" t="str">
        <f>IF([1]Accounts!$D$251="","",[1]Accounts!$C$251)</f>
        <v/>
      </c>
      <c r="D250" t="str">
        <f>IF([1]Accounts!$D$251="","",[1]Accounts!$D$251)</f>
        <v/>
      </c>
      <c r="E250" t="str">
        <f>IF([1]Accounts!$D$251="","",[1]Accounts!$J$251)</f>
        <v/>
      </c>
      <c r="F250" t="str">
        <f>IF([1]Accounts!$D$251="","",[1]Accounts!$K$251)</f>
        <v/>
      </c>
      <c r="J250" t="str">
        <f>IF([2]Entry!$C$253="","",[2]Entry!$C$253)</f>
        <v/>
      </c>
      <c r="K250" t="str">
        <f>IF([2]Entry!$D$253="","",[2]Entry!$D$253)</f>
        <v/>
      </c>
      <c r="L250" t="str">
        <f>IF([2]Entry!$E$253="","",[2]Entry!$E$253)</f>
        <v/>
      </c>
      <c r="M250" t="str">
        <f>IF([2]Entry!$G$253="","",[2]Entry!$G$253)</f>
        <v/>
      </c>
      <c r="N250" t="str">
        <f>IF([2]Entry!$M$253="","",[2]Entry!$M$253)</f>
        <v/>
      </c>
      <c r="O250" t="str">
        <f>IF([2]Entry!$N$253="","",[2]Entry!$N$253)</f>
        <v/>
      </c>
      <c r="P250" t="str">
        <f>IF([2]Entry!$R$253="","",[2]Entry!$R$253)</f>
        <v/>
      </c>
    </row>
    <row r="251" spans="1:16" x14ac:dyDescent="0.2">
      <c r="A251" t="str">
        <f>IF([1]Accounts!$D$252="","",[1]Accounts!$A$252)</f>
        <v/>
      </c>
      <c r="B251" t="str">
        <f>IF([1]Accounts!$D$252="","",[1]Accounts!$B$252)</f>
        <v/>
      </c>
      <c r="C251" t="str">
        <f>IF([1]Accounts!$D$252="","",[1]Accounts!$C$252)</f>
        <v/>
      </c>
      <c r="D251" t="str">
        <f>IF([1]Accounts!$D$252="","",[1]Accounts!$D$252)</f>
        <v/>
      </c>
      <c r="E251" t="str">
        <f>IF([1]Accounts!$D$252="","",[1]Accounts!$J$252)</f>
        <v/>
      </c>
      <c r="F251" t="str">
        <f>IF([1]Accounts!$D$252="","",[1]Accounts!$K$252)</f>
        <v/>
      </c>
      <c r="J251" t="str">
        <f>IF([2]Entry!$C$254="","",[2]Entry!$C$254)</f>
        <v/>
      </c>
      <c r="K251" t="str">
        <f>IF([2]Entry!$D$254="","",[2]Entry!$D$254)</f>
        <v/>
      </c>
      <c r="L251" t="str">
        <f>IF([2]Entry!$E$254="","",[2]Entry!$E$254)</f>
        <v/>
      </c>
      <c r="M251" t="str">
        <f>IF([2]Entry!$G$254="","",[2]Entry!$G$254)</f>
        <v/>
      </c>
      <c r="N251" t="str">
        <f>IF([2]Entry!$M$254="","",[2]Entry!$M$254)</f>
        <v/>
      </c>
      <c r="O251" t="str">
        <f>IF([2]Entry!$N$254="","",[2]Entry!$N$254)</f>
        <v/>
      </c>
      <c r="P251" t="str">
        <f>IF([2]Entry!$R$254="","",[2]Entry!$R$254)</f>
        <v/>
      </c>
    </row>
    <row r="252" spans="1:16" x14ac:dyDescent="0.2">
      <c r="A252" t="str">
        <f>IF([1]Accounts!$D$253="","",[1]Accounts!$A$253)</f>
        <v/>
      </c>
      <c r="B252" t="str">
        <f>IF([1]Accounts!$D$253="","",[1]Accounts!$B$253)</f>
        <v/>
      </c>
      <c r="C252" t="str">
        <f>IF([1]Accounts!$D$253="","",[1]Accounts!$C$253)</f>
        <v/>
      </c>
      <c r="D252" t="str">
        <f>IF([1]Accounts!$D$253="","",[1]Accounts!$D$253)</f>
        <v/>
      </c>
      <c r="E252" t="str">
        <f>IF([1]Accounts!$D$253="","",[1]Accounts!$J$253)</f>
        <v/>
      </c>
      <c r="F252" t="str">
        <f>IF([1]Accounts!$D$253="","",[1]Accounts!$K$253)</f>
        <v/>
      </c>
      <c r="J252" t="str">
        <f>IF([2]Entry!$C$255="","",[2]Entry!$C$255)</f>
        <v/>
      </c>
      <c r="K252" t="str">
        <f>IF([2]Entry!$D$255="","",[2]Entry!$D$255)</f>
        <v/>
      </c>
      <c r="L252" t="str">
        <f>IF([2]Entry!$E$255="","",[2]Entry!$E$255)</f>
        <v/>
      </c>
      <c r="M252" t="str">
        <f>IF([2]Entry!$G$255="","",[2]Entry!$G$255)</f>
        <v/>
      </c>
      <c r="N252" t="str">
        <f>IF([2]Entry!$M$255="","",[2]Entry!$M$255)</f>
        <v/>
      </c>
      <c r="O252" t="str">
        <f>IF([2]Entry!$N$255="","",[2]Entry!$N$255)</f>
        <v/>
      </c>
      <c r="P252" t="str">
        <f>IF([2]Entry!$R$255="","",[2]Entry!$R$255)</f>
        <v/>
      </c>
    </row>
    <row r="253" spans="1:16" x14ac:dyDescent="0.2">
      <c r="A253" t="str">
        <f>IF([1]Accounts!$D$254="","",[1]Accounts!$A$254)</f>
        <v/>
      </c>
      <c r="B253" t="str">
        <f>IF([1]Accounts!$D$254="","",[1]Accounts!$B$254)</f>
        <v/>
      </c>
      <c r="C253" t="str">
        <f>IF([1]Accounts!$D$254="","",[1]Accounts!$C$254)</f>
        <v/>
      </c>
      <c r="D253" t="str">
        <f>IF([1]Accounts!$D$254="","",[1]Accounts!$D$254)</f>
        <v/>
      </c>
      <c r="E253" t="str">
        <f>IF([1]Accounts!$D$254="","",[1]Accounts!$J$254)</f>
        <v/>
      </c>
      <c r="F253" t="str">
        <f>IF([1]Accounts!$D$254="","",[1]Accounts!$K$254)</f>
        <v/>
      </c>
      <c r="J253" t="str">
        <f>IF([2]Entry!$C$256="","",[2]Entry!$C$256)</f>
        <v/>
      </c>
      <c r="K253" t="str">
        <f>IF([2]Entry!$D$256="","",[2]Entry!$D$256)</f>
        <v/>
      </c>
      <c r="L253" t="str">
        <f>IF([2]Entry!$E$256="","",[2]Entry!$E$256)</f>
        <v/>
      </c>
      <c r="M253" t="str">
        <f>IF([2]Entry!$G$256="","",[2]Entry!$G$256)</f>
        <v/>
      </c>
      <c r="N253" t="str">
        <f>IF([2]Entry!$M$256="","",[2]Entry!$M$256)</f>
        <v/>
      </c>
      <c r="O253" t="str">
        <f>IF([2]Entry!$N$256="","",[2]Entry!$N$256)</f>
        <v/>
      </c>
      <c r="P253" t="str">
        <f>IF([2]Entry!$R$256="","",[2]Entry!$R$256)</f>
        <v/>
      </c>
    </row>
    <row r="254" spans="1:16" x14ac:dyDescent="0.2">
      <c r="A254" t="str">
        <f>IF([1]Accounts!$D$255="","",[1]Accounts!$A$255)</f>
        <v/>
      </c>
      <c r="B254" t="str">
        <f>IF([1]Accounts!$D$255="","",[1]Accounts!$B$255)</f>
        <v/>
      </c>
      <c r="C254" t="str">
        <f>IF([1]Accounts!$D$255="","",[1]Accounts!$C$255)</f>
        <v/>
      </c>
      <c r="D254" t="str">
        <f>IF([1]Accounts!$D$255="","",[1]Accounts!$D$255)</f>
        <v/>
      </c>
      <c r="E254" t="str">
        <f>IF([1]Accounts!$D$255="","",[1]Accounts!$J$255)</f>
        <v/>
      </c>
      <c r="F254" t="str">
        <f>IF([1]Accounts!$D$255="","",[1]Accounts!$K$255)</f>
        <v/>
      </c>
      <c r="J254" t="str">
        <f>IF([2]Entry!$C$257="","",[2]Entry!$C$257)</f>
        <v/>
      </c>
      <c r="K254" t="str">
        <f>IF([2]Entry!$D$257="","",[2]Entry!$D$257)</f>
        <v/>
      </c>
      <c r="L254" t="str">
        <f>IF([2]Entry!$E$257="","",[2]Entry!$E$257)</f>
        <v/>
      </c>
      <c r="M254" t="str">
        <f>IF([2]Entry!$G$257="","",[2]Entry!$G$257)</f>
        <v/>
      </c>
      <c r="N254" t="str">
        <f>IF([2]Entry!$M$257="","",[2]Entry!$M$257)</f>
        <v/>
      </c>
      <c r="O254" t="str">
        <f>IF([2]Entry!$N$257="","",[2]Entry!$N$257)</f>
        <v/>
      </c>
      <c r="P254" t="str">
        <f>IF([2]Entry!$R$257="","",[2]Entry!$R$257)</f>
        <v/>
      </c>
    </row>
    <row r="255" spans="1:16" x14ac:dyDescent="0.2">
      <c r="A255" t="str">
        <f>IF([1]Accounts!$D$256="","",[1]Accounts!$A$256)</f>
        <v/>
      </c>
      <c r="B255" t="str">
        <f>IF([1]Accounts!$D$256="","",[1]Accounts!$B$256)</f>
        <v/>
      </c>
      <c r="C255" t="str">
        <f>IF([1]Accounts!$D$256="","",[1]Accounts!$C$256)</f>
        <v/>
      </c>
      <c r="D255" t="str">
        <f>IF([1]Accounts!$D$256="","",[1]Accounts!$D$256)</f>
        <v/>
      </c>
      <c r="E255" t="str">
        <f>IF([1]Accounts!$D$256="","",[1]Accounts!$J$256)</f>
        <v/>
      </c>
      <c r="F255" t="str">
        <f>IF([1]Accounts!$D$256="","",[1]Accounts!$K$256)</f>
        <v/>
      </c>
      <c r="J255" t="str">
        <f>IF([2]Entry!$C$258="","",[2]Entry!$C$258)</f>
        <v/>
      </c>
      <c r="K255" t="str">
        <f>IF([2]Entry!$D$258="","",[2]Entry!$D$258)</f>
        <v/>
      </c>
      <c r="L255" t="str">
        <f>IF([2]Entry!$E$258="","",[2]Entry!$E$258)</f>
        <v/>
      </c>
      <c r="M255" t="str">
        <f>IF([2]Entry!$G$258="","",[2]Entry!$G$258)</f>
        <v/>
      </c>
      <c r="N255" t="str">
        <f>IF([2]Entry!$M$258="","",[2]Entry!$M$258)</f>
        <v/>
      </c>
      <c r="O255" t="str">
        <f>IF([2]Entry!$N$258="","",[2]Entry!$N$258)</f>
        <v/>
      </c>
      <c r="P255" t="str">
        <f>IF([2]Entry!$R$258="","",[2]Entry!$R$258)</f>
        <v/>
      </c>
    </row>
    <row r="256" spans="1:16" x14ac:dyDescent="0.2">
      <c r="A256" t="str">
        <f>IF([1]Accounts!$D$257="","",[1]Accounts!$A$257)</f>
        <v/>
      </c>
      <c r="B256" t="str">
        <f>IF([1]Accounts!$D$257="","",[1]Accounts!$B$257)</f>
        <v/>
      </c>
      <c r="C256" t="str">
        <f>IF([1]Accounts!$D$257="","",[1]Accounts!$C$257)</f>
        <v/>
      </c>
      <c r="D256" t="str">
        <f>IF([1]Accounts!$D$257="","",[1]Accounts!$D$257)</f>
        <v/>
      </c>
      <c r="E256" t="str">
        <f>IF([1]Accounts!$D$257="","",[1]Accounts!$J$257)</f>
        <v/>
      </c>
      <c r="F256" t="str">
        <f>IF([1]Accounts!$D$257="","",[1]Accounts!$K$257)</f>
        <v/>
      </c>
      <c r="J256" t="str">
        <f>IF([2]Entry!$C$259="","",[2]Entry!$C$259)</f>
        <v/>
      </c>
      <c r="K256" t="str">
        <f>IF([2]Entry!$D$259="","",[2]Entry!$D$259)</f>
        <v/>
      </c>
      <c r="L256" t="str">
        <f>IF([2]Entry!$E$259="","",[2]Entry!$E$259)</f>
        <v/>
      </c>
      <c r="M256" t="str">
        <f>IF([2]Entry!$G$259="","",[2]Entry!$G$259)</f>
        <v/>
      </c>
      <c r="N256" t="str">
        <f>IF([2]Entry!$M$259="","",[2]Entry!$M$259)</f>
        <v/>
      </c>
      <c r="O256" t="str">
        <f>IF([2]Entry!$N$259="","",[2]Entry!$N$259)</f>
        <v/>
      </c>
      <c r="P256" t="str">
        <f>IF([2]Entry!$R$259="","",[2]Entry!$R$259)</f>
        <v/>
      </c>
    </row>
    <row r="257" spans="1:16" x14ac:dyDescent="0.2">
      <c r="A257" t="str">
        <f>IF([1]Accounts!$D$258="","",[1]Accounts!$A$258)</f>
        <v/>
      </c>
      <c r="B257" t="str">
        <f>IF([1]Accounts!$D$258="","",[1]Accounts!$B$258)</f>
        <v/>
      </c>
      <c r="C257" t="str">
        <f>IF([1]Accounts!$D$258="","",[1]Accounts!$C$258)</f>
        <v/>
      </c>
      <c r="D257" t="str">
        <f>IF([1]Accounts!$D$258="","",[1]Accounts!$D$258)</f>
        <v/>
      </c>
      <c r="E257" t="str">
        <f>IF([1]Accounts!$D$258="","",[1]Accounts!$J$258)</f>
        <v/>
      </c>
      <c r="F257" t="str">
        <f>IF([1]Accounts!$D$258="","",[1]Accounts!$K$258)</f>
        <v/>
      </c>
      <c r="J257" t="str">
        <f>IF([2]Entry!$C$260="","",[2]Entry!$C$260)</f>
        <v/>
      </c>
      <c r="K257" t="str">
        <f>IF([2]Entry!$D$260="","",[2]Entry!$D$260)</f>
        <v/>
      </c>
      <c r="L257" t="str">
        <f>IF([2]Entry!$E$260="","",[2]Entry!$E$260)</f>
        <v/>
      </c>
      <c r="M257" t="str">
        <f>IF([2]Entry!$G$260="","",[2]Entry!$G$260)</f>
        <v/>
      </c>
      <c r="N257" t="str">
        <f>IF([2]Entry!$M$260="","",[2]Entry!$M$260)</f>
        <v/>
      </c>
      <c r="O257" t="str">
        <f>IF([2]Entry!$N$260="","",[2]Entry!$N$260)</f>
        <v/>
      </c>
      <c r="P257" t="str">
        <f>IF([2]Entry!$R$260="","",[2]Entry!$R$260)</f>
        <v/>
      </c>
    </row>
    <row r="258" spans="1:16" x14ac:dyDescent="0.2">
      <c r="A258" t="str">
        <f>IF([1]Accounts!$D$259="","",[1]Accounts!$A$259)</f>
        <v/>
      </c>
      <c r="B258" t="str">
        <f>IF([1]Accounts!$D$259="","",[1]Accounts!$B$259)</f>
        <v/>
      </c>
      <c r="C258" t="str">
        <f>IF([1]Accounts!$D$259="","",[1]Accounts!$C$259)</f>
        <v/>
      </c>
      <c r="D258" t="str">
        <f>IF([1]Accounts!$D$259="","",[1]Accounts!$D$259)</f>
        <v/>
      </c>
      <c r="E258" t="str">
        <f>IF([1]Accounts!$D$259="","",[1]Accounts!$J$259)</f>
        <v/>
      </c>
      <c r="F258" t="str">
        <f>IF([1]Accounts!$D$259="","",[1]Accounts!$K$259)</f>
        <v/>
      </c>
      <c r="J258" t="str">
        <f>IF([2]Entry!$C$261="","",[2]Entry!$C$261)</f>
        <v/>
      </c>
      <c r="K258" t="str">
        <f>IF([2]Entry!$D$261="","",[2]Entry!$D$261)</f>
        <v/>
      </c>
      <c r="L258" t="str">
        <f>IF([2]Entry!$E$261="","",[2]Entry!$E$261)</f>
        <v/>
      </c>
      <c r="M258" t="str">
        <f>IF([2]Entry!$G$261="","",[2]Entry!$G$261)</f>
        <v/>
      </c>
      <c r="N258" t="str">
        <f>IF([2]Entry!$M$261="","",[2]Entry!$M$261)</f>
        <v/>
      </c>
      <c r="O258" t="str">
        <f>IF([2]Entry!$N$261="","",[2]Entry!$N$261)</f>
        <v/>
      </c>
      <c r="P258" t="str">
        <f>IF([2]Entry!$R$261="","",[2]Entry!$R$261)</f>
        <v/>
      </c>
    </row>
    <row r="259" spans="1:16" x14ac:dyDescent="0.2">
      <c r="A259" t="str">
        <f>IF([1]Accounts!$D$260="","",[1]Accounts!$A$260)</f>
        <v/>
      </c>
      <c r="B259" t="str">
        <f>IF([1]Accounts!$D$260="","",[1]Accounts!$B$260)</f>
        <v/>
      </c>
      <c r="C259" t="str">
        <f>IF([1]Accounts!$D$260="","",[1]Accounts!$C$260)</f>
        <v/>
      </c>
      <c r="D259" t="str">
        <f>IF([1]Accounts!$D$260="","",[1]Accounts!$D$260)</f>
        <v/>
      </c>
      <c r="E259" t="str">
        <f>IF([1]Accounts!$D$260="","",[1]Accounts!$J$260)</f>
        <v/>
      </c>
      <c r="F259" t="str">
        <f>IF([1]Accounts!$D$260="","",[1]Accounts!$K$260)</f>
        <v/>
      </c>
      <c r="J259" t="str">
        <f>IF([2]Entry!$C$262="","",[2]Entry!$C$262)</f>
        <v/>
      </c>
      <c r="K259" t="str">
        <f>IF([2]Entry!$D$262="","",[2]Entry!$D$262)</f>
        <v/>
      </c>
      <c r="L259" t="str">
        <f>IF([2]Entry!$E$262="","",[2]Entry!$E$262)</f>
        <v/>
      </c>
      <c r="M259" t="str">
        <f>IF([2]Entry!$G$262="","",[2]Entry!$G$262)</f>
        <v/>
      </c>
      <c r="N259" t="str">
        <f>IF([2]Entry!$M$262="","",[2]Entry!$M$262)</f>
        <v/>
      </c>
      <c r="O259" t="str">
        <f>IF([2]Entry!$N$262="","",[2]Entry!$N$262)</f>
        <v/>
      </c>
      <c r="P259" t="str">
        <f>IF([2]Entry!$R$262="","",[2]Entry!$R$262)</f>
        <v/>
      </c>
    </row>
    <row r="260" spans="1:16" x14ac:dyDescent="0.2">
      <c r="A260" t="str">
        <f>IF([1]Accounts!$D$261="","",[1]Accounts!$A$261)</f>
        <v/>
      </c>
      <c r="B260" t="str">
        <f>IF([1]Accounts!$D$261="","",[1]Accounts!$B$261)</f>
        <v/>
      </c>
      <c r="C260" t="str">
        <f>IF([1]Accounts!$D$261="","",[1]Accounts!$C$261)</f>
        <v/>
      </c>
      <c r="D260" t="str">
        <f>IF([1]Accounts!$D$261="","",[1]Accounts!$D$261)</f>
        <v/>
      </c>
      <c r="E260" t="str">
        <f>IF([1]Accounts!$D$261="","",[1]Accounts!$J$261)</f>
        <v/>
      </c>
      <c r="F260" t="str">
        <f>IF([1]Accounts!$D$261="","",[1]Accounts!$K$261)</f>
        <v/>
      </c>
      <c r="J260" t="str">
        <f>IF([2]Entry!$C$263="","",[2]Entry!$C$263)</f>
        <v/>
      </c>
      <c r="K260" t="str">
        <f>IF([2]Entry!$D$263="","",[2]Entry!$D$263)</f>
        <v/>
      </c>
      <c r="L260" t="str">
        <f>IF([2]Entry!$E$263="","",[2]Entry!$E$263)</f>
        <v/>
      </c>
      <c r="M260" t="str">
        <f>IF([2]Entry!$G$263="","",[2]Entry!$G$263)</f>
        <v/>
      </c>
      <c r="N260" t="str">
        <f>IF([2]Entry!$M$263="","",[2]Entry!$M$263)</f>
        <v/>
      </c>
      <c r="O260" t="str">
        <f>IF([2]Entry!$N$263="","",[2]Entry!$N$263)</f>
        <v/>
      </c>
      <c r="P260" t="str">
        <f>IF([2]Entry!$R$263="","",[2]Entry!$R$263)</f>
        <v/>
      </c>
    </row>
    <row r="261" spans="1:16" x14ac:dyDescent="0.2">
      <c r="A261" t="str">
        <f>IF([1]Accounts!$D$262="","",[1]Accounts!$A$262)</f>
        <v/>
      </c>
      <c r="B261" t="str">
        <f>IF([1]Accounts!$D$262="","",[1]Accounts!$B$262)</f>
        <v/>
      </c>
      <c r="C261" t="str">
        <f>IF([1]Accounts!$D$262="","",[1]Accounts!$C$262)</f>
        <v/>
      </c>
      <c r="D261" t="str">
        <f>IF([1]Accounts!$D$262="","",[1]Accounts!$D$262)</f>
        <v/>
      </c>
      <c r="E261" t="str">
        <f>IF([1]Accounts!$D$262="","",[1]Accounts!$J$262)</f>
        <v/>
      </c>
      <c r="F261" t="str">
        <f>IF([1]Accounts!$D$262="","",[1]Accounts!$K$262)</f>
        <v/>
      </c>
      <c r="J261" t="str">
        <f>IF([2]Entry!$C$264="","",[2]Entry!$C$264)</f>
        <v/>
      </c>
      <c r="K261" t="str">
        <f>IF([2]Entry!$D$264="","",[2]Entry!$D$264)</f>
        <v/>
      </c>
      <c r="L261" t="str">
        <f>IF([2]Entry!$E$264="","",[2]Entry!$E$264)</f>
        <v/>
      </c>
      <c r="M261" t="str">
        <f>IF([2]Entry!$G$264="","",[2]Entry!$G$264)</f>
        <v/>
      </c>
      <c r="N261" t="str">
        <f>IF([2]Entry!$M$264="","",[2]Entry!$M$264)</f>
        <v/>
      </c>
      <c r="O261" t="str">
        <f>IF([2]Entry!$N$264="","",[2]Entry!$N$264)</f>
        <v/>
      </c>
      <c r="P261" t="str">
        <f>IF([2]Entry!$R$264="","",[2]Entry!$R$264)</f>
        <v/>
      </c>
    </row>
    <row r="262" spans="1:16" x14ac:dyDescent="0.2">
      <c r="A262" t="str">
        <f>IF([1]Accounts!$D$263="","",[1]Accounts!$A$263)</f>
        <v/>
      </c>
      <c r="B262" t="str">
        <f>IF([1]Accounts!$D$263="","",[1]Accounts!$B$263)</f>
        <v/>
      </c>
      <c r="C262" t="str">
        <f>IF([1]Accounts!$D$263="","",[1]Accounts!$C$263)</f>
        <v/>
      </c>
      <c r="D262" t="str">
        <f>IF([1]Accounts!$D$263="","",[1]Accounts!$D$263)</f>
        <v/>
      </c>
      <c r="E262" t="str">
        <f>IF([1]Accounts!$D$263="","",[1]Accounts!$J$263)</f>
        <v/>
      </c>
      <c r="F262" t="str">
        <f>IF([1]Accounts!$D$263="","",[1]Accounts!$K$263)</f>
        <v/>
      </c>
      <c r="J262" t="str">
        <f>IF([2]Entry!$C$265="","",[2]Entry!$C$265)</f>
        <v/>
      </c>
      <c r="K262" t="str">
        <f>IF([2]Entry!$D$265="","",[2]Entry!$D$265)</f>
        <v/>
      </c>
      <c r="L262" t="str">
        <f>IF([2]Entry!$E$265="","",[2]Entry!$E$265)</f>
        <v/>
      </c>
      <c r="M262" t="str">
        <f>IF([2]Entry!$G$265="","",[2]Entry!$G$265)</f>
        <v/>
      </c>
      <c r="N262" t="str">
        <f>IF([2]Entry!$M$265="","",[2]Entry!$M$265)</f>
        <v/>
      </c>
      <c r="O262" t="str">
        <f>IF([2]Entry!$N$265="","",[2]Entry!$N$265)</f>
        <v/>
      </c>
      <c r="P262" t="str">
        <f>IF([2]Entry!$R$265="","",[2]Entry!$R$265)</f>
        <v/>
      </c>
    </row>
    <row r="263" spans="1:16" x14ac:dyDescent="0.2">
      <c r="A263" t="str">
        <f>IF([1]Accounts!$D$264="","",[1]Accounts!$A$264)</f>
        <v/>
      </c>
      <c r="B263" t="str">
        <f>IF([1]Accounts!$D$264="","",[1]Accounts!$B$264)</f>
        <v/>
      </c>
      <c r="C263" t="str">
        <f>IF([1]Accounts!$D$264="","",[1]Accounts!$C$264)</f>
        <v/>
      </c>
      <c r="D263" t="str">
        <f>IF([1]Accounts!$D$264="","",[1]Accounts!$D$264)</f>
        <v/>
      </c>
      <c r="E263" t="str">
        <f>IF([1]Accounts!$D$264="","",[1]Accounts!$J$264)</f>
        <v/>
      </c>
      <c r="F263" t="str">
        <f>IF([1]Accounts!$D$264="","",[1]Accounts!$K$264)</f>
        <v/>
      </c>
      <c r="J263" t="str">
        <f>IF([2]Entry!$C$266="","",[2]Entry!$C$266)</f>
        <v/>
      </c>
      <c r="K263" t="str">
        <f>IF([2]Entry!$D$266="","",[2]Entry!$D$266)</f>
        <v/>
      </c>
      <c r="L263" t="str">
        <f>IF([2]Entry!$E$266="","",[2]Entry!$E$266)</f>
        <v/>
      </c>
      <c r="M263" t="str">
        <f>IF([2]Entry!$G$266="","",[2]Entry!$G$266)</f>
        <v/>
      </c>
      <c r="N263" t="str">
        <f>IF([2]Entry!$M$266="","",[2]Entry!$M$266)</f>
        <v/>
      </c>
      <c r="O263" t="str">
        <f>IF([2]Entry!$N$266="","",[2]Entry!$N$266)</f>
        <v/>
      </c>
      <c r="P263" t="str">
        <f>IF([2]Entry!$R$266="","",[2]Entry!$R$266)</f>
        <v/>
      </c>
    </row>
    <row r="264" spans="1:16" x14ac:dyDescent="0.2">
      <c r="A264" t="str">
        <f>IF([1]Accounts!$D$265="","",[1]Accounts!$A$265)</f>
        <v/>
      </c>
      <c r="B264" t="str">
        <f>IF([1]Accounts!$D$265="","",[1]Accounts!$B$265)</f>
        <v/>
      </c>
      <c r="C264" t="str">
        <f>IF([1]Accounts!$D$265="","",[1]Accounts!$C$265)</f>
        <v/>
      </c>
      <c r="D264" t="str">
        <f>IF([1]Accounts!$D$265="","",[1]Accounts!$D$265)</f>
        <v/>
      </c>
      <c r="E264" t="str">
        <f>IF([1]Accounts!$D$265="","",[1]Accounts!$J$265)</f>
        <v/>
      </c>
      <c r="F264" t="str">
        <f>IF([1]Accounts!$D$265="","",[1]Accounts!$K$265)</f>
        <v/>
      </c>
      <c r="J264" t="str">
        <f>IF([2]Entry!$C$267="","",[2]Entry!$C$267)</f>
        <v/>
      </c>
      <c r="K264" t="str">
        <f>IF([2]Entry!$D$267="","",[2]Entry!$D$267)</f>
        <v/>
      </c>
      <c r="L264" t="str">
        <f>IF([2]Entry!$E$267="","",[2]Entry!$E$267)</f>
        <v/>
      </c>
      <c r="M264" t="str">
        <f>IF([2]Entry!$G$267="","",[2]Entry!$G$267)</f>
        <v/>
      </c>
      <c r="N264" t="str">
        <f>IF([2]Entry!$M$267="","",[2]Entry!$M$267)</f>
        <v/>
      </c>
      <c r="O264" t="str">
        <f>IF([2]Entry!$N$267="","",[2]Entry!$N$267)</f>
        <v/>
      </c>
      <c r="P264" t="str">
        <f>IF([2]Entry!$R$267="","",[2]Entry!$R$267)</f>
        <v/>
      </c>
    </row>
    <row r="265" spans="1:16" x14ac:dyDescent="0.2">
      <c r="A265" t="str">
        <f>IF([1]Accounts!$D$266="","",[1]Accounts!$A$266)</f>
        <v/>
      </c>
      <c r="B265" t="str">
        <f>IF([1]Accounts!$D$266="","",[1]Accounts!$B$266)</f>
        <v/>
      </c>
      <c r="C265" t="str">
        <f>IF([1]Accounts!$D$266="","",[1]Accounts!$C$266)</f>
        <v/>
      </c>
      <c r="D265" t="str">
        <f>IF([1]Accounts!$D$266="","",[1]Accounts!$D$266)</f>
        <v/>
      </c>
      <c r="E265" t="str">
        <f>IF([1]Accounts!$D$266="","",[1]Accounts!$J$266)</f>
        <v/>
      </c>
      <c r="F265" t="str">
        <f>IF([1]Accounts!$D$266="","",[1]Accounts!$K$266)</f>
        <v/>
      </c>
      <c r="J265" t="str">
        <f>IF([2]Entry!$C$268="","",[2]Entry!$C$268)</f>
        <v/>
      </c>
      <c r="K265" t="str">
        <f>IF([2]Entry!$D$268="","",[2]Entry!$D$268)</f>
        <v/>
      </c>
      <c r="L265" t="str">
        <f>IF([2]Entry!$E$268="","",[2]Entry!$E$268)</f>
        <v/>
      </c>
      <c r="M265" t="str">
        <f>IF([2]Entry!$G$268="","",[2]Entry!$G$268)</f>
        <v/>
      </c>
      <c r="N265" t="str">
        <f>IF([2]Entry!$M$268="","",[2]Entry!$M$268)</f>
        <v/>
      </c>
      <c r="O265" t="str">
        <f>IF([2]Entry!$N$268="","",[2]Entry!$N$268)</f>
        <v/>
      </c>
      <c r="P265" t="str">
        <f>IF([2]Entry!$R$268="","",[2]Entry!$R$268)</f>
        <v/>
      </c>
    </row>
    <row r="266" spans="1:16" x14ac:dyDescent="0.2">
      <c r="A266" t="str">
        <f>IF([1]Accounts!$D$267="","",[1]Accounts!$A$267)</f>
        <v/>
      </c>
      <c r="B266" t="str">
        <f>IF([1]Accounts!$D$267="","",[1]Accounts!$B$267)</f>
        <v/>
      </c>
      <c r="C266" t="str">
        <f>IF([1]Accounts!$D$267="","",[1]Accounts!$C$267)</f>
        <v/>
      </c>
      <c r="D266" t="str">
        <f>IF([1]Accounts!$D$267="","",[1]Accounts!$D$267)</f>
        <v/>
      </c>
      <c r="E266" t="str">
        <f>IF([1]Accounts!$D$267="","",[1]Accounts!$J$267)</f>
        <v/>
      </c>
      <c r="F266" t="str">
        <f>IF([1]Accounts!$D$267="","",[1]Accounts!$K$267)</f>
        <v/>
      </c>
      <c r="J266" t="str">
        <f>IF([2]Entry!$C$269="","",[2]Entry!$C$269)</f>
        <v/>
      </c>
      <c r="K266" t="str">
        <f>IF([2]Entry!$D$269="","",[2]Entry!$D$269)</f>
        <v/>
      </c>
      <c r="L266" t="str">
        <f>IF([2]Entry!$E$269="","",[2]Entry!$E$269)</f>
        <v/>
      </c>
      <c r="M266" t="str">
        <f>IF([2]Entry!$G$269="","",[2]Entry!$G$269)</f>
        <v/>
      </c>
      <c r="N266" t="str">
        <f>IF([2]Entry!$M$269="","",[2]Entry!$M$269)</f>
        <v/>
      </c>
      <c r="O266" t="str">
        <f>IF([2]Entry!$N$269="","",[2]Entry!$N$269)</f>
        <v/>
      </c>
      <c r="P266" t="str">
        <f>IF([2]Entry!$R$269="","",[2]Entry!$R$269)</f>
        <v/>
      </c>
    </row>
    <row r="267" spans="1:16" x14ac:dyDescent="0.2">
      <c r="A267" t="str">
        <f>IF([1]Accounts!$D$268="","",[1]Accounts!$A$268)</f>
        <v/>
      </c>
      <c r="B267" t="str">
        <f>IF([1]Accounts!$D$268="","",[1]Accounts!$B$268)</f>
        <v/>
      </c>
      <c r="C267" t="str">
        <f>IF([1]Accounts!$D$268="","",[1]Accounts!$C$268)</f>
        <v/>
      </c>
      <c r="D267" t="str">
        <f>IF([1]Accounts!$D$268="","",[1]Accounts!$D$268)</f>
        <v/>
      </c>
      <c r="E267" t="str">
        <f>IF([1]Accounts!$D$268="","",[1]Accounts!$J$268)</f>
        <v/>
      </c>
      <c r="F267" t="str">
        <f>IF([1]Accounts!$D$268="","",[1]Accounts!$K$268)</f>
        <v/>
      </c>
      <c r="J267" t="str">
        <f>IF([2]Entry!$C$270="","",[2]Entry!$C$270)</f>
        <v/>
      </c>
      <c r="K267" t="str">
        <f>IF([2]Entry!$D$270="","",[2]Entry!$D$270)</f>
        <v/>
      </c>
      <c r="L267" t="str">
        <f>IF([2]Entry!$E$270="","",[2]Entry!$E$270)</f>
        <v/>
      </c>
      <c r="M267" t="str">
        <f>IF([2]Entry!$G$270="","",[2]Entry!$G$270)</f>
        <v/>
      </c>
      <c r="N267" t="str">
        <f>IF([2]Entry!$M$270="","",[2]Entry!$M$270)</f>
        <v/>
      </c>
      <c r="O267" t="str">
        <f>IF([2]Entry!$N$270="","",[2]Entry!$N$270)</f>
        <v/>
      </c>
      <c r="P267" t="str">
        <f>IF([2]Entry!$R$270="","",[2]Entry!$R$270)</f>
        <v/>
      </c>
    </row>
    <row r="268" spans="1:16" x14ac:dyDescent="0.2">
      <c r="A268" t="str">
        <f>IF([1]Accounts!$D$269="","",[1]Accounts!$A$269)</f>
        <v/>
      </c>
      <c r="B268" t="str">
        <f>IF([1]Accounts!$D$269="","",[1]Accounts!$B$269)</f>
        <v/>
      </c>
      <c r="C268" t="str">
        <f>IF([1]Accounts!$D$269="","",[1]Accounts!$C$269)</f>
        <v/>
      </c>
      <c r="D268" t="str">
        <f>IF([1]Accounts!$D$269="","",[1]Accounts!$D$269)</f>
        <v/>
      </c>
      <c r="E268" t="str">
        <f>IF([1]Accounts!$D$269="","",[1]Accounts!$J$269)</f>
        <v/>
      </c>
      <c r="F268" t="str">
        <f>IF([1]Accounts!$D$269="","",[1]Accounts!$K$269)</f>
        <v/>
      </c>
      <c r="J268" t="str">
        <f>IF([2]Entry!$C$271="","",[2]Entry!$C$271)</f>
        <v/>
      </c>
      <c r="K268" t="str">
        <f>IF([2]Entry!$D$271="","",[2]Entry!$D$271)</f>
        <v/>
      </c>
      <c r="L268" t="str">
        <f>IF([2]Entry!$E$271="","",[2]Entry!$E$271)</f>
        <v/>
      </c>
      <c r="M268" t="str">
        <f>IF([2]Entry!$G$271="","",[2]Entry!$G$271)</f>
        <v/>
      </c>
      <c r="N268" t="str">
        <f>IF([2]Entry!$M$271="","",[2]Entry!$M$271)</f>
        <v/>
      </c>
      <c r="O268" t="str">
        <f>IF([2]Entry!$N$271="","",[2]Entry!$N$271)</f>
        <v/>
      </c>
      <c r="P268" t="str">
        <f>IF([2]Entry!$R$271="","",[2]Entry!$R$271)</f>
        <v/>
      </c>
    </row>
    <row r="269" spans="1:16" x14ac:dyDescent="0.2">
      <c r="A269" t="str">
        <f>IF([1]Accounts!$D$270="","",[1]Accounts!$A$270)</f>
        <v/>
      </c>
      <c r="B269" t="str">
        <f>IF([1]Accounts!$D$270="","",[1]Accounts!$B$270)</f>
        <v/>
      </c>
      <c r="C269" t="str">
        <f>IF([1]Accounts!$D$270="","",[1]Accounts!$C$270)</f>
        <v/>
      </c>
      <c r="D269" t="str">
        <f>IF([1]Accounts!$D$270="","",[1]Accounts!$D$270)</f>
        <v/>
      </c>
      <c r="E269" t="str">
        <f>IF([1]Accounts!$D$270="","",[1]Accounts!$J$270)</f>
        <v/>
      </c>
      <c r="F269" t="str">
        <f>IF([1]Accounts!$D$270="","",[1]Accounts!$K$270)</f>
        <v/>
      </c>
      <c r="J269" t="str">
        <f>IF([2]Entry!$C$272="","",[2]Entry!$C$272)</f>
        <v/>
      </c>
      <c r="K269" t="str">
        <f>IF([2]Entry!$D$272="","",[2]Entry!$D$272)</f>
        <v/>
      </c>
      <c r="L269" t="str">
        <f>IF([2]Entry!$E$272="","",[2]Entry!$E$272)</f>
        <v/>
      </c>
      <c r="M269" t="str">
        <f>IF([2]Entry!$G$272="","",[2]Entry!$G$272)</f>
        <v/>
      </c>
      <c r="N269" t="str">
        <f>IF([2]Entry!$M$272="","",[2]Entry!$M$272)</f>
        <v/>
      </c>
      <c r="O269" t="str">
        <f>IF([2]Entry!$N$272="","",[2]Entry!$N$272)</f>
        <v/>
      </c>
      <c r="P269" t="str">
        <f>IF([2]Entry!$R$272="","",[2]Entry!$R$272)</f>
        <v/>
      </c>
    </row>
    <row r="270" spans="1:16" x14ac:dyDescent="0.2">
      <c r="A270" t="str">
        <f>IF([1]Accounts!$D$271="","",[1]Accounts!$A$271)</f>
        <v/>
      </c>
      <c r="B270" t="str">
        <f>IF([1]Accounts!$D$271="","",[1]Accounts!$B$271)</f>
        <v/>
      </c>
      <c r="C270" t="str">
        <f>IF([1]Accounts!$D$271="","",[1]Accounts!$C$271)</f>
        <v/>
      </c>
      <c r="D270" t="str">
        <f>IF([1]Accounts!$D$271="","",[1]Accounts!$D$271)</f>
        <v/>
      </c>
      <c r="E270" t="str">
        <f>IF([1]Accounts!$D$271="","",[1]Accounts!$J$271)</f>
        <v/>
      </c>
      <c r="F270" t="str">
        <f>IF([1]Accounts!$D$271="","",[1]Accounts!$K$271)</f>
        <v/>
      </c>
      <c r="J270" t="str">
        <f>IF([2]Entry!$C$273="","",[2]Entry!$C$273)</f>
        <v/>
      </c>
      <c r="K270" t="str">
        <f>IF([2]Entry!$D$273="","",[2]Entry!$D$273)</f>
        <v/>
      </c>
      <c r="L270" t="str">
        <f>IF([2]Entry!$E$273="","",[2]Entry!$E$273)</f>
        <v/>
      </c>
      <c r="M270" t="str">
        <f>IF([2]Entry!$G$273="","",[2]Entry!$G$273)</f>
        <v/>
      </c>
      <c r="N270" t="str">
        <f>IF([2]Entry!$M$273="","",[2]Entry!$M$273)</f>
        <v/>
      </c>
      <c r="O270" t="str">
        <f>IF([2]Entry!$N$273="","",[2]Entry!$N$273)</f>
        <v/>
      </c>
      <c r="P270" t="str">
        <f>IF([2]Entry!$R$273="","",[2]Entry!$R$273)</f>
        <v/>
      </c>
    </row>
    <row r="271" spans="1:16" x14ac:dyDescent="0.2">
      <c r="A271" t="str">
        <f>IF([1]Accounts!$D$272="","",[1]Accounts!$A$272)</f>
        <v/>
      </c>
      <c r="B271" t="str">
        <f>IF([1]Accounts!$D$272="","",[1]Accounts!$B$272)</f>
        <v/>
      </c>
      <c r="C271" t="str">
        <f>IF([1]Accounts!$D$272="","",[1]Accounts!$C$272)</f>
        <v/>
      </c>
      <c r="D271" t="str">
        <f>IF([1]Accounts!$D$272="","",[1]Accounts!$D$272)</f>
        <v/>
      </c>
      <c r="E271" t="str">
        <f>IF([1]Accounts!$D$272="","",[1]Accounts!$J$272)</f>
        <v/>
      </c>
      <c r="F271" t="str">
        <f>IF([1]Accounts!$D$272="","",[1]Accounts!$K$272)</f>
        <v/>
      </c>
      <c r="J271" t="str">
        <f>IF([2]Entry!$C$274="","",[2]Entry!$C$274)</f>
        <v/>
      </c>
      <c r="K271" t="str">
        <f>IF([2]Entry!$D$274="","",[2]Entry!$D$274)</f>
        <v/>
      </c>
      <c r="L271" t="str">
        <f>IF([2]Entry!$E$274="","",[2]Entry!$E$274)</f>
        <v/>
      </c>
      <c r="M271" t="str">
        <f>IF([2]Entry!$G$274="","",[2]Entry!$G$274)</f>
        <v/>
      </c>
      <c r="N271" t="str">
        <f>IF([2]Entry!$M$274="","",[2]Entry!$M$274)</f>
        <v/>
      </c>
      <c r="O271" t="str">
        <f>IF([2]Entry!$N$274="","",[2]Entry!$N$274)</f>
        <v/>
      </c>
      <c r="P271" t="str">
        <f>IF([2]Entry!$R$274="","",[2]Entry!$R$274)</f>
        <v/>
      </c>
    </row>
    <row r="272" spans="1:16" x14ac:dyDescent="0.2">
      <c r="A272" t="str">
        <f>IF([1]Accounts!$D$273="","",[1]Accounts!$A$273)</f>
        <v/>
      </c>
      <c r="B272" t="str">
        <f>IF([1]Accounts!$D$273="","",[1]Accounts!$B$273)</f>
        <v/>
      </c>
      <c r="C272" t="str">
        <f>IF([1]Accounts!$D$273="","",[1]Accounts!$C$273)</f>
        <v/>
      </c>
      <c r="D272" t="str">
        <f>IF([1]Accounts!$D$273="","",[1]Accounts!$D$273)</f>
        <v/>
      </c>
      <c r="E272" t="str">
        <f>IF([1]Accounts!$D$273="","",[1]Accounts!$J$273)</f>
        <v/>
      </c>
      <c r="F272" t="str">
        <f>IF([1]Accounts!$D$273="","",[1]Accounts!$K$273)</f>
        <v/>
      </c>
      <c r="J272" t="str">
        <f>IF([2]Entry!$C$275="","",[2]Entry!$C$275)</f>
        <v/>
      </c>
      <c r="K272" t="str">
        <f>IF([2]Entry!$D$275="","",[2]Entry!$D$275)</f>
        <v/>
      </c>
      <c r="L272" t="str">
        <f>IF([2]Entry!$E$275="","",[2]Entry!$E$275)</f>
        <v/>
      </c>
      <c r="M272" t="str">
        <f>IF([2]Entry!$G$275="","",[2]Entry!$G$275)</f>
        <v/>
      </c>
      <c r="N272" t="str">
        <f>IF([2]Entry!$M$275="","",[2]Entry!$M$275)</f>
        <v/>
      </c>
      <c r="O272" t="str">
        <f>IF([2]Entry!$N$275="","",[2]Entry!$N$275)</f>
        <v/>
      </c>
      <c r="P272" t="str">
        <f>IF([2]Entry!$R$275="","",[2]Entry!$R$275)</f>
        <v/>
      </c>
    </row>
    <row r="273" spans="1:16" x14ac:dyDescent="0.2">
      <c r="A273" t="str">
        <f>IF([1]Accounts!$D$274="","",[1]Accounts!$A$274)</f>
        <v/>
      </c>
      <c r="B273" t="str">
        <f>IF([1]Accounts!$D$274="","",[1]Accounts!$B$274)</f>
        <v/>
      </c>
      <c r="C273" t="str">
        <f>IF([1]Accounts!$D$274="","",[1]Accounts!$C$274)</f>
        <v/>
      </c>
      <c r="D273" t="str">
        <f>IF([1]Accounts!$D$274="","",[1]Accounts!$D$274)</f>
        <v/>
      </c>
      <c r="E273" t="str">
        <f>IF([1]Accounts!$D$274="","",[1]Accounts!$J$274)</f>
        <v/>
      </c>
      <c r="F273" t="str">
        <f>IF([1]Accounts!$D$274="","",[1]Accounts!$K$274)</f>
        <v/>
      </c>
      <c r="J273" t="str">
        <f>IF([2]Entry!$C$276="","",[2]Entry!$C$276)</f>
        <v/>
      </c>
      <c r="K273" t="str">
        <f>IF([2]Entry!$D$276="","",[2]Entry!$D$276)</f>
        <v/>
      </c>
      <c r="L273" t="str">
        <f>IF([2]Entry!$E$276="","",[2]Entry!$E$276)</f>
        <v/>
      </c>
      <c r="M273" t="str">
        <f>IF([2]Entry!$G$276="","",[2]Entry!$G$276)</f>
        <v/>
      </c>
      <c r="N273" t="str">
        <f>IF([2]Entry!$M$276="","",[2]Entry!$M$276)</f>
        <v/>
      </c>
      <c r="O273" t="str">
        <f>IF([2]Entry!$N$276="","",[2]Entry!$N$276)</f>
        <v/>
      </c>
      <c r="P273" t="str">
        <f>IF([2]Entry!$R$276="","",[2]Entry!$R$276)</f>
        <v/>
      </c>
    </row>
    <row r="274" spans="1:16" x14ac:dyDescent="0.2">
      <c r="A274" t="str">
        <f>IF([1]Accounts!$D$275="","",[1]Accounts!$A$275)</f>
        <v/>
      </c>
      <c r="B274" t="str">
        <f>IF([1]Accounts!$D$275="","",[1]Accounts!$B$275)</f>
        <v/>
      </c>
      <c r="C274" t="str">
        <f>IF([1]Accounts!$D$275="","",[1]Accounts!$C$275)</f>
        <v/>
      </c>
      <c r="D274" t="str">
        <f>IF([1]Accounts!$D$275="","",[1]Accounts!$D$275)</f>
        <v/>
      </c>
      <c r="E274" t="str">
        <f>IF([1]Accounts!$D$275="","",[1]Accounts!$J$275)</f>
        <v/>
      </c>
      <c r="F274" t="str">
        <f>IF([1]Accounts!$D$275="","",[1]Accounts!$K$275)</f>
        <v/>
      </c>
      <c r="J274" t="str">
        <f>IF([2]Entry!$C$277="","",[2]Entry!$C$277)</f>
        <v/>
      </c>
      <c r="K274" t="str">
        <f>IF([2]Entry!$D$277="","",[2]Entry!$D$277)</f>
        <v/>
      </c>
      <c r="L274" t="str">
        <f>IF([2]Entry!$E$277="","",[2]Entry!$E$277)</f>
        <v/>
      </c>
      <c r="M274" t="str">
        <f>IF([2]Entry!$G$277="","",[2]Entry!$G$277)</f>
        <v/>
      </c>
      <c r="N274" t="str">
        <f>IF([2]Entry!$M$277="","",[2]Entry!$M$277)</f>
        <v/>
      </c>
      <c r="O274" t="str">
        <f>IF([2]Entry!$N$277="","",[2]Entry!$N$277)</f>
        <v/>
      </c>
      <c r="P274" t="str">
        <f>IF([2]Entry!$R$277="","",[2]Entry!$R$277)</f>
        <v/>
      </c>
    </row>
    <row r="275" spans="1:16" x14ac:dyDescent="0.2">
      <c r="A275" t="str">
        <f>IF([1]Accounts!$D$276="","",[1]Accounts!$A$276)</f>
        <v/>
      </c>
      <c r="B275" t="str">
        <f>IF([1]Accounts!$D$276="","",[1]Accounts!$B$276)</f>
        <v/>
      </c>
      <c r="C275" t="str">
        <f>IF([1]Accounts!$D$276="","",[1]Accounts!$C$276)</f>
        <v/>
      </c>
      <c r="D275" t="str">
        <f>IF([1]Accounts!$D$276="","",[1]Accounts!$D$276)</f>
        <v/>
      </c>
      <c r="E275" t="str">
        <f>IF([1]Accounts!$D$276="","",[1]Accounts!$J$276)</f>
        <v/>
      </c>
      <c r="F275" t="str">
        <f>IF([1]Accounts!$D$276="","",[1]Accounts!$K$276)</f>
        <v/>
      </c>
      <c r="J275" t="str">
        <f>IF([2]Entry!$C$278="","",[2]Entry!$C$278)</f>
        <v/>
      </c>
      <c r="K275" t="str">
        <f>IF([2]Entry!$D$278="","",[2]Entry!$D$278)</f>
        <v/>
      </c>
      <c r="L275" t="str">
        <f>IF([2]Entry!$E$278="","",[2]Entry!$E$278)</f>
        <v/>
      </c>
      <c r="M275" t="str">
        <f>IF([2]Entry!$G$278="","",[2]Entry!$G$278)</f>
        <v/>
      </c>
      <c r="N275" t="str">
        <f>IF([2]Entry!$M$278="","",[2]Entry!$M$278)</f>
        <v/>
      </c>
      <c r="O275" t="str">
        <f>IF([2]Entry!$N$278="","",[2]Entry!$N$278)</f>
        <v/>
      </c>
      <c r="P275" t="str">
        <f>IF([2]Entry!$R$278="","",[2]Entry!$R$278)</f>
        <v/>
      </c>
    </row>
    <row r="276" spans="1:16" x14ac:dyDescent="0.2">
      <c r="A276" t="str">
        <f>IF([1]Accounts!$D$277="","",[1]Accounts!$A$277)</f>
        <v/>
      </c>
      <c r="B276" t="str">
        <f>IF([1]Accounts!$D$277="","",[1]Accounts!$B$277)</f>
        <v/>
      </c>
      <c r="C276" t="str">
        <f>IF([1]Accounts!$D$277="","",[1]Accounts!$C$277)</f>
        <v/>
      </c>
      <c r="D276" t="str">
        <f>IF([1]Accounts!$D$277="","",[1]Accounts!$D$277)</f>
        <v/>
      </c>
      <c r="E276" t="str">
        <f>IF([1]Accounts!$D$277="","",[1]Accounts!$J$277)</f>
        <v/>
      </c>
      <c r="F276" t="str">
        <f>IF([1]Accounts!$D$277="","",[1]Accounts!$K$277)</f>
        <v/>
      </c>
      <c r="J276" t="str">
        <f>IF([2]Entry!$C$279="","",[2]Entry!$C$279)</f>
        <v/>
      </c>
      <c r="K276" t="str">
        <f>IF([2]Entry!$D$279="","",[2]Entry!$D$279)</f>
        <v/>
      </c>
      <c r="L276" t="str">
        <f>IF([2]Entry!$E$279="","",[2]Entry!$E$279)</f>
        <v/>
      </c>
      <c r="M276" t="str">
        <f>IF([2]Entry!$G$279="","",[2]Entry!$G$279)</f>
        <v/>
      </c>
      <c r="N276" t="str">
        <f>IF([2]Entry!$M$279="","",[2]Entry!$M$279)</f>
        <v/>
      </c>
      <c r="O276" t="str">
        <f>IF([2]Entry!$N$279="","",[2]Entry!$N$279)</f>
        <v/>
      </c>
      <c r="P276" t="str">
        <f>IF([2]Entry!$R$279="","",[2]Entry!$R$279)</f>
        <v/>
      </c>
    </row>
    <row r="277" spans="1:16" x14ac:dyDescent="0.2">
      <c r="A277" t="str">
        <f>IF([1]Accounts!$D$278="","",[1]Accounts!$A$278)</f>
        <v/>
      </c>
      <c r="B277" t="str">
        <f>IF([1]Accounts!$D$278="","",[1]Accounts!$B$278)</f>
        <v/>
      </c>
      <c r="C277" t="str">
        <f>IF([1]Accounts!$D$278="","",[1]Accounts!$C$278)</f>
        <v/>
      </c>
      <c r="D277" t="str">
        <f>IF([1]Accounts!$D$278="","",[1]Accounts!$D$278)</f>
        <v/>
      </c>
      <c r="E277" t="str">
        <f>IF([1]Accounts!$D$278="","",[1]Accounts!$J$278)</f>
        <v/>
      </c>
      <c r="F277" t="str">
        <f>IF([1]Accounts!$D$278="","",[1]Accounts!$K$278)</f>
        <v/>
      </c>
      <c r="J277" t="str">
        <f>IF([2]Entry!$C$280="","",[2]Entry!$C$280)</f>
        <v/>
      </c>
      <c r="K277" t="str">
        <f>IF([2]Entry!$D$280="","",[2]Entry!$D$280)</f>
        <v/>
      </c>
      <c r="L277" t="str">
        <f>IF([2]Entry!$E$280="","",[2]Entry!$E$280)</f>
        <v/>
      </c>
      <c r="M277" t="str">
        <f>IF([2]Entry!$G$280="","",[2]Entry!$G$280)</f>
        <v/>
      </c>
      <c r="N277" t="str">
        <f>IF([2]Entry!$M$280="","",[2]Entry!$M$280)</f>
        <v/>
      </c>
      <c r="O277" t="str">
        <f>IF([2]Entry!$N$280="","",[2]Entry!$N$280)</f>
        <v/>
      </c>
      <c r="P277" t="str">
        <f>IF([2]Entry!$R$280="","",[2]Entry!$R$280)</f>
        <v/>
      </c>
    </row>
    <row r="278" spans="1:16" x14ac:dyDescent="0.2">
      <c r="A278" t="str">
        <f>IF([1]Accounts!$D$279="","",[1]Accounts!$A$279)</f>
        <v/>
      </c>
      <c r="B278" t="str">
        <f>IF([1]Accounts!$D$279="","",[1]Accounts!$B$279)</f>
        <v/>
      </c>
      <c r="C278" t="str">
        <f>IF([1]Accounts!$D$279="","",[1]Accounts!$C$279)</f>
        <v/>
      </c>
      <c r="D278" t="str">
        <f>IF([1]Accounts!$D$279="","",[1]Accounts!$D$279)</f>
        <v/>
      </c>
      <c r="E278" t="str">
        <f>IF([1]Accounts!$D$279="","",[1]Accounts!$J$279)</f>
        <v/>
      </c>
      <c r="F278" t="str">
        <f>IF([1]Accounts!$D$279="","",[1]Accounts!$K$279)</f>
        <v/>
      </c>
      <c r="J278" t="str">
        <f>IF([2]Entry!$C$281="","",[2]Entry!$C$281)</f>
        <v/>
      </c>
      <c r="K278" t="str">
        <f>IF([2]Entry!$D$281="","",[2]Entry!$D$281)</f>
        <v/>
      </c>
      <c r="L278" t="str">
        <f>IF([2]Entry!$E$281="","",[2]Entry!$E$281)</f>
        <v/>
      </c>
      <c r="M278" t="str">
        <f>IF([2]Entry!$G$281="","",[2]Entry!$G$281)</f>
        <v/>
      </c>
      <c r="N278" t="str">
        <f>IF([2]Entry!$M$281="","",[2]Entry!$M$281)</f>
        <v/>
      </c>
      <c r="O278" t="str">
        <f>IF([2]Entry!$N$281="","",[2]Entry!$N$281)</f>
        <v/>
      </c>
      <c r="P278" t="str">
        <f>IF([2]Entry!$R$281="","",[2]Entry!$R$281)</f>
        <v/>
      </c>
    </row>
    <row r="279" spans="1:16" x14ac:dyDescent="0.2">
      <c r="A279" t="str">
        <f>IF([1]Accounts!$D$280="","",[1]Accounts!$A$280)</f>
        <v/>
      </c>
      <c r="B279" t="str">
        <f>IF([1]Accounts!$D$280="","",[1]Accounts!$B$280)</f>
        <v/>
      </c>
      <c r="C279" t="str">
        <f>IF([1]Accounts!$D$280="","",[1]Accounts!$C$280)</f>
        <v/>
      </c>
      <c r="D279" t="str">
        <f>IF([1]Accounts!$D$280="","",[1]Accounts!$D$280)</f>
        <v/>
      </c>
      <c r="E279" t="str">
        <f>IF([1]Accounts!$D$280="","",[1]Accounts!$J$280)</f>
        <v/>
      </c>
      <c r="F279" t="str">
        <f>IF([1]Accounts!$D$280="","",[1]Accounts!$K$280)</f>
        <v/>
      </c>
      <c r="J279" t="str">
        <f>IF([2]Entry!$C$282="","",[2]Entry!$C$282)</f>
        <v/>
      </c>
      <c r="K279" t="str">
        <f>IF([2]Entry!$D$282="","",[2]Entry!$D$282)</f>
        <v/>
      </c>
      <c r="L279" t="str">
        <f>IF([2]Entry!$E$282="","",[2]Entry!$E$282)</f>
        <v/>
      </c>
      <c r="M279" t="str">
        <f>IF([2]Entry!$G$282="","",[2]Entry!$G$282)</f>
        <v/>
      </c>
      <c r="N279" t="str">
        <f>IF([2]Entry!$M$282="","",[2]Entry!$M$282)</f>
        <v/>
      </c>
      <c r="O279" t="str">
        <f>IF([2]Entry!$N$282="","",[2]Entry!$N$282)</f>
        <v/>
      </c>
      <c r="P279" t="str">
        <f>IF([2]Entry!$R$282="","",[2]Entry!$R$282)</f>
        <v/>
      </c>
    </row>
    <row r="280" spans="1:16" x14ac:dyDescent="0.2">
      <c r="A280" t="str">
        <f>IF([1]Accounts!$D$281="","",[1]Accounts!$A$281)</f>
        <v/>
      </c>
      <c r="B280" t="str">
        <f>IF([1]Accounts!$D$281="","",[1]Accounts!$B$281)</f>
        <v/>
      </c>
      <c r="C280" t="str">
        <f>IF([1]Accounts!$D$281="","",[1]Accounts!$C$281)</f>
        <v/>
      </c>
      <c r="D280" t="str">
        <f>IF([1]Accounts!$D$281="","",[1]Accounts!$D$281)</f>
        <v/>
      </c>
      <c r="E280" t="str">
        <f>IF([1]Accounts!$D$281="","",[1]Accounts!$J$281)</f>
        <v/>
      </c>
      <c r="F280" t="str">
        <f>IF([1]Accounts!$D$281="","",[1]Accounts!$K$281)</f>
        <v/>
      </c>
      <c r="J280" t="str">
        <f>IF([2]Entry!$C$283="","",[2]Entry!$C$283)</f>
        <v/>
      </c>
      <c r="K280" t="str">
        <f>IF([2]Entry!$D$283="","",[2]Entry!$D$283)</f>
        <v/>
      </c>
      <c r="L280" t="str">
        <f>IF([2]Entry!$E$283="","",[2]Entry!$E$283)</f>
        <v/>
      </c>
      <c r="M280" t="str">
        <f>IF([2]Entry!$G$283="","",[2]Entry!$G$283)</f>
        <v/>
      </c>
      <c r="N280" t="str">
        <f>IF([2]Entry!$M$283="","",[2]Entry!$M$283)</f>
        <v/>
      </c>
      <c r="O280" t="str">
        <f>IF([2]Entry!$N$283="","",[2]Entry!$N$283)</f>
        <v/>
      </c>
      <c r="P280" t="str">
        <f>IF([2]Entry!$R$283="","",[2]Entry!$R$283)</f>
        <v/>
      </c>
    </row>
    <row r="281" spans="1:16" x14ac:dyDescent="0.2">
      <c r="A281" t="str">
        <f>IF([1]Accounts!$D$282="","",[1]Accounts!$A$282)</f>
        <v/>
      </c>
      <c r="B281" t="str">
        <f>IF([1]Accounts!$D$282="","",[1]Accounts!$B$282)</f>
        <v/>
      </c>
      <c r="C281" t="str">
        <f>IF([1]Accounts!$D$282="","",[1]Accounts!$C$282)</f>
        <v/>
      </c>
      <c r="D281" t="str">
        <f>IF([1]Accounts!$D$282="","",[1]Accounts!$D$282)</f>
        <v/>
      </c>
      <c r="E281" t="str">
        <f>IF([1]Accounts!$D$282="","",[1]Accounts!$J$282)</f>
        <v/>
      </c>
      <c r="F281" t="str">
        <f>IF([1]Accounts!$D$282="","",[1]Accounts!$K$282)</f>
        <v/>
      </c>
      <c r="J281" t="str">
        <f>IF([2]Entry!$C$284="","",[2]Entry!$C$284)</f>
        <v/>
      </c>
      <c r="K281" t="str">
        <f>IF([2]Entry!$D$284="","",[2]Entry!$D$284)</f>
        <v/>
      </c>
      <c r="L281" t="str">
        <f>IF([2]Entry!$E$284="","",[2]Entry!$E$284)</f>
        <v/>
      </c>
      <c r="M281" t="str">
        <f>IF([2]Entry!$G$284="","",[2]Entry!$G$284)</f>
        <v/>
      </c>
      <c r="N281" t="str">
        <f>IF([2]Entry!$M$284="","",[2]Entry!$M$284)</f>
        <v/>
      </c>
      <c r="O281" t="str">
        <f>IF([2]Entry!$N$284="","",[2]Entry!$N$284)</f>
        <v/>
      </c>
      <c r="P281" t="str">
        <f>IF([2]Entry!$R$284="","",[2]Entry!$R$284)</f>
        <v/>
      </c>
    </row>
    <row r="282" spans="1:16" x14ac:dyDescent="0.2">
      <c r="A282" t="str">
        <f>IF([1]Accounts!$D$283="","",[1]Accounts!$A$283)</f>
        <v/>
      </c>
      <c r="B282" t="str">
        <f>IF([1]Accounts!$D$283="","",[1]Accounts!$B$283)</f>
        <v/>
      </c>
      <c r="C282" t="str">
        <f>IF([1]Accounts!$D$283="","",[1]Accounts!$C$283)</f>
        <v/>
      </c>
      <c r="D282" t="str">
        <f>IF([1]Accounts!$D$283="","",[1]Accounts!$D$283)</f>
        <v/>
      </c>
      <c r="E282" t="str">
        <f>IF([1]Accounts!$D$283="","",[1]Accounts!$J$283)</f>
        <v/>
      </c>
      <c r="F282" t="str">
        <f>IF([1]Accounts!$D$283="","",[1]Accounts!$K$283)</f>
        <v/>
      </c>
      <c r="J282" t="str">
        <f>IF([2]Entry!$C$285="","",[2]Entry!$C$285)</f>
        <v/>
      </c>
      <c r="K282" t="str">
        <f>IF([2]Entry!$D$285="","",[2]Entry!$D$285)</f>
        <v/>
      </c>
      <c r="L282" t="str">
        <f>IF([2]Entry!$E$285="","",[2]Entry!$E$285)</f>
        <v/>
      </c>
      <c r="M282" t="str">
        <f>IF([2]Entry!$G$285="","",[2]Entry!$G$285)</f>
        <v/>
      </c>
      <c r="N282" t="str">
        <f>IF([2]Entry!$M$285="","",[2]Entry!$M$285)</f>
        <v/>
      </c>
      <c r="O282" t="str">
        <f>IF([2]Entry!$N$285="","",[2]Entry!$N$285)</f>
        <v/>
      </c>
      <c r="P282" t="str">
        <f>IF([2]Entry!$R$285="","",[2]Entry!$R$285)</f>
        <v/>
      </c>
    </row>
    <row r="283" spans="1:16" x14ac:dyDescent="0.2">
      <c r="A283" t="str">
        <f>IF([1]Accounts!$D$284="","",[1]Accounts!$A$284)</f>
        <v/>
      </c>
      <c r="B283" t="str">
        <f>IF([1]Accounts!$D$284="","",[1]Accounts!$B$284)</f>
        <v/>
      </c>
      <c r="C283" t="str">
        <f>IF([1]Accounts!$D$284="","",[1]Accounts!$C$284)</f>
        <v/>
      </c>
      <c r="D283" t="str">
        <f>IF([1]Accounts!$D$284="","",[1]Accounts!$D$284)</f>
        <v/>
      </c>
      <c r="E283" t="str">
        <f>IF([1]Accounts!$D$284="","",[1]Accounts!$J$284)</f>
        <v/>
      </c>
      <c r="F283" t="str">
        <f>IF([1]Accounts!$D$284="","",[1]Accounts!$K$284)</f>
        <v/>
      </c>
      <c r="J283" t="str">
        <f>IF([2]Entry!$C$286="","",[2]Entry!$C$286)</f>
        <v/>
      </c>
      <c r="K283" t="str">
        <f>IF([2]Entry!$D$286="","",[2]Entry!$D$286)</f>
        <v/>
      </c>
      <c r="L283" t="str">
        <f>IF([2]Entry!$E$286="","",[2]Entry!$E$286)</f>
        <v/>
      </c>
      <c r="M283" t="str">
        <f>IF([2]Entry!$G$286="","",[2]Entry!$G$286)</f>
        <v/>
      </c>
      <c r="N283" t="str">
        <f>IF([2]Entry!$M$286="","",[2]Entry!$M$286)</f>
        <v/>
      </c>
      <c r="O283" t="str">
        <f>IF([2]Entry!$N$286="","",[2]Entry!$N$286)</f>
        <v/>
      </c>
      <c r="P283" t="str">
        <f>IF([2]Entry!$R$286="","",[2]Entry!$R$286)</f>
        <v/>
      </c>
    </row>
    <row r="284" spans="1:16" x14ac:dyDescent="0.2">
      <c r="A284" t="str">
        <f>IF([1]Accounts!$D$285="","",[1]Accounts!$A$285)</f>
        <v/>
      </c>
      <c r="B284" t="str">
        <f>IF([1]Accounts!$D$285="","",[1]Accounts!$B$285)</f>
        <v/>
      </c>
      <c r="C284" t="str">
        <f>IF([1]Accounts!$D$285="","",[1]Accounts!$C$285)</f>
        <v/>
      </c>
      <c r="D284" t="str">
        <f>IF([1]Accounts!$D$285="","",[1]Accounts!$D$285)</f>
        <v/>
      </c>
      <c r="E284" t="str">
        <f>IF([1]Accounts!$D$285="","",[1]Accounts!$J$285)</f>
        <v/>
      </c>
      <c r="F284" t="str">
        <f>IF([1]Accounts!$D$285="","",[1]Accounts!$K$285)</f>
        <v/>
      </c>
      <c r="J284" t="str">
        <f>IF([2]Entry!$C$287="","",[2]Entry!$C$287)</f>
        <v/>
      </c>
      <c r="K284" t="str">
        <f>IF([2]Entry!$D$287="","",[2]Entry!$D$287)</f>
        <v/>
      </c>
      <c r="L284" t="str">
        <f>IF([2]Entry!$E$287="","",[2]Entry!$E$287)</f>
        <v/>
      </c>
      <c r="M284" t="str">
        <f>IF([2]Entry!$G$287="","",[2]Entry!$G$287)</f>
        <v/>
      </c>
      <c r="N284" t="str">
        <f>IF([2]Entry!$M$287="","",[2]Entry!$M$287)</f>
        <v/>
      </c>
      <c r="O284" t="str">
        <f>IF([2]Entry!$N$287="","",[2]Entry!$N$287)</f>
        <v/>
      </c>
      <c r="P284" t="str">
        <f>IF([2]Entry!$R$287="","",[2]Entry!$R$287)</f>
        <v/>
      </c>
    </row>
    <row r="285" spans="1:16" x14ac:dyDescent="0.2">
      <c r="A285" t="str">
        <f>IF([1]Accounts!$D$286="","",[1]Accounts!$A$286)</f>
        <v/>
      </c>
      <c r="B285" t="str">
        <f>IF([1]Accounts!$D$286="","",[1]Accounts!$B$286)</f>
        <v/>
      </c>
      <c r="C285" t="str">
        <f>IF([1]Accounts!$D$286="","",[1]Accounts!$C$286)</f>
        <v/>
      </c>
      <c r="D285" t="str">
        <f>IF([1]Accounts!$D$286="","",[1]Accounts!$D$286)</f>
        <v/>
      </c>
      <c r="E285" t="str">
        <f>IF([1]Accounts!$D$286="","",[1]Accounts!$J$286)</f>
        <v/>
      </c>
      <c r="F285" t="str">
        <f>IF([1]Accounts!$D$286="","",[1]Accounts!$K$286)</f>
        <v/>
      </c>
      <c r="J285" t="str">
        <f>IF([2]Entry!$C$288="","",[2]Entry!$C$288)</f>
        <v/>
      </c>
      <c r="K285" t="str">
        <f>IF([2]Entry!$D$288="","",[2]Entry!$D$288)</f>
        <v/>
      </c>
      <c r="L285" t="str">
        <f>IF([2]Entry!$E$288="","",[2]Entry!$E$288)</f>
        <v/>
      </c>
      <c r="M285" t="str">
        <f>IF([2]Entry!$G$288="","",[2]Entry!$G$288)</f>
        <v/>
      </c>
      <c r="N285" t="str">
        <f>IF([2]Entry!$M$288="","",[2]Entry!$M$288)</f>
        <v/>
      </c>
      <c r="O285" t="str">
        <f>IF([2]Entry!$N$288="","",[2]Entry!$N$288)</f>
        <v/>
      </c>
      <c r="P285" t="str">
        <f>IF([2]Entry!$R$288="","",[2]Entry!$R$288)</f>
        <v/>
      </c>
    </row>
    <row r="286" spans="1:16" x14ac:dyDescent="0.2">
      <c r="A286" t="str">
        <f>IF([1]Accounts!$D$287="","",[1]Accounts!$A$287)</f>
        <v/>
      </c>
      <c r="B286" t="str">
        <f>IF([1]Accounts!$D$287="","",[1]Accounts!$B$287)</f>
        <v/>
      </c>
      <c r="C286" t="str">
        <f>IF([1]Accounts!$D$287="","",[1]Accounts!$C$287)</f>
        <v/>
      </c>
      <c r="D286" t="str">
        <f>IF([1]Accounts!$D$287="","",[1]Accounts!$D$287)</f>
        <v/>
      </c>
      <c r="E286" t="str">
        <f>IF([1]Accounts!$D$287="","",[1]Accounts!$J$287)</f>
        <v/>
      </c>
      <c r="F286" t="str">
        <f>IF([1]Accounts!$D$287="","",[1]Accounts!$K$287)</f>
        <v/>
      </c>
      <c r="J286" t="str">
        <f>IF([2]Entry!$C$289="","",[2]Entry!$C$289)</f>
        <v/>
      </c>
      <c r="K286" t="str">
        <f>IF([2]Entry!$D$289="","",[2]Entry!$D$289)</f>
        <v/>
      </c>
      <c r="L286" t="str">
        <f>IF([2]Entry!$E$289="","",[2]Entry!$E$289)</f>
        <v/>
      </c>
      <c r="M286" t="str">
        <f>IF([2]Entry!$G$289="","",[2]Entry!$G$289)</f>
        <v/>
      </c>
      <c r="N286" t="str">
        <f>IF([2]Entry!$M$289="","",[2]Entry!$M$289)</f>
        <v/>
      </c>
      <c r="O286" t="str">
        <f>IF([2]Entry!$N$289="","",[2]Entry!$N$289)</f>
        <v/>
      </c>
      <c r="P286" t="str">
        <f>IF([2]Entry!$R$289="","",[2]Entry!$R$289)</f>
        <v/>
      </c>
    </row>
    <row r="287" spans="1:16" x14ac:dyDescent="0.2">
      <c r="A287" t="str">
        <f>IF([1]Accounts!$D$288="","",[1]Accounts!$A$288)</f>
        <v/>
      </c>
      <c r="B287" t="str">
        <f>IF([1]Accounts!$D$288="","",[1]Accounts!$B$288)</f>
        <v/>
      </c>
      <c r="C287" t="str">
        <f>IF([1]Accounts!$D$288="","",[1]Accounts!$C$288)</f>
        <v/>
      </c>
      <c r="D287" t="str">
        <f>IF([1]Accounts!$D$288="","",[1]Accounts!$D$288)</f>
        <v/>
      </c>
      <c r="E287" t="str">
        <f>IF([1]Accounts!$D$288="","",[1]Accounts!$J$288)</f>
        <v/>
      </c>
      <c r="F287" t="str">
        <f>IF([1]Accounts!$D$288="","",[1]Accounts!$K$288)</f>
        <v/>
      </c>
      <c r="J287" t="str">
        <f>IF([2]Entry!$C$290="","",[2]Entry!$C$290)</f>
        <v/>
      </c>
      <c r="K287" t="str">
        <f>IF([2]Entry!$D$290="","",[2]Entry!$D$290)</f>
        <v/>
      </c>
      <c r="L287" t="str">
        <f>IF([2]Entry!$E$290="","",[2]Entry!$E$290)</f>
        <v/>
      </c>
      <c r="M287" t="str">
        <f>IF([2]Entry!$G$290="","",[2]Entry!$G$290)</f>
        <v/>
      </c>
      <c r="N287" t="str">
        <f>IF([2]Entry!$M$290="","",[2]Entry!$M$290)</f>
        <v/>
      </c>
      <c r="O287" t="str">
        <f>IF([2]Entry!$N$290="","",[2]Entry!$N$290)</f>
        <v/>
      </c>
      <c r="P287" t="str">
        <f>IF([2]Entry!$R$290="","",[2]Entry!$R$290)</f>
        <v/>
      </c>
    </row>
    <row r="288" spans="1:16" x14ac:dyDescent="0.2">
      <c r="A288" t="str">
        <f>IF([1]Accounts!$D$289="","",[1]Accounts!$A$289)</f>
        <v/>
      </c>
      <c r="B288" t="str">
        <f>IF([1]Accounts!$D$289="","",[1]Accounts!$B$289)</f>
        <v/>
      </c>
      <c r="C288" t="str">
        <f>IF([1]Accounts!$D$289="","",[1]Accounts!$C$289)</f>
        <v/>
      </c>
      <c r="D288" t="str">
        <f>IF([1]Accounts!$D$289="","",[1]Accounts!$D$289)</f>
        <v/>
      </c>
      <c r="E288" t="str">
        <f>IF([1]Accounts!$D$289="","",[1]Accounts!$J$289)</f>
        <v/>
      </c>
      <c r="F288" t="str">
        <f>IF([1]Accounts!$D$289="","",[1]Accounts!$K$289)</f>
        <v/>
      </c>
      <c r="J288" t="str">
        <f>IF([2]Entry!$C$291="","",[2]Entry!$C$291)</f>
        <v/>
      </c>
      <c r="K288" t="str">
        <f>IF([2]Entry!$D$291="","",[2]Entry!$D$291)</f>
        <v/>
      </c>
      <c r="L288" t="str">
        <f>IF([2]Entry!$E$291="","",[2]Entry!$E$291)</f>
        <v/>
      </c>
      <c r="M288" t="str">
        <f>IF([2]Entry!$G$291="","",[2]Entry!$G$291)</f>
        <v/>
      </c>
      <c r="N288" t="str">
        <f>IF([2]Entry!$M$291="","",[2]Entry!$M$291)</f>
        <v/>
      </c>
      <c r="O288" t="str">
        <f>IF([2]Entry!$N$291="","",[2]Entry!$N$291)</f>
        <v/>
      </c>
      <c r="P288" t="str">
        <f>IF([2]Entry!$R$291="","",[2]Entry!$R$291)</f>
        <v/>
      </c>
    </row>
    <row r="289" spans="1:16" x14ac:dyDescent="0.2">
      <c r="A289" t="str">
        <f>IF([1]Accounts!$D$290="","",[1]Accounts!$A$290)</f>
        <v/>
      </c>
      <c r="B289" t="str">
        <f>IF([1]Accounts!$D$290="","",[1]Accounts!$B$290)</f>
        <v/>
      </c>
      <c r="C289" t="str">
        <f>IF([1]Accounts!$D$290="","",[1]Accounts!$C$290)</f>
        <v/>
      </c>
      <c r="D289" t="str">
        <f>IF([1]Accounts!$D$290="","",[1]Accounts!$D$290)</f>
        <v/>
      </c>
      <c r="E289" t="str">
        <f>IF([1]Accounts!$D$290="","",[1]Accounts!$J$290)</f>
        <v/>
      </c>
      <c r="F289" t="str">
        <f>IF([1]Accounts!$D$290="","",[1]Accounts!$K$290)</f>
        <v/>
      </c>
      <c r="J289" t="str">
        <f>IF([2]Entry!$C$292="","",[2]Entry!$C$292)</f>
        <v/>
      </c>
      <c r="K289" t="str">
        <f>IF([2]Entry!$D$292="","",[2]Entry!$D$292)</f>
        <v/>
      </c>
      <c r="L289" t="str">
        <f>IF([2]Entry!$E$292="","",[2]Entry!$E$292)</f>
        <v/>
      </c>
      <c r="M289" t="str">
        <f>IF([2]Entry!$G$292="","",[2]Entry!$G$292)</f>
        <v/>
      </c>
      <c r="N289" t="str">
        <f>IF([2]Entry!$M$292="","",[2]Entry!$M$292)</f>
        <v/>
      </c>
      <c r="O289" t="str">
        <f>IF([2]Entry!$N$292="","",[2]Entry!$N$292)</f>
        <v/>
      </c>
      <c r="P289" t="str">
        <f>IF([2]Entry!$R$292="","",[2]Entry!$R$292)</f>
        <v/>
      </c>
    </row>
    <row r="290" spans="1:16" x14ac:dyDescent="0.2">
      <c r="A290" t="str">
        <f>IF([1]Accounts!$D$291="","",[1]Accounts!$A$291)</f>
        <v/>
      </c>
      <c r="B290" t="str">
        <f>IF([1]Accounts!$D$291="","",[1]Accounts!$B$291)</f>
        <v/>
      </c>
      <c r="C290" t="str">
        <f>IF([1]Accounts!$D$291="","",[1]Accounts!$C$291)</f>
        <v/>
      </c>
      <c r="D290" t="str">
        <f>IF([1]Accounts!$D$291="","",[1]Accounts!$D$291)</f>
        <v/>
      </c>
      <c r="E290" t="str">
        <f>IF([1]Accounts!$D$291="","",[1]Accounts!$J$291)</f>
        <v/>
      </c>
      <c r="F290" t="str">
        <f>IF([1]Accounts!$D$291="","",[1]Accounts!$K$291)</f>
        <v/>
      </c>
      <c r="J290" t="str">
        <f>IF([2]Entry!$C$293="","",[2]Entry!$C$293)</f>
        <v/>
      </c>
      <c r="K290" t="str">
        <f>IF([2]Entry!$D$293="","",[2]Entry!$D$293)</f>
        <v/>
      </c>
      <c r="L290" t="str">
        <f>IF([2]Entry!$E$293="","",[2]Entry!$E$293)</f>
        <v/>
      </c>
      <c r="M290" t="str">
        <f>IF([2]Entry!$G$293="","",[2]Entry!$G$293)</f>
        <v/>
      </c>
      <c r="N290" t="str">
        <f>IF([2]Entry!$M$293="","",[2]Entry!$M$293)</f>
        <v/>
      </c>
      <c r="O290" t="str">
        <f>IF([2]Entry!$N$293="","",[2]Entry!$N$293)</f>
        <v/>
      </c>
      <c r="P290" t="str">
        <f>IF([2]Entry!$R$293="","",[2]Entry!$R$293)</f>
        <v/>
      </c>
    </row>
    <row r="291" spans="1:16" x14ac:dyDescent="0.2">
      <c r="A291" t="str">
        <f>IF([1]Accounts!$D$292="","",[1]Accounts!$A$292)</f>
        <v/>
      </c>
      <c r="B291" t="str">
        <f>IF([1]Accounts!$D$292="","",[1]Accounts!$B$292)</f>
        <v/>
      </c>
      <c r="C291" t="str">
        <f>IF([1]Accounts!$D$292="","",[1]Accounts!$C$292)</f>
        <v/>
      </c>
      <c r="D291" t="str">
        <f>IF([1]Accounts!$D$292="","",[1]Accounts!$D$292)</f>
        <v/>
      </c>
      <c r="E291" t="str">
        <f>IF([1]Accounts!$D$292="","",[1]Accounts!$J$292)</f>
        <v/>
      </c>
      <c r="F291" t="str">
        <f>IF([1]Accounts!$D$292="","",[1]Accounts!$K$292)</f>
        <v/>
      </c>
      <c r="J291" t="str">
        <f>IF([2]Entry!$C$294="","",[2]Entry!$C$294)</f>
        <v/>
      </c>
      <c r="K291" t="str">
        <f>IF([2]Entry!$D$294="","",[2]Entry!$D$294)</f>
        <v/>
      </c>
      <c r="L291" t="str">
        <f>IF([2]Entry!$E$294="","",[2]Entry!$E$294)</f>
        <v/>
      </c>
      <c r="M291" t="str">
        <f>IF([2]Entry!$G$294="","",[2]Entry!$G$294)</f>
        <v/>
      </c>
      <c r="N291" t="str">
        <f>IF([2]Entry!$M$294="","",[2]Entry!$M$294)</f>
        <v/>
      </c>
      <c r="O291" t="str">
        <f>IF([2]Entry!$N$294="","",[2]Entry!$N$294)</f>
        <v/>
      </c>
      <c r="P291" t="str">
        <f>IF([2]Entry!$R$294="","",[2]Entry!$R$294)</f>
        <v/>
      </c>
    </row>
    <row r="292" spans="1:16" x14ac:dyDescent="0.2">
      <c r="A292" t="str">
        <f>IF([1]Accounts!$D$293="","",[1]Accounts!$A$293)</f>
        <v/>
      </c>
      <c r="B292" t="str">
        <f>IF([1]Accounts!$D$293="","",[1]Accounts!$B$293)</f>
        <v/>
      </c>
      <c r="C292" t="str">
        <f>IF([1]Accounts!$D$293="","",[1]Accounts!$C$293)</f>
        <v/>
      </c>
      <c r="D292" t="str">
        <f>IF([1]Accounts!$D$293="","",[1]Accounts!$D$293)</f>
        <v/>
      </c>
      <c r="E292" t="str">
        <f>IF([1]Accounts!$D$293="","",[1]Accounts!$J$293)</f>
        <v/>
      </c>
      <c r="F292" t="str">
        <f>IF([1]Accounts!$D$293="","",[1]Accounts!$K$293)</f>
        <v/>
      </c>
      <c r="J292" t="str">
        <f>IF([2]Entry!$C$295="","",[2]Entry!$C$295)</f>
        <v/>
      </c>
      <c r="K292" t="str">
        <f>IF([2]Entry!$D$295="","",[2]Entry!$D$295)</f>
        <v/>
      </c>
      <c r="L292" t="str">
        <f>IF([2]Entry!$E$295="","",[2]Entry!$E$295)</f>
        <v/>
      </c>
      <c r="M292" t="str">
        <f>IF([2]Entry!$G$295="","",[2]Entry!$G$295)</f>
        <v/>
      </c>
      <c r="N292" t="str">
        <f>IF([2]Entry!$M$295="","",[2]Entry!$M$295)</f>
        <v/>
      </c>
      <c r="O292" t="str">
        <f>IF([2]Entry!$N$295="","",[2]Entry!$N$295)</f>
        <v/>
      </c>
      <c r="P292" t="str">
        <f>IF([2]Entry!$R$295="","",[2]Entry!$R$295)</f>
        <v/>
      </c>
    </row>
    <row r="293" spans="1:16" x14ac:dyDescent="0.2">
      <c r="A293" t="str">
        <f>IF([1]Accounts!$D$294="","",[1]Accounts!$A$294)</f>
        <v/>
      </c>
      <c r="B293" t="str">
        <f>IF([1]Accounts!$D$294="","",[1]Accounts!$B$294)</f>
        <v/>
      </c>
      <c r="C293" t="str">
        <f>IF([1]Accounts!$D$294="","",[1]Accounts!$C$294)</f>
        <v/>
      </c>
      <c r="D293" t="str">
        <f>IF([1]Accounts!$D$294="","",[1]Accounts!$D$294)</f>
        <v/>
      </c>
      <c r="E293" t="str">
        <f>IF([1]Accounts!$D$294="","",[1]Accounts!$J$294)</f>
        <v/>
      </c>
      <c r="F293" t="str">
        <f>IF([1]Accounts!$D$294="","",[1]Accounts!$K$294)</f>
        <v/>
      </c>
      <c r="J293" t="str">
        <f>IF([2]Entry!$C$296="","",[2]Entry!$C$296)</f>
        <v/>
      </c>
      <c r="K293" t="str">
        <f>IF([2]Entry!$D$296="","",[2]Entry!$D$296)</f>
        <v/>
      </c>
      <c r="L293" t="str">
        <f>IF([2]Entry!$E$296="","",[2]Entry!$E$296)</f>
        <v/>
      </c>
      <c r="M293" t="str">
        <f>IF([2]Entry!$G$296="","",[2]Entry!$G$296)</f>
        <v/>
      </c>
      <c r="N293" t="str">
        <f>IF([2]Entry!$M$296="","",[2]Entry!$M$296)</f>
        <v/>
      </c>
      <c r="O293" t="str">
        <f>IF([2]Entry!$N$296="","",[2]Entry!$N$296)</f>
        <v/>
      </c>
      <c r="P293" t="str">
        <f>IF([2]Entry!$R$296="","",[2]Entry!$R$296)</f>
        <v/>
      </c>
    </row>
    <row r="294" spans="1:16" x14ac:dyDescent="0.2">
      <c r="A294" t="str">
        <f>IF([1]Accounts!$D$295="","",[1]Accounts!$A$295)</f>
        <v/>
      </c>
      <c r="B294" t="str">
        <f>IF([1]Accounts!$D$295="","",[1]Accounts!$B$295)</f>
        <v/>
      </c>
      <c r="C294" t="str">
        <f>IF([1]Accounts!$D$295="","",[1]Accounts!$C$295)</f>
        <v/>
      </c>
      <c r="D294" t="str">
        <f>IF([1]Accounts!$D$295="","",[1]Accounts!$D$295)</f>
        <v/>
      </c>
      <c r="E294" t="str">
        <f>IF([1]Accounts!$D$295="","",[1]Accounts!$J$295)</f>
        <v/>
      </c>
      <c r="F294" t="str">
        <f>IF([1]Accounts!$D$295="","",[1]Accounts!$K$295)</f>
        <v/>
      </c>
      <c r="J294" t="str">
        <f>IF([2]Entry!$C$297="","",[2]Entry!$C$297)</f>
        <v/>
      </c>
      <c r="K294" t="str">
        <f>IF([2]Entry!$D$297="","",[2]Entry!$D$297)</f>
        <v/>
      </c>
      <c r="L294" t="str">
        <f>IF([2]Entry!$E$297="","",[2]Entry!$E$297)</f>
        <v/>
      </c>
      <c r="M294" t="str">
        <f>IF([2]Entry!$G$297="","",[2]Entry!$G$297)</f>
        <v/>
      </c>
      <c r="N294" t="str">
        <f>IF([2]Entry!$M$297="","",[2]Entry!$M$297)</f>
        <v/>
      </c>
      <c r="O294" t="str">
        <f>IF([2]Entry!$N$297="","",[2]Entry!$N$297)</f>
        <v/>
      </c>
      <c r="P294" t="str">
        <f>IF([2]Entry!$R$297="","",[2]Entry!$R$297)</f>
        <v/>
      </c>
    </row>
    <row r="295" spans="1:16" x14ac:dyDescent="0.2">
      <c r="A295" t="str">
        <f>IF([1]Accounts!$D$296="","",[1]Accounts!$A$296)</f>
        <v/>
      </c>
      <c r="B295" t="str">
        <f>IF([1]Accounts!$D$296="","",[1]Accounts!$B$296)</f>
        <v/>
      </c>
      <c r="C295" t="str">
        <f>IF([1]Accounts!$D$296="","",[1]Accounts!$C$296)</f>
        <v/>
      </c>
      <c r="D295" t="str">
        <f>IF([1]Accounts!$D$296="","",[1]Accounts!$D$296)</f>
        <v/>
      </c>
      <c r="E295" t="str">
        <f>IF([1]Accounts!$D$296="","",[1]Accounts!$J$296)</f>
        <v/>
      </c>
      <c r="F295" t="str">
        <f>IF([1]Accounts!$D$296="","",[1]Accounts!$K$296)</f>
        <v/>
      </c>
      <c r="J295" t="str">
        <f>IF([2]Entry!$C$298="","",[2]Entry!$C$298)</f>
        <v/>
      </c>
      <c r="K295" t="str">
        <f>IF([2]Entry!$D$298="","",[2]Entry!$D$298)</f>
        <v/>
      </c>
      <c r="L295" t="str">
        <f>IF([2]Entry!$E$298="","",[2]Entry!$E$298)</f>
        <v/>
      </c>
      <c r="M295" t="str">
        <f>IF([2]Entry!$G$298="","",[2]Entry!$G$298)</f>
        <v/>
      </c>
      <c r="N295" t="str">
        <f>IF([2]Entry!$M$298="","",[2]Entry!$M$298)</f>
        <v/>
      </c>
      <c r="O295" t="str">
        <f>IF([2]Entry!$N$298="","",[2]Entry!$N$298)</f>
        <v/>
      </c>
      <c r="P295" t="str">
        <f>IF([2]Entry!$R$298="","",[2]Entry!$R$298)</f>
        <v/>
      </c>
    </row>
    <row r="296" spans="1:16" x14ac:dyDescent="0.2">
      <c r="A296" t="str">
        <f>IF([1]Accounts!$D$297="","",[1]Accounts!$A$297)</f>
        <v/>
      </c>
      <c r="B296" t="str">
        <f>IF([1]Accounts!$D$297="","",[1]Accounts!$B$297)</f>
        <v/>
      </c>
      <c r="C296" t="str">
        <f>IF([1]Accounts!$D$297="","",[1]Accounts!$C$297)</f>
        <v/>
      </c>
      <c r="D296" t="str">
        <f>IF([1]Accounts!$D$297="","",[1]Accounts!$D$297)</f>
        <v/>
      </c>
      <c r="E296" t="str">
        <f>IF([1]Accounts!$D$297="","",[1]Accounts!$J$297)</f>
        <v/>
      </c>
      <c r="F296" t="str">
        <f>IF([1]Accounts!$D$297="","",[1]Accounts!$K$297)</f>
        <v/>
      </c>
      <c r="J296" t="str">
        <f>IF([2]Entry!$C$299="","",[2]Entry!$C$299)</f>
        <v/>
      </c>
      <c r="K296" t="str">
        <f>IF([2]Entry!$D$299="","",[2]Entry!$D$299)</f>
        <v/>
      </c>
      <c r="L296" t="str">
        <f>IF([2]Entry!$E$299="","",[2]Entry!$E$299)</f>
        <v/>
      </c>
      <c r="M296" t="str">
        <f>IF([2]Entry!$G$299="","",[2]Entry!$G$299)</f>
        <v/>
      </c>
      <c r="N296" t="str">
        <f>IF([2]Entry!$M$299="","",[2]Entry!$M$299)</f>
        <v/>
      </c>
      <c r="O296" t="str">
        <f>IF([2]Entry!$N$299="","",[2]Entry!$N$299)</f>
        <v/>
      </c>
      <c r="P296" t="str">
        <f>IF([2]Entry!$R$299="","",[2]Entry!$R$299)</f>
        <v/>
      </c>
    </row>
    <row r="297" spans="1:16" x14ac:dyDescent="0.2">
      <c r="A297" t="str">
        <f>IF([1]Accounts!$D$298="","",[1]Accounts!$A$298)</f>
        <v/>
      </c>
      <c r="B297" t="str">
        <f>IF([1]Accounts!$D$298="","",[1]Accounts!$B$298)</f>
        <v/>
      </c>
      <c r="C297" t="str">
        <f>IF([1]Accounts!$D$298="","",[1]Accounts!$C$298)</f>
        <v/>
      </c>
      <c r="D297" t="str">
        <f>IF([1]Accounts!$D$298="","",[1]Accounts!$D$298)</f>
        <v/>
      </c>
      <c r="E297" t="str">
        <f>IF([1]Accounts!$D$298="","",[1]Accounts!$J$298)</f>
        <v/>
      </c>
      <c r="F297" t="str">
        <f>IF([1]Accounts!$D$298="","",[1]Accounts!$K$298)</f>
        <v/>
      </c>
      <c r="J297" t="str">
        <f>IF([2]Entry!$C$300="","",[2]Entry!$C$300)</f>
        <v/>
      </c>
      <c r="K297" t="str">
        <f>IF([2]Entry!$D$300="","",[2]Entry!$D$300)</f>
        <v/>
      </c>
      <c r="L297" t="str">
        <f>IF([2]Entry!$E$300="","",[2]Entry!$E$300)</f>
        <v/>
      </c>
      <c r="M297" t="str">
        <f>IF([2]Entry!$G$300="","",[2]Entry!$G$300)</f>
        <v/>
      </c>
      <c r="N297" t="str">
        <f>IF([2]Entry!$M$300="","",[2]Entry!$M$300)</f>
        <v/>
      </c>
      <c r="O297" t="str">
        <f>IF([2]Entry!$N$300="","",[2]Entry!$N$300)</f>
        <v/>
      </c>
      <c r="P297" t="str">
        <f>IF([2]Entry!$R$300="","",[2]Entry!$R$300)</f>
        <v/>
      </c>
    </row>
    <row r="298" spans="1:16" x14ac:dyDescent="0.2">
      <c r="A298" t="str">
        <f>IF([1]Accounts!$D$299="","",[1]Accounts!$A$299)</f>
        <v/>
      </c>
      <c r="B298" t="str">
        <f>IF([1]Accounts!$D$299="","",[1]Accounts!$B$299)</f>
        <v/>
      </c>
      <c r="C298" t="str">
        <f>IF([1]Accounts!$D$299="","",[1]Accounts!$C$299)</f>
        <v/>
      </c>
      <c r="D298" t="str">
        <f>IF([1]Accounts!$D$299="","",[1]Accounts!$D$299)</f>
        <v/>
      </c>
      <c r="E298" t="str">
        <f>IF([1]Accounts!$D$299="","",[1]Accounts!$J$299)</f>
        <v/>
      </c>
      <c r="F298" t="str">
        <f>IF([1]Accounts!$D$299="","",[1]Accounts!$K$299)</f>
        <v/>
      </c>
      <c r="J298" t="str">
        <f>IF([2]Entry!$C$301="","",[2]Entry!$C$301)</f>
        <v/>
      </c>
      <c r="K298" t="str">
        <f>IF([2]Entry!$D$301="","",[2]Entry!$D$301)</f>
        <v/>
      </c>
      <c r="L298" t="str">
        <f>IF([2]Entry!$E$301="","",[2]Entry!$E$301)</f>
        <v/>
      </c>
      <c r="M298" t="str">
        <f>IF([2]Entry!$G$301="","",[2]Entry!$G$301)</f>
        <v/>
      </c>
      <c r="N298" t="str">
        <f>IF([2]Entry!$M$301="","",[2]Entry!$M$301)</f>
        <v/>
      </c>
      <c r="O298" t="str">
        <f>IF([2]Entry!$N$301="","",[2]Entry!$N$301)</f>
        <v/>
      </c>
      <c r="P298" t="str">
        <f>IF([2]Entry!$R$301="","",[2]Entry!$R$301)</f>
        <v/>
      </c>
    </row>
    <row r="299" spans="1:16" x14ac:dyDescent="0.2">
      <c r="A299" t="str">
        <f>IF([1]Accounts!$D$300="","",[1]Accounts!$A$300)</f>
        <v/>
      </c>
      <c r="B299" t="str">
        <f>IF([1]Accounts!$D$300="","",[1]Accounts!$B$300)</f>
        <v/>
      </c>
      <c r="C299" t="str">
        <f>IF([1]Accounts!$D$300="","",[1]Accounts!$C$300)</f>
        <v/>
      </c>
      <c r="D299" t="str">
        <f>IF([1]Accounts!$D$300="","",[1]Accounts!$D$300)</f>
        <v/>
      </c>
      <c r="E299" t="str">
        <f>IF([1]Accounts!$D$300="","",[1]Accounts!$J$300)</f>
        <v/>
      </c>
      <c r="F299" t="str">
        <f>IF([1]Accounts!$D$300="","",[1]Accounts!$K$300)</f>
        <v/>
      </c>
      <c r="J299" t="str">
        <f>IF([2]Entry!$C$302="","",[2]Entry!$C$302)</f>
        <v/>
      </c>
      <c r="K299" t="str">
        <f>IF([2]Entry!$D$302="","",[2]Entry!$D$302)</f>
        <v/>
      </c>
      <c r="L299" t="str">
        <f>IF([2]Entry!$E$302="","",[2]Entry!$E$302)</f>
        <v/>
      </c>
      <c r="M299" t="str">
        <f>IF([2]Entry!$G$302="","",[2]Entry!$G$302)</f>
        <v/>
      </c>
      <c r="N299" t="str">
        <f>IF([2]Entry!$M$302="","",[2]Entry!$M$302)</f>
        <v/>
      </c>
      <c r="O299" t="str">
        <f>IF([2]Entry!$N$302="","",[2]Entry!$N$302)</f>
        <v/>
      </c>
      <c r="P299" t="str">
        <f>IF([2]Entry!$R$302="","",[2]Entry!$R$302)</f>
        <v/>
      </c>
    </row>
    <row r="300" spans="1:16" x14ac:dyDescent="0.2">
      <c r="A300" t="str">
        <f>IF([1]Accounts!$D$301="","",[1]Accounts!$A$301)</f>
        <v/>
      </c>
      <c r="B300" t="str">
        <f>IF([1]Accounts!$D$301="","",[1]Accounts!$B$301)</f>
        <v/>
      </c>
      <c r="C300" t="str">
        <f>IF([1]Accounts!$D$301="","",[1]Accounts!$C$301)</f>
        <v/>
      </c>
      <c r="D300" t="str">
        <f>IF([1]Accounts!$D$301="","",[1]Accounts!$D$301)</f>
        <v/>
      </c>
      <c r="E300" t="str">
        <f>IF([1]Accounts!$D$301="","",[1]Accounts!$J$301)</f>
        <v/>
      </c>
      <c r="F300" t="str">
        <f>IF([1]Accounts!$D$301="","",[1]Accounts!$K$301)</f>
        <v/>
      </c>
      <c r="J300" t="str">
        <f>IF([2]Entry!$C$303="","",[2]Entry!$C$303)</f>
        <v/>
      </c>
      <c r="K300" t="str">
        <f>IF([2]Entry!$D$303="","",[2]Entry!$D$303)</f>
        <v/>
      </c>
      <c r="L300" t="str">
        <f>IF([2]Entry!$E$303="","",[2]Entry!$E$303)</f>
        <v/>
      </c>
      <c r="M300" t="str">
        <f>IF([2]Entry!$G$303="","",[2]Entry!$G$303)</f>
        <v/>
      </c>
      <c r="N300" t="str">
        <f>IF([2]Entry!$M$303="","",[2]Entry!$M$303)</f>
        <v/>
      </c>
      <c r="O300" t="str">
        <f>IF([2]Entry!$N$303="","",[2]Entry!$N$303)</f>
        <v/>
      </c>
      <c r="P300" t="str">
        <f>IF([2]Entry!$R$303="","",[2]Entry!$R$303)</f>
        <v/>
      </c>
    </row>
    <row r="301" spans="1:16" x14ac:dyDescent="0.2">
      <c r="A301" t="str">
        <f>IF([1]Accounts!$D$302="","",[1]Accounts!$A$302)</f>
        <v/>
      </c>
      <c r="B301" t="str">
        <f>IF([1]Accounts!$D$302="","",[1]Accounts!$B$302)</f>
        <v/>
      </c>
      <c r="C301" t="str">
        <f>IF([1]Accounts!$D$302="","",[1]Accounts!$C$302)</f>
        <v/>
      </c>
      <c r="D301" t="str">
        <f>IF([1]Accounts!$D$302="","",[1]Accounts!$D$302)</f>
        <v/>
      </c>
      <c r="E301" t="str">
        <f>IF([1]Accounts!$D$302="","",[1]Accounts!$J$302)</f>
        <v/>
      </c>
      <c r="F301" t="str">
        <f>IF([1]Accounts!$D$302="","",[1]Accounts!$K$302)</f>
        <v/>
      </c>
      <c r="J301" t="str">
        <f>IF([2]Entry!$C$304="","",[2]Entry!$C$304)</f>
        <v/>
      </c>
      <c r="K301" t="str">
        <f>IF([2]Entry!$D$304="","",[2]Entry!$D$304)</f>
        <v/>
      </c>
      <c r="L301" t="str">
        <f>IF([2]Entry!$E$304="","",[2]Entry!$E$304)</f>
        <v/>
      </c>
      <c r="M301" t="str">
        <f>IF([2]Entry!$G$304="","",[2]Entry!$G$304)</f>
        <v/>
      </c>
      <c r="N301" t="str">
        <f>IF([2]Entry!$M$304="","",[2]Entry!$M$304)</f>
        <v/>
      </c>
      <c r="O301" t="str">
        <f>IF([2]Entry!$N$304="","",[2]Entry!$N$304)</f>
        <v/>
      </c>
      <c r="P301" t="str">
        <f>IF([2]Entry!$R$304="","",[2]Entry!$R$304)</f>
        <v/>
      </c>
    </row>
    <row r="302" spans="1:16" x14ac:dyDescent="0.2">
      <c r="A302" t="str">
        <f>IF([1]Accounts!$D$303="","",[1]Accounts!$A$303)</f>
        <v/>
      </c>
      <c r="B302" t="str">
        <f>IF([1]Accounts!$D$303="","",[1]Accounts!$B$303)</f>
        <v/>
      </c>
      <c r="C302" t="str">
        <f>IF([1]Accounts!$D$303="","",[1]Accounts!$C$303)</f>
        <v/>
      </c>
      <c r="D302" t="str">
        <f>IF([1]Accounts!$D$303="","",[1]Accounts!$D$303)</f>
        <v/>
      </c>
      <c r="E302" t="str">
        <f>IF([1]Accounts!$D$303="","",[1]Accounts!$J$303)</f>
        <v/>
      </c>
      <c r="F302" t="str">
        <f>IF([1]Accounts!$D$303="","",[1]Accounts!$K$303)</f>
        <v/>
      </c>
      <c r="J302" t="str">
        <f>IF([2]Entry!$C$305="","",[2]Entry!$C$305)</f>
        <v/>
      </c>
      <c r="K302" t="str">
        <f>IF([2]Entry!$D$305="","",[2]Entry!$D$305)</f>
        <v/>
      </c>
      <c r="L302" t="str">
        <f>IF([2]Entry!$E$305="","",[2]Entry!$E$305)</f>
        <v/>
      </c>
      <c r="M302" t="str">
        <f>IF([2]Entry!$G$305="","",[2]Entry!$G$305)</f>
        <v/>
      </c>
      <c r="N302" t="str">
        <f>IF([2]Entry!$M$305="","",[2]Entry!$M$305)</f>
        <v/>
      </c>
      <c r="O302" t="str">
        <f>IF([2]Entry!$N$305="","",[2]Entry!$N$305)</f>
        <v/>
      </c>
      <c r="P302" t="str">
        <f>IF([2]Entry!$R$305="","",[2]Entry!$R$305)</f>
        <v/>
      </c>
    </row>
    <row r="303" spans="1:16" x14ac:dyDescent="0.2">
      <c r="A303" t="str">
        <f>IF([1]Accounts!$D$304="","",[1]Accounts!$A$304)</f>
        <v/>
      </c>
      <c r="B303" t="str">
        <f>IF([1]Accounts!$D$304="","",[1]Accounts!$B$304)</f>
        <v/>
      </c>
      <c r="C303" t="str">
        <f>IF([1]Accounts!$D$304="","",[1]Accounts!$C$304)</f>
        <v/>
      </c>
      <c r="D303" t="str">
        <f>IF([1]Accounts!$D$304="","",[1]Accounts!$D$304)</f>
        <v/>
      </c>
      <c r="E303" t="str">
        <f>IF([1]Accounts!$D$304="","",[1]Accounts!$J$304)</f>
        <v/>
      </c>
      <c r="F303" t="str">
        <f>IF([1]Accounts!$D$304="","",[1]Accounts!$K$304)</f>
        <v/>
      </c>
      <c r="J303" t="str">
        <f>IF([2]Entry!$C$306="","",[2]Entry!$C$306)</f>
        <v/>
      </c>
      <c r="K303" t="str">
        <f>IF([2]Entry!$D$306="","",[2]Entry!$D$306)</f>
        <v/>
      </c>
      <c r="L303" t="str">
        <f>IF([2]Entry!$E$306="","",[2]Entry!$E$306)</f>
        <v/>
      </c>
      <c r="M303" t="str">
        <f>IF([2]Entry!$G$306="","",[2]Entry!$G$306)</f>
        <v/>
      </c>
      <c r="N303" t="str">
        <f>IF([2]Entry!$M$306="","",[2]Entry!$M$306)</f>
        <v/>
      </c>
      <c r="O303" t="str">
        <f>IF([2]Entry!$N$306="","",[2]Entry!$N$306)</f>
        <v/>
      </c>
      <c r="P303" t="str">
        <f>IF([2]Entry!$R$306="","",[2]Entry!$R$306)</f>
        <v/>
      </c>
    </row>
    <row r="304" spans="1:16" x14ac:dyDescent="0.2">
      <c r="A304" t="str">
        <f>IF([1]Accounts!$D$305="","",[1]Accounts!$A$305)</f>
        <v/>
      </c>
      <c r="B304" t="str">
        <f>IF([1]Accounts!$D$305="","",[1]Accounts!$B$305)</f>
        <v/>
      </c>
      <c r="C304" t="str">
        <f>IF([1]Accounts!$D$305="","",[1]Accounts!$C$305)</f>
        <v/>
      </c>
      <c r="D304" t="str">
        <f>IF([1]Accounts!$D$305="","",[1]Accounts!$D$305)</f>
        <v/>
      </c>
      <c r="E304" t="str">
        <f>IF([1]Accounts!$D$305="","",[1]Accounts!$J$305)</f>
        <v/>
      </c>
      <c r="F304" t="str">
        <f>IF([1]Accounts!$D$305="","",[1]Accounts!$K$305)</f>
        <v/>
      </c>
      <c r="J304" t="str">
        <f>IF([2]Entry!$C$307="","",[2]Entry!$C$307)</f>
        <v/>
      </c>
      <c r="K304" t="str">
        <f>IF([2]Entry!$D$307="","",[2]Entry!$D$307)</f>
        <v/>
      </c>
      <c r="L304" t="str">
        <f>IF([2]Entry!$E$307="","",[2]Entry!$E$307)</f>
        <v/>
      </c>
      <c r="M304" t="str">
        <f>IF([2]Entry!$G$307="","",[2]Entry!$G$307)</f>
        <v/>
      </c>
      <c r="N304" t="str">
        <f>IF([2]Entry!$M$307="","",[2]Entry!$M$307)</f>
        <v/>
      </c>
      <c r="O304" t="str">
        <f>IF([2]Entry!$N$307="","",[2]Entry!$N$307)</f>
        <v/>
      </c>
      <c r="P304" t="str">
        <f>IF([2]Entry!$R$307="","",[2]Entry!$R$307)</f>
        <v/>
      </c>
    </row>
    <row r="305" spans="1:16" x14ac:dyDescent="0.2">
      <c r="A305" t="str">
        <f>IF([1]Accounts!$D$306="","",[1]Accounts!$A$306)</f>
        <v/>
      </c>
      <c r="B305" t="str">
        <f>IF([1]Accounts!$D$306="","",[1]Accounts!$B$306)</f>
        <v/>
      </c>
      <c r="C305" t="str">
        <f>IF([1]Accounts!$D$306="","",[1]Accounts!$C$306)</f>
        <v/>
      </c>
      <c r="D305" t="str">
        <f>IF([1]Accounts!$D$306="","",[1]Accounts!$D$306)</f>
        <v/>
      </c>
      <c r="E305" t="str">
        <f>IF([1]Accounts!$D$306="","",[1]Accounts!$J$306)</f>
        <v/>
      </c>
      <c r="F305" t="str">
        <f>IF([1]Accounts!$D$306="","",[1]Accounts!$K$306)</f>
        <v/>
      </c>
      <c r="J305" t="str">
        <f>IF([2]Entry!$C$308="","",[2]Entry!$C$308)</f>
        <v/>
      </c>
      <c r="K305" t="str">
        <f>IF([2]Entry!$D$308="","",[2]Entry!$D$308)</f>
        <v/>
      </c>
      <c r="L305" t="str">
        <f>IF([2]Entry!$E$308="","",[2]Entry!$E$308)</f>
        <v/>
      </c>
      <c r="M305" t="str">
        <f>IF([2]Entry!$G$308="","",[2]Entry!$G$308)</f>
        <v/>
      </c>
      <c r="N305" t="str">
        <f>IF([2]Entry!$M$308="","",[2]Entry!$M$308)</f>
        <v/>
      </c>
      <c r="O305" t="str">
        <f>IF([2]Entry!$N$308="","",[2]Entry!$N$308)</f>
        <v/>
      </c>
      <c r="P305" t="str">
        <f>IF([2]Entry!$R$308="","",[2]Entry!$R$308)</f>
        <v/>
      </c>
    </row>
    <row r="306" spans="1:16" x14ac:dyDescent="0.2">
      <c r="A306" t="str">
        <f>IF([1]Accounts!$D$307="","",[1]Accounts!$A$307)</f>
        <v>S001</v>
      </c>
      <c r="B306" t="str">
        <f>IF([1]Accounts!$D$307="","",[1]Accounts!$B$307)</f>
        <v>تأمین‌کننده</v>
      </c>
      <c r="C306" t="str">
        <f>IF([1]Accounts!$D$307="","",[1]Accounts!$C$307)</f>
        <v>فروشنده سبد</v>
      </c>
      <c r="D306" t="str">
        <f>IF([1]Accounts!$D$307="","",[1]Accounts!$D$307)</f>
        <v>حسن کوچکزاده</v>
      </c>
      <c r="E306" t="str">
        <f>IF([1]Accounts!$D$307="","",[1]Accounts!$J$307)</f>
        <v>کلیدی</v>
      </c>
      <c r="F306" t="str">
        <f>IF([1]Accounts!$D$307="","",[1]Accounts!$K$307)</f>
        <v>پایش کامل</v>
      </c>
      <c r="J306" t="str">
        <f>IF([2]Entry!$C$309="","",[2]Entry!$C$309)</f>
        <v/>
      </c>
      <c r="K306" t="str">
        <f>IF([2]Entry!$D$309="","",[2]Entry!$D$309)</f>
        <v/>
      </c>
      <c r="L306" t="str">
        <f>IF([2]Entry!$E$309="","",[2]Entry!$E$309)</f>
        <v/>
      </c>
      <c r="M306" t="str">
        <f>IF([2]Entry!$G$309="","",[2]Entry!$G$309)</f>
        <v/>
      </c>
      <c r="N306" t="str">
        <f>IF([2]Entry!$M$309="","",[2]Entry!$M$309)</f>
        <v/>
      </c>
      <c r="O306" t="str">
        <f>IF([2]Entry!$N$309="","",[2]Entry!$N$309)</f>
        <v/>
      </c>
      <c r="P306" t="str">
        <f>IF([2]Entry!$R$309="","",[2]Entry!$R$309)</f>
        <v/>
      </c>
    </row>
    <row r="307" spans="1:16" x14ac:dyDescent="0.2">
      <c r="A307" t="str">
        <f>IF([1]Accounts!$D$308="","",[1]Accounts!$A$308)</f>
        <v>S002</v>
      </c>
      <c r="B307" t="str">
        <f>IF([1]Accounts!$D$308="","",[1]Accounts!$B$308)</f>
        <v>تأمین‌کننده</v>
      </c>
      <c r="C307" t="str">
        <f>IF([1]Accounts!$D$308="","",[1]Accounts!$C$308)</f>
        <v>فروشنده سبد</v>
      </c>
      <c r="D307" t="str">
        <f>IF([1]Accounts!$D$308="","",[1]Accounts!$D$308)</f>
        <v>سید محمد موسویان</v>
      </c>
      <c r="E307" t="str">
        <f>IF([1]Accounts!$D$308="","",[1]Accounts!$J$308)</f>
        <v>عادی</v>
      </c>
      <c r="F307" t="str">
        <f>IF([1]Accounts!$D$308="","",[1]Accounts!$K$308)</f>
        <v>نمونه‌ای</v>
      </c>
      <c r="J307" t="str">
        <f>IF([2]Entry!$C$310="","",[2]Entry!$C$310)</f>
        <v/>
      </c>
      <c r="K307" t="str">
        <f>IF([2]Entry!$D$310="","",[2]Entry!$D$310)</f>
        <v/>
      </c>
      <c r="L307" t="str">
        <f>IF([2]Entry!$E$310="","",[2]Entry!$E$310)</f>
        <v/>
      </c>
      <c r="M307" t="str">
        <f>IF([2]Entry!$G$310="","",[2]Entry!$G$310)</f>
        <v/>
      </c>
      <c r="N307" t="str">
        <f>IF([2]Entry!$M$310="","",[2]Entry!$M$310)</f>
        <v/>
      </c>
      <c r="O307" t="str">
        <f>IF([2]Entry!$N$310="","",[2]Entry!$N$310)</f>
        <v/>
      </c>
      <c r="P307" t="str">
        <f>IF([2]Entry!$R$310="","",[2]Entry!$R$310)</f>
        <v/>
      </c>
    </row>
    <row r="308" spans="1:16" x14ac:dyDescent="0.2">
      <c r="A308" t="str">
        <f>IF([1]Accounts!$D$309="","",[1]Accounts!$A$309)</f>
        <v>S003</v>
      </c>
      <c r="B308" t="str">
        <f>IF([1]Accounts!$D$309="","",[1]Accounts!$B$309)</f>
        <v>تأمین‌کننده</v>
      </c>
      <c r="C308" t="str">
        <f>IF([1]Accounts!$D$309="","",[1]Accounts!$C$309)</f>
        <v>فروشنده سبد</v>
      </c>
      <c r="D308" t="str">
        <f>IF([1]Accounts!$D$309="","",[1]Accounts!$D$309)</f>
        <v>سید ربیع موسویان</v>
      </c>
      <c r="E308" t="str">
        <f>IF([1]Accounts!$D$309="","",[1]Accounts!$J$309)</f>
        <v>عادی</v>
      </c>
      <c r="F308" t="str">
        <f>IF([1]Accounts!$D$309="","",[1]Accounts!$K$309)</f>
        <v>نمونه‌ای</v>
      </c>
      <c r="J308" t="str">
        <f>IF([2]Entry!$C$311="","",[2]Entry!$C$311)</f>
        <v/>
      </c>
      <c r="K308" t="str">
        <f>IF([2]Entry!$D$311="","",[2]Entry!$D$311)</f>
        <v/>
      </c>
      <c r="L308" t="str">
        <f>IF([2]Entry!$E$311="","",[2]Entry!$E$311)</f>
        <v/>
      </c>
      <c r="M308" t="str">
        <f>IF([2]Entry!$G$311="","",[2]Entry!$G$311)</f>
        <v/>
      </c>
      <c r="N308" t="str">
        <f>IF([2]Entry!$M$311="","",[2]Entry!$M$311)</f>
        <v/>
      </c>
      <c r="O308" t="str">
        <f>IF([2]Entry!$N$311="","",[2]Entry!$N$311)</f>
        <v/>
      </c>
      <c r="P308" t="str">
        <f>IF([2]Entry!$R$311="","",[2]Entry!$R$311)</f>
        <v/>
      </c>
    </row>
    <row r="309" spans="1:16" x14ac:dyDescent="0.2">
      <c r="A309" t="str">
        <f>IF([1]Accounts!$D$310="","",[1]Accounts!$A$310)</f>
        <v/>
      </c>
      <c r="B309" t="str">
        <f>IF([1]Accounts!$D$310="","",[1]Accounts!$B$310)</f>
        <v/>
      </c>
      <c r="C309" t="str">
        <f>IF([1]Accounts!$D$310="","",[1]Accounts!$C$310)</f>
        <v/>
      </c>
      <c r="D309" t="str">
        <f>IF([1]Accounts!$D$310="","",[1]Accounts!$D$310)</f>
        <v/>
      </c>
      <c r="E309" t="str">
        <f>IF([1]Accounts!$D$310="","",[1]Accounts!$J$310)</f>
        <v/>
      </c>
      <c r="F309" t="str">
        <f>IF([1]Accounts!$D$310="","",[1]Accounts!$K$310)</f>
        <v/>
      </c>
      <c r="J309" t="str">
        <f>IF([2]Entry!$C$312="","",[2]Entry!$C$312)</f>
        <v/>
      </c>
      <c r="K309" t="str">
        <f>IF([2]Entry!$D$312="","",[2]Entry!$D$312)</f>
        <v/>
      </c>
      <c r="L309" t="str">
        <f>IF([2]Entry!$E$312="","",[2]Entry!$E$312)</f>
        <v/>
      </c>
      <c r="M309" t="str">
        <f>IF([2]Entry!$G$312="","",[2]Entry!$G$312)</f>
        <v/>
      </c>
      <c r="N309" t="str">
        <f>IF([2]Entry!$M$312="","",[2]Entry!$M$312)</f>
        <v/>
      </c>
      <c r="O309" t="str">
        <f>IF([2]Entry!$N$312="","",[2]Entry!$N$312)</f>
        <v/>
      </c>
      <c r="P309" t="str">
        <f>IF([2]Entry!$R$312="","",[2]Entry!$R$312)</f>
        <v/>
      </c>
    </row>
    <row r="310" spans="1:16" x14ac:dyDescent="0.2">
      <c r="A310" t="str">
        <f>IF([1]Accounts!$D$311="","",[1]Accounts!$A$311)</f>
        <v/>
      </c>
      <c r="B310" t="str">
        <f>IF([1]Accounts!$D$311="","",[1]Accounts!$B$311)</f>
        <v/>
      </c>
      <c r="C310" t="str">
        <f>IF([1]Accounts!$D$311="","",[1]Accounts!$C$311)</f>
        <v/>
      </c>
      <c r="D310" t="str">
        <f>IF([1]Accounts!$D$311="","",[1]Accounts!$D$311)</f>
        <v/>
      </c>
      <c r="E310" t="str">
        <f>IF([1]Accounts!$D$311="","",[1]Accounts!$J$311)</f>
        <v/>
      </c>
      <c r="F310" t="str">
        <f>IF([1]Accounts!$D$311="","",[1]Accounts!$K$311)</f>
        <v/>
      </c>
      <c r="J310" t="str">
        <f>IF([2]Entry!$C$313="","",[2]Entry!$C$313)</f>
        <v/>
      </c>
      <c r="K310" t="str">
        <f>IF([2]Entry!$D$313="","",[2]Entry!$D$313)</f>
        <v/>
      </c>
      <c r="L310" t="str">
        <f>IF([2]Entry!$E$313="","",[2]Entry!$E$313)</f>
        <v/>
      </c>
      <c r="M310" t="str">
        <f>IF([2]Entry!$G$313="","",[2]Entry!$G$313)</f>
        <v/>
      </c>
      <c r="N310" t="str">
        <f>IF([2]Entry!$M$313="","",[2]Entry!$M$313)</f>
        <v/>
      </c>
      <c r="O310" t="str">
        <f>IF([2]Entry!$N$313="","",[2]Entry!$N$313)</f>
        <v/>
      </c>
      <c r="P310" t="str">
        <f>IF([2]Entry!$R$313="","",[2]Entry!$R$313)</f>
        <v/>
      </c>
    </row>
    <row r="311" spans="1:16" x14ac:dyDescent="0.2">
      <c r="A311" t="str">
        <f>IF([1]Accounts!$D$312="","",[1]Accounts!$A$312)</f>
        <v/>
      </c>
      <c r="B311" t="str">
        <f>IF([1]Accounts!$D$312="","",[1]Accounts!$B$312)</f>
        <v/>
      </c>
      <c r="C311" t="str">
        <f>IF([1]Accounts!$D$312="","",[1]Accounts!$C$312)</f>
        <v/>
      </c>
      <c r="D311" t="str">
        <f>IF([1]Accounts!$D$312="","",[1]Accounts!$D$312)</f>
        <v/>
      </c>
      <c r="E311" t="str">
        <f>IF([1]Accounts!$D$312="","",[1]Accounts!$J$312)</f>
        <v/>
      </c>
      <c r="F311" t="str">
        <f>IF([1]Accounts!$D$312="","",[1]Accounts!$K$312)</f>
        <v/>
      </c>
      <c r="J311" t="str">
        <f>IF([2]Entry!$C$314="","",[2]Entry!$C$314)</f>
        <v/>
      </c>
      <c r="K311" t="str">
        <f>IF([2]Entry!$D$314="","",[2]Entry!$D$314)</f>
        <v/>
      </c>
      <c r="L311" t="str">
        <f>IF([2]Entry!$E$314="","",[2]Entry!$E$314)</f>
        <v/>
      </c>
      <c r="M311" t="str">
        <f>IF([2]Entry!$G$314="","",[2]Entry!$G$314)</f>
        <v/>
      </c>
      <c r="N311" t="str">
        <f>IF([2]Entry!$M$314="","",[2]Entry!$M$314)</f>
        <v/>
      </c>
      <c r="O311" t="str">
        <f>IF([2]Entry!$N$314="","",[2]Entry!$N$314)</f>
        <v/>
      </c>
      <c r="P311" t="str">
        <f>IF([2]Entry!$R$314="","",[2]Entry!$R$314)</f>
        <v/>
      </c>
    </row>
    <row r="312" spans="1:16" x14ac:dyDescent="0.2">
      <c r="A312" t="str">
        <f>IF([1]Accounts!$D$313="","",[1]Accounts!$A$313)</f>
        <v/>
      </c>
      <c r="B312" t="str">
        <f>IF([1]Accounts!$D$313="","",[1]Accounts!$B$313)</f>
        <v/>
      </c>
      <c r="C312" t="str">
        <f>IF([1]Accounts!$D$313="","",[1]Accounts!$C$313)</f>
        <v/>
      </c>
      <c r="D312" t="str">
        <f>IF([1]Accounts!$D$313="","",[1]Accounts!$D$313)</f>
        <v/>
      </c>
      <c r="E312" t="str">
        <f>IF([1]Accounts!$D$313="","",[1]Accounts!$J$313)</f>
        <v/>
      </c>
      <c r="F312" t="str">
        <f>IF([1]Accounts!$D$313="","",[1]Accounts!$K$313)</f>
        <v/>
      </c>
      <c r="J312" t="str">
        <f>IF([2]Entry!$C$315="","",[2]Entry!$C$315)</f>
        <v/>
      </c>
      <c r="K312" t="str">
        <f>IF([2]Entry!$D$315="","",[2]Entry!$D$315)</f>
        <v/>
      </c>
      <c r="L312" t="str">
        <f>IF([2]Entry!$E$315="","",[2]Entry!$E$315)</f>
        <v/>
      </c>
      <c r="M312" t="str">
        <f>IF([2]Entry!$G$315="","",[2]Entry!$G$315)</f>
        <v/>
      </c>
      <c r="N312" t="str">
        <f>IF([2]Entry!$M$315="","",[2]Entry!$M$315)</f>
        <v/>
      </c>
      <c r="O312" t="str">
        <f>IF([2]Entry!$N$315="","",[2]Entry!$N$315)</f>
        <v/>
      </c>
      <c r="P312" t="str">
        <f>IF([2]Entry!$R$315="","",[2]Entry!$R$315)</f>
        <v/>
      </c>
    </row>
    <row r="313" spans="1:16" x14ac:dyDescent="0.2">
      <c r="A313" t="str">
        <f>IF([1]Accounts!$D$314="","",[1]Accounts!$A$314)</f>
        <v/>
      </c>
      <c r="B313" t="str">
        <f>IF([1]Accounts!$D$314="","",[1]Accounts!$B$314)</f>
        <v/>
      </c>
      <c r="C313" t="str">
        <f>IF([1]Accounts!$D$314="","",[1]Accounts!$C$314)</f>
        <v/>
      </c>
      <c r="D313" t="str">
        <f>IF([1]Accounts!$D$314="","",[1]Accounts!$D$314)</f>
        <v/>
      </c>
      <c r="E313" t="str">
        <f>IF([1]Accounts!$D$314="","",[1]Accounts!$J$314)</f>
        <v/>
      </c>
      <c r="F313" t="str">
        <f>IF([1]Accounts!$D$314="","",[1]Accounts!$K$314)</f>
        <v/>
      </c>
      <c r="J313" t="str">
        <f>IF([2]Entry!$C$316="","",[2]Entry!$C$316)</f>
        <v/>
      </c>
      <c r="K313" t="str">
        <f>IF([2]Entry!$D$316="","",[2]Entry!$D$316)</f>
        <v/>
      </c>
      <c r="L313" t="str">
        <f>IF([2]Entry!$E$316="","",[2]Entry!$E$316)</f>
        <v/>
      </c>
      <c r="M313" t="str">
        <f>IF([2]Entry!$G$316="","",[2]Entry!$G$316)</f>
        <v/>
      </c>
      <c r="N313" t="str">
        <f>IF([2]Entry!$M$316="","",[2]Entry!$M$316)</f>
        <v/>
      </c>
      <c r="O313" t="str">
        <f>IF([2]Entry!$N$316="","",[2]Entry!$N$316)</f>
        <v/>
      </c>
      <c r="P313" t="str">
        <f>IF([2]Entry!$R$316="","",[2]Entry!$R$316)</f>
        <v/>
      </c>
    </row>
    <row r="314" spans="1:16" x14ac:dyDescent="0.2">
      <c r="A314" t="str">
        <f>IF([1]Accounts!$D$315="","",[1]Accounts!$A$315)</f>
        <v/>
      </c>
      <c r="B314" t="str">
        <f>IF([1]Accounts!$D$315="","",[1]Accounts!$B$315)</f>
        <v/>
      </c>
      <c r="C314" t="str">
        <f>IF([1]Accounts!$D$315="","",[1]Accounts!$C$315)</f>
        <v/>
      </c>
      <c r="D314" t="str">
        <f>IF([1]Accounts!$D$315="","",[1]Accounts!$D$315)</f>
        <v/>
      </c>
      <c r="E314" t="str">
        <f>IF([1]Accounts!$D$315="","",[1]Accounts!$J$315)</f>
        <v/>
      </c>
      <c r="F314" t="str">
        <f>IF([1]Accounts!$D$315="","",[1]Accounts!$K$315)</f>
        <v/>
      </c>
      <c r="J314" t="str">
        <f>IF([2]Entry!$C$317="","",[2]Entry!$C$317)</f>
        <v/>
      </c>
      <c r="K314" t="str">
        <f>IF([2]Entry!$D$317="","",[2]Entry!$D$317)</f>
        <v/>
      </c>
      <c r="L314" t="str">
        <f>IF([2]Entry!$E$317="","",[2]Entry!$E$317)</f>
        <v/>
      </c>
      <c r="M314" t="str">
        <f>IF([2]Entry!$G$317="","",[2]Entry!$G$317)</f>
        <v/>
      </c>
      <c r="N314" t="str">
        <f>IF([2]Entry!$M$317="","",[2]Entry!$M$317)</f>
        <v/>
      </c>
      <c r="O314" t="str">
        <f>IF([2]Entry!$N$317="","",[2]Entry!$N$317)</f>
        <v/>
      </c>
      <c r="P314" t="str">
        <f>IF([2]Entry!$R$317="","",[2]Entry!$R$317)</f>
        <v/>
      </c>
    </row>
    <row r="315" spans="1:16" x14ac:dyDescent="0.2">
      <c r="A315" t="str">
        <f>IF([1]Accounts!$D$316="","",[1]Accounts!$A$316)</f>
        <v/>
      </c>
      <c r="B315" t="str">
        <f>IF([1]Accounts!$D$316="","",[1]Accounts!$B$316)</f>
        <v/>
      </c>
      <c r="C315" t="str">
        <f>IF([1]Accounts!$D$316="","",[1]Accounts!$C$316)</f>
        <v/>
      </c>
      <c r="D315" t="str">
        <f>IF([1]Accounts!$D$316="","",[1]Accounts!$D$316)</f>
        <v/>
      </c>
      <c r="E315" t="str">
        <f>IF([1]Accounts!$D$316="","",[1]Accounts!$J$316)</f>
        <v/>
      </c>
      <c r="F315" t="str">
        <f>IF([1]Accounts!$D$316="","",[1]Accounts!$K$316)</f>
        <v/>
      </c>
      <c r="J315" t="str">
        <f>IF([2]Entry!$C$318="","",[2]Entry!$C$318)</f>
        <v/>
      </c>
      <c r="K315" t="str">
        <f>IF([2]Entry!$D$318="","",[2]Entry!$D$318)</f>
        <v/>
      </c>
      <c r="L315" t="str">
        <f>IF([2]Entry!$E$318="","",[2]Entry!$E$318)</f>
        <v/>
      </c>
      <c r="M315" t="str">
        <f>IF([2]Entry!$G$318="","",[2]Entry!$G$318)</f>
        <v/>
      </c>
      <c r="N315" t="str">
        <f>IF([2]Entry!$M$318="","",[2]Entry!$M$318)</f>
        <v/>
      </c>
      <c r="O315" t="str">
        <f>IF([2]Entry!$N$318="","",[2]Entry!$N$318)</f>
        <v/>
      </c>
      <c r="P315" t="str">
        <f>IF([2]Entry!$R$318="","",[2]Entry!$R$318)</f>
        <v/>
      </c>
    </row>
    <row r="316" spans="1:16" x14ac:dyDescent="0.2">
      <c r="A316" t="str">
        <f>IF([1]Accounts!$D$317="","",[1]Accounts!$A$317)</f>
        <v/>
      </c>
      <c r="B316" t="str">
        <f>IF([1]Accounts!$D$317="","",[1]Accounts!$B$317)</f>
        <v/>
      </c>
      <c r="C316" t="str">
        <f>IF([1]Accounts!$D$317="","",[1]Accounts!$C$317)</f>
        <v/>
      </c>
      <c r="D316" t="str">
        <f>IF([1]Accounts!$D$317="","",[1]Accounts!$D$317)</f>
        <v/>
      </c>
      <c r="E316" t="str">
        <f>IF([1]Accounts!$D$317="","",[1]Accounts!$J$317)</f>
        <v/>
      </c>
      <c r="F316" t="str">
        <f>IF([1]Accounts!$D$317="","",[1]Accounts!$K$317)</f>
        <v/>
      </c>
      <c r="J316" t="str">
        <f>IF([2]Entry!$C$319="","",[2]Entry!$C$319)</f>
        <v/>
      </c>
      <c r="K316" t="str">
        <f>IF([2]Entry!$D$319="","",[2]Entry!$D$319)</f>
        <v/>
      </c>
      <c r="L316" t="str">
        <f>IF([2]Entry!$E$319="","",[2]Entry!$E$319)</f>
        <v/>
      </c>
      <c r="M316" t="str">
        <f>IF([2]Entry!$G$319="","",[2]Entry!$G$319)</f>
        <v/>
      </c>
      <c r="N316" t="str">
        <f>IF([2]Entry!$M$319="","",[2]Entry!$M$319)</f>
        <v/>
      </c>
      <c r="O316" t="str">
        <f>IF([2]Entry!$N$319="","",[2]Entry!$N$319)</f>
        <v/>
      </c>
      <c r="P316" t="str">
        <f>IF([2]Entry!$R$319="","",[2]Entry!$R$319)</f>
        <v/>
      </c>
    </row>
    <row r="317" spans="1:16" x14ac:dyDescent="0.2">
      <c r="A317" t="str">
        <f>IF([1]Accounts!$D$318="","",[1]Accounts!$A$318)</f>
        <v/>
      </c>
      <c r="B317" t="str">
        <f>IF([1]Accounts!$D$318="","",[1]Accounts!$B$318)</f>
        <v/>
      </c>
      <c r="C317" t="str">
        <f>IF([1]Accounts!$D$318="","",[1]Accounts!$C$318)</f>
        <v/>
      </c>
      <c r="D317" t="str">
        <f>IF([1]Accounts!$D$318="","",[1]Accounts!$D$318)</f>
        <v/>
      </c>
      <c r="E317" t="str">
        <f>IF([1]Accounts!$D$318="","",[1]Accounts!$J$318)</f>
        <v/>
      </c>
      <c r="F317" t="str">
        <f>IF([1]Accounts!$D$318="","",[1]Accounts!$K$318)</f>
        <v/>
      </c>
      <c r="J317" t="str">
        <f>IF([2]Entry!$C$320="","",[2]Entry!$C$320)</f>
        <v/>
      </c>
      <c r="K317" t="str">
        <f>IF([2]Entry!$D$320="","",[2]Entry!$D$320)</f>
        <v/>
      </c>
      <c r="L317" t="str">
        <f>IF([2]Entry!$E$320="","",[2]Entry!$E$320)</f>
        <v/>
      </c>
      <c r="M317" t="str">
        <f>IF([2]Entry!$G$320="","",[2]Entry!$G$320)</f>
        <v/>
      </c>
      <c r="N317" t="str">
        <f>IF([2]Entry!$M$320="","",[2]Entry!$M$320)</f>
        <v/>
      </c>
      <c r="O317" t="str">
        <f>IF([2]Entry!$N$320="","",[2]Entry!$N$320)</f>
        <v/>
      </c>
      <c r="P317" t="str">
        <f>IF([2]Entry!$R$320="","",[2]Entry!$R$320)</f>
        <v/>
      </c>
    </row>
    <row r="318" spans="1:16" x14ac:dyDescent="0.2">
      <c r="A318" t="str">
        <f>IF([1]Accounts!$D$319="","",[1]Accounts!$A$319)</f>
        <v/>
      </c>
      <c r="B318" t="str">
        <f>IF([1]Accounts!$D$319="","",[1]Accounts!$B$319)</f>
        <v/>
      </c>
      <c r="C318" t="str">
        <f>IF([1]Accounts!$D$319="","",[1]Accounts!$C$319)</f>
        <v/>
      </c>
      <c r="D318" t="str">
        <f>IF([1]Accounts!$D$319="","",[1]Accounts!$D$319)</f>
        <v/>
      </c>
      <c r="E318" t="str">
        <f>IF([1]Accounts!$D$319="","",[1]Accounts!$J$319)</f>
        <v/>
      </c>
      <c r="F318" t="str">
        <f>IF([1]Accounts!$D$319="","",[1]Accounts!$K$319)</f>
        <v/>
      </c>
      <c r="J318" t="str">
        <f>IF([2]Entry!$C$321="","",[2]Entry!$C$321)</f>
        <v/>
      </c>
      <c r="K318" t="str">
        <f>IF([2]Entry!$D$321="","",[2]Entry!$D$321)</f>
        <v/>
      </c>
      <c r="L318" t="str">
        <f>IF([2]Entry!$E$321="","",[2]Entry!$E$321)</f>
        <v/>
      </c>
      <c r="M318" t="str">
        <f>IF([2]Entry!$G$321="","",[2]Entry!$G$321)</f>
        <v/>
      </c>
      <c r="N318" t="str">
        <f>IF([2]Entry!$M$321="","",[2]Entry!$M$321)</f>
        <v/>
      </c>
      <c r="O318" t="str">
        <f>IF([2]Entry!$N$321="","",[2]Entry!$N$321)</f>
        <v/>
      </c>
      <c r="P318" t="str">
        <f>IF([2]Entry!$R$321="","",[2]Entry!$R$321)</f>
        <v/>
      </c>
    </row>
    <row r="319" spans="1:16" x14ac:dyDescent="0.2">
      <c r="A319" t="str">
        <f>IF([1]Accounts!$D$320="","",[1]Accounts!$A$320)</f>
        <v/>
      </c>
      <c r="B319" t="str">
        <f>IF([1]Accounts!$D$320="","",[1]Accounts!$B$320)</f>
        <v/>
      </c>
      <c r="C319" t="str">
        <f>IF([1]Accounts!$D$320="","",[1]Accounts!$C$320)</f>
        <v/>
      </c>
      <c r="D319" t="str">
        <f>IF([1]Accounts!$D$320="","",[1]Accounts!$D$320)</f>
        <v/>
      </c>
      <c r="E319" t="str">
        <f>IF([1]Accounts!$D$320="","",[1]Accounts!$J$320)</f>
        <v/>
      </c>
      <c r="F319" t="str">
        <f>IF([1]Accounts!$D$320="","",[1]Accounts!$K$320)</f>
        <v/>
      </c>
      <c r="J319" t="str">
        <f>IF([2]Entry!$C$322="","",[2]Entry!$C$322)</f>
        <v/>
      </c>
      <c r="K319" t="str">
        <f>IF([2]Entry!$D$322="","",[2]Entry!$D$322)</f>
        <v/>
      </c>
      <c r="L319" t="str">
        <f>IF([2]Entry!$E$322="","",[2]Entry!$E$322)</f>
        <v/>
      </c>
      <c r="M319" t="str">
        <f>IF([2]Entry!$G$322="","",[2]Entry!$G$322)</f>
        <v/>
      </c>
      <c r="N319" t="str">
        <f>IF([2]Entry!$M$322="","",[2]Entry!$M$322)</f>
        <v/>
      </c>
      <c r="O319" t="str">
        <f>IF([2]Entry!$N$322="","",[2]Entry!$N$322)</f>
        <v/>
      </c>
      <c r="P319" t="str">
        <f>IF([2]Entry!$R$322="","",[2]Entry!$R$322)</f>
        <v/>
      </c>
    </row>
    <row r="320" spans="1:16" x14ac:dyDescent="0.2">
      <c r="A320" t="str">
        <f>IF([1]Accounts!$D$321="","",[1]Accounts!$A$321)</f>
        <v/>
      </c>
      <c r="B320" t="str">
        <f>IF([1]Accounts!$D$321="","",[1]Accounts!$B$321)</f>
        <v/>
      </c>
      <c r="C320" t="str">
        <f>IF([1]Accounts!$D$321="","",[1]Accounts!$C$321)</f>
        <v/>
      </c>
      <c r="D320" t="str">
        <f>IF([1]Accounts!$D$321="","",[1]Accounts!$D$321)</f>
        <v/>
      </c>
      <c r="E320" t="str">
        <f>IF([1]Accounts!$D$321="","",[1]Accounts!$J$321)</f>
        <v/>
      </c>
      <c r="F320" t="str">
        <f>IF([1]Accounts!$D$321="","",[1]Accounts!$K$321)</f>
        <v/>
      </c>
      <c r="J320" t="str">
        <f>IF([2]Entry!$C$323="","",[2]Entry!$C$323)</f>
        <v/>
      </c>
      <c r="K320" t="str">
        <f>IF([2]Entry!$D$323="","",[2]Entry!$D$323)</f>
        <v/>
      </c>
      <c r="L320" t="str">
        <f>IF([2]Entry!$E$323="","",[2]Entry!$E$323)</f>
        <v/>
      </c>
      <c r="M320" t="str">
        <f>IF([2]Entry!$G$323="","",[2]Entry!$G$323)</f>
        <v/>
      </c>
      <c r="N320" t="str">
        <f>IF([2]Entry!$M$323="","",[2]Entry!$M$323)</f>
        <v/>
      </c>
      <c r="O320" t="str">
        <f>IF([2]Entry!$N$323="","",[2]Entry!$N$323)</f>
        <v/>
      </c>
      <c r="P320" t="str">
        <f>IF([2]Entry!$R$323="","",[2]Entry!$R$323)</f>
        <v/>
      </c>
    </row>
    <row r="321" spans="1:16" x14ac:dyDescent="0.2">
      <c r="A321" t="str">
        <f>IF([1]Accounts!$D$322="","",[1]Accounts!$A$322)</f>
        <v/>
      </c>
      <c r="B321" t="str">
        <f>IF([1]Accounts!$D$322="","",[1]Accounts!$B$322)</f>
        <v/>
      </c>
      <c r="C321" t="str">
        <f>IF([1]Accounts!$D$322="","",[1]Accounts!$C$322)</f>
        <v/>
      </c>
      <c r="D321" t="str">
        <f>IF([1]Accounts!$D$322="","",[1]Accounts!$D$322)</f>
        <v/>
      </c>
      <c r="E321" t="str">
        <f>IF([1]Accounts!$D$322="","",[1]Accounts!$J$322)</f>
        <v/>
      </c>
      <c r="F321" t="str">
        <f>IF([1]Accounts!$D$322="","",[1]Accounts!$K$322)</f>
        <v/>
      </c>
      <c r="J321" t="str">
        <f>IF([2]Entry!$C$324="","",[2]Entry!$C$324)</f>
        <v/>
      </c>
      <c r="K321" t="str">
        <f>IF([2]Entry!$D$324="","",[2]Entry!$D$324)</f>
        <v/>
      </c>
      <c r="L321" t="str">
        <f>IF([2]Entry!$E$324="","",[2]Entry!$E$324)</f>
        <v/>
      </c>
      <c r="M321" t="str">
        <f>IF([2]Entry!$G$324="","",[2]Entry!$G$324)</f>
        <v/>
      </c>
      <c r="N321" t="str">
        <f>IF([2]Entry!$M$324="","",[2]Entry!$M$324)</f>
        <v/>
      </c>
      <c r="O321" t="str">
        <f>IF([2]Entry!$N$324="","",[2]Entry!$N$324)</f>
        <v/>
      </c>
      <c r="P321" t="str">
        <f>IF([2]Entry!$R$324="","",[2]Entry!$R$324)</f>
        <v/>
      </c>
    </row>
    <row r="322" spans="1:16" x14ac:dyDescent="0.2">
      <c r="A322" t="str">
        <f>IF([1]Accounts!$D$323="","",[1]Accounts!$A$323)</f>
        <v/>
      </c>
      <c r="B322" t="str">
        <f>IF([1]Accounts!$D$323="","",[1]Accounts!$B$323)</f>
        <v/>
      </c>
      <c r="C322" t="str">
        <f>IF([1]Accounts!$D$323="","",[1]Accounts!$C$323)</f>
        <v/>
      </c>
      <c r="D322" t="str">
        <f>IF([1]Accounts!$D$323="","",[1]Accounts!$D$323)</f>
        <v/>
      </c>
      <c r="E322" t="str">
        <f>IF([1]Accounts!$D$323="","",[1]Accounts!$J$323)</f>
        <v/>
      </c>
      <c r="F322" t="str">
        <f>IF([1]Accounts!$D$323="","",[1]Accounts!$K$323)</f>
        <v/>
      </c>
      <c r="J322" t="str">
        <f>IF([2]Entry!$C$325="","",[2]Entry!$C$325)</f>
        <v/>
      </c>
      <c r="K322" t="str">
        <f>IF([2]Entry!$D$325="","",[2]Entry!$D$325)</f>
        <v/>
      </c>
      <c r="L322" t="str">
        <f>IF([2]Entry!$E$325="","",[2]Entry!$E$325)</f>
        <v/>
      </c>
      <c r="M322" t="str">
        <f>IF([2]Entry!$G$325="","",[2]Entry!$G$325)</f>
        <v/>
      </c>
      <c r="N322" t="str">
        <f>IF([2]Entry!$M$325="","",[2]Entry!$M$325)</f>
        <v/>
      </c>
      <c r="O322" t="str">
        <f>IF([2]Entry!$N$325="","",[2]Entry!$N$325)</f>
        <v/>
      </c>
      <c r="P322" t="str">
        <f>IF([2]Entry!$R$325="","",[2]Entry!$R$325)</f>
        <v/>
      </c>
    </row>
    <row r="323" spans="1:16" x14ac:dyDescent="0.2">
      <c r="A323" t="str">
        <f>IF([1]Accounts!$D$324="","",[1]Accounts!$A$324)</f>
        <v/>
      </c>
      <c r="B323" t="str">
        <f>IF([1]Accounts!$D$324="","",[1]Accounts!$B$324)</f>
        <v/>
      </c>
      <c r="C323" t="str">
        <f>IF([1]Accounts!$D$324="","",[1]Accounts!$C$324)</f>
        <v/>
      </c>
      <c r="D323" t="str">
        <f>IF([1]Accounts!$D$324="","",[1]Accounts!$D$324)</f>
        <v/>
      </c>
      <c r="E323" t="str">
        <f>IF([1]Accounts!$D$324="","",[1]Accounts!$J$324)</f>
        <v/>
      </c>
      <c r="F323" t="str">
        <f>IF([1]Accounts!$D$324="","",[1]Accounts!$K$324)</f>
        <v/>
      </c>
      <c r="J323" t="str">
        <f>IF([2]Entry!$C$326="","",[2]Entry!$C$326)</f>
        <v/>
      </c>
      <c r="K323" t="str">
        <f>IF([2]Entry!$D$326="","",[2]Entry!$D$326)</f>
        <v/>
      </c>
      <c r="L323" t="str">
        <f>IF([2]Entry!$E$326="","",[2]Entry!$E$326)</f>
        <v/>
      </c>
      <c r="M323" t="str">
        <f>IF([2]Entry!$G$326="","",[2]Entry!$G$326)</f>
        <v/>
      </c>
      <c r="N323" t="str">
        <f>IF([2]Entry!$M$326="","",[2]Entry!$M$326)</f>
        <v/>
      </c>
      <c r="O323" t="str">
        <f>IF([2]Entry!$N$326="","",[2]Entry!$N$326)</f>
        <v/>
      </c>
      <c r="P323" t="str">
        <f>IF([2]Entry!$R$326="","",[2]Entry!$R$326)</f>
        <v/>
      </c>
    </row>
    <row r="324" spans="1:16" x14ac:dyDescent="0.2">
      <c r="A324" t="str">
        <f>IF([1]Accounts!$D$325="","",[1]Accounts!$A$325)</f>
        <v/>
      </c>
      <c r="B324" t="str">
        <f>IF([1]Accounts!$D$325="","",[1]Accounts!$B$325)</f>
        <v/>
      </c>
      <c r="C324" t="str">
        <f>IF([1]Accounts!$D$325="","",[1]Accounts!$C$325)</f>
        <v/>
      </c>
      <c r="D324" t="str">
        <f>IF([1]Accounts!$D$325="","",[1]Accounts!$D$325)</f>
        <v/>
      </c>
      <c r="E324" t="str">
        <f>IF([1]Accounts!$D$325="","",[1]Accounts!$J$325)</f>
        <v/>
      </c>
      <c r="F324" t="str">
        <f>IF([1]Accounts!$D$325="","",[1]Accounts!$K$325)</f>
        <v/>
      </c>
      <c r="J324" t="str">
        <f>IF([2]Entry!$C$327="","",[2]Entry!$C$327)</f>
        <v/>
      </c>
      <c r="K324" t="str">
        <f>IF([2]Entry!$D$327="","",[2]Entry!$D$327)</f>
        <v/>
      </c>
      <c r="L324" t="str">
        <f>IF([2]Entry!$E$327="","",[2]Entry!$E$327)</f>
        <v/>
      </c>
      <c r="M324" t="str">
        <f>IF([2]Entry!$G$327="","",[2]Entry!$G$327)</f>
        <v/>
      </c>
      <c r="N324" t="str">
        <f>IF([2]Entry!$M$327="","",[2]Entry!$M$327)</f>
        <v/>
      </c>
      <c r="O324" t="str">
        <f>IF([2]Entry!$N$327="","",[2]Entry!$N$327)</f>
        <v/>
      </c>
      <c r="P324" t="str">
        <f>IF([2]Entry!$R$327="","",[2]Entry!$R$327)</f>
        <v/>
      </c>
    </row>
    <row r="325" spans="1:16" x14ac:dyDescent="0.2">
      <c r="A325" t="str">
        <f>IF([1]Accounts!$D$326="","",[1]Accounts!$A$326)</f>
        <v/>
      </c>
      <c r="B325" t="str">
        <f>IF([1]Accounts!$D$326="","",[1]Accounts!$B$326)</f>
        <v/>
      </c>
      <c r="C325" t="str">
        <f>IF([1]Accounts!$D$326="","",[1]Accounts!$C$326)</f>
        <v/>
      </c>
      <c r="D325" t="str">
        <f>IF([1]Accounts!$D$326="","",[1]Accounts!$D$326)</f>
        <v/>
      </c>
      <c r="E325" t="str">
        <f>IF([1]Accounts!$D$326="","",[1]Accounts!$J$326)</f>
        <v/>
      </c>
      <c r="F325" t="str">
        <f>IF([1]Accounts!$D$326="","",[1]Accounts!$K$326)</f>
        <v/>
      </c>
      <c r="J325" t="str">
        <f>IF([2]Entry!$C$328="","",[2]Entry!$C$328)</f>
        <v/>
      </c>
      <c r="K325" t="str">
        <f>IF([2]Entry!$D$328="","",[2]Entry!$D$328)</f>
        <v/>
      </c>
      <c r="L325" t="str">
        <f>IF([2]Entry!$E$328="","",[2]Entry!$E$328)</f>
        <v/>
      </c>
      <c r="M325" t="str">
        <f>IF([2]Entry!$G$328="","",[2]Entry!$G$328)</f>
        <v/>
      </c>
      <c r="N325" t="str">
        <f>IF([2]Entry!$M$328="","",[2]Entry!$M$328)</f>
        <v/>
      </c>
      <c r="O325" t="str">
        <f>IF([2]Entry!$N$328="","",[2]Entry!$N$328)</f>
        <v/>
      </c>
      <c r="P325" t="str">
        <f>IF([2]Entry!$R$328="","",[2]Entry!$R$328)</f>
        <v/>
      </c>
    </row>
    <row r="326" spans="1:16" x14ac:dyDescent="0.2">
      <c r="A326" t="str">
        <f>IF([1]Accounts!$D$327="","",[1]Accounts!$A$327)</f>
        <v/>
      </c>
      <c r="B326" t="str">
        <f>IF([1]Accounts!$D$327="","",[1]Accounts!$B$327)</f>
        <v/>
      </c>
      <c r="C326" t="str">
        <f>IF([1]Accounts!$D$327="","",[1]Accounts!$C$327)</f>
        <v/>
      </c>
      <c r="D326" t="str">
        <f>IF([1]Accounts!$D$327="","",[1]Accounts!$D$327)</f>
        <v/>
      </c>
      <c r="E326" t="str">
        <f>IF([1]Accounts!$D$327="","",[1]Accounts!$J$327)</f>
        <v/>
      </c>
      <c r="F326" t="str">
        <f>IF([1]Accounts!$D$327="","",[1]Accounts!$K$327)</f>
        <v/>
      </c>
      <c r="J326" t="str">
        <f>IF([2]Entry!$C$329="","",[2]Entry!$C$329)</f>
        <v/>
      </c>
      <c r="K326" t="str">
        <f>IF([2]Entry!$D$329="","",[2]Entry!$D$329)</f>
        <v/>
      </c>
      <c r="L326" t="str">
        <f>IF([2]Entry!$E$329="","",[2]Entry!$E$329)</f>
        <v/>
      </c>
      <c r="M326" t="str">
        <f>IF([2]Entry!$G$329="","",[2]Entry!$G$329)</f>
        <v/>
      </c>
      <c r="N326" t="str">
        <f>IF([2]Entry!$M$329="","",[2]Entry!$M$329)</f>
        <v/>
      </c>
      <c r="O326" t="str">
        <f>IF([2]Entry!$N$329="","",[2]Entry!$N$329)</f>
        <v/>
      </c>
      <c r="P326" t="str">
        <f>IF([2]Entry!$R$329="","",[2]Entry!$R$329)</f>
        <v/>
      </c>
    </row>
    <row r="327" spans="1:16" x14ac:dyDescent="0.2">
      <c r="A327" t="str">
        <f>IF([1]Accounts!$D$328="","",[1]Accounts!$A$328)</f>
        <v/>
      </c>
      <c r="B327" t="str">
        <f>IF([1]Accounts!$D$328="","",[1]Accounts!$B$328)</f>
        <v/>
      </c>
      <c r="C327" t="str">
        <f>IF([1]Accounts!$D$328="","",[1]Accounts!$C$328)</f>
        <v/>
      </c>
      <c r="D327" t="str">
        <f>IF([1]Accounts!$D$328="","",[1]Accounts!$D$328)</f>
        <v/>
      </c>
      <c r="E327" t="str">
        <f>IF([1]Accounts!$D$328="","",[1]Accounts!$J$328)</f>
        <v/>
      </c>
      <c r="F327" t="str">
        <f>IF([1]Accounts!$D$328="","",[1]Accounts!$K$328)</f>
        <v/>
      </c>
      <c r="J327" t="str">
        <f>IF([2]Entry!$C$330="","",[2]Entry!$C$330)</f>
        <v/>
      </c>
      <c r="K327" t="str">
        <f>IF([2]Entry!$D$330="","",[2]Entry!$D$330)</f>
        <v/>
      </c>
      <c r="L327" t="str">
        <f>IF([2]Entry!$E$330="","",[2]Entry!$E$330)</f>
        <v/>
      </c>
      <c r="M327" t="str">
        <f>IF([2]Entry!$G$330="","",[2]Entry!$G$330)</f>
        <v/>
      </c>
      <c r="N327" t="str">
        <f>IF([2]Entry!$M$330="","",[2]Entry!$M$330)</f>
        <v/>
      </c>
      <c r="O327" t="str">
        <f>IF([2]Entry!$N$330="","",[2]Entry!$N$330)</f>
        <v/>
      </c>
      <c r="P327" t="str">
        <f>IF([2]Entry!$R$330="","",[2]Entry!$R$330)</f>
        <v/>
      </c>
    </row>
    <row r="328" spans="1:16" x14ac:dyDescent="0.2">
      <c r="A328" t="str">
        <f>IF([1]Accounts!$D$329="","",[1]Accounts!$A$329)</f>
        <v/>
      </c>
      <c r="B328" t="str">
        <f>IF([1]Accounts!$D$329="","",[1]Accounts!$B$329)</f>
        <v/>
      </c>
      <c r="C328" t="str">
        <f>IF([1]Accounts!$D$329="","",[1]Accounts!$C$329)</f>
        <v/>
      </c>
      <c r="D328" t="str">
        <f>IF([1]Accounts!$D$329="","",[1]Accounts!$D$329)</f>
        <v/>
      </c>
      <c r="E328" t="str">
        <f>IF([1]Accounts!$D$329="","",[1]Accounts!$J$329)</f>
        <v/>
      </c>
      <c r="F328" t="str">
        <f>IF([1]Accounts!$D$329="","",[1]Accounts!$K$329)</f>
        <v/>
      </c>
      <c r="J328" t="str">
        <f>IF([2]Entry!$C$331="","",[2]Entry!$C$331)</f>
        <v/>
      </c>
      <c r="K328" t="str">
        <f>IF([2]Entry!$D$331="","",[2]Entry!$D$331)</f>
        <v/>
      </c>
      <c r="L328" t="str">
        <f>IF([2]Entry!$E$331="","",[2]Entry!$E$331)</f>
        <v/>
      </c>
      <c r="M328" t="str">
        <f>IF([2]Entry!$G$331="","",[2]Entry!$G$331)</f>
        <v/>
      </c>
      <c r="N328" t="str">
        <f>IF([2]Entry!$M$331="","",[2]Entry!$M$331)</f>
        <v/>
      </c>
      <c r="O328" t="str">
        <f>IF([2]Entry!$N$331="","",[2]Entry!$N$331)</f>
        <v/>
      </c>
      <c r="P328" t="str">
        <f>IF([2]Entry!$R$331="","",[2]Entry!$R$331)</f>
        <v/>
      </c>
    </row>
    <row r="329" spans="1:16" x14ac:dyDescent="0.2">
      <c r="A329" t="str">
        <f>IF([1]Accounts!$D$330="","",[1]Accounts!$A$330)</f>
        <v/>
      </c>
      <c r="B329" t="str">
        <f>IF([1]Accounts!$D$330="","",[1]Accounts!$B$330)</f>
        <v/>
      </c>
      <c r="C329" t="str">
        <f>IF([1]Accounts!$D$330="","",[1]Accounts!$C$330)</f>
        <v/>
      </c>
      <c r="D329" t="str">
        <f>IF([1]Accounts!$D$330="","",[1]Accounts!$D$330)</f>
        <v/>
      </c>
      <c r="E329" t="str">
        <f>IF([1]Accounts!$D$330="","",[1]Accounts!$J$330)</f>
        <v/>
      </c>
      <c r="F329" t="str">
        <f>IF([1]Accounts!$D$330="","",[1]Accounts!$K$330)</f>
        <v/>
      </c>
      <c r="J329" t="str">
        <f>IF([2]Entry!$C$332="","",[2]Entry!$C$332)</f>
        <v/>
      </c>
      <c r="K329" t="str">
        <f>IF([2]Entry!$D$332="","",[2]Entry!$D$332)</f>
        <v/>
      </c>
      <c r="L329" t="str">
        <f>IF([2]Entry!$E$332="","",[2]Entry!$E$332)</f>
        <v/>
      </c>
      <c r="M329" t="str">
        <f>IF([2]Entry!$G$332="","",[2]Entry!$G$332)</f>
        <v/>
      </c>
      <c r="N329" t="str">
        <f>IF([2]Entry!$M$332="","",[2]Entry!$M$332)</f>
        <v/>
      </c>
      <c r="O329" t="str">
        <f>IF([2]Entry!$N$332="","",[2]Entry!$N$332)</f>
        <v/>
      </c>
      <c r="P329" t="str">
        <f>IF([2]Entry!$R$332="","",[2]Entry!$R$332)</f>
        <v/>
      </c>
    </row>
    <row r="330" spans="1:16" x14ac:dyDescent="0.2">
      <c r="A330" t="str">
        <f>IF([1]Accounts!$D$331="","",[1]Accounts!$A$331)</f>
        <v/>
      </c>
      <c r="B330" t="str">
        <f>IF([1]Accounts!$D$331="","",[1]Accounts!$B$331)</f>
        <v/>
      </c>
      <c r="C330" t="str">
        <f>IF([1]Accounts!$D$331="","",[1]Accounts!$C$331)</f>
        <v/>
      </c>
      <c r="D330" t="str">
        <f>IF([1]Accounts!$D$331="","",[1]Accounts!$D$331)</f>
        <v/>
      </c>
      <c r="E330" t="str">
        <f>IF([1]Accounts!$D$331="","",[1]Accounts!$J$331)</f>
        <v/>
      </c>
      <c r="F330" t="str">
        <f>IF([1]Accounts!$D$331="","",[1]Accounts!$K$331)</f>
        <v/>
      </c>
      <c r="J330" t="str">
        <f>IF([2]Entry!$C$333="","",[2]Entry!$C$333)</f>
        <v/>
      </c>
      <c r="K330" t="str">
        <f>IF([2]Entry!$D$333="","",[2]Entry!$D$333)</f>
        <v/>
      </c>
      <c r="L330" t="str">
        <f>IF([2]Entry!$E$333="","",[2]Entry!$E$333)</f>
        <v/>
      </c>
      <c r="M330" t="str">
        <f>IF([2]Entry!$G$333="","",[2]Entry!$G$333)</f>
        <v/>
      </c>
      <c r="N330" t="str">
        <f>IF([2]Entry!$M$333="","",[2]Entry!$M$333)</f>
        <v/>
      </c>
      <c r="O330" t="str">
        <f>IF([2]Entry!$N$333="","",[2]Entry!$N$333)</f>
        <v/>
      </c>
      <c r="P330" t="str">
        <f>IF([2]Entry!$R$333="","",[2]Entry!$R$333)</f>
        <v/>
      </c>
    </row>
    <row r="331" spans="1:16" x14ac:dyDescent="0.2">
      <c r="A331" t="str">
        <f>IF([1]Accounts!$D$332="","",[1]Accounts!$A$332)</f>
        <v/>
      </c>
      <c r="B331" t="str">
        <f>IF([1]Accounts!$D$332="","",[1]Accounts!$B$332)</f>
        <v/>
      </c>
      <c r="C331" t="str">
        <f>IF([1]Accounts!$D$332="","",[1]Accounts!$C$332)</f>
        <v/>
      </c>
      <c r="D331" t="str">
        <f>IF([1]Accounts!$D$332="","",[1]Accounts!$D$332)</f>
        <v/>
      </c>
      <c r="E331" t="str">
        <f>IF([1]Accounts!$D$332="","",[1]Accounts!$J$332)</f>
        <v/>
      </c>
      <c r="F331" t="str">
        <f>IF([1]Accounts!$D$332="","",[1]Accounts!$K$332)</f>
        <v/>
      </c>
      <c r="J331" t="str">
        <f>IF([2]Entry!$C$334="","",[2]Entry!$C$334)</f>
        <v/>
      </c>
      <c r="K331" t="str">
        <f>IF([2]Entry!$D$334="","",[2]Entry!$D$334)</f>
        <v/>
      </c>
      <c r="L331" t="str">
        <f>IF([2]Entry!$E$334="","",[2]Entry!$E$334)</f>
        <v/>
      </c>
      <c r="M331" t="str">
        <f>IF([2]Entry!$G$334="","",[2]Entry!$G$334)</f>
        <v/>
      </c>
      <c r="N331" t="str">
        <f>IF([2]Entry!$M$334="","",[2]Entry!$M$334)</f>
        <v/>
      </c>
      <c r="O331" t="str">
        <f>IF([2]Entry!$N$334="","",[2]Entry!$N$334)</f>
        <v/>
      </c>
      <c r="P331" t="str">
        <f>IF([2]Entry!$R$334="","",[2]Entry!$R$334)</f>
        <v/>
      </c>
    </row>
    <row r="332" spans="1:16" x14ac:dyDescent="0.2">
      <c r="A332" t="str">
        <f>IF([1]Accounts!$D$333="","",[1]Accounts!$A$333)</f>
        <v/>
      </c>
      <c r="B332" t="str">
        <f>IF([1]Accounts!$D$333="","",[1]Accounts!$B$333)</f>
        <v/>
      </c>
      <c r="C332" t="str">
        <f>IF([1]Accounts!$D$333="","",[1]Accounts!$C$333)</f>
        <v/>
      </c>
      <c r="D332" t="str">
        <f>IF([1]Accounts!$D$333="","",[1]Accounts!$D$333)</f>
        <v/>
      </c>
      <c r="E332" t="str">
        <f>IF([1]Accounts!$D$333="","",[1]Accounts!$J$333)</f>
        <v/>
      </c>
      <c r="F332" t="str">
        <f>IF([1]Accounts!$D$333="","",[1]Accounts!$K$333)</f>
        <v/>
      </c>
      <c r="J332" t="str">
        <f>IF([2]Entry!$C$335="","",[2]Entry!$C$335)</f>
        <v/>
      </c>
      <c r="K332" t="str">
        <f>IF([2]Entry!$D$335="","",[2]Entry!$D$335)</f>
        <v/>
      </c>
      <c r="L332" t="str">
        <f>IF([2]Entry!$E$335="","",[2]Entry!$E$335)</f>
        <v/>
      </c>
      <c r="M332" t="str">
        <f>IF([2]Entry!$G$335="","",[2]Entry!$G$335)</f>
        <v/>
      </c>
      <c r="N332" t="str">
        <f>IF([2]Entry!$M$335="","",[2]Entry!$M$335)</f>
        <v/>
      </c>
      <c r="O332" t="str">
        <f>IF([2]Entry!$N$335="","",[2]Entry!$N$335)</f>
        <v/>
      </c>
      <c r="P332" t="str">
        <f>IF([2]Entry!$R$335="","",[2]Entry!$R$335)</f>
        <v/>
      </c>
    </row>
    <row r="333" spans="1:16" x14ac:dyDescent="0.2">
      <c r="A333" t="str">
        <f>IF([1]Accounts!$D$334="","",[1]Accounts!$A$334)</f>
        <v/>
      </c>
      <c r="B333" t="str">
        <f>IF([1]Accounts!$D$334="","",[1]Accounts!$B$334)</f>
        <v/>
      </c>
      <c r="C333" t="str">
        <f>IF([1]Accounts!$D$334="","",[1]Accounts!$C$334)</f>
        <v/>
      </c>
      <c r="D333" t="str">
        <f>IF([1]Accounts!$D$334="","",[1]Accounts!$D$334)</f>
        <v/>
      </c>
      <c r="E333" t="str">
        <f>IF([1]Accounts!$D$334="","",[1]Accounts!$J$334)</f>
        <v/>
      </c>
      <c r="F333" t="str">
        <f>IF([1]Accounts!$D$334="","",[1]Accounts!$K$334)</f>
        <v/>
      </c>
      <c r="J333" t="str">
        <f>IF([2]Entry!$C$336="","",[2]Entry!$C$336)</f>
        <v/>
      </c>
      <c r="K333" t="str">
        <f>IF([2]Entry!$D$336="","",[2]Entry!$D$336)</f>
        <v/>
      </c>
      <c r="L333" t="str">
        <f>IF([2]Entry!$E$336="","",[2]Entry!$E$336)</f>
        <v/>
      </c>
      <c r="M333" t="str">
        <f>IF([2]Entry!$G$336="","",[2]Entry!$G$336)</f>
        <v/>
      </c>
      <c r="N333" t="str">
        <f>IF([2]Entry!$M$336="","",[2]Entry!$M$336)</f>
        <v/>
      </c>
      <c r="O333" t="str">
        <f>IF([2]Entry!$N$336="","",[2]Entry!$N$336)</f>
        <v/>
      </c>
      <c r="P333" t="str">
        <f>IF([2]Entry!$R$336="","",[2]Entry!$R$336)</f>
        <v/>
      </c>
    </row>
    <row r="334" spans="1:16" x14ac:dyDescent="0.2">
      <c r="A334" t="str">
        <f>IF([1]Accounts!$D$335="","",[1]Accounts!$A$335)</f>
        <v/>
      </c>
      <c r="B334" t="str">
        <f>IF([1]Accounts!$D$335="","",[1]Accounts!$B$335)</f>
        <v/>
      </c>
      <c r="C334" t="str">
        <f>IF([1]Accounts!$D$335="","",[1]Accounts!$C$335)</f>
        <v/>
      </c>
      <c r="D334" t="str">
        <f>IF([1]Accounts!$D$335="","",[1]Accounts!$D$335)</f>
        <v/>
      </c>
      <c r="E334" t="str">
        <f>IF([1]Accounts!$D$335="","",[1]Accounts!$J$335)</f>
        <v/>
      </c>
      <c r="F334" t="str">
        <f>IF([1]Accounts!$D$335="","",[1]Accounts!$K$335)</f>
        <v/>
      </c>
      <c r="J334" t="str">
        <f>IF([2]Entry!$C$337="","",[2]Entry!$C$337)</f>
        <v/>
      </c>
      <c r="K334" t="str">
        <f>IF([2]Entry!$D$337="","",[2]Entry!$D$337)</f>
        <v/>
      </c>
      <c r="L334" t="str">
        <f>IF([2]Entry!$E$337="","",[2]Entry!$E$337)</f>
        <v/>
      </c>
      <c r="M334" t="str">
        <f>IF([2]Entry!$G$337="","",[2]Entry!$G$337)</f>
        <v/>
      </c>
      <c r="N334" t="str">
        <f>IF([2]Entry!$M$337="","",[2]Entry!$M$337)</f>
        <v/>
      </c>
      <c r="O334" t="str">
        <f>IF([2]Entry!$N$337="","",[2]Entry!$N$337)</f>
        <v/>
      </c>
      <c r="P334" t="str">
        <f>IF([2]Entry!$R$337="","",[2]Entry!$R$337)</f>
        <v/>
      </c>
    </row>
    <row r="335" spans="1:16" x14ac:dyDescent="0.2">
      <c r="A335" t="str">
        <f>IF([1]Accounts!$D$336="","",[1]Accounts!$A$336)</f>
        <v/>
      </c>
      <c r="B335" t="str">
        <f>IF([1]Accounts!$D$336="","",[1]Accounts!$B$336)</f>
        <v/>
      </c>
      <c r="C335" t="str">
        <f>IF([1]Accounts!$D$336="","",[1]Accounts!$C$336)</f>
        <v/>
      </c>
      <c r="D335" t="str">
        <f>IF([1]Accounts!$D$336="","",[1]Accounts!$D$336)</f>
        <v/>
      </c>
      <c r="E335" t="str">
        <f>IF([1]Accounts!$D$336="","",[1]Accounts!$J$336)</f>
        <v/>
      </c>
      <c r="F335" t="str">
        <f>IF([1]Accounts!$D$336="","",[1]Accounts!$K$336)</f>
        <v/>
      </c>
      <c r="J335" t="str">
        <f>IF([2]Entry!$C$338="","",[2]Entry!$C$338)</f>
        <v/>
      </c>
      <c r="K335" t="str">
        <f>IF([2]Entry!$D$338="","",[2]Entry!$D$338)</f>
        <v/>
      </c>
      <c r="L335" t="str">
        <f>IF([2]Entry!$E$338="","",[2]Entry!$E$338)</f>
        <v/>
      </c>
      <c r="M335" t="str">
        <f>IF([2]Entry!$G$338="","",[2]Entry!$G$338)</f>
        <v/>
      </c>
      <c r="N335" t="str">
        <f>IF([2]Entry!$M$338="","",[2]Entry!$M$338)</f>
        <v/>
      </c>
      <c r="O335" t="str">
        <f>IF([2]Entry!$N$338="","",[2]Entry!$N$338)</f>
        <v/>
      </c>
      <c r="P335" t="str">
        <f>IF([2]Entry!$R$338="","",[2]Entry!$R$338)</f>
        <v/>
      </c>
    </row>
    <row r="336" spans="1:16" x14ac:dyDescent="0.2">
      <c r="A336" t="str">
        <f>IF([1]Accounts!$D$337="","",[1]Accounts!$A$337)</f>
        <v/>
      </c>
      <c r="B336" t="str">
        <f>IF([1]Accounts!$D$337="","",[1]Accounts!$B$337)</f>
        <v/>
      </c>
      <c r="C336" t="str">
        <f>IF([1]Accounts!$D$337="","",[1]Accounts!$C$337)</f>
        <v/>
      </c>
      <c r="D336" t="str">
        <f>IF([1]Accounts!$D$337="","",[1]Accounts!$D$337)</f>
        <v/>
      </c>
      <c r="E336" t="str">
        <f>IF([1]Accounts!$D$337="","",[1]Accounts!$J$337)</f>
        <v/>
      </c>
      <c r="F336" t="str">
        <f>IF([1]Accounts!$D$337="","",[1]Accounts!$K$337)</f>
        <v/>
      </c>
      <c r="J336" t="str">
        <f>IF([2]Entry!$C$339="","",[2]Entry!$C$339)</f>
        <v/>
      </c>
      <c r="K336" t="str">
        <f>IF([2]Entry!$D$339="","",[2]Entry!$D$339)</f>
        <v/>
      </c>
      <c r="L336" t="str">
        <f>IF([2]Entry!$E$339="","",[2]Entry!$E$339)</f>
        <v/>
      </c>
      <c r="M336" t="str">
        <f>IF([2]Entry!$G$339="","",[2]Entry!$G$339)</f>
        <v/>
      </c>
      <c r="N336" t="str">
        <f>IF([2]Entry!$M$339="","",[2]Entry!$M$339)</f>
        <v/>
      </c>
      <c r="O336" t="str">
        <f>IF([2]Entry!$N$339="","",[2]Entry!$N$339)</f>
        <v/>
      </c>
      <c r="P336" t="str">
        <f>IF([2]Entry!$R$339="","",[2]Entry!$R$339)</f>
        <v/>
      </c>
    </row>
    <row r="337" spans="1:16" x14ac:dyDescent="0.2">
      <c r="A337" t="str">
        <f>IF([1]Accounts!$D$338="","",[1]Accounts!$A$338)</f>
        <v/>
      </c>
      <c r="B337" t="str">
        <f>IF([1]Accounts!$D$338="","",[1]Accounts!$B$338)</f>
        <v/>
      </c>
      <c r="C337" t="str">
        <f>IF([1]Accounts!$D$338="","",[1]Accounts!$C$338)</f>
        <v/>
      </c>
      <c r="D337" t="str">
        <f>IF([1]Accounts!$D$338="","",[1]Accounts!$D$338)</f>
        <v/>
      </c>
      <c r="E337" t="str">
        <f>IF([1]Accounts!$D$338="","",[1]Accounts!$J$338)</f>
        <v/>
      </c>
      <c r="F337" t="str">
        <f>IF([1]Accounts!$D$338="","",[1]Accounts!$K$338)</f>
        <v/>
      </c>
      <c r="J337" t="str">
        <f>IF([2]Entry!$C$340="","",[2]Entry!$C$340)</f>
        <v/>
      </c>
      <c r="K337" t="str">
        <f>IF([2]Entry!$D$340="","",[2]Entry!$D$340)</f>
        <v/>
      </c>
      <c r="L337" t="str">
        <f>IF([2]Entry!$E$340="","",[2]Entry!$E$340)</f>
        <v/>
      </c>
      <c r="M337" t="str">
        <f>IF([2]Entry!$G$340="","",[2]Entry!$G$340)</f>
        <v/>
      </c>
      <c r="N337" t="str">
        <f>IF([2]Entry!$M$340="","",[2]Entry!$M$340)</f>
        <v/>
      </c>
      <c r="O337" t="str">
        <f>IF([2]Entry!$N$340="","",[2]Entry!$N$340)</f>
        <v/>
      </c>
      <c r="P337" t="str">
        <f>IF([2]Entry!$R$340="","",[2]Entry!$R$340)</f>
        <v/>
      </c>
    </row>
    <row r="338" spans="1:16" x14ac:dyDescent="0.2">
      <c r="A338" t="str">
        <f>IF([1]Accounts!$D$339="","",[1]Accounts!$A$339)</f>
        <v/>
      </c>
      <c r="B338" t="str">
        <f>IF([1]Accounts!$D$339="","",[1]Accounts!$B$339)</f>
        <v/>
      </c>
      <c r="C338" t="str">
        <f>IF([1]Accounts!$D$339="","",[1]Accounts!$C$339)</f>
        <v/>
      </c>
      <c r="D338" t="str">
        <f>IF([1]Accounts!$D$339="","",[1]Accounts!$D$339)</f>
        <v/>
      </c>
      <c r="E338" t="str">
        <f>IF([1]Accounts!$D$339="","",[1]Accounts!$J$339)</f>
        <v/>
      </c>
      <c r="F338" t="str">
        <f>IF([1]Accounts!$D$339="","",[1]Accounts!$K$339)</f>
        <v/>
      </c>
      <c r="J338" t="str">
        <f>IF([2]Entry!$C$341="","",[2]Entry!$C$341)</f>
        <v/>
      </c>
      <c r="K338" t="str">
        <f>IF([2]Entry!$D$341="","",[2]Entry!$D$341)</f>
        <v/>
      </c>
      <c r="L338" t="str">
        <f>IF([2]Entry!$E$341="","",[2]Entry!$E$341)</f>
        <v/>
      </c>
      <c r="M338" t="str">
        <f>IF([2]Entry!$G$341="","",[2]Entry!$G$341)</f>
        <v/>
      </c>
      <c r="N338" t="str">
        <f>IF([2]Entry!$M$341="","",[2]Entry!$M$341)</f>
        <v/>
      </c>
      <c r="O338" t="str">
        <f>IF([2]Entry!$N$341="","",[2]Entry!$N$341)</f>
        <v/>
      </c>
      <c r="P338" t="str">
        <f>IF([2]Entry!$R$341="","",[2]Entry!$R$341)</f>
        <v/>
      </c>
    </row>
    <row r="339" spans="1:16" x14ac:dyDescent="0.2">
      <c r="A339" t="str">
        <f>IF([1]Accounts!$D$340="","",[1]Accounts!$A$340)</f>
        <v/>
      </c>
      <c r="B339" t="str">
        <f>IF([1]Accounts!$D$340="","",[1]Accounts!$B$340)</f>
        <v/>
      </c>
      <c r="C339" t="str">
        <f>IF([1]Accounts!$D$340="","",[1]Accounts!$C$340)</f>
        <v/>
      </c>
      <c r="D339" t="str">
        <f>IF([1]Accounts!$D$340="","",[1]Accounts!$D$340)</f>
        <v/>
      </c>
      <c r="E339" t="str">
        <f>IF([1]Accounts!$D$340="","",[1]Accounts!$J$340)</f>
        <v/>
      </c>
      <c r="F339" t="str">
        <f>IF([1]Accounts!$D$340="","",[1]Accounts!$K$340)</f>
        <v/>
      </c>
      <c r="J339" t="str">
        <f>IF([2]Entry!$C$342="","",[2]Entry!$C$342)</f>
        <v/>
      </c>
      <c r="K339" t="str">
        <f>IF([2]Entry!$D$342="","",[2]Entry!$D$342)</f>
        <v/>
      </c>
      <c r="L339" t="str">
        <f>IF([2]Entry!$E$342="","",[2]Entry!$E$342)</f>
        <v/>
      </c>
      <c r="M339" t="str">
        <f>IF([2]Entry!$G$342="","",[2]Entry!$G$342)</f>
        <v/>
      </c>
      <c r="N339" t="str">
        <f>IF([2]Entry!$M$342="","",[2]Entry!$M$342)</f>
        <v/>
      </c>
      <c r="O339" t="str">
        <f>IF([2]Entry!$N$342="","",[2]Entry!$N$342)</f>
        <v/>
      </c>
      <c r="P339" t="str">
        <f>IF([2]Entry!$R$342="","",[2]Entry!$R$342)</f>
        <v/>
      </c>
    </row>
    <row r="340" spans="1:16" x14ac:dyDescent="0.2">
      <c r="A340" t="str">
        <f>IF([1]Accounts!$D$341="","",[1]Accounts!$A$341)</f>
        <v/>
      </c>
      <c r="B340" t="str">
        <f>IF([1]Accounts!$D$341="","",[1]Accounts!$B$341)</f>
        <v/>
      </c>
      <c r="C340" t="str">
        <f>IF([1]Accounts!$D$341="","",[1]Accounts!$C$341)</f>
        <v/>
      </c>
      <c r="D340" t="str">
        <f>IF([1]Accounts!$D$341="","",[1]Accounts!$D$341)</f>
        <v/>
      </c>
      <c r="E340" t="str">
        <f>IF([1]Accounts!$D$341="","",[1]Accounts!$J$341)</f>
        <v/>
      </c>
      <c r="F340" t="str">
        <f>IF([1]Accounts!$D$341="","",[1]Accounts!$K$341)</f>
        <v/>
      </c>
      <c r="J340" t="str">
        <f>IF([2]Entry!$C$343="","",[2]Entry!$C$343)</f>
        <v/>
      </c>
      <c r="K340" t="str">
        <f>IF([2]Entry!$D$343="","",[2]Entry!$D$343)</f>
        <v/>
      </c>
      <c r="L340" t="str">
        <f>IF([2]Entry!$E$343="","",[2]Entry!$E$343)</f>
        <v/>
      </c>
      <c r="M340" t="str">
        <f>IF([2]Entry!$G$343="","",[2]Entry!$G$343)</f>
        <v/>
      </c>
      <c r="N340" t="str">
        <f>IF([2]Entry!$M$343="","",[2]Entry!$M$343)</f>
        <v/>
      </c>
      <c r="O340" t="str">
        <f>IF([2]Entry!$N$343="","",[2]Entry!$N$343)</f>
        <v/>
      </c>
      <c r="P340" t="str">
        <f>IF([2]Entry!$R$343="","",[2]Entry!$R$343)</f>
        <v/>
      </c>
    </row>
    <row r="341" spans="1:16" x14ac:dyDescent="0.2">
      <c r="A341" t="str">
        <f>IF([1]Accounts!$D$342="","",[1]Accounts!$A$342)</f>
        <v/>
      </c>
      <c r="B341" t="str">
        <f>IF([1]Accounts!$D$342="","",[1]Accounts!$B$342)</f>
        <v/>
      </c>
      <c r="C341" t="str">
        <f>IF([1]Accounts!$D$342="","",[1]Accounts!$C$342)</f>
        <v/>
      </c>
      <c r="D341" t="str">
        <f>IF([1]Accounts!$D$342="","",[1]Accounts!$D$342)</f>
        <v/>
      </c>
      <c r="E341" t="str">
        <f>IF([1]Accounts!$D$342="","",[1]Accounts!$J$342)</f>
        <v/>
      </c>
      <c r="F341" t="str">
        <f>IF([1]Accounts!$D$342="","",[1]Accounts!$K$342)</f>
        <v/>
      </c>
      <c r="J341" t="str">
        <f>IF([2]Entry!$C$344="","",[2]Entry!$C$344)</f>
        <v/>
      </c>
      <c r="K341" t="str">
        <f>IF([2]Entry!$D$344="","",[2]Entry!$D$344)</f>
        <v/>
      </c>
      <c r="L341" t="str">
        <f>IF([2]Entry!$E$344="","",[2]Entry!$E$344)</f>
        <v/>
      </c>
      <c r="M341" t="str">
        <f>IF([2]Entry!$G$344="","",[2]Entry!$G$344)</f>
        <v/>
      </c>
      <c r="N341" t="str">
        <f>IF([2]Entry!$M$344="","",[2]Entry!$M$344)</f>
        <v/>
      </c>
      <c r="O341" t="str">
        <f>IF([2]Entry!$N$344="","",[2]Entry!$N$344)</f>
        <v/>
      </c>
      <c r="P341" t="str">
        <f>IF([2]Entry!$R$344="","",[2]Entry!$R$344)</f>
        <v/>
      </c>
    </row>
    <row r="342" spans="1:16" x14ac:dyDescent="0.2">
      <c r="A342" t="str">
        <f>IF([1]Accounts!$D$343="","",[1]Accounts!$A$343)</f>
        <v/>
      </c>
      <c r="B342" t="str">
        <f>IF([1]Accounts!$D$343="","",[1]Accounts!$B$343)</f>
        <v/>
      </c>
      <c r="C342" t="str">
        <f>IF([1]Accounts!$D$343="","",[1]Accounts!$C$343)</f>
        <v/>
      </c>
      <c r="D342" t="str">
        <f>IF([1]Accounts!$D$343="","",[1]Accounts!$D$343)</f>
        <v/>
      </c>
      <c r="E342" t="str">
        <f>IF([1]Accounts!$D$343="","",[1]Accounts!$J$343)</f>
        <v/>
      </c>
      <c r="F342" t="str">
        <f>IF([1]Accounts!$D$343="","",[1]Accounts!$K$343)</f>
        <v/>
      </c>
      <c r="J342" t="str">
        <f>IF([2]Entry!$C$345="","",[2]Entry!$C$345)</f>
        <v/>
      </c>
      <c r="K342" t="str">
        <f>IF([2]Entry!$D$345="","",[2]Entry!$D$345)</f>
        <v/>
      </c>
      <c r="L342" t="str">
        <f>IF([2]Entry!$E$345="","",[2]Entry!$E$345)</f>
        <v/>
      </c>
      <c r="M342" t="str">
        <f>IF([2]Entry!$G$345="","",[2]Entry!$G$345)</f>
        <v/>
      </c>
      <c r="N342" t="str">
        <f>IF([2]Entry!$M$345="","",[2]Entry!$M$345)</f>
        <v/>
      </c>
      <c r="O342" t="str">
        <f>IF([2]Entry!$N$345="","",[2]Entry!$N$345)</f>
        <v/>
      </c>
      <c r="P342" t="str">
        <f>IF([2]Entry!$R$345="","",[2]Entry!$R$345)</f>
        <v/>
      </c>
    </row>
    <row r="343" spans="1:16" x14ac:dyDescent="0.2">
      <c r="A343" t="str">
        <f>IF([1]Accounts!$D$344="","",[1]Accounts!$A$344)</f>
        <v/>
      </c>
      <c r="B343" t="str">
        <f>IF([1]Accounts!$D$344="","",[1]Accounts!$B$344)</f>
        <v/>
      </c>
      <c r="C343" t="str">
        <f>IF([1]Accounts!$D$344="","",[1]Accounts!$C$344)</f>
        <v/>
      </c>
      <c r="D343" t="str">
        <f>IF([1]Accounts!$D$344="","",[1]Accounts!$D$344)</f>
        <v/>
      </c>
      <c r="E343" t="str">
        <f>IF([1]Accounts!$D$344="","",[1]Accounts!$J$344)</f>
        <v/>
      </c>
      <c r="F343" t="str">
        <f>IF([1]Accounts!$D$344="","",[1]Accounts!$K$344)</f>
        <v/>
      </c>
      <c r="J343" t="str">
        <f>IF([2]Entry!$C$346="","",[2]Entry!$C$346)</f>
        <v/>
      </c>
      <c r="K343" t="str">
        <f>IF([2]Entry!$D$346="","",[2]Entry!$D$346)</f>
        <v/>
      </c>
      <c r="L343" t="str">
        <f>IF([2]Entry!$E$346="","",[2]Entry!$E$346)</f>
        <v/>
      </c>
      <c r="M343" t="str">
        <f>IF([2]Entry!$G$346="","",[2]Entry!$G$346)</f>
        <v/>
      </c>
      <c r="N343" t="str">
        <f>IF([2]Entry!$M$346="","",[2]Entry!$M$346)</f>
        <v/>
      </c>
      <c r="O343" t="str">
        <f>IF([2]Entry!$N$346="","",[2]Entry!$N$346)</f>
        <v/>
      </c>
      <c r="P343" t="str">
        <f>IF([2]Entry!$R$346="","",[2]Entry!$R$346)</f>
        <v/>
      </c>
    </row>
    <row r="344" spans="1:16" x14ac:dyDescent="0.2">
      <c r="A344" t="str">
        <f>IF([1]Accounts!$D$345="","",[1]Accounts!$A$345)</f>
        <v/>
      </c>
      <c r="B344" t="str">
        <f>IF([1]Accounts!$D$345="","",[1]Accounts!$B$345)</f>
        <v/>
      </c>
      <c r="C344" t="str">
        <f>IF([1]Accounts!$D$345="","",[1]Accounts!$C$345)</f>
        <v/>
      </c>
      <c r="D344" t="str">
        <f>IF([1]Accounts!$D$345="","",[1]Accounts!$D$345)</f>
        <v/>
      </c>
      <c r="E344" t="str">
        <f>IF([1]Accounts!$D$345="","",[1]Accounts!$J$345)</f>
        <v/>
      </c>
      <c r="F344" t="str">
        <f>IF([1]Accounts!$D$345="","",[1]Accounts!$K$345)</f>
        <v/>
      </c>
      <c r="J344" t="str">
        <f>IF([2]Entry!$C$347="","",[2]Entry!$C$347)</f>
        <v/>
      </c>
      <c r="K344" t="str">
        <f>IF([2]Entry!$D$347="","",[2]Entry!$D$347)</f>
        <v/>
      </c>
      <c r="L344" t="str">
        <f>IF([2]Entry!$E$347="","",[2]Entry!$E$347)</f>
        <v/>
      </c>
      <c r="M344" t="str">
        <f>IF([2]Entry!$G$347="","",[2]Entry!$G$347)</f>
        <v/>
      </c>
      <c r="N344" t="str">
        <f>IF([2]Entry!$M$347="","",[2]Entry!$M$347)</f>
        <v/>
      </c>
      <c r="O344" t="str">
        <f>IF([2]Entry!$N$347="","",[2]Entry!$N$347)</f>
        <v/>
      </c>
      <c r="P344" t="str">
        <f>IF([2]Entry!$R$347="","",[2]Entry!$R$347)</f>
        <v/>
      </c>
    </row>
    <row r="345" spans="1:16" x14ac:dyDescent="0.2">
      <c r="A345" t="str">
        <f>IF([1]Accounts!$D$346="","",[1]Accounts!$A$346)</f>
        <v/>
      </c>
      <c r="B345" t="str">
        <f>IF([1]Accounts!$D$346="","",[1]Accounts!$B$346)</f>
        <v/>
      </c>
      <c r="C345" t="str">
        <f>IF([1]Accounts!$D$346="","",[1]Accounts!$C$346)</f>
        <v/>
      </c>
      <c r="D345" t="str">
        <f>IF([1]Accounts!$D$346="","",[1]Accounts!$D$346)</f>
        <v/>
      </c>
      <c r="E345" t="str">
        <f>IF([1]Accounts!$D$346="","",[1]Accounts!$J$346)</f>
        <v/>
      </c>
      <c r="F345" t="str">
        <f>IF([1]Accounts!$D$346="","",[1]Accounts!$K$346)</f>
        <v/>
      </c>
      <c r="J345" t="str">
        <f>IF([2]Entry!$C$348="","",[2]Entry!$C$348)</f>
        <v/>
      </c>
      <c r="K345" t="str">
        <f>IF([2]Entry!$D$348="","",[2]Entry!$D$348)</f>
        <v/>
      </c>
      <c r="L345" t="str">
        <f>IF([2]Entry!$E$348="","",[2]Entry!$E$348)</f>
        <v/>
      </c>
      <c r="M345" t="str">
        <f>IF([2]Entry!$G$348="","",[2]Entry!$G$348)</f>
        <v/>
      </c>
      <c r="N345" t="str">
        <f>IF([2]Entry!$M$348="","",[2]Entry!$M$348)</f>
        <v/>
      </c>
      <c r="O345" t="str">
        <f>IF([2]Entry!$N$348="","",[2]Entry!$N$348)</f>
        <v/>
      </c>
      <c r="P345" t="str">
        <f>IF([2]Entry!$R$348="","",[2]Entry!$R$348)</f>
        <v/>
      </c>
    </row>
    <row r="346" spans="1:16" x14ac:dyDescent="0.2">
      <c r="A346" t="str">
        <f>IF([1]Accounts!$D$347="","",[1]Accounts!$A$347)</f>
        <v/>
      </c>
      <c r="B346" t="str">
        <f>IF([1]Accounts!$D$347="","",[1]Accounts!$B$347)</f>
        <v/>
      </c>
      <c r="C346" t="str">
        <f>IF([1]Accounts!$D$347="","",[1]Accounts!$C$347)</f>
        <v/>
      </c>
      <c r="D346" t="str">
        <f>IF([1]Accounts!$D$347="","",[1]Accounts!$D$347)</f>
        <v/>
      </c>
      <c r="E346" t="str">
        <f>IF([1]Accounts!$D$347="","",[1]Accounts!$J$347)</f>
        <v/>
      </c>
      <c r="F346" t="str">
        <f>IF([1]Accounts!$D$347="","",[1]Accounts!$K$347)</f>
        <v/>
      </c>
      <c r="J346" t="str">
        <f>IF([2]Entry!$C$349="","",[2]Entry!$C$349)</f>
        <v/>
      </c>
      <c r="K346" t="str">
        <f>IF([2]Entry!$D$349="","",[2]Entry!$D$349)</f>
        <v/>
      </c>
      <c r="L346" t="str">
        <f>IF([2]Entry!$E$349="","",[2]Entry!$E$349)</f>
        <v/>
      </c>
      <c r="M346" t="str">
        <f>IF([2]Entry!$G$349="","",[2]Entry!$G$349)</f>
        <v/>
      </c>
      <c r="N346" t="str">
        <f>IF([2]Entry!$M$349="","",[2]Entry!$M$349)</f>
        <v/>
      </c>
      <c r="O346" t="str">
        <f>IF([2]Entry!$N$349="","",[2]Entry!$N$349)</f>
        <v/>
      </c>
      <c r="P346" t="str">
        <f>IF([2]Entry!$R$349="","",[2]Entry!$R$349)</f>
        <v/>
      </c>
    </row>
    <row r="347" spans="1:16" x14ac:dyDescent="0.2">
      <c r="A347" t="str">
        <f>IF([1]Accounts!$D$348="","",[1]Accounts!$A$348)</f>
        <v/>
      </c>
      <c r="B347" t="str">
        <f>IF([1]Accounts!$D$348="","",[1]Accounts!$B$348)</f>
        <v/>
      </c>
      <c r="C347" t="str">
        <f>IF([1]Accounts!$D$348="","",[1]Accounts!$C$348)</f>
        <v/>
      </c>
      <c r="D347" t="str">
        <f>IF([1]Accounts!$D$348="","",[1]Accounts!$D$348)</f>
        <v/>
      </c>
      <c r="E347" t="str">
        <f>IF([1]Accounts!$D$348="","",[1]Accounts!$J$348)</f>
        <v/>
      </c>
      <c r="F347" t="str">
        <f>IF([1]Accounts!$D$348="","",[1]Accounts!$K$348)</f>
        <v/>
      </c>
      <c r="J347" t="str">
        <f>IF([2]Entry!$C$350="","",[2]Entry!$C$350)</f>
        <v/>
      </c>
      <c r="K347" t="str">
        <f>IF([2]Entry!$D$350="","",[2]Entry!$D$350)</f>
        <v/>
      </c>
      <c r="L347" t="str">
        <f>IF([2]Entry!$E$350="","",[2]Entry!$E$350)</f>
        <v/>
      </c>
      <c r="M347" t="str">
        <f>IF([2]Entry!$G$350="","",[2]Entry!$G$350)</f>
        <v/>
      </c>
      <c r="N347" t="str">
        <f>IF([2]Entry!$M$350="","",[2]Entry!$M$350)</f>
        <v/>
      </c>
      <c r="O347" t="str">
        <f>IF([2]Entry!$N$350="","",[2]Entry!$N$350)</f>
        <v/>
      </c>
      <c r="P347" t="str">
        <f>IF([2]Entry!$R$350="","",[2]Entry!$R$350)</f>
        <v/>
      </c>
    </row>
    <row r="348" spans="1:16" x14ac:dyDescent="0.2">
      <c r="A348" t="str">
        <f>IF([1]Accounts!$D$349="","",[1]Accounts!$A$349)</f>
        <v/>
      </c>
      <c r="B348" t="str">
        <f>IF([1]Accounts!$D$349="","",[1]Accounts!$B$349)</f>
        <v/>
      </c>
      <c r="C348" t="str">
        <f>IF([1]Accounts!$D$349="","",[1]Accounts!$C$349)</f>
        <v/>
      </c>
      <c r="D348" t="str">
        <f>IF([1]Accounts!$D$349="","",[1]Accounts!$D$349)</f>
        <v/>
      </c>
      <c r="E348" t="str">
        <f>IF([1]Accounts!$D$349="","",[1]Accounts!$J$349)</f>
        <v/>
      </c>
      <c r="F348" t="str">
        <f>IF([1]Accounts!$D$349="","",[1]Accounts!$K$349)</f>
        <v/>
      </c>
      <c r="J348" t="str">
        <f>IF([2]Entry!$C$351="","",[2]Entry!$C$351)</f>
        <v/>
      </c>
      <c r="K348" t="str">
        <f>IF([2]Entry!$D$351="","",[2]Entry!$D$351)</f>
        <v/>
      </c>
      <c r="L348" t="str">
        <f>IF([2]Entry!$E$351="","",[2]Entry!$E$351)</f>
        <v/>
      </c>
      <c r="M348" t="str">
        <f>IF([2]Entry!$G$351="","",[2]Entry!$G$351)</f>
        <v/>
      </c>
      <c r="N348" t="str">
        <f>IF([2]Entry!$M$351="","",[2]Entry!$M$351)</f>
        <v/>
      </c>
      <c r="O348" t="str">
        <f>IF([2]Entry!$N$351="","",[2]Entry!$N$351)</f>
        <v/>
      </c>
      <c r="P348" t="str">
        <f>IF([2]Entry!$R$351="","",[2]Entry!$R$351)</f>
        <v/>
      </c>
    </row>
    <row r="349" spans="1:16" x14ac:dyDescent="0.2">
      <c r="A349" t="str">
        <f>IF([1]Accounts!$D$350="","",[1]Accounts!$A$350)</f>
        <v/>
      </c>
      <c r="B349" t="str">
        <f>IF([1]Accounts!$D$350="","",[1]Accounts!$B$350)</f>
        <v/>
      </c>
      <c r="C349" t="str">
        <f>IF([1]Accounts!$D$350="","",[1]Accounts!$C$350)</f>
        <v/>
      </c>
      <c r="D349" t="str">
        <f>IF([1]Accounts!$D$350="","",[1]Accounts!$D$350)</f>
        <v/>
      </c>
      <c r="E349" t="str">
        <f>IF([1]Accounts!$D$350="","",[1]Accounts!$J$350)</f>
        <v/>
      </c>
      <c r="F349" t="str">
        <f>IF([1]Accounts!$D$350="","",[1]Accounts!$K$350)</f>
        <v/>
      </c>
      <c r="J349" t="str">
        <f>IF([2]Entry!$C$352="","",[2]Entry!$C$352)</f>
        <v/>
      </c>
      <c r="K349" t="str">
        <f>IF([2]Entry!$D$352="","",[2]Entry!$D$352)</f>
        <v/>
      </c>
      <c r="L349" t="str">
        <f>IF([2]Entry!$E$352="","",[2]Entry!$E$352)</f>
        <v/>
      </c>
      <c r="M349" t="str">
        <f>IF([2]Entry!$G$352="","",[2]Entry!$G$352)</f>
        <v/>
      </c>
      <c r="N349" t="str">
        <f>IF([2]Entry!$M$352="","",[2]Entry!$M$352)</f>
        <v/>
      </c>
      <c r="O349" t="str">
        <f>IF([2]Entry!$N$352="","",[2]Entry!$N$352)</f>
        <v/>
      </c>
      <c r="P349" t="str">
        <f>IF([2]Entry!$R$352="","",[2]Entry!$R$352)</f>
        <v/>
      </c>
    </row>
    <row r="350" spans="1:16" x14ac:dyDescent="0.2">
      <c r="A350" t="str">
        <f>IF([1]Accounts!$D$351="","",[1]Accounts!$A$351)</f>
        <v/>
      </c>
      <c r="B350" t="str">
        <f>IF([1]Accounts!$D$351="","",[1]Accounts!$B$351)</f>
        <v/>
      </c>
      <c r="C350" t="str">
        <f>IF([1]Accounts!$D$351="","",[1]Accounts!$C$351)</f>
        <v/>
      </c>
      <c r="D350" t="str">
        <f>IF([1]Accounts!$D$351="","",[1]Accounts!$D$351)</f>
        <v/>
      </c>
      <c r="E350" t="str">
        <f>IF([1]Accounts!$D$351="","",[1]Accounts!$J$351)</f>
        <v/>
      </c>
      <c r="F350" t="str">
        <f>IF([1]Accounts!$D$351="","",[1]Accounts!$K$351)</f>
        <v/>
      </c>
      <c r="J350" t="str">
        <f>IF([2]Entry!$C$353="","",[2]Entry!$C$353)</f>
        <v/>
      </c>
      <c r="K350" t="str">
        <f>IF([2]Entry!$D$353="","",[2]Entry!$D$353)</f>
        <v/>
      </c>
      <c r="L350" t="str">
        <f>IF([2]Entry!$E$353="","",[2]Entry!$E$353)</f>
        <v/>
      </c>
      <c r="M350" t="str">
        <f>IF([2]Entry!$G$353="","",[2]Entry!$G$353)</f>
        <v/>
      </c>
      <c r="N350" t="str">
        <f>IF([2]Entry!$M$353="","",[2]Entry!$M$353)</f>
        <v/>
      </c>
      <c r="O350" t="str">
        <f>IF([2]Entry!$N$353="","",[2]Entry!$N$353)</f>
        <v/>
      </c>
      <c r="P350" t="str">
        <f>IF([2]Entry!$R$353="","",[2]Entry!$R$353)</f>
        <v/>
      </c>
    </row>
    <row r="351" spans="1:16" x14ac:dyDescent="0.2">
      <c r="A351" t="str">
        <f>IF([1]Accounts!$D$352="","",[1]Accounts!$A$352)</f>
        <v/>
      </c>
      <c r="B351" t="str">
        <f>IF([1]Accounts!$D$352="","",[1]Accounts!$B$352)</f>
        <v/>
      </c>
      <c r="C351" t="str">
        <f>IF([1]Accounts!$D$352="","",[1]Accounts!$C$352)</f>
        <v/>
      </c>
      <c r="D351" t="str">
        <f>IF([1]Accounts!$D$352="","",[1]Accounts!$D$352)</f>
        <v/>
      </c>
      <c r="E351" t="str">
        <f>IF([1]Accounts!$D$352="","",[1]Accounts!$J$352)</f>
        <v/>
      </c>
      <c r="F351" t="str">
        <f>IF([1]Accounts!$D$352="","",[1]Accounts!$K$352)</f>
        <v/>
      </c>
      <c r="J351" t="str">
        <f>IF([2]Entry!$C$354="","",[2]Entry!$C$354)</f>
        <v/>
      </c>
      <c r="K351" t="str">
        <f>IF([2]Entry!$D$354="","",[2]Entry!$D$354)</f>
        <v/>
      </c>
      <c r="L351" t="str">
        <f>IF([2]Entry!$E$354="","",[2]Entry!$E$354)</f>
        <v/>
      </c>
      <c r="M351" t="str">
        <f>IF([2]Entry!$G$354="","",[2]Entry!$G$354)</f>
        <v/>
      </c>
      <c r="N351" t="str">
        <f>IF([2]Entry!$M$354="","",[2]Entry!$M$354)</f>
        <v/>
      </c>
      <c r="O351" t="str">
        <f>IF([2]Entry!$N$354="","",[2]Entry!$N$354)</f>
        <v/>
      </c>
      <c r="P351" t="str">
        <f>IF([2]Entry!$R$354="","",[2]Entry!$R$354)</f>
        <v/>
      </c>
    </row>
    <row r="352" spans="1:16" x14ac:dyDescent="0.2">
      <c r="A352" t="str">
        <f>IF([1]Accounts!$D$353="","",[1]Accounts!$A$353)</f>
        <v/>
      </c>
      <c r="B352" t="str">
        <f>IF([1]Accounts!$D$353="","",[1]Accounts!$B$353)</f>
        <v/>
      </c>
      <c r="C352" t="str">
        <f>IF([1]Accounts!$D$353="","",[1]Accounts!$C$353)</f>
        <v/>
      </c>
      <c r="D352" t="str">
        <f>IF([1]Accounts!$D$353="","",[1]Accounts!$D$353)</f>
        <v/>
      </c>
      <c r="E352" t="str">
        <f>IF([1]Accounts!$D$353="","",[1]Accounts!$J$353)</f>
        <v/>
      </c>
      <c r="F352" t="str">
        <f>IF([1]Accounts!$D$353="","",[1]Accounts!$K$353)</f>
        <v/>
      </c>
      <c r="J352" t="str">
        <f>IF([2]Entry!$C$355="","",[2]Entry!$C$355)</f>
        <v/>
      </c>
      <c r="K352" t="str">
        <f>IF([2]Entry!$D$355="","",[2]Entry!$D$355)</f>
        <v/>
      </c>
      <c r="L352" t="str">
        <f>IF([2]Entry!$E$355="","",[2]Entry!$E$355)</f>
        <v/>
      </c>
      <c r="M352" t="str">
        <f>IF([2]Entry!$G$355="","",[2]Entry!$G$355)</f>
        <v/>
      </c>
      <c r="N352" t="str">
        <f>IF([2]Entry!$M$355="","",[2]Entry!$M$355)</f>
        <v/>
      </c>
      <c r="O352" t="str">
        <f>IF([2]Entry!$N$355="","",[2]Entry!$N$355)</f>
        <v/>
      </c>
      <c r="P352" t="str">
        <f>IF([2]Entry!$R$355="","",[2]Entry!$R$355)</f>
        <v/>
      </c>
    </row>
    <row r="353" spans="1:16" x14ac:dyDescent="0.2">
      <c r="A353" t="str">
        <f>IF([1]Accounts!$D$354="","",[1]Accounts!$A$354)</f>
        <v/>
      </c>
      <c r="B353" t="str">
        <f>IF([1]Accounts!$D$354="","",[1]Accounts!$B$354)</f>
        <v/>
      </c>
      <c r="C353" t="str">
        <f>IF([1]Accounts!$D$354="","",[1]Accounts!$C$354)</f>
        <v/>
      </c>
      <c r="D353" t="str">
        <f>IF([1]Accounts!$D$354="","",[1]Accounts!$D$354)</f>
        <v/>
      </c>
      <c r="E353" t="str">
        <f>IF([1]Accounts!$D$354="","",[1]Accounts!$J$354)</f>
        <v/>
      </c>
      <c r="F353" t="str">
        <f>IF([1]Accounts!$D$354="","",[1]Accounts!$K$354)</f>
        <v/>
      </c>
      <c r="J353" t="str">
        <f>IF([2]Entry!$C$356="","",[2]Entry!$C$356)</f>
        <v/>
      </c>
      <c r="K353" t="str">
        <f>IF([2]Entry!$D$356="","",[2]Entry!$D$356)</f>
        <v/>
      </c>
      <c r="L353" t="str">
        <f>IF([2]Entry!$E$356="","",[2]Entry!$E$356)</f>
        <v/>
      </c>
      <c r="M353" t="str">
        <f>IF([2]Entry!$G$356="","",[2]Entry!$G$356)</f>
        <v/>
      </c>
      <c r="N353" t="str">
        <f>IF([2]Entry!$M$356="","",[2]Entry!$M$356)</f>
        <v/>
      </c>
      <c r="O353" t="str">
        <f>IF([2]Entry!$N$356="","",[2]Entry!$N$356)</f>
        <v/>
      </c>
      <c r="P353" t="str">
        <f>IF([2]Entry!$R$356="","",[2]Entry!$R$356)</f>
        <v/>
      </c>
    </row>
    <row r="354" spans="1:16" x14ac:dyDescent="0.2">
      <c r="A354" t="str">
        <f>IF([1]Accounts!$D$355="","",[1]Accounts!$A$355)</f>
        <v/>
      </c>
      <c r="B354" t="str">
        <f>IF([1]Accounts!$D$355="","",[1]Accounts!$B$355)</f>
        <v/>
      </c>
      <c r="C354" t="str">
        <f>IF([1]Accounts!$D$355="","",[1]Accounts!$C$355)</f>
        <v/>
      </c>
      <c r="D354" t="str">
        <f>IF([1]Accounts!$D$355="","",[1]Accounts!$D$355)</f>
        <v/>
      </c>
      <c r="E354" t="str">
        <f>IF([1]Accounts!$D$355="","",[1]Accounts!$J$355)</f>
        <v/>
      </c>
      <c r="F354" t="str">
        <f>IF([1]Accounts!$D$355="","",[1]Accounts!$K$355)</f>
        <v/>
      </c>
      <c r="J354" t="str">
        <f>IF([2]Entry!$C$357="","",[2]Entry!$C$357)</f>
        <v/>
      </c>
      <c r="K354" t="str">
        <f>IF([2]Entry!$D$357="","",[2]Entry!$D$357)</f>
        <v/>
      </c>
      <c r="L354" t="str">
        <f>IF([2]Entry!$E$357="","",[2]Entry!$E$357)</f>
        <v/>
      </c>
      <c r="M354" t="str">
        <f>IF([2]Entry!$G$357="","",[2]Entry!$G$357)</f>
        <v/>
      </c>
      <c r="N354" t="str">
        <f>IF([2]Entry!$M$357="","",[2]Entry!$M$357)</f>
        <v/>
      </c>
      <c r="O354" t="str">
        <f>IF([2]Entry!$N$357="","",[2]Entry!$N$357)</f>
        <v/>
      </c>
      <c r="P354" t="str">
        <f>IF([2]Entry!$R$357="","",[2]Entry!$R$357)</f>
        <v/>
      </c>
    </row>
    <row r="355" spans="1:16" x14ac:dyDescent="0.2">
      <c r="A355" t="str">
        <f>IF([1]Accounts!$D$356="","",[1]Accounts!$A$356)</f>
        <v/>
      </c>
      <c r="B355" t="str">
        <f>IF([1]Accounts!$D$356="","",[1]Accounts!$B$356)</f>
        <v/>
      </c>
      <c r="C355" t="str">
        <f>IF([1]Accounts!$D$356="","",[1]Accounts!$C$356)</f>
        <v/>
      </c>
      <c r="D355" t="str">
        <f>IF([1]Accounts!$D$356="","",[1]Accounts!$D$356)</f>
        <v/>
      </c>
      <c r="E355" t="str">
        <f>IF([1]Accounts!$D$356="","",[1]Accounts!$J$356)</f>
        <v/>
      </c>
      <c r="F355" t="str">
        <f>IF([1]Accounts!$D$356="","",[1]Accounts!$K$356)</f>
        <v/>
      </c>
      <c r="J355" t="str">
        <f>IF([2]Entry!$C$358="","",[2]Entry!$C$358)</f>
        <v/>
      </c>
      <c r="K355" t="str">
        <f>IF([2]Entry!$D$358="","",[2]Entry!$D$358)</f>
        <v/>
      </c>
      <c r="L355" t="str">
        <f>IF([2]Entry!$E$358="","",[2]Entry!$E$358)</f>
        <v/>
      </c>
      <c r="M355" t="str">
        <f>IF([2]Entry!$G$358="","",[2]Entry!$G$358)</f>
        <v/>
      </c>
      <c r="N355" t="str">
        <f>IF([2]Entry!$M$358="","",[2]Entry!$M$358)</f>
        <v/>
      </c>
      <c r="O355" t="str">
        <f>IF([2]Entry!$N$358="","",[2]Entry!$N$358)</f>
        <v/>
      </c>
      <c r="P355" t="str">
        <f>IF([2]Entry!$R$358="","",[2]Entry!$R$358)</f>
        <v/>
      </c>
    </row>
    <row r="356" spans="1:16" x14ac:dyDescent="0.2">
      <c r="A356" t="str">
        <f>IF([1]Accounts!$D$357="","",[1]Accounts!$A$357)</f>
        <v/>
      </c>
      <c r="B356" t="str">
        <f>IF([1]Accounts!$D$357="","",[1]Accounts!$B$357)</f>
        <v/>
      </c>
      <c r="C356" t="str">
        <f>IF([1]Accounts!$D$357="","",[1]Accounts!$C$357)</f>
        <v/>
      </c>
      <c r="D356" t="str">
        <f>IF([1]Accounts!$D$357="","",[1]Accounts!$D$357)</f>
        <v/>
      </c>
      <c r="E356" t="str">
        <f>IF([1]Accounts!$D$357="","",[1]Accounts!$J$357)</f>
        <v/>
      </c>
      <c r="F356" t="str">
        <f>IF([1]Accounts!$D$357="","",[1]Accounts!$K$357)</f>
        <v/>
      </c>
      <c r="J356" t="str">
        <f>IF([2]Entry!$C$359="","",[2]Entry!$C$359)</f>
        <v/>
      </c>
      <c r="K356" t="str">
        <f>IF([2]Entry!$D$359="","",[2]Entry!$D$359)</f>
        <v/>
      </c>
      <c r="L356" t="str">
        <f>IF([2]Entry!$E$359="","",[2]Entry!$E$359)</f>
        <v/>
      </c>
      <c r="M356" t="str">
        <f>IF([2]Entry!$G$359="","",[2]Entry!$G$359)</f>
        <v/>
      </c>
      <c r="N356" t="str">
        <f>IF([2]Entry!$M$359="","",[2]Entry!$M$359)</f>
        <v/>
      </c>
      <c r="O356" t="str">
        <f>IF([2]Entry!$N$359="","",[2]Entry!$N$359)</f>
        <v/>
      </c>
      <c r="P356" t="str">
        <f>IF([2]Entry!$R$359="","",[2]Entry!$R$359)</f>
        <v/>
      </c>
    </row>
    <row r="357" spans="1:16" x14ac:dyDescent="0.2">
      <c r="A357" t="str">
        <f>IF([1]Accounts!$D$358="","",[1]Accounts!$A$358)</f>
        <v/>
      </c>
      <c r="B357" t="str">
        <f>IF([1]Accounts!$D$358="","",[1]Accounts!$B$358)</f>
        <v/>
      </c>
      <c r="C357" t="str">
        <f>IF([1]Accounts!$D$358="","",[1]Accounts!$C$358)</f>
        <v/>
      </c>
      <c r="D357" t="str">
        <f>IF([1]Accounts!$D$358="","",[1]Accounts!$D$358)</f>
        <v/>
      </c>
      <c r="E357" t="str">
        <f>IF([1]Accounts!$D$358="","",[1]Accounts!$J$358)</f>
        <v/>
      </c>
      <c r="F357" t="str">
        <f>IF([1]Accounts!$D$358="","",[1]Accounts!$K$358)</f>
        <v/>
      </c>
      <c r="J357" t="str">
        <f>IF([2]Entry!$C$360="","",[2]Entry!$C$360)</f>
        <v/>
      </c>
      <c r="K357" t="str">
        <f>IF([2]Entry!$D$360="","",[2]Entry!$D$360)</f>
        <v/>
      </c>
      <c r="L357" t="str">
        <f>IF([2]Entry!$E$360="","",[2]Entry!$E$360)</f>
        <v/>
      </c>
      <c r="M357" t="str">
        <f>IF([2]Entry!$G$360="","",[2]Entry!$G$360)</f>
        <v/>
      </c>
      <c r="N357" t="str">
        <f>IF([2]Entry!$M$360="","",[2]Entry!$M$360)</f>
        <v/>
      </c>
      <c r="O357" t="str">
        <f>IF([2]Entry!$N$360="","",[2]Entry!$N$360)</f>
        <v/>
      </c>
      <c r="P357" t="str">
        <f>IF([2]Entry!$R$360="","",[2]Entry!$R$360)</f>
        <v/>
      </c>
    </row>
    <row r="358" spans="1:16" x14ac:dyDescent="0.2">
      <c r="A358" t="str">
        <f>IF([1]Accounts!$D$359="","",[1]Accounts!$A$359)</f>
        <v/>
      </c>
      <c r="B358" t="str">
        <f>IF([1]Accounts!$D$359="","",[1]Accounts!$B$359)</f>
        <v/>
      </c>
      <c r="C358" t="str">
        <f>IF([1]Accounts!$D$359="","",[1]Accounts!$C$359)</f>
        <v/>
      </c>
      <c r="D358" t="str">
        <f>IF([1]Accounts!$D$359="","",[1]Accounts!$D$359)</f>
        <v/>
      </c>
      <c r="E358" t="str">
        <f>IF([1]Accounts!$D$359="","",[1]Accounts!$J$359)</f>
        <v/>
      </c>
      <c r="F358" t="str">
        <f>IF([1]Accounts!$D$359="","",[1]Accounts!$K$359)</f>
        <v/>
      </c>
      <c r="J358" t="str">
        <f>IF([2]Entry!$C$361="","",[2]Entry!$C$361)</f>
        <v/>
      </c>
      <c r="K358" t="str">
        <f>IF([2]Entry!$D$361="","",[2]Entry!$D$361)</f>
        <v/>
      </c>
      <c r="L358" t="str">
        <f>IF([2]Entry!$E$361="","",[2]Entry!$E$361)</f>
        <v/>
      </c>
      <c r="M358" t="str">
        <f>IF([2]Entry!$G$361="","",[2]Entry!$G$361)</f>
        <v/>
      </c>
      <c r="N358" t="str">
        <f>IF([2]Entry!$M$361="","",[2]Entry!$M$361)</f>
        <v/>
      </c>
      <c r="O358" t="str">
        <f>IF([2]Entry!$N$361="","",[2]Entry!$N$361)</f>
        <v/>
      </c>
      <c r="P358" t="str">
        <f>IF([2]Entry!$R$361="","",[2]Entry!$R$361)</f>
        <v/>
      </c>
    </row>
    <row r="359" spans="1:16" x14ac:dyDescent="0.2">
      <c r="A359" t="str">
        <f>IF([1]Accounts!$D$360="","",[1]Accounts!$A$360)</f>
        <v/>
      </c>
      <c r="B359" t="str">
        <f>IF([1]Accounts!$D$360="","",[1]Accounts!$B$360)</f>
        <v/>
      </c>
      <c r="C359" t="str">
        <f>IF([1]Accounts!$D$360="","",[1]Accounts!$C$360)</f>
        <v/>
      </c>
      <c r="D359" t="str">
        <f>IF([1]Accounts!$D$360="","",[1]Accounts!$D$360)</f>
        <v/>
      </c>
      <c r="E359" t="str">
        <f>IF([1]Accounts!$D$360="","",[1]Accounts!$J$360)</f>
        <v/>
      </c>
      <c r="F359" t="str">
        <f>IF([1]Accounts!$D$360="","",[1]Accounts!$K$360)</f>
        <v/>
      </c>
      <c r="J359" t="str">
        <f>IF([2]Entry!$C$362="","",[2]Entry!$C$362)</f>
        <v/>
      </c>
      <c r="K359" t="str">
        <f>IF([2]Entry!$D$362="","",[2]Entry!$D$362)</f>
        <v/>
      </c>
      <c r="L359" t="str">
        <f>IF([2]Entry!$E$362="","",[2]Entry!$E$362)</f>
        <v/>
      </c>
      <c r="M359" t="str">
        <f>IF([2]Entry!$G$362="","",[2]Entry!$G$362)</f>
        <v/>
      </c>
      <c r="N359" t="str">
        <f>IF([2]Entry!$M$362="","",[2]Entry!$M$362)</f>
        <v/>
      </c>
      <c r="O359" t="str">
        <f>IF([2]Entry!$N$362="","",[2]Entry!$N$362)</f>
        <v/>
      </c>
      <c r="P359" t="str">
        <f>IF([2]Entry!$R$362="","",[2]Entry!$R$362)</f>
        <v/>
      </c>
    </row>
    <row r="360" spans="1:16" x14ac:dyDescent="0.2">
      <c r="A360" t="str">
        <f>IF([1]Accounts!$D$361="","",[1]Accounts!$A$361)</f>
        <v/>
      </c>
      <c r="B360" t="str">
        <f>IF([1]Accounts!$D$361="","",[1]Accounts!$B$361)</f>
        <v/>
      </c>
      <c r="C360" t="str">
        <f>IF([1]Accounts!$D$361="","",[1]Accounts!$C$361)</f>
        <v/>
      </c>
      <c r="D360" t="str">
        <f>IF([1]Accounts!$D$361="","",[1]Accounts!$D$361)</f>
        <v/>
      </c>
      <c r="E360" t="str">
        <f>IF([1]Accounts!$D$361="","",[1]Accounts!$J$361)</f>
        <v/>
      </c>
      <c r="F360" t="str">
        <f>IF([1]Accounts!$D$361="","",[1]Accounts!$K$361)</f>
        <v/>
      </c>
      <c r="J360" t="str">
        <f>IF([2]Entry!$C$363="","",[2]Entry!$C$363)</f>
        <v/>
      </c>
      <c r="K360" t="str">
        <f>IF([2]Entry!$D$363="","",[2]Entry!$D$363)</f>
        <v/>
      </c>
      <c r="L360" t="str">
        <f>IF([2]Entry!$E$363="","",[2]Entry!$E$363)</f>
        <v/>
      </c>
      <c r="M360" t="str">
        <f>IF([2]Entry!$G$363="","",[2]Entry!$G$363)</f>
        <v/>
      </c>
      <c r="N360" t="str">
        <f>IF([2]Entry!$M$363="","",[2]Entry!$M$363)</f>
        <v/>
      </c>
      <c r="O360" t="str">
        <f>IF([2]Entry!$N$363="","",[2]Entry!$N$363)</f>
        <v/>
      </c>
      <c r="P360" t="str">
        <f>IF([2]Entry!$R$363="","",[2]Entry!$R$363)</f>
        <v/>
      </c>
    </row>
    <row r="361" spans="1:16" x14ac:dyDescent="0.2">
      <c r="A361" t="str">
        <f>IF([1]Accounts!$D$362="","",[1]Accounts!$A$362)</f>
        <v/>
      </c>
      <c r="B361" t="str">
        <f>IF([1]Accounts!$D$362="","",[1]Accounts!$B$362)</f>
        <v/>
      </c>
      <c r="C361" t="str">
        <f>IF([1]Accounts!$D$362="","",[1]Accounts!$C$362)</f>
        <v/>
      </c>
      <c r="D361" t="str">
        <f>IF([1]Accounts!$D$362="","",[1]Accounts!$D$362)</f>
        <v/>
      </c>
      <c r="E361" t="str">
        <f>IF([1]Accounts!$D$362="","",[1]Accounts!$J$362)</f>
        <v/>
      </c>
      <c r="F361" t="str">
        <f>IF([1]Accounts!$D$362="","",[1]Accounts!$K$362)</f>
        <v/>
      </c>
      <c r="J361" t="str">
        <f>IF([2]Entry!$C$364="","",[2]Entry!$C$364)</f>
        <v/>
      </c>
      <c r="K361" t="str">
        <f>IF([2]Entry!$D$364="","",[2]Entry!$D$364)</f>
        <v/>
      </c>
      <c r="L361" t="str">
        <f>IF([2]Entry!$E$364="","",[2]Entry!$E$364)</f>
        <v/>
      </c>
      <c r="M361" t="str">
        <f>IF([2]Entry!$G$364="","",[2]Entry!$G$364)</f>
        <v/>
      </c>
      <c r="N361" t="str">
        <f>IF([2]Entry!$M$364="","",[2]Entry!$M$364)</f>
        <v/>
      </c>
      <c r="O361" t="str">
        <f>IF([2]Entry!$N$364="","",[2]Entry!$N$364)</f>
        <v/>
      </c>
      <c r="P361" t="str">
        <f>IF([2]Entry!$R$364="","",[2]Entry!$R$364)</f>
        <v/>
      </c>
    </row>
    <row r="362" spans="1:16" x14ac:dyDescent="0.2">
      <c r="A362" t="str">
        <f>IF([1]Accounts!$D$363="","",[1]Accounts!$A$363)</f>
        <v/>
      </c>
      <c r="B362" t="str">
        <f>IF([1]Accounts!$D$363="","",[1]Accounts!$B$363)</f>
        <v/>
      </c>
      <c r="C362" t="str">
        <f>IF([1]Accounts!$D$363="","",[1]Accounts!$C$363)</f>
        <v/>
      </c>
      <c r="D362" t="str">
        <f>IF([1]Accounts!$D$363="","",[1]Accounts!$D$363)</f>
        <v/>
      </c>
      <c r="E362" t="str">
        <f>IF([1]Accounts!$D$363="","",[1]Accounts!$J$363)</f>
        <v/>
      </c>
      <c r="F362" t="str">
        <f>IF([1]Accounts!$D$363="","",[1]Accounts!$K$363)</f>
        <v/>
      </c>
      <c r="J362" t="str">
        <f>IF([2]Entry!$C$365="","",[2]Entry!$C$365)</f>
        <v/>
      </c>
      <c r="K362" t="str">
        <f>IF([2]Entry!$D$365="","",[2]Entry!$D$365)</f>
        <v/>
      </c>
      <c r="L362" t="str">
        <f>IF([2]Entry!$E$365="","",[2]Entry!$E$365)</f>
        <v/>
      </c>
      <c r="M362" t="str">
        <f>IF([2]Entry!$G$365="","",[2]Entry!$G$365)</f>
        <v/>
      </c>
      <c r="N362" t="str">
        <f>IF([2]Entry!$M$365="","",[2]Entry!$M$365)</f>
        <v/>
      </c>
      <c r="O362" t="str">
        <f>IF([2]Entry!$N$365="","",[2]Entry!$N$365)</f>
        <v/>
      </c>
      <c r="P362" t="str">
        <f>IF([2]Entry!$R$365="","",[2]Entry!$R$365)</f>
        <v/>
      </c>
    </row>
    <row r="363" spans="1:16" x14ac:dyDescent="0.2">
      <c r="A363" t="str">
        <f>IF([1]Accounts!$D$364="","",[1]Accounts!$A$364)</f>
        <v/>
      </c>
      <c r="B363" t="str">
        <f>IF([1]Accounts!$D$364="","",[1]Accounts!$B$364)</f>
        <v/>
      </c>
      <c r="C363" t="str">
        <f>IF([1]Accounts!$D$364="","",[1]Accounts!$C$364)</f>
        <v/>
      </c>
      <c r="D363" t="str">
        <f>IF([1]Accounts!$D$364="","",[1]Accounts!$D$364)</f>
        <v/>
      </c>
      <c r="E363" t="str">
        <f>IF([1]Accounts!$D$364="","",[1]Accounts!$J$364)</f>
        <v/>
      </c>
      <c r="F363" t="str">
        <f>IF([1]Accounts!$D$364="","",[1]Accounts!$K$364)</f>
        <v/>
      </c>
      <c r="J363" t="str">
        <f>IF([2]Entry!$C$366="","",[2]Entry!$C$366)</f>
        <v/>
      </c>
      <c r="K363" t="str">
        <f>IF([2]Entry!$D$366="","",[2]Entry!$D$366)</f>
        <v/>
      </c>
      <c r="L363" t="str">
        <f>IF([2]Entry!$E$366="","",[2]Entry!$E$366)</f>
        <v/>
      </c>
      <c r="M363" t="str">
        <f>IF([2]Entry!$G$366="","",[2]Entry!$G$366)</f>
        <v/>
      </c>
      <c r="N363" t="str">
        <f>IF([2]Entry!$M$366="","",[2]Entry!$M$366)</f>
        <v/>
      </c>
      <c r="O363" t="str">
        <f>IF([2]Entry!$N$366="","",[2]Entry!$N$366)</f>
        <v/>
      </c>
      <c r="P363" t="str">
        <f>IF([2]Entry!$R$366="","",[2]Entry!$R$366)</f>
        <v/>
      </c>
    </row>
    <row r="364" spans="1:16" x14ac:dyDescent="0.2">
      <c r="A364" t="str">
        <f>IF([1]Accounts!$D$365="","",[1]Accounts!$A$365)</f>
        <v/>
      </c>
      <c r="B364" t="str">
        <f>IF([1]Accounts!$D$365="","",[1]Accounts!$B$365)</f>
        <v/>
      </c>
      <c r="C364" t="str">
        <f>IF([1]Accounts!$D$365="","",[1]Accounts!$C$365)</f>
        <v/>
      </c>
      <c r="D364" t="str">
        <f>IF([1]Accounts!$D$365="","",[1]Accounts!$D$365)</f>
        <v/>
      </c>
      <c r="E364" t="str">
        <f>IF([1]Accounts!$D$365="","",[1]Accounts!$J$365)</f>
        <v/>
      </c>
      <c r="F364" t="str">
        <f>IF([1]Accounts!$D$365="","",[1]Accounts!$K$365)</f>
        <v/>
      </c>
      <c r="J364" t="str">
        <f>IF([2]Entry!$C$367="","",[2]Entry!$C$367)</f>
        <v/>
      </c>
      <c r="K364" t="str">
        <f>IF([2]Entry!$D$367="","",[2]Entry!$D$367)</f>
        <v/>
      </c>
      <c r="L364" t="str">
        <f>IF([2]Entry!$E$367="","",[2]Entry!$E$367)</f>
        <v/>
      </c>
      <c r="M364" t="str">
        <f>IF([2]Entry!$G$367="","",[2]Entry!$G$367)</f>
        <v/>
      </c>
      <c r="N364" t="str">
        <f>IF([2]Entry!$M$367="","",[2]Entry!$M$367)</f>
        <v/>
      </c>
      <c r="O364" t="str">
        <f>IF([2]Entry!$N$367="","",[2]Entry!$N$367)</f>
        <v/>
      </c>
      <c r="P364" t="str">
        <f>IF([2]Entry!$R$367="","",[2]Entry!$R$367)</f>
        <v/>
      </c>
    </row>
    <row r="365" spans="1:16" x14ac:dyDescent="0.2">
      <c r="A365" t="str">
        <f>IF([1]Accounts!$D$366="","",[1]Accounts!$A$366)</f>
        <v/>
      </c>
      <c r="B365" t="str">
        <f>IF([1]Accounts!$D$366="","",[1]Accounts!$B$366)</f>
        <v/>
      </c>
      <c r="C365" t="str">
        <f>IF([1]Accounts!$D$366="","",[1]Accounts!$C$366)</f>
        <v/>
      </c>
      <c r="D365" t="str">
        <f>IF([1]Accounts!$D$366="","",[1]Accounts!$D$366)</f>
        <v/>
      </c>
      <c r="E365" t="str">
        <f>IF([1]Accounts!$D$366="","",[1]Accounts!$J$366)</f>
        <v/>
      </c>
      <c r="F365" t="str">
        <f>IF([1]Accounts!$D$366="","",[1]Accounts!$K$366)</f>
        <v/>
      </c>
      <c r="J365" t="str">
        <f>IF([2]Entry!$C$368="","",[2]Entry!$C$368)</f>
        <v/>
      </c>
      <c r="K365" t="str">
        <f>IF([2]Entry!$D$368="","",[2]Entry!$D$368)</f>
        <v/>
      </c>
      <c r="L365" t="str">
        <f>IF([2]Entry!$E$368="","",[2]Entry!$E$368)</f>
        <v/>
      </c>
      <c r="M365" t="str">
        <f>IF([2]Entry!$G$368="","",[2]Entry!$G$368)</f>
        <v/>
      </c>
      <c r="N365" t="str">
        <f>IF([2]Entry!$M$368="","",[2]Entry!$M$368)</f>
        <v/>
      </c>
      <c r="O365" t="str">
        <f>IF([2]Entry!$N$368="","",[2]Entry!$N$368)</f>
        <v/>
      </c>
      <c r="P365" t="str">
        <f>IF([2]Entry!$R$368="","",[2]Entry!$R$368)</f>
        <v/>
      </c>
    </row>
    <row r="366" spans="1:16" x14ac:dyDescent="0.2">
      <c r="A366" t="str">
        <f>IF([1]Accounts!$D$367="","",[1]Accounts!$A$367)</f>
        <v/>
      </c>
      <c r="B366" t="str">
        <f>IF([1]Accounts!$D$367="","",[1]Accounts!$B$367)</f>
        <v/>
      </c>
      <c r="C366" t="str">
        <f>IF([1]Accounts!$D$367="","",[1]Accounts!$C$367)</f>
        <v/>
      </c>
      <c r="D366" t="str">
        <f>IF([1]Accounts!$D$367="","",[1]Accounts!$D$367)</f>
        <v/>
      </c>
      <c r="E366" t="str">
        <f>IF([1]Accounts!$D$367="","",[1]Accounts!$J$367)</f>
        <v/>
      </c>
      <c r="F366" t="str">
        <f>IF([1]Accounts!$D$367="","",[1]Accounts!$K$367)</f>
        <v/>
      </c>
      <c r="J366" t="str">
        <f>IF([2]Entry!$C$369="","",[2]Entry!$C$369)</f>
        <v/>
      </c>
      <c r="K366" t="str">
        <f>IF([2]Entry!$D$369="","",[2]Entry!$D$369)</f>
        <v/>
      </c>
      <c r="L366" t="str">
        <f>IF([2]Entry!$E$369="","",[2]Entry!$E$369)</f>
        <v/>
      </c>
      <c r="M366" t="str">
        <f>IF([2]Entry!$G$369="","",[2]Entry!$G$369)</f>
        <v/>
      </c>
      <c r="N366" t="str">
        <f>IF([2]Entry!$M$369="","",[2]Entry!$M$369)</f>
        <v/>
      </c>
      <c r="O366" t="str">
        <f>IF([2]Entry!$N$369="","",[2]Entry!$N$369)</f>
        <v/>
      </c>
      <c r="P366" t="str">
        <f>IF([2]Entry!$R$369="","",[2]Entry!$R$369)</f>
        <v/>
      </c>
    </row>
    <row r="367" spans="1:16" x14ac:dyDescent="0.2">
      <c r="A367" t="str">
        <f>IF([1]Accounts!$D$368="","",[1]Accounts!$A$368)</f>
        <v/>
      </c>
      <c r="B367" t="str">
        <f>IF([1]Accounts!$D$368="","",[1]Accounts!$B$368)</f>
        <v/>
      </c>
      <c r="C367" t="str">
        <f>IF([1]Accounts!$D$368="","",[1]Accounts!$C$368)</f>
        <v/>
      </c>
      <c r="D367" t="str">
        <f>IF([1]Accounts!$D$368="","",[1]Accounts!$D$368)</f>
        <v/>
      </c>
      <c r="E367" t="str">
        <f>IF([1]Accounts!$D$368="","",[1]Accounts!$J$368)</f>
        <v/>
      </c>
      <c r="F367" t="str">
        <f>IF([1]Accounts!$D$368="","",[1]Accounts!$K$368)</f>
        <v/>
      </c>
      <c r="J367" t="str">
        <f>IF([2]Entry!$C$370="","",[2]Entry!$C$370)</f>
        <v/>
      </c>
      <c r="K367" t="str">
        <f>IF([2]Entry!$D$370="","",[2]Entry!$D$370)</f>
        <v/>
      </c>
      <c r="L367" t="str">
        <f>IF([2]Entry!$E$370="","",[2]Entry!$E$370)</f>
        <v/>
      </c>
      <c r="M367" t="str">
        <f>IF([2]Entry!$G$370="","",[2]Entry!$G$370)</f>
        <v/>
      </c>
      <c r="N367" t="str">
        <f>IF([2]Entry!$M$370="","",[2]Entry!$M$370)</f>
        <v/>
      </c>
      <c r="O367" t="str">
        <f>IF([2]Entry!$N$370="","",[2]Entry!$N$370)</f>
        <v/>
      </c>
      <c r="P367" t="str">
        <f>IF([2]Entry!$R$370="","",[2]Entry!$R$370)</f>
        <v/>
      </c>
    </row>
    <row r="368" spans="1:16" x14ac:dyDescent="0.2">
      <c r="A368" t="str">
        <f>IF([1]Accounts!$D$369="","",[1]Accounts!$A$369)</f>
        <v/>
      </c>
      <c r="B368" t="str">
        <f>IF([1]Accounts!$D$369="","",[1]Accounts!$B$369)</f>
        <v/>
      </c>
      <c r="C368" t="str">
        <f>IF([1]Accounts!$D$369="","",[1]Accounts!$C$369)</f>
        <v/>
      </c>
      <c r="D368" t="str">
        <f>IF([1]Accounts!$D$369="","",[1]Accounts!$D$369)</f>
        <v/>
      </c>
      <c r="E368" t="str">
        <f>IF([1]Accounts!$D$369="","",[1]Accounts!$J$369)</f>
        <v/>
      </c>
      <c r="F368" t="str">
        <f>IF([1]Accounts!$D$369="","",[1]Accounts!$K$369)</f>
        <v/>
      </c>
      <c r="J368" t="str">
        <f>IF([2]Entry!$C$371="","",[2]Entry!$C$371)</f>
        <v/>
      </c>
      <c r="K368" t="str">
        <f>IF([2]Entry!$D$371="","",[2]Entry!$D$371)</f>
        <v/>
      </c>
      <c r="L368" t="str">
        <f>IF([2]Entry!$E$371="","",[2]Entry!$E$371)</f>
        <v/>
      </c>
      <c r="M368" t="str">
        <f>IF([2]Entry!$G$371="","",[2]Entry!$G$371)</f>
        <v/>
      </c>
      <c r="N368" t="str">
        <f>IF([2]Entry!$M$371="","",[2]Entry!$M$371)</f>
        <v/>
      </c>
      <c r="O368" t="str">
        <f>IF([2]Entry!$N$371="","",[2]Entry!$N$371)</f>
        <v/>
      </c>
      <c r="P368" t="str">
        <f>IF([2]Entry!$R$371="","",[2]Entry!$R$371)</f>
        <v/>
      </c>
    </row>
    <row r="369" spans="1:16" x14ac:dyDescent="0.2">
      <c r="A369" t="str">
        <f>IF([1]Accounts!$D$370="","",[1]Accounts!$A$370)</f>
        <v/>
      </c>
      <c r="B369" t="str">
        <f>IF([1]Accounts!$D$370="","",[1]Accounts!$B$370)</f>
        <v/>
      </c>
      <c r="C369" t="str">
        <f>IF([1]Accounts!$D$370="","",[1]Accounts!$C$370)</f>
        <v/>
      </c>
      <c r="D369" t="str">
        <f>IF([1]Accounts!$D$370="","",[1]Accounts!$D$370)</f>
        <v/>
      </c>
      <c r="E369" t="str">
        <f>IF([1]Accounts!$D$370="","",[1]Accounts!$J$370)</f>
        <v/>
      </c>
      <c r="F369" t="str">
        <f>IF([1]Accounts!$D$370="","",[1]Accounts!$K$370)</f>
        <v/>
      </c>
      <c r="J369" t="str">
        <f>IF([2]Entry!$C$372="","",[2]Entry!$C$372)</f>
        <v/>
      </c>
      <c r="K369" t="str">
        <f>IF([2]Entry!$D$372="","",[2]Entry!$D$372)</f>
        <v/>
      </c>
      <c r="L369" t="str">
        <f>IF([2]Entry!$E$372="","",[2]Entry!$E$372)</f>
        <v/>
      </c>
      <c r="M369" t="str">
        <f>IF([2]Entry!$G$372="","",[2]Entry!$G$372)</f>
        <v/>
      </c>
      <c r="N369" t="str">
        <f>IF([2]Entry!$M$372="","",[2]Entry!$M$372)</f>
        <v/>
      </c>
      <c r="O369" t="str">
        <f>IF([2]Entry!$N$372="","",[2]Entry!$N$372)</f>
        <v/>
      </c>
      <c r="P369" t="str">
        <f>IF([2]Entry!$R$372="","",[2]Entry!$R$372)</f>
        <v/>
      </c>
    </row>
    <row r="370" spans="1:16" x14ac:dyDescent="0.2">
      <c r="A370" t="str">
        <f>IF([1]Accounts!$D$371="","",[1]Accounts!$A$371)</f>
        <v/>
      </c>
      <c r="B370" t="str">
        <f>IF([1]Accounts!$D$371="","",[1]Accounts!$B$371)</f>
        <v/>
      </c>
      <c r="C370" t="str">
        <f>IF([1]Accounts!$D$371="","",[1]Accounts!$C$371)</f>
        <v/>
      </c>
      <c r="D370" t="str">
        <f>IF([1]Accounts!$D$371="","",[1]Accounts!$D$371)</f>
        <v/>
      </c>
      <c r="E370" t="str">
        <f>IF([1]Accounts!$D$371="","",[1]Accounts!$J$371)</f>
        <v/>
      </c>
      <c r="F370" t="str">
        <f>IF([1]Accounts!$D$371="","",[1]Accounts!$K$371)</f>
        <v/>
      </c>
      <c r="J370" t="str">
        <f>IF([2]Entry!$C$373="","",[2]Entry!$C$373)</f>
        <v/>
      </c>
      <c r="K370" t="str">
        <f>IF([2]Entry!$D$373="","",[2]Entry!$D$373)</f>
        <v/>
      </c>
      <c r="L370" t="str">
        <f>IF([2]Entry!$E$373="","",[2]Entry!$E$373)</f>
        <v/>
      </c>
      <c r="M370" t="str">
        <f>IF([2]Entry!$G$373="","",[2]Entry!$G$373)</f>
        <v/>
      </c>
      <c r="N370" t="str">
        <f>IF([2]Entry!$M$373="","",[2]Entry!$M$373)</f>
        <v/>
      </c>
      <c r="O370" t="str">
        <f>IF([2]Entry!$N$373="","",[2]Entry!$N$373)</f>
        <v/>
      </c>
      <c r="P370" t="str">
        <f>IF([2]Entry!$R$373="","",[2]Entry!$R$373)</f>
        <v/>
      </c>
    </row>
    <row r="371" spans="1:16" x14ac:dyDescent="0.2">
      <c r="A371" t="str">
        <f>IF([1]Accounts!$D$372="","",[1]Accounts!$A$372)</f>
        <v/>
      </c>
      <c r="B371" t="str">
        <f>IF([1]Accounts!$D$372="","",[1]Accounts!$B$372)</f>
        <v/>
      </c>
      <c r="C371" t="str">
        <f>IF([1]Accounts!$D$372="","",[1]Accounts!$C$372)</f>
        <v/>
      </c>
      <c r="D371" t="str">
        <f>IF([1]Accounts!$D$372="","",[1]Accounts!$D$372)</f>
        <v/>
      </c>
      <c r="E371" t="str">
        <f>IF([1]Accounts!$D$372="","",[1]Accounts!$J$372)</f>
        <v/>
      </c>
      <c r="F371" t="str">
        <f>IF([1]Accounts!$D$372="","",[1]Accounts!$K$372)</f>
        <v/>
      </c>
      <c r="J371" t="str">
        <f>IF([2]Entry!$C$374="","",[2]Entry!$C$374)</f>
        <v/>
      </c>
      <c r="K371" t="str">
        <f>IF([2]Entry!$D$374="","",[2]Entry!$D$374)</f>
        <v/>
      </c>
      <c r="L371" t="str">
        <f>IF([2]Entry!$E$374="","",[2]Entry!$E$374)</f>
        <v/>
      </c>
      <c r="M371" t="str">
        <f>IF([2]Entry!$G$374="","",[2]Entry!$G$374)</f>
        <v/>
      </c>
      <c r="N371" t="str">
        <f>IF([2]Entry!$M$374="","",[2]Entry!$M$374)</f>
        <v/>
      </c>
      <c r="O371" t="str">
        <f>IF([2]Entry!$N$374="","",[2]Entry!$N$374)</f>
        <v/>
      </c>
      <c r="P371" t="str">
        <f>IF([2]Entry!$R$374="","",[2]Entry!$R$374)</f>
        <v/>
      </c>
    </row>
    <row r="372" spans="1:16" x14ac:dyDescent="0.2">
      <c r="A372" t="str">
        <f>IF([1]Accounts!$D$373="","",[1]Accounts!$A$373)</f>
        <v/>
      </c>
      <c r="B372" t="str">
        <f>IF([1]Accounts!$D$373="","",[1]Accounts!$B$373)</f>
        <v/>
      </c>
      <c r="C372" t="str">
        <f>IF([1]Accounts!$D$373="","",[1]Accounts!$C$373)</f>
        <v/>
      </c>
      <c r="D372" t="str">
        <f>IF([1]Accounts!$D$373="","",[1]Accounts!$D$373)</f>
        <v/>
      </c>
      <c r="E372" t="str">
        <f>IF([1]Accounts!$D$373="","",[1]Accounts!$J$373)</f>
        <v/>
      </c>
      <c r="F372" t="str">
        <f>IF([1]Accounts!$D$373="","",[1]Accounts!$K$373)</f>
        <v/>
      </c>
      <c r="J372" t="str">
        <f>IF([2]Entry!$C$375="","",[2]Entry!$C$375)</f>
        <v/>
      </c>
      <c r="K372" t="str">
        <f>IF([2]Entry!$D$375="","",[2]Entry!$D$375)</f>
        <v/>
      </c>
      <c r="L372" t="str">
        <f>IF([2]Entry!$E$375="","",[2]Entry!$E$375)</f>
        <v/>
      </c>
      <c r="M372" t="str">
        <f>IF([2]Entry!$G$375="","",[2]Entry!$G$375)</f>
        <v/>
      </c>
      <c r="N372" t="str">
        <f>IF([2]Entry!$M$375="","",[2]Entry!$M$375)</f>
        <v/>
      </c>
      <c r="O372" t="str">
        <f>IF([2]Entry!$N$375="","",[2]Entry!$N$375)</f>
        <v/>
      </c>
      <c r="P372" t="str">
        <f>IF([2]Entry!$R$375="","",[2]Entry!$R$375)</f>
        <v/>
      </c>
    </row>
    <row r="373" spans="1:16" x14ac:dyDescent="0.2">
      <c r="A373" t="str">
        <f>IF([1]Accounts!$D$374="","",[1]Accounts!$A$374)</f>
        <v/>
      </c>
      <c r="B373" t="str">
        <f>IF([1]Accounts!$D$374="","",[1]Accounts!$B$374)</f>
        <v/>
      </c>
      <c r="C373" t="str">
        <f>IF([1]Accounts!$D$374="","",[1]Accounts!$C$374)</f>
        <v/>
      </c>
      <c r="D373" t="str">
        <f>IF([1]Accounts!$D$374="","",[1]Accounts!$D$374)</f>
        <v/>
      </c>
      <c r="E373" t="str">
        <f>IF([1]Accounts!$D$374="","",[1]Accounts!$J$374)</f>
        <v/>
      </c>
      <c r="F373" t="str">
        <f>IF([1]Accounts!$D$374="","",[1]Accounts!$K$374)</f>
        <v/>
      </c>
      <c r="J373" t="str">
        <f>IF([2]Entry!$C$376="","",[2]Entry!$C$376)</f>
        <v/>
      </c>
      <c r="K373" t="str">
        <f>IF([2]Entry!$D$376="","",[2]Entry!$D$376)</f>
        <v/>
      </c>
      <c r="L373" t="str">
        <f>IF([2]Entry!$E$376="","",[2]Entry!$E$376)</f>
        <v/>
      </c>
      <c r="M373" t="str">
        <f>IF([2]Entry!$G$376="","",[2]Entry!$G$376)</f>
        <v/>
      </c>
      <c r="N373" t="str">
        <f>IF([2]Entry!$M$376="","",[2]Entry!$M$376)</f>
        <v/>
      </c>
      <c r="O373" t="str">
        <f>IF([2]Entry!$N$376="","",[2]Entry!$N$376)</f>
        <v/>
      </c>
      <c r="P373" t="str">
        <f>IF([2]Entry!$R$376="","",[2]Entry!$R$376)</f>
        <v/>
      </c>
    </row>
    <row r="374" spans="1:16" x14ac:dyDescent="0.2">
      <c r="A374" t="str">
        <f>IF([1]Accounts!$D$375="","",[1]Accounts!$A$375)</f>
        <v/>
      </c>
      <c r="B374" t="str">
        <f>IF([1]Accounts!$D$375="","",[1]Accounts!$B$375)</f>
        <v/>
      </c>
      <c r="C374" t="str">
        <f>IF([1]Accounts!$D$375="","",[1]Accounts!$C$375)</f>
        <v/>
      </c>
      <c r="D374" t="str">
        <f>IF([1]Accounts!$D$375="","",[1]Accounts!$D$375)</f>
        <v/>
      </c>
      <c r="E374" t="str">
        <f>IF([1]Accounts!$D$375="","",[1]Accounts!$J$375)</f>
        <v/>
      </c>
      <c r="F374" t="str">
        <f>IF([1]Accounts!$D$375="","",[1]Accounts!$K$375)</f>
        <v/>
      </c>
      <c r="J374" t="str">
        <f>IF([2]Entry!$C$377="","",[2]Entry!$C$377)</f>
        <v/>
      </c>
      <c r="K374" t="str">
        <f>IF([2]Entry!$D$377="","",[2]Entry!$D$377)</f>
        <v/>
      </c>
      <c r="L374" t="str">
        <f>IF([2]Entry!$E$377="","",[2]Entry!$E$377)</f>
        <v/>
      </c>
      <c r="M374" t="str">
        <f>IF([2]Entry!$G$377="","",[2]Entry!$G$377)</f>
        <v/>
      </c>
      <c r="N374" t="str">
        <f>IF([2]Entry!$M$377="","",[2]Entry!$M$377)</f>
        <v/>
      </c>
      <c r="O374" t="str">
        <f>IF([2]Entry!$N$377="","",[2]Entry!$N$377)</f>
        <v/>
      </c>
      <c r="P374" t="str">
        <f>IF([2]Entry!$R$377="","",[2]Entry!$R$377)</f>
        <v/>
      </c>
    </row>
    <row r="375" spans="1:16" x14ac:dyDescent="0.2">
      <c r="A375" t="str">
        <f>IF([1]Accounts!$D$376="","",[1]Accounts!$A$376)</f>
        <v/>
      </c>
      <c r="B375" t="str">
        <f>IF([1]Accounts!$D$376="","",[1]Accounts!$B$376)</f>
        <v/>
      </c>
      <c r="C375" t="str">
        <f>IF([1]Accounts!$D$376="","",[1]Accounts!$C$376)</f>
        <v/>
      </c>
      <c r="D375" t="str">
        <f>IF([1]Accounts!$D$376="","",[1]Accounts!$D$376)</f>
        <v/>
      </c>
      <c r="E375" t="str">
        <f>IF([1]Accounts!$D$376="","",[1]Accounts!$J$376)</f>
        <v/>
      </c>
      <c r="F375" t="str">
        <f>IF([1]Accounts!$D$376="","",[1]Accounts!$K$376)</f>
        <v/>
      </c>
      <c r="J375" t="str">
        <f>IF([2]Entry!$C$378="","",[2]Entry!$C$378)</f>
        <v/>
      </c>
      <c r="K375" t="str">
        <f>IF([2]Entry!$D$378="","",[2]Entry!$D$378)</f>
        <v/>
      </c>
      <c r="L375" t="str">
        <f>IF([2]Entry!$E$378="","",[2]Entry!$E$378)</f>
        <v/>
      </c>
      <c r="M375" t="str">
        <f>IF([2]Entry!$G$378="","",[2]Entry!$G$378)</f>
        <v/>
      </c>
      <c r="N375" t="str">
        <f>IF([2]Entry!$M$378="","",[2]Entry!$M$378)</f>
        <v/>
      </c>
      <c r="O375" t="str">
        <f>IF([2]Entry!$N$378="","",[2]Entry!$N$378)</f>
        <v/>
      </c>
      <c r="P375" t="str">
        <f>IF([2]Entry!$R$378="","",[2]Entry!$R$378)</f>
        <v/>
      </c>
    </row>
    <row r="376" spans="1:16" x14ac:dyDescent="0.2">
      <c r="A376" t="str">
        <f>IF([1]Accounts!$D$377="","",[1]Accounts!$A$377)</f>
        <v/>
      </c>
      <c r="B376" t="str">
        <f>IF([1]Accounts!$D$377="","",[1]Accounts!$B$377)</f>
        <v/>
      </c>
      <c r="C376" t="str">
        <f>IF([1]Accounts!$D$377="","",[1]Accounts!$C$377)</f>
        <v/>
      </c>
      <c r="D376" t="str">
        <f>IF([1]Accounts!$D$377="","",[1]Accounts!$D$377)</f>
        <v/>
      </c>
      <c r="E376" t="str">
        <f>IF([1]Accounts!$D$377="","",[1]Accounts!$J$377)</f>
        <v/>
      </c>
      <c r="F376" t="str">
        <f>IF([1]Accounts!$D$377="","",[1]Accounts!$K$377)</f>
        <v/>
      </c>
      <c r="J376" t="str">
        <f>IF([2]Entry!$C$379="","",[2]Entry!$C$379)</f>
        <v/>
      </c>
      <c r="K376" t="str">
        <f>IF([2]Entry!$D$379="","",[2]Entry!$D$379)</f>
        <v/>
      </c>
      <c r="L376" t="str">
        <f>IF([2]Entry!$E$379="","",[2]Entry!$E$379)</f>
        <v/>
      </c>
      <c r="M376" t="str">
        <f>IF([2]Entry!$G$379="","",[2]Entry!$G$379)</f>
        <v/>
      </c>
      <c r="N376" t="str">
        <f>IF([2]Entry!$M$379="","",[2]Entry!$M$379)</f>
        <v/>
      </c>
      <c r="O376" t="str">
        <f>IF([2]Entry!$N$379="","",[2]Entry!$N$379)</f>
        <v/>
      </c>
      <c r="P376" t="str">
        <f>IF([2]Entry!$R$379="","",[2]Entry!$R$379)</f>
        <v/>
      </c>
    </row>
    <row r="377" spans="1:16" x14ac:dyDescent="0.2">
      <c r="A377" t="str">
        <f>IF([1]Accounts!$D$378="","",[1]Accounts!$A$378)</f>
        <v/>
      </c>
      <c r="B377" t="str">
        <f>IF([1]Accounts!$D$378="","",[1]Accounts!$B$378)</f>
        <v/>
      </c>
      <c r="C377" t="str">
        <f>IF([1]Accounts!$D$378="","",[1]Accounts!$C$378)</f>
        <v/>
      </c>
      <c r="D377" t="str">
        <f>IF([1]Accounts!$D$378="","",[1]Accounts!$D$378)</f>
        <v/>
      </c>
      <c r="E377" t="str">
        <f>IF([1]Accounts!$D$378="","",[1]Accounts!$J$378)</f>
        <v/>
      </c>
      <c r="F377" t="str">
        <f>IF([1]Accounts!$D$378="","",[1]Accounts!$K$378)</f>
        <v/>
      </c>
      <c r="J377" t="str">
        <f>IF([2]Entry!$C$380="","",[2]Entry!$C$380)</f>
        <v/>
      </c>
      <c r="K377" t="str">
        <f>IF([2]Entry!$D$380="","",[2]Entry!$D$380)</f>
        <v/>
      </c>
      <c r="L377" t="str">
        <f>IF([2]Entry!$E$380="","",[2]Entry!$E$380)</f>
        <v/>
      </c>
      <c r="M377" t="str">
        <f>IF([2]Entry!$G$380="","",[2]Entry!$G$380)</f>
        <v/>
      </c>
      <c r="N377" t="str">
        <f>IF([2]Entry!$M$380="","",[2]Entry!$M$380)</f>
        <v/>
      </c>
      <c r="O377" t="str">
        <f>IF([2]Entry!$N$380="","",[2]Entry!$N$380)</f>
        <v/>
      </c>
      <c r="P377" t="str">
        <f>IF([2]Entry!$R$380="","",[2]Entry!$R$380)</f>
        <v/>
      </c>
    </row>
    <row r="378" spans="1:16" x14ac:dyDescent="0.2">
      <c r="A378" t="str">
        <f>IF([1]Accounts!$D$379="","",[1]Accounts!$A$379)</f>
        <v/>
      </c>
      <c r="B378" t="str">
        <f>IF([1]Accounts!$D$379="","",[1]Accounts!$B$379)</f>
        <v/>
      </c>
      <c r="C378" t="str">
        <f>IF([1]Accounts!$D$379="","",[1]Accounts!$C$379)</f>
        <v/>
      </c>
      <c r="D378" t="str">
        <f>IF([1]Accounts!$D$379="","",[1]Accounts!$D$379)</f>
        <v/>
      </c>
      <c r="E378" t="str">
        <f>IF([1]Accounts!$D$379="","",[1]Accounts!$J$379)</f>
        <v/>
      </c>
      <c r="F378" t="str">
        <f>IF([1]Accounts!$D$379="","",[1]Accounts!$K$379)</f>
        <v/>
      </c>
      <c r="J378" t="str">
        <f>IF([2]Entry!$C$381="","",[2]Entry!$C$381)</f>
        <v/>
      </c>
      <c r="K378" t="str">
        <f>IF([2]Entry!$D$381="","",[2]Entry!$D$381)</f>
        <v/>
      </c>
      <c r="L378" t="str">
        <f>IF([2]Entry!$E$381="","",[2]Entry!$E$381)</f>
        <v/>
      </c>
      <c r="M378" t="str">
        <f>IF([2]Entry!$G$381="","",[2]Entry!$G$381)</f>
        <v/>
      </c>
      <c r="N378" t="str">
        <f>IF([2]Entry!$M$381="","",[2]Entry!$M$381)</f>
        <v/>
      </c>
      <c r="O378" t="str">
        <f>IF([2]Entry!$N$381="","",[2]Entry!$N$381)</f>
        <v/>
      </c>
      <c r="P378" t="str">
        <f>IF([2]Entry!$R$381="","",[2]Entry!$R$381)</f>
        <v/>
      </c>
    </row>
    <row r="379" spans="1:16" x14ac:dyDescent="0.2">
      <c r="A379" t="str">
        <f>IF([1]Accounts!$D$380="","",[1]Accounts!$A$380)</f>
        <v/>
      </c>
      <c r="B379" t="str">
        <f>IF([1]Accounts!$D$380="","",[1]Accounts!$B$380)</f>
        <v/>
      </c>
      <c r="C379" t="str">
        <f>IF([1]Accounts!$D$380="","",[1]Accounts!$C$380)</f>
        <v/>
      </c>
      <c r="D379" t="str">
        <f>IF([1]Accounts!$D$380="","",[1]Accounts!$D$380)</f>
        <v/>
      </c>
      <c r="E379" t="str">
        <f>IF([1]Accounts!$D$380="","",[1]Accounts!$J$380)</f>
        <v/>
      </c>
      <c r="F379" t="str">
        <f>IF([1]Accounts!$D$380="","",[1]Accounts!$K$380)</f>
        <v/>
      </c>
      <c r="J379" t="str">
        <f>IF([2]Entry!$C$382="","",[2]Entry!$C$382)</f>
        <v/>
      </c>
      <c r="K379" t="str">
        <f>IF([2]Entry!$D$382="","",[2]Entry!$D$382)</f>
        <v/>
      </c>
      <c r="L379" t="str">
        <f>IF([2]Entry!$E$382="","",[2]Entry!$E$382)</f>
        <v/>
      </c>
      <c r="M379" t="str">
        <f>IF([2]Entry!$G$382="","",[2]Entry!$G$382)</f>
        <v/>
      </c>
      <c r="N379" t="str">
        <f>IF([2]Entry!$M$382="","",[2]Entry!$M$382)</f>
        <v/>
      </c>
      <c r="O379" t="str">
        <f>IF([2]Entry!$N$382="","",[2]Entry!$N$382)</f>
        <v/>
      </c>
      <c r="P379" t="str">
        <f>IF([2]Entry!$R$382="","",[2]Entry!$R$382)</f>
        <v/>
      </c>
    </row>
    <row r="380" spans="1:16" x14ac:dyDescent="0.2">
      <c r="A380" t="str">
        <f>IF([1]Accounts!$D$381="","",[1]Accounts!$A$381)</f>
        <v/>
      </c>
      <c r="B380" t="str">
        <f>IF([1]Accounts!$D$381="","",[1]Accounts!$B$381)</f>
        <v/>
      </c>
      <c r="C380" t="str">
        <f>IF([1]Accounts!$D$381="","",[1]Accounts!$C$381)</f>
        <v/>
      </c>
      <c r="D380" t="str">
        <f>IF([1]Accounts!$D$381="","",[1]Accounts!$D$381)</f>
        <v/>
      </c>
      <c r="E380" t="str">
        <f>IF([1]Accounts!$D$381="","",[1]Accounts!$J$381)</f>
        <v/>
      </c>
      <c r="F380" t="str">
        <f>IF([1]Accounts!$D$381="","",[1]Accounts!$K$381)</f>
        <v/>
      </c>
      <c r="J380" t="str">
        <f>IF([2]Entry!$C$383="","",[2]Entry!$C$383)</f>
        <v/>
      </c>
      <c r="K380" t="str">
        <f>IF([2]Entry!$D$383="","",[2]Entry!$D$383)</f>
        <v/>
      </c>
      <c r="L380" t="str">
        <f>IF([2]Entry!$E$383="","",[2]Entry!$E$383)</f>
        <v/>
      </c>
      <c r="M380" t="str">
        <f>IF([2]Entry!$G$383="","",[2]Entry!$G$383)</f>
        <v/>
      </c>
      <c r="N380" t="str">
        <f>IF([2]Entry!$M$383="","",[2]Entry!$M$383)</f>
        <v/>
      </c>
      <c r="O380" t="str">
        <f>IF([2]Entry!$N$383="","",[2]Entry!$N$383)</f>
        <v/>
      </c>
      <c r="P380" t="str">
        <f>IF([2]Entry!$R$383="","",[2]Entry!$R$383)</f>
        <v/>
      </c>
    </row>
    <row r="381" spans="1:16" x14ac:dyDescent="0.2">
      <c r="A381" t="str">
        <f>IF([1]Accounts!$D$382="","",[1]Accounts!$A$382)</f>
        <v/>
      </c>
      <c r="B381" t="str">
        <f>IF([1]Accounts!$D$382="","",[1]Accounts!$B$382)</f>
        <v/>
      </c>
      <c r="C381" t="str">
        <f>IF([1]Accounts!$D$382="","",[1]Accounts!$C$382)</f>
        <v/>
      </c>
      <c r="D381" t="str">
        <f>IF([1]Accounts!$D$382="","",[1]Accounts!$D$382)</f>
        <v/>
      </c>
      <c r="E381" t="str">
        <f>IF([1]Accounts!$D$382="","",[1]Accounts!$J$382)</f>
        <v/>
      </c>
      <c r="F381" t="str">
        <f>IF([1]Accounts!$D$382="","",[1]Accounts!$K$382)</f>
        <v/>
      </c>
      <c r="J381" t="str">
        <f>IF([2]Entry!$C$384="","",[2]Entry!$C$384)</f>
        <v/>
      </c>
      <c r="K381" t="str">
        <f>IF([2]Entry!$D$384="","",[2]Entry!$D$384)</f>
        <v/>
      </c>
      <c r="L381" t="str">
        <f>IF([2]Entry!$E$384="","",[2]Entry!$E$384)</f>
        <v/>
      </c>
      <c r="M381" t="str">
        <f>IF([2]Entry!$G$384="","",[2]Entry!$G$384)</f>
        <v/>
      </c>
      <c r="N381" t="str">
        <f>IF([2]Entry!$M$384="","",[2]Entry!$M$384)</f>
        <v/>
      </c>
      <c r="O381" t="str">
        <f>IF([2]Entry!$N$384="","",[2]Entry!$N$384)</f>
        <v/>
      </c>
      <c r="P381" t="str">
        <f>IF([2]Entry!$R$384="","",[2]Entry!$R$384)</f>
        <v/>
      </c>
    </row>
    <row r="382" spans="1:16" x14ac:dyDescent="0.2">
      <c r="A382" t="str">
        <f>IF([1]Accounts!$D$383="","",[1]Accounts!$A$383)</f>
        <v/>
      </c>
      <c r="B382" t="str">
        <f>IF([1]Accounts!$D$383="","",[1]Accounts!$B$383)</f>
        <v/>
      </c>
      <c r="C382" t="str">
        <f>IF([1]Accounts!$D$383="","",[1]Accounts!$C$383)</f>
        <v/>
      </c>
      <c r="D382" t="str">
        <f>IF([1]Accounts!$D$383="","",[1]Accounts!$D$383)</f>
        <v/>
      </c>
      <c r="E382" t="str">
        <f>IF([1]Accounts!$D$383="","",[1]Accounts!$J$383)</f>
        <v/>
      </c>
      <c r="F382" t="str">
        <f>IF([1]Accounts!$D$383="","",[1]Accounts!$K$383)</f>
        <v/>
      </c>
      <c r="J382" t="str">
        <f>IF([2]Entry!$C$385="","",[2]Entry!$C$385)</f>
        <v/>
      </c>
      <c r="K382" t="str">
        <f>IF([2]Entry!$D$385="","",[2]Entry!$D$385)</f>
        <v/>
      </c>
      <c r="L382" t="str">
        <f>IF([2]Entry!$E$385="","",[2]Entry!$E$385)</f>
        <v/>
      </c>
      <c r="M382" t="str">
        <f>IF([2]Entry!$G$385="","",[2]Entry!$G$385)</f>
        <v/>
      </c>
      <c r="N382" t="str">
        <f>IF([2]Entry!$M$385="","",[2]Entry!$M$385)</f>
        <v/>
      </c>
      <c r="O382" t="str">
        <f>IF([2]Entry!$N$385="","",[2]Entry!$N$385)</f>
        <v/>
      </c>
      <c r="P382" t="str">
        <f>IF([2]Entry!$R$385="","",[2]Entry!$R$385)</f>
        <v/>
      </c>
    </row>
    <row r="383" spans="1:16" x14ac:dyDescent="0.2">
      <c r="A383" t="str">
        <f>IF([1]Accounts!$D$384="","",[1]Accounts!$A$384)</f>
        <v/>
      </c>
      <c r="B383" t="str">
        <f>IF([1]Accounts!$D$384="","",[1]Accounts!$B$384)</f>
        <v/>
      </c>
      <c r="C383" t="str">
        <f>IF([1]Accounts!$D$384="","",[1]Accounts!$C$384)</f>
        <v/>
      </c>
      <c r="D383" t="str">
        <f>IF([1]Accounts!$D$384="","",[1]Accounts!$D$384)</f>
        <v/>
      </c>
      <c r="E383" t="str">
        <f>IF([1]Accounts!$D$384="","",[1]Accounts!$J$384)</f>
        <v/>
      </c>
      <c r="F383" t="str">
        <f>IF([1]Accounts!$D$384="","",[1]Accounts!$K$384)</f>
        <v/>
      </c>
      <c r="J383" t="str">
        <f>IF([2]Entry!$C$386="","",[2]Entry!$C$386)</f>
        <v/>
      </c>
      <c r="K383" t="str">
        <f>IF([2]Entry!$D$386="","",[2]Entry!$D$386)</f>
        <v/>
      </c>
      <c r="L383" t="str">
        <f>IF([2]Entry!$E$386="","",[2]Entry!$E$386)</f>
        <v/>
      </c>
      <c r="M383" t="str">
        <f>IF([2]Entry!$G$386="","",[2]Entry!$G$386)</f>
        <v/>
      </c>
      <c r="N383" t="str">
        <f>IF([2]Entry!$M$386="","",[2]Entry!$M$386)</f>
        <v/>
      </c>
      <c r="O383" t="str">
        <f>IF([2]Entry!$N$386="","",[2]Entry!$N$386)</f>
        <v/>
      </c>
      <c r="P383" t="str">
        <f>IF([2]Entry!$R$386="","",[2]Entry!$R$386)</f>
        <v/>
      </c>
    </row>
    <row r="384" spans="1:16" x14ac:dyDescent="0.2">
      <c r="A384" t="str">
        <f>IF([1]Accounts!$D$385="","",[1]Accounts!$A$385)</f>
        <v/>
      </c>
      <c r="B384" t="str">
        <f>IF([1]Accounts!$D$385="","",[1]Accounts!$B$385)</f>
        <v/>
      </c>
      <c r="C384" t="str">
        <f>IF([1]Accounts!$D$385="","",[1]Accounts!$C$385)</f>
        <v/>
      </c>
      <c r="D384" t="str">
        <f>IF([1]Accounts!$D$385="","",[1]Accounts!$D$385)</f>
        <v/>
      </c>
      <c r="E384" t="str">
        <f>IF([1]Accounts!$D$385="","",[1]Accounts!$J$385)</f>
        <v/>
      </c>
      <c r="F384" t="str">
        <f>IF([1]Accounts!$D$385="","",[1]Accounts!$K$385)</f>
        <v/>
      </c>
      <c r="J384" t="str">
        <f>IF([2]Entry!$C$387="","",[2]Entry!$C$387)</f>
        <v/>
      </c>
      <c r="K384" t="str">
        <f>IF([2]Entry!$D$387="","",[2]Entry!$D$387)</f>
        <v/>
      </c>
      <c r="L384" t="str">
        <f>IF([2]Entry!$E$387="","",[2]Entry!$E$387)</f>
        <v/>
      </c>
      <c r="M384" t="str">
        <f>IF([2]Entry!$G$387="","",[2]Entry!$G$387)</f>
        <v/>
      </c>
      <c r="N384" t="str">
        <f>IF([2]Entry!$M$387="","",[2]Entry!$M$387)</f>
        <v/>
      </c>
      <c r="O384" t="str">
        <f>IF([2]Entry!$N$387="","",[2]Entry!$N$387)</f>
        <v/>
      </c>
      <c r="P384" t="str">
        <f>IF([2]Entry!$R$387="","",[2]Entry!$R$387)</f>
        <v/>
      </c>
    </row>
    <row r="385" spans="1:16" x14ac:dyDescent="0.2">
      <c r="A385" t="str">
        <f>IF([1]Accounts!$D$386="","",[1]Accounts!$A$386)</f>
        <v/>
      </c>
      <c r="B385" t="str">
        <f>IF([1]Accounts!$D$386="","",[1]Accounts!$B$386)</f>
        <v/>
      </c>
      <c r="C385" t="str">
        <f>IF([1]Accounts!$D$386="","",[1]Accounts!$C$386)</f>
        <v/>
      </c>
      <c r="D385" t="str">
        <f>IF([1]Accounts!$D$386="","",[1]Accounts!$D$386)</f>
        <v/>
      </c>
      <c r="E385" t="str">
        <f>IF([1]Accounts!$D$386="","",[1]Accounts!$J$386)</f>
        <v/>
      </c>
      <c r="F385" t="str">
        <f>IF([1]Accounts!$D$386="","",[1]Accounts!$K$386)</f>
        <v/>
      </c>
      <c r="J385" t="str">
        <f>IF([2]Entry!$C$388="","",[2]Entry!$C$388)</f>
        <v/>
      </c>
      <c r="K385" t="str">
        <f>IF([2]Entry!$D$388="","",[2]Entry!$D$388)</f>
        <v/>
      </c>
      <c r="L385" t="str">
        <f>IF([2]Entry!$E$388="","",[2]Entry!$E$388)</f>
        <v/>
      </c>
      <c r="M385" t="str">
        <f>IF([2]Entry!$G$388="","",[2]Entry!$G$388)</f>
        <v/>
      </c>
      <c r="N385" t="str">
        <f>IF([2]Entry!$M$388="","",[2]Entry!$M$388)</f>
        <v/>
      </c>
      <c r="O385" t="str">
        <f>IF([2]Entry!$N$388="","",[2]Entry!$N$388)</f>
        <v/>
      </c>
      <c r="P385" t="str">
        <f>IF([2]Entry!$R$388="","",[2]Entry!$R$388)</f>
        <v/>
      </c>
    </row>
    <row r="386" spans="1:16" x14ac:dyDescent="0.2">
      <c r="A386" t="str">
        <f>IF([1]Accounts!$D$387="","",[1]Accounts!$A$387)</f>
        <v/>
      </c>
      <c r="B386" t="str">
        <f>IF([1]Accounts!$D$387="","",[1]Accounts!$B$387)</f>
        <v/>
      </c>
      <c r="C386" t="str">
        <f>IF([1]Accounts!$D$387="","",[1]Accounts!$C$387)</f>
        <v/>
      </c>
      <c r="D386" t="str">
        <f>IF([1]Accounts!$D$387="","",[1]Accounts!$D$387)</f>
        <v/>
      </c>
      <c r="E386" t="str">
        <f>IF([1]Accounts!$D$387="","",[1]Accounts!$J$387)</f>
        <v/>
      </c>
      <c r="F386" t="str">
        <f>IF([1]Accounts!$D$387="","",[1]Accounts!$K$387)</f>
        <v/>
      </c>
      <c r="J386" t="str">
        <f>IF([2]Entry!$C$389="","",[2]Entry!$C$389)</f>
        <v/>
      </c>
      <c r="K386" t="str">
        <f>IF([2]Entry!$D$389="","",[2]Entry!$D$389)</f>
        <v/>
      </c>
      <c r="L386" t="str">
        <f>IF([2]Entry!$E$389="","",[2]Entry!$E$389)</f>
        <v/>
      </c>
      <c r="M386" t="str">
        <f>IF([2]Entry!$G$389="","",[2]Entry!$G$389)</f>
        <v/>
      </c>
      <c r="N386" t="str">
        <f>IF([2]Entry!$M$389="","",[2]Entry!$M$389)</f>
        <v/>
      </c>
      <c r="O386" t="str">
        <f>IF([2]Entry!$N$389="","",[2]Entry!$N$389)</f>
        <v/>
      </c>
      <c r="P386" t="str">
        <f>IF([2]Entry!$R$389="","",[2]Entry!$R$389)</f>
        <v/>
      </c>
    </row>
    <row r="387" spans="1:16" x14ac:dyDescent="0.2">
      <c r="A387" t="str">
        <f>IF([1]Accounts!$D$388="","",[1]Accounts!$A$388)</f>
        <v/>
      </c>
      <c r="B387" t="str">
        <f>IF([1]Accounts!$D$388="","",[1]Accounts!$B$388)</f>
        <v/>
      </c>
      <c r="C387" t="str">
        <f>IF([1]Accounts!$D$388="","",[1]Accounts!$C$388)</f>
        <v/>
      </c>
      <c r="D387" t="str">
        <f>IF([1]Accounts!$D$388="","",[1]Accounts!$D$388)</f>
        <v/>
      </c>
      <c r="E387" t="str">
        <f>IF([1]Accounts!$D$388="","",[1]Accounts!$J$388)</f>
        <v/>
      </c>
      <c r="F387" t="str">
        <f>IF([1]Accounts!$D$388="","",[1]Accounts!$K$388)</f>
        <v/>
      </c>
      <c r="J387" t="str">
        <f>IF([2]Entry!$C$390="","",[2]Entry!$C$390)</f>
        <v/>
      </c>
      <c r="K387" t="str">
        <f>IF([2]Entry!$D$390="","",[2]Entry!$D$390)</f>
        <v/>
      </c>
      <c r="L387" t="str">
        <f>IF([2]Entry!$E$390="","",[2]Entry!$E$390)</f>
        <v/>
      </c>
      <c r="M387" t="str">
        <f>IF([2]Entry!$G$390="","",[2]Entry!$G$390)</f>
        <v/>
      </c>
      <c r="N387" t="str">
        <f>IF([2]Entry!$M$390="","",[2]Entry!$M$390)</f>
        <v/>
      </c>
      <c r="O387" t="str">
        <f>IF([2]Entry!$N$390="","",[2]Entry!$N$390)</f>
        <v/>
      </c>
      <c r="P387" t="str">
        <f>IF([2]Entry!$R$390="","",[2]Entry!$R$390)</f>
        <v/>
      </c>
    </row>
    <row r="388" spans="1:16" x14ac:dyDescent="0.2">
      <c r="A388" t="str">
        <f>IF([1]Accounts!$D$389="","",[1]Accounts!$A$389)</f>
        <v/>
      </c>
      <c r="B388" t="str">
        <f>IF([1]Accounts!$D$389="","",[1]Accounts!$B$389)</f>
        <v/>
      </c>
      <c r="C388" t="str">
        <f>IF([1]Accounts!$D$389="","",[1]Accounts!$C$389)</f>
        <v/>
      </c>
      <c r="D388" t="str">
        <f>IF([1]Accounts!$D$389="","",[1]Accounts!$D$389)</f>
        <v/>
      </c>
      <c r="E388" t="str">
        <f>IF([1]Accounts!$D$389="","",[1]Accounts!$J$389)</f>
        <v/>
      </c>
      <c r="F388" t="str">
        <f>IF([1]Accounts!$D$389="","",[1]Accounts!$K$389)</f>
        <v/>
      </c>
      <c r="J388" t="str">
        <f>IF([2]Entry!$C$391="","",[2]Entry!$C$391)</f>
        <v/>
      </c>
      <c r="K388" t="str">
        <f>IF([2]Entry!$D$391="","",[2]Entry!$D$391)</f>
        <v/>
      </c>
      <c r="L388" t="str">
        <f>IF([2]Entry!$E$391="","",[2]Entry!$E$391)</f>
        <v/>
      </c>
      <c r="M388" t="str">
        <f>IF([2]Entry!$G$391="","",[2]Entry!$G$391)</f>
        <v/>
      </c>
      <c r="N388" t="str">
        <f>IF([2]Entry!$M$391="","",[2]Entry!$M$391)</f>
        <v/>
      </c>
      <c r="O388" t="str">
        <f>IF([2]Entry!$N$391="","",[2]Entry!$N$391)</f>
        <v/>
      </c>
      <c r="P388" t="str">
        <f>IF([2]Entry!$R$391="","",[2]Entry!$R$391)</f>
        <v/>
      </c>
    </row>
    <row r="389" spans="1:16" x14ac:dyDescent="0.2">
      <c r="A389" t="str">
        <f>IF([1]Accounts!$D$390="","",[1]Accounts!$A$390)</f>
        <v/>
      </c>
      <c r="B389" t="str">
        <f>IF([1]Accounts!$D$390="","",[1]Accounts!$B$390)</f>
        <v/>
      </c>
      <c r="C389" t="str">
        <f>IF([1]Accounts!$D$390="","",[1]Accounts!$C$390)</f>
        <v/>
      </c>
      <c r="D389" t="str">
        <f>IF([1]Accounts!$D$390="","",[1]Accounts!$D$390)</f>
        <v/>
      </c>
      <c r="E389" t="str">
        <f>IF([1]Accounts!$D$390="","",[1]Accounts!$J$390)</f>
        <v/>
      </c>
      <c r="F389" t="str">
        <f>IF([1]Accounts!$D$390="","",[1]Accounts!$K$390)</f>
        <v/>
      </c>
      <c r="J389" t="str">
        <f>IF([2]Entry!$C$392="","",[2]Entry!$C$392)</f>
        <v/>
      </c>
      <c r="K389" t="str">
        <f>IF([2]Entry!$D$392="","",[2]Entry!$D$392)</f>
        <v/>
      </c>
      <c r="L389" t="str">
        <f>IF([2]Entry!$E$392="","",[2]Entry!$E$392)</f>
        <v/>
      </c>
      <c r="M389" t="str">
        <f>IF([2]Entry!$G$392="","",[2]Entry!$G$392)</f>
        <v/>
      </c>
      <c r="N389" t="str">
        <f>IF([2]Entry!$M$392="","",[2]Entry!$M$392)</f>
        <v/>
      </c>
      <c r="O389" t="str">
        <f>IF([2]Entry!$N$392="","",[2]Entry!$N$392)</f>
        <v/>
      </c>
      <c r="P389" t="str">
        <f>IF([2]Entry!$R$392="","",[2]Entry!$R$392)</f>
        <v/>
      </c>
    </row>
    <row r="390" spans="1:16" x14ac:dyDescent="0.2">
      <c r="A390" t="str">
        <f>IF([1]Accounts!$D$391="","",[1]Accounts!$A$391)</f>
        <v/>
      </c>
      <c r="B390" t="str">
        <f>IF([1]Accounts!$D$391="","",[1]Accounts!$B$391)</f>
        <v/>
      </c>
      <c r="C390" t="str">
        <f>IF([1]Accounts!$D$391="","",[1]Accounts!$C$391)</f>
        <v/>
      </c>
      <c r="D390" t="str">
        <f>IF([1]Accounts!$D$391="","",[1]Accounts!$D$391)</f>
        <v/>
      </c>
      <c r="E390" t="str">
        <f>IF([1]Accounts!$D$391="","",[1]Accounts!$J$391)</f>
        <v/>
      </c>
      <c r="F390" t="str">
        <f>IF([1]Accounts!$D$391="","",[1]Accounts!$K$391)</f>
        <v/>
      </c>
      <c r="J390" t="str">
        <f>IF([2]Entry!$C$393="","",[2]Entry!$C$393)</f>
        <v/>
      </c>
      <c r="K390" t="str">
        <f>IF([2]Entry!$D$393="","",[2]Entry!$D$393)</f>
        <v/>
      </c>
      <c r="L390" t="str">
        <f>IF([2]Entry!$E$393="","",[2]Entry!$E$393)</f>
        <v/>
      </c>
      <c r="M390" t="str">
        <f>IF([2]Entry!$G$393="","",[2]Entry!$G$393)</f>
        <v/>
      </c>
      <c r="N390" t="str">
        <f>IF([2]Entry!$M$393="","",[2]Entry!$M$393)</f>
        <v/>
      </c>
      <c r="O390" t="str">
        <f>IF([2]Entry!$N$393="","",[2]Entry!$N$393)</f>
        <v/>
      </c>
      <c r="P390" t="str">
        <f>IF([2]Entry!$R$393="","",[2]Entry!$R$393)</f>
        <v/>
      </c>
    </row>
    <row r="391" spans="1:16" x14ac:dyDescent="0.2">
      <c r="A391" t="str">
        <f>IF([1]Accounts!$D$392="","",[1]Accounts!$A$392)</f>
        <v/>
      </c>
      <c r="B391" t="str">
        <f>IF([1]Accounts!$D$392="","",[1]Accounts!$B$392)</f>
        <v/>
      </c>
      <c r="C391" t="str">
        <f>IF([1]Accounts!$D$392="","",[1]Accounts!$C$392)</f>
        <v/>
      </c>
      <c r="D391" t="str">
        <f>IF([1]Accounts!$D$392="","",[1]Accounts!$D$392)</f>
        <v/>
      </c>
      <c r="E391" t="str">
        <f>IF([1]Accounts!$D$392="","",[1]Accounts!$J$392)</f>
        <v/>
      </c>
      <c r="F391" t="str">
        <f>IF([1]Accounts!$D$392="","",[1]Accounts!$K$392)</f>
        <v/>
      </c>
      <c r="J391" t="str">
        <f>IF([2]Entry!$C$394="","",[2]Entry!$C$394)</f>
        <v/>
      </c>
      <c r="K391" t="str">
        <f>IF([2]Entry!$D$394="","",[2]Entry!$D$394)</f>
        <v/>
      </c>
      <c r="L391" t="str">
        <f>IF([2]Entry!$E$394="","",[2]Entry!$E$394)</f>
        <v/>
      </c>
      <c r="M391" t="str">
        <f>IF([2]Entry!$G$394="","",[2]Entry!$G$394)</f>
        <v/>
      </c>
      <c r="N391" t="str">
        <f>IF([2]Entry!$M$394="","",[2]Entry!$M$394)</f>
        <v/>
      </c>
      <c r="O391" t="str">
        <f>IF([2]Entry!$N$394="","",[2]Entry!$N$394)</f>
        <v/>
      </c>
      <c r="P391" t="str">
        <f>IF([2]Entry!$R$394="","",[2]Entry!$R$394)</f>
        <v/>
      </c>
    </row>
    <row r="392" spans="1:16" x14ac:dyDescent="0.2">
      <c r="A392" t="str">
        <f>IF([1]Accounts!$D$393="","",[1]Accounts!$A$393)</f>
        <v/>
      </c>
      <c r="B392" t="str">
        <f>IF([1]Accounts!$D$393="","",[1]Accounts!$B$393)</f>
        <v/>
      </c>
      <c r="C392" t="str">
        <f>IF([1]Accounts!$D$393="","",[1]Accounts!$C$393)</f>
        <v/>
      </c>
      <c r="D392" t="str">
        <f>IF([1]Accounts!$D$393="","",[1]Accounts!$D$393)</f>
        <v/>
      </c>
      <c r="E392" t="str">
        <f>IF([1]Accounts!$D$393="","",[1]Accounts!$J$393)</f>
        <v/>
      </c>
      <c r="F392" t="str">
        <f>IF([1]Accounts!$D$393="","",[1]Accounts!$K$393)</f>
        <v/>
      </c>
      <c r="J392" t="str">
        <f>IF([2]Entry!$C$395="","",[2]Entry!$C$395)</f>
        <v/>
      </c>
      <c r="K392" t="str">
        <f>IF([2]Entry!$D$395="","",[2]Entry!$D$395)</f>
        <v/>
      </c>
      <c r="L392" t="str">
        <f>IF([2]Entry!$E$395="","",[2]Entry!$E$395)</f>
        <v/>
      </c>
      <c r="M392" t="str">
        <f>IF([2]Entry!$G$395="","",[2]Entry!$G$395)</f>
        <v/>
      </c>
      <c r="N392" t="str">
        <f>IF([2]Entry!$M$395="","",[2]Entry!$M$395)</f>
        <v/>
      </c>
      <c r="O392" t="str">
        <f>IF([2]Entry!$N$395="","",[2]Entry!$N$395)</f>
        <v/>
      </c>
      <c r="P392" t="str">
        <f>IF([2]Entry!$R$395="","",[2]Entry!$R$395)</f>
        <v/>
      </c>
    </row>
    <row r="393" spans="1:16" x14ac:dyDescent="0.2">
      <c r="A393" t="str">
        <f>IF([1]Accounts!$D$394="","",[1]Accounts!$A$394)</f>
        <v/>
      </c>
      <c r="B393" t="str">
        <f>IF([1]Accounts!$D$394="","",[1]Accounts!$B$394)</f>
        <v/>
      </c>
      <c r="C393" t="str">
        <f>IF([1]Accounts!$D$394="","",[1]Accounts!$C$394)</f>
        <v/>
      </c>
      <c r="D393" t="str">
        <f>IF([1]Accounts!$D$394="","",[1]Accounts!$D$394)</f>
        <v/>
      </c>
      <c r="E393" t="str">
        <f>IF([1]Accounts!$D$394="","",[1]Accounts!$J$394)</f>
        <v/>
      </c>
      <c r="F393" t="str">
        <f>IF([1]Accounts!$D$394="","",[1]Accounts!$K$394)</f>
        <v/>
      </c>
      <c r="J393" t="str">
        <f>IF([2]Entry!$C$396="","",[2]Entry!$C$396)</f>
        <v/>
      </c>
      <c r="K393" t="str">
        <f>IF([2]Entry!$D$396="","",[2]Entry!$D$396)</f>
        <v/>
      </c>
      <c r="L393" t="str">
        <f>IF([2]Entry!$E$396="","",[2]Entry!$E$396)</f>
        <v/>
      </c>
      <c r="M393" t="str">
        <f>IF([2]Entry!$G$396="","",[2]Entry!$G$396)</f>
        <v/>
      </c>
      <c r="N393" t="str">
        <f>IF([2]Entry!$M$396="","",[2]Entry!$M$396)</f>
        <v/>
      </c>
      <c r="O393" t="str">
        <f>IF([2]Entry!$N$396="","",[2]Entry!$N$396)</f>
        <v/>
      </c>
      <c r="P393" t="str">
        <f>IF([2]Entry!$R$396="","",[2]Entry!$R$396)</f>
        <v/>
      </c>
    </row>
    <row r="394" spans="1:16" x14ac:dyDescent="0.2">
      <c r="A394" t="str">
        <f>IF([1]Accounts!$D$395="","",[1]Accounts!$A$395)</f>
        <v/>
      </c>
      <c r="B394" t="str">
        <f>IF([1]Accounts!$D$395="","",[1]Accounts!$B$395)</f>
        <v/>
      </c>
      <c r="C394" t="str">
        <f>IF([1]Accounts!$D$395="","",[1]Accounts!$C$395)</f>
        <v/>
      </c>
      <c r="D394" t="str">
        <f>IF([1]Accounts!$D$395="","",[1]Accounts!$D$395)</f>
        <v/>
      </c>
      <c r="E394" t="str">
        <f>IF([1]Accounts!$D$395="","",[1]Accounts!$J$395)</f>
        <v/>
      </c>
      <c r="F394" t="str">
        <f>IF([1]Accounts!$D$395="","",[1]Accounts!$K$395)</f>
        <v/>
      </c>
      <c r="J394" t="str">
        <f>IF([2]Entry!$C$397="","",[2]Entry!$C$397)</f>
        <v/>
      </c>
      <c r="K394" t="str">
        <f>IF([2]Entry!$D$397="","",[2]Entry!$D$397)</f>
        <v/>
      </c>
      <c r="L394" t="str">
        <f>IF([2]Entry!$E$397="","",[2]Entry!$E$397)</f>
        <v/>
      </c>
      <c r="M394" t="str">
        <f>IF([2]Entry!$G$397="","",[2]Entry!$G$397)</f>
        <v/>
      </c>
      <c r="N394" t="str">
        <f>IF([2]Entry!$M$397="","",[2]Entry!$M$397)</f>
        <v/>
      </c>
      <c r="O394" t="str">
        <f>IF([2]Entry!$N$397="","",[2]Entry!$N$397)</f>
        <v/>
      </c>
      <c r="P394" t="str">
        <f>IF([2]Entry!$R$397="","",[2]Entry!$R$397)</f>
        <v/>
      </c>
    </row>
    <row r="395" spans="1:16" x14ac:dyDescent="0.2">
      <c r="A395" t="str">
        <f>IF([1]Accounts!$D$396="","",[1]Accounts!$A$396)</f>
        <v/>
      </c>
      <c r="B395" t="str">
        <f>IF([1]Accounts!$D$396="","",[1]Accounts!$B$396)</f>
        <v/>
      </c>
      <c r="C395" t="str">
        <f>IF([1]Accounts!$D$396="","",[1]Accounts!$C$396)</f>
        <v/>
      </c>
      <c r="D395" t="str">
        <f>IF([1]Accounts!$D$396="","",[1]Accounts!$D$396)</f>
        <v/>
      </c>
      <c r="E395" t="str">
        <f>IF([1]Accounts!$D$396="","",[1]Accounts!$J$396)</f>
        <v/>
      </c>
      <c r="F395" t="str">
        <f>IF([1]Accounts!$D$396="","",[1]Accounts!$K$396)</f>
        <v/>
      </c>
      <c r="J395" t="str">
        <f>IF([2]Entry!$C$398="","",[2]Entry!$C$398)</f>
        <v/>
      </c>
      <c r="K395" t="str">
        <f>IF([2]Entry!$D$398="","",[2]Entry!$D$398)</f>
        <v/>
      </c>
      <c r="L395" t="str">
        <f>IF([2]Entry!$E$398="","",[2]Entry!$E$398)</f>
        <v/>
      </c>
      <c r="M395" t="str">
        <f>IF([2]Entry!$G$398="","",[2]Entry!$G$398)</f>
        <v/>
      </c>
      <c r="N395" t="str">
        <f>IF([2]Entry!$M$398="","",[2]Entry!$M$398)</f>
        <v/>
      </c>
      <c r="O395" t="str">
        <f>IF([2]Entry!$N$398="","",[2]Entry!$N$398)</f>
        <v/>
      </c>
      <c r="P395" t="str">
        <f>IF([2]Entry!$R$398="","",[2]Entry!$R$398)</f>
        <v/>
      </c>
    </row>
    <row r="396" spans="1:16" x14ac:dyDescent="0.2">
      <c r="A396" t="str">
        <f>IF([1]Accounts!$D$397="","",[1]Accounts!$A$397)</f>
        <v/>
      </c>
      <c r="B396" t="str">
        <f>IF([1]Accounts!$D$397="","",[1]Accounts!$B$397)</f>
        <v/>
      </c>
      <c r="C396" t="str">
        <f>IF([1]Accounts!$D$397="","",[1]Accounts!$C$397)</f>
        <v/>
      </c>
      <c r="D396" t="str">
        <f>IF([1]Accounts!$D$397="","",[1]Accounts!$D$397)</f>
        <v/>
      </c>
      <c r="E396" t="str">
        <f>IF([1]Accounts!$D$397="","",[1]Accounts!$J$397)</f>
        <v/>
      </c>
      <c r="F396" t="str">
        <f>IF([1]Accounts!$D$397="","",[1]Accounts!$K$397)</f>
        <v/>
      </c>
      <c r="J396" t="str">
        <f>IF([2]Entry!$C$399="","",[2]Entry!$C$399)</f>
        <v/>
      </c>
      <c r="K396" t="str">
        <f>IF([2]Entry!$D$399="","",[2]Entry!$D$399)</f>
        <v/>
      </c>
      <c r="L396" t="str">
        <f>IF([2]Entry!$E$399="","",[2]Entry!$E$399)</f>
        <v/>
      </c>
      <c r="M396" t="str">
        <f>IF([2]Entry!$G$399="","",[2]Entry!$G$399)</f>
        <v/>
      </c>
      <c r="N396" t="str">
        <f>IF([2]Entry!$M$399="","",[2]Entry!$M$399)</f>
        <v/>
      </c>
      <c r="O396" t="str">
        <f>IF([2]Entry!$N$399="","",[2]Entry!$N$399)</f>
        <v/>
      </c>
      <c r="P396" t="str">
        <f>IF([2]Entry!$R$399="","",[2]Entry!$R$399)</f>
        <v/>
      </c>
    </row>
    <row r="397" spans="1:16" x14ac:dyDescent="0.2">
      <c r="A397" t="str">
        <f>IF([1]Accounts!$D$398="","",[1]Accounts!$A$398)</f>
        <v/>
      </c>
      <c r="B397" t="str">
        <f>IF([1]Accounts!$D$398="","",[1]Accounts!$B$398)</f>
        <v/>
      </c>
      <c r="C397" t="str">
        <f>IF([1]Accounts!$D$398="","",[1]Accounts!$C$398)</f>
        <v/>
      </c>
      <c r="D397" t="str">
        <f>IF([1]Accounts!$D$398="","",[1]Accounts!$D$398)</f>
        <v/>
      </c>
      <c r="E397" t="str">
        <f>IF([1]Accounts!$D$398="","",[1]Accounts!$J$398)</f>
        <v/>
      </c>
      <c r="F397" t="str">
        <f>IF([1]Accounts!$D$398="","",[1]Accounts!$K$398)</f>
        <v/>
      </c>
      <c r="J397" t="str">
        <f>IF([2]Entry!$C$400="","",[2]Entry!$C$400)</f>
        <v/>
      </c>
      <c r="K397" t="str">
        <f>IF([2]Entry!$D$400="","",[2]Entry!$D$400)</f>
        <v/>
      </c>
      <c r="L397" t="str">
        <f>IF([2]Entry!$E$400="","",[2]Entry!$E$400)</f>
        <v/>
      </c>
      <c r="M397" t="str">
        <f>IF([2]Entry!$G$400="","",[2]Entry!$G$400)</f>
        <v/>
      </c>
      <c r="N397" t="str">
        <f>IF([2]Entry!$M$400="","",[2]Entry!$M$400)</f>
        <v/>
      </c>
      <c r="O397" t="str">
        <f>IF([2]Entry!$N$400="","",[2]Entry!$N$400)</f>
        <v/>
      </c>
      <c r="P397" t="str">
        <f>IF([2]Entry!$R$400="","",[2]Entry!$R$400)</f>
        <v/>
      </c>
    </row>
    <row r="398" spans="1:16" x14ac:dyDescent="0.2">
      <c r="A398" t="str">
        <f>IF([1]Accounts!$D$399="","",[1]Accounts!$A$399)</f>
        <v/>
      </c>
      <c r="B398" t="str">
        <f>IF([1]Accounts!$D$399="","",[1]Accounts!$B$399)</f>
        <v/>
      </c>
      <c r="C398" t="str">
        <f>IF([1]Accounts!$D$399="","",[1]Accounts!$C$399)</f>
        <v/>
      </c>
      <c r="D398" t="str">
        <f>IF([1]Accounts!$D$399="","",[1]Accounts!$D$399)</f>
        <v/>
      </c>
      <c r="E398" t="str">
        <f>IF([1]Accounts!$D$399="","",[1]Accounts!$J$399)</f>
        <v/>
      </c>
      <c r="F398" t="str">
        <f>IF([1]Accounts!$D$399="","",[1]Accounts!$K$399)</f>
        <v/>
      </c>
      <c r="J398" t="str">
        <f>IF([2]Entry!$C$401="","",[2]Entry!$C$401)</f>
        <v/>
      </c>
      <c r="K398" t="str">
        <f>IF([2]Entry!$D$401="","",[2]Entry!$D$401)</f>
        <v/>
      </c>
      <c r="L398" t="str">
        <f>IF([2]Entry!$E$401="","",[2]Entry!$E$401)</f>
        <v/>
      </c>
      <c r="M398" t="str">
        <f>IF([2]Entry!$G$401="","",[2]Entry!$G$401)</f>
        <v/>
      </c>
      <c r="N398" t="str">
        <f>IF([2]Entry!$M$401="","",[2]Entry!$M$401)</f>
        <v/>
      </c>
      <c r="O398" t="str">
        <f>IF([2]Entry!$N$401="","",[2]Entry!$N$401)</f>
        <v/>
      </c>
      <c r="P398" t="str">
        <f>IF([2]Entry!$R$401="","",[2]Entry!$R$401)</f>
        <v/>
      </c>
    </row>
    <row r="399" spans="1:16" x14ac:dyDescent="0.2">
      <c r="A399" t="str">
        <f>IF([1]Accounts!$D$400="","",[1]Accounts!$A$400)</f>
        <v/>
      </c>
      <c r="B399" t="str">
        <f>IF([1]Accounts!$D$400="","",[1]Accounts!$B$400)</f>
        <v/>
      </c>
      <c r="C399" t="str">
        <f>IF([1]Accounts!$D$400="","",[1]Accounts!$C$400)</f>
        <v/>
      </c>
      <c r="D399" t="str">
        <f>IF([1]Accounts!$D$400="","",[1]Accounts!$D$400)</f>
        <v/>
      </c>
      <c r="E399" t="str">
        <f>IF([1]Accounts!$D$400="","",[1]Accounts!$J$400)</f>
        <v/>
      </c>
      <c r="F399" t="str">
        <f>IF([1]Accounts!$D$400="","",[1]Accounts!$K$400)</f>
        <v/>
      </c>
      <c r="J399" t="str">
        <f>IF([2]Entry!$C$402="","",[2]Entry!$C$402)</f>
        <v/>
      </c>
      <c r="K399" t="str">
        <f>IF([2]Entry!$D$402="","",[2]Entry!$D$402)</f>
        <v/>
      </c>
      <c r="L399" t="str">
        <f>IF([2]Entry!$E$402="","",[2]Entry!$E$402)</f>
        <v/>
      </c>
      <c r="M399" t="str">
        <f>IF([2]Entry!$G$402="","",[2]Entry!$G$402)</f>
        <v/>
      </c>
      <c r="N399" t="str">
        <f>IF([2]Entry!$M$402="","",[2]Entry!$M$402)</f>
        <v/>
      </c>
      <c r="O399" t="str">
        <f>IF([2]Entry!$N$402="","",[2]Entry!$N$402)</f>
        <v/>
      </c>
      <c r="P399" t="str">
        <f>IF([2]Entry!$R$402="","",[2]Entry!$R$402)</f>
        <v/>
      </c>
    </row>
    <row r="400" spans="1:16" x14ac:dyDescent="0.2">
      <c r="A400" t="str">
        <f>IF([1]Accounts!$D$401="","",[1]Accounts!$A$401)</f>
        <v/>
      </c>
      <c r="B400" t="str">
        <f>IF([1]Accounts!$D$401="","",[1]Accounts!$B$401)</f>
        <v/>
      </c>
      <c r="C400" t="str">
        <f>IF([1]Accounts!$D$401="","",[1]Accounts!$C$401)</f>
        <v/>
      </c>
      <c r="D400" t="str">
        <f>IF([1]Accounts!$D$401="","",[1]Accounts!$D$401)</f>
        <v/>
      </c>
      <c r="E400" t="str">
        <f>IF([1]Accounts!$D$401="","",[1]Accounts!$J$401)</f>
        <v/>
      </c>
      <c r="F400" t="str">
        <f>IF([1]Accounts!$D$401="","",[1]Accounts!$K$401)</f>
        <v/>
      </c>
      <c r="J400" t="str">
        <f>IF([2]Entry!$C$403="","",[2]Entry!$C$403)</f>
        <v/>
      </c>
      <c r="K400" t="str">
        <f>IF([2]Entry!$D$403="","",[2]Entry!$D$403)</f>
        <v/>
      </c>
      <c r="L400" t="str">
        <f>IF([2]Entry!$E$403="","",[2]Entry!$E$403)</f>
        <v/>
      </c>
      <c r="M400" t="str">
        <f>IF([2]Entry!$G$403="","",[2]Entry!$G$403)</f>
        <v/>
      </c>
      <c r="N400" t="str">
        <f>IF([2]Entry!$M$403="","",[2]Entry!$M$403)</f>
        <v/>
      </c>
      <c r="O400" t="str">
        <f>IF([2]Entry!$N$403="","",[2]Entry!$N$403)</f>
        <v/>
      </c>
      <c r="P400" t="str">
        <f>IF([2]Entry!$R$403="","",[2]Entry!$R$403)</f>
        <v/>
      </c>
    </row>
    <row r="401" spans="1:16" x14ac:dyDescent="0.2">
      <c r="A401" t="str">
        <f>IF([1]Accounts!$D$402="","",[1]Accounts!$A$402)</f>
        <v/>
      </c>
      <c r="B401" t="str">
        <f>IF([1]Accounts!$D$402="","",[1]Accounts!$B$402)</f>
        <v/>
      </c>
      <c r="C401" t="str">
        <f>IF([1]Accounts!$D$402="","",[1]Accounts!$C$402)</f>
        <v/>
      </c>
      <c r="D401" t="str">
        <f>IF([1]Accounts!$D$402="","",[1]Accounts!$D$402)</f>
        <v/>
      </c>
      <c r="E401" t="str">
        <f>IF([1]Accounts!$D$402="","",[1]Accounts!$J$402)</f>
        <v/>
      </c>
      <c r="F401" t="str">
        <f>IF([1]Accounts!$D$402="","",[1]Accounts!$K$402)</f>
        <v/>
      </c>
      <c r="J401" t="str">
        <f>IF([2]Entry!$C$404="","",[2]Entry!$C$404)</f>
        <v/>
      </c>
      <c r="K401" t="str">
        <f>IF([2]Entry!$D$404="","",[2]Entry!$D$404)</f>
        <v/>
      </c>
      <c r="L401" t="str">
        <f>IF([2]Entry!$E$404="","",[2]Entry!$E$404)</f>
        <v/>
      </c>
      <c r="M401" t="str">
        <f>IF([2]Entry!$G$404="","",[2]Entry!$G$404)</f>
        <v/>
      </c>
      <c r="N401" t="str">
        <f>IF([2]Entry!$M$404="","",[2]Entry!$M$404)</f>
        <v/>
      </c>
      <c r="O401" t="str">
        <f>IF([2]Entry!$N$404="","",[2]Entry!$N$404)</f>
        <v/>
      </c>
      <c r="P401" t="str">
        <f>IF([2]Entry!$R$404="","",[2]Entry!$R$404)</f>
        <v/>
      </c>
    </row>
    <row r="402" spans="1:16" x14ac:dyDescent="0.2">
      <c r="A402" t="str">
        <f>IF([1]Accounts!$D$403="","",[1]Accounts!$A$403)</f>
        <v/>
      </c>
      <c r="B402" t="str">
        <f>IF([1]Accounts!$D$403="","",[1]Accounts!$B$403)</f>
        <v/>
      </c>
      <c r="C402" t="str">
        <f>IF([1]Accounts!$D$403="","",[1]Accounts!$C$403)</f>
        <v/>
      </c>
      <c r="D402" t="str">
        <f>IF([1]Accounts!$D$403="","",[1]Accounts!$D$403)</f>
        <v/>
      </c>
      <c r="E402" t="str">
        <f>IF([1]Accounts!$D$403="","",[1]Accounts!$J$403)</f>
        <v/>
      </c>
      <c r="F402" t="str">
        <f>IF([1]Accounts!$D$403="","",[1]Accounts!$K$403)</f>
        <v/>
      </c>
      <c r="J402" t="str">
        <f>IF([2]Entry!$C$405="","",[2]Entry!$C$405)</f>
        <v/>
      </c>
      <c r="K402" t="str">
        <f>IF([2]Entry!$D$405="","",[2]Entry!$D$405)</f>
        <v/>
      </c>
      <c r="L402" t="str">
        <f>IF([2]Entry!$E$405="","",[2]Entry!$E$405)</f>
        <v/>
      </c>
      <c r="M402" t="str">
        <f>IF([2]Entry!$G$405="","",[2]Entry!$G$405)</f>
        <v/>
      </c>
      <c r="N402" t="str">
        <f>IF([2]Entry!$M$405="","",[2]Entry!$M$405)</f>
        <v/>
      </c>
      <c r="O402" t="str">
        <f>IF([2]Entry!$N$405="","",[2]Entry!$N$405)</f>
        <v/>
      </c>
      <c r="P402" t="str">
        <f>IF([2]Entry!$R$405="","",[2]Entry!$R$405)</f>
        <v/>
      </c>
    </row>
    <row r="403" spans="1:16" x14ac:dyDescent="0.2">
      <c r="A403" t="str">
        <f>IF([1]Accounts!$D$404="","",[1]Accounts!$A$404)</f>
        <v/>
      </c>
      <c r="B403" t="str">
        <f>IF([1]Accounts!$D$404="","",[1]Accounts!$B$404)</f>
        <v/>
      </c>
      <c r="C403" t="str">
        <f>IF([1]Accounts!$D$404="","",[1]Accounts!$C$404)</f>
        <v/>
      </c>
      <c r="D403" t="str">
        <f>IF([1]Accounts!$D$404="","",[1]Accounts!$D$404)</f>
        <v/>
      </c>
      <c r="E403" t="str">
        <f>IF([1]Accounts!$D$404="","",[1]Accounts!$J$404)</f>
        <v/>
      </c>
      <c r="F403" t="str">
        <f>IF([1]Accounts!$D$404="","",[1]Accounts!$K$404)</f>
        <v/>
      </c>
      <c r="J403" t="str">
        <f>IF([2]Entry!$C$406="","",[2]Entry!$C$406)</f>
        <v/>
      </c>
      <c r="K403" t="str">
        <f>IF([2]Entry!$D$406="","",[2]Entry!$D$406)</f>
        <v/>
      </c>
      <c r="L403" t="str">
        <f>IF([2]Entry!$E$406="","",[2]Entry!$E$406)</f>
        <v/>
      </c>
      <c r="M403" t="str">
        <f>IF([2]Entry!$G$406="","",[2]Entry!$G$406)</f>
        <v/>
      </c>
      <c r="N403" t="str">
        <f>IF([2]Entry!$M$406="","",[2]Entry!$M$406)</f>
        <v/>
      </c>
      <c r="O403" t="str">
        <f>IF([2]Entry!$N$406="","",[2]Entry!$N$406)</f>
        <v/>
      </c>
      <c r="P403" t="str">
        <f>IF([2]Entry!$R$406="","",[2]Entry!$R$406)</f>
        <v/>
      </c>
    </row>
    <row r="404" spans="1:16" x14ac:dyDescent="0.2">
      <c r="A404" t="str">
        <f>IF([1]Accounts!$D$405="","",[1]Accounts!$A$405)</f>
        <v/>
      </c>
      <c r="B404" t="str">
        <f>IF([1]Accounts!$D$405="","",[1]Accounts!$B$405)</f>
        <v/>
      </c>
      <c r="C404" t="str">
        <f>IF([1]Accounts!$D$405="","",[1]Accounts!$C$405)</f>
        <v/>
      </c>
      <c r="D404" t="str">
        <f>IF([1]Accounts!$D$405="","",[1]Accounts!$D$405)</f>
        <v/>
      </c>
      <c r="E404" t="str">
        <f>IF([1]Accounts!$D$405="","",[1]Accounts!$J$405)</f>
        <v/>
      </c>
      <c r="F404" t="str">
        <f>IF([1]Accounts!$D$405="","",[1]Accounts!$K$405)</f>
        <v/>
      </c>
      <c r="J404" t="str">
        <f>IF([2]Entry!$C$407="","",[2]Entry!$C$407)</f>
        <v/>
      </c>
      <c r="K404" t="str">
        <f>IF([2]Entry!$D$407="","",[2]Entry!$D$407)</f>
        <v/>
      </c>
      <c r="L404" t="str">
        <f>IF([2]Entry!$E$407="","",[2]Entry!$E$407)</f>
        <v/>
      </c>
      <c r="M404" t="str">
        <f>IF([2]Entry!$G$407="","",[2]Entry!$G$407)</f>
        <v/>
      </c>
      <c r="N404" t="str">
        <f>IF([2]Entry!$M$407="","",[2]Entry!$M$407)</f>
        <v/>
      </c>
      <c r="O404" t="str">
        <f>IF([2]Entry!$N$407="","",[2]Entry!$N$407)</f>
        <v/>
      </c>
      <c r="P404" t="str">
        <f>IF([2]Entry!$R$407="","",[2]Entry!$R$407)</f>
        <v/>
      </c>
    </row>
    <row r="405" spans="1:16" x14ac:dyDescent="0.2">
      <c r="A405" t="str">
        <f>IF([1]Accounts!$D$406="","",[1]Accounts!$A$406)</f>
        <v/>
      </c>
      <c r="B405" t="str">
        <f>IF([1]Accounts!$D$406="","",[1]Accounts!$B$406)</f>
        <v/>
      </c>
      <c r="C405" t="str">
        <f>IF([1]Accounts!$D$406="","",[1]Accounts!$C$406)</f>
        <v/>
      </c>
      <c r="D405" t="str">
        <f>IF([1]Accounts!$D$406="","",[1]Accounts!$D$406)</f>
        <v/>
      </c>
      <c r="E405" t="str">
        <f>IF([1]Accounts!$D$406="","",[1]Accounts!$J$406)</f>
        <v/>
      </c>
      <c r="F405" t="str">
        <f>IF([1]Accounts!$D$406="","",[1]Accounts!$K$406)</f>
        <v/>
      </c>
      <c r="J405" t="str">
        <f>IF([2]Entry!$C$408="","",[2]Entry!$C$408)</f>
        <v/>
      </c>
      <c r="K405" t="str">
        <f>IF([2]Entry!$D$408="","",[2]Entry!$D$408)</f>
        <v/>
      </c>
      <c r="L405" t="str">
        <f>IF([2]Entry!$E$408="","",[2]Entry!$E$408)</f>
        <v/>
      </c>
      <c r="M405" t="str">
        <f>IF([2]Entry!$G$408="","",[2]Entry!$G$408)</f>
        <v/>
      </c>
      <c r="N405" t="str">
        <f>IF([2]Entry!$M$408="","",[2]Entry!$M$408)</f>
        <v/>
      </c>
      <c r="O405" t="str">
        <f>IF([2]Entry!$N$408="","",[2]Entry!$N$408)</f>
        <v/>
      </c>
      <c r="P405" t="str">
        <f>IF([2]Entry!$R$408="","",[2]Entry!$R$408)</f>
        <v/>
      </c>
    </row>
    <row r="406" spans="1:16" x14ac:dyDescent="0.2">
      <c r="A406" t="str">
        <f>IF([1]Accounts!$D$407="","",[1]Accounts!$A$407)</f>
        <v>E001</v>
      </c>
      <c r="B406" t="str">
        <f>IF([1]Accounts!$D$407="","",[1]Accounts!$B$407)</f>
        <v>کارمند</v>
      </c>
      <c r="C406" t="str">
        <f>IF([1]Accounts!$D$407="","",[1]Accounts!$C$407)</f>
        <v>مدیرعامل</v>
      </c>
      <c r="D406" t="str">
        <f>IF([1]Accounts!$D$407="","",[1]Accounts!$D$407)</f>
        <v>(نام مدیرعامل)</v>
      </c>
      <c r="E406" t="str">
        <f>IF([1]Accounts!$D$407="","",[1]Accounts!$J$407)</f>
        <v>عادی</v>
      </c>
      <c r="F406" t="str">
        <f>IF([1]Accounts!$D$407="","",[1]Accounts!$K$407)</f>
        <v>معاف</v>
      </c>
      <c r="J406" t="str">
        <f>IF([2]Entry!$C$409="","",[2]Entry!$C$409)</f>
        <v/>
      </c>
      <c r="K406" t="str">
        <f>IF([2]Entry!$D$409="","",[2]Entry!$D$409)</f>
        <v/>
      </c>
      <c r="L406" t="str">
        <f>IF([2]Entry!$E$409="","",[2]Entry!$E$409)</f>
        <v/>
      </c>
      <c r="M406" t="str">
        <f>IF([2]Entry!$G$409="","",[2]Entry!$G$409)</f>
        <v/>
      </c>
      <c r="N406" t="str">
        <f>IF([2]Entry!$M$409="","",[2]Entry!$M$409)</f>
        <v/>
      </c>
      <c r="O406" t="str">
        <f>IF([2]Entry!$N$409="","",[2]Entry!$N$409)</f>
        <v/>
      </c>
      <c r="P406" t="str">
        <f>IF([2]Entry!$R$409="","",[2]Entry!$R$409)</f>
        <v/>
      </c>
    </row>
    <row r="407" spans="1:16" x14ac:dyDescent="0.2">
      <c r="A407" t="str">
        <f>IF([1]Accounts!$D$408="","",[1]Accounts!$A$408)</f>
        <v>E002</v>
      </c>
      <c r="B407" t="str">
        <f>IF([1]Accounts!$D$408="","",[1]Accounts!$B$408)</f>
        <v>کارمند</v>
      </c>
      <c r="C407" t="str">
        <f>IF([1]Accounts!$D$408="","",[1]Accounts!$C$408)</f>
        <v>حسابدار</v>
      </c>
      <c r="D407" t="str">
        <f>IF([1]Accounts!$D$408="","",[1]Accounts!$D$408)</f>
        <v>(نام حسابدار)</v>
      </c>
      <c r="E407" t="str">
        <f>IF([1]Accounts!$D$408="","",[1]Accounts!$J$408)</f>
        <v>عادی</v>
      </c>
      <c r="F407" t="str">
        <f>IF([1]Accounts!$D$408="","",[1]Accounts!$K$408)</f>
        <v>معاف</v>
      </c>
      <c r="J407" t="str">
        <f>IF([2]Entry!$C$410="","",[2]Entry!$C$410)</f>
        <v/>
      </c>
      <c r="K407" t="str">
        <f>IF([2]Entry!$D$410="","",[2]Entry!$D$410)</f>
        <v/>
      </c>
      <c r="L407" t="str">
        <f>IF([2]Entry!$E$410="","",[2]Entry!$E$410)</f>
        <v/>
      </c>
      <c r="M407" t="str">
        <f>IF([2]Entry!$G$410="","",[2]Entry!$G$410)</f>
        <v/>
      </c>
      <c r="N407" t="str">
        <f>IF([2]Entry!$M$410="","",[2]Entry!$M$410)</f>
        <v/>
      </c>
      <c r="O407" t="str">
        <f>IF([2]Entry!$N$410="","",[2]Entry!$N$410)</f>
        <v/>
      </c>
      <c r="P407" t="str">
        <f>IF([2]Entry!$R$410="","",[2]Entry!$R$410)</f>
        <v/>
      </c>
    </row>
    <row r="408" spans="1:16" x14ac:dyDescent="0.2">
      <c r="A408" t="str">
        <f>IF([1]Accounts!$D$409="","",[1]Accounts!$A$409)</f>
        <v>E003</v>
      </c>
      <c r="B408" t="str">
        <f>IF([1]Accounts!$D$409="","",[1]Accounts!$B$409)</f>
        <v>کارمند</v>
      </c>
      <c r="C408" t="str">
        <f>IF([1]Accounts!$D$409="","",[1]Accounts!$C$409)</f>
        <v>فروشنده</v>
      </c>
      <c r="D408" t="str">
        <f>IF([1]Accounts!$D$409="","",[1]Accounts!$D$409)</f>
        <v>(نام فروشنده ۱)</v>
      </c>
      <c r="E408" t="str">
        <f>IF([1]Accounts!$D$409="","",[1]Accounts!$J$409)</f>
        <v>عادی</v>
      </c>
      <c r="F408" t="str">
        <f>IF([1]Accounts!$D$409="","",[1]Accounts!$K$409)</f>
        <v>معاف</v>
      </c>
      <c r="J408" t="str">
        <f>IF([2]Entry!$C$411="","",[2]Entry!$C$411)</f>
        <v/>
      </c>
      <c r="K408" t="str">
        <f>IF([2]Entry!$D$411="","",[2]Entry!$D$411)</f>
        <v/>
      </c>
      <c r="L408" t="str">
        <f>IF([2]Entry!$E$411="","",[2]Entry!$E$411)</f>
        <v/>
      </c>
      <c r="M408" t="str">
        <f>IF([2]Entry!$G$411="","",[2]Entry!$G$411)</f>
        <v/>
      </c>
      <c r="N408" t="str">
        <f>IF([2]Entry!$M$411="","",[2]Entry!$M$411)</f>
        <v/>
      </c>
      <c r="O408" t="str">
        <f>IF([2]Entry!$N$411="","",[2]Entry!$N$411)</f>
        <v/>
      </c>
      <c r="P408" t="str">
        <f>IF([2]Entry!$R$411="","",[2]Entry!$R$411)</f>
        <v/>
      </c>
    </row>
    <row r="409" spans="1:16" x14ac:dyDescent="0.2">
      <c r="A409" t="str">
        <f>IF([1]Accounts!$D$410="","",[1]Accounts!$A$410)</f>
        <v>E004</v>
      </c>
      <c r="B409" t="str">
        <f>IF([1]Accounts!$D$410="","",[1]Accounts!$B$410)</f>
        <v>کارمند</v>
      </c>
      <c r="C409" t="str">
        <f>IF([1]Accounts!$D$410="","",[1]Accounts!$C$410)</f>
        <v>انباردار</v>
      </c>
      <c r="D409" t="str">
        <f>IF([1]Accounts!$D$410="","",[1]Accounts!$D$410)</f>
        <v>(نام انباردار)</v>
      </c>
      <c r="E409" t="str">
        <f>IF([1]Accounts!$D$410="","",[1]Accounts!$J$410)</f>
        <v>عادی</v>
      </c>
      <c r="F409" t="str">
        <f>IF([1]Accounts!$D$410="","",[1]Accounts!$K$410)</f>
        <v>معاف</v>
      </c>
      <c r="J409" t="str">
        <f>IF([2]Entry!$C$412="","",[2]Entry!$C$412)</f>
        <v/>
      </c>
      <c r="K409" t="str">
        <f>IF([2]Entry!$D$412="","",[2]Entry!$D$412)</f>
        <v/>
      </c>
      <c r="L409" t="str">
        <f>IF([2]Entry!$E$412="","",[2]Entry!$E$412)</f>
        <v/>
      </c>
      <c r="M409" t="str">
        <f>IF([2]Entry!$G$412="","",[2]Entry!$G$412)</f>
        <v/>
      </c>
      <c r="N409" t="str">
        <f>IF([2]Entry!$M$412="","",[2]Entry!$M$412)</f>
        <v/>
      </c>
      <c r="O409" t="str">
        <f>IF([2]Entry!$N$412="","",[2]Entry!$N$412)</f>
        <v/>
      </c>
      <c r="P409" t="str">
        <f>IF([2]Entry!$R$412="","",[2]Entry!$R$412)</f>
        <v/>
      </c>
    </row>
    <row r="410" spans="1:16" x14ac:dyDescent="0.2">
      <c r="A410" t="str">
        <f>IF([1]Accounts!$D$411="","",[1]Accounts!$A$411)</f>
        <v>E005</v>
      </c>
      <c r="B410" t="str">
        <f>IF([1]Accounts!$D$411="","",[1]Accounts!$B$411)</f>
        <v>کارمند</v>
      </c>
      <c r="C410" t="str">
        <f>IF([1]Accounts!$D$411="","",[1]Accounts!$C$411)</f>
        <v>سرپرست خط</v>
      </c>
      <c r="D410" t="str">
        <f>IF([1]Accounts!$D$411="","",[1]Accounts!$D$411)</f>
        <v>رضا کاظمی (نمونه)</v>
      </c>
      <c r="E410" t="str">
        <f>IF([1]Accounts!$D$411="","",[1]Accounts!$J$411)</f>
        <v>عادی</v>
      </c>
      <c r="F410" t="str">
        <f>IF([1]Accounts!$D$411="","",[1]Accounts!$K$411)</f>
        <v>معاف</v>
      </c>
      <c r="J410" t="str">
        <f>IF([2]Entry!$C$413="","",[2]Entry!$C$413)</f>
        <v/>
      </c>
      <c r="K410" t="str">
        <f>IF([2]Entry!$D$413="","",[2]Entry!$D$413)</f>
        <v/>
      </c>
      <c r="L410" t="str">
        <f>IF([2]Entry!$E$413="","",[2]Entry!$E$413)</f>
        <v/>
      </c>
      <c r="M410" t="str">
        <f>IF([2]Entry!$G$413="","",[2]Entry!$G$413)</f>
        <v/>
      </c>
      <c r="N410" t="str">
        <f>IF([2]Entry!$M$413="","",[2]Entry!$M$413)</f>
        <v/>
      </c>
      <c r="O410" t="str">
        <f>IF([2]Entry!$N$413="","",[2]Entry!$N$413)</f>
        <v/>
      </c>
      <c r="P410" t="str">
        <f>IF([2]Entry!$R$413="","",[2]Entry!$R$413)</f>
        <v/>
      </c>
    </row>
    <row r="411" spans="1:16" x14ac:dyDescent="0.2">
      <c r="A411" t="str">
        <f>IF([1]Accounts!$D$412="","",[1]Accounts!$A$412)</f>
        <v>E006</v>
      </c>
      <c r="B411" t="str">
        <f>IF([1]Accounts!$D$412="","",[1]Accounts!$B$412)</f>
        <v>کارمند</v>
      </c>
      <c r="C411" t="str">
        <f>IF([1]Accounts!$D$412="","",[1]Accounts!$C$412)</f>
        <v>کارگر</v>
      </c>
      <c r="D411" t="str">
        <f>IF([1]Accounts!$D$412="","",[1]Accounts!$D$412)</f>
        <v>علی احمدی (نمونه)</v>
      </c>
      <c r="E411" t="str">
        <f>IF([1]Accounts!$D$412="","",[1]Accounts!$J$412)</f>
        <v>عادی</v>
      </c>
      <c r="F411" t="str">
        <f>IF([1]Accounts!$D$412="","",[1]Accounts!$K$412)</f>
        <v>معاف</v>
      </c>
      <c r="J411" t="str">
        <f>IF([2]Entry!$C$414="","",[2]Entry!$C$414)</f>
        <v/>
      </c>
      <c r="K411" t="str">
        <f>IF([2]Entry!$D$414="","",[2]Entry!$D$414)</f>
        <v/>
      </c>
      <c r="L411" t="str">
        <f>IF([2]Entry!$E$414="","",[2]Entry!$E$414)</f>
        <v/>
      </c>
      <c r="M411" t="str">
        <f>IF([2]Entry!$G$414="","",[2]Entry!$G$414)</f>
        <v/>
      </c>
      <c r="N411" t="str">
        <f>IF([2]Entry!$M$414="","",[2]Entry!$M$414)</f>
        <v/>
      </c>
      <c r="O411" t="str">
        <f>IF([2]Entry!$N$414="","",[2]Entry!$N$414)</f>
        <v/>
      </c>
      <c r="P411" t="str">
        <f>IF([2]Entry!$R$414="","",[2]Entry!$R$414)</f>
        <v/>
      </c>
    </row>
    <row r="412" spans="1:16" x14ac:dyDescent="0.2">
      <c r="A412" t="str">
        <f>IF([1]Accounts!$D$413="","",[1]Accounts!$A$413)</f>
        <v/>
      </c>
      <c r="B412" t="str">
        <f>IF([1]Accounts!$D$413="","",[1]Accounts!$B$413)</f>
        <v/>
      </c>
      <c r="C412" t="str">
        <f>IF([1]Accounts!$D$413="","",[1]Accounts!$C$413)</f>
        <v/>
      </c>
      <c r="D412" t="str">
        <f>IF([1]Accounts!$D$413="","",[1]Accounts!$D$413)</f>
        <v/>
      </c>
      <c r="E412" t="str">
        <f>IF([1]Accounts!$D$413="","",[1]Accounts!$J$413)</f>
        <v/>
      </c>
      <c r="F412" t="str">
        <f>IF([1]Accounts!$D$413="","",[1]Accounts!$K$413)</f>
        <v/>
      </c>
      <c r="J412" t="str">
        <f>IF([2]Entry!$C$415="","",[2]Entry!$C$415)</f>
        <v/>
      </c>
      <c r="K412" t="str">
        <f>IF([2]Entry!$D$415="","",[2]Entry!$D$415)</f>
        <v/>
      </c>
      <c r="L412" t="str">
        <f>IF([2]Entry!$E$415="","",[2]Entry!$E$415)</f>
        <v/>
      </c>
      <c r="M412" t="str">
        <f>IF([2]Entry!$G$415="","",[2]Entry!$G$415)</f>
        <v/>
      </c>
      <c r="N412" t="str">
        <f>IF([2]Entry!$M$415="","",[2]Entry!$M$415)</f>
        <v/>
      </c>
      <c r="O412" t="str">
        <f>IF([2]Entry!$N$415="","",[2]Entry!$N$415)</f>
        <v/>
      </c>
      <c r="P412" t="str">
        <f>IF([2]Entry!$R$415="","",[2]Entry!$R$415)</f>
        <v/>
      </c>
    </row>
    <row r="413" spans="1:16" x14ac:dyDescent="0.2">
      <c r="A413" t="str">
        <f>IF([1]Accounts!$D$414="","",[1]Accounts!$A$414)</f>
        <v/>
      </c>
      <c r="B413" t="str">
        <f>IF([1]Accounts!$D$414="","",[1]Accounts!$B$414)</f>
        <v/>
      </c>
      <c r="C413" t="str">
        <f>IF([1]Accounts!$D$414="","",[1]Accounts!$C$414)</f>
        <v/>
      </c>
      <c r="D413" t="str">
        <f>IF([1]Accounts!$D$414="","",[1]Accounts!$D$414)</f>
        <v/>
      </c>
      <c r="E413" t="str">
        <f>IF([1]Accounts!$D$414="","",[1]Accounts!$J$414)</f>
        <v/>
      </c>
      <c r="F413" t="str">
        <f>IF([1]Accounts!$D$414="","",[1]Accounts!$K$414)</f>
        <v/>
      </c>
      <c r="J413" t="str">
        <f>IF([2]Entry!$C$416="","",[2]Entry!$C$416)</f>
        <v/>
      </c>
      <c r="K413" t="str">
        <f>IF([2]Entry!$D$416="","",[2]Entry!$D$416)</f>
        <v/>
      </c>
      <c r="L413" t="str">
        <f>IF([2]Entry!$E$416="","",[2]Entry!$E$416)</f>
        <v/>
      </c>
      <c r="M413" t="str">
        <f>IF([2]Entry!$G$416="","",[2]Entry!$G$416)</f>
        <v/>
      </c>
      <c r="N413" t="str">
        <f>IF([2]Entry!$M$416="","",[2]Entry!$M$416)</f>
        <v/>
      </c>
      <c r="O413" t="str">
        <f>IF([2]Entry!$N$416="","",[2]Entry!$N$416)</f>
        <v/>
      </c>
      <c r="P413" t="str">
        <f>IF([2]Entry!$R$416="","",[2]Entry!$R$416)</f>
        <v/>
      </c>
    </row>
    <row r="414" spans="1:16" x14ac:dyDescent="0.2">
      <c r="A414" t="str">
        <f>IF([1]Accounts!$D$415="","",[1]Accounts!$A$415)</f>
        <v/>
      </c>
      <c r="B414" t="str">
        <f>IF([1]Accounts!$D$415="","",[1]Accounts!$B$415)</f>
        <v/>
      </c>
      <c r="C414" t="str">
        <f>IF([1]Accounts!$D$415="","",[1]Accounts!$C$415)</f>
        <v/>
      </c>
      <c r="D414" t="str">
        <f>IF([1]Accounts!$D$415="","",[1]Accounts!$D$415)</f>
        <v/>
      </c>
      <c r="E414" t="str">
        <f>IF([1]Accounts!$D$415="","",[1]Accounts!$J$415)</f>
        <v/>
      </c>
      <c r="F414" t="str">
        <f>IF([1]Accounts!$D$415="","",[1]Accounts!$K$415)</f>
        <v/>
      </c>
      <c r="J414" t="str">
        <f>IF([2]Entry!$C$417="","",[2]Entry!$C$417)</f>
        <v/>
      </c>
      <c r="K414" t="str">
        <f>IF([2]Entry!$D$417="","",[2]Entry!$D$417)</f>
        <v/>
      </c>
      <c r="L414" t="str">
        <f>IF([2]Entry!$E$417="","",[2]Entry!$E$417)</f>
        <v/>
      </c>
      <c r="M414" t="str">
        <f>IF([2]Entry!$G$417="","",[2]Entry!$G$417)</f>
        <v/>
      </c>
      <c r="N414" t="str">
        <f>IF([2]Entry!$M$417="","",[2]Entry!$M$417)</f>
        <v/>
      </c>
      <c r="O414" t="str">
        <f>IF([2]Entry!$N$417="","",[2]Entry!$N$417)</f>
        <v/>
      </c>
      <c r="P414" t="str">
        <f>IF([2]Entry!$R$417="","",[2]Entry!$R$417)</f>
        <v/>
      </c>
    </row>
    <row r="415" spans="1:16" x14ac:dyDescent="0.2">
      <c r="A415" t="str">
        <f>IF([1]Accounts!$D$416="","",[1]Accounts!$A$416)</f>
        <v/>
      </c>
      <c r="B415" t="str">
        <f>IF([1]Accounts!$D$416="","",[1]Accounts!$B$416)</f>
        <v/>
      </c>
      <c r="C415" t="str">
        <f>IF([1]Accounts!$D$416="","",[1]Accounts!$C$416)</f>
        <v/>
      </c>
      <c r="D415" t="str">
        <f>IF([1]Accounts!$D$416="","",[1]Accounts!$D$416)</f>
        <v/>
      </c>
      <c r="E415" t="str">
        <f>IF([1]Accounts!$D$416="","",[1]Accounts!$J$416)</f>
        <v/>
      </c>
      <c r="F415" t="str">
        <f>IF([1]Accounts!$D$416="","",[1]Accounts!$K$416)</f>
        <v/>
      </c>
      <c r="J415" t="str">
        <f>IF([2]Entry!$C$418="","",[2]Entry!$C$418)</f>
        <v/>
      </c>
      <c r="K415" t="str">
        <f>IF([2]Entry!$D$418="","",[2]Entry!$D$418)</f>
        <v/>
      </c>
      <c r="L415" t="str">
        <f>IF([2]Entry!$E$418="","",[2]Entry!$E$418)</f>
        <v/>
      </c>
      <c r="M415" t="str">
        <f>IF([2]Entry!$G$418="","",[2]Entry!$G$418)</f>
        <v/>
      </c>
      <c r="N415" t="str">
        <f>IF([2]Entry!$M$418="","",[2]Entry!$M$418)</f>
        <v/>
      </c>
      <c r="O415" t="str">
        <f>IF([2]Entry!$N$418="","",[2]Entry!$N$418)</f>
        <v/>
      </c>
      <c r="P415" t="str">
        <f>IF([2]Entry!$R$418="","",[2]Entry!$R$418)</f>
        <v/>
      </c>
    </row>
    <row r="416" spans="1:16" x14ac:dyDescent="0.2">
      <c r="A416" t="str">
        <f>IF([1]Accounts!$D$417="","",[1]Accounts!$A$417)</f>
        <v/>
      </c>
      <c r="B416" t="str">
        <f>IF([1]Accounts!$D$417="","",[1]Accounts!$B$417)</f>
        <v/>
      </c>
      <c r="C416" t="str">
        <f>IF([1]Accounts!$D$417="","",[1]Accounts!$C$417)</f>
        <v/>
      </c>
      <c r="D416" t="str">
        <f>IF([1]Accounts!$D$417="","",[1]Accounts!$D$417)</f>
        <v/>
      </c>
      <c r="E416" t="str">
        <f>IF([1]Accounts!$D$417="","",[1]Accounts!$J$417)</f>
        <v/>
      </c>
      <c r="F416" t="str">
        <f>IF([1]Accounts!$D$417="","",[1]Accounts!$K$417)</f>
        <v/>
      </c>
      <c r="J416" t="str">
        <f>IF([2]Entry!$C$419="","",[2]Entry!$C$419)</f>
        <v/>
      </c>
      <c r="K416" t="str">
        <f>IF([2]Entry!$D$419="","",[2]Entry!$D$419)</f>
        <v/>
      </c>
      <c r="L416" t="str">
        <f>IF([2]Entry!$E$419="","",[2]Entry!$E$419)</f>
        <v/>
      </c>
      <c r="M416" t="str">
        <f>IF([2]Entry!$G$419="","",[2]Entry!$G$419)</f>
        <v/>
      </c>
      <c r="N416" t="str">
        <f>IF([2]Entry!$M$419="","",[2]Entry!$M$419)</f>
        <v/>
      </c>
      <c r="O416" t="str">
        <f>IF([2]Entry!$N$419="","",[2]Entry!$N$419)</f>
        <v/>
      </c>
      <c r="P416" t="str">
        <f>IF([2]Entry!$R$419="","",[2]Entry!$R$419)</f>
        <v/>
      </c>
    </row>
    <row r="417" spans="1:16" x14ac:dyDescent="0.2">
      <c r="A417" t="str">
        <f>IF([1]Accounts!$D$418="","",[1]Accounts!$A$418)</f>
        <v/>
      </c>
      <c r="B417" t="str">
        <f>IF([1]Accounts!$D$418="","",[1]Accounts!$B$418)</f>
        <v/>
      </c>
      <c r="C417" t="str">
        <f>IF([1]Accounts!$D$418="","",[1]Accounts!$C$418)</f>
        <v/>
      </c>
      <c r="D417" t="str">
        <f>IF([1]Accounts!$D$418="","",[1]Accounts!$D$418)</f>
        <v/>
      </c>
      <c r="E417" t="str">
        <f>IF([1]Accounts!$D$418="","",[1]Accounts!$J$418)</f>
        <v/>
      </c>
      <c r="F417" t="str">
        <f>IF([1]Accounts!$D$418="","",[1]Accounts!$K$418)</f>
        <v/>
      </c>
      <c r="J417" t="str">
        <f>IF([2]Entry!$C$420="","",[2]Entry!$C$420)</f>
        <v/>
      </c>
      <c r="K417" t="str">
        <f>IF([2]Entry!$D$420="","",[2]Entry!$D$420)</f>
        <v/>
      </c>
      <c r="L417" t="str">
        <f>IF([2]Entry!$E$420="","",[2]Entry!$E$420)</f>
        <v/>
      </c>
      <c r="M417" t="str">
        <f>IF([2]Entry!$G$420="","",[2]Entry!$G$420)</f>
        <v/>
      </c>
      <c r="N417" t="str">
        <f>IF([2]Entry!$M$420="","",[2]Entry!$M$420)</f>
        <v/>
      </c>
      <c r="O417" t="str">
        <f>IF([2]Entry!$N$420="","",[2]Entry!$N$420)</f>
        <v/>
      </c>
      <c r="P417" t="str">
        <f>IF([2]Entry!$R$420="","",[2]Entry!$R$420)</f>
        <v/>
      </c>
    </row>
    <row r="418" spans="1:16" x14ac:dyDescent="0.2">
      <c r="A418" t="str">
        <f>IF([1]Accounts!$D$419="","",[1]Accounts!$A$419)</f>
        <v/>
      </c>
      <c r="B418" t="str">
        <f>IF([1]Accounts!$D$419="","",[1]Accounts!$B$419)</f>
        <v/>
      </c>
      <c r="C418" t="str">
        <f>IF([1]Accounts!$D$419="","",[1]Accounts!$C$419)</f>
        <v/>
      </c>
      <c r="D418" t="str">
        <f>IF([1]Accounts!$D$419="","",[1]Accounts!$D$419)</f>
        <v/>
      </c>
      <c r="E418" t="str">
        <f>IF([1]Accounts!$D$419="","",[1]Accounts!$J$419)</f>
        <v/>
      </c>
      <c r="F418" t="str">
        <f>IF([1]Accounts!$D$419="","",[1]Accounts!$K$419)</f>
        <v/>
      </c>
      <c r="J418" t="str">
        <f>IF([2]Entry!$C$421="","",[2]Entry!$C$421)</f>
        <v/>
      </c>
      <c r="K418" t="str">
        <f>IF([2]Entry!$D$421="","",[2]Entry!$D$421)</f>
        <v/>
      </c>
      <c r="L418" t="str">
        <f>IF([2]Entry!$E$421="","",[2]Entry!$E$421)</f>
        <v/>
      </c>
      <c r="M418" t="str">
        <f>IF([2]Entry!$G$421="","",[2]Entry!$G$421)</f>
        <v/>
      </c>
      <c r="N418" t="str">
        <f>IF([2]Entry!$M$421="","",[2]Entry!$M$421)</f>
        <v/>
      </c>
      <c r="O418" t="str">
        <f>IF([2]Entry!$N$421="","",[2]Entry!$N$421)</f>
        <v/>
      </c>
      <c r="P418" t="str">
        <f>IF([2]Entry!$R$421="","",[2]Entry!$R$421)</f>
        <v/>
      </c>
    </row>
    <row r="419" spans="1:16" x14ac:dyDescent="0.2">
      <c r="A419" t="str">
        <f>IF([1]Accounts!$D$420="","",[1]Accounts!$A$420)</f>
        <v/>
      </c>
      <c r="B419" t="str">
        <f>IF([1]Accounts!$D$420="","",[1]Accounts!$B$420)</f>
        <v/>
      </c>
      <c r="C419" t="str">
        <f>IF([1]Accounts!$D$420="","",[1]Accounts!$C$420)</f>
        <v/>
      </c>
      <c r="D419" t="str">
        <f>IF([1]Accounts!$D$420="","",[1]Accounts!$D$420)</f>
        <v/>
      </c>
      <c r="E419" t="str">
        <f>IF([1]Accounts!$D$420="","",[1]Accounts!$J$420)</f>
        <v/>
      </c>
      <c r="F419" t="str">
        <f>IF([1]Accounts!$D$420="","",[1]Accounts!$K$420)</f>
        <v/>
      </c>
      <c r="J419" t="str">
        <f>IF([2]Entry!$C$422="","",[2]Entry!$C$422)</f>
        <v/>
      </c>
      <c r="K419" t="str">
        <f>IF([2]Entry!$D$422="","",[2]Entry!$D$422)</f>
        <v/>
      </c>
      <c r="L419" t="str">
        <f>IF([2]Entry!$E$422="","",[2]Entry!$E$422)</f>
        <v/>
      </c>
      <c r="M419" t="str">
        <f>IF([2]Entry!$G$422="","",[2]Entry!$G$422)</f>
        <v/>
      </c>
      <c r="N419" t="str">
        <f>IF([2]Entry!$M$422="","",[2]Entry!$M$422)</f>
        <v/>
      </c>
      <c r="O419" t="str">
        <f>IF([2]Entry!$N$422="","",[2]Entry!$N$422)</f>
        <v/>
      </c>
      <c r="P419" t="str">
        <f>IF([2]Entry!$R$422="","",[2]Entry!$R$422)</f>
        <v/>
      </c>
    </row>
    <row r="420" spans="1:16" x14ac:dyDescent="0.2">
      <c r="A420" t="str">
        <f>IF([1]Accounts!$D$421="","",[1]Accounts!$A$421)</f>
        <v/>
      </c>
      <c r="B420" t="str">
        <f>IF([1]Accounts!$D$421="","",[1]Accounts!$B$421)</f>
        <v/>
      </c>
      <c r="C420" t="str">
        <f>IF([1]Accounts!$D$421="","",[1]Accounts!$C$421)</f>
        <v/>
      </c>
      <c r="D420" t="str">
        <f>IF([1]Accounts!$D$421="","",[1]Accounts!$D$421)</f>
        <v/>
      </c>
      <c r="E420" t="str">
        <f>IF([1]Accounts!$D$421="","",[1]Accounts!$J$421)</f>
        <v/>
      </c>
      <c r="F420" t="str">
        <f>IF([1]Accounts!$D$421="","",[1]Accounts!$K$421)</f>
        <v/>
      </c>
      <c r="J420" t="str">
        <f>IF([2]Entry!$C$423="","",[2]Entry!$C$423)</f>
        <v/>
      </c>
      <c r="K420" t="str">
        <f>IF([2]Entry!$D$423="","",[2]Entry!$D$423)</f>
        <v/>
      </c>
      <c r="L420" t="str">
        <f>IF([2]Entry!$E$423="","",[2]Entry!$E$423)</f>
        <v/>
      </c>
      <c r="M420" t="str">
        <f>IF([2]Entry!$G$423="","",[2]Entry!$G$423)</f>
        <v/>
      </c>
      <c r="N420" t="str">
        <f>IF([2]Entry!$M$423="","",[2]Entry!$M$423)</f>
        <v/>
      </c>
      <c r="O420" t="str">
        <f>IF([2]Entry!$N$423="","",[2]Entry!$N$423)</f>
        <v/>
      </c>
      <c r="P420" t="str">
        <f>IF([2]Entry!$R$423="","",[2]Entry!$R$423)</f>
        <v/>
      </c>
    </row>
    <row r="421" spans="1:16" x14ac:dyDescent="0.2">
      <c r="A421" t="str">
        <f>IF([1]Accounts!$D$422="","",[1]Accounts!$A$422)</f>
        <v/>
      </c>
      <c r="B421" t="str">
        <f>IF([1]Accounts!$D$422="","",[1]Accounts!$B$422)</f>
        <v/>
      </c>
      <c r="C421" t="str">
        <f>IF([1]Accounts!$D$422="","",[1]Accounts!$C$422)</f>
        <v/>
      </c>
      <c r="D421" t="str">
        <f>IF([1]Accounts!$D$422="","",[1]Accounts!$D$422)</f>
        <v/>
      </c>
      <c r="E421" t="str">
        <f>IF([1]Accounts!$D$422="","",[1]Accounts!$J$422)</f>
        <v/>
      </c>
      <c r="F421" t="str">
        <f>IF([1]Accounts!$D$422="","",[1]Accounts!$K$422)</f>
        <v/>
      </c>
      <c r="J421" t="str">
        <f>IF([2]Entry!$C$424="","",[2]Entry!$C$424)</f>
        <v/>
      </c>
      <c r="K421" t="str">
        <f>IF([2]Entry!$D$424="","",[2]Entry!$D$424)</f>
        <v/>
      </c>
      <c r="L421" t="str">
        <f>IF([2]Entry!$E$424="","",[2]Entry!$E$424)</f>
        <v/>
      </c>
      <c r="M421" t="str">
        <f>IF([2]Entry!$G$424="","",[2]Entry!$G$424)</f>
        <v/>
      </c>
      <c r="N421" t="str">
        <f>IF([2]Entry!$M$424="","",[2]Entry!$M$424)</f>
        <v/>
      </c>
      <c r="O421" t="str">
        <f>IF([2]Entry!$N$424="","",[2]Entry!$N$424)</f>
        <v/>
      </c>
      <c r="P421" t="str">
        <f>IF([2]Entry!$R$424="","",[2]Entry!$R$424)</f>
        <v/>
      </c>
    </row>
    <row r="422" spans="1:16" x14ac:dyDescent="0.2">
      <c r="A422" t="str">
        <f>IF([1]Accounts!$D$423="","",[1]Accounts!$A$423)</f>
        <v/>
      </c>
      <c r="B422" t="str">
        <f>IF([1]Accounts!$D$423="","",[1]Accounts!$B$423)</f>
        <v/>
      </c>
      <c r="C422" t="str">
        <f>IF([1]Accounts!$D$423="","",[1]Accounts!$C$423)</f>
        <v/>
      </c>
      <c r="D422" t="str">
        <f>IF([1]Accounts!$D$423="","",[1]Accounts!$D$423)</f>
        <v/>
      </c>
      <c r="E422" t="str">
        <f>IF([1]Accounts!$D$423="","",[1]Accounts!$J$423)</f>
        <v/>
      </c>
      <c r="F422" t="str">
        <f>IF([1]Accounts!$D$423="","",[1]Accounts!$K$423)</f>
        <v/>
      </c>
      <c r="J422" t="str">
        <f>IF([2]Entry!$C$425="","",[2]Entry!$C$425)</f>
        <v/>
      </c>
      <c r="K422" t="str">
        <f>IF([2]Entry!$D$425="","",[2]Entry!$D$425)</f>
        <v/>
      </c>
      <c r="L422" t="str">
        <f>IF([2]Entry!$E$425="","",[2]Entry!$E$425)</f>
        <v/>
      </c>
      <c r="M422" t="str">
        <f>IF([2]Entry!$G$425="","",[2]Entry!$G$425)</f>
        <v/>
      </c>
      <c r="N422" t="str">
        <f>IF([2]Entry!$M$425="","",[2]Entry!$M$425)</f>
        <v/>
      </c>
      <c r="O422" t="str">
        <f>IF([2]Entry!$N$425="","",[2]Entry!$N$425)</f>
        <v/>
      </c>
      <c r="P422" t="str">
        <f>IF([2]Entry!$R$425="","",[2]Entry!$R$425)</f>
        <v/>
      </c>
    </row>
    <row r="423" spans="1:16" x14ac:dyDescent="0.2">
      <c r="A423" t="str">
        <f>IF([1]Accounts!$D$424="","",[1]Accounts!$A$424)</f>
        <v/>
      </c>
      <c r="B423" t="str">
        <f>IF([1]Accounts!$D$424="","",[1]Accounts!$B$424)</f>
        <v/>
      </c>
      <c r="C423" t="str">
        <f>IF([1]Accounts!$D$424="","",[1]Accounts!$C$424)</f>
        <v/>
      </c>
      <c r="D423" t="str">
        <f>IF([1]Accounts!$D$424="","",[1]Accounts!$D$424)</f>
        <v/>
      </c>
      <c r="E423" t="str">
        <f>IF([1]Accounts!$D$424="","",[1]Accounts!$J$424)</f>
        <v/>
      </c>
      <c r="F423" t="str">
        <f>IF([1]Accounts!$D$424="","",[1]Accounts!$K$424)</f>
        <v/>
      </c>
      <c r="J423" t="str">
        <f>IF([2]Entry!$C$426="","",[2]Entry!$C$426)</f>
        <v/>
      </c>
      <c r="K423" t="str">
        <f>IF([2]Entry!$D$426="","",[2]Entry!$D$426)</f>
        <v/>
      </c>
      <c r="L423" t="str">
        <f>IF([2]Entry!$E$426="","",[2]Entry!$E$426)</f>
        <v/>
      </c>
      <c r="M423" t="str">
        <f>IF([2]Entry!$G$426="","",[2]Entry!$G$426)</f>
        <v/>
      </c>
      <c r="N423" t="str">
        <f>IF([2]Entry!$M$426="","",[2]Entry!$M$426)</f>
        <v/>
      </c>
      <c r="O423" t="str">
        <f>IF([2]Entry!$N$426="","",[2]Entry!$N$426)</f>
        <v/>
      </c>
      <c r="P423" t="str">
        <f>IF([2]Entry!$R$426="","",[2]Entry!$R$426)</f>
        <v/>
      </c>
    </row>
    <row r="424" spans="1:16" x14ac:dyDescent="0.2">
      <c r="A424" t="str">
        <f>IF([1]Accounts!$D$425="","",[1]Accounts!$A$425)</f>
        <v/>
      </c>
      <c r="B424" t="str">
        <f>IF([1]Accounts!$D$425="","",[1]Accounts!$B$425)</f>
        <v/>
      </c>
      <c r="C424" t="str">
        <f>IF([1]Accounts!$D$425="","",[1]Accounts!$C$425)</f>
        <v/>
      </c>
      <c r="D424" t="str">
        <f>IF([1]Accounts!$D$425="","",[1]Accounts!$D$425)</f>
        <v/>
      </c>
      <c r="E424" t="str">
        <f>IF([1]Accounts!$D$425="","",[1]Accounts!$J$425)</f>
        <v/>
      </c>
      <c r="F424" t="str">
        <f>IF([1]Accounts!$D$425="","",[1]Accounts!$K$425)</f>
        <v/>
      </c>
      <c r="J424" t="str">
        <f>IF([2]Entry!$C$427="","",[2]Entry!$C$427)</f>
        <v/>
      </c>
      <c r="K424" t="str">
        <f>IF([2]Entry!$D$427="","",[2]Entry!$D$427)</f>
        <v/>
      </c>
      <c r="L424" t="str">
        <f>IF([2]Entry!$E$427="","",[2]Entry!$E$427)</f>
        <v/>
      </c>
      <c r="M424" t="str">
        <f>IF([2]Entry!$G$427="","",[2]Entry!$G$427)</f>
        <v/>
      </c>
      <c r="N424" t="str">
        <f>IF([2]Entry!$M$427="","",[2]Entry!$M$427)</f>
        <v/>
      </c>
      <c r="O424" t="str">
        <f>IF([2]Entry!$N$427="","",[2]Entry!$N$427)</f>
        <v/>
      </c>
      <c r="P424" t="str">
        <f>IF([2]Entry!$R$427="","",[2]Entry!$R$427)</f>
        <v/>
      </c>
    </row>
    <row r="425" spans="1:16" x14ac:dyDescent="0.2">
      <c r="A425" t="str">
        <f>IF([1]Accounts!$D$426="","",[1]Accounts!$A$426)</f>
        <v/>
      </c>
      <c r="B425" t="str">
        <f>IF([1]Accounts!$D$426="","",[1]Accounts!$B$426)</f>
        <v/>
      </c>
      <c r="C425" t="str">
        <f>IF([1]Accounts!$D$426="","",[1]Accounts!$C$426)</f>
        <v/>
      </c>
      <c r="D425" t="str">
        <f>IF([1]Accounts!$D$426="","",[1]Accounts!$D$426)</f>
        <v/>
      </c>
      <c r="E425" t="str">
        <f>IF([1]Accounts!$D$426="","",[1]Accounts!$J$426)</f>
        <v/>
      </c>
      <c r="F425" t="str">
        <f>IF([1]Accounts!$D$426="","",[1]Accounts!$K$426)</f>
        <v/>
      </c>
      <c r="J425" t="str">
        <f>IF([2]Entry!$C$428="","",[2]Entry!$C$428)</f>
        <v/>
      </c>
      <c r="K425" t="str">
        <f>IF([2]Entry!$D$428="","",[2]Entry!$D$428)</f>
        <v/>
      </c>
      <c r="L425" t="str">
        <f>IF([2]Entry!$E$428="","",[2]Entry!$E$428)</f>
        <v/>
      </c>
      <c r="M425" t="str">
        <f>IF([2]Entry!$G$428="","",[2]Entry!$G$428)</f>
        <v/>
      </c>
      <c r="N425" t="str">
        <f>IF([2]Entry!$M$428="","",[2]Entry!$M$428)</f>
        <v/>
      </c>
      <c r="O425" t="str">
        <f>IF([2]Entry!$N$428="","",[2]Entry!$N$428)</f>
        <v/>
      </c>
      <c r="P425" t="str">
        <f>IF([2]Entry!$R$428="","",[2]Entry!$R$428)</f>
        <v/>
      </c>
    </row>
    <row r="426" spans="1:16" x14ac:dyDescent="0.2">
      <c r="A426" t="str">
        <f>IF([1]Accounts!$D$427="","",[1]Accounts!$A$427)</f>
        <v/>
      </c>
      <c r="B426" t="str">
        <f>IF([1]Accounts!$D$427="","",[1]Accounts!$B$427)</f>
        <v/>
      </c>
      <c r="C426" t="str">
        <f>IF([1]Accounts!$D$427="","",[1]Accounts!$C$427)</f>
        <v/>
      </c>
      <c r="D426" t="str">
        <f>IF([1]Accounts!$D$427="","",[1]Accounts!$D$427)</f>
        <v/>
      </c>
      <c r="E426" t="str">
        <f>IF([1]Accounts!$D$427="","",[1]Accounts!$J$427)</f>
        <v/>
      </c>
      <c r="F426" t="str">
        <f>IF([1]Accounts!$D$427="","",[1]Accounts!$K$427)</f>
        <v/>
      </c>
      <c r="J426" t="str">
        <f>IF([2]Entry!$C$429="","",[2]Entry!$C$429)</f>
        <v/>
      </c>
      <c r="K426" t="str">
        <f>IF([2]Entry!$D$429="","",[2]Entry!$D$429)</f>
        <v/>
      </c>
      <c r="L426" t="str">
        <f>IF([2]Entry!$E$429="","",[2]Entry!$E$429)</f>
        <v/>
      </c>
      <c r="M426" t="str">
        <f>IF([2]Entry!$G$429="","",[2]Entry!$G$429)</f>
        <v/>
      </c>
      <c r="N426" t="str">
        <f>IF([2]Entry!$M$429="","",[2]Entry!$M$429)</f>
        <v/>
      </c>
      <c r="O426" t="str">
        <f>IF([2]Entry!$N$429="","",[2]Entry!$N$429)</f>
        <v/>
      </c>
      <c r="P426" t="str">
        <f>IF([2]Entry!$R$429="","",[2]Entry!$R$429)</f>
        <v/>
      </c>
    </row>
    <row r="427" spans="1:16" x14ac:dyDescent="0.2">
      <c r="A427" t="str">
        <f>IF([1]Accounts!$D$428="","",[1]Accounts!$A$428)</f>
        <v/>
      </c>
      <c r="B427" t="str">
        <f>IF([1]Accounts!$D$428="","",[1]Accounts!$B$428)</f>
        <v/>
      </c>
      <c r="C427" t="str">
        <f>IF([1]Accounts!$D$428="","",[1]Accounts!$C$428)</f>
        <v/>
      </c>
      <c r="D427" t="str">
        <f>IF([1]Accounts!$D$428="","",[1]Accounts!$D$428)</f>
        <v/>
      </c>
      <c r="E427" t="str">
        <f>IF([1]Accounts!$D$428="","",[1]Accounts!$J$428)</f>
        <v/>
      </c>
      <c r="F427" t="str">
        <f>IF([1]Accounts!$D$428="","",[1]Accounts!$K$428)</f>
        <v/>
      </c>
      <c r="J427" t="str">
        <f>IF([2]Entry!$C$430="","",[2]Entry!$C$430)</f>
        <v/>
      </c>
      <c r="K427" t="str">
        <f>IF([2]Entry!$D$430="","",[2]Entry!$D$430)</f>
        <v/>
      </c>
      <c r="L427" t="str">
        <f>IF([2]Entry!$E$430="","",[2]Entry!$E$430)</f>
        <v/>
      </c>
      <c r="M427" t="str">
        <f>IF([2]Entry!$G$430="","",[2]Entry!$G$430)</f>
        <v/>
      </c>
      <c r="N427" t="str">
        <f>IF([2]Entry!$M$430="","",[2]Entry!$M$430)</f>
        <v/>
      </c>
      <c r="O427" t="str">
        <f>IF([2]Entry!$N$430="","",[2]Entry!$N$430)</f>
        <v/>
      </c>
      <c r="P427" t="str">
        <f>IF([2]Entry!$R$430="","",[2]Entry!$R$430)</f>
        <v/>
      </c>
    </row>
    <row r="428" spans="1:16" x14ac:dyDescent="0.2">
      <c r="A428" t="str">
        <f>IF([1]Accounts!$D$429="","",[1]Accounts!$A$429)</f>
        <v/>
      </c>
      <c r="B428" t="str">
        <f>IF([1]Accounts!$D$429="","",[1]Accounts!$B$429)</f>
        <v/>
      </c>
      <c r="C428" t="str">
        <f>IF([1]Accounts!$D$429="","",[1]Accounts!$C$429)</f>
        <v/>
      </c>
      <c r="D428" t="str">
        <f>IF([1]Accounts!$D$429="","",[1]Accounts!$D$429)</f>
        <v/>
      </c>
      <c r="E428" t="str">
        <f>IF([1]Accounts!$D$429="","",[1]Accounts!$J$429)</f>
        <v/>
      </c>
      <c r="F428" t="str">
        <f>IF([1]Accounts!$D$429="","",[1]Accounts!$K$429)</f>
        <v/>
      </c>
      <c r="J428" t="str">
        <f>IF([2]Entry!$C$431="","",[2]Entry!$C$431)</f>
        <v/>
      </c>
      <c r="K428" t="str">
        <f>IF([2]Entry!$D$431="","",[2]Entry!$D$431)</f>
        <v/>
      </c>
      <c r="L428" t="str">
        <f>IF([2]Entry!$E$431="","",[2]Entry!$E$431)</f>
        <v/>
      </c>
      <c r="M428" t="str">
        <f>IF([2]Entry!$G$431="","",[2]Entry!$G$431)</f>
        <v/>
      </c>
      <c r="N428" t="str">
        <f>IF([2]Entry!$M$431="","",[2]Entry!$M$431)</f>
        <v/>
      </c>
      <c r="O428" t="str">
        <f>IF([2]Entry!$N$431="","",[2]Entry!$N$431)</f>
        <v/>
      </c>
      <c r="P428" t="str">
        <f>IF([2]Entry!$R$431="","",[2]Entry!$R$431)</f>
        <v/>
      </c>
    </row>
    <row r="429" spans="1:16" x14ac:dyDescent="0.2">
      <c r="A429" t="str">
        <f>IF([1]Accounts!$D$430="","",[1]Accounts!$A$430)</f>
        <v/>
      </c>
      <c r="B429" t="str">
        <f>IF([1]Accounts!$D$430="","",[1]Accounts!$B$430)</f>
        <v/>
      </c>
      <c r="C429" t="str">
        <f>IF([1]Accounts!$D$430="","",[1]Accounts!$C$430)</f>
        <v/>
      </c>
      <c r="D429" t="str">
        <f>IF([1]Accounts!$D$430="","",[1]Accounts!$D$430)</f>
        <v/>
      </c>
      <c r="E429" t="str">
        <f>IF([1]Accounts!$D$430="","",[1]Accounts!$J$430)</f>
        <v/>
      </c>
      <c r="F429" t="str">
        <f>IF([1]Accounts!$D$430="","",[1]Accounts!$K$430)</f>
        <v/>
      </c>
      <c r="J429" t="str">
        <f>IF([2]Entry!$C$432="","",[2]Entry!$C$432)</f>
        <v/>
      </c>
      <c r="K429" t="str">
        <f>IF([2]Entry!$D$432="","",[2]Entry!$D$432)</f>
        <v/>
      </c>
      <c r="L429" t="str">
        <f>IF([2]Entry!$E$432="","",[2]Entry!$E$432)</f>
        <v/>
      </c>
      <c r="M429" t="str">
        <f>IF([2]Entry!$G$432="","",[2]Entry!$G$432)</f>
        <v/>
      </c>
      <c r="N429" t="str">
        <f>IF([2]Entry!$M$432="","",[2]Entry!$M$432)</f>
        <v/>
      </c>
      <c r="O429" t="str">
        <f>IF([2]Entry!$N$432="","",[2]Entry!$N$432)</f>
        <v/>
      </c>
      <c r="P429" t="str">
        <f>IF([2]Entry!$R$432="","",[2]Entry!$R$432)</f>
        <v/>
      </c>
    </row>
    <row r="430" spans="1:16" x14ac:dyDescent="0.2">
      <c r="A430" t="str">
        <f>IF([1]Accounts!$D$431="","",[1]Accounts!$A$431)</f>
        <v/>
      </c>
      <c r="B430" t="str">
        <f>IF([1]Accounts!$D$431="","",[1]Accounts!$B$431)</f>
        <v/>
      </c>
      <c r="C430" t="str">
        <f>IF([1]Accounts!$D$431="","",[1]Accounts!$C$431)</f>
        <v/>
      </c>
      <c r="D430" t="str">
        <f>IF([1]Accounts!$D$431="","",[1]Accounts!$D$431)</f>
        <v/>
      </c>
      <c r="E430" t="str">
        <f>IF([1]Accounts!$D$431="","",[1]Accounts!$J$431)</f>
        <v/>
      </c>
      <c r="F430" t="str">
        <f>IF([1]Accounts!$D$431="","",[1]Accounts!$K$431)</f>
        <v/>
      </c>
      <c r="J430" t="str">
        <f>IF([2]Entry!$C$433="","",[2]Entry!$C$433)</f>
        <v/>
      </c>
      <c r="K430" t="str">
        <f>IF([2]Entry!$D$433="","",[2]Entry!$D$433)</f>
        <v/>
      </c>
      <c r="L430" t="str">
        <f>IF([2]Entry!$E$433="","",[2]Entry!$E$433)</f>
        <v/>
      </c>
      <c r="M430" t="str">
        <f>IF([2]Entry!$G$433="","",[2]Entry!$G$433)</f>
        <v/>
      </c>
      <c r="N430" t="str">
        <f>IF([2]Entry!$M$433="","",[2]Entry!$M$433)</f>
        <v/>
      </c>
      <c r="O430" t="str">
        <f>IF([2]Entry!$N$433="","",[2]Entry!$N$433)</f>
        <v/>
      </c>
      <c r="P430" t="str">
        <f>IF([2]Entry!$R$433="","",[2]Entry!$R$433)</f>
        <v/>
      </c>
    </row>
    <row r="431" spans="1:16" x14ac:dyDescent="0.2">
      <c r="A431" t="str">
        <f>IF([1]Accounts!$D$432="","",[1]Accounts!$A$432)</f>
        <v/>
      </c>
      <c r="B431" t="str">
        <f>IF([1]Accounts!$D$432="","",[1]Accounts!$B$432)</f>
        <v/>
      </c>
      <c r="C431" t="str">
        <f>IF([1]Accounts!$D$432="","",[1]Accounts!$C$432)</f>
        <v/>
      </c>
      <c r="D431" t="str">
        <f>IF([1]Accounts!$D$432="","",[1]Accounts!$D$432)</f>
        <v/>
      </c>
      <c r="E431" t="str">
        <f>IF([1]Accounts!$D$432="","",[1]Accounts!$J$432)</f>
        <v/>
      </c>
      <c r="F431" t="str">
        <f>IF([1]Accounts!$D$432="","",[1]Accounts!$K$432)</f>
        <v/>
      </c>
      <c r="J431" t="str">
        <f>IF([2]Entry!$C$434="","",[2]Entry!$C$434)</f>
        <v/>
      </c>
      <c r="K431" t="str">
        <f>IF([2]Entry!$D$434="","",[2]Entry!$D$434)</f>
        <v/>
      </c>
      <c r="L431" t="str">
        <f>IF([2]Entry!$E$434="","",[2]Entry!$E$434)</f>
        <v/>
      </c>
      <c r="M431" t="str">
        <f>IF([2]Entry!$G$434="","",[2]Entry!$G$434)</f>
        <v/>
      </c>
      <c r="N431" t="str">
        <f>IF([2]Entry!$M$434="","",[2]Entry!$M$434)</f>
        <v/>
      </c>
      <c r="O431" t="str">
        <f>IF([2]Entry!$N$434="","",[2]Entry!$N$434)</f>
        <v/>
      </c>
      <c r="P431" t="str">
        <f>IF([2]Entry!$R$434="","",[2]Entry!$R$434)</f>
        <v/>
      </c>
    </row>
    <row r="432" spans="1:16" x14ac:dyDescent="0.2">
      <c r="A432" t="str">
        <f>IF([1]Accounts!$D$433="","",[1]Accounts!$A$433)</f>
        <v/>
      </c>
      <c r="B432" t="str">
        <f>IF([1]Accounts!$D$433="","",[1]Accounts!$B$433)</f>
        <v/>
      </c>
      <c r="C432" t="str">
        <f>IF([1]Accounts!$D$433="","",[1]Accounts!$C$433)</f>
        <v/>
      </c>
      <c r="D432" t="str">
        <f>IF([1]Accounts!$D$433="","",[1]Accounts!$D$433)</f>
        <v/>
      </c>
      <c r="E432" t="str">
        <f>IF([1]Accounts!$D$433="","",[1]Accounts!$J$433)</f>
        <v/>
      </c>
      <c r="F432" t="str">
        <f>IF([1]Accounts!$D$433="","",[1]Accounts!$K$433)</f>
        <v/>
      </c>
      <c r="J432" t="str">
        <f>IF([2]Entry!$C$435="","",[2]Entry!$C$435)</f>
        <v/>
      </c>
      <c r="K432" t="str">
        <f>IF([2]Entry!$D$435="","",[2]Entry!$D$435)</f>
        <v/>
      </c>
      <c r="L432" t="str">
        <f>IF([2]Entry!$E$435="","",[2]Entry!$E$435)</f>
        <v/>
      </c>
      <c r="M432" t="str">
        <f>IF([2]Entry!$G$435="","",[2]Entry!$G$435)</f>
        <v/>
      </c>
      <c r="N432" t="str">
        <f>IF([2]Entry!$M$435="","",[2]Entry!$M$435)</f>
        <v/>
      </c>
      <c r="O432" t="str">
        <f>IF([2]Entry!$N$435="","",[2]Entry!$N$435)</f>
        <v/>
      </c>
      <c r="P432" t="str">
        <f>IF([2]Entry!$R$435="","",[2]Entry!$R$435)</f>
        <v/>
      </c>
    </row>
    <row r="433" spans="1:16" x14ac:dyDescent="0.2">
      <c r="A433" t="str">
        <f>IF([1]Accounts!$D$434="","",[1]Accounts!$A$434)</f>
        <v/>
      </c>
      <c r="B433" t="str">
        <f>IF([1]Accounts!$D$434="","",[1]Accounts!$B$434)</f>
        <v/>
      </c>
      <c r="C433" t="str">
        <f>IF([1]Accounts!$D$434="","",[1]Accounts!$C$434)</f>
        <v/>
      </c>
      <c r="D433" t="str">
        <f>IF([1]Accounts!$D$434="","",[1]Accounts!$D$434)</f>
        <v/>
      </c>
      <c r="E433" t="str">
        <f>IF([1]Accounts!$D$434="","",[1]Accounts!$J$434)</f>
        <v/>
      </c>
      <c r="F433" t="str">
        <f>IF([1]Accounts!$D$434="","",[1]Accounts!$K$434)</f>
        <v/>
      </c>
      <c r="J433" t="str">
        <f>IF([2]Entry!$C$436="","",[2]Entry!$C$436)</f>
        <v/>
      </c>
      <c r="K433" t="str">
        <f>IF([2]Entry!$D$436="","",[2]Entry!$D$436)</f>
        <v/>
      </c>
      <c r="L433" t="str">
        <f>IF([2]Entry!$E$436="","",[2]Entry!$E$436)</f>
        <v/>
      </c>
      <c r="M433" t="str">
        <f>IF([2]Entry!$G$436="","",[2]Entry!$G$436)</f>
        <v/>
      </c>
      <c r="N433" t="str">
        <f>IF([2]Entry!$M$436="","",[2]Entry!$M$436)</f>
        <v/>
      </c>
      <c r="O433" t="str">
        <f>IF([2]Entry!$N$436="","",[2]Entry!$N$436)</f>
        <v/>
      </c>
      <c r="P433" t="str">
        <f>IF([2]Entry!$R$436="","",[2]Entry!$R$436)</f>
        <v/>
      </c>
    </row>
    <row r="434" spans="1:16" x14ac:dyDescent="0.2">
      <c r="A434" t="str">
        <f>IF([1]Accounts!$D$435="","",[1]Accounts!$A$435)</f>
        <v/>
      </c>
      <c r="B434" t="str">
        <f>IF([1]Accounts!$D$435="","",[1]Accounts!$B$435)</f>
        <v/>
      </c>
      <c r="C434" t="str">
        <f>IF([1]Accounts!$D$435="","",[1]Accounts!$C$435)</f>
        <v/>
      </c>
      <c r="D434" t="str">
        <f>IF([1]Accounts!$D$435="","",[1]Accounts!$D$435)</f>
        <v/>
      </c>
      <c r="E434" t="str">
        <f>IF([1]Accounts!$D$435="","",[1]Accounts!$J$435)</f>
        <v/>
      </c>
      <c r="F434" t="str">
        <f>IF([1]Accounts!$D$435="","",[1]Accounts!$K$435)</f>
        <v/>
      </c>
      <c r="J434" t="str">
        <f>IF([2]Entry!$C$437="","",[2]Entry!$C$437)</f>
        <v/>
      </c>
      <c r="K434" t="str">
        <f>IF([2]Entry!$D$437="","",[2]Entry!$D$437)</f>
        <v/>
      </c>
      <c r="L434" t="str">
        <f>IF([2]Entry!$E$437="","",[2]Entry!$E$437)</f>
        <v/>
      </c>
      <c r="M434" t="str">
        <f>IF([2]Entry!$G$437="","",[2]Entry!$G$437)</f>
        <v/>
      </c>
      <c r="N434" t="str">
        <f>IF([2]Entry!$M$437="","",[2]Entry!$M$437)</f>
        <v/>
      </c>
      <c r="O434" t="str">
        <f>IF([2]Entry!$N$437="","",[2]Entry!$N$437)</f>
        <v/>
      </c>
      <c r="P434" t="str">
        <f>IF([2]Entry!$R$437="","",[2]Entry!$R$437)</f>
        <v/>
      </c>
    </row>
    <row r="435" spans="1:16" x14ac:dyDescent="0.2">
      <c r="A435" t="str">
        <f>IF([1]Accounts!$D$436="","",[1]Accounts!$A$436)</f>
        <v/>
      </c>
      <c r="B435" t="str">
        <f>IF([1]Accounts!$D$436="","",[1]Accounts!$B$436)</f>
        <v/>
      </c>
      <c r="C435" t="str">
        <f>IF([1]Accounts!$D$436="","",[1]Accounts!$C$436)</f>
        <v/>
      </c>
      <c r="D435" t="str">
        <f>IF([1]Accounts!$D$436="","",[1]Accounts!$D$436)</f>
        <v/>
      </c>
      <c r="E435" t="str">
        <f>IF([1]Accounts!$D$436="","",[1]Accounts!$J$436)</f>
        <v/>
      </c>
      <c r="F435" t="str">
        <f>IF([1]Accounts!$D$436="","",[1]Accounts!$K$436)</f>
        <v/>
      </c>
      <c r="J435" t="str">
        <f>IF([2]Entry!$C$438="","",[2]Entry!$C$438)</f>
        <v/>
      </c>
      <c r="K435" t="str">
        <f>IF([2]Entry!$D$438="","",[2]Entry!$D$438)</f>
        <v/>
      </c>
      <c r="L435" t="str">
        <f>IF([2]Entry!$E$438="","",[2]Entry!$E$438)</f>
        <v/>
      </c>
      <c r="M435" t="str">
        <f>IF([2]Entry!$G$438="","",[2]Entry!$G$438)</f>
        <v/>
      </c>
      <c r="N435" t="str">
        <f>IF([2]Entry!$M$438="","",[2]Entry!$M$438)</f>
        <v/>
      </c>
      <c r="O435" t="str">
        <f>IF([2]Entry!$N$438="","",[2]Entry!$N$438)</f>
        <v/>
      </c>
      <c r="P435" t="str">
        <f>IF([2]Entry!$R$438="","",[2]Entry!$R$438)</f>
        <v/>
      </c>
    </row>
    <row r="436" spans="1:16" x14ac:dyDescent="0.2">
      <c r="A436" t="str">
        <f>IF([1]Accounts!$D$437="","",[1]Accounts!$A$437)</f>
        <v/>
      </c>
      <c r="B436" t="str">
        <f>IF([1]Accounts!$D$437="","",[1]Accounts!$B$437)</f>
        <v/>
      </c>
      <c r="C436" t="str">
        <f>IF([1]Accounts!$D$437="","",[1]Accounts!$C$437)</f>
        <v/>
      </c>
      <c r="D436" t="str">
        <f>IF([1]Accounts!$D$437="","",[1]Accounts!$D$437)</f>
        <v/>
      </c>
      <c r="E436" t="str">
        <f>IF([1]Accounts!$D$437="","",[1]Accounts!$J$437)</f>
        <v/>
      </c>
      <c r="F436" t="str">
        <f>IF([1]Accounts!$D$437="","",[1]Accounts!$K$437)</f>
        <v/>
      </c>
      <c r="J436" t="str">
        <f>IF([2]Entry!$C$439="","",[2]Entry!$C$439)</f>
        <v/>
      </c>
      <c r="K436" t="str">
        <f>IF([2]Entry!$D$439="","",[2]Entry!$D$439)</f>
        <v/>
      </c>
      <c r="L436" t="str">
        <f>IF([2]Entry!$E$439="","",[2]Entry!$E$439)</f>
        <v/>
      </c>
      <c r="M436" t="str">
        <f>IF([2]Entry!$G$439="","",[2]Entry!$G$439)</f>
        <v/>
      </c>
      <c r="N436" t="str">
        <f>IF([2]Entry!$M$439="","",[2]Entry!$M$439)</f>
        <v/>
      </c>
      <c r="O436" t="str">
        <f>IF([2]Entry!$N$439="","",[2]Entry!$N$439)</f>
        <v/>
      </c>
      <c r="P436" t="str">
        <f>IF([2]Entry!$R$439="","",[2]Entry!$R$439)</f>
        <v/>
      </c>
    </row>
    <row r="437" spans="1:16" x14ac:dyDescent="0.2">
      <c r="A437" t="str">
        <f>IF([1]Accounts!$D$438="","",[1]Accounts!$A$438)</f>
        <v/>
      </c>
      <c r="B437" t="str">
        <f>IF([1]Accounts!$D$438="","",[1]Accounts!$B$438)</f>
        <v/>
      </c>
      <c r="C437" t="str">
        <f>IF([1]Accounts!$D$438="","",[1]Accounts!$C$438)</f>
        <v/>
      </c>
      <c r="D437" t="str">
        <f>IF([1]Accounts!$D$438="","",[1]Accounts!$D$438)</f>
        <v/>
      </c>
      <c r="E437" t="str">
        <f>IF([1]Accounts!$D$438="","",[1]Accounts!$J$438)</f>
        <v/>
      </c>
      <c r="F437" t="str">
        <f>IF([1]Accounts!$D$438="","",[1]Accounts!$K$438)</f>
        <v/>
      </c>
      <c r="J437" t="str">
        <f>IF([2]Entry!$C$440="","",[2]Entry!$C$440)</f>
        <v/>
      </c>
      <c r="K437" t="str">
        <f>IF([2]Entry!$D$440="","",[2]Entry!$D$440)</f>
        <v/>
      </c>
      <c r="L437" t="str">
        <f>IF([2]Entry!$E$440="","",[2]Entry!$E$440)</f>
        <v/>
      </c>
      <c r="M437" t="str">
        <f>IF([2]Entry!$G$440="","",[2]Entry!$G$440)</f>
        <v/>
      </c>
      <c r="N437" t="str">
        <f>IF([2]Entry!$M$440="","",[2]Entry!$M$440)</f>
        <v/>
      </c>
      <c r="O437" t="str">
        <f>IF([2]Entry!$N$440="","",[2]Entry!$N$440)</f>
        <v/>
      </c>
      <c r="P437" t="str">
        <f>IF([2]Entry!$R$440="","",[2]Entry!$R$440)</f>
        <v/>
      </c>
    </row>
    <row r="438" spans="1:16" x14ac:dyDescent="0.2">
      <c r="A438" t="str">
        <f>IF([1]Accounts!$D$439="","",[1]Accounts!$A$439)</f>
        <v/>
      </c>
      <c r="B438" t="str">
        <f>IF([1]Accounts!$D$439="","",[1]Accounts!$B$439)</f>
        <v/>
      </c>
      <c r="C438" t="str">
        <f>IF([1]Accounts!$D$439="","",[1]Accounts!$C$439)</f>
        <v/>
      </c>
      <c r="D438" t="str">
        <f>IF([1]Accounts!$D$439="","",[1]Accounts!$D$439)</f>
        <v/>
      </c>
      <c r="E438" t="str">
        <f>IF([1]Accounts!$D$439="","",[1]Accounts!$J$439)</f>
        <v/>
      </c>
      <c r="F438" t="str">
        <f>IF([1]Accounts!$D$439="","",[1]Accounts!$K$439)</f>
        <v/>
      </c>
      <c r="J438" t="str">
        <f>IF([2]Entry!$C$441="","",[2]Entry!$C$441)</f>
        <v/>
      </c>
      <c r="K438" t="str">
        <f>IF([2]Entry!$D$441="","",[2]Entry!$D$441)</f>
        <v/>
      </c>
      <c r="L438" t="str">
        <f>IF([2]Entry!$E$441="","",[2]Entry!$E$441)</f>
        <v/>
      </c>
      <c r="M438" t="str">
        <f>IF([2]Entry!$G$441="","",[2]Entry!$G$441)</f>
        <v/>
      </c>
      <c r="N438" t="str">
        <f>IF([2]Entry!$M$441="","",[2]Entry!$M$441)</f>
        <v/>
      </c>
      <c r="O438" t="str">
        <f>IF([2]Entry!$N$441="","",[2]Entry!$N$441)</f>
        <v/>
      </c>
      <c r="P438" t="str">
        <f>IF([2]Entry!$R$441="","",[2]Entry!$R$441)</f>
        <v/>
      </c>
    </row>
    <row r="439" spans="1:16" x14ac:dyDescent="0.2">
      <c r="A439" t="str">
        <f>IF([1]Accounts!$D$440="","",[1]Accounts!$A$440)</f>
        <v/>
      </c>
      <c r="B439" t="str">
        <f>IF([1]Accounts!$D$440="","",[1]Accounts!$B$440)</f>
        <v/>
      </c>
      <c r="C439" t="str">
        <f>IF([1]Accounts!$D$440="","",[1]Accounts!$C$440)</f>
        <v/>
      </c>
      <c r="D439" t="str">
        <f>IF([1]Accounts!$D$440="","",[1]Accounts!$D$440)</f>
        <v/>
      </c>
      <c r="E439" t="str">
        <f>IF([1]Accounts!$D$440="","",[1]Accounts!$J$440)</f>
        <v/>
      </c>
      <c r="F439" t="str">
        <f>IF([1]Accounts!$D$440="","",[1]Accounts!$K$440)</f>
        <v/>
      </c>
      <c r="J439" t="str">
        <f>IF([2]Entry!$C$442="","",[2]Entry!$C$442)</f>
        <v/>
      </c>
      <c r="K439" t="str">
        <f>IF([2]Entry!$D$442="","",[2]Entry!$D$442)</f>
        <v/>
      </c>
      <c r="L439" t="str">
        <f>IF([2]Entry!$E$442="","",[2]Entry!$E$442)</f>
        <v/>
      </c>
      <c r="M439" t="str">
        <f>IF([2]Entry!$G$442="","",[2]Entry!$G$442)</f>
        <v/>
      </c>
      <c r="N439" t="str">
        <f>IF([2]Entry!$M$442="","",[2]Entry!$M$442)</f>
        <v/>
      </c>
      <c r="O439" t="str">
        <f>IF([2]Entry!$N$442="","",[2]Entry!$N$442)</f>
        <v/>
      </c>
      <c r="P439" t="str">
        <f>IF([2]Entry!$R$442="","",[2]Entry!$R$442)</f>
        <v/>
      </c>
    </row>
    <row r="440" spans="1:16" x14ac:dyDescent="0.2">
      <c r="A440" t="str">
        <f>IF([1]Accounts!$D$441="","",[1]Accounts!$A$441)</f>
        <v/>
      </c>
      <c r="B440" t="str">
        <f>IF([1]Accounts!$D$441="","",[1]Accounts!$B$441)</f>
        <v/>
      </c>
      <c r="C440" t="str">
        <f>IF([1]Accounts!$D$441="","",[1]Accounts!$C$441)</f>
        <v/>
      </c>
      <c r="D440" t="str">
        <f>IF([1]Accounts!$D$441="","",[1]Accounts!$D$441)</f>
        <v/>
      </c>
      <c r="E440" t="str">
        <f>IF([1]Accounts!$D$441="","",[1]Accounts!$J$441)</f>
        <v/>
      </c>
      <c r="F440" t="str">
        <f>IF([1]Accounts!$D$441="","",[1]Accounts!$K$441)</f>
        <v/>
      </c>
      <c r="J440" t="str">
        <f>IF([2]Entry!$C$443="","",[2]Entry!$C$443)</f>
        <v/>
      </c>
      <c r="K440" t="str">
        <f>IF([2]Entry!$D$443="","",[2]Entry!$D$443)</f>
        <v/>
      </c>
      <c r="L440" t="str">
        <f>IF([2]Entry!$E$443="","",[2]Entry!$E$443)</f>
        <v/>
      </c>
      <c r="M440" t="str">
        <f>IF([2]Entry!$G$443="","",[2]Entry!$G$443)</f>
        <v/>
      </c>
      <c r="N440" t="str">
        <f>IF([2]Entry!$M$443="","",[2]Entry!$M$443)</f>
        <v/>
      </c>
      <c r="O440" t="str">
        <f>IF([2]Entry!$N$443="","",[2]Entry!$N$443)</f>
        <v/>
      </c>
      <c r="P440" t="str">
        <f>IF([2]Entry!$R$443="","",[2]Entry!$R$443)</f>
        <v/>
      </c>
    </row>
    <row r="441" spans="1:16" x14ac:dyDescent="0.2">
      <c r="A441" t="str">
        <f>IF([1]Accounts!$D$442="","",[1]Accounts!$A$442)</f>
        <v/>
      </c>
      <c r="B441" t="str">
        <f>IF([1]Accounts!$D$442="","",[1]Accounts!$B$442)</f>
        <v/>
      </c>
      <c r="C441" t="str">
        <f>IF([1]Accounts!$D$442="","",[1]Accounts!$C$442)</f>
        <v/>
      </c>
      <c r="D441" t="str">
        <f>IF([1]Accounts!$D$442="","",[1]Accounts!$D$442)</f>
        <v/>
      </c>
      <c r="E441" t="str">
        <f>IF([1]Accounts!$D$442="","",[1]Accounts!$J$442)</f>
        <v/>
      </c>
      <c r="F441" t="str">
        <f>IF([1]Accounts!$D$442="","",[1]Accounts!$K$442)</f>
        <v/>
      </c>
      <c r="J441" t="str">
        <f>IF([2]Entry!$C$444="","",[2]Entry!$C$444)</f>
        <v/>
      </c>
      <c r="K441" t="str">
        <f>IF([2]Entry!$D$444="","",[2]Entry!$D$444)</f>
        <v/>
      </c>
      <c r="L441" t="str">
        <f>IF([2]Entry!$E$444="","",[2]Entry!$E$444)</f>
        <v/>
      </c>
      <c r="M441" t="str">
        <f>IF([2]Entry!$G$444="","",[2]Entry!$G$444)</f>
        <v/>
      </c>
      <c r="N441" t="str">
        <f>IF([2]Entry!$M$444="","",[2]Entry!$M$444)</f>
        <v/>
      </c>
      <c r="O441" t="str">
        <f>IF([2]Entry!$N$444="","",[2]Entry!$N$444)</f>
        <v/>
      </c>
      <c r="P441" t="str">
        <f>IF([2]Entry!$R$444="","",[2]Entry!$R$444)</f>
        <v/>
      </c>
    </row>
    <row r="442" spans="1:16" x14ac:dyDescent="0.2">
      <c r="A442" t="str">
        <f>IF([1]Accounts!$D$443="","",[1]Accounts!$A$443)</f>
        <v/>
      </c>
      <c r="B442" t="str">
        <f>IF([1]Accounts!$D$443="","",[1]Accounts!$B$443)</f>
        <v/>
      </c>
      <c r="C442" t="str">
        <f>IF([1]Accounts!$D$443="","",[1]Accounts!$C$443)</f>
        <v/>
      </c>
      <c r="D442" t="str">
        <f>IF([1]Accounts!$D$443="","",[1]Accounts!$D$443)</f>
        <v/>
      </c>
      <c r="E442" t="str">
        <f>IF([1]Accounts!$D$443="","",[1]Accounts!$J$443)</f>
        <v/>
      </c>
      <c r="F442" t="str">
        <f>IF([1]Accounts!$D$443="","",[1]Accounts!$K$443)</f>
        <v/>
      </c>
      <c r="J442" t="str">
        <f>IF([2]Entry!$C$445="","",[2]Entry!$C$445)</f>
        <v/>
      </c>
      <c r="K442" t="str">
        <f>IF([2]Entry!$D$445="","",[2]Entry!$D$445)</f>
        <v/>
      </c>
      <c r="L442" t="str">
        <f>IF([2]Entry!$E$445="","",[2]Entry!$E$445)</f>
        <v/>
      </c>
      <c r="M442" t="str">
        <f>IF([2]Entry!$G$445="","",[2]Entry!$G$445)</f>
        <v/>
      </c>
      <c r="N442" t="str">
        <f>IF([2]Entry!$M$445="","",[2]Entry!$M$445)</f>
        <v/>
      </c>
      <c r="O442" t="str">
        <f>IF([2]Entry!$N$445="","",[2]Entry!$N$445)</f>
        <v/>
      </c>
      <c r="P442" t="str">
        <f>IF([2]Entry!$R$445="","",[2]Entry!$R$445)</f>
        <v/>
      </c>
    </row>
    <row r="443" spans="1:16" x14ac:dyDescent="0.2">
      <c r="A443" t="str">
        <f>IF([1]Accounts!$D$444="","",[1]Accounts!$A$444)</f>
        <v/>
      </c>
      <c r="B443" t="str">
        <f>IF([1]Accounts!$D$444="","",[1]Accounts!$B$444)</f>
        <v/>
      </c>
      <c r="C443" t="str">
        <f>IF([1]Accounts!$D$444="","",[1]Accounts!$C$444)</f>
        <v/>
      </c>
      <c r="D443" t="str">
        <f>IF([1]Accounts!$D$444="","",[1]Accounts!$D$444)</f>
        <v/>
      </c>
      <c r="E443" t="str">
        <f>IF([1]Accounts!$D$444="","",[1]Accounts!$J$444)</f>
        <v/>
      </c>
      <c r="F443" t="str">
        <f>IF([1]Accounts!$D$444="","",[1]Accounts!$K$444)</f>
        <v/>
      </c>
      <c r="J443" t="str">
        <f>IF([2]Entry!$C$446="","",[2]Entry!$C$446)</f>
        <v/>
      </c>
      <c r="K443" t="str">
        <f>IF([2]Entry!$D$446="","",[2]Entry!$D$446)</f>
        <v/>
      </c>
      <c r="L443" t="str">
        <f>IF([2]Entry!$E$446="","",[2]Entry!$E$446)</f>
        <v/>
      </c>
      <c r="M443" t="str">
        <f>IF([2]Entry!$G$446="","",[2]Entry!$G$446)</f>
        <v/>
      </c>
      <c r="N443" t="str">
        <f>IF([2]Entry!$M$446="","",[2]Entry!$M$446)</f>
        <v/>
      </c>
      <c r="O443" t="str">
        <f>IF([2]Entry!$N$446="","",[2]Entry!$N$446)</f>
        <v/>
      </c>
      <c r="P443" t="str">
        <f>IF([2]Entry!$R$446="","",[2]Entry!$R$446)</f>
        <v/>
      </c>
    </row>
    <row r="444" spans="1:16" x14ac:dyDescent="0.2">
      <c r="A444" t="str">
        <f>IF([1]Accounts!$D$445="","",[1]Accounts!$A$445)</f>
        <v/>
      </c>
      <c r="B444" t="str">
        <f>IF([1]Accounts!$D$445="","",[1]Accounts!$B$445)</f>
        <v/>
      </c>
      <c r="C444" t="str">
        <f>IF([1]Accounts!$D$445="","",[1]Accounts!$C$445)</f>
        <v/>
      </c>
      <c r="D444" t="str">
        <f>IF([1]Accounts!$D$445="","",[1]Accounts!$D$445)</f>
        <v/>
      </c>
      <c r="E444" t="str">
        <f>IF([1]Accounts!$D$445="","",[1]Accounts!$J$445)</f>
        <v/>
      </c>
      <c r="F444" t="str">
        <f>IF([1]Accounts!$D$445="","",[1]Accounts!$K$445)</f>
        <v/>
      </c>
      <c r="J444" t="str">
        <f>IF([2]Entry!$C$447="","",[2]Entry!$C$447)</f>
        <v/>
      </c>
      <c r="K444" t="str">
        <f>IF([2]Entry!$D$447="","",[2]Entry!$D$447)</f>
        <v/>
      </c>
      <c r="L444" t="str">
        <f>IF([2]Entry!$E$447="","",[2]Entry!$E$447)</f>
        <v/>
      </c>
      <c r="M444" t="str">
        <f>IF([2]Entry!$G$447="","",[2]Entry!$G$447)</f>
        <v/>
      </c>
      <c r="N444" t="str">
        <f>IF([2]Entry!$M$447="","",[2]Entry!$M$447)</f>
        <v/>
      </c>
      <c r="O444" t="str">
        <f>IF([2]Entry!$N$447="","",[2]Entry!$N$447)</f>
        <v/>
      </c>
      <c r="P444" t="str">
        <f>IF([2]Entry!$R$447="","",[2]Entry!$R$447)</f>
        <v/>
      </c>
    </row>
    <row r="445" spans="1:16" x14ac:dyDescent="0.2">
      <c r="A445" t="str">
        <f>IF([1]Accounts!$D$446="","",[1]Accounts!$A$446)</f>
        <v/>
      </c>
      <c r="B445" t="str">
        <f>IF([1]Accounts!$D$446="","",[1]Accounts!$B$446)</f>
        <v/>
      </c>
      <c r="C445" t="str">
        <f>IF([1]Accounts!$D$446="","",[1]Accounts!$C$446)</f>
        <v/>
      </c>
      <c r="D445" t="str">
        <f>IF([1]Accounts!$D$446="","",[1]Accounts!$D$446)</f>
        <v/>
      </c>
      <c r="E445" t="str">
        <f>IF([1]Accounts!$D$446="","",[1]Accounts!$J$446)</f>
        <v/>
      </c>
      <c r="F445" t="str">
        <f>IF([1]Accounts!$D$446="","",[1]Accounts!$K$446)</f>
        <v/>
      </c>
      <c r="J445" t="str">
        <f>IF([2]Entry!$C$448="","",[2]Entry!$C$448)</f>
        <v/>
      </c>
      <c r="K445" t="str">
        <f>IF([2]Entry!$D$448="","",[2]Entry!$D$448)</f>
        <v/>
      </c>
      <c r="L445" t="str">
        <f>IF([2]Entry!$E$448="","",[2]Entry!$E$448)</f>
        <v/>
      </c>
      <c r="M445" t="str">
        <f>IF([2]Entry!$G$448="","",[2]Entry!$G$448)</f>
        <v/>
      </c>
      <c r="N445" t="str">
        <f>IF([2]Entry!$M$448="","",[2]Entry!$M$448)</f>
        <v/>
      </c>
      <c r="O445" t="str">
        <f>IF([2]Entry!$N$448="","",[2]Entry!$N$448)</f>
        <v/>
      </c>
      <c r="P445" t="str">
        <f>IF([2]Entry!$R$448="","",[2]Entry!$R$448)</f>
        <v/>
      </c>
    </row>
    <row r="446" spans="1:16" x14ac:dyDescent="0.2">
      <c r="A446" t="str">
        <f>IF([1]Accounts!$D$447="","",[1]Accounts!$A$447)</f>
        <v/>
      </c>
      <c r="B446" t="str">
        <f>IF([1]Accounts!$D$447="","",[1]Accounts!$B$447)</f>
        <v/>
      </c>
      <c r="C446" t="str">
        <f>IF([1]Accounts!$D$447="","",[1]Accounts!$C$447)</f>
        <v/>
      </c>
      <c r="D446" t="str">
        <f>IF([1]Accounts!$D$447="","",[1]Accounts!$D$447)</f>
        <v/>
      </c>
      <c r="E446" t="str">
        <f>IF([1]Accounts!$D$447="","",[1]Accounts!$J$447)</f>
        <v/>
      </c>
      <c r="F446" t="str">
        <f>IF([1]Accounts!$D$447="","",[1]Accounts!$K$447)</f>
        <v/>
      </c>
      <c r="J446" t="str">
        <f>IF([2]Entry!$C$449="","",[2]Entry!$C$449)</f>
        <v/>
      </c>
      <c r="K446" t="str">
        <f>IF([2]Entry!$D$449="","",[2]Entry!$D$449)</f>
        <v/>
      </c>
      <c r="L446" t="str">
        <f>IF([2]Entry!$E$449="","",[2]Entry!$E$449)</f>
        <v/>
      </c>
      <c r="M446" t="str">
        <f>IF([2]Entry!$G$449="","",[2]Entry!$G$449)</f>
        <v/>
      </c>
      <c r="N446" t="str">
        <f>IF([2]Entry!$M$449="","",[2]Entry!$M$449)</f>
        <v/>
      </c>
      <c r="O446" t="str">
        <f>IF([2]Entry!$N$449="","",[2]Entry!$N$449)</f>
        <v/>
      </c>
      <c r="P446" t="str">
        <f>IF([2]Entry!$R$449="","",[2]Entry!$R$449)</f>
        <v/>
      </c>
    </row>
    <row r="447" spans="1:16" x14ac:dyDescent="0.2">
      <c r="A447" t="str">
        <f>IF([1]Accounts!$D$448="","",[1]Accounts!$A$448)</f>
        <v/>
      </c>
      <c r="B447" t="str">
        <f>IF([1]Accounts!$D$448="","",[1]Accounts!$B$448)</f>
        <v/>
      </c>
      <c r="C447" t="str">
        <f>IF([1]Accounts!$D$448="","",[1]Accounts!$C$448)</f>
        <v/>
      </c>
      <c r="D447" t="str">
        <f>IF([1]Accounts!$D$448="","",[1]Accounts!$D$448)</f>
        <v/>
      </c>
      <c r="E447" t="str">
        <f>IF([1]Accounts!$D$448="","",[1]Accounts!$J$448)</f>
        <v/>
      </c>
      <c r="F447" t="str">
        <f>IF([1]Accounts!$D$448="","",[1]Accounts!$K$448)</f>
        <v/>
      </c>
      <c r="J447" t="str">
        <f>IF([2]Entry!$C$450="","",[2]Entry!$C$450)</f>
        <v/>
      </c>
      <c r="K447" t="str">
        <f>IF([2]Entry!$D$450="","",[2]Entry!$D$450)</f>
        <v/>
      </c>
      <c r="L447" t="str">
        <f>IF([2]Entry!$E$450="","",[2]Entry!$E$450)</f>
        <v/>
      </c>
      <c r="M447" t="str">
        <f>IF([2]Entry!$G$450="","",[2]Entry!$G$450)</f>
        <v/>
      </c>
      <c r="N447" t="str">
        <f>IF([2]Entry!$M$450="","",[2]Entry!$M$450)</f>
        <v/>
      </c>
      <c r="O447" t="str">
        <f>IF([2]Entry!$N$450="","",[2]Entry!$N$450)</f>
        <v/>
      </c>
      <c r="P447" t="str">
        <f>IF([2]Entry!$R$450="","",[2]Entry!$R$450)</f>
        <v/>
      </c>
    </row>
    <row r="448" spans="1:16" x14ac:dyDescent="0.2">
      <c r="A448" t="str">
        <f>IF([1]Accounts!$D$449="","",[1]Accounts!$A$449)</f>
        <v/>
      </c>
      <c r="B448" t="str">
        <f>IF([1]Accounts!$D$449="","",[1]Accounts!$B$449)</f>
        <v/>
      </c>
      <c r="C448" t="str">
        <f>IF([1]Accounts!$D$449="","",[1]Accounts!$C$449)</f>
        <v/>
      </c>
      <c r="D448" t="str">
        <f>IF([1]Accounts!$D$449="","",[1]Accounts!$D$449)</f>
        <v/>
      </c>
      <c r="E448" t="str">
        <f>IF([1]Accounts!$D$449="","",[1]Accounts!$J$449)</f>
        <v/>
      </c>
      <c r="F448" t="str">
        <f>IF([1]Accounts!$D$449="","",[1]Accounts!$K$449)</f>
        <v/>
      </c>
      <c r="J448" t="str">
        <f>IF([2]Entry!$C$451="","",[2]Entry!$C$451)</f>
        <v/>
      </c>
      <c r="K448" t="str">
        <f>IF([2]Entry!$D$451="","",[2]Entry!$D$451)</f>
        <v/>
      </c>
      <c r="L448" t="str">
        <f>IF([2]Entry!$E$451="","",[2]Entry!$E$451)</f>
        <v/>
      </c>
      <c r="M448" t="str">
        <f>IF([2]Entry!$G$451="","",[2]Entry!$G$451)</f>
        <v/>
      </c>
      <c r="N448" t="str">
        <f>IF([2]Entry!$M$451="","",[2]Entry!$M$451)</f>
        <v/>
      </c>
      <c r="O448" t="str">
        <f>IF([2]Entry!$N$451="","",[2]Entry!$N$451)</f>
        <v/>
      </c>
      <c r="P448" t="str">
        <f>IF([2]Entry!$R$451="","",[2]Entry!$R$451)</f>
        <v/>
      </c>
    </row>
    <row r="449" spans="1:16" x14ac:dyDescent="0.2">
      <c r="A449" t="str">
        <f>IF([1]Accounts!$D$450="","",[1]Accounts!$A$450)</f>
        <v/>
      </c>
      <c r="B449" t="str">
        <f>IF([1]Accounts!$D$450="","",[1]Accounts!$B$450)</f>
        <v/>
      </c>
      <c r="C449" t="str">
        <f>IF([1]Accounts!$D$450="","",[1]Accounts!$C$450)</f>
        <v/>
      </c>
      <c r="D449" t="str">
        <f>IF([1]Accounts!$D$450="","",[1]Accounts!$D$450)</f>
        <v/>
      </c>
      <c r="E449" t="str">
        <f>IF([1]Accounts!$D$450="","",[1]Accounts!$J$450)</f>
        <v/>
      </c>
      <c r="F449" t="str">
        <f>IF([1]Accounts!$D$450="","",[1]Accounts!$K$450)</f>
        <v/>
      </c>
      <c r="J449" t="str">
        <f>IF([2]Entry!$C$452="","",[2]Entry!$C$452)</f>
        <v/>
      </c>
      <c r="K449" t="str">
        <f>IF([2]Entry!$D$452="","",[2]Entry!$D$452)</f>
        <v/>
      </c>
      <c r="L449" t="str">
        <f>IF([2]Entry!$E$452="","",[2]Entry!$E$452)</f>
        <v/>
      </c>
      <c r="M449" t="str">
        <f>IF([2]Entry!$G$452="","",[2]Entry!$G$452)</f>
        <v/>
      </c>
      <c r="N449" t="str">
        <f>IF([2]Entry!$M$452="","",[2]Entry!$M$452)</f>
        <v/>
      </c>
      <c r="O449" t="str">
        <f>IF([2]Entry!$N$452="","",[2]Entry!$N$452)</f>
        <v/>
      </c>
      <c r="P449" t="str">
        <f>IF([2]Entry!$R$452="","",[2]Entry!$R$452)</f>
        <v/>
      </c>
    </row>
    <row r="450" spans="1:16" x14ac:dyDescent="0.2">
      <c r="A450" t="str">
        <f>IF([1]Accounts!$D$451="","",[1]Accounts!$A$451)</f>
        <v/>
      </c>
      <c r="B450" t="str">
        <f>IF([1]Accounts!$D$451="","",[1]Accounts!$B$451)</f>
        <v/>
      </c>
      <c r="C450" t="str">
        <f>IF([1]Accounts!$D$451="","",[1]Accounts!$C$451)</f>
        <v/>
      </c>
      <c r="D450" t="str">
        <f>IF([1]Accounts!$D$451="","",[1]Accounts!$D$451)</f>
        <v/>
      </c>
      <c r="E450" t="str">
        <f>IF([1]Accounts!$D$451="","",[1]Accounts!$J$451)</f>
        <v/>
      </c>
      <c r="F450" t="str">
        <f>IF([1]Accounts!$D$451="","",[1]Accounts!$K$451)</f>
        <v/>
      </c>
      <c r="J450" t="str">
        <f>IF([2]Entry!$C$453="","",[2]Entry!$C$453)</f>
        <v/>
      </c>
      <c r="K450" t="str">
        <f>IF([2]Entry!$D$453="","",[2]Entry!$D$453)</f>
        <v/>
      </c>
      <c r="L450" t="str">
        <f>IF([2]Entry!$E$453="","",[2]Entry!$E$453)</f>
        <v/>
      </c>
      <c r="M450" t="str">
        <f>IF([2]Entry!$G$453="","",[2]Entry!$G$453)</f>
        <v/>
      </c>
      <c r="N450" t="str">
        <f>IF([2]Entry!$M$453="","",[2]Entry!$M$453)</f>
        <v/>
      </c>
      <c r="O450" t="str">
        <f>IF([2]Entry!$N$453="","",[2]Entry!$N$453)</f>
        <v/>
      </c>
      <c r="P450" t="str">
        <f>IF([2]Entry!$R$453="","",[2]Entry!$R$453)</f>
        <v/>
      </c>
    </row>
    <row r="451" spans="1:16" x14ac:dyDescent="0.2">
      <c r="A451" t="str">
        <f>IF([1]Accounts!$D$452="","",[1]Accounts!$A$452)</f>
        <v/>
      </c>
      <c r="B451" t="str">
        <f>IF([1]Accounts!$D$452="","",[1]Accounts!$B$452)</f>
        <v/>
      </c>
      <c r="C451" t="str">
        <f>IF([1]Accounts!$D$452="","",[1]Accounts!$C$452)</f>
        <v/>
      </c>
      <c r="D451" t="str">
        <f>IF([1]Accounts!$D$452="","",[1]Accounts!$D$452)</f>
        <v/>
      </c>
      <c r="E451" t="str">
        <f>IF([1]Accounts!$D$452="","",[1]Accounts!$J$452)</f>
        <v/>
      </c>
      <c r="F451" t="str">
        <f>IF([1]Accounts!$D$452="","",[1]Accounts!$K$452)</f>
        <v/>
      </c>
      <c r="J451" t="str">
        <f>IF([2]Entry!$C$454="","",[2]Entry!$C$454)</f>
        <v/>
      </c>
      <c r="K451" t="str">
        <f>IF([2]Entry!$D$454="","",[2]Entry!$D$454)</f>
        <v/>
      </c>
      <c r="L451" t="str">
        <f>IF([2]Entry!$E$454="","",[2]Entry!$E$454)</f>
        <v/>
      </c>
      <c r="M451" t="str">
        <f>IF([2]Entry!$G$454="","",[2]Entry!$G$454)</f>
        <v/>
      </c>
      <c r="N451" t="str">
        <f>IF([2]Entry!$M$454="","",[2]Entry!$M$454)</f>
        <v/>
      </c>
      <c r="O451" t="str">
        <f>IF([2]Entry!$N$454="","",[2]Entry!$N$454)</f>
        <v/>
      </c>
      <c r="P451" t="str">
        <f>IF([2]Entry!$R$454="","",[2]Entry!$R$454)</f>
        <v/>
      </c>
    </row>
    <row r="452" spans="1:16" x14ac:dyDescent="0.2">
      <c r="A452" t="str">
        <f>IF([1]Accounts!$D$453="","",[1]Accounts!$A$453)</f>
        <v/>
      </c>
      <c r="B452" t="str">
        <f>IF([1]Accounts!$D$453="","",[1]Accounts!$B$453)</f>
        <v/>
      </c>
      <c r="C452" t="str">
        <f>IF([1]Accounts!$D$453="","",[1]Accounts!$C$453)</f>
        <v/>
      </c>
      <c r="D452" t="str">
        <f>IF([1]Accounts!$D$453="","",[1]Accounts!$D$453)</f>
        <v/>
      </c>
      <c r="E452" t="str">
        <f>IF([1]Accounts!$D$453="","",[1]Accounts!$J$453)</f>
        <v/>
      </c>
      <c r="F452" t="str">
        <f>IF([1]Accounts!$D$453="","",[1]Accounts!$K$453)</f>
        <v/>
      </c>
      <c r="J452" t="str">
        <f>IF([2]Entry!$C$455="","",[2]Entry!$C$455)</f>
        <v/>
      </c>
      <c r="K452" t="str">
        <f>IF([2]Entry!$D$455="","",[2]Entry!$D$455)</f>
        <v/>
      </c>
      <c r="L452" t="str">
        <f>IF([2]Entry!$E$455="","",[2]Entry!$E$455)</f>
        <v/>
      </c>
      <c r="M452" t="str">
        <f>IF([2]Entry!$G$455="","",[2]Entry!$G$455)</f>
        <v/>
      </c>
      <c r="N452" t="str">
        <f>IF([2]Entry!$M$455="","",[2]Entry!$M$455)</f>
        <v/>
      </c>
      <c r="O452" t="str">
        <f>IF([2]Entry!$N$455="","",[2]Entry!$N$455)</f>
        <v/>
      </c>
      <c r="P452" t="str">
        <f>IF([2]Entry!$R$455="","",[2]Entry!$R$455)</f>
        <v/>
      </c>
    </row>
    <row r="453" spans="1:16" x14ac:dyDescent="0.2">
      <c r="A453" t="str">
        <f>IF([1]Accounts!$D$454="","",[1]Accounts!$A$454)</f>
        <v/>
      </c>
      <c r="B453" t="str">
        <f>IF([1]Accounts!$D$454="","",[1]Accounts!$B$454)</f>
        <v/>
      </c>
      <c r="C453" t="str">
        <f>IF([1]Accounts!$D$454="","",[1]Accounts!$C$454)</f>
        <v/>
      </c>
      <c r="D453" t="str">
        <f>IF([1]Accounts!$D$454="","",[1]Accounts!$D$454)</f>
        <v/>
      </c>
      <c r="E453" t="str">
        <f>IF([1]Accounts!$D$454="","",[1]Accounts!$J$454)</f>
        <v/>
      </c>
      <c r="F453" t="str">
        <f>IF([1]Accounts!$D$454="","",[1]Accounts!$K$454)</f>
        <v/>
      </c>
      <c r="J453" t="str">
        <f>IF([2]Entry!$C$456="","",[2]Entry!$C$456)</f>
        <v/>
      </c>
      <c r="K453" t="str">
        <f>IF([2]Entry!$D$456="","",[2]Entry!$D$456)</f>
        <v/>
      </c>
      <c r="L453" t="str">
        <f>IF([2]Entry!$E$456="","",[2]Entry!$E$456)</f>
        <v/>
      </c>
      <c r="M453" t="str">
        <f>IF([2]Entry!$G$456="","",[2]Entry!$G$456)</f>
        <v/>
      </c>
      <c r="N453" t="str">
        <f>IF([2]Entry!$M$456="","",[2]Entry!$M$456)</f>
        <v/>
      </c>
      <c r="O453" t="str">
        <f>IF([2]Entry!$N$456="","",[2]Entry!$N$456)</f>
        <v/>
      </c>
      <c r="P453" t="str">
        <f>IF([2]Entry!$R$456="","",[2]Entry!$R$456)</f>
        <v/>
      </c>
    </row>
    <row r="454" spans="1:16" x14ac:dyDescent="0.2">
      <c r="A454" t="str">
        <f>IF([1]Accounts!$D$455="","",[1]Accounts!$A$455)</f>
        <v/>
      </c>
      <c r="B454" t="str">
        <f>IF([1]Accounts!$D$455="","",[1]Accounts!$B$455)</f>
        <v/>
      </c>
      <c r="C454" t="str">
        <f>IF([1]Accounts!$D$455="","",[1]Accounts!$C$455)</f>
        <v/>
      </c>
      <c r="D454" t="str">
        <f>IF([1]Accounts!$D$455="","",[1]Accounts!$D$455)</f>
        <v/>
      </c>
      <c r="E454" t="str">
        <f>IF([1]Accounts!$D$455="","",[1]Accounts!$J$455)</f>
        <v/>
      </c>
      <c r="F454" t="str">
        <f>IF([1]Accounts!$D$455="","",[1]Accounts!$K$455)</f>
        <v/>
      </c>
      <c r="J454" t="str">
        <f>IF([2]Entry!$C$457="","",[2]Entry!$C$457)</f>
        <v/>
      </c>
      <c r="K454" t="str">
        <f>IF([2]Entry!$D$457="","",[2]Entry!$D$457)</f>
        <v/>
      </c>
      <c r="L454" t="str">
        <f>IF([2]Entry!$E$457="","",[2]Entry!$E$457)</f>
        <v/>
      </c>
      <c r="M454" t="str">
        <f>IF([2]Entry!$G$457="","",[2]Entry!$G$457)</f>
        <v/>
      </c>
      <c r="N454" t="str">
        <f>IF([2]Entry!$M$457="","",[2]Entry!$M$457)</f>
        <v/>
      </c>
      <c r="O454" t="str">
        <f>IF([2]Entry!$N$457="","",[2]Entry!$N$457)</f>
        <v/>
      </c>
      <c r="P454" t="str">
        <f>IF([2]Entry!$R$457="","",[2]Entry!$R$457)</f>
        <v/>
      </c>
    </row>
    <row r="455" spans="1:16" x14ac:dyDescent="0.2">
      <c r="A455" t="str">
        <f>IF([1]Accounts!$D$456="","",[1]Accounts!$A$456)</f>
        <v/>
      </c>
      <c r="B455" t="str">
        <f>IF([1]Accounts!$D$456="","",[1]Accounts!$B$456)</f>
        <v/>
      </c>
      <c r="C455" t="str">
        <f>IF([1]Accounts!$D$456="","",[1]Accounts!$C$456)</f>
        <v/>
      </c>
      <c r="D455" t="str">
        <f>IF([1]Accounts!$D$456="","",[1]Accounts!$D$456)</f>
        <v/>
      </c>
      <c r="E455" t="str">
        <f>IF([1]Accounts!$D$456="","",[1]Accounts!$J$456)</f>
        <v/>
      </c>
      <c r="F455" t="str">
        <f>IF([1]Accounts!$D$456="","",[1]Accounts!$K$456)</f>
        <v/>
      </c>
      <c r="J455" t="str">
        <f>IF([2]Entry!$C$458="","",[2]Entry!$C$458)</f>
        <v/>
      </c>
      <c r="K455" t="str">
        <f>IF([2]Entry!$D$458="","",[2]Entry!$D$458)</f>
        <v/>
      </c>
      <c r="L455" t="str">
        <f>IF([2]Entry!$E$458="","",[2]Entry!$E$458)</f>
        <v/>
      </c>
      <c r="M455" t="str">
        <f>IF([2]Entry!$G$458="","",[2]Entry!$G$458)</f>
        <v/>
      </c>
      <c r="N455" t="str">
        <f>IF([2]Entry!$M$458="","",[2]Entry!$M$458)</f>
        <v/>
      </c>
      <c r="O455" t="str">
        <f>IF([2]Entry!$N$458="","",[2]Entry!$N$458)</f>
        <v/>
      </c>
      <c r="P455" t="str">
        <f>IF([2]Entry!$R$458="","",[2]Entry!$R$458)</f>
        <v/>
      </c>
    </row>
    <row r="456" spans="1:16" x14ac:dyDescent="0.2">
      <c r="A456" t="str">
        <f>IF([1]Accounts!$D$457="","",[1]Accounts!$A$457)</f>
        <v>X001</v>
      </c>
      <c r="B456">
        <f>IF([1]Accounts!$D$457="","",[1]Accounts!$B$457)</f>
        <v>0</v>
      </c>
      <c r="C456">
        <f>IF([1]Accounts!$D$457="","",[1]Accounts!$C$457)</f>
        <v>0</v>
      </c>
      <c r="D456" t="str">
        <f>IF([1]Accounts!$D$457="","",[1]Accounts!$D$457)</f>
        <v>انعام مصطفی</v>
      </c>
      <c r="E456" t="str">
        <f>IF([1]Accounts!$D$457="","",[1]Accounts!$J$457)</f>
        <v>عادی</v>
      </c>
      <c r="F456" t="str">
        <f>IF([1]Accounts!$D$457="","",[1]Accounts!$K$457)</f>
        <v>معاف</v>
      </c>
      <c r="J456" t="str">
        <f>IF([2]Entry!$C$459="","",[2]Entry!$C$459)</f>
        <v/>
      </c>
      <c r="K456" t="str">
        <f>IF([2]Entry!$D$459="","",[2]Entry!$D$459)</f>
        <v/>
      </c>
      <c r="L456" t="str">
        <f>IF([2]Entry!$E$459="","",[2]Entry!$E$459)</f>
        <v/>
      </c>
      <c r="M456" t="str">
        <f>IF([2]Entry!$G$459="","",[2]Entry!$G$459)</f>
        <v/>
      </c>
      <c r="N456" t="str">
        <f>IF([2]Entry!$M$459="","",[2]Entry!$M$459)</f>
        <v/>
      </c>
      <c r="O456" t="str">
        <f>IF([2]Entry!$N$459="","",[2]Entry!$N$459)</f>
        <v/>
      </c>
      <c r="P456" t="str">
        <f>IF([2]Entry!$R$459="","",[2]Entry!$R$459)</f>
        <v/>
      </c>
    </row>
    <row r="457" spans="1:16" x14ac:dyDescent="0.2">
      <c r="A457" t="str">
        <f>IF([1]Accounts!$D$458="","",[1]Accounts!$A$458)</f>
        <v>X002</v>
      </c>
      <c r="B457">
        <f>IF([1]Accounts!$D$458="","",[1]Accounts!$B$458)</f>
        <v>0</v>
      </c>
      <c r="C457">
        <f>IF([1]Accounts!$D$458="","",[1]Accounts!$C$458)</f>
        <v>0</v>
      </c>
      <c r="D457" t="str">
        <f>IF([1]Accounts!$D$458="","",[1]Accounts!$D$458)</f>
        <v>درامد باسکول(احمد زاهدی)</v>
      </c>
      <c r="E457" t="str">
        <f>IF([1]Accounts!$D$458="","",[1]Accounts!$J$458)</f>
        <v>عادی</v>
      </c>
      <c r="F457" t="str">
        <f>IF([1]Accounts!$D$458="","",[1]Accounts!$K$458)</f>
        <v>معاف</v>
      </c>
      <c r="J457" t="str">
        <f>IF([2]Entry!$C$460="","",[2]Entry!$C$460)</f>
        <v/>
      </c>
      <c r="K457" t="str">
        <f>IF([2]Entry!$D$460="","",[2]Entry!$D$460)</f>
        <v/>
      </c>
      <c r="L457" t="str">
        <f>IF([2]Entry!$E$460="","",[2]Entry!$E$460)</f>
        <v/>
      </c>
      <c r="M457" t="str">
        <f>IF([2]Entry!$G$460="","",[2]Entry!$G$460)</f>
        <v/>
      </c>
      <c r="N457" t="str">
        <f>IF([2]Entry!$M$460="","",[2]Entry!$M$460)</f>
        <v/>
      </c>
      <c r="O457" t="str">
        <f>IF([2]Entry!$N$460="","",[2]Entry!$N$460)</f>
        <v/>
      </c>
      <c r="P457" t="str">
        <f>IF([2]Entry!$R$460="","",[2]Entry!$R$460)</f>
        <v/>
      </c>
    </row>
    <row r="458" spans="1:16" x14ac:dyDescent="0.2">
      <c r="A458" t="str">
        <f>IF([1]Accounts!$D$459="","",[1]Accounts!$A$459)</f>
        <v/>
      </c>
      <c r="B458" t="str">
        <f>IF([1]Accounts!$D$459="","",[1]Accounts!$B$459)</f>
        <v/>
      </c>
      <c r="C458" t="str">
        <f>IF([1]Accounts!$D$459="","",[1]Accounts!$C$459)</f>
        <v/>
      </c>
      <c r="D458" t="str">
        <f>IF([1]Accounts!$D$459="","",[1]Accounts!$D$459)</f>
        <v/>
      </c>
      <c r="E458" t="str">
        <f>IF([1]Accounts!$D$459="","",[1]Accounts!$J$459)</f>
        <v/>
      </c>
      <c r="F458" t="str">
        <f>IF([1]Accounts!$D$459="","",[1]Accounts!$K$459)</f>
        <v/>
      </c>
      <c r="J458" t="str">
        <f>IF([2]Entry!$C$461="","",[2]Entry!$C$461)</f>
        <v/>
      </c>
      <c r="K458" t="str">
        <f>IF([2]Entry!$D$461="","",[2]Entry!$D$461)</f>
        <v/>
      </c>
      <c r="L458" t="str">
        <f>IF([2]Entry!$E$461="","",[2]Entry!$E$461)</f>
        <v/>
      </c>
      <c r="M458" t="str">
        <f>IF([2]Entry!$G$461="","",[2]Entry!$G$461)</f>
        <v/>
      </c>
      <c r="N458" t="str">
        <f>IF([2]Entry!$M$461="","",[2]Entry!$M$461)</f>
        <v/>
      </c>
      <c r="O458" t="str">
        <f>IF([2]Entry!$N$461="","",[2]Entry!$N$461)</f>
        <v/>
      </c>
      <c r="P458" t="str">
        <f>IF([2]Entry!$R$461="","",[2]Entry!$R$461)</f>
        <v/>
      </c>
    </row>
    <row r="459" spans="1:16" x14ac:dyDescent="0.2">
      <c r="A459" t="str">
        <f>IF([1]Accounts!$D$460="","",[1]Accounts!$A$460)</f>
        <v/>
      </c>
      <c r="B459" t="str">
        <f>IF([1]Accounts!$D$460="","",[1]Accounts!$B$460)</f>
        <v/>
      </c>
      <c r="C459" t="str">
        <f>IF([1]Accounts!$D$460="","",[1]Accounts!$C$460)</f>
        <v/>
      </c>
      <c r="D459" t="str">
        <f>IF([1]Accounts!$D$460="","",[1]Accounts!$D$460)</f>
        <v/>
      </c>
      <c r="E459" t="str">
        <f>IF([1]Accounts!$D$460="","",[1]Accounts!$J$460)</f>
        <v/>
      </c>
      <c r="F459" t="str">
        <f>IF([1]Accounts!$D$460="","",[1]Accounts!$K$460)</f>
        <v/>
      </c>
      <c r="J459" t="str">
        <f>IF([2]Entry!$C$462="","",[2]Entry!$C$462)</f>
        <v/>
      </c>
      <c r="K459" t="str">
        <f>IF([2]Entry!$D$462="","",[2]Entry!$D$462)</f>
        <v/>
      </c>
      <c r="L459" t="str">
        <f>IF([2]Entry!$E$462="","",[2]Entry!$E$462)</f>
        <v/>
      </c>
      <c r="M459" t="str">
        <f>IF([2]Entry!$G$462="","",[2]Entry!$G$462)</f>
        <v/>
      </c>
      <c r="N459" t="str">
        <f>IF([2]Entry!$M$462="","",[2]Entry!$M$462)</f>
        <v/>
      </c>
      <c r="O459" t="str">
        <f>IF([2]Entry!$N$462="","",[2]Entry!$N$462)</f>
        <v/>
      </c>
      <c r="P459" t="str">
        <f>IF([2]Entry!$R$462="","",[2]Entry!$R$462)</f>
        <v/>
      </c>
    </row>
    <row r="460" spans="1:16" x14ac:dyDescent="0.2">
      <c r="A460" t="str">
        <f>IF([1]Accounts!$D$461="","",[1]Accounts!$A$461)</f>
        <v/>
      </c>
      <c r="B460" t="str">
        <f>IF([1]Accounts!$D$461="","",[1]Accounts!$B$461)</f>
        <v/>
      </c>
      <c r="C460" t="str">
        <f>IF([1]Accounts!$D$461="","",[1]Accounts!$C$461)</f>
        <v/>
      </c>
      <c r="D460" t="str">
        <f>IF([1]Accounts!$D$461="","",[1]Accounts!$D$461)</f>
        <v/>
      </c>
      <c r="E460" t="str">
        <f>IF([1]Accounts!$D$461="","",[1]Accounts!$J$461)</f>
        <v/>
      </c>
      <c r="F460" t="str">
        <f>IF([1]Accounts!$D$461="","",[1]Accounts!$K$461)</f>
        <v/>
      </c>
      <c r="J460" t="str">
        <f>IF([2]Entry!$C$463="","",[2]Entry!$C$463)</f>
        <v/>
      </c>
      <c r="K460" t="str">
        <f>IF([2]Entry!$D$463="","",[2]Entry!$D$463)</f>
        <v/>
      </c>
      <c r="L460" t="str">
        <f>IF([2]Entry!$E$463="","",[2]Entry!$E$463)</f>
        <v/>
      </c>
      <c r="M460" t="str">
        <f>IF([2]Entry!$G$463="","",[2]Entry!$G$463)</f>
        <v/>
      </c>
      <c r="N460" t="str">
        <f>IF([2]Entry!$M$463="","",[2]Entry!$M$463)</f>
        <v/>
      </c>
      <c r="O460" t="str">
        <f>IF([2]Entry!$N$463="","",[2]Entry!$N$463)</f>
        <v/>
      </c>
      <c r="P460" t="str">
        <f>IF([2]Entry!$R$463="","",[2]Entry!$R$463)</f>
        <v/>
      </c>
    </row>
    <row r="461" spans="1:16" x14ac:dyDescent="0.2">
      <c r="A461" t="str">
        <f>IF([1]Accounts!$D$462="","",[1]Accounts!$A$462)</f>
        <v/>
      </c>
      <c r="B461" t="str">
        <f>IF([1]Accounts!$D$462="","",[1]Accounts!$B$462)</f>
        <v/>
      </c>
      <c r="C461" t="str">
        <f>IF([1]Accounts!$D$462="","",[1]Accounts!$C$462)</f>
        <v/>
      </c>
      <c r="D461" t="str">
        <f>IF([1]Accounts!$D$462="","",[1]Accounts!$D$462)</f>
        <v/>
      </c>
      <c r="E461" t="str">
        <f>IF([1]Accounts!$D$462="","",[1]Accounts!$J$462)</f>
        <v/>
      </c>
      <c r="F461" t="str">
        <f>IF([1]Accounts!$D$462="","",[1]Accounts!$K$462)</f>
        <v/>
      </c>
      <c r="J461" t="str">
        <f>IF([2]Entry!$C$464="","",[2]Entry!$C$464)</f>
        <v/>
      </c>
      <c r="K461" t="str">
        <f>IF([2]Entry!$D$464="","",[2]Entry!$D$464)</f>
        <v/>
      </c>
      <c r="L461" t="str">
        <f>IF([2]Entry!$E$464="","",[2]Entry!$E$464)</f>
        <v/>
      </c>
      <c r="M461" t="str">
        <f>IF([2]Entry!$G$464="","",[2]Entry!$G$464)</f>
        <v/>
      </c>
      <c r="N461" t="str">
        <f>IF([2]Entry!$M$464="","",[2]Entry!$M$464)</f>
        <v/>
      </c>
      <c r="O461" t="str">
        <f>IF([2]Entry!$N$464="","",[2]Entry!$N$464)</f>
        <v/>
      </c>
      <c r="P461" t="str">
        <f>IF([2]Entry!$R$464="","",[2]Entry!$R$464)</f>
        <v/>
      </c>
    </row>
    <row r="462" spans="1:16" x14ac:dyDescent="0.2">
      <c r="A462" t="str">
        <f>IF([1]Accounts!$D$463="","",[1]Accounts!$A$463)</f>
        <v/>
      </c>
      <c r="B462" t="str">
        <f>IF([1]Accounts!$D$463="","",[1]Accounts!$B$463)</f>
        <v/>
      </c>
      <c r="C462" t="str">
        <f>IF([1]Accounts!$D$463="","",[1]Accounts!$C$463)</f>
        <v/>
      </c>
      <c r="D462" t="str">
        <f>IF([1]Accounts!$D$463="","",[1]Accounts!$D$463)</f>
        <v/>
      </c>
      <c r="E462" t="str">
        <f>IF([1]Accounts!$D$463="","",[1]Accounts!$J$463)</f>
        <v/>
      </c>
      <c r="F462" t="str">
        <f>IF([1]Accounts!$D$463="","",[1]Accounts!$K$463)</f>
        <v/>
      </c>
      <c r="J462" t="str">
        <f>IF([2]Entry!$C$465="","",[2]Entry!$C$465)</f>
        <v/>
      </c>
      <c r="K462" t="str">
        <f>IF([2]Entry!$D$465="","",[2]Entry!$D$465)</f>
        <v/>
      </c>
      <c r="L462" t="str">
        <f>IF([2]Entry!$E$465="","",[2]Entry!$E$465)</f>
        <v/>
      </c>
      <c r="M462" t="str">
        <f>IF([2]Entry!$G$465="","",[2]Entry!$G$465)</f>
        <v/>
      </c>
      <c r="N462" t="str">
        <f>IF([2]Entry!$M$465="","",[2]Entry!$M$465)</f>
        <v/>
      </c>
      <c r="O462" t="str">
        <f>IF([2]Entry!$N$465="","",[2]Entry!$N$465)</f>
        <v/>
      </c>
      <c r="P462" t="str">
        <f>IF([2]Entry!$R$465="","",[2]Entry!$R$465)</f>
        <v/>
      </c>
    </row>
    <row r="463" spans="1:16" x14ac:dyDescent="0.2">
      <c r="A463" t="str">
        <f>IF([1]Accounts!$D$464="","",[1]Accounts!$A$464)</f>
        <v/>
      </c>
      <c r="B463" t="str">
        <f>IF([1]Accounts!$D$464="","",[1]Accounts!$B$464)</f>
        <v/>
      </c>
      <c r="C463" t="str">
        <f>IF([1]Accounts!$D$464="","",[1]Accounts!$C$464)</f>
        <v/>
      </c>
      <c r="D463" t="str">
        <f>IF([1]Accounts!$D$464="","",[1]Accounts!$D$464)</f>
        <v/>
      </c>
      <c r="E463" t="str">
        <f>IF([1]Accounts!$D$464="","",[1]Accounts!$J$464)</f>
        <v/>
      </c>
      <c r="F463" t="str">
        <f>IF([1]Accounts!$D$464="","",[1]Accounts!$K$464)</f>
        <v/>
      </c>
      <c r="J463" t="str">
        <f>IF([2]Entry!$C$466="","",[2]Entry!$C$466)</f>
        <v/>
      </c>
      <c r="K463" t="str">
        <f>IF([2]Entry!$D$466="","",[2]Entry!$D$466)</f>
        <v/>
      </c>
      <c r="L463" t="str">
        <f>IF([2]Entry!$E$466="","",[2]Entry!$E$466)</f>
        <v/>
      </c>
      <c r="M463" t="str">
        <f>IF([2]Entry!$G$466="","",[2]Entry!$G$466)</f>
        <v/>
      </c>
      <c r="N463" t="str">
        <f>IF([2]Entry!$M$466="","",[2]Entry!$M$466)</f>
        <v/>
      </c>
      <c r="O463" t="str">
        <f>IF([2]Entry!$N$466="","",[2]Entry!$N$466)</f>
        <v/>
      </c>
      <c r="P463" t="str">
        <f>IF([2]Entry!$R$466="","",[2]Entry!$R$466)</f>
        <v/>
      </c>
    </row>
    <row r="464" spans="1:16" x14ac:dyDescent="0.2">
      <c r="A464" t="str">
        <f>IF([1]Accounts!$D$465="","",[1]Accounts!$A$465)</f>
        <v/>
      </c>
      <c r="B464" t="str">
        <f>IF([1]Accounts!$D$465="","",[1]Accounts!$B$465)</f>
        <v/>
      </c>
      <c r="C464" t="str">
        <f>IF([1]Accounts!$D$465="","",[1]Accounts!$C$465)</f>
        <v/>
      </c>
      <c r="D464" t="str">
        <f>IF([1]Accounts!$D$465="","",[1]Accounts!$D$465)</f>
        <v/>
      </c>
      <c r="E464" t="str">
        <f>IF([1]Accounts!$D$465="","",[1]Accounts!$J$465)</f>
        <v/>
      </c>
      <c r="F464" t="str">
        <f>IF([1]Accounts!$D$465="","",[1]Accounts!$K$465)</f>
        <v/>
      </c>
      <c r="J464" t="str">
        <f>IF([2]Entry!$C$467="","",[2]Entry!$C$467)</f>
        <v/>
      </c>
      <c r="K464" t="str">
        <f>IF([2]Entry!$D$467="","",[2]Entry!$D$467)</f>
        <v/>
      </c>
      <c r="L464" t="str">
        <f>IF([2]Entry!$E$467="","",[2]Entry!$E$467)</f>
        <v/>
      </c>
      <c r="M464" t="str">
        <f>IF([2]Entry!$G$467="","",[2]Entry!$G$467)</f>
        <v/>
      </c>
      <c r="N464" t="str">
        <f>IF([2]Entry!$M$467="","",[2]Entry!$M$467)</f>
        <v/>
      </c>
      <c r="O464" t="str">
        <f>IF([2]Entry!$N$467="","",[2]Entry!$N$467)</f>
        <v/>
      </c>
      <c r="P464" t="str">
        <f>IF([2]Entry!$R$467="","",[2]Entry!$R$467)</f>
        <v/>
      </c>
    </row>
    <row r="465" spans="1:16" x14ac:dyDescent="0.2">
      <c r="A465" t="str">
        <f>IF([1]Accounts!$D$466="","",[1]Accounts!$A$466)</f>
        <v/>
      </c>
      <c r="B465" t="str">
        <f>IF([1]Accounts!$D$466="","",[1]Accounts!$B$466)</f>
        <v/>
      </c>
      <c r="C465" t="str">
        <f>IF([1]Accounts!$D$466="","",[1]Accounts!$C$466)</f>
        <v/>
      </c>
      <c r="D465" t="str">
        <f>IF([1]Accounts!$D$466="","",[1]Accounts!$D$466)</f>
        <v/>
      </c>
      <c r="E465" t="str">
        <f>IF([1]Accounts!$D$466="","",[1]Accounts!$J$466)</f>
        <v/>
      </c>
      <c r="F465" t="str">
        <f>IF([1]Accounts!$D$466="","",[1]Accounts!$K$466)</f>
        <v/>
      </c>
      <c r="J465" t="str">
        <f>IF([2]Entry!$C$468="","",[2]Entry!$C$468)</f>
        <v/>
      </c>
      <c r="K465" t="str">
        <f>IF([2]Entry!$D$468="","",[2]Entry!$D$468)</f>
        <v/>
      </c>
      <c r="L465" t="str">
        <f>IF([2]Entry!$E$468="","",[2]Entry!$E$468)</f>
        <v/>
      </c>
      <c r="M465" t="str">
        <f>IF([2]Entry!$G$468="","",[2]Entry!$G$468)</f>
        <v/>
      </c>
      <c r="N465" t="str">
        <f>IF([2]Entry!$M$468="","",[2]Entry!$M$468)</f>
        <v/>
      </c>
      <c r="O465" t="str">
        <f>IF([2]Entry!$N$468="","",[2]Entry!$N$468)</f>
        <v/>
      </c>
      <c r="P465" t="str">
        <f>IF([2]Entry!$R$468="","",[2]Entry!$R$468)</f>
        <v/>
      </c>
    </row>
    <row r="466" spans="1:16" x14ac:dyDescent="0.2">
      <c r="A466" t="str">
        <f>IF([1]Accounts!$D$467="","",[1]Accounts!$A$467)</f>
        <v/>
      </c>
      <c r="B466" t="str">
        <f>IF([1]Accounts!$D$467="","",[1]Accounts!$B$467)</f>
        <v/>
      </c>
      <c r="C466" t="str">
        <f>IF([1]Accounts!$D$467="","",[1]Accounts!$C$467)</f>
        <v/>
      </c>
      <c r="D466" t="str">
        <f>IF([1]Accounts!$D$467="","",[1]Accounts!$D$467)</f>
        <v/>
      </c>
      <c r="E466" t="str">
        <f>IF([1]Accounts!$D$467="","",[1]Accounts!$J$467)</f>
        <v/>
      </c>
      <c r="F466" t="str">
        <f>IF([1]Accounts!$D$467="","",[1]Accounts!$K$467)</f>
        <v/>
      </c>
      <c r="J466" t="str">
        <f>IF([2]Entry!$C$469="","",[2]Entry!$C$469)</f>
        <v/>
      </c>
      <c r="K466" t="str">
        <f>IF([2]Entry!$D$469="","",[2]Entry!$D$469)</f>
        <v/>
      </c>
      <c r="L466" t="str">
        <f>IF([2]Entry!$E$469="","",[2]Entry!$E$469)</f>
        <v/>
      </c>
      <c r="M466" t="str">
        <f>IF([2]Entry!$G$469="","",[2]Entry!$G$469)</f>
        <v/>
      </c>
      <c r="N466" t="str">
        <f>IF([2]Entry!$M$469="","",[2]Entry!$M$469)</f>
        <v/>
      </c>
      <c r="O466" t="str">
        <f>IF([2]Entry!$N$469="","",[2]Entry!$N$469)</f>
        <v/>
      </c>
      <c r="P466" t="str">
        <f>IF([2]Entry!$R$469="","",[2]Entry!$R$469)</f>
        <v/>
      </c>
    </row>
    <row r="467" spans="1:16" x14ac:dyDescent="0.2">
      <c r="A467" t="str">
        <f>IF([1]Accounts!$D$468="","",[1]Accounts!$A$468)</f>
        <v/>
      </c>
      <c r="B467" t="str">
        <f>IF([1]Accounts!$D$468="","",[1]Accounts!$B$468)</f>
        <v/>
      </c>
      <c r="C467" t="str">
        <f>IF([1]Accounts!$D$468="","",[1]Accounts!$C$468)</f>
        <v/>
      </c>
      <c r="D467" t="str">
        <f>IF([1]Accounts!$D$468="","",[1]Accounts!$D$468)</f>
        <v/>
      </c>
      <c r="E467" t="str">
        <f>IF([1]Accounts!$D$468="","",[1]Accounts!$J$468)</f>
        <v/>
      </c>
      <c r="F467" t="str">
        <f>IF([1]Accounts!$D$468="","",[1]Accounts!$K$468)</f>
        <v/>
      </c>
      <c r="J467" t="str">
        <f>IF([2]Entry!$C$470="","",[2]Entry!$C$470)</f>
        <v/>
      </c>
      <c r="K467" t="str">
        <f>IF([2]Entry!$D$470="","",[2]Entry!$D$470)</f>
        <v/>
      </c>
      <c r="L467" t="str">
        <f>IF([2]Entry!$E$470="","",[2]Entry!$E$470)</f>
        <v/>
      </c>
      <c r="M467" t="str">
        <f>IF([2]Entry!$G$470="","",[2]Entry!$G$470)</f>
        <v/>
      </c>
      <c r="N467" t="str">
        <f>IF([2]Entry!$M$470="","",[2]Entry!$M$470)</f>
        <v/>
      </c>
      <c r="O467" t="str">
        <f>IF([2]Entry!$N$470="","",[2]Entry!$N$470)</f>
        <v/>
      </c>
      <c r="P467" t="str">
        <f>IF([2]Entry!$R$470="","",[2]Entry!$R$470)</f>
        <v/>
      </c>
    </row>
    <row r="468" spans="1:16" x14ac:dyDescent="0.2">
      <c r="A468" t="str">
        <f>IF([1]Accounts!$D$469="","",[1]Accounts!$A$469)</f>
        <v/>
      </c>
      <c r="B468" t="str">
        <f>IF([1]Accounts!$D$469="","",[1]Accounts!$B$469)</f>
        <v/>
      </c>
      <c r="C468" t="str">
        <f>IF([1]Accounts!$D$469="","",[1]Accounts!$C$469)</f>
        <v/>
      </c>
      <c r="D468" t="str">
        <f>IF([1]Accounts!$D$469="","",[1]Accounts!$D$469)</f>
        <v/>
      </c>
      <c r="E468" t="str">
        <f>IF([1]Accounts!$D$469="","",[1]Accounts!$J$469)</f>
        <v/>
      </c>
      <c r="F468" t="str">
        <f>IF([1]Accounts!$D$469="","",[1]Accounts!$K$469)</f>
        <v/>
      </c>
      <c r="J468" t="str">
        <f>IF([2]Entry!$C$471="","",[2]Entry!$C$471)</f>
        <v/>
      </c>
      <c r="K468" t="str">
        <f>IF([2]Entry!$D$471="","",[2]Entry!$D$471)</f>
        <v/>
      </c>
      <c r="L468" t="str">
        <f>IF([2]Entry!$E$471="","",[2]Entry!$E$471)</f>
        <v/>
      </c>
      <c r="M468" t="str">
        <f>IF([2]Entry!$G$471="","",[2]Entry!$G$471)</f>
        <v/>
      </c>
      <c r="N468" t="str">
        <f>IF([2]Entry!$M$471="","",[2]Entry!$M$471)</f>
        <v/>
      </c>
      <c r="O468" t="str">
        <f>IF([2]Entry!$N$471="","",[2]Entry!$N$471)</f>
        <v/>
      </c>
      <c r="P468" t="str">
        <f>IF([2]Entry!$R$471="","",[2]Entry!$R$471)</f>
        <v/>
      </c>
    </row>
    <row r="469" spans="1:16" x14ac:dyDescent="0.2">
      <c r="A469" t="str">
        <f>IF([1]Accounts!$D$470="","",[1]Accounts!$A$470)</f>
        <v/>
      </c>
      <c r="B469" t="str">
        <f>IF([1]Accounts!$D$470="","",[1]Accounts!$B$470)</f>
        <v/>
      </c>
      <c r="C469" t="str">
        <f>IF([1]Accounts!$D$470="","",[1]Accounts!$C$470)</f>
        <v/>
      </c>
      <c r="D469" t="str">
        <f>IF([1]Accounts!$D$470="","",[1]Accounts!$D$470)</f>
        <v/>
      </c>
      <c r="E469" t="str">
        <f>IF([1]Accounts!$D$470="","",[1]Accounts!$J$470)</f>
        <v/>
      </c>
      <c r="F469" t="str">
        <f>IF([1]Accounts!$D$470="","",[1]Accounts!$K$470)</f>
        <v/>
      </c>
      <c r="J469" t="str">
        <f>IF([2]Entry!$C$472="","",[2]Entry!$C$472)</f>
        <v/>
      </c>
      <c r="K469" t="str">
        <f>IF([2]Entry!$D$472="","",[2]Entry!$D$472)</f>
        <v/>
      </c>
      <c r="L469" t="str">
        <f>IF([2]Entry!$E$472="","",[2]Entry!$E$472)</f>
        <v/>
      </c>
      <c r="M469" t="str">
        <f>IF([2]Entry!$G$472="","",[2]Entry!$G$472)</f>
        <v/>
      </c>
      <c r="N469" t="str">
        <f>IF([2]Entry!$M$472="","",[2]Entry!$M$472)</f>
        <v/>
      </c>
      <c r="O469" t="str">
        <f>IF([2]Entry!$N$472="","",[2]Entry!$N$472)</f>
        <v/>
      </c>
      <c r="P469" t="str">
        <f>IF([2]Entry!$R$472="","",[2]Entry!$R$472)</f>
        <v/>
      </c>
    </row>
    <row r="470" spans="1:16" x14ac:dyDescent="0.2">
      <c r="A470" t="str">
        <f>IF([1]Accounts!$D$471="","",[1]Accounts!$A$471)</f>
        <v/>
      </c>
      <c r="B470" t="str">
        <f>IF([1]Accounts!$D$471="","",[1]Accounts!$B$471)</f>
        <v/>
      </c>
      <c r="C470" t="str">
        <f>IF([1]Accounts!$D$471="","",[1]Accounts!$C$471)</f>
        <v/>
      </c>
      <c r="D470" t="str">
        <f>IF([1]Accounts!$D$471="","",[1]Accounts!$D$471)</f>
        <v/>
      </c>
      <c r="E470" t="str">
        <f>IF([1]Accounts!$D$471="","",[1]Accounts!$J$471)</f>
        <v/>
      </c>
      <c r="F470" t="str">
        <f>IF([1]Accounts!$D$471="","",[1]Accounts!$K$471)</f>
        <v/>
      </c>
      <c r="J470" t="str">
        <f>IF([2]Entry!$C$473="","",[2]Entry!$C$473)</f>
        <v/>
      </c>
      <c r="K470" t="str">
        <f>IF([2]Entry!$D$473="","",[2]Entry!$D$473)</f>
        <v/>
      </c>
      <c r="L470" t="str">
        <f>IF([2]Entry!$E$473="","",[2]Entry!$E$473)</f>
        <v/>
      </c>
      <c r="M470" t="str">
        <f>IF([2]Entry!$G$473="","",[2]Entry!$G$473)</f>
        <v/>
      </c>
      <c r="N470" t="str">
        <f>IF([2]Entry!$M$473="","",[2]Entry!$M$473)</f>
        <v/>
      </c>
      <c r="O470" t="str">
        <f>IF([2]Entry!$N$473="","",[2]Entry!$N$473)</f>
        <v/>
      </c>
      <c r="P470" t="str">
        <f>IF([2]Entry!$R$473="","",[2]Entry!$R$473)</f>
        <v/>
      </c>
    </row>
    <row r="471" spans="1:16" x14ac:dyDescent="0.2">
      <c r="A471" t="str">
        <f>IF([1]Accounts!$D$472="","",[1]Accounts!$A$472)</f>
        <v/>
      </c>
      <c r="B471" t="str">
        <f>IF([1]Accounts!$D$472="","",[1]Accounts!$B$472)</f>
        <v/>
      </c>
      <c r="C471" t="str">
        <f>IF([1]Accounts!$D$472="","",[1]Accounts!$C$472)</f>
        <v/>
      </c>
      <c r="D471" t="str">
        <f>IF([1]Accounts!$D$472="","",[1]Accounts!$D$472)</f>
        <v/>
      </c>
      <c r="E471" t="str">
        <f>IF([1]Accounts!$D$472="","",[1]Accounts!$J$472)</f>
        <v/>
      </c>
      <c r="F471" t="str">
        <f>IF([1]Accounts!$D$472="","",[1]Accounts!$K$472)</f>
        <v/>
      </c>
      <c r="J471" t="str">
        <f>IF([2]Entry!$C$474="","",[2]Entry!$C$474)</f>
        <v/>
      </c>
      <c r="K471" t="str">
        <f>IF([2]Entry!$D$474="","",[2]Entry!$D$474)</f>
        <v/>
      </c>
      <c r="L471" t="str">
        <f>IF([2]Entry!$E$474="","",[2]Entry!$E$474)</f>
        <v/>
      </c>
      <c r="M471" t="str">
        <f>IF([2]Entry!$G$474="","",[2]Entry!$G$474)</f>
        <v/>
      </c>
      <c r="N471" t="str">
        <f>IF([2]Entry!$M$474="","",[2]Entry!$M$474)</f>
        <v/>
      </c>
      <c r="O471" t="str">
        <f>IF([2]Entry!$N$474="","",[2]Entry!$N$474)</f>
        <v/>
      </c>
      <c r="P471" t="str">
        <f>IF([2]Entry!$R$474="","",[2]Entry!$R$474)</f>
        <v/>
      </c>
    </row>
    <row r="472" spans="1:16" x14ac:dyDescent="0.2">
      <c r="A472" t="str">
        <f>IF([1]Accounts!$D$473="","",[1]Accounts!$A$473)</f>
        <v/>
      </c>
      <c r="B472" t="str">
        <f>IF([1]Accounts!$D$473="","",[1]Accounts!$B$473)</f>
        <v/>
      </c>
      <c r="C472" t="str">
        <f>IF([1]Accounts!$D$473="","",[1]Accounts!$C$473)</f>
        <v/>
      </c>
      <c r="D472" t="str">
        <f>IF([1]Accounts!$D$473="","",[1]Accounts!$D$473)</f>
        <v/>
      </c>
      <c r="E472" t="str">
        <f>IF([1]Accounts!$D$473="","",[1]Accounts!$J$473)</f>
        <v/>
      </c>
      <c r="F472" t="str">
        <f>IF([1]Accounts!$D$473="","",[1]Accounts!$K$473)</f>
        <v/>
      </c>
      <c r="J472" t="str">
        <f>IF([2]Entry!$C$475="","",[2]Entry!$C$475)</f>
        <v/>
      </c>
      <c r="K472" t="str">
        <f>IF([2]Entry!$D$475="","",[2]Entry!$D$475)</f>
        <v/>
      </c>
      <c r="L472" t="str">
        <f>IF([2]Entry!$E$475="","",[2]Entry!$E$475)</f>
        <v/>
      </c>
      <c r="M472" t="str">
        <f>IF([2]Entry!$G$475="","",[2]Entry!$G$475)</f>
        <v/>
      </c>
      <c r="N472" t="str">
        <f>IF([2]Entry!$M$475="","",[2]Entry!$M$475)</f>
        <v/>
      </c>
      <c r="O472" t="str">
        <f>IF([2]Entry!$N$475="","",[2]Entry!$N$475)</f>
        <v/>
      </c>
      <c r="P472" t="str">
        <f>IF([2]Entry!$R$475="","",[2]Entry!$R$475)</f>
        <v/>
      </c>
    </row>
    <row r="473" spans="1:16" x14ac:dyDescent="0.2">
      <c r="A473" t="str">
        <f>IF([1]Accounts!$D$474="","",[1]Accounts!$A$474)</f>
        <v/>
      </c>
      <c r="B473" t="str">
        <f>IF([1]Accounts!$D$474="","",[1]Accounts!$B$474)</f>
        <v/>
      </c>
      <c r="C473" t="str">
        <f>IF([1]Accounts!$D$474="","",[1]Accounts!$C$474)</f>
        <v/>
      </c>
      <c r="D473" t="str">
        <f>IF([1]Accounts!$D$474="","",[1]Accounts!$D$474)</f>
        <v/>
      </c>
      <c r="E473" t="str">
        <f>IF([1]Accounts!$D$474="","",[1]Accounts!$J$474)</f>
        <v/>
      </c>
      <c r="F473" t="str">
        <f>IF([1]Accounts!$D$474="","",[1]Accounts!$K$474)</f>
        <v/>
      </c>
      <c r="J473" t="str">
        <f>IF([2]Entry!$C$476="","",[2]Entry!$C$476)</f>
        <v/>
      </c>
      <c r="K473" t="str">
        <f>IF([2]Entry!$D$476="","",[2]Entry!$D$476)</f>
        <v/>
      </c>
      <c r="L473" t="str">
        <f>IF([2]Entry!$E$476="","",[2]Entry!$E$476)</f>
        <v/>
      </c>
      <c r="M473" t="str">
        <f>IF([2]Entry!$G$476="","",[2]Entry!$G$476)</f>
        <v/>
      </c>
      <c r="N473" t="str">
        <f>IF([2]Entry!$M$476="","",[2]Entry!$M$476)</f>
        <v/>
      </c>
      <c r="O473" t="str">
        <f>IF([2]Entry!$N$476="","",[2]Entry!$N$476)</f>
        <v/>
      </c>
      <c r="P473" t="str">
        <f>IF([2]Entry!$R$476="","",[2]Entry!$R$476)</f>
        <v/>
      </c>
    </row>
    <row r="474" spans="1:16" x14ac:dyDescent="0.2">
      <c r="A474" t="str">
        <f>IF([1]Accounts!$D$475="","",[1]Accounts!$A$475)</f>
        <v/>
      </c>
      <c r="B474" t="str">
        <f>IF([1]Accounts!$D$475="","",[1]Accounts!$B$475)</f>
        <v/>
      </c>
      <c r="C474" t="str">
        <f>IF([1]Accounts!$D$475="","",[1]Accounts!$C$475)</f>
        <v/>
      </c>
      <c r="D474" t="str">
        <f>IF([1]Accounts!$D$475="","",[1]Accounts!$D$475)</f>
        <v/>
      </c>
      <c r="E474" t="str">
        <f>IF([1]Accounts!$D$475="","",[1]Accounts!$J$475)</f>
        <v/>
      </c>
      <c r="F474" t="str">
        <f>IF([1]Accounts!$D$475="","",[1]Accounts!$K$475)</f>
        <v/>
      </c>
      <c r="J474" t="str">
        <f>IF([2]Entry!$C$477="","",[2]Entry!$C$477)</f>
        <v/>
      </c>
      <c r="K474" t="str">
        <f>IF([2]Entry!$D$477="","",[2]Entry!$D$477)</f>
        <v/>
      </c>
      <c r="L474" t="str">
        <f>IF([2]Entry!$E$477="","",[2]Entry!$E$477)</f>
        <v/>
      </c>
      <c r="M474" t="str">
        <f>IF([2]Entry!$G$477="","",[2]Entry!$G$477)</f>
        <v/>
      </c>
      <c r="N474" t="str">
        <f>IF([2]Entry!$M$477="","",[2]Entry!$M$477)</f>
        <v/>
      </c>
      <c r="O474" t="str">
        <f>IF([2]Entry!$N$477="","",[2]Entry!$N$477)</f>
        <v/>
      </c>
      <c r="P474" t="str">
        <f>IF([2]Entry!$R$477="","",[2]Entry!$R$477)</f>
        <v/>
      </c>
    </row>
    <row r="475" spans="1:16" x14ac:dyDescent="0.2">
      <c r="A475" t="str">
        <f>IF([1]Accounts!$D$476="","",[1]Accounts!$A$476)</f>
        <v/>
      </c>
      <c r="B475" t="str">
        <f>IF([1]Accounts!$D$476="","",[1]Accounts!$B$476)</f>
        <v/>
      </c>
      <c r="C475" t="str">
        <f>IF([1]Accounts!$D$476="","",[1]Accounts!$C$476)</f>
        <v/>
      </c>
      <c r="D475" t="str">
        <f>IF([1]Accounts!$D$476="","",[1]Accounts!$D$476)</f>
        <v/>
      </c>
      <c r="E475" t="str">
        <f>IF([1]Accounts!$D$476="","",[1]Accounts!$J$476)</f>
        <v/>
      </c>
      <c r="F475" t="str">
        <f>IF([1]Accounts!$D$476="","",[1]Accounts!$K$476)</f>
        <v/>
      </c>
      <c r="J475" t="str">
        <f>IF([2]Entry!$C$478="","",[2]Entry!$C$478)</f>
        <v/>
      </c>
      <c r="K475" t="str">
        <f>IF([2]Entry!$D$478="","",[2]Entry!$D$478)</f>
        <v/>
      </c>
      <c r="L475" t="str">
        <f>IF([2]Entry!$E$478="","",[2]Entry!$E$478)</f>
        <v/>
      </c>
      <c r="M475" t="str">
        <f>IF([2]Entry!$G$478="","",[2]Entry!$G$478)</f>
        <v/>
      </c>
      <c r="N475" t="str">
        <f>IF([2]Entry!$M$478="","",[2]Entry!$M$478)</f>
        <v/>
      </c>
      <c r="O475" t="str">
        <f>IF([2]Entry!$N$478="","",[2]Entry!$N$478)</f>
        <v/>
      </c>
      <c r="P475" t="str">
        <f>IF([2]Entry!$R$478="","",[2]Entry!$R$478)</f>
        <v/>
      </c>
    </row>
    <row r="476" spans="1:16" x14ac:dyDescent="0.2">
      <c r="A476" t="str">
        <f>IF([1]Accounts!$D$477="","",[1]Accounts!$A$477)</f>
        <v/>
      </c>
      <c r="B476" t="str">
        <f>IF([1]Accounts!$D$477="","",[1]Accounts!$B$477)</f>
        <v/>
      </c>
      <c r="C476" t="str">
        <f>IF([1]Accounts!$D$477="","",[1]Accounts!$C$477)</f>
        <v/>
      </c>
      <c r="D476" t="str">
        <f>IF([1]Accounts!$D$477="","",[1]Accounts!$D$477)</f>
        <v/>
      </c>
      <c r="E476" t="str">
        <f>IF([1]Accounts!$D$477="","",[1]Accounts!$J$477)</f>
        <v/>
      </c>
      <c r="F476" t="str">
        <f>IF([1]Accounts!$D$477="","",[1]Accounts!$K$477)</f>
        <v/>
      </c>
      <c r="J476" t="str">
        <f>IF([2]Entry!$C$479="","",[2]Entry!$C$479)</f>
        <v/>
      </c>
      <c r="K476" t="str">
        <f>IF([2]Entry!$D$479="","",[2]Entry!$D$479)</f>
        <v/>
      </c>
      <c r="L476" t="str">
        <f>IF([2]Entry!$E$479="","",[2]Entry!$E$479)</f>
        <v/>
      </c>
      <c r="M476" t="str">
        <f>IF([2]Entry!$G$479="","",[2]Entry!$G$479)</f>
        <v/>
      </c>
      <c r="N476" t="str">
        <f>IF([2]Entry!$M$479="","",[2]Entry!$M$479)</f>
        <v/>
      </c>
      <c r="O476" t="str">
        <f>IF([2]Entry!$N$479="","",[2]Entry!$N$479)</f>
        <v/>
      </c>
      <c r="P476" t="str">
        <f>IF([2]Entry!$R$479="","",[2]Entry!$R$479)</f>
        <v/>
      </c>
    </row>
    <row r="477" spans="1:16" x14ac:dyDescent="0.2">
      <c r="A477" t="str">
        <f>IF([1]Accounts!$D$478="","",[1]Accounts!$A$478)</f>
        <v/>
      </c>
      <c r="B477" t="str">
        <f>IF([1]Accounts!$D$478="","",[1]Accounts!$B$478)</f>
        <v/>
      </c>
      <c r="C477" t="str">
        <f>IF([1]Accounts!$D$478="","",[1]Accounts!$C$478)</f>
        <v/>
      </c>
      <c r="D477" t="str">
        <f>IF([1]Accounts!$D$478="","",[1]Accounts!$D$478)</f>
        <v/>
      </c>
      <c r="E477" t="str">
        <f>IF([1]Accounts!$D$478="","",[1]Accounts!$J$478)</f>
        <v/>
      </c>
      <c r="F477" t="str">
        <f>IF([1]Accounts!$D$478="","",[1]Accounts!$K$478)</f>
        <v/>
      </c>
      <c r="J477" t="str">
        <f>IF([2]Entry!$C$480="","",[2]Entry!$C$480)</f>
        <v/>
      </c>
      <c r="K477" t="str">
        <f>IF([2]Entry!$D$480="","",[2]Entry!$D$480)</f>
        <v/>
      </c>
      <c r="L477" t="str">
        <f>IF([2]Entry!$E$480="","",[2]Entry!$E$480)</f>
        <v/>
      </c>
      <c r="M477" t="str">
        <f>IF([2]Entry!$G$480="","",[2]Entry!$G$480)</f>
        <v/>
      </c>
      <c r="N477" t="str">
        <f>IF([2]Entry!$M$480="","",[2]Entry!$M$480)</f>
        <v/>
      </c>
      <c r="O477" t="str">
        <f>IF([2]Entry!$N$480="","",[2]Entry!$N$480)</f>
        <v/>
      </c>
      <c r="P477" t="str">
        <f>IF([2]Entry!$R$480="","",[2]Entry!$R$480)</f>
        <v/>
      </c>
    </row>
    <row r="478" spans="1:16" x14ac:dyDescent="0.2">
      <c r="A478" t="str">
        <f>IF([1]Accounts!$D$479="","",[1]Accounts!$A$479)</f>
        <v/>
      </c>
      <c r="B478" t="str">
        <f>IF([1]Accounts!$D$479="","",[1]Accounts!$B$479)</f>
        <v/>
      </c>
      <c r="C478" t="str">
        <f>IF([1]Accounts!$D$479="","",[1]Accounts!$C$479)</f>
        <v/>
      </c>
      <c r="D478" t="str">
        <f>IF([1]Accounts!$D$479="","",[1]Accounts!$D$479)</f>
        <v/>
      </c>
      <c r="E478" t="str">
        <f>IF([1]Accounts!$D$479="","",[1]Accounts!$J$479)</f>
        <v/>
      </c>
      <c r="F478" t="str">
        <f>IF([1]Accounts!$D$479="","",[1]Accounts!$K$479)</f>
        <v/>
      </c>
      <c r="J478" t="str">
        <f>IF([2]Entry!$C$481="","",[2]Entry!$C$481)</f>
        <v/>
      </c>
      <c r="K478" t="str">
        <f>IF([2]Entry!$D$481="","",[2]Entry!$D$481)</f>
        <v/>
      </c>
      <c r="L478" t="str">
        <f>IF([2]Entry!$E$481="","",[2]Entry!$E$481)</f>
        <v/>
      </c>
      <c r="M478" t="str">
        <f>IF([2]Entry!$G$481="","",[2]Entry!$G$481)</f>
        <v/>
      </c>
      <c r="N478" t="str">
        <f>IF([2]Entry!$M$481="","",[2]Entry!$M$481)</f>
        <v/>
      </c>
      <c r="O478" t="str">
        <f>IF([2]Entry!$N$481="","",[2]Entry!$N$481)</f>
        <v/>
      </c>
      <c r="P478" t="str">
        <f>IF([2]Entry!$R$481="","",[2]Entry!$R$481)</f>
        <v/>
      </c>
    </row>
    <row r="479" spans="1:16" x14ac:dyDescent="0.2">
      <c r="A479" t="str">
        <f>IF([1]Accounts!$D$480="","",[1]Accounts!$A$480)</f>
        <v/>
      </c>
      <c r="B479" t="str">
        <f>IF([1]Accounts!$D$480="","",[1]Accounts!$B$480)</f>
        <v/>
      </c>
      <c r="C479" t="str">
        <f>IF([1]Accounts!$D$480="","",[1]Accounts!$C$480)</f>
        <v/>
      </c>
      <c r="D479" t="str">
        <f>IF([1]Accounts!$D$480="","",[1]Accounts!$D$480)</f>
        <v/>
      </c>
      <c r="E479" t="str">
        <f>IF([1]Accounts!$D$480="","",[1]Accounts!$J$480)</f>
        <v/>
      </c>
      <c r="F479" t="str">
        <f>IF([1]Accounts!$D$480="","",[1]Accounts!$K$480)</f>
        <v/>
      </c>
      <c r="J479" t="str">
        <f>IF([2]Entry!$C$482="","",[2]Entry!$C$482)</f>
        <v/>
      </c>
      <c r="K479" t="str">
        <f>IF([2]Entry!$D$482="","",[2]Entry!$D$482)</f>
        <v/>
      </c>
      <c r="L479" t="str">
        <f>IF([2]Entry!$E$482="","",[2]Entry!$E$482)</f>
        <v/>
      </c>
      <c r="M479" t="str">
        <f>IF([2]Entry!$G$482="","",[2]Entry!$G$482)</f>
        <v/>
      </c>
      <c r="N479" t="str">
        <f>IF([2]Entry!$M$482="","",[2]Entry!$M$482)</f>
        <v/>
      </c>
      <c r="O479" t="str">
        <f>IF([2]Entry!$N$482="","",[2]Entry!$N$482)</f>
        <v/>
      </c>
      <c r="P479" t="str">
        <f>IF([2]Entry!$R$482="","",[2]Entry!$R$482)</f>
        <v/>
      </c>
    </row>
    <row r="480" spans="1:16" x14ac:dyDescent="0.2">
      <c r="A480" t="str">
        <f>IF([1]Accounts!$D$481="","",[1]Accounts!$A$481)</f>
        <v/>
      </c>
      <c r="B480" t="str">
        <f>IF([1]Accounts!$D$481="","",[1]Accounts!$B$481)</f>
        <v/>
      </c>
      <c r="C480" t="str">
        <f>IF([1]Accounts!$D$481="","",[1]Accounts!$C$481)</f>
        <v/>
      </c>
      <c r="D480" t="str">
        <f>IF([1]Accounts!$D$481="","",[1]Accounts!$D$481)</f>
        <v/>
      </c>
      <c r="E480" t="str">
        <f>IF([1]Accounts!$D$481="","",[1]Accounts!$J$481)</f>
        <v/>
      </c>
      <c r="F480" t="str">
        <f>IF([1]Accounts!$D$481="","",[1]Accounts!$K$481)</f>
        <v/>
      </c>
      <c r="J480" t="str">
        <f>IF([2]Entry!$C$483="","",[2]Entry!$C$483)</f>
        <v/>
      </c>
      <c r="K480" t="str">
        <f>IF([2]Entry!$D$483="","",[2]Entry!$D$483)</f>
        <v/>
      </c>
      <c r="L480" t="str">
        <f>IF([2]Entry!$E$483="","",[2]Entry!$E$483)</f>
        <v/>
      </c>
      <c r="M480" t="str">
        <f>IF([2]Entry!$G$483="","",[2]Entry!$G$483)</f>
        <v/>
      </c>
      <c r="N480" t="str">
        <f>IF([2]Entry!$M$483="","",[2]Entry!$M$483)</f>
        <v/>
      </c>
      <c r="O480" t="str">
        <f>IF([2]Entry!$N$483="","",[2]Entry!$N$483)</f>
        <v/>
      </c>
      <c r="P480" t="str">
        <f>IF([2]Entry!$R$483="","",[2]Entry!$R$483)</f>
        <v/>
      </c>
    </row>
    <row r="481" spans="1:16" x14ac:dyDescent="0.2">
      <c r="A481" t="str">
        <f>IF([1]Accounts!$D$482="","",[1]Accounts!$A$482)</f>
        <v/>
      </c>
      <c r="B481" t="str">
        <f>IF([1]Accounts!$D$482="","",[1]Accounts!$B$482)</f>
        <v/>
      </c>
      <c r="C481" t="str">
        <f>IF([1]Accounts!$D$482="","",[1]Accounts!$C$482)</f>
        <v/>
      </c>
      <c r="D481" t="str">
        <f>IF([1]Accounts!$D$482="","",[1]Accounts!$D$482)</f>
        <v/>
      </c>
      <c r="E481" t="str">
        <f>IF([1]Accounts!$D$482="","",[1]Accounts!$J$482)</f>
        <v/>
      </c>
      <c r="F481" t="str">
        <f>IF([1]Accounts!$D$482="","",[1]Accounts!$K$482)</f>
        <v/>
      </c>
      <c r="J481" t="str">
        <f>IF([2]Entry!$C$484="","",[2]Entry!$C$484)</f>
        <v/>
      </c>
      <c r="K481" t="str">
        <f>IF([2]Entry!$D$484="","",[2]Entry!$D$484)</f>
        <v/>
      </c>
      <c r="L481" t="str">
        <f>IF([2]Entry!$E$484="","",[2]Entry!$E$484)</f>
        <v/>
      </c>
      <c r="M481" t="str">
        <f>IF([2]Entry!$G$484="","",[2]Entry!$G$484)</f>
        <v/>
      </c>
      <c r="N481" t="str">
        <f>IF([2]Entry!$M$484="","",[2]Entry!$M$484)</f>
        <v/>
      </c>
      <c r="O481" t="str">
        <f>IF([2]Entry!$N$484="","",[2]Entry!$N$484)</f>
        <v/>
      </c>
      <c r="P481" t="str">
        <f>IF([2]Entry!$R$484="","",[2]Entry!$R$484)</f>
        <v/>
      </c>
    </row>
    <row r="482" spans="1:16" x14ac:dyDescent="0.2">
      <c r="A482" t="str">
        <f>IF([1]Accounts!$D$483="","",[1]Accounts!$A$483)</f>
        <v/>
      </c>
      <c r="B482" t="str">
        <f>IF([1]Accounts!$D$483="","",[1]Accounts!$B$483)</f>
        <v/>
      </c>
      <c r="C482" t="str">
        <f>IF([1]Accounts!$D$483="","",[1]Accounts!$C$483)</f>
        <v/>
      </c>
      <c r="D482" t="str">
        <f>IF([1]Accounts!$D$483="","",[1]Accounts!$D$483)</f>
        <v/>
      </c>
      <c r="E482" t="str">
        <f>IF([1]Accounts!$D$483="","",[1]Accounts!$J$483)</f>
        <v/>
      </c>
      <c r="F482" t="str">
        <f>IF([1]Accounts!$D$483="","",[1]Accounts!$K$483)</f>
        <v/>
      </c>
      <c r="J482" t="str">
        <f>IF([2]Entry!$C$485="","",[2]Entry!$C$485)</f>
        <v/>
      </c>
      <c r="K482" t="str">
        <f>IF([2]Entry!$D$485="","",[2]Entry!$D$485)</f>
        <v/>
      </c>
      <c r="L482" t="str">
        <f>IF([2]Entry!$E$485="","",[2]Entry!$E$485)</f>
        <v/>
      </c>
      <c r="M482" t="str">
        <f>IF([2]Entry!$G$485="","",[2]Entry!$G$485)</f>
        <v/>
      </c>
      <c r="N482" t="str">
        <f>IF([2]Entry!$M$485="","",[2]Entry!$M$485)</f>
        <v/>
      </c>
      <c r="O482" t="str">
        <f>IF([2]Entry!$N$485="","",[2]Entry!$N$485)</f>
        <v/>
      </c>
      <c r="P482" t="str">
        <f>IF([2]Entry!$R$485="","",[2]Entry!$R$485)</f>
        <v/>
      </c>
    </row>
    <row r="483" spans="1:16" x14ac:dyDescent="0.2">
      <c r="A483" t="str">
        <f>IF([1]Accounts!$D$484="","",[1]Accounts!$A$484)</f>
        <v/>
      </c>
      <c r="B483" t="str">
        <f>IF([1]Accounts!$D$484="","",[1]Accounts!$B$484)</f>
        <v/>
      </c>
      <c r="C483" t="str">
        <f>IF([1]Accounts!$D$484="","",[1]Accounts!$C$484)</f>
        <v/>
      </c>
      <c r="D483" t="str">
        <f>IF([1]Accounts!$D$484="","",[1]Accounts!$D$484)</f>
        <v/>
      </c>
      <c r="E483" t="str">
        <f>IF([1]Accounts!$D$484="","",[1]Accounts!$J$484)</f>
        <v/>
      </c>
      <c r="F483" t="str">
        <f>IF([1]Accounts!$D$484="","",[1]Accounts!$K$484)</f>
        <v/>
      </c>
      <c r="J483" t="str">
        <f>IF([2]Entry!$C$486="","",[2]Entry!$C$486)</f>
        <v/>
      </c>
      <c r="K483" t="str">
        <f>IF([2]Entry!$D$486="","",[2]Entry!$D$486)</f>
        <v/>
      </c>
      <c r="L483" t="str">
        <f>IF([2]Entry!$E$486="","",[2]Entry!$E$486)</f>
        <v/>
      </c>
      <c r="M483" t="str">
        <f>IF([2]Entry!$G$486="","",[2]Entry!$G$486)</f>
        <v/>
      </c>
      <c r="N483" t="str">
        <f>IF([2]Entry!$M$486="","",[2]Entry!$M$486)</f>
        <v/>
      </c>
      <c r="O483" t="str">
        <f>IF([2]Entry!$N$486="","",[2]Entry!$N$486)</f>
        <v/>
      </c>
      <c r="P483" t="str">
        <f>IF([2]Entry!$R$486="","",[2]Entry!$R$486)</f>
        <v/>
      </c>
    </row>
    <row r="484" spans="1:16" x14ac:dyDescent="0.2">
      <c r="A484" t="str">
        <f>IF([1]Accounts!$D$485="","",[1]Accounts!$A$485)</f>
        <v/>
      </c>
      <c r="B484" t="str">
        <f>IF([1]Accounts!$D$485="","",[1]Accounts!$B$485)</f>
        <v/>
      </c>
      <c r="C484" t="str">
        <f>IF([1]Accounts!$D$485="","",[1]Accounts!$C$485)</f>
        <v/>
      </c>
      <c r="D484" t="str">
        <f>IF([1]Accounts!$D$485="","",[1]Accounts!$D$485)</f>
        <v/>
      </c>
      <c r="E484" t="str">
        <f>IF([1]Accounts!$D$485="","",[1]Accounts!$J$485)</f>
        <v/>
      </c>
      <c r="F484" t="str">
        <f>IF([1]Accounts!$D$485="","",[1]Accounts!$K$485)</f>
        <v/>
      </c>
      <c r="J484" t="str">
        <f>IF([2]Entry!$C$487="","",[2]Entry!$C$487)</f>
        <v/>
      </c>
      <c r="K484" t="str">
        <f>IF([2]Entry!$D$487="","",[2]Entry!$D$487)</f>
        <v/>
      </c>
      <c r="L484" t="str">
        <f>IF([2]Entry!$E$487="","",[2]Entry!$E$487)</f>
        <v/>
      </c>
      <c r="M484" t="str">
        <f>IF([2]Entry!$G$487="","",[2]Entry!$G$487)</f>
        <v/>
      </c>
      <c r="N484" t="str">
        <f>IF([2]Entry!$M$487="","",[2]Entry!$M$487)</f>
        <v/>
      </c>
      <c r="O484" t="str">
        <f>IF([2]Entry!$N$487="","",[2]Entry!$N$487)</f>
        <v/>
      </c>
      <c r="P484" t="str">
        <f>IF([2]Entry!$R$487="","",[2]Entry!$R$487)</f>
        <v/>
      </c>
    </row>
    <row r="485" spans="1:16" x14ac:dyDescent="0.2">
      <c r="A485" t="str">
        <f>IF([1]Accounts!$D$486="","",[1]Accounts!$A$486)</f>
        <v/>
      </c>
      <c r="B485" t="str">
        <f>IF([1]Accounts!$D$486="","",[1]Accounts!$B$486)</f>
        <v/>
      </c>
      <c r="C485" t="str">
        <f>IF([1]Accounts!$D$486="","",[1]Accounts!$C$486)</f>
        <v/>
      </c>
      <c r="D485" t="str">
        <f>IF([1]Accounts!$D$486="","",[1]Accounts!$D$486)</f>
        <v/>
      </c>
      <c r="E485" t="str">
        <f>IF([1]Accounts!$D$486="","",[1]Accounts!$J$486)</f>
        <v/>
      </c>
      <c r="F485" t="str">
        <f>IF([1]Accounts!$D$486="","",[1]Accounts!$K$486)</f>
        <v/>
      </c>
      <c r="J485" t="str">
        <f>IF([2]Entry!$C$488="","",[2]Entry!$C$488)</f>
        <v/>
      </c>
      <c r="K485" t="str">
        <f>IF([2]Entry!$D$488="","",[2]Entry!$D$488)</f>
        <v/>
      </c>
      <c r="L485" t="str">
        <f>IF([2]Entry!$E$488="","",[2]Entry!$E$488)</f>
        <v/>
      </c>
      <c r="M485" t="str">
        <f>IF([2]Entry!$G$488="","",[2]Entry!$G$488)</f>
        <v/>
      </c>
      <c r="N485" t="str">
        <f>IF([2]Entry!$M$488="","",[2]Entry!$M$488)</f>
        <v/>
      </c>
      <c r="O485" t="str">
        <f>IF([2]Entry!$N$488="","",[2]Entry!$N$488)</f>
        <v/>
      </c>
      <c r="P485" t="str">
        <f>IF([2]Entry!$R$488="","",[2]Entry!$R$488)</f>
        <v/>
      </c>
    </row>
    <row r="486" spans="1:16" x14ac:dyDescent="0.2">
      <c r="A486" t="str">
        <f>IF([1]Accounts!$D$487="","",[1]Accounts!$A$487)</f>
        <v/>
      </c>
      <c r="B486" t="str">
        <f>IF([1]Accounts!$D$487="","",[1]Accounts!$B$487)</f>
        <v/>
      </c>
      <c r="C486" t="str">
        <f>IF([1]Accounts!$D$487="","",[1]Accounts!$C$487)</f>
        <v/>
      </c>
      <c r="D486" t="str">
        <f>IF([1]Accounts!$D$487="","",[1]Accounts!$D$487)</f>
        <v/>
      </c>
      <c r="E486" t="str">
        <f>IF([1]Accounts!$D$487="","",[1]Accounts!$J$487)</f>
        <v/>
      </c>
      <c r="F486" t="str">
        <f>IF([1]Accounts!$D$487="","",[1]Accounts!$K$487)</f>
        <v/>
      </c>
      <c r="J486" t="str">
        <f>IF([2]Entry!$C$489="","",[2]Entry!$C$489)</f>
        <v/>
      </c>
      <c r="K486" t="str">
        <f>IF([2]Entry!$D$489="","",[2]Entry!$D$489)</f>
        <v/>
      </c>
      <c r="L486" t="str">
        <f>IF([2]Entry!$E$489="","",[2]Entry!$E$489)</f>
        <v/>
      </c>
      <c r="M486" t="str">
        <f>IF([2]Entry!$G$489="","",[2]Entry!$G$489)</f>
        <v/>
      </c>
      <c r="N486" t="str">
        <f>IF([2]Entry!$M$489="","",[2]Entry!$M$489)</f>
        <v/>
      </c>
      <c r="O486" t="str">
        <f>IF([2]Entry!$N$489="","",[2]Entry!$N$489)</f>
        <v/>
      </c>
      <c r="P486" t="str">
        <f>IF([2]Entry!$R$489="","",[2]Entry!$R$489)</f>
        <v/>
      </c>
    </row>
    <row r="487" spans="1:16" x14ac:dyDescent="0.2">
      <c r="A487" t="str">
        <f>IF([1]Accounts!$D$488="","",[1]Accounts!$A$488)</f>
        <v/>
      </c>
      <c r="B487" t="str">
        <f>IF([1]Accounts!$D$488="","",[1]Accounts!$B$488)</f>
        <v/>
      </c>
      <c r="C487" t="str">
        <f>IF([1]Accounts!$D$488="","",[1]Accounts!$C$488)</f>
        <v/>
      </c>
      <c r="D487" t="str">
        <f>IF([1]Accounts!$D$488="","",[1]Accounts!$D$488)</f>
        <v/>
      </c>
      <c r="E487" t="str">
        <f>IF([1]Accounts!$D$488="","",[1]Accounts!$J$488)</f>
        <v/>
      </c>
      <c r="F487" t="str">
        <f>IF([1]Accounts!$D$488="","",[1]Accounts!$K$488)</f>
        <v/>
      </c>
      <c r="J487" t="str">
        <f>IF([2]Entry!$C$490="","",[2]Entry!$C$490)</f>
        <v/>
      </c>
      <c r="K487" t="str">
        <f>IF([2]Entry!$D$490="","",[2]Entry!$D$490)</f>
        <v/>
      </c>
      <c r="L487" t="str">
        <f>IF([2]Entry!$E$490="","",[2]Entry!$E$490)</f>
        <v/>
      </c>
      <c r="M487" t="str">
        <f>IF([2]Entry!$G$490="","",[2]Entry!$G$490)</f>
        <v/>
      </c>
      <c r="N487" t="str">
        <f>IF([2]Entry!$M$490="","",[2]Entry!$M$490)</f>
        <v/>
      </c>
      <c r="O487" t="str">
        <f>IF([2]Entry!$N$490="","",[2]Entry!$N$490)</f>
        <v/>
      </c>
      <c r="P487" t="str">
        <f>IF([2]Entry!$R$490="","",[2]Entry!$R$490)</f>
        <v/>
      </c>
    </row>
    <row r="488" spans="1:16" x14ac:dyDescent="0.2">
      <c r="A488" t="str">
        <f>IF([1]Accounts!$D$489="","",[1]Accounts!$A$489)</f>
        <v/>
      </c>
      <c r="B488" t="str">
        <f>IF([1]Accounts!$D$489="","",[1]Accounts!$B$489)</f>
        <v/>
      </c>
      <c r="C488" t="str">
        <f>IF([1]Accounts!$D$489="","",[1]Accounts!$C$489)</f>
        <v/>
      </c>
      <c r="D488" t="str">
        <f>IF([1]Accounts!$D$489="","",[1]Accounts!$D$489)</f>
        <v/>
      </c>
      <c r="E488" t="str">
        <f>IF([1]Accounts!$D$489="","",[1]Accounts!$J$489)</f>
        <v/>
      </c>
      <c r="F488" t="str">
        <f>IF([1]Accounts!$D$489="","",[1]Accounts!$K$489)</f>
        <v/>
      </c>
      <c r="J488" t="str">
        <f>IF([2]Entry!$C$491="","",[2]Entry!$C$491)</f>
        <v/>
      </c>
      <c r="K488" t="str">
        <f>IF([2]Entry!$D$491="","",[2]Entry!$D$491)</f>
        <v/>
      </c>
      <c r="L488" t="str">
        <f>IF([2]Entry!$E$491="","",[2]Entry!$E$491)</f>
        <v/>
      </c>
      <c r="M488" t="str">
        <f>IF([2]Entry!$G$491="","",[2]Entry!$G$491)</f>
        <v/>
      </c>
      <c r="N488" t="str">
        <f>IF([2]Entry!$M$491="","",[2]Entry!$M$491)</f>
        <v/>
      </c>
      <c r="O488" t="str">
        <f>IF([2]Entry!$N$491="","",[2]Entry!$N$491)</f>
        <v/>
      </c>
      <c r="P488" t="str">
        <f>IF([2]Entry!$R$491="","",[2]Entry!$R$491)</f>
        <v/>
      </c>
    </row>
    <row r="489" spans="1:16" x14ac:dyDescent="0.2">
      <c r="A489" t="str">
        <f>IF([1]Accounts!$D$490="","",[1]Accounts!$A$490)</f>
        <v/>
      </c>
      <c r="B489" t="str">
        <f>IF([1]Accounts!$D$490="","",[1]Accounts!$B$490)</f>
        <v/>
      </c>
      <c r="C489" t="str">
        <f>IF([1]Accounts!$D$490="","",[1]Accounts!$C$490)</f>
        <v/>
      </c>
      <c r="D489" t="str">
        <f>IF([1]Accounts!$D$490="","",[1]Accounts!$D$490)</f>
        <v/>
      </c>
      <c r="E489" t="str">
        <f>IF([1]Accounts!$D$490="","",[1]Accounts!$J$490)</f>
        <v/>
      </c>
      <c r="F489" t="str">
        <f>IF([1]Accounts!$D$490="","",[1]Accounts!$K$490)</f>
        <v/>
      </c>
      <c r="J489" t="str">
        <f>IF([2]Entry!$C$492="","",[2]Entry!$C$492)</f>
        <v/>
      </c>
      <c r="K489" t="str">
        <f>IF([2]Entry!$D$492="","",[2]Entry!$D$492)</f>
        <v/>
      </c>
      <c r="L489" t="str">
        <f>IF([2]Entry!$E$492="","",[2]Entry!$E$492)</f>
        <v/>
      </c>
      <c r="M489" t="str">
        <f>IF([2]Entry!$G$492="","",[2]Entry!$G$492)</f>
        <v/>
      </c>
      <c r="N489" t="str">
        <f>IF([2]Entry!$M$492="","",[2]Entry!$M$492)</f>
        <v/>
      </c>
      <c r="O489" t="str">
        <f>IF([2]Entry!$N$492="","",[2]Entry!$N$492)</f>
        <v/>
      </c>
      <c r="P489" t="str">
        <f>IF([2]Entry!$R$492="","",[2]Entry!$R$492)</f>
        <v/>
      </c>
    </row>
    <row r="490" spans="1:16" x14ac:dyDescent="0.2">
      <c r="A490" t="str">
        <f>IF([1]Accounts!$D$491="","",[1]Accounts!$A$491)</f>
        <v/>
      </c>
      <c r="B490" t="str">
        <f>IF([1]Accounts!$D$491="","",[1]Accounts!$B$491)</f>
        <v/>
      </c>
      <c r="C490" t="str">
        <f>IF([1]Accounts!$D$491="","",[1]Accounts!$C$491)</f>
        <v/>
      </c>
      <c r="D490" t="str">
        <f>IF([1]Accounts!$D$491="","",[1]Accounts!$D$491)</f>
        <v/>
      </c>
      <c r="E490" t="str">
        <f>IF([1]Accounts!$D$491="","",[1]Accounts!$J$491)</f>
        <v/>
      </c>
      <c r="F490" t="str">
        <f>IF([1]Accounts!$D$491="","",[1]Accounts!$K$491)</f>
        <v/>
      </c>
      <c r="J490" t="str">
        <f>IF([2]Entry!$C$493="","",[2]Entry!$C$493)</f>
        <v/>
      </c>
      <c r="K490" t="str">
        <f>IF([2]Entry!$D$493="","",[2]Entry!$D$493)</f>
        <v/>
      </c>
      <c r="L490" t="str">
        <f>IF([2]Entry!$E$493="","",[2]Entry!$E$493)</f>
        <v/>
      </c>
      <c r="M490" t="str">
        <f>IF([2]Entry!$G$493="","",[2]Entry!$G$493)</f>
        <v/>
      </c>
      <c r="N490" t="str">
        <f>IF([2]Entry!$M$493="","",[2]Entry!$M$493)</f>
        <v/>
      </c>
      <c r="O490" t="str">
        <f>IF([2]Entry!$N$493="","",[2]Entry!$N$493)</f>
        <v/>
      </c>
      <c r="P490" t="str">
        <f>IF([2]Entry!$R$493="","",[2]Entry!$R$493)</f>
        <v/>
      </c>
    </row>
    <row r="491" spans="1:16" x14ac:dyDescent="0.2">
      <c r="A491" t="str">
        <f>IF([1]Accounts!$D$492="","",[1]Accounts!$A$492)</f>
        <v/>
      </c>
      <c r="B491" t="str">
        <f>IF([1]Accounts!$D$492="","",[1]Accounts!$B$492)</f>
        <v/>
      </c>
      <c r="C491" t="str">
        <f>IF([1]Accounts!$D$492="","",[1]Accounts!$C$492)</f>
        <v/>
      </c>
      <c r="D491" t="str">
        <f>IF([1]Accounts!$D$492="","",[1]Accounts!$D$492)</f>
        <v/>
      </c>
      <c r="E491" t="str">
        <f>IF([1]Accounts!$D$492="","",[1]Accounts!$J$492)</f>
        <v/>
      </c>
      <c r="F491" t="str">
        <f>IF([1]Accounts!$D$492="","",[1]Accounts!$K$492)</f>
        <v/>
      </c>
      <c r="J491" t="str">
        <f>IF([2]Entry!$C$494="","",[2]Entry!$C$494)</f>
        <v/>
      </c>
      <c r="K491" t="str">
        <f>IF([2]Entry!$D$494="","",[2]Entry!$D$494)</f>
        <v/>
      </c>
      <c r="L491" t="str">
        <f>IF([2]Entry!$E$494="","",[2]Entry!$E$494)</f>
        <v/>
      </c>
      <c r="M491" t="str">
        <f>IF([2]Entry!$G$494="","",[2]Entry!$G$494)</f>
        <v/>
      </c>
      <c r="N491" t="str">
        <f>IF([2]Entry!$M$494="","",[2]Entry!$M$494)</f>
        <v/>
      </c>
      <c r="O491" t="str">
        <f>IF([2]Entry!$N$494="","",[2]Entry!$N$494)</f>
        <v/>
      </c>
      <c r="P491" t="str">
        <f>IF([2]Entry!$R$494="","",[2]Entry!$R$494)</f>
        <v/>
      </c>
    </row>
    <row r="492" spans="1:16" x14ac:dyDescent="0.2">
      <c r="A492" t="str">
        <f>IF([1]Accounts!$D$493="","",[1]Accounts!$A$493)</f>
        <v/>
      </c>
      <c r="B492" t="str">
        <f>IF([1]Accounts!$D$493="","",[1]Accounts!$B$493)</f>
        <v/>
      </c>
      <c r="C492" t="str">
        <f>IF([1]Accounts!$D$493="","",[1]Accounts!$C$493)</f>
        <v/>
      </c>
      <c r="D492" t="str">
        <f>IF([1]Accounts!$D$493="","",[1]Accounts!$D$493)</f>
        <v/>
      </c>
      <c r="E492" t="str">
        <f>IF([1]Accounts!$D$493="","",[1]Accounts!$J$493)</f>
        <v/>
      </c>
      <c r="F492" t="str">
        <f>IF([1]Accounts!$D$493="","",[1]Accounts!$K$493)</f>
        <v/>
      </c>
      <c r="J492" t="str">
        <f>IF([2]Entry!$C$495="","",[2]Entry!$C$495)</f>
        <v/>
      </c>
      <c r="K492" t="str">
        <f>IF([2]Entry!$D$495="","",[2]Entry!$D$495)</f>
        <v/>
      </c>
      <c r="L492" t="str">
        <f>IF([2]Entry!$E$495="","",[2]Entry!$E$495)</f>
        <v/>
      </c>
      <c r="M492" t="str">
        <f>IF([2]Entry!$G$495="","",[2]Entry!$G$495)</f>
        <v/>
      </c>
      <c r="N492" t="str">
        <f>IF([2]Entry!$M$495="","",[2]Entry!$M$495)</f>
        <v/>
      </c>
      <c r="O492" t="str">
        <f>IF([2]Entry!$N$495="","",[2]Entry!$N$495)</f>
        <v/>
      </c>
      <c r="P492" t="str">
        <f>IF([2]Entry!$R$495="","",[2]Entry!$R$495)</f>
        <v/>
      </c>
    </row>
    <row r="493" spans="1:16" x14ac:dyDescent="0.2">
      <c r="A493" t="str">
        <f>IF([1]Accounts!$D$494="","",[1]Accounts!$A$494)</f>
        <v/>
      </c>
      <c r="B493" t="str">
        <f>IF([1]Accounts!$D$494="","",[1]Accounts!$B$494)</f>
        <v/>
      </c>
      <c r="C493" t="str">
        <f>IF([1]Accounts!$D$494="","",[1]Accounts!$C$494)</f>
        <v/>
      </c>
      <c r="D493" t="str">
        <f>IF([1]Accounts!$D$494="","",[1]Accounts!$D$494)</f>
        <v/>
      </c>
      <c r="E493" t="str">
        <f>IF([1]Accounts!$D$494="","",[1]Accounts!$J$494)</f>
        <v/>
      </c>
      <c r="F493" t="str">
        <f>IF([1]Accounts!$D$494="","",[1]Accounts!$K$494)</f>
        <v/>
      </c>
      <c r="J493" t="str">
        <f>IF([2]Entry!$C$496="","",[2]Entry!$C$496)</f>
        <v/>
      </c>
      <c r="K493" t="str">
        <f>IF([2]Entry!$D$496="","",[2]Entry!$D$496)</f>
        <v/>
      </c>
      <c r="L493" t="str">
        <f>IF([2]Entry!$E$496="","",[2]Entry!$E$496)</f>
        <v/>
      </c>
      <c r="M493" t="str">
        <f>IF([2]Entry!$G$496="","",[2]Entry!$G$496)</f>
        <v/>
      </c>
      <c r="N493" t="str">
        <f>IF([2]Entry!$M$496="","",[2]Entry!$M$496)</f>
        <v/>
      </c>
      <c r="O493" t="str">
        <f>IF([2]Entry!$N$496="","",[2]Entry!$N$496)</f>
        <v/>
      </c>
      <c r="P493" t="str">
        <f>IF([2]Entry!$R$496="","",[2]Entry!$R$496)</f>
        <v/>
      </c>
    </row>
    <row r="494" spans="1:16" x14ac:dyDescent="0.2">
      <c r="A494" t="str">
        <f>IF([1]Accounts!$D$495="","",[1]Accounts!$A$495)</f>
        <v/>
      </c>
      <c r="B494" t="str">
        <f>IF([1]Accounts!$D$495="","",[1]Accounts!$B$495)</f>
        <v/>
      </c>
      <c r="C494" t="str">
        <f>IF([1]Accounts!$D$495="","",[1]Accounts!$C$495)</f>
        <v/>
      </c>
      <c r="D494" t="str">
        <f>IF([1]Accounts!$D$495="","",[1]Accounts!$D$495)</f>
        <v/>
      </c>
      <c r="E494" t="str">
        <f>IF([1]Accounts!$D$495="","",[1]Accounts!$J$495)</f>
        <v/>
      </c>
      <c r="F494" t="str">
        <f>IF([1]Accounts!$D$495="","",[1]Accounts!$K$495)</f>
        <v/>
      </c>
      <c r="J494" t="str">
        <f>IF([2]Entry!$C$497="","",[2]Entry!$C$497)</f>
        <v/>
      </c>
      <c r="K494" t="str">
        <f>IF([2]Entry!$D$497="","",[2]Entry!$D$497)</f>
        <v/>
      </c>
      <c r="L494" t="str">
        <f>IF([2]Entry!$E$497="","",[2]Entry!$E$497)</f>
        <v/>
      </c>
      <c r="M494" t="str">
        <f>IF([2]Entry!$G$497="","",[2]Entry!$G$497)</f>
        <v/>
      </c>
      <c r="N494" t="str">
        <f>IF([2]Entry!$M$497="","",[2]Entry!$M$497)</f>
        <v/>
      </c>
      <c r="O494" t="str">
        <f>IF([2]Entry!$N$497="","",[2]Entry!$N$497)</f>
        <v/>
      </c>
      <c r="P494" t="str">
        <f>IF([2]Entry!$R$497="","",[2]Entry!$R$497)</f>
        <v/>
      </c>
    </row>
    <row r="495" spans="1:16" x14ac:dyDescent="0.2">
      <c r="A495" t="str">
        <f>IF([1]Accounts!$D$496="","",[1]Accounts!$A$496)</f>
        <v/>
      </c>
      <c r="B495" t="str">
        <f>IF([1]Accounts!$D$496="","",[1]Accounts!$B$496)</f>
        <v/>
      </c>
      <c r="C495" t="str">
        <f>IF([1]Accounts!$D$496="","",[1]Accounts!$C$496)</f>
        <v/>
      </c>
      <c r="D495" t="str">
        <f>IF([1]Accounts!$D$496="","",[1]Accounts!$D$496)</f>
        <v/>
      </c>
      <c r="E495" t="str">
        <f>IF([1]Accounts!$D$496="","",[1]Accounts!$J$496)</f>
        <v/>
      </c>
      <c r="F495" t="str">
        <f>IF([1]Accounts!$D$496="","",[1]Accounts!$K$496)</f>
        <v/>
      </c>
      <c r="J495" t="str">
        <f>IF([2]Entry!$C$498="","",[2]Entry!$C$498)</f>
        <v/>
      </c>
      <c r="K495" t="str">
        <f>IF([2]Entry!$D$498="","",[2]Entry!$D$498)</f>
        <v/>
      </c>
      <c r="L495" t="str">
        <f>IF([2]Entry!$E$498="","",[2]Entry!$E$498)</f>
        <v/>
      </c>
      <c r="M495" t="str">
        <f>IF([2]Entry!$G$498="","",[2]Entry!$G$498)</f>
        <v/>
      </c>
      <c r="N495" t="str">
        <f>IF([2]Entry!$M$498="","",[2]Entry!$M$498)</f>
        <v/>
      </c>
      <c r="O495" t="str">
        <f>IF([2]Entry!$N$498="","",[2]Entry!$N$498)</f>
        <v/>
      </c>
      <c r="P495" t="str">
        <f>IF([2]Entry!$R$498="","",[2]Entry!$R$498)</f>
        <v/>
      </c>
    </row>
    <row r="496" spans="1:16" x14ac:dyDescent="0.2">
      <c r="A496" t="str">
        <f>IF([1]Accounts!$D$497="","",[1]Accounts!$A$497)</f>
        <v/>
      </c>
      <c r="B496" t="str">
        <f>IF([1]Accounts!$D$497="","",[1]Accounts!$B$497)</f>
        <v/>
      </c>
      <c r="C496" t="str">
        <f>IF([1]Accounts!$D$497="","",[1]Accounts!$C$497)</f>
        <v/>
      </c>
      <c r="D496" t="str">
        <f>IF([1]Accounts!$D$497="","",[1]Accounts!$D$497)</f>
        <v/>
      </c>
      <c r="E496" t="str">
        <f>IF([1]Accounts!$D$497="","",[1]Accounts!$J$497)</f>
        <v/>
      </c>
      <c r="F496" t="str">
        <f>IF([1]Accounts!$D$497="","",[1]Accounts!$K$497)</f>
        <v/>
      </c>
      <c r="J496" t="str">
        <f>IF([2]Entry!$C$499="","",[2]Entry!$C$499)</f>
        <v/>
      </c>
      <c r="K496" t="str">
        <f>IF([2]Entry!$D$499="","",[2]Entry!$D$499)</f>
        <v/>
      </c>
      <c r="L496" t="str">
        <f>IF([2]Entry!$E$499="","",[2]Entry!$E$499)</f>
        <v/>
      </c>
      <c r="M496" t="str">
        <f>IF([2]Entry!$G$499="","",[2]Entry!$G$499)</f>
        <v/>
      </c>
      <c r="N496" t="str">
        <f>IF([2]Entry!$M$499="","",[2]Entry!$M$499)</f>
        <v/>
      </c>
      <c r="O496" t="str">
        <f>IF([2]Entry!$N$499="","",[2]Entry!$N$499)</f>
        <v/>
      </c>
      <c r="P496" t="str">
        <f>IF([2]Entry!$R$499="","",[2]Entry!$R$499)</f>
        <v/>
      </c>
    </row>
    <row r="497" spans="1:16" x14ac:dyDescent="0.2">
      <c r="A497" t="str">
        <f>IF([1]Accounts!$D$498="","",[1]Accounts!$A$498)</f>
        <v/>
      </c>
      <c r="B497" t="str">
        <f>IF([1]Accounts!$D$498="","",[1]Accounts!$B$498)</f>
        <v/>
      </c>
      <c r="C497" t="str">
        <f>IF([1]Accounts!$D$498="","",[1]Accounts!$C$498)</f>
        <v/>
      </c>
      <c r="D497" t="str">
        <f>IF([1]Accounts!$D$498="","",[1]Accounts!$D$498)</f>
        <v/>
      </c>
      <c r="E497" t="str">
        <f>IF([1]Accounts!$D$498="","",[1]Accounts!$J$498)</f>
        <v/>
      </c>
      <c r="F497" t="str">
        <f>IF([1]Accounts!$D$498="","",[1]Accounts!$K$498)</f>
        <v/>
      </c>
      <c r="J497" t="str">
        <f>IF([2]Entry!$C$500="","",[2]Entry!$C$500)</f>
        <v/>
      </c>
      <c r="K497" t="str">
        <f>IF([2]Entry!$D$500="","",[2]Entry!$D$500)</f>
        <v/>
      </c>
      <c r="L497" t="str">
        <f>IF([2]Entry!$E$500="","",[2]Entry!$E$500)</f>
        <v/>
      </c>
      <c r="M497" t="str">
        <f>IF([2]Entry!$G$500="","",[2]Entry!$G$500)</f>
        <v/>
      </c>
      <c r="N497" t="str">
        <f>IF([2]Entry!$M$500="","",[2]Entry!$M$500)</f>
        <v/>
      </c>
      <c r="O497" t="str">
        <f>IF([2]Entry!$N$500="","",[2]Entry!$N$500)</f>
        <v/>
      </c>
      <c r="P497" t="str">
        <f>IF([2]Entry!$R$500="","",[2]Entry!$R$500)</f>
        <v/>
      </c>
    </row>
    <row r="498" spans="1:16" x14ac:dyDescent="0.2">
      <c r="A498" t="str">
        <f>IF([1]Accounts!$D$499="","",[1]Accounts!$A$499)</f>
        <v/>
      </c>
      <c r="B498" t="str">
        <f>IF([1]Accounts!$D$499="","",[1]Accounts!$B$499)</f>
        <v/>
      </c>
      <c r="C498" t="str">
        <f>IF([1]Accounts!$D$499="","",[1]Accounts!$C$499)</f>
        <v/>
      </c>
      <c r="D498" t="str">
        <f>IF([1]Accounts!$D$499="","",[1]Accounts!$D$499)</f>
        <v/>
      </c>
      <c r="E498" t="str">
        <f>IF([1]Accounts!$D$499="","",[1]Accounts!$J$499)</f>
        <v/>
      </c>
      <c r="F498" t="str">
        <f>IF([1]Accounts!$D$499="","",[1]Accounts!$K$499)</f>
        <v/>
      </c>
      <c r="J498" t="str">
        <f>IF([2]Entry!$C$501="","",[2]Entry!$C$501)</f>
        <v/>
      </c>
      <c r="K498" t="str">
        <f>IF([2]Entry!$D$501="","",[2]Entry!$D$501)</f>
        <v/>
      </c>
      <c r="L498" t="str">
        <f>IF([2]Entry!$E$501="","",[2]Entry!$E$501)</f>
        <v/>
      </c>
      <c r="M498" t="str">
        <f>IF([2]Entry!$G$501="","",[2]Entry!$G$501)</f>
        <v/>
      </c>
      <c r="N498" t="str">
        <f>IF([2]Entry!$M$501="","",[2]Entry!$M$501)</f>
        <v/>
      </c>
      <c r="O498" t="str">
        <f>IF([2]Entry!$N$501="","",[2]Entry!$N$501)</f>
        <v/>
      </c>
      <c r="P498" t="str">
        <f>IF([2]Entry!$R$501="","",[2]Entry!$R$501)</f>
        <v/>
      </c>
    </row>
    <row r="499" spans="1:16" x14ac:dyDescent="0.2">
      <c r="A499" t="str">
        <f>IF([1]Accounts!$D$500="","",[1]Accounts!$A$500)</f>
        <v/>
      </c>
      <c r="B499" t="str">
        <f>IF([1]Accounts!$D$500="","",[1]Accounts!$B$500)</f>
        <v/>
      </c>
      <c r="C499" t="str">
        <f>IF([1]Accounts!$D$500="","",[1]Accounts!$C$500)</f>
        <v/>
      </c>
      <c r="D499" t="str">
        <f>IF([1]Accounts!$D$500="","",[1]Accounts!$D$500)</f>
        <v/>
      </c>
      <c r="E499" t="str">
        <f>IF([1]Accounts!$D$500="","",[1]Accounts!$J$500)</f>
        <v/>
      </c>
      <c r="F499" t="str">
        <f>IF([1]Accounts!$D$500="","",[1]Accounts!$K$500)</f>
        <v/>
      </c>
      <c r="J499" t="str">
        <f>IF([2]Entry!$C$502="","",[2]Entry!$C$502)</f>
        <v/>
      </c>
      <c r="K499" t="str">
        <f>IF([2]Entry!$D$502="","",[2]Entry!$D$502)</f>
        <v/>
      </c>
      <c r="L499" t="str">
        <f>IF([2]Entry!$E$502="","",[2]Entry!$E$502)</f>
        <v/>
      </c>
      <c r="M499" t="str">
        <f>IF([2]Entry!$G$502="","",[2]Entry!$G$502)</f>
        <v/>
      </c>
      <c r="N499" t="str">
        <f>IF([2]Entry!$M$502="","",[2]Entry!$M$502)</f>
        <v/>
      </c>
      <c r="O499" t="str">
        <f>IF([2]Entry!$N$502="","",[2]Entry!$N$502)</f>
        <v/>
      </c>
      <c r="P499" t="str">
        <f>IF([2]Entry!$R$502="","",[2]Entry!$R$502)</f>
        <v/>
      </c>
    </row>
    <row r="500" spans="1:16" x14ac:dyDescent="0.2">
      <c r="A500" t="str">
        <f>IF([1]Accounts!$D$501="","",[1]Accounts!$A$501)</f>
        <v/>
      </c>
      <c r="B500" t="str">
        <f>IF([1]Accounts!$D$501="","",[1]Accounts!$B$501)</f>
        <v/>
      </c>
      <c r="C500" t="str">
        <f>IF([1]Accounts!$D$501="","",[1]Accounts!$C$501)</f>
        <v/>
      </c>
      <c r="D500" t="str">
        <f>IF([1]Accounts!$D$501="","",[1]Accounts!$D$501)</f>
        <v/>
      </c>
      <c r="E500" t="str">
        <f>IF([1]Accounts!$D$501="","",[1]Accounts!$J$501)</f>
        <v/>
      </c>
      <c r="F500" t="str">
        <f>IF([1]Accounts!$D$501="","",[1]Accounts!$K$501)</f>
        <v/>
      </c>
      <c r="J500" t="str">
        <f>IF([2]Entry!$C$503="","",[2]Entry!$C$503)</f>
        <v/>
      </c>
      <c r="K500" t="str">
        <f>IF([2]Entry!$D$503="","",[2]Entry!$D$503)</f>
        <v/>
      </c>
      <c r="L500" t="str">
        <f>IF([2]Entry!$E$503="","",[2]Entry!$E$503)</f>
        <v/>
      </c>
      <c r="M500" t="str">
        <f>IF([2]Entry!$G$503="","",[2]Entry!$G$503)</f>
        <v/>
      </c>
      <c r="N500" t="str">
        <f>IF([2]Entry!$M$503="","",[2]Entry!$M$503)</f>
        <v/>
      </c>
      <c r="O500" t="str">
        <f>IF([2]Entry!$N$503="","",[2]Entry!$N$503)</f>
        <v/>
      </c>
      <c r="P500" t="str">
        <f>IF([2]Entry!$R$503="","",[2]Entry!$R$503)</f>
        <v/>
      </c>
    </row>
    <row r="501" spans="1:16" x14ac:dyDescent="0.2">
      <c r="A501" t="str">
        <f>IF([1]Accounts!$D$502="","",[1]Accounts!$A$502)</f>
        <v/>
      </c>
      <c r="B501" t="str">
        <f>IF([1]Accounts!$D$502="","",[1]Accounts!$B$502)</f>
        <v/>
      </c>
      <c r="C501" t="str">
        <f>IF([1]Accounts!$D$502="","",[1]Accounts!$C$502)</f>
        <v/>
      </c>
      <c r="D501" t="str">
        <f>IF([1]Accounts!$D$502="","",[1]Accounts!$D$502)</f>
        <v/>
      </c>
      <c r="E501" t="str">
        <f>IF([1]Accounts!$D$502="","",[1]Accounts!$J$502)</f>
        <v/>
      </c>
      <c r="F501" t="str">
        <f>IF([1]Accounts!$D$502="","",[1]Accounts!$K$502)</f>
        <v/>
      </c>
      <c r="J501" t="str">
        <f>IF([2]Entry!$C$504="","",[2]Entry!$C$504)</f>
        <v/>
      </c>
      <c r="K501" t="str">
        <f>IF([2]Entry!$D$504="","",[2]Entry!$D$504)</f>
        <v/>
      </c>
      <c r="L501" t="str">
        <f>IF([2]Entry!$E$504="","",[2]Entry!$E$504)</f>
        <v/>
      </c>
      <c r="M501" t="str">
        <f>IF([2]Entry!$G$504="","",[2]Entry!$G$504)</f>
        <v/>
      </c>
      <c r="N501" t="str">
        <f>IF([2]Entry!$M$504="","",[2]Entry!$M$504)</f>
        <v/>
      </c>
      <c r="O501" t="str">
        <f>IF([2]Entry!$N$504="","",[2]Entry!$N$504)</f>
        <v/>
      </c>
      <c r="P501" t="str">
        <f>IF([2]Entry!$R$504="","",[2]Entry!$R$504)</f>
        <v/>
      </c>
    </row>
    <row r="502" spans="1:16" x14ac:dyDescent="0.2">
      <c r="A502" t="str">
        <f>IF([1]Accounts!$D$503="","",[1]Accounts!$A$503)</f>
        <v/>
      </c>
      <c r="B502" t="str">
        <f>IF([1]Accounts!$D$503="","",[1]Accounts!$B$503)</f>
        <v/>
      </c>
      <c r="C502" t="str">
        <f>IF([1]Accounts!$D$503="","",[1]Accounts!$C$503)</f>
        <v/>
      </c>
      <c r="D502" t="str">
        <f>IF([1]Accounts!$D$503="","",[1]Accounts!$D$503)</f>
        <v/>
      </c>
      <c r="E502" t="str">
        <f>IF([1]Accounts!$D$503="","",[1]Accounts!$J$503)</f>
        <v/>
      </c>
      <c r="F502" t="str">
        <f>IF([1]Accounts!$D$503="","",[1]Accounts!$K$503)</f>
        <v/>
      </c>
      <c r="J502" t="str">
        <f>IF([2]Entry!$C$505="","",[2]Entry!$C$505)</f>
        <v/>
      </c>
      <c r="K502" t="str">
        <f>IF([2]Entry!$D$505="","",[2]Entry!$D$505)</f>
        <v/>
      </c>
      <c r="L502" t="str">
        <f>IF([2]Entry!$E$505="","",[2]Entry!$E$505)</f>
        <v/>
      </c>
      <c r="M502" t="str">
        <f>IF([2]Entry!$G$505="","",[2]Entry!$G$505)</f>
        <v/>
      </c>
      <c r="N502" t="str">
        <f>IF([2]Entry!$M$505="","",[2]Entry!$M$505)</f>
        <v/>
      </c>
      <c r="O502" t="str">
        <f>IF([2]Entry!$N$505="","",[2]Entry!$N$505)</f>
        <v/>
      </c>
      <c r="P502" t="str">
        <f>IF([2]Entry!$R$505="","",[2]Entry!$R$505)</f>
        <v/>
      </c>
    </row>
    <row r="503" spans="1:16" x14ac:dyDescent="0.2">
      <c r="A503" t="str">
        <f>IF([1]Accounts!$D$504="","",[1]Accounts!$A$504)</f>
        <v/>
      </c>
      <c r="B503" t="str">
        <f>IF([1]Accounts!$D$504="","",[1]Accounts!$B$504)</f>
        <v/>
      </c>
      <c r="C503" t="str">
        <f>IF([1]Accounts!$D$504="","",[1]Accounts!$C$504)</f>
        <v/>
      </c>
      <c r="D503" t="str">
        <f>IF([1]Accounts!$D$504="","",[1]Accounts!$D$504)</f>
        <v/>
      </c>
      <c r="E503" t="str">
        <f>IF([1]Accounts!$D$504="","",[1]Accounts!$J$504)</f>
        <v/>
      </c>
      <c r="F503" t="str">
        <f>IF([1]Accounts!$D$504="","",[1]Accounts!$K$504)</f>
        <v/>
      </c>
      <c r="J503" t="str">
        <f>IF([2]Entry!$C$506="","",[2]Entry!$C$506)</f>
        <v/>
      </c>
      <c r="K503" t="str">
        <f>IF([2]Entry!$D$506="","",[2]Entry!$D$506)</f>
        <v/>
      </c>
      <c r="L503" t="str">
        <f>IF([2]Entry!$E$506="","",[2]Entry!$E$506)</f>
        <v/>
      </c>
      <c r="M503" t="str">
        <f>IF([2]Entry!$G$506="","",[2]Entry!$G$506)</f>
        <v/>
      </c>
      <c r="N503" t="str">
        <f>IF([2]Entry!$M$506="","",[2]Entry!$M$506)</f>
        <v/>
      </c>
      <c r="O503" t="str">
        <f>IF([2]Entry!$N$506="","",[2]Entry!$N$506)</f>
        <v/>
      </c>
      <c r="P503" t="str">
        <f>IF([2]Entry!$R$506="","",[2]Entry!$R$506)</f>
        <v/>
      </c>
    </row>
    <row r="504" spans="1:16" x14ac:dyDescent="0.2">
      <c r="A504" t="str">
        <f>IF([1]Accounts!$D$505="","",[1]Accounts!$A$505)</f>
        <v/>
      </c>
      <c r="B504" t="str">
        <f>IF([1]Accounts!$D$505="","",[1]Accounts!$B$505)</f>
        <v/>
      </c>
      <c r="C504" t="str">
        <f>IF([1]Accounts!$D$505="","",[1]Accounts!$C$505)</f>
        <v/>
      </c>
      <c r="D504" t="str">
        <f>IF([1]Accounts!$D$505="","",[1]Accounts!$D$505)</f>
        <v/>
      </c>
      <c r="E504" t="str">
        <f>IF([1]Accounts!$D$505="","",[1]Accounts!$J$505)</f>
        <v/>
      </c>
      <c r="F504" t="str">
        <f>IF([1]Accounts!$D$505="","",[1]Accounts!$K$505)</f>
        <v/>
      </c>
      <c r="J504" t="str">
        <f>IF([2]Entry!$C$507="","",[2]Entry!$C$507)</f>
        <v/>
      </c>
      <c r="K504" t="str">
        <f>IF([2]Entry!$D$507="","",[2]Entry!$D$507)</f>
        <v/>
      </c>
      <c r="L504" t="str">
        <f>IF([2]Entry!$E$507="","",[2]Entry!$E$507)</f>
        <v/>
      </c>
      <c r="M504" t="str">
        <f>IF([2]Entry!$G$507="","",[2]Entry!$G$507)</f>
        <v/>
      </c>
      <c r="N504" t="str">
        <f>IF([2]Entry!$M$507="","",[2]Entry!$M$507)</f>
        <v/>
      </c>
      <c r="O504" t="str">
        <f>IF([2]Entry!$N$507="","",[2]Entry!$N$507)</f>
        <v/>
      </c>
      <c r="P504" t="str">
        <f>IF([2]Entry!$R$507="","",[2]Entry!$R$507)</f>
        <v/>
      </c>
    </row>
    <row r="505" spans="1:16" x14ac:dyDescent="0.2">
      <c r="A505" t="str">
        <f>IF([1]Accounts!$D$506="","",[1]Accounts!$A$506)</f>
        <v/>
      </c>
      <c r="B505" t="str">
        <f>IF([1]Accounts!$D$506="","",[1]Accounts!$B$506)</f>
        <v/>
      </c>
      <c r="C505" t="str">
        <f>IF([1]Accounts!$D$506="","",[1]Accounts!$C$506)</f>
        <v/>
      </c>
      <c r="D505" t="str">
        <f>IF([1]Accounts!$D$506="","",[1]Accounts!$D$506)</f>
        <v/>
      </c>
      <c r="E505" t="str">
        <f>IF([1]Accounts!$D$506="","",[1]Accounts!$J$506)</f>
        <v/>
      </c>
      <c r="F505" t="str">
        <f>IF([1]Accounts!$D$506="","",[1]Accounts!$K$506)</f>
        <v/>
      </c>
      <c r="J505" t="str">
        <f>IF([2]Entry!$C$508="","",[2]Entry!$C$508)</f>
        <v/>
      </c>
      <c r="K505" t="str">
        <f>IF([2]Entry!$D$508="","",[2]Entry!$D$508)</f>
        <v/>
      </c>
      <c r="L505" t="str">
        <f>IF([2]Entry!$E$508="","",[2]Entry!$E$508)</f>
        <v/>
      </c>
      <c r="M505" t="str">
        <f>IF([2]Entry!$G$508="","",[2]Entry!$G$508)</f>
        <v/>
      </c>
      <c r="N505" t="str">
        <f>IF([2]Entry!$M$508="","",[2]Entry!$M$508)</f>
        <v/>
      </c>
      <c r="O505" t="str">
        <f>IF([2]Entry!$N$508="","",[2]Entry!$N$508)</f>
        <v/>
      </c>
      <c r="P505" t="str">
        <f>IF([2]Entry!$R$508="","",[2]Entry!$R$508)</f>
        <v/>
      </c>
    </row>
    <row r="506" spans="1:16" x14ac:dyDescent="0.2">
      <c r="A506" t="str">
        <f>IF([1]Accounts!$D$507="","",[1]Accounts!$A$507)</f>
        <v>F001</v>
      </c>
      <c r="B506" t="str">
        <f>IF([1]Accounts!$D$507="","",[1]Accounts!$B$507)</f>
        <v>دارایی ثابت</v>
      </c>
      <c r="C506" t="str">
        <f>IF([1]Accounts!$D$507="","",[1]Accounts!$C$507)</f>
        <v>زمین و ساختمان</v>
      </c>
      <c r="D506" t="str">
        <f>IF([1]Accounts!$D$507="","",[1]Accounts!$D$507)</f>
        <v>زمین باغدشت (نمونه)</v>
      </c>
      <c r="E506" t="str">
        <f>IF([1]Accounts!$D$507="","",[1]Accounts!$J$507)</f>
        <v>عادی</v>
      </c>
      <c r="F506" t="str">
        <f>IF([1]Accounts!$D$507="","",[1]Accounts!$K$507)</f>
        <v>پایش کامل</v>
      </c>
      <c r="J506" t="str">
        <f>IF([2]Entry!$C$509="","",[2]Entry!$C$509)</f>
        <v/>
      </c>
      <c r="K506" t="str">
        <f>IF([2]Entry!$D$509="","",[2]Entry!$D$509)</f>
        <v/>
      </c>
      <c r="L506" t="str">
        <f>IF([2]Entry!$E$509="","",[2]Entry!$E$509)</f>
        <v/>
      </c>
      <c r="M506" t="str">
        <f>IF([2]Entry!$G$509="","",[2]Entry!$G$509)</f>
        <v/>
      </c>
      <c r="N506" t="str">
        <f>IF([2]Entry!$M$509="","",[2]Entry!$M$509)</f>
        <v/>
      </c>
      <c r="O506" t="str">
        <f>IF([2]Entry!$N$509="","",[2]Entry!$N$509)</f>
        <v/>
      </c>
      <c r="P506" t="str">
        <f>IF([2]Entry!$R$509="","",[2]Entry!$R$509)</f>
        <v/>
      </c>
    </row>
    <row r="507" spans="1:16" x14ac:dyDescent="0.2">
      <c r="A507" t="str">
        <f>IF([1]Accounts!$D$508="","",[1]Accounts!$A$508)</f>
        <v>F002</v>
      </c>
      <c r="B507" t="str">
        <f>IF([1]Accounts!$D$508="","",[1]Accounts!$B$508)</f>
        <v>دارایی ثابت</v>
      </c>
      <c r="C507" t="str">
        <f>IF([1]Accounts!$D$508="","",[1]Accounts!$C$508)</f>
        <v>خودرو و حمل‌ونقل</v>
      </c>
      <c r="D507" t="str">
        <f>IF([1]Accounts!$D$508="","",[1]Accounts!$D$508)</f>
        <v>خودرو وانت حمل بار (نمونه)</v>
      </c>
      <c r="E507" t="str">
        <f>IF([1]Accounts!$D$508="","",[1]Accounts!$J$508)</f>
        <v>عادی</v>
      </c>
      <c r="F507" t="str">
        <f>IF([1]Accounts!$D$508="","",[1]Accounts!$K$508)</f>
        <v>نمونه‌ای</v>
      </c>
      <c r="J507" t="str">
        <f>IF([2]Entry!$C$510="","",[2]Entry!$C$510)</f>
        <v/>
      </c>
      <c r="K507" t="str">
        <f>IF([2]Entry!$D$510="","",[2]Entry!$D$510)</f>
        <v/>
      </c>
      <c r="L507" t="str">
        <f>IF([2]Entry!$E$510="","",[2]Entry!$E$510)</f>
        <v/>
      </c>
      <c r="M507" t="str">
        <f>IF([2]Entry!$G$510="","",[2]Entry!$G$510)</f>
        <v/>
      </c>
      <c r="N507" t="str">
        <f>IF([2]Entry!$M$510="","",[2]Entry!$M$510)</f>
        <v/>
      </c>
      <c r="O507" t="str">
        <f>IF([2]Entry!$N$510="","",[2]Entry!$N$510)</f>
        <v/>
      </c>
      <c r="P507" t="str">
        <f>IF([2]Entry!$R$510="","",[2]Entry!$R$510)</f>
        <v/>
      </c>
    </row>
    <row r="508" spans="1:16" x14ac:dyDescent="0.2">
      <c r="A508" t="str">
        <f>IF([1]Accounts!$D$509="","",[1]Accounts!$A$509)</f>
        <v>F003</v>
      </c>
      <c r="B508" t="str">
        <f>IF([1]Accounts!$D$509="","",[1]Accounts!$B$509)</f>
        <v>دارایی ثابت</v>
      </c>
      <c r="C508" t="str">
        <f>IF([1]Accounts!$D$509="","",[1]Accounts!$C$509)</f>
        <v>ماشین‌آلات و تجهیزات</v>
      </c>
      <c r="D508" t="str">
        <f>IF([1]Accounts!$D$509="","",[1]Accounts!$D$509)</f>
        <v>ماشین‌آلات خط سورتینگ (نمونه)</v>
      </c>
      <c r="E508" t="str">
        <f>IF([1]Accounts!$D$509="","",[1]Accounts!$J$509)</f>
        <v>عادی</v>
      </c>
      <c r="F508" t="str">
        <f>IF([1]Accounts!$D$509="","",[1]Accounts!$K$509)</f>
        <v>نمونه‌ای</v>
      </c>
      <c r="J508" t="str">
        <f>IF([2]Entry!$C$511="","",[2]Entry!$C$511)</f>
        <v/>
      </c>
      <c r="K508" t="str">
        <f>IF([2]Entry!$D$511="","",[2]Entry!$D$511)</f>
        <v/>
      </c>
      <c r="L508" t="str">
        <f>IF([2]Entry!$E$511="","",[2]Entry!$E$511)</f>
        <v/>
      </c>
      <c r="M508" t="str">
        <f>IF([2]Entry!$G$511="","",[2]Entry!$G$511)</f>
        <v/>
      </c>
      <c r="N508" t="str">
        <f>IF([2]Entry!$M$511="","",[2]Entry!$M$511)</f>
        <v/>
      </c>
      <c r="O508" t="str">
        <f>IF([2]Entry!$N$511="","",[2]Entry!$N$511)</f>
        <v/>
      </c>
      <c r="P508" t="str">
        <f>IF([2]Entry!$R$511="","",[2]Entry!$R$511)</f>
        <v/>
      </c>
    </row>
    <row r="509" spans="1:16" x14ac:dyDescent="0.2">
      <c r="A509" t="str">
        <f>IF([1]Accounts!$D$510="","",[1]Accounts!$A$510)</f>
        <v/>
      </c>
      <c r="B509" t="str">
        <f>IF([1]Accounts!$D$510="","",[1]Accounts!$B$510)</f>
        <v/>
      </c>
      <c r="C509" t="str">
        <f>IF([1]Accounts!$D$510="","",[1]Accounts!$C$510)</f>
        <v/>
      </c>
      <c r="D509" t="str">
        <f>IF([1]Accounts!$D$510="","",[1]Accounts!$D$510)</f>
        <v/>
      </c>
      <c r="E509" t="str">
        <f>IF([1]Accounts!$D$510="","",[1]Accounts!$J$510)</f>
        <v/>
      </c>
      <c r="F509" t="str">
        <f>IF([1]Accounts!$D$510="","",[1]Accounts!$K$510)</f>
        <v/>
      </c>
      <c r="J509" t="str">
        <f>IF([2]Entry!$C$512="","",[2]Entry!$C$512)</f>
        <v/>
      </c>
      <c r="K509" t="str">
        <f>IF([2]Entry!$D$512="","",[2]Entry!$D$512)</f>
        <v/>
      </c>
      <c r="L509" t="str">
        <f>IF([2]Entry!$E$512="","",[2]Entry!$E$512)</f>
        <v/>
      </c>
      <c r="M509" t="str">
        <f>IF([2]Entry!$G$512="","",[2]Entry!$G$512)</f>
        <v/>
      </c>
      <c r="N509" t="str">
        <f>IF([2]Entry!$M$512="","",[2]Entry!$M$512)</f>
        <v/>
      </c>
      <c r="O509" t="str">
        <f>IF([2]Entry!$N$512="","",[2]Entry!$N$512)</f>
        <v/>
      </c>
      <c r="P509" t="str">
        <f>IF([2]Entry!$R$512="","",[2]Entry!$R$512)</f>
        <v/>
      </c>
    </row>
    <row r="510" spans="1:16" x14ac:dyDescent="0.2">
      <c r="A510" t="str">
        <f>IF([1]Accounts!$D$511="","",[1]Accounts!$A$511)</f>
        <v/>
      </c>
      <c r="B510" t="str">
        <f>IF([1]Accounts!$D$511="","",[1]Accounts!$B$511)</f>
        <v/>
      </c>
      <c r="C510" t="str">
        <f>IF([1]Accounts!$D$511="","",[1]Accounts!$C$511)</f>
        <v/>
      </c>
      <c r="D510" t="str">
        <f>IF([1]Accounts!$D$511="","",[1]Accounts!$D$511)</f>
        <v/>
      </c>
      <c r="E510" t="str">
        <f>IF([1]Accounts!$D$511="","",[1]Accounts!$J$511)</f>
        <v/>
      </c>
      <c r="F510" t="str">
        <f>IF([1]Accounts!$D$511="","",[1]Accounts!$K$511)</f>
        <v/>
      </c>
      <c r="J510" t="str">
        <f>IF([2]Entry!$C$513="","",[2]Entry!$C$513)</f>
        <v/>
      </c>
      <c r="K510" t="str">
        <f>IF([2]Entry!$D$513="","",[2]Entry!$D$513)</f>
        <v/>
      </c>
      <c r="L510" t="str">
        <f>IF([2]Entry!$E$513="","",[2]Entry!$E$513)</f>
        <v/>
      </c>
      <c r="M510" t="str">
        <f>IF([2]Entry!$G$513="","",[2]Entry!$G$513)</f>
        <v/>
      </c>
      <c r="N510" t="str">
        <f>IF([2]Entry!$M$513="","",[2]Entry!$M$513)</f>
        <v/>
      </c>
      <c r="O510" t="str">
        <f>IF([2]Entry!$N$513="","",[2]Entry!$N$513)</f>
        <v/>
      </c>
      <c r="P510" t="str">
        <f>IF([2]Entry!$R$513="","",[2]Entry!$R$513)</f>
        <v/>
      </c>
    </row>
    <row r="511" spans="1:16" x14ac:dyDescent="0.2">
      <c r="A511" t="str">
        <f>IF([1]Accounts!$D$512="","",[1]Accounts!$A$512)</f>
        <v/>
      </c>
      <c r="B511" t="str">
        <f>IF([1]Accounts!$D$512="","",[1]Accounts!$B$512)</f>
        <v/>
      </c>
      <c r="C511" t="str">
        <f>IF([1]Accounts!$D$512="","",[1]Accounts!$C$512)</f>
        <v/>
      </c>
      <c r="D511" t="str">
        <f>IF([1]Accounts!$D$512="","",[1]Accounts!$D$512)</f>
        <v/>
      </c>
      <c r="E511" t="str">
        <f>IF([1]Accounts!$D$512="","",[1]Accounts!$J$512)</f>
        <v/>
      </c>
      <c r="F511" t="str">
        <f>IF([1]Accounts!$D$512="","",[1]Accounts!$K$512)</f>
        <v/>
      </c>
      <c r="J511" t="str">
        <f>IF([2]Entry!$C$514="","",[2]Entry!$C$514)</f>
        <v/>
      </c>
      <c r="K511" t="str">
        <f>IF([2]Entry!$D$514="","",[2]Entry!$D$514)</f>
        <v/>
      </c>
      <c r="L511" t="str">
        <f>IF([2]Entry!$E$514="","",[2]Entry!$E$514)</f>
        <v/>
      </c>
      <c r="M511" t="str">
        <f>IF([2]Entry!$G$514="","",[2]Entry!$G$514)</f>
        <v/>
      </c>
      <c r="N511" t="str">
        <f>IF([2]Entry!$M$514="","",[2]Entry!$M$514)</f>
        <v/>
      </c>
      <c r="O511" t="str">
        <f>IF([2]Entry!$N$514="","",[2]Entry!$N$514)</f>
        <v/>
      </c>
      <c r="P511" t="str">
        <f>IF([2]Entry!$R$514="","",[2]Entry!$R$514)</f>
        <v/>
      </c>
    </row>
    <row r="512" spans="1:16" x14ac:dyDescent="0.2">
      <c r="A512" t="str">
        <f>IF([1]Accounts!$D$513="","",[1]Accounts!$A$513)</f>
        <v/>
      </c>
      <c r="B512" t="str">
        <f>IF([1]Accounts!$D$513="","",[1]Accounts!$B$513)</f>
        <v/>
      </c>
      <c r="C512" t="str">
        <f>IF([1]Accounts!$D$513="","",[1]Accounts!$C$513)</f>
        <v/>
      </c>
      <c r="D512" t="str">
        <f>IF([1]Accounts!$D$513="","",[1]Accounts!$D$513)</f>
        <v/>
      </c>
      <c r="E512" t="str">
        <f>IF([1]Accounts!$D$513="","",[1]Accounts!$J$513)</f>
        <v/>
      </c>
      <c r="F512" t="str">
        <f>IF([1]Accounts!$D$513="","",[1]Accounts!$K$513)</f>
        <v/>
      </c>
      <c r="J512" t="str">
        <f>IF([2]Entry!$C$515="","",[2]Entry!$C$515)</f>
        <v/>
      </c>
      <c r="K512" t="str">
        <f>IF([2]Entry!$D$515="","",[2]Entry!$D$515)</f>
        <v/>
      </c>
      <c r="L512" t="str">
        <f>IF([2]Entry!$E$515="","",[2]Entry!$E$515)</f>
        <v/>
      </c>
      <c r="M512" t="str">
        <f>IF([2]Entry!$G$515="","",[2]Entry!$G$515)</f>
        <v/>
      </c>
      <c r="N512" t="str">
        <f>IF([2]Entry!$M$515="","",[2]Entry!$M$515)</f>
        <v/>
      </c>
      <c r="O512" t="str">
        <f>IF([2]Entry!$N$515="","",[2]Entry!$N$515)</f>
        <v/>
      </c>
      <c r="P512" t="str">
        <f>IF([2]Entry!$R$515="","",[2]Entry!$R$515)</f>
        <v/>
      </c>
    </row>
    <row r="513" spans="1:16" x14ac:dyDescent="0.2">
      <c r="A513" t="str">
        <f>IF([1]Accounts!$D$514="","",[1]Accounts!$A$514)</f>
        <v/>
      </c>
      <c r="B513" t="str">
        <f>IF([1]Accounts!$D$514="","",[1]Accounts!$B$514)</f>
        <v/>
      </c>
      <c r="C513" t="str">
        <f>IF([1]Accounts!$D$514="","",[1]Accounts!$C$514)</f>
        <v/>
      </c>
      <c r="D513" t="str">
        <f>IF([1]Accounts!$D$514="","",[1]Accounts!$D$514)</f>
        <v/>
      </c>
      <c r="E513" t="str">
        <f>IF([1]Accounts!$D$514="","",[1]Accounts!$J$514)</f>
        <v/>
      </c>
      <c r="F513" t="str">
        <f>IF([1]Accounts!$D$514="","",[1]Accounts!$K$514)</f>
        <v/>
      </c>
      <c r="J513" t="str">
        <f>IF([2]Entry!$C$516="","",[2]Entry!$C$516)</f>
        <v/>
      </c>
      <c r="K513" t="str">
        <f>IF([2]Entry!$D$516="","",[2]Entry!$D$516)</f>
        <v/>
      </c>
      <c r="L513" t="str">
        <f>IF([2]Entry!$E$516="","",[2]Entry!$E$516)</f>
        <v/>
      </c>
      <c r="M513" t="str">
        <f>IF([2]Entry!$G$516="","",[2]Entry!$G$516)</f>
        <v/>
      </c>
      <c r="N513" t="str">
        <f>IF([2]Entry!$M$516="","",[2]Entry!$M$516)</f>
        <v/>
      </c>
      <c r="O513" t="str">
        <f>IF([2]Entry!$N$516="","",[2]Entry!$N$516)</f>
        <v/>
      </c>
      <c r="P513" t="str">
        <f>IF([2]Entry!$R$516="","",[2]Entry!$R$516)</f>
        <v/>
      </c>
    </row>
    <row r="514" spans="1:16" x14ac:dyDescent="0.2">
      <c r="A514" t="str">
        <f>IF([1]Accounts!$D$515="","",[1]Accounts!$A$515)</f>
        <v/>
      </c>
      <c r="B514" t="str">
        <f>IF([1]Accounts!$D$515="","",[1]Accounts!$B$515)</f>
        <v/>
      </c>
      <c r="C514" t="str">
        <f>IF([1]Accounts!$D$515="","",[1]Accounts!$C$515)</f>
        <v/>
      </c>
      <c r="D514" t="str">
        <f>IF([1]Accounts!$D$515="","",[1]Accounts!$D$515)</f>
        <v/>
      </c>
      <c r="E514" t="str">
        <f>IF([1]Accounts!$D$515="","",[1]Accounts!$J$515)</f>
        <v/>
      </c>
      <c r="F514" t="str">
        <f>IF([1]Accounts!$D$515="","",[1]Accounts!$K$515)</f>
        <v/>
      </c>
      <c r="J514" t="str">
        <f>IF([2]Entry!$C$517="","",[2]Entry!$C$517)</f>
        <v/>
      </c>
      <c r="K514" t="str">
        <f>IF([2]Entry!$D$517="","",[2]Entry!$D$517)</f>
        <v/>
      </c>
      <c r="L514" t="str">
        <f>IF([2]Entry!$E$517="","",[2]Entry!$E$517)</f>
        <v/>
      </c>
      <c r="M514" t="str">
        <f>IF([2]Entry!$G$517="","",[2]Entry!$G$517)</f>
        <v/>
      </c>
      <c r="N514" t="str">
        <f>IF([2]Entry!$M$517="","",[2]Entry!$M$517)</f>
        <v/>
      </c>
      <c r="O514" t="str">
        <f>IF([2]Entry!$N$517="","",[2]Entry!$N$517)</f>
        <v/>
      </c>
      <c r="P514" t="str">
        <f>IF([2]Entry!$R$517="","",[2]Entry!$R$517)</f>
        <v/>
      </c>
    </row>
    <row r="515" spans="1:16" x14ac:dyDescent="0.2">
      <c r="A515" t="str">
        <f>IF([1]Accounts!$D$516="","",[1]Accounts!$A$516)</f>
        <v/>
      </c>
      <c r="B515" t="str">
        <f>IF([1]Accounts!$D$516="","",[1]Accounts!$B$516)</f>
        <v/>
      </c>
      <c r="C515" t="str">
        <f>IF([1]Accounts!$D$516="","",[1]Accounts!$C$516)</f>
        <v/>
      </c>
      <c r="D515" t="str">
        <f>IF([1]Accounts!$D$516="","",[1]Accounts!$D$516)</f>
        <v/>
      </c>
      <c r="E515" t="str">
        <f>IF([1]Accounts!$D$516="","",[1]Accounts!$J$516)</f>
        <v/>
      </c>
      <c r="F515" t="str">
        <f>IF([1]Accounts!$D$516="","",[1]Accounts!$K$516)</f>
        <v/>
      </c>
      <c r="J515" t="str">
        <f>IF([2]Entry!$C$518="","",[2]Entry!$C$518)</f>
        <v/>
      </c>
      <c r="K515" t="str">
        <f>IF([2]Entry!$D$518="","",[2]Entry!$D$518)</f>
        <v/>
      </c>
      <c r="L515" t="str">
        <f>IF([2]Entry!$E$518="","",[2]Entry!$E$518)</f>
        <v/>
      </c>
      <c r="M515" t="str">
        <f>IF([2]Entry!$G$518="","",[2]Entry!$G$518)</f>
        <v/>
      </c>
      <c r="N515" t="str">
        <f>IF([2]Entry!$M$518="","",[2]Entry!$M$518)</f>
        <v/>
      </c>
      <c r="O515" t="str">
        <f>IF([2]Entry!$N$518="","",[2]Entry!$N$518)</f>
        <v/>
      </c>
      <c r="P515" t="str">
        <f>IF([2]Entry!$R$518="","",[2]Entry!$R$518)</f>
        <v/>
      </c>
    </row>
    <row r="516" spans="1:16" x14ac:dyDescent="0.2">
      <c r="A516" t="str">
        <f>IF([1]Accounts!$D$517="","",[1]Accounts!$A$517)</f>
        <v/>
      </c>
      <c r="B516" t="str">
        <f>IF([1]Accounts!$D$517="","",[1]Accounts!$B$517)</f>
        <v/>
      </c>
      <c r="C516" t="str">
        <f>IF([1]Accounts!$D$517="","",[1]Accounts!$C$517)</f>
        <v/>
      </c>
      <c r="D516" t="str">
        <f>IF([1]Accounts!$D$517="","",[1]Accounts!$D$517)</f>
        <v/>
      </c>
      <c r="E516" t="str">
        <f>IF([1]Accounts!$D$517="","",[1]Accounts!$J$517)</f>
        <v/>
      </c>
      <c r="F516" t="str">
        <f>IF([1]Accounts!$D$517="","",[1]Accounts!$K$517)</f>
        <v/>
      </c>
      <c r="J516" t="str">
        <f>IF([2]Entry!$C$519="","",[2]Entry!$C$519)</f>
        <v/>
      </c>
      <c r="K516" t="str">
        <f>IF([2]Entry!$D$519="","",[2]Entry!$D$519)</f>
        <v/>
      </c>
      <c r="L516" t="str">
        <f>IF([2]Entry!$E$519="","",[2]Entry!$E$519)</f>
        <v/>
      </c>
      <c r="M516" t="str">
        <f>IF([2]Entry!$G$519="","",[2]Entry!$G$519)</f>
        <v/>
      </c>
      <c r="N516" t="str">
        <f>IF([2]Entry!$M$519="","",[2]Entry!$M$519)</f>
        <v/>
      </c>
      <c r="O516" t="str">
        <f>IF([2]Entry!$N$519="","",[2]Entry!$N$519)</f>
        <v/>
      </c>
      <c r="P516" t="str">
        <f>IF([2]Entry!$R$519="","",[2]Entry!$R$519)</f>
        <v/>
      </c>
    </row>
    <row r="517" spans="1:16" x14ac:dyDescent="0.2">
      <c r="A517" t="str">
        <f>IF([1]Accounts!$D$518="","",[1]Accounts!$A$518)</f>
        <v/>
      </c>
      <c r="B517" t="str">
        <f>IF([1]Accounts!$D$518="","",[1]Accounts!$B$518)</f>
        <v/>
      </c>
      <c r="C517" t="str">
        <f>IF([1]Accounts!$D$518="","",[1]Accounts!$C$518)</f>
        <v/>
      </c>
      <c r="D517" t="str">
        <f>IF([1]Accounts!$D$518="","",[1]Accounts!$D$518)</f>
        <v/>
      </c>
      <c r="E517" t="str">
        <f>IF([1]Accounts!$D$518="","",[1]Accounts!$J$518)</f>
        <v/>
      </c>
      <c r="F517" t="str">
        <f>IF([1]Accounts!$D$518="","",[1]Accounts!$K$518)</f>
        <v/>
      </c>
      <c r="J517" t="str">
        <f>IF([2]Entry!$C$520="","",[2]Entry!$C$520)</f>
        <v/>
      </c>
      <c r="K517" t="str">
        <f>IF([2]Entry!$D$520="","",[2]Entry!$D$520)</f>
        <v/>
      </c>
      <c r="L517" t="str">
        <f>IF([2]Entry!$E$520="","",[2]Entry!$E$520)</f>
        <v/>
      </c>
      <c r="M517" t="str">
        <f>IF([2]Entry!$G$520="","",[2]Entry!$G$520)</f>
        <v/>
      </c>
      <c r="N517" t="str">
        <f>IF([2]Entry!$M$520="","",[2]Entry!$M$520)</f>
        <v/>
      </c>
      <c r="O517" t="str">
        <f>IF([2]Entry!$N$520="","",[2]Entry!$N$520)</f>
        <v/>
      </c>
      <c r="P517" t="str">
        <f>IF([2]Entry!$R$520="","",[2]Entry!$R$520)</f>
        <v/>
      </c>
    </row>
    <row r="518" spans="1:16" x14ac:dyDescent="0.2">
      <c r="A518" t="str">
        <f>IF([1]Accounts!$D$519="","",[1]Accounts!$A$519)</f>
        <v/>
      </c>
      <c r="B518" t="str">
        <f>IF([1]Accounts!$D$519="","",[1]Accounts!$B$519)</f>
        <v/>
      </c>
      <c r="C518" t="str">
        <f>IF([1]Accounts!$D$519="","",[1]Accounts!$C$519)</f>
        <v/>
      </c>
      <c r="D518" t="str">
        <f>IF([1]Accounts!$D$519="","",[1]Accounts!$D$519)</f>
        <v/>
      </c>
      <c r="E518" t="str">
        <f>IF([1]Accounts!$D$519="","",[1]Accounts!$J$519)</f>
        <v/>
      </c>
      <c r="F518" t="str">
        <f>IF([1]Accounts!$D$519="","",[1]Accounts!$K$519)</f>
        <v/>
      </c>
      <c r="J518" t="str">
        <f>IF([2]Entry!$C$521="","",[2]Entry!$C$521)</f>
        <v/>
      </c>
      <c r="K518" t="str">
        <f>IF([2]Entry!$D$521="","",[2]Entry!$D$521)</f>
        <v/>
      </c>
      <c r="L518" t="str">
        <f>IF([2]Entry!$E$521="","",[2]Entry!$E$521)</f>
        <v/>
      </c>
      <c r="M518" t="str">
        <f>IF([2]Entry!$G$521="","",[2]Entry!$G$521)</f>
        <v/>
      </c>
      <c r="N518" t="str">
        <f>IF([2]Entry!$M$521="","",[2]Entry!$M$521)</f>
        <v/>
      </c>
      <c r="O518" t="str">
        <f>IF([2]Entry!$N$521="","",[2]Entry!$N$521)</f>
        <v/>
      </c>
      <c r="P518" t="str">
        <f>IF([2]Entry!$R$521="","",[2]Entry!$R$521)</f>
        <v/>
      </c>
    </row>
    <row r="519" spans="1:16" x14ac:dyDescent="0.2">
      <c r="A519" t="str">
        <f>IF([1]Accounts!$D$520="","",[1]Accounts!$A$520)</f>
        <v/>
      </c>
      <c r="B519" t="str">
        <f>IF([1]Accounts!$D$520="","",[1]Accounts!$B$520)</f>
        <v/>
      </c>
      <c r="C519" t="str">
        <f>IF([1]Accounts!$D$520="","",[1]Accounts!$C$520)</f>
        <v/>
      </c>
      <c r="D519" t="str">
        <f>IF([1]Accounts!$D$520="","",[1]Accounts!$D$520)</f>
        <v/>
      </c>
      <c r="E519" t="str">
        <f>IF([1]Accounts!$D$520="","",[1]Accounts!$J$520)</f>
        <v/>
      </c>
      <c r="F519" t="str">
        <f>IF([1]Accounts!$D$520="","",[1]Accounts!$K$520)</f>
        <v/>
      </c>
      <c r="J519" t="str">
        <f>IF([2]Entry!$C$522="","",[2]Entry!$C$522)</f>
        <v/>
      </c>
      <c r="K519" t="str">
        <f>IF([2]Entry!$D$522="","",[2]Entry!$D$522)</f>
        <v/>
      </c>
      <c r="L519" t="str">
        <f>IF([2]Entry!$E$522="","",[2]Entry!$E$522)</f>
        <v/>
      </c>
      <c r="M519" t="str">
        <f>IF([2]Entry!$G$522="","",[2]Entry!$G$522)</f>
        <v/>
      </c>
      <c r="N519" t="str">
        <f>IF([2]Entry!$M$522="","",[2]Entry!$M$522)</f>
        <v/>
      </c>
      <c r="O519" t="str">
        <f>IF([2]Entry!$N$522="","",[2]Entry!$N$522)</f>
        <v/>
      </c>
      <c r="P519" t="str">
        <f>IF([2]Entry!$R$522="","",[2]Entry!$R$522)</f>
        <v/>
      </c>
    </row>
    <row r="520" spans="1:16" x14ac:dyDescent="0.2">
      <c r="A520" t="str">
        <f>IF([1]Accounts!$D$521="","",[1]Accounts!$A$521)</f>
        <v/>
      </c>
      <c r="B520" t="str">
        <f>IF([1]Accounts!$D$521="","",[1]Accounts!$B$521)</f>
        <v/>
      </c>
      <c r="C520" t="str">
        <f>IF([1]Accounts!$D$521="","",[1]Accounts!$C$521)</f>
        <v/>
      </c>
      <c r="D520" t="str">
        <f>IF([1]Accounts!$D$521="","",[1]Accounts!$D$521)</f>
        <v/>
      </c>
      <c r="E520" t="str">
        <f>IF([1]Accounts!$D$521="","",[1]Accounts!$J$521)</f>
        <v/>
      </c>
      <c r="F520" t="str">
        <f>IF([1]Accounts!$D$521="","",[1]Accounts!$K$521)</f>
        <v/>
      </c>
      <c r="J520" t="str">
        <f>IF([2]Entry!$C$523="","",[2]Entry!$C$523)</f>
        <v/>
      </c>
      <c r="K520" t="str">
        <f>IF([2]Entry!$D$523="","",[2]Entry!$D$523)</f>
        <v/>
      </c>
      <c r="L520" t="str">
        <f>IF([2]Entry!$E$523="","",[2]Entry!$E$523)</f>
        <v/>
      </c>
      <c r="M520" t="str">
        <f>IF([2]Entry!$G$523="","",[2]Entry!$G$523)</f>
        <v/>
      </c>
      <c r="N520" t="str">
        <f>IF([2]Entry!$M$523="","",[2]Entry!$M$523)</f>
        <v/>
      </c>
      <c r="O520" t="str">
        <f>IF([2]Entry!$N$523="","",[2]Entry!$N$523)</f>
        <v/>
      </c>
      <c r="P520" t="str">
        <f>IF([2]Entry!$R$523="","",[2]Entry!$R$523)</f>
        <v/>
      </c>
    </row>
    <row r="521" spans="1:16" x14ac:dyDescent="0.2">
      <c r="A521" t="str">
        <f>IF([1]Accounts!$D$522="","",[1]Accounts!$A$522)</f>
        <v/>
      </c>
      <c r="B521" t="str">
        <f>IF([1]Accounts!$D$522="","",[1]Accounts!$B$522)</f>
        <v/>
      </c>
      <c r="C521" t="str">
        <f>IF([1]Accounts!$D$522="","",[1]Accounts!$C$522)</f>
        <v/>
      </c>
      <c r="D521" t="str">
        <f>IF([1]Accounts!$D$522="","",[1]Accounts!$D$522)</f>
        <v/>
      </c>
      <c r="E521" t="str">
        <f>IF([1]Accounts!$D$522="","",[1]Accounts!$J$522)</f>
        <v/>
      </c>
      <c r="F521" t="str">
        <f>IF([1]Accounts!$D$522="","",[1]Accounts!$K$522)</f>
        <v/>
      </c>
      <c r="J521" t="str">
        <f>IF([2]Entry!$C$524="","",[2]Entry!$C$524)</f>
        <v/>
      </c>
      <c r="K521" t="str">
        <f>IF([2]Entry!$D$524="","",[2]Entry!$D$524)</f>
        <v/>
      </c>
      <c r="L521" t="str">
        <f>IF([2]Entry!$E$524="","",[2]Entry!$E$524)</f>
        <v/>
      </c>
      <c r="M521" t="str">
        <f>IF([2]Entry!$G$524="","",[2]Entry!$G$524)</f>
        <v/>
      </c>
      <c r="N521" t="str">
        <f>IF([2]Entry!$M$524="","",[2]Entry!$M$524)</f>
        <v/>
      </c>
      <c r="O521" t="str">
        <f>IF([2]Entry!$N$524="","",[2]Entry!$N$524)</f>
        <v/>
      </c>
      <c r="P521" t="str">
        <f>IF([2]Entry!$R$524="","",[2]Entry!$R$524)</f>
        <v/>
      </c>
    </row>
    <row r="522" spans="1:16" x14ac:dyDescent="0.2">
      <c r="A522" t="str">
        <f>IF([1]Accounts!$D$523="","",[1]Accounts!$A$523)</f>
        <v/>
      </c>
      <c r="B522" t="str">
        <f>IF([1]Accounts!$D$523="","",[1]Accounts!$B$523)</f>
        <v/>
      </c>
      <c r="C522" t="str">
        <f>IF([1]Accounts!$D$523="","",[1]Accounts!$C$523)</f>
        <v/>
      </c>
      <c r="D522" t="str">
        <f>IF([1]Accounts!$D$523="","",[1]Accounts!$D$523)</f>
        <v/>
      </c>
      <c r="E522" t="str">
        <f>IF([1]Accounts!$D$523="","",[1]Accounts!$J$523)</f>
        <v/>
      </c>
      <c r="F522" t="str">
        <f>IF([1]Accounts!$D$523="","",[1]Accounts!$K$523)</f>
        <v/>
      </c>
      <c r="J522" t="str">
        <f>IF([2]Entry!$C$525="","",[2]Entry!$C$525)</f>
        <v/>
      </c>
      <c r="K522" t="str">
        <f>IF([2]Entry!$D$525="","",[2]Entry!$D$525)</f>
        <v/>
      </c>
      <c r="L522" t="str">
        <f>IF([2]Entry!$E$525="","",[2]Entry!$E$525)</f>
        <v/>
      </c>
      <c r="M522" t="str">
        <f>IF([2]Entry!$G$525="","",[2]Entry!$G$525)</f>
        <v/>
      </c>
      <c r="N522" t="str">
        <f>IF([2]Entry!$M$525="","",[2]Entry!$M$525)</f>
        <v/>
      </c>
      <c r="O522" t="str">
        <f>IF([2]Entry!$N$525="","",[2]Entry!$N$525)</f>
        <v/>
      </c>
      <c r="P522" t="str">
        <f>IF([2]Entry!$R$525="","",[2]Entry!$R$525)</f>
        <v/>
      </c>
    </row>
    <row r="523" spans="1:16" x14ac:dyDescent="0.2">
      <c r="A523" t="str">
        <f>IF([1]Accounts!$D$524="","",[1]Accounts!$A$524)</f>
        <v/>
      </c>
      <c r="B523" t="str">
        <f>IF([1]Accounts!$D$524="","",[1]Accounts!$B$524)</f>
        <v/>
      </c>
      <c r="C523" t="str">
        <f>IF([1]Accounts!$D$524="","",[1]Accounts!$C$524)</f>
        <v/>
      </c>
      <c r="D523" t="str">
        <f>IF([1]Accounts!$D$524="","",[1]Accounts!$D$524)</f>
        <v/>
      </c>
      <c r="E523" t="str">
        <f>IF([1]Accounts!$D$524="","",[1]Accounts!$J$524)</f>
        <v/>
      </c>
      <c r="F523" t="str">
        <f>IF([1]Accounts!$D$524="","",[1]Accounts!$K$524)</f>
        <v/>
      </c>
      <c r="J523" t="str">
        <f>IF([2]Entry!$C$526="","",[2]Entry!$C$526)</f>
        <v/>
      </c>
      <c r="K523" t="str">
        <f>IF([2]Entry!$D$526="","",[2]Entry!$D$526)</f>
        <v/>
      </c>
      <c r="L523" t="str">
        <f>IF([2]Entry!$E$526="","",[2]Entry!$E$526)</f>
        <v/>
      </c>
      <c r="M523" t="str">
        <f>IF([2]Entry!$G$526="","",[2]Entry!$G$526)</f>
        <v/>
      </c>
      <c r="N523" t="str">
        <f>IF([2]Entry!$M$526="","",[2]Entry!$M$526)</f>
        <v/>
      </c>
      <c r="O523" t="str">
        <f>IF([2]Entry!$N$526="","",[2]Entry!$N$526)</f>
        <v/>
      </c>
      <c r="P523" t="str">
        <f>IF([2]Entry!$R$526="","",[2]Entry!$R$526)</f>
        <v/>
      </c>
    </row>
    <row r="524" spans="1:16" x14ac:dyDescent="0.2">
      <c r="A524" t="str">
        <f>IF([1]Accounts!$D$525="","",[1]Accounts!$A$525)</f>
        <v/>
      </c>
      <c r="B524" t="str">
        <f>IF([1]Accounts!$D$525="","",[1]Accounts!$B$525)</f>
        <v/>
      </c>
      <c r="C524" t="str">
        <f>IF([1]Accounts!$D$525="","",[1]Accounts!$C$525)</f>
        <v/>
      </c>
      <c r="D524" t="str">
        <f>IF([1]Accounts!$D$525="","",[1]Accounts!$D$525)</f>
        <v/>
      </c>
      <c r="E524" t="str">
        <f>IF([1]Accounts!$D$525="","",[1]Accounts!$J$525)</f>
        <v/>
      </c>
      <c r="F524" t="str">
        <f>IF([1]Accounts!$D$525="","",[1]Accounts!$K$525)</f>
        <v/>
      </c>
      <c r="J524" t="str">
        <f>IF([2]Entry!$C$527="","",[2]Entry!$C$527)</f>
        <v/>
      </c>
      <c r="K524" t="str">
        <f>IF([2]Entry!$D$527="","",[2]Entry!$D$527)</f>
        <v/>
      </c>
      <c r="L524" t="str">
        <f>IF([2]Entry!$E$527="","",[2]Entry!$E$527)</f>
        <v/>
      </c>
      <c r="M524" t="str">
        <f>IF([2]Entry!$G$527="","",[2]Entry!$G$527)</f>
        <v/>
      </c>
      <c r="N524" t="str">
        <f>IF([2]Entry!$M$527="","",[2]Entry!$M$527)</f>
        <v/>
      </c>
      <c r="O524" t="str">
        <f>IF([2]Entry!$N$527="","",[2]Entry!$N$527)</f>
        <v/>
      </c>
      <c r="P524" t="str">
        <f>IF([2]Entry!$R$527="","",[2]Entry!$R$527)</f>
        <v/>
      </c>
    </row>
    <row r="525" spans="1:16" x14ac:dyDescent="0.2">
      <c r="A525" t="str">
        <f>IF([1]Accounts!$D$526="","",[1]Accounts!$A$526)</f>
        <v/>
      </c>
      <c r="B525" t="str">
        <f>IF([1]Accounts!$D$526="","",[1]Accounts!$B$526)</f>
        <v/>
      </c>
      <c r="C525" t="str">
        <f>IF([1]Accounts!$D$526="","",[1]Accounts!$C$526)</f>
        <v/>
      </c>
      <c r="D525" t="str">
        <f>IF([1]Accounts!$D$526="","",[1]Accounts!$D$526)</f>
        <v/>
      </c>
      <c r="E525" t="str">
        <f>IF([1]Accounts!$D$526="","",[1]Accounts!$J$526)</f>
        <v/>
      </c>
      <c r="F525" t="str">
        <f>IF([1]Accounts!$D$526="","",[1]Accounts!$K$526)</f>
        <v/>
      </c>
      <c r="J525" t="str">
        <f>IF([2]Entry!$C$528="","",[2]Entry!$C$528)</f>
        <v/>
      </c>
      <c r="K525" t="str">
        <f>IF([2]Entry!$D$528="","",[2]Entry!$D$528)</f>
        <v/>
      </c>
      <c r="L525" t="str">
        <f>IF([2]Entry!$E$528="","",[2]Entry!$E$528)</f>
        <v/>
      </c>
      <c r="M525" t="str">
        <f>IF([2]Entry!$G$528="","",[2]Entry!$G$528)</f>
        <v/>
      </c>
      <c r="N525" t="str">
        <f>IF([2]Entry!$M$528="","",[2]Entry!$M$528)</f>
        <v/>
      </c>
      <c r="O525" t="str">
        <f>IF([2]Entry!$N$528="","",[2]Entry!$N$528)</f>
        <v/>
      </c>
      <c r="P525" t="str">
        <f>IF([2]Entry!$R$528="","",[2]Entry!$R$528)</f>
        <v/>
      </c>
    </row>
    <row r="526" spans="1:16" x14ac:dyDescent="0.2">
      <c r="A526" t="str">
        <f>IF([1]Accounts!$D$527="","",[1]Accounts!$A$527)</f>
        <v/>
      </c>
      <c r="B526" t="str">
        <f>IF([1]Accounts!$D$527="","",[1]Accounts!$B$527)</f>
        <v/>
      </c>
      <c r="C526" t="str">
        <f>IF([1]Accounts!$D$527="","",[1]Accounts!$C$527)</f>
        <v/>
      </c>
      <c r="D526" t="str">
        <f>IF([1]Accounts!$D$527="","",[1]Accounts!$D$527)</f>
        <v/>
      </c>
      <c r="E526" t="str">
        <f>IF([1]Accounts!$D$527="","",[1]Accounts!$J$527)</f>
        <v/>
      </c>
      <c r="F526" t="str">
        <f>IF([1]Accounts!$D$527="","",[1]Accounts!$K$527)</f>
        <v/>
      </c>
      <c r="J526" t="str">
        <f>IF([2]Entry!$C$529="","",[2]Entry!$C$529)</f>
        <v/>
      </c>
      <c r="K526" t="str">
        <f>IF([2]Entry!$D$529="","",[2]Entry!$D$529)</f>
        <v/>
      </c>
      <c r="L526" t="str">
        <f>IF([2]Entry!$E$529="","",[2]Entry!$E$529)</f>
        <v/>
      </c>
      <c r="M526" t="str">
        <f>IF([2]Entry!$G$529="","",[2]Entry!$G$529)</f>
        <v/>
      </c>
      <c r="N526" t="str">
        <f>IF([2]Entry!$M$529="","",[2]Entry!$M$529)</f>
        <v/>
      </c>
      <c r="O526" t="str">
        <f>IF([2]Entry!$N$529="","",[2]Entry!$N$529)</f>
        <v/>
      </c>
      <c r="P526" t="str">
        <f>IF([2]Entry!$R$529="","",[2]Entry!$R$529)</f>
        <v/>
      </c>
    </row>
    <row r="527" spans="1:16" x14ac:dyDescent="0.2">
      <c r="A527" t="str">
        <f>IF([1]Accounts!$D$528="","",[1]Accounts!$A$528)</f>
        <v/>
      </c>
      <c r="B527" t="str">
        <f>IF([1]Accounts!$D$528="","",[1]Accounts!$B$528)</f>
        <v/>
      </c>
      <c r="C527" t="str">
        <f>IF([1]Accounts!$D$528="","",[1]Accounts!$C$528)</f>
        <v/>
      </c>
      <c r="D527" t="str">
        <f>IF([1]Accounts!$D$528="","",[1]Accounts!$D$528)</f>
        <v/>
      </c>
      <c r="E527" t="str">
        <f>IF([1]Accounts!$D$528="","",[1]Accounts!$J$528)</f>
        <v/>
      </c>
      <c r="F527" t="str">
        <f>IF([1]Accounts!$D$528="","",[1]Accounts!$K$528)</f>
        <v/>
      </c>
      <c r="J527" t="str">
        <f>IF([2]Entry!$C$530="","",[2]Entry!$C$530)</f>
        <v/>
      </c>
      <c r="K527" t="str">
        <f>IF([2]Entry!$D$530="","",[2]Entry!$D$530)</f>
        <v/>
      </c>
      <c r="L527" t="str">
        <f>IF([2]Entry!$E$530="","",[2]Entry!$E$530)</f>
        <v/>
      </c>
      <c r="M527" t="str">
        <f>IF([2]Entry!$G$530="","",[2]Entry!$G$530)</f>
        <v/>
      </c>
      <c r="N527" t="str">
        <f>IF([2]Entry!$M$530="","",[2]Entry!$M$530)</f>
        <v/>
      </c>
      <c r="O527" t="str">
        <f>IF([2]Entry!$N$530="","",[2]Entry!$N$530)</f>
        <v/>
      </c>
      <c r="P527" t="str">
        <f>IF([2]Entry!$R$530="","",[2]Entry!$R$530)</f>
        <v/>
      </c>
    </row>
    <row r="528" spans="1:16" x14ac:dyDescent="0.2">
      <c r="A528" t="str">
        <f>IF([1]Accounts!$D$529="","",[1]Accounts!$A$529)</f>
        <v/>
      </c>
      <c r="B528" t="str">
        <f>IF([1]Accounts!$D$529="","",[1]Accounts!$B$529)</f>
        <v/>
      </c>
      <c r="C528" t="str">
        <f>IF([1]Accounts!$D$529="","",[1]Accounts!$C$529)</f>
        <v/>
      </c>
      <c r="D528" t="str">
        <f>IF([1]Accounts!$D$529="","",[1]Accounts!$D$529)</f>
        <v/>
      </c>
      <c r="E528" t="str">
        <f>IF([1]Accounts!$D$529="","",[1]Accounts!$J$529)</f>
        <v/>
      </c>
      <c r="F528" t="str">
        <f>IF([1]Accounts!$D$529="","",[1]Accounts!$K$529)</f>
        <v/>
      </c>
      <c r="J528" t="str">
        <f>IF([2]Entry!$C$531="","",[2]Entry!$C$531)</f>
        <v/>
      </c>
      <c r="K528" t="str">
        <f>IF([2]Entry!$D$531="","",[2]Entry!$D$531)</f>
        <v/>
      </c>
      <c r="L528" t="str">
        <f>IF([2]Entry!$E$531="","",[2]Entry!$E$531)</f>
        <v/>
      </c>
      <c r="M528" t="str">
        <f>IF([2]Entry!$G$531="","",[2]Entry!$G$531)</f>
        <v/>
      </c>
      <c r="N528" t="str">
        <f>IF([2]Entry!$M$531="","",[2]Entry!$M$531)</f>
        <v/>
      </c>
      <c r="O528" t="str">
        <f>IF([2]Entry!$N$531="","",[2]Entry!$N$531)</f>
        <v/>
      </c>
      <c r="P528" t="str">
        <f>IF([2]Entry!$R$531="","",[2]Entry!$R$531)</f>
        <v/>
      </c>
    </row>
    <row r="529" spans="1:16" x14ac:dyDescent="0.2">
      <c r="A529" t="str">
        <f>IF([1]Accounts!$D$530="","",[1]Accounts!$A$530)</f>
        <v/>
      </c>
      <c r="B529" t="str">
        <f>IF([1]Accounts!$D$530="","",[1]Accounts!$B$530)</f>
        <v/>
      </c>
      <c r="C529" t="str">
        <f>IF([1]Accounts!$D$530="","",[1]Accounts!$C$530)</f>
        <v/>
      </c>
      <c r="D529" t="str">
        <f>IF([1]Accounts!$D$530="","",[1]Accounts!$D$530)</f>
        <v/>
      </c>
      <c r="E529" t="str">
        <f>IF([1]Accounts!$D$530="","",[1]Accounts!$J$530)</f>
        <v/>
      </c>
      <c r="F529" t="str">
        <f>IF([1]Accounts!$D$530="","",[1]Accounts!$K$530)</f>
        <v/>
      </c>
      <c r="J529" t="str">
        <f>IF([2]Entry!$C$532="","",[2]Entry!$C$532)</f>
        <v/>
      </c>
      <c r="K529" t="str">
        <f>IF([2]Entry!$D$532="","",[2]Entry!$D$532)</f>
        <v/>
      </c>
      <c r="L529" t="str">
        <f>IF([2]Entry!$E$532="","",[2]Entry!$E$532)</f>
        <v/>
      </c>
      <c r="M529" t="str">
        <f>IF([2]Entry!$G$532="","",[2]Entry!$G$532)</f>
        <v/>
      </c>
      <c r="N529" t="str">
        <f>IF([2]Entry!$M$532="","",[2]Entry!$M$532)</f>
        <v/>
      </c>
      <c r="O529" t="str">
        <f>IF([2]Entry!$N$532="","",[2]Entry!$N$532)</f>
        <v/>
      </c>
      <c r="P529" t="str">
        <f>IF([2]Entry!$R$532="","",[2]Entry!$R$532)</f>
        <v/>
      </c>
    </row>
    <row r="530" spans="1:16" x14ac:dyDescent="0.2">
      <c r="A530" t="str">
        <f>IF([1]Accounts!$D$531="","",[1]Accounts!$A$531)</f>
        <v/>
      </c>
      <c r="B530" t="str">
        <f>IF([1]Accounts!$D$531="","",[1]Accounts!$B$531)</f>
        <v/>
      </c>
      <c r="C530" t="str">
        <f>IF([1]Accounts!$D$531="","",[1]Accounts!$C$531)</f>
        <v/>
      </c>
      <c r="D530" t="str">
        <f>IF([1]Accounts!$D$531="","",[1]Accounts!$D$531)</f>
        <v/>
      </c>
      <c r="E530" t="str">
        <f>IF([1]Accounts!$D$531="","",[1]Accounts!$J$531)</f>
        <v/>
      </c>
      <c r="F530" t="str">
        <f>IF([1]Accounts!$D$531="","",[1]Accounts!$K$531)</f>
        <v/>
      </c>
      <c r="J530" t="str">
        <f>IF([2]Entry!$C$533="","",[2]Entry!$C$533)</f>
        <v/>
      </c>
      <c r="K530" t="str">
        <f>IF([2]Entry!$D$533="","",[2]Entry!$D$533)</f>
        <v/>
      </c>
      <c r="L530" t="str">
        <f>IF([2]Entry!$E$533="","",[2]Entry!$E$533)</f>
        <v/>
      </c>
      <c r="M530" t="str">
        <f>IF([2]Entry!$G$533="","",[2]Entry!$G$533)</f>
        <v/>
      </c>
      <c r="N530" t="str">
        <f>IF([2]Entry!$M$533="","",[2]Entry!$M$533)</f>
        <v/>
      </c>
      <c r="O530" t="str">
        <f>IF([2]Entry!$N$533="","",[2]Entry!$N$533)</f>
        <v/>
      </c>
      <c r="P530" t="str">
        <f>IF([2]Entry!$R$533="","",[2]Entry!$R$533)</f>
        <v/>
      </c>
    </row>
    <row r="531" spans="1:16" x14ac:dyDescent="0.2">
      <c r="A531" t="str">
        <f>IF([1]Accounts!$D$532="","",[1]Accounts!$A$532)</f>
        <v/>
      </c>
      <c r="B531" t="str">
        <f>IF([1]Accounts!$D$532="","",[1]Accounts!$B$532)</f>
        <v/>
      </c>
      <c r="C531" t="str">
        <f>IF([1]Accounts!$D$532="","",[1]Accounts!$C$532)</f>
        <v/>
      </c>
      <c r="D531" t="str">
        <f>IF([1]Accounts!$D$532="","",[1]Accounts!$D$532)</f>
        <v/>
      </c>
      <c r="E531" t="str">
        <f>IF([1]Accounts!$D$532="","",[1]Accounts!$J$532)</f>
        <v/>
      </c>
      <c r="F531" t="str">
        <f>IF([1]Accounts!$D$532="","",[1]Accounts!$K$532)</f>
        <v/>
      </c>
      <c r="J531" t="str">
        <f>IF([2]Entry!$C$534="","",[2]Entry!$C$534)</f>
        <v/>
      </c>
      <c r="K531" t="str">
        <f>IF([2]Entry!$D$534="","",[2]Entry!$D$534)</f>
        <v/>
      </c>
      <c r="L531" t="str">
        <f>IF([2]Entry!$E$534="","",[2]Entry!$E$534)</f>
        <v/>
      </c>
      <c r="M531" t="str">
        <f>IF([2]Entry!$G$534="","",[2]Entry!$G$534)</f>
        <v/>
      </c>
      <c r="N531" t="str">
        <f>IF([2]Entry!$M$534="","",[2]Entry!$M$534)</f>
        <v/>
      </c>
      <c r="O531" t="str">
        <f>IF([2]Entry!$N$534="","",[2]Entry!$N$534)</f>
        <v/>
      </c>
      <c r="P531" t="str">
        <f>IF([2]Entry!$R$534="","",[2]Entry!$R$534)</f>
        <v/>
      </c>
    </row>
    <row r="532" spans="1:16" x14ac:dyDescent="0.2">
      <c r="A532" t="str">
        <f>IF([1]Accounts!$D$533="","",[1]Accounts!$A$533)</f>
        <v/>
      </c>
      <c r="B532" t="str">
        <f>IF([1]Accounts!$D$533="","",[1]Accounts!$B$533)</f>
        <v/>
      </c>
      <c r="C532" t="str">
        <f>IF([1]Accounts!$D$533="","",[1]Accounts!$C$533)</f>
        <v/>
      </c>
      <c r="D532" t="str">
        <f>IF([1]Accounts!$D$533="","",[1]Accounts!$D$533)</f>
        <v/>
      </c>
      <c r="E532" t="str">
        <f>IF([1]Accounts!$D$533="","",[1]Accounts!$J$533)</f>
        <v/>
      </c>
      <c r="F532" t="str">
        <f>IF([1]Accounts!$D$533="","",[1]Accounts!$K$533)</f>
        <v/>
      </c>
      <c r="J532" t="str">
        <f>IF([2]Entry!$C$535="","",[2]Entry!$C$535)</f>
        <v/>
      </c>
      <c r="K532" t="str">
        <f>IF([2]Entry!$D$535="","",[2]Entry!$D$535)</f>
        <v/>
      </c>
      <c r="L532" t="str">
        <f>IF([2]Entry!$E$535="","",[2]Entry!$E$535)</f>
        <v/>
      </c>
      <c r="M532" t="str">
        <f>IF([2]Entry!$G$535="","",[2]Entry!$G$535)</f>
        <v/>
      </c>
      <c r="N532" t="str">
        <f>IF([2]Entry!$M$535="","",[2]Entry!$M$535)</f>
        <v/>
      </c>
      <c r="O532" t="str">
        <f>IF([2]Entry!$N$535="","",[2]Entry!$N$535)</f>
        <v/>
      </c>
      <c r="P532" t="str">
        <f>IF([2]Entry!$R$535="","",[2]Entry!$R$535)</f>
        <v/>
      </c>
    </row>
    <row r="533" spans="1:16" x14ac:dyDescent="0.2">
      <c r="A533" t="str">
        <f>IF([1]Accounts!$D$534="","",[1]Accounts!$A$534)</f>
        <v/>
      </c>
      <c r="B533" t="str">
        <f>IF([1]Accounts!$D$534="","",[1]Accounts!$B$534)</f>
        <v/>
      </c>
      <c r="C533" t="str">
        <f>IF([1]Accounts!$D$534="","",[1]Accounts!$C$534)</f>
        <v/>
      </c>
      <c r="D533" t="str">
        <f>IF([1]Accounts!$D$534="","",[1]Accounts!$D$534)</f>
        <v/>
      </c>
      <c r="E533" t="str">
        <f>IF([1]Accounts!$D$534="","",[1]Accounts!$J$534)</f>
        <v/>
      </c>
      <c r="F533" t="str">
        <f>IF([1]Accounts!$D$534="","",[1]Accounts!$K$534)</f>
        <v/>
      </c>
      <c r="J533" t="str">
        <f>IF([2]Entry!$C$536="","",[2]Entry!$C$536)</f>
        <v/>
      </c>
      <c r="K533" t="str">
        <f>IF([2]Entry!$D$536="","",[2]Entry!$D$536)</f>
        <v/>
      </c>
      <c r="L533" t="str">
        <f>IF([2]Entry!$E$536="","",[2]Entry!$E$536)</f>
        <v/>
      </c>
      <c r="M533" t="str">
        <f>IF([2]Entry!$G$536="","",[2]Entry!$G$536)</f>
        <v/>
      </c>
      <c r="N533" t="str">
        <f>IF([2]Entry!$M$536="","",[2]Entry!$M$536)</f>
        <v/>
      </c>
      <c r="O533" t="str">
        <f>IF([2]Entry!$N$536="","",[2]Entry!$N$536)</f>
        <v/>
      </c>
      <c r="P533" t="str">
        <f>IF([2]Entry!$R$536="","",[2]Entry!$R$536)</f>
        <v/>
      </c>
    </row>
    <row r="534" spans="1:16" x14ac:dyDescent="0.2">
      <c r="A534" t="str">
        <f>IF([1]Accounts!$D$535="","",[1]Accounts!$A$535)</f>
        <v/>
      </c>
      <c r="B534" t="str">
        <f>IF([1]Accounts!$D$535="","",[1]Accounts!$B$535)</f>
        <v/>
      </c>
      <c r="C534" t="str">
        <f>IF([1]Accounts!$D$535="","",[1]Accounts!$C$535)</f>
        <v/>
      </c>
      <c r="D534" t="str">
        <f>IF([1]Accounts!$D$535="","",[1]Accounts!$D$535)</f>
        <v/>
      </c>
      <c r="E534" t="str">
        <f>IF([1]Accounts!$D$535="","",[1]Accounts!$J$535)</f>
        <v/>
      </c>
      <c r="F534" t="str">
        <f>IF([1]Accounts!$D$535="","",[1]Accounts!$K$535)</f>
        <v/>
      </c>
      <c r="J534" t="str">
        <f>IF([2]Entry!$C$537="","",[2]Entry!$C$537)</f>
        <v/>
      </c>
      <c r="K534" t="str">
        <f>IF([2]Entry!$D$537="","",[2]Entry!$D$537)</f>
        <v/>
      </c>
      <c r="L534" t="str">
        <f>IF([2]Entry!$E$537="","",[2]Entry!$E$537)</f>
        <v/>
      </c>
      <c r="M534" t="str">
        <f>IF([2]Entry!$G$537="","",[2]Entry!$G$537)</f>
        <v/>
      </c>
      <c r="N534" t="str">
        <f>IF([2]Entry!$M$537="","",[2]Entry!$M$537)</f>
        <v/>
      </c>
      <c r="O534" t="str">
        <f>IF([2]Entry!$N$537="","",[2]Entry!$N$537)</f>
        <v/>
      </c>
      <c r="P534" t="str">
        <f>IF([2]Entry!$R$537="","",[2]Entry!$R$537)</f>
        <v/>
      </c>
    </row>
    <row r="535" spans="1:16" x14ac:dyDescent="0.2">
      <c r="A535" t="str">
        <f>IF([1]Accounts!$D$536="","",[1]Accounts!$A$536)</f>
        <v/>
      </c>
      <c r="B535" t="str">
        <f>IF([1]Accounts!$D$536="","",[1]Accounts!$B$536)</f>
        <v/>
      </c>
      <c r="C535" t="str">
        <f>IF([1]Accounts!$D$536="","",[1]Accounts!$C$536)</f>
        <v/>
      </c>
      <c r="D535" t="str">
        <f>IF([1]Accounts!$D$536="","",[1]Accounts!$D$536)</f>
        <v/>
      </c>
      <c r="E535" t="str">
        <f>IF([1]Accounts!$D$536="","",[1]Accounts!$J$536)</f>
        <v/>
      </c>
      <c r="F535" t="str">
        <f>IF([1]Accounts!$D$536="","",[1]Accounts!$K$536)</f>
        <v/>
      </c>
      <c r="J535" t="str">
        <f>IF([2]Entry!$C$538="","",[2]Entry!$C$538)</f>
        <v/>
      </c>
      <c r="K535" t="str">
        <f>IF([2]Entry!$D$538="","",[2]Entry!$D$538)</f>
        <v/>
      </c>
      <c r="L535" t="str">
        <f>IF([2]Entry!$E$538="","",[2]Entry!$E$538)</f>
        <v/>
      </c>
      <c r="M535" t="str">
        <f>IF([2]Entry!$G$538="","",[2]Entry!$G$538)</f>
        <v/>
      </c>
      <c r="N535" t="str">
        <f>IF([2]Entry!$M$538="","",[2]Entry!$M$538)</f>
        <v/>
      </c>
      <c r="O535" t="str">
        <f>IF([2]Entry!$N$538="","",[2]Entry!$N$538)</f>
        <v/>
      </c>
      <c r="P535" t="str">
        <f>IF([2]Entry!$R$538="","",[2]Entry!$R$538)</f>
        <v/>
      </c>
    </row>
    <row r="536" spans="1:16" x14ac:dyDescent="0.2">
      <c r="A536" t="str">
        <f>IF([1]Accounts!$D$537="","",[1]Accounts!$A$537)</f>
        <v>L001</v>
      </c>
      <c r="B536" t="str">
        <f>IF([1]Accounts!$D$537="","",[1]Accounts!$B$537)</f>
        <v>وام و تسهیلات</v>
      </c>
      <c r="C536" t="str">
        <f>IF([1]Accounts!$D$537="","",[1]Accounts!$C$537)</f>
        <v>وام بانکی</v>
      </c>
      <c r="D536" t="str">
        <f>IF([1]Accounts!$D$537="","",[1]Accounts!$D$537)</f>
        <v>وام بانک ملت (نمونه)</v>
      </c>
      <c r="E536" t="str">
        <f>IF([1]Accounts!$D$537="","",[1]Accounts!$J$537)</f>
        <v>کلیدی</v>
      </c>
      <c r="F536" t="str">
        <f>IF([1]Accounts!$D$537="","",[1]Accounts!$K$537)</f>
        <v>پایش کامل</v>
      </c>
      <c r="J536" t="str">
        <f>IF([2]Entry!$C$539="","",[2]Entry!$C$539)</f>
        <v/>
      </c>
      <c r="K536" t="str">
        <f>IF([2]Entry!$D$539="","",[2]Entry!$D$539)</f>
        <v/>
      </c>
      <c r="L536" t="str">
        <f>IF([2]Entry!$E$539="","",[2]Entry!$E$539)</f>
        <v/>
      </c>
      <c r="M536" t="str">
        <f>IF([2]Entry!$G$539="","",[2]Entry!$G$539)</f>
        <v/>
      </c>
      <c r="N536" t="str">
        <f>IF([2]Entry!$M$539="","",[2]Entry!$M$539)</f>
        <v/>
      </c>
      <c r="O536" t="str">
        <f>IF([2]Entry!$N$539="","",[2]Entry!$N$539)</f>
        <v/>
      </c>
      <c r="P536" t="str">
        <f>IF([2]Entry!$R$539="","",[2]Entry!$R$539)</f>
        <v/>
      </c>
    </row>
    <row r="537" spans="1:16" x14ac:dyDescent="0.2">
      <c r="A537" t="str">
        <f>IF([1]Accounts!$D$538="","",[1]Accounts!$A$538)</f>
        <v/>
      </c>
      <c r="B537" t="str">
        <f>IF([1]Accounts!$D$538="","",[1]Accounts!$B$538)</f>
        <v/>
      </c>
      <c r="C537" t="str">
        <f>IF([1]Accounts!$D$538="","",[1]Accounts!$C$538)</f>
        <v/>
      </c>
      <c r="D537" t="str">
        <f>IF([1]Accounts!$D$538="","",[1]Accounts!$D$538)</f>
        <v/>
      </c>
      <c r="E537" t="str">
        <f>IF([1]Accounts!$D$538="","",[1]Accounts!$J$538)</f>
        <v/>
      </c>
      <c r="F537" t="str">
        <f>IF([1]Accounts!$D$538="","",[1]Accounts!$K$538)</f>
        <v/>
      </c>
      <c r="J537" t="str">
        <f>IF([2]Entry!$C$540="","",[2]Entry!$C$540)</f>
        <v/>
      </c>
      <c r="K537" t="str">
        <f>IF([2]Entry!$D$540="","",[2]Entry!$D$540)</f>
        <v/>
      </c>
      <c r="L537" t="str">
        <f>IF([2]Entry!$E$540="","",[2]Entry!$E$540)</f>
        <v/>
      </c>
      <c r="M537" t="str">
        <f>IF([2]Entry!$G$540="","",[2]Entry!$G$540)</f>
        <v/>
      </c>
      <c r="N537" t="str">
        <f>IF([2]Entry!$M$540="","",[2]Entry!$M$540)</f>
        <v/>
      </c>
      <c r="O537" t="str">
        <f>IF([2]Entry!$N$540="","",[2]Entry!$N$540)</f>
        <v/>
      </c>
      <c r="P537" t="str">
        <f>IF([2]Entry!$R$540="","",[2]Entry!$R$540)</f>
        <v/>
      </c>
    </row>
    <row r="538" spans="1:16" x14ac:dyDescent="0.2">
      <c r="A538" t="str">
        <f>IF([1]Accounts!$D$539="","",[1]Accounts!$A$539)</f>
        <v/>
      </c>
      <c r="B538" t="str">
        <f>IF([1]Accounts!$D$539="","",[1]Accounts!$B$539)</f>
        <v/>
      </c>
      <c r="C538" t="str">
        <f>IF([1]Accounts!$D$539="","",[1]Accounts!$C$539)</f>
        <v/>
      </c>
      <c r="D538" t="str">
        <f>IF([1]Accounts!$D$539="","",[1]Accounts!$D$539)</f>
        <v/>
      </c>
      <c r="E538" t="str">
        <f>IF([1]Accounts!$D$539="","",[1]Accounts!$J$539)</f>
        <v/>
      </c>
      <c r="F538" t="str">
        <f>IF([1]Accounts!$D$539="","",[1]Accounts!$K$539)</f>
        <v/>
      </c>
      <c r="J538" t="str">
        <f>IF([2]Entry!$C$541="","",[2]Entry!$C$541)</f>
        <v/>
      </c>
      <c r="K538" t="str">
        <f>IF([2]Entry!$D$541="","",[2]Entry!$D$541)</f>
        <v/>
      </c>
      <c r="L538" t="str">
        <f>IF([2]Entry!$E$541="","",[2]Entry!$E$541)</f>
        <v/>
      </c>
      <c r="M538" t="str">
        <f>IF([2]Entry!$G$541="","",[2]Entry!$G$541)</f>
        <v/>
      </c>
      <c r="N538" t="str">
        <f>IF([2]Entry!$M$541="","",[2]Entry!$M$541)</f>
        <v/>
      </c>
      <c r="O538" t="str">
        <f>IF([2]Entry!$N$541="","",[2]Entry!$N$541)</f>
        <v/>
      </c>
      <c r="P538" t="str">
        <f>IF([2]Entry!$R$541="","",[2]Entry!$R$541)</f>
        <v/>
      </c>
    </row>
    <row r="539" spans="1:16" x14ac:dyDescent="0.2">
      <c r="A539" t="str">
        <f>IF([1]Accounts!$D$540="","",[1]Accounts!$A$540)</f>
        <v/>
      </c>
      <c r="B539" t="str">
        <f>IF([1]Accounts!$D$540="","",[1]Accounts!$B$540)</f>
        <v/>
      </c>
      <c r="C539" t="str">
        <f>IF([1]Accounts!$D$540="","",[1]Accounts!$C$540)</f>
        <v/>
      </c>
      <c r="D539" t="str">
        <f>IF([1]Accounts!$D$540="","",[1]Accounts!$D$540)</f>
        <v/>
      </c>
      <c r="E539" t="str">
        <f>IF([1]Accounts!$D$540="","",[1]Accounts!$J$540)</f>
        <v/>
      </c>
      <c r="F539" t="str">
        <f>IF([1]Accounts!$D$540="","",[1]Accounts!$K$540)</f>
        <v/>
      </c>
      <c r="J539" t="str">
        <f>IF([2]Entry!$C$542="","",[2]Entry!$C$542)</f>
        <v/>
      </c>
      <c r="K539" t="str">
        <f>IF([2]Entry!$D$542="","",[2]Entry!$D$542)</f>
        <v/>
      </c>
      <c r="L539" t="str">
        <f>IF([2]Entry!$E$542="","",[2]Entry!$E$542)</f>
        <v/>
      </c>
      <c r="M539" t="str">
        <f>IF([2]Entry!$G$542="","",[2]Entry!$G$542)</f>
        <v/>
      </c>
      <c r="N539" t="str">
        <f>IF([2]Entry!$M$542="","",[2]Entry!$M$542)</f>
        <v/>
      </c>
      <c r="O539" t="str">
        <f>IF([2]Entry!$N$542="","",[2]Entry!$N$542)</f>
        <v/>
      </c>
      <c r="P539" t="str">
        <f>IF([2]Entry!$R$542="","",[2]Entry!$R$542)</f>
        <v/>
      </c>
    </row>
    <row r="540" spans="1:16" x14ac:dyDescent="0.2">
      <c r="A540" t="str">
        <f>IF([1]Accounts!$D$541="","",[1]Accounts!$A$541)</f>
        <v/>
      </c>
      <c r="B540" t="str">
        <f>IF([1]Accounts!$D$541="","",[1]Accounts!$B$541)</f>
        <v/>
      </c>
      <c r="C540" t="str">
        <f>IF([1]Accounts!$D$541="","",[1]Accounts!$C$541)</f>
        <v/>
      </c>
      <c r="D540" t="str">
        <f>IF([1]Accounts!$D$541="","",[1]Accounts!$D$541)</f>
        <v/>
      </c>
      <c r="E540" t="str">
        <f>IF([1]Accounts!$D$541="","",[1]Accounts!$J$541)</f>
        <v/>
      </c>
      <c r="F540" t="str">
        <f>IF([1]Accounts!$D$541="","",[1]Accounts!$K$541)</f>
        <v/>
      </c>
      <c r="J540" t="str">
        <f>IF([2]Entry!$C$543="","",[2]Entry!$C$543)</f>
        <v/>
      </c>
      <c r="K540" t="str">
        <f>IF([2]Entry!$D$543="","",[2]Entry!$D$543)</f>
        <v/>
      </c>
      <c r="L540" t="str">
        <f>IF([2]Entry!$E$543="","",[2]Entry!$E$543)</f>
        <v/>
      </c>
      <c r="M540" t="str">
        <f>IF([2]Entry!$G$543="","",[2]Entry!$G$543)</f>
        <v/>
      </c>
      <c r="N540" t="str">
        <f>IF([2]Entry!$M$543="","",[2]Entry!$M$543)</f>
        <v/>
      </c>
      <c r="O540" t="str">
        <f>IF([2]Entry!$N$543="","",[2]Entry!$N$543)</f>
        <v/>
      </c>
      <c r="P540" t="str">
        <f>IF([2]Entry!$R$543="","",[2]Entry!$R$543)</f>
        <v/>
      </c>
    </row>
    <row r="541" spans="1:16" x14ac:dyDescent="0.2">
      <c r="A541" t="str">
        <f>IF([1]Accounts!$D$542="","",[1]Accounts!$A$542)</f>
        <v/>
      </c>
      <c r="B541" t="str">
        <f>IF([1]Accounts!$D$542="","",[1]Accounts!$B$542)</f>
        <v/>
      </c>
      <c r="C541" t="str">
        <f>IF([1]Accounts!$D$542="","",[1]Accounts!$C$542)</f>
        <v/>
      </c>
      <c r="D541" t="str">
        <f>IF([1]Accounts!$D$542="","",[1]Accounts!$D$542)</f>
        <v/>
      </c>
      <c r="E541" t="str">
        <f>IF([1]Accounts!$D$542="","",[1]Accounts!$J$542)</f>
        <v/>
      </c>
      <c r="F541" t="str">
        <f>IF([1]Accounts!$D$542="","",[1]Accounts!$K$542)</f>
        <v/>
      </c>
      <c r="J541" t="str">
        <f>IF([2]Entry!$C$544="","",[2]Entry!$C$544)</f>
        <v/>
      </c>
      <c r="K541" t="str">
        <f>IF([2]Entry!$D$544="","",[2]Entry!$D$544)</f>
        <v/>
      </c>
      <c r="L541" t="str">
        <f>IF([2]Entry!$E$544="","",[2]Entry!$E$544)</f>
        <v/>
      </c>
      <c r="M541" t="str">
        <f>IF([2]Entry!$G$544="","",[2]Entry!$G$544)</f>
        <v/>
      </c>
      <c r="N541" t="str">
        <f>IF([2]Entry!$M$544="","",[2]Entry!$M$544)</f>
        <v/>
      </c>
      <c r="O541" t="str">
        <f>IF([2]Entry!$N$544="","",[2]Entry!$N$544)</f>
        <v/>
      </c>
      <c r="P541" t="str">
        <f>IF([2]Entry!$R$544="","",[2]Entry!$R$544)</f>
        <v/>
      </c>
    </row>
    <row r="542" spans="1:16" x14ac:dyDescent="0.2">
      <c r="A542" t="str">
        <f>IF([1]Accounts!$D$543="","",[1]Accounts!$A$543)</f>
        <v/>
      </c>
      <c r="B542" t="str">
        <f>IF([1]Accounts!$D$543="","",[1]Accounts!$B$543)</f>
        <v/>
      </c>
      <c r="C542" t="str">
        <f>IF([1]Accounts!$D$543="","",[1]Accounts!$C$543)</f>
        <v/>
      </c>
      <c r="D542" t="str">
        <f>IF([1]Accounts!$D$543="","",[1]Accounts!$D$543)</f>
        <v/>
      </c>
      <c r="E542" t="str">
        <f>IF([1]Accounts!$D$543="","",[1]Accounts!$J$543)</f>
        <v/>
      </c>
      <c r="F542" t="str">
        <f>IF([1]Accounts!$D$543="","",[1]Accounts!$K$543)</f>
        <v/>
      </c>
      <c r="J542" t="str">
        <f>IF([2]Entry!$C$545="","",[2]Entry!$C$545)</f>
        <v/>
      </c>
      <c r="K542" t="str">
        <f>IF([2]Entry!$D$545="","",[2]Entry!$D$545)</f>
        <v/>
      </c>
      <c r="L542" t="str">
        <f>IF([2]Entry!$E$545="","",[2]Entry!$E$545)</f>
        <v/>
      </c>
      <c r="M542" t="str">
        <f>IF([2]Entry!$G$545="","",[2]Entry!$G$545)</f>
        <v/>
      </c>
      <c r="N542" t="str">
        <f>IF([2]Entry!$M$545="","",[2]Entry!$M$545)</f>
        <v/>
      </c>
      <c r="O542" t="str">
        <f>IF([2]Entry!$N$545="","",[2]Entry!$N$545)</f>
        <v/>
      </c>
      <c r="P542" t="str">
        <f>IF([2]Entry!$R$545="","",[2]Entry!$R$545)</f>
        <v/>
      </c>
    </row>
    <row r="543" spans="1:16" x14ac:dyDescent="0.2">
      <c r="A543" t="str">
        <f>IF([1]Accounts!$D$544="","",[1]Accounts!$A$544)</f>
        <v/>
      </c>
      <c r="B543" t="str">
        <f>IF([1]Accounts!$D$544="","",[1]Accounts!$B$544)</f>
        <v/>
      </c>
      <c r="C543" t="str">
        <f>IF([1]Accounts!$D$544="","",[1]Accounts!$C$544)</f>
        <v/>
      </c>
      <c r="D543" t="str">
        <f>IF([1]Accounts!$D$544="","",[1]Accounts!$D$544)</f>
        <v/>
      </c>
      <c r="E543" t="str">
        <f>IF([1]Accounts!$D$544="","",[1]Accounts!$J$544)</f>
        <v/>
      </c>
      <c r="F543" t="str">
        <f>IF([1]Accounts!$D$544="","",[1]Accounts!$K$544)</f>
        <v/>
      </c>
      <c r="J543" t="str">
        <f>IF([2]Entry!$C$546="","",[2]Entry!$C$546)</f>
        <v/>
      </c>
      <c r="K543" t="str">
        <f>IF([2]Entry!$D$546="","",[2]Entry!$D$546)</f>
        <v/>
      </c>
      <c r="L543" t="str">
        <f>IF([2]Entry!$E$546="","",[2]Entry!$E$546)</f>
        <v/>
      </c>
      <c r="M543" t="str">
        <f>IF([2]Entry!$G$546="","",[2]Entry!$G$546)</f>
        <v/>
      </c>
      <c r="N543" t="str">
        <f>IF([2]Entry!$M$546="","",[2]Entry!$M$546)</f>
        <v/>
      </c>
      <c r="O543" t="str">
        <f>IF([2]Entry!$N$546="","",[2]Entry!$N$546)</f>
        <v/>
      </c>
      <c r="P543" t="str">
        <f>IF([2]Entry!$R$546="","",[2]Entry!$R$546)</f>
        <v/>
      </c>
    </row>
    <row r="544" spans="1:16" x14ac:dyDescent="0.2">
      <c r="A544" t="str">
        <f>IF([1]Accounts!$D$545="","",[1]Accounts!$A$545)</f>
        <v/>
      </c>
      <c r="B544" t="str">
        <f>IF([1]Accounts!$D$545="","",[1]Accounts!$B$545)</f>
        <v/>
      </c>
      <c r="C544" t="str">
        <f>IF([1]Accounts!$D$545="","",[1]Accounts!$C$545)</f>
        <v/>
      </c>
      <c r="D544" t="str">
        <f>IF([1]Accounts!$D$545="","",[1]Accounts!$D$545)</f>
        <v/>
      </c>
      <c r="E544" t="str">
        <f>IF([1]Accounts!$D$545="","",[1]Accounts!$J$545)</f>
        <v/>
      </c>
      <c r="F544" t="str">
        <f>IF([1]Accounts!$D$545="","",[1]Accounts!$K$545)</f>
        <v/>
      </c>
      <c r="J544" t="str">
        <f>IF([2]Entry!$C$547="","",[2]Entry!$C$547)</f>
        <v/>
      </c>
      <c r="K544" t="str">
        <f>IF([2]Entry!$D$547="","",[2]Entry!$D$547)</f>
        <v/>
      </c>
      <c r="L544" t="str">
        <f>IF([2]Entry!$E$547="","",[2]Entry!$E$547)</f>
        <v/>
      </c>
      <c r="M544" t="str">
        <f>IF([2]Entry!$G$547="","",[2]Entry!$G$547)</f>
        <v/>
      </c>
      <c r="N544" t="str">
        <f>IF([2]Entry!$M$547="","",[2]Entry!$M$547)</f>
        <v/>
      </c>
      <c r="O544" t="str">
        <f>IF([2]Entry!$N$547="","",[2]Entry!$N$547)</f>
        <v/>
      </c>
      <c r="P544" t="str">
        <f>IF([2]Entry!$R$547="","",[2]Entry!$R$547)</f>
        <v/>
      </c>
    </row>
    <row r="545" spans="1:16" x14ac:dyDescent="0.2">
      <c r="A545" t="str">
        <f>IF([1]Accounts!$D$546="","",[1]Accounts!$A$546)</f>
        <v/>
      </c>
      <c r="B545" t="str">
        <f>IF([1]Accounts!$D$546="","",[1]Accounts!$B$546)</f>
        <v/>
      </c>
      <c r="C545" t="str">
        <f>IF([1]Accounts!$D$546="","",[1]Accounts!$C$546)</f>
        <v/>
      </c>
      <c r="D545" t="str">
        <f>IF([1]Accounts!$D$546="","",[1]Accounts!$D$546)</f>
        <v/>
      </c>
      <c r="E545" t="str">
        <f>IF([1]Accounts!$D$546="","",[1]Accounts!$J$546)</f>
        <v/>
      </c>
      <c r="F545" t="str">
        <f>IF([1]Accounts!$D$546="","",[1]Accounts!$K$546)</f>
        <v/>
      </c>
      <c r="J545" t="str">
        <f>IF([2]Entry!$C$548="","",[2]Entry!$C$548)</f>
        <v/>
      </c>
      <c r="K545" t="str">
        <f>IF([2]Entry!$D$548="","",[2]Entry!$D$548)</f>
        <v/>
      </c>
      <c r="L545" t="str">
        <f>IF([2]Entry!$E$548="","",[2]Entry!$E$548)</f>
        <v/>
      </c>
      <c r="M545" t="str">
        <f>IF([2]Entry!$G$548="","",[2]Entry!$G$548)</f>
        <v/>
      </c>
      <c r="N545" t="str">
        <f>IF([2]Entry!$M$548="","",[2]Entry!$M$548)</f>
        <v/>
      </c>
      <c r="O545" t="str">
        <f>IF([2]Entry!$N$548="","",[2]Entry!$N$548)</f>
        <v/>
      </c>
      <c r="P545" t="str">
        <f>IF([2]Entry!$R$548="","",[2]Entry!$R$548)</f>
        <v/>
      </c>
    </row>
    <row r="546" spans="1:16" x14ac:dyDescent="0.2">
      <c r="A546" t="str">
        <f>IF([1]Accounts!$D$547="","",[1]Accounts!$A$547)</f>
        <v/>
      </c>
      <c r="B546" t="str">
        <f>IF([1]Accounts!$D$547="","",[1]Accounts!$B$547)</f>
        <v/>
      </c>
      <c r="C546" t="str">
        <f>IF([1]Accounts!$D$547="","",[1]Accounts!$C$547)</f>
        <v/>
      </c>
      <c r="D546" t="str">
        <f>IF([1]Accounts!$D$547="","",[1]Accounts!$D$547)</f>
        <v/>
      </c>
      <c r="E546" t="str">
        <f>IF([1]Accounts!$D$547="","",[1]Accounts!$J$547)</f>
        <v/>
      </c>
      <c r="F546" t="str">
        <f>IF([1]Accounts!$D$547="","",[1]Accounts!$K$547)</f>
        <v/>
      </c>
      <c r="J546" t="str">
        <f>IF([2]Entry!$C$549="","",[2]Entry!$C$549)</f>
        <v/>
      </c>
      <c r="K546" t="str">
        <f>IF([2]Entry!$D$549="","",[2]Entry!$D$549)</f>
        <v/>
      </c>
      <c r="L546" t="str">
        <f>IF([2]Entry!$E$549="","",[2]Entry!$E$549)</f>
        <v/>
      </c>
      <c r="M546" t="str">
        <f>IF([2]Entry!$G$549="","",[2]Entry!$G$549)</f>
        <v/>
      </c>
      <c r="N546" t="str">
        <f>IF([2]Entry!$M$549="","",[2]Entry!$M$549)</f>
        <v/>
      </c>
      <c r="O546" t="str">
        <f>IF([2]Entry!$N$549="","",[2]Entry!$N$549)</f>
        <v/>
      </c>
      <c r="P546" t="str">
        <f>IF([2]Entry!$R$549="","",[2]Entry!$R$549)</f>
        <v/>
      </c>
    </row>
    <row r="547" spans="1:16" x14ac:dyDescent="0.2">
      <c r="A547" t="str">
        <f>IF([1]Accounts!$D$548="","",[1]Accounts!$A$548)</f>
        <v/>
      </c>
      <c r="B547" t="str">
        <f>IF([1]Accounts!$D$548="","",[1]Accounts!$B$548)</f>
        <v/>
      </c>
      <c r="C547" t="str">
        <f>IF([1]Accounts!$D$548="","",[1]Accounts!$C$548)</f>
        <v/>
      </c>
      <c r="D547" t="str">
        <f>IF([1]Accounts!$D$548="","",[1]Accounts!$D$548)</f>
        <v/>
      </c>
      <c r="E547" t="str">
        <f>IF([1]Accounts!$D$548="","",[1]Accounts!$J$548)</f>
        <v/>
      </c>
      <c r="F547" t="str">
        <f>IF([1]Accounts!$D$548="","",[1]Accounts!$K$548)</f>
        <v/>
      </c>
      <c r="J547" t="str">
        <f>IF([2]Entry!$C$550="","",[2]Entry!$C$550)</f>
        <v/>
      </c>
      <c r="K547" t="str">
        <f>IF([2]Entry!$D$550="","",[2]Entry!$D$550)</f>
        <v/>
      </c>
      <c r="L547" t="str">
        <f>IF([2]Entry!$E$550="","",[2]Entry!$E$550)</f>
        <v/>
      </c>
      <c r="M547" t="str">
        <f>IF([2]Entry!$G$550="","",[2]Entry!$G$550)</f>
        <v/>
      </c>
      <c r="N547" t="str">
        <f>IF([2]Entry!$M$550="","",[2]Entry!$M$550)</f>
        <v/>
      </c>
      <c r="O547" t="str">
        <f>IF([2]Entry!$N$550="","",[2]Entry!$N$550)</f>
        <v/>
      </c>
      <c r="P547" t="str">
        <f>IF([2]Entry!$R$550="","",[2]Entry!$R$550)</f>
        <v/>
      </c>
    </row>
    <row r="548" spans="1:16" x14ac:dyDescent="0.2">
      <c r="A548" t="str">
        <f>IF([1]Accounts!$D$549="","",[1]Accounts!$A$549)</f>
        <v/>
      </c>
      <c r="B548" t="str">
        <f>IF([1]Accounts!$D$549="","",[1]Accounts!$B$549)</f>
        <v/>
      </c>
      <c r="C548" t="str">
        <f>IF([1]Accounts!$D$549="","",[1]Accounts!$C$549)</f>
        <v/>
      </c>
      <c r="D548" t="str">
        <f>IF([1]Accounts!$D$549="","",[1]Accounts!$D$549)</f>
        <v/>
      </c>
      <c r="E548" t="str">
        <f>IF([1]Accounts!$D$549="","",[1]Accounts!$J$549)</f>
        <v/>
      </c>
      <c r="F548" t="str">
        <f>IF([1]Accounts!$D$549="","",[1]Accounts!$K$549)</f>
        <v/>
      </c>
      <c r="J548" t="str">
        <f>IF([2]Entry!$C$551="","",[2]Entry!$C$551)</f>
        <v/>
      </c>
      <c r="K548" t="str">
        <f>IF([2]Entry!$D$551="","",[2]Entry!$D$551)</f>
        <v/>
      </c>
      <c r="L548" t="str">
        <f>IF([2]Entry!$E$551="","",[2]Entry!$E$551)</f>
        <v/>
      </c>
      <c r="M548" t="str">
        <f>IF([2]Entry!$G$551="","",[2]Entry!$G$551)</f>
        <v/>
      </c>
      <c r="N548" t="str">
        <f>IF([2]Entry!$M$551="","",[2]Entry!$M$551)</f>
        <v/>
      </c>
      <c r="O548" t="str">
        <f>IF([2]Entry!$N$551="","",[2]Entry!$N$551)</f>
        <v/>
      </c>
      <c r="P548" t="str">
        <f>IF([2]Entry!$R$551="","",[2]Entry!$R$551)</f>
        <v/>
      </c>
    </row>
    <row r="549" spans="1:16" x14ac:dyDescent="0.2">
      <c r="A549" t="str">
        <f>IF([1]Accounts!$D$550="","",[1]Accounts!$A$550)</f>
        <v/>
      </c>
      <c r="B549" t="str">
        <f>IF([1]Accounts!$D$550="","",[1]Accounts!$B$550)</f>
        <v/>
      </c>
      <c r="C549" t="str">
        <f>IF([1]Accounts!$D$550="","",[1]Accounts!$C$550)</f>
        <v/>
      </c>
      <c r="D549" t="str">
        <f>IF([1]Accounts!$D$550="","",[1]Accounts!$D$550)</f>
        <v/>
      </c>
      <c r="E549" t="str">
        <f>IF([1]Accounts!$D$550="","",[1]Accounts!$J$550)</f>
        <v/>
      </c>
      <c r="F549" t="str">
        <f>IF([1]Accounts!$D$550="","",[1]Accounts!$K$550)</f>
        <v/>
      </c>
      <c r="J549" t="str">
        <f>IF([2]Entry!$C$552="","",[2]Entry!$C$552)</f>
        <v/>
      </c>
      <c r="K549" t="str">
        <f>IF([2]Entry!$D$552="","",[2]Entry!$D$552)</f>
        <v/>
      </c>
      <c r="L549" t="str">
        <f>IF([2]Entry!$E$552="","",[2]Entry!$E$552)</f>
        <v/>
      </c>
      <c r="M549" t="str">
        <f>IF([2]Entry!$G$552="","",[2]Entry!$G$552)</f>
        <v/>
      </c>
      <c r="N549" t="str">
        <f>IF([2]Entry!$M$552="","",[2]Entry!$M$552)</f>
        <v/>
      </c>
      <c r="O549" t="str">
        <f>IF([2]Entry!$N$552="","",[2]Entry!$N$552)</f>
        <v/>
      </c>
      <c r="P549" t="str">
        <f>IF([2]Entry!$R$552="","",[2]Entry!$R$552)</f>
        <v/>
      </c>
    </row>
    <row r="550" spans="1:16" x14ac:dyDescent="0.2">
      <c r="A550" t="str">
        <f>IF([1]Accounts!$D$551="","",[1]Accounts!$A$551)</f>
        <v/>
      </c>
      <c r="B550" t="str">
        <f>IF([1]Accounts!$D$551="","",[1]Accounts!$B$551)</f>
        <v/>
      </c>
      <c r="C550" t="str">
        <f>IF([1]Accounts!$D$551="","",[1]Accounts!$C$551)</f>
        <v/>
      </c>
      <c r="D550" t="str">
        <f>IF([1]Accounts!$D$551="","",[1]Accounts!$D$551)</f>
        <v/>
      </c>
      <c r="E550" t="str">
        <f>IF([1]Accounts!$D$551="","",[1]Accounts!$J$551)</f>
        <v/>
      </c>
      <c r="F550" t="str">
        <f>IF([1]Accounts!$D$551="","",[1]Accounts!$K$551)</f>
        <v/>
      </c>
      <c r="J550" t="str">
        <f>IF([2]Entry!$C$553="","",[2]Entry!$C$553)</f>
        <v/>
      </c>
      <c r="K550" t="str">
        <f>IF([2]Entry!$D$553="","",[2]Entry!$D$553)</f>
        <v/>
      </c>
      <c r="L550" t="str">
        <f>IF([2]Entry!$E$553="","",[2]Entry!$E$553)</f>
        <v/>
      </c>
      <c r="M550" t="str">
        <f>IF([2]Entry!$G$553="","",[2]Entry!$G$553)</f>
        <v/>
      </c>
      <c r="N550" t="str">
        <f>IF([2]Entry!$M$553="","",[2]Entry!$M$553)</f>
        <v/>
      </c>
      <c r="O550" t="str">
        <f>IF([2]Entry!$N$553="","",[2]Entry!$N$553)</f>
        <v/>
      </c>
      <c r="P550" t="str">
        <f>IF([2]Entry!$R$553="","",[2]Entry!$R$553)</f>
        <v/>
      </c>
    </row>
    <row r="551" spans="1:16" x14ac:dyDescent="0.2">
      <c r="A551" t="str">
        <f>IF([1]Accounts!$D$552="","",[1]Accounts!$A$552)</f>
        <v/>
      </c>
      <c r="B551" t="str">
        <f>IF([1]Accounts!$D$552="","",[1]Accounts!$B$552)</f>
        <v/>
      </c>
      <c r="C551" t="str">
        <f>IF([1]Accounts!$D$552="","",[1]Accounts!$C$552)</f>
        <v/>
      </c>
      <c r="D551" t="str">
        <f>IF([1]Accounts!$D$552="","",[1]Accounts!$D$552)</f>
        <v/>
      </c>
      <c r="E551" t="str">
        <f>IF([1]Accounts!$D$552="","",[1]Accounts!$J$552)</f>
        <v/>
      </c>
      <c r="F551" t="str">
        <f>IF([1]Accounts!$D$552="","",[1]Accounts!$K$552)</f>
        <v/>
      </c>
      <c r="J551" t="str">
        <f>IF([2]Entry!$C$554="","",[2]Entry!$C$554)</f>
        <v/>
      </c>
      <c r="K551" t="str">
        <f>IF([2]Entry!$D$554="","",[2]Entry!$D$554)</f>
        <v/>
      </c>
      <c r="L551" t="str">
        <f>IF([2]Entry!$E$554="","",[2]Entry!$E$554)</f>
        <v/>
      </c>
      <c r="M551" t="str">
        <f>IF([2]Entry!$G$554="","",[2]Entry!$G$554)</f>
        <v/>
      </c>
      <c r="N551" t="str">
        <f>IF([2]Entry!$M$554="","",[2]Entry!$M$554)</f>
        <v/>
      </c>
      <c r="O551" t="str">
        <f>IF([2]Entry!$N$554="","",[2]Entry!$N$554)</f>
        <v/>
      </c>
      <c r="P551" t="str">
        <f>IF([2]Entry!$R$554="","",[2]Entry!$R$554)</f>
        <v/>
      </c>
    </row>
    <row r="552" spans="1:16" x14ac:dyDescent="0.2">
      <c r="A552" t="str">
        <f>IF([1]Accounts!$D$553="","",[1]Accounts!$A$553)</f>
        <v/>
      </c>
      <c r="B552" t="str">
        <f>IF([1]Accounts!$D$553="","",[1]Accounts!$B$553)</f>
        <v/>
      </c>
      <c r="C552" t="str">
        <f>IF([1]Accounts!$D$553="","",[1]Accounts!$C$553)</f>
        <v/>
      </c>
      <c r="D552" t="str">
        <f>IF([1]Accounts!$D$553="","",[1]Accounts!$D$553)</f>
        <v/>
      </c>
      <c r="E552" t="str">
        <f>IF([1]Accounts!$D$553="","",[1]Accounts!$J$553)</f>
        <v/>
      </c>
      <c r="F552" t="str">
        <f>IF([1]Accounts!$D$553="","",[1]Accounts!$K$553)</f>
        <v/>
      </c>
      <c r="J552" t="str">
        <f>IF([2]Entry!$C$555="","",[2]Entry!$C$555)</f>
        <v/>
      </c>
      <c r="K552" t="str">
        <f>IF([2]Entry!$D$555="","",[2]Entry!$D$555)</f>
        <v/>
      </c>
      <c r="L552" t="str">
        <f>IF([2]Entry!$E$555="","",[2]Entry!$E$555)</f>
        <v/>
      </c>
      <c r="M552" t="str">
        <f>IF([2]Entry!$G$555="","",[2]Entry!$G$555)</f>
        <v/>
      </c>
      <c r="N552" t="str">
        <f>IF([2]Entry!$M$555="","",[2]Entry!$M$555)</f>
        <v/>
      </c>
      <c r="O552" t="str">
        <f>IF([2]Entry!$N$555="","",[2]Entry!$N$555)</f>
        <v/>
      </c>
      <c r="P552" t="str">
        <f>IF([2]Entry!$R$555="","",[2]Entry!$R$555)</f>
        <v/>
      </c>
    </row>
    <row r="553" spans="1:16" x14ac:dyDescent="0.2">
      <c r="A553" t="str">
        <f>IF([1]Accounts!$D$554="","",[1]Accounts!$A$554)</f>
        <v/>
      </c>
      <c r="B553" t="str">
        <f>IF([1]Accounts!$D$554="","",[1]Accounts!$B$554)</f>
        <v/>
      </c>
      <c r="C553" t="str">
        <f>IF([1]Accounts!$D$554="","",[1]Accounts!$C$554)</f>
        <v/>
      </c>
      <c r="D553" t="str">
        <f>IF([1]Accounts!$D$554="","",[1]Accounts!$D$554)</f>
        <v/>
      </c>
      <c r="E553" t="str">
        <f>IF([1]Accounts!$D$554="","",[1]Accounts!$J$554)</f>
        <v/>
      </c>
      <c r="F553" t="str">
        <f>IF([1]Accounts!$D$554="","",[1]Accounts!$K$554)</f>
        <v/>
      </c>
      <c r="J553" t="str">
        <f>IF([2]Entry!$C$556="","",[2]Entry!$C$556)</f>
        <v/>
      </c>
      <c r="K553" t="str">
        <f>IF([2]Entry!$D$556="","",[2]Entry!$D$556)</f>
        <v/>
      </c>
      <c r="L553" t="str">
        <f>IF([2]Entry!$E$556="","",[2]Entry!$E$556)</f>
        <v/>
      </c>
      <c r="M553" t="str">
        <f>IF([2]Entry!$G$556="","",[2]Entry!$G$556)</f>
        <v/>
      </c>
      <c r="N553" t="str">
        <f>IF([2]Entry!$M$556="","",[2]Entry!$M$556)</f>
        <v/>
      </c>
      <c r="O553" t="str">
        <f>IF([2]Entry!$N$556="","",[2]Entry!$N$556)</f>
        <v/>
      </c>
      <c r="P553" t="str">
        <f>IF([2]Entry!$R$556="","",[2]Entry!$R$556)</f>
        <v/>
      </c>
    </row>
    <row r="554" spans="1:16" x14ac:dyDescent="0.2">
      <c r="A554" t="str">
        <f>IF([1]Accounts!$D$555="","",[1]Accounts!$A$555)</f>
        <v/>
      </c>
      <c r="B554" t="str">
        <f>IF([1]Accounts!$D$555="","",[1]Accounts!$B$555)</f>
        <v/>
      </c>
      <c r="C554" t="str">
        <f>IF([1]Accounts!$D$555="","",[1]Accounts!$C$555)</f>
        <v/>
      </c>
      <c r="D554" t="str">
        <f>IF([1]Accounts!$D$555="","",[1]Accounts!$D$555)</f>
        <v/>
      </c>
      <c r="E554" t="str">
        <f>IF([1]Accounts!$D$555="","",[1]Accounts!$J$555)</f>
        <v/>
      </c>
      <c r="F554" t="str">
        <f>IF([1]Accounts!$D$555="","",[1]Accounts!$K$555)</f>
        <v/>
      </c>
      <c r="J554" t="str">
        <f>IF([2]Entry!$C$557="","",[2]Entry!$C$557)</f>
        <v/>
      </c>
      <c r="K554" t="str">
        <f>IF([2]Entry!$D$557="","",[2]Entry!$D$557)</f>
        <v/>
      </c>
      <c r="L554" t="str">
        <f>IF([2]Entry!$E$557="","",[2]Entry!$E$557)</f>
        <v/>
      </c>
      <c r="M554" t="str">
        <f>IF([2]Entry!$G$557="","",[2]Entry!$G$557)</f>
        <v/>
      </c>
      <c r="N554" t="str">
        <f>IF([2]Entry!$M$557="","",[2]Entry!$M$557)</f>
        <v/>
      </c>
      <c r="O554" t="str">
        <f>IF([2]Entry!$N$557="","",[2]Entry!$N$557)</f>
        <v/>
      </c>
      <c r="P554" t="str">
        <f>IF([2]Entry!$R$557="","",[2]Entry!$R$557)</f>
        <v/>
      </c>
    </row>
    <row r="555" spans="1:16" x14ac:dyDescent="0.2">
      <c r="A555" t="str">
        <f>IF([1]Accounts!$D$556="","",[1]Accounts!$A$556)</f>
        <v/>
      </c>
      <c r="B555" t="str">
        <f>IF([1]Accounts!$D$556="","",[1]Accounts!$B$556)</f>
        <v/>
      </c>
      <c r="C555" t="str">
        <f>IF([1]Accounts!$D$556="","",[1]Accounts!$C$556)</f>
        <v/>
      </c>
      <c r="D555" t="str">
        <f>IF([1]Accounts!$D$556="","",[1]Accounts!$D$556)</f>
        <v/>
      </c>
      <c r="E555" t="str">
        <f>IF([1]Accounts!$D$556="","",[1]Accounts!$J$556)</f>
        <v/>
      </c>
      <c r="F555" t="str">
        <f>IF([1]Accounts!$D$556="","",[1]Accounts!$K$556)</f>
        <v/>
      </c>
      <c r="J555" t="str">
        <f>IF([2]Entry!$C$558="","",[2]Entry!$C$558)</f>
        <v/>
      </c>
      <c r="K555" t="str">
        <f>IF([2]Entry!$D$558="","",[2]Entry!$D$558)</f>
        <v/>
      </c>
      <c r="L555" t="str">
        <f>IF([2]Entry!$E$558="","",[2]Entry!$E$558)</f>
        <v/>
      </c>
      <c r="M555" t="str">
        <f>IF([2]Entry!$G$558="","",[2]Entry!$G$558)</f>
        <v/>
      </c>
      <c r="N555" t="str">
        <f>IF([2]Entry!$M$558="","",[2]Entry!$M$558)</f>
        <v/>
      </c>
      <c r="O555" t="str">
        <f>IF([2]Entry!$N$558="","",[2]Entry!$N$558)</f>
        <v/>
      </c>
      <c r="P555" t="str">
        <f>IF([2]Entry!$R$558="","",[2]Entry!$R$558)</f>
        <v/>
      </c>
    </row>
    <row r="556" spans="1:16" x14ac:dyDescent="0.2">
      <c r="A556" t="str">
        <f>IF([1]Accounts!$D$557="","",[1]Accounts!$A$557)</f>
        <v>CAP001</v>
      </c>
      <c r="B556" t="str">
        <f>IF([1]Accounts!$D$557="","",[1]Accounts!$B$557)</f>
        <v>سرمایه و آورده صاحبان</v>
      </c>
      <c r="C556" t="str">
        <f>IF([1]Accounts!$D$557="","",[1]Accounts!$C$557)</f>
        <v>سرمایه اولیه و آورده نقدی</v>
      </c>
      <c r="D556" t="str">
        <f>IF([1]Accounts!$D$557="","",[1]Accounts!$D$557)</f>
        <v>سرمایه و آورده صاحبان (نمونه)</v>
      </c>
      <c r="E556" t="str">
        <f>IF([1]Accounts!$D$557="","",[1]Accounts!$J$557)</f>
        <v>کلیدی</v>
      </c>
      <c r="F556" t="str">
        <f>IF([1]Accounts!$D$557="","",[1]Accounts!$K$557)</f>
        <v>پایش کامل</v>
      </c>
      <c r="J556" t="str">
        <f>IF([2]Entry!$C$559="","",[2]Entry!$C$559)</f>
        <v/>
      </c>
      <c r="K556" t="str">
        <f>IF([2]Entry!$D$559="","",[2]Entry!$D$559)</f>
        <v/>
      </c>
      <c r="L556" t="str">
        <f>IF([2]Entry!$E$559="","",[2]Entry!$E$559)</f>
        <v/>
      </c>
      <c r="M556" t="str">
        <f>IF([2]Entry!$G$559="","",[2]Entry!$G$559)</f>
        <v/>
      </c>
      <c r="N556" t="str">
        <f>IF([2]Entry!$M$559="","",[2]Entry!$M$559)</f>
        <v/>
      </c>
      <c r="O556" t="str">
        <f>IF([2]Entry!$N$559="","",[2]Entry!$N$559)</f>
        <v/>
      </c>
      <c r="P556" t="str">
        <f>IF([2]Entry!$R$559="","",[2]Entry!$R$559)</f>
        <v/>
      </c>
    </row>
    <row r="557" spans="1:16" x14ac:dyDescent="0.2">
      <c r="A557" t="str">
        <f>IF([1]Accounts!$D$558="","",[1]Accounts!$A$558)</f>
        <v/>
      </c>
      <c r="B557" t="str">
        <f>IF([1]Accounts!$D$558="","",[1]Accounts!$B$558)</f>
        <v/>
      </c>
      <c r="C557" t="str">
        <f>IF([1]Accounts!$D$558="","",[1]Accounts!$C$558)</f>
        <v/>
      </c>
      <c r="D557" t="str">
        <f>IF([1]Accounts!$D$558="","",[1]Accounts!$D$558)</f>
        <v/>
      </c>
      <c r="E557" t="str">
        <f>IF([1]Accounts!$D$558="","",[1]Accounts!$J$558)</f>
        <v/>
      </c>
      <c r="F557" t="str">
        <f>IF([1]Accounts!$D$558="","",[1]Accounts!$K$558)</f>
        <v/>
      </c>
      <c r="J557" t="str">
        <f>IF([2]Entry!$C$560="","",[2]Entry!$C$560)</f>
        <v/>
      </c>
      <c r="K557" t="str">
        <f>IF([2]Entry!$D$560="","",[2]Entry!$D$560)</f>
        <v/>
      </c>
      <c r="L557" t="str">
        <f>IF([2]Entry!$E$560="","",[2]Entry!$E$560)</f>
        <v/>
      </c>
      <c r="M557" t="str">
        <f>IF([2]Entry!$G$560="","",[2]Entry!$G$560)</f>
        <v/>
      </c>
      <c r="N557" t="str">
        <f>IF([2]Entry!$M$560="","",[2]Entry!$M$560)</f>
        <v/>
      </c>
      <c r="O557" t="str">
        <f>IF([2]Entry!$N$560="","",[2]Entry!$N$560)</f>
        <v/>
      </c>
      <c r="P557" t="str">
        <f>IF([2]Entry!$R$560="","",[2]Entry!$R$560)</f>
        <v/>
      </c>
    </row>
    <row r="558" spans="1:16" x14ac:dyDescent="0.2">
      <c r="A558" t="str">
        <f>IF([1]Accounts!$D$559="","",[1]Accounts!$A$559)</f>
        <v/>
      </c>
      <c r="B558" t="str">
        <f>IF([1]Accounts!$D$559="","",[1]Accounts!$B$559)</f>
        <v/>
      </c>
      <c r="C558" t="str">
        <f>IF([1]Accounts!$D$559="","",[1]Accounts!$C$559)</f>
        <v/>
      </c>
      <c r="D558" t="str">
        <f>IF([1]Accounts!$D$559="","",[1]Accounts!$D$559)</f>
        <v/>
      </c>
      <c r="E558" t="str">
        <f>IF([1]Accounts!$D$559="","",[1]Accounts!$J$559)</f>
        <v/>
      </c>
      <c r="F558" t="str">
        <f>IF([1]Accounts!$D$559="","",[1]Accounts!$K$559)</f>
        <v/>
      </c>
      <c r="J558" t="str">
        <f>IF([2]Entry!$C$561="","",[2]Entry!$C$561)</f>
        <v/>
      </c>
      <c r="K558" t="str">
        <f>IF([2]Entry!$D$561="","",[2]Entry!$D$561)</f>
        <v/>
      </c>
      <c r="L558" t="str">
        <f>IF([2]Entry!$E$561="","",[2]Entry!$E$561)</f>
        <v/>
      </c>
      <c r="M558" t="str">
        <f>IF([2]Entry!$G$561="","",[2]Entry!$G$561)</f>
        <v/>
      </c>
      <c r="N558" t="str">
        <f>IF([2]Entry!$M$561="","",[2]Entry!$M$561)</f>
        <v/>
      </c>
      <c r="O558" t="str">
        <f>IF([2]Entry!$N$561="","",[2]Entry!$N$561)</f>
        <v/>
      </c>
      <c r="P558" t="str">
        <f>IF([2]Entry!$R$561="","",[2]Entry!$R$561)</f>
        <v/>
      </c>
    </row>
    <row r="559" spans="1:16" x14ac:dyDescent="0.2">
      <c r="A559" t="str">
        <f>IF([1]Accounts!$D$560="","",[1]Accounts!$A$560)</f>
        <v/>
      </c>
      <c r="B559" t="str">
        <f>IF([1]Accounts!$D$560="","",[1]Accounts!$B$560)</f>
        <v/>
      </c>
      <c r="C559" t="str">
        <f>IF([1]Accounts!$D$560="","",[1]Accounts!$C$560)</f>
        <v/>
      </c>
      <c r="D559" t="str">
        <f>IF([1]Accounts!$D$560="","",[1]Accounts!$D$560)</f>
        <v/>
      </c>
      <c r="E559" t="str">
        <f>IF([1]Accounts!$D$560="","",[1]Accounts!$J$560)</f>
        <v/>
      </c>
      <c r="F559" t="str">
        <f>IF([1]Accounts!$D$560="","",[1]Accounts!$K$560)</f>
        <v/>
      </c>
      <c r="J559" t="str">
        <f>IF([2]Entry!$C$562="","",[2]Entry!$C$562)</f>
        <v/>
      </c>
      <c r="K559" t="str">
        <f>IF([2]Entry!$D$562="","",[2]Entry!$D$562)</f>
        <v/>
      </c>
      <c r="L559" t="str">
        <f>IF([2]Entry!$E$562="","",[2]Entry!$E$562)</f>
        <v/>
      </c>
      <c r="M559" t="str">
        <f>IF([2]Entry!$G$562="","",[2]Entry!$G$562)</f>
        <v/>
      </c>
      <c r="N559" t="str">
        <f>IF([2]Entry!$M$562="","",[2]Entry!$M$562)</f>
        <v/>
      </c>
      <c r="O559" t="str">
        <f>IF([2]Entry!$N$562="","",[2]Entry!$N$562)</f>
        <v/>
      </c>
      <c r="P559" t="str">
        <f>IF([2]Entry!$R$562="","",[2]Entry!$R$562)</f>
        <v/>
      </c>
    </row>
    <row r="560" spans="1:16" x14ac:dyDescent="0.2">
      <c r="A560" t="str">
        <f>IF([1]Accounts!$D$561="","",[1]Accounts!$A$561)</f>
        <v/>
      </c>
      <c r="B560" t="str">
        <f>IF([1]Accounts!$D$561="","",[1]Accounts!$B$561)</f>
        <v/>
      </c>
      <c r="C560" t="str">
        <f>IF([1]Accounts!$D$561="","",[1]Accounts!$C$561)</f>
        <v/>
      </c>
      <c r="D560" t="str">
        <f>IF([1]Accounts!$D$561="","",[1]Accounts!$D$561)</f>
        <v/>
      </c>
      <c r="E560" t="str">
        <f>IF([1]Accounts!$D$561="","",[1]Accounts!$J$561)</f>
        <v/>
      </c>
      <c r="F560" t="str">
        <f>IF([1]Accounts!$D$561="","",[1]Accounts!$K$561)</f>
        <v/>
      </c>
      <c r="J560" t="str">
        <f>IF([2]Entry!$C$563="","",[2]Entry!$C$563)</f>
        <v/>
      </c>
      <c r="K560" t="str">
        <f>IF([2]Entry!$D$563="","",[2]Entry!$D$563)</f>
        <v/>
      </c>
      <c r="L560" t="str">
        <f>IF([2]Entry!$E$563="","",[2]Entry!$E$563)</f>
        <v/>
      </c>
      <c r="M560" t="str">
        <f>IF([2]Entry!$G$563="","",[2]Entry!$G$563)</f>
        <v/>
      </c>
      <c r="N560" t="str">
        <f>IF([2]Entry!$M$563="","",[2]Entry!$M$563)</f>
        <v/>
      </c>
      <c r="O560" t="str">
        <f>IF([2]Entry!$N$563="","",[2]Entry!$N$563)</f>
        <v/>
      </c>
      <c r="P560" t="str">
        <f>IF([2]Entry!$R$563="","",[2]Entry!$R$563)</f>
        <v/>
      </c>
    </row>
    <row r="561" spans="1:16" x14ac:dyDescent="0.2">
      <c r="A561" t="str">
        <f>IF([1]Accounts!$D$562="","",[1]Accounts!$A$562)</f>
        <v/>
      </c>
      <c r="B561" t="str">
        <f>IF([1]Accounts!$D$562="","",[1]Accounts!$B$562)</f>
        <v/>
      </c>
      <c r="C561" t="str">
        <f>IF([1]Accounts!$D$562="","",[1]Accounts!$C$562)</f>
        <v/>
      </c>
      <c r="D561" t="str">
        <f>IF([1]Accounts!$D$562="","",[1]Accounts!$D$562)</f>
        <v/>
      </c>
      <c r="E561" t="str">
        <f>IF([1]Accounts!$D$562="","",[1]Accounts!$J$562)</f>
        <v/>
      </c>
      <c r="F561" t="str">
        <f>IF([1]Accounts!$D$562="","",[1]Accounts!$K$562)</f>
        <v/>
      </c>
      <c r="J561" t="str">
        <f>IF([2]Entry!$C$564="","",[2]Entry!$C$564)</f>
        <v/>
      </c>
      <c r="K561" t="str">
        <f>IF([2]Entry!$D$564="","",[2]Entry!$D$564)</f>
        <v/>
      </c>
      <c r="L561" t="str">
        <f>IF([2]Entry!$E$564="","",[2]Entry!$E$564)</f>
        <v/>
      </c>
      <c r="M561" t="str">
        <f>IF([2]Entry!$G$564="","",[2]Entry!$G$564)</f>
        <v/>
      </c>
      <c r="N561" t="str">
        <f>IF([2]Entry!$M$564="","",[2]Entry!$M$564)</f>
        <v/>
      </c>
      <c r="O561" t="str">
        <f>IF([2]Entry!$N$564="","",[2]Entry!$N$564)</f>
        <v/>
      </c>
      <c r="P561" t="str">
        <f>IF([2]Entry!$R$564="","",[2]Entry!$R$564)</f>
        <v/>
      </c>
    </row>
    <row r="562" spans="1:16" x14ac:dyDescent="0.2">
      <c r="A562" t="str">
        <f>IF([1]Accounts!$D$563="","",[1]Accounts!$A$563)</f>
        <v/>
      </c>
      <c r="B562" t="str">
        <f>IF([1]Accounts!$D$563="","",[1]Accounts!$B$563)</f>
        <v/>
      </c>
      <c r="C562" t="str">
        <f>IF([1]Accounts!$D$563="","",[1]Accounts!$C$563)</f>
        <v/>
      </c>
      <c r="D562" t="str">
        <f>IF([1]Accounts!$D$563="","",[1]Accounts!$D$563)</f>
        <v/>
      </c>
      <c r="E562" t="str">
        <f>IF([1]Accounts!$D$563="","",[1]Accounts!$J$563)</f>
        <v/>
      </c>
      <c r="F562" t="str">
        <f>IF([1]Accounts!$D$563="","",[1]Accounts!$K$563)</f>
        <v/>
      </c>
      <c r="J562" t="str">
        <f>IF([2]Entry!$C$565="","",[2]Entry!$C$565)</f>
        <v/>
      </c>
      <c r="K562" t="str">
        <f>IF([2]Entry!$D$565="","",[2]Entry!$D$565)</f>
        <v/>
      </c>
      <c r="L562" t="str">
        <f>IF([2]Entry!$E$565="","",[2]Entry!$E$565)</f>
        <v/>
      </c>
      <c r="M562" t="str">
        <f>IF([2]Entry!$G$565="","",[2]Entry!$G$565)</f>
        <v/>
      </c>
      <c r="N562" t="str">
        <f>IF([2]Entry!$M$565="","",[2]Entry!$M$565)</f>
        <v/>
      </c>
      <c r="O562" t="str">
        <f>IF([2]Entry!$N$565="","",[2]Entry!$N$565)</f>
        <v/>
      </c>
      <c r="P562" t="str">
        <f>IF([2]Entry!$R$565="","",[2]Entry!$R$565)</f>
        <v/>
      </c>
    </row>
    <row r="563" spans="1:16" x14ac:dyDescent="0.2">
      <c r="A563" t="str">
        <f>IF([1]Accounts!$D$564="","",[1]Accounts!$A$564)</f>
        <v/>
      </c>
      <c r="B563" t="str">
        <f>IF([1]Accounts!$D$564="","",[1]Accounts!$B$564)</f>
        <v/>
      </c>
      <c r="C563" t="str">
        <f>IF([1]Accounts!$D$564="","",[1]Accounts!$C$564)</f>
        <v/>
      </c>
      <c r="D563" t="str">
        <f>IF([1]Accounts!$D$564="","",[1]Accounts!$D$564)</f>
        <v/>
      </c>
      <c r="E563" t="str">
        <f>IF([1]Accounts!$D$564="","",[1]Accounts!$J$564)</f>
        <v/>
      </c>
      <c r="F563" t="str">
        <f>IF([1]Accounts!$D$564="","",[1]Accounts!$K$564)</f>
        <v/>
      </c>
      <c r="J563" t="str">
        <f>IF([2]Entry!$C$566="","",[2]Entry!$C$566)</f>
        <v/>
      </c>
      <c r="K563" t="str">
        <f>IF([2]Entry!$D$566="","",[2]Entry!$D$566)</f>
        <v/>
      </c>
      <c r="L563" t="str">
        <f>IF([2]Entry!$E$566="","",[2]Entry!$E$566)</f>
        <v/>
      </c>
      <c r="M563" t="str">
        <f>IF([2]Entry!$G$566="","",[2]Entry!$G$566)</f>
        <v/>
      </c>
      <c r="N563" t="str">
        <f>IF([2]Entry!$M$566="","",[2]Entry!$M$566)</f>
        <v/>
      </c>
      <c r="O563" t="str">
        <f>IF([2]Entry!$N$566="","",[2]Entry!$N$566)</f>
        <v/>
      </c>
      <c r="P563" t="str">
        <f>IF([2]Entry!$R$566="","",[2]Entry!$R$566)</f>
        <v/>
      </c>
    </row>
    <row r="564" spans="1:16" x14ac:dyDescent="0.2">
      <c r="A564" t="str">
        <f>IF([1]Accounts!$D$565="","",[1]Accounts!$A$565)</f>
        <v/>
      </c>
      <c r="B564" t="str">
        <f>IF([1]Accounts!$D$565="","",[1]Accounts!$B$565)</f>
        <v/>
      </c>
      <c r="C564" t="str">
        <f>IF([1]Accounts!$D$565="","",[1]Accounts!$C$565)</f>
        <v/>
      </c>
      <c r="D564" t="str">
        <f>IF([1]Accounts!$D$565="","",[1]Accounts!$D$565)</f>
        <v/>
      </c>
      <c r="E564" t="str">
        <f>IF([1]Accounts!$D$565="","",[1]Accounts!$J$565)</f>
        <v/>
      </c>
      <c r="F564" t="str">
        <f>IF([1]Accounts!$D$565="","",[1]Accounts!$K$565)</f>
        <v/>
      </c>
      <c r="J564" t="str">
        <f>IF([2]Entry!$C$567="","",[2]Entry!$C$567)</f>
        <v/>
      </c>
      <c r="K564" t="str">
        <f>IF([2]Entry!$D$567="","",[2]Entry!$D$567)</f>
        <v/>
      </c>
      <c r="L564" t="str">
        <f>IF([2]Entry!$E$567="","",[2]Entry!$E$567)</f>
        <v/>
      </c>
      <c r="M564" t="str">
        <f>IF([2]Entry!$G$567="","",[2]Entry!$G$567)</f>
        <v/>
      </c>
      <c r="N564" t="str">
        <f>IF([2]Entry!$M$567="","",[2]Entry!$M$567)</f>
        <v/>
      </c>
      <c r="O564" t="str">
        <f>IF([2]Entry!$N$567="","",[2]Entry!$N$567)</f>
        <v/>
      </c>
      <c r="P564" t="str">
        <f>IF([2]Entry!$R$567="","",[2]Entry!$R$567)</f>
        <v/>
      </c>
    </row>
    <row r="565" spans="1:16" x14ac:dyDescent="0.2">
      <c r="A565" t="str">
        <f>IF([1]Accounts!$D$566="","",[1]Accounts!$A$566)</f>
        <v/>
      </c>
      <c r="B565" t="str">
        <f>IF([1]Accounts!$D$566="","",[1]Accounts!$B$566)</f>
        <v/>
      </c>
      <c r="C565" t="str">
        <f>IF([1]Accounts!$D$566="","",[1]Accounts!$C$566)</f>
        <v/>
      </c>
      <c r="D565" t="str">
        <f>IF([1]Accounts!$D$566="","",[1]Accounts!$D$566)</f>
        <v/>
      </c>
      <c r="E565" t="str">
        <f>IF([1]Accounts!$D$566="","",[1]Accounts!$J$566)</f>
        <v/>
      </c>
      <c r="F565" t="str">
        <f>IF([1]Accounts!$D$566="","",[1]Accounts!$K$566)</f>
        <v/>
      </c>
      <c r="J565" t="str">
        <f>IF([2]Entry!$C$568="","",[2]Entry!$C$568)</f>
        <v/>
      </c>
      <c r="K565" t="str">
        <f>IF([2]Entry!$D$568="","",[2]Entry!$D$568)</f>
        <v/>
      </c>
      <c r="L565" t="str">
        <f>IF([2]Entry!$E$568="","",[2]Entry!$E$568)</f>
        <v/>
      </c>
      <c r="M565" t="str">
        <f>IF([2]Entry!$G$568="","",[2]Entry!$G$568)</f>
        <v/>
      </c>
      <c r="N565" t="str">
        <f>IF([2]Entry!$M$568="","",[2]Entry!$M$568)</f>
        <v/>
      </c>
      <c r="O565" t="str">
        <f>IF([2]Entry!$N$568="","",[2]Entry!$N$568)</f>
        <v/>
      </c>
      <c r="P565" t="str">
        <f>IF([2]Entry!$R$568="","",[2]Entry!$R$568)</f>
        <v/>
      </c>
    </row>
    <row r="566" spans="1:16" x14ac:dyDescent="0.2">
      <c r="J566" t="str">
        <f>IF([2]Entry!$C$569="","",[2]Entry!$C$569)</f>
        <v/>
      </c>
      <c r="K566" t="str">
        <f>IF([2]Entry!$D$569="","",[2]Entry!$D$569)</f>
        <v/>
      </c>
      <c r="L566" t="str">
        <f>IF([2]Entry!$E$569="","",[2]Entry!$E$569)</f>
        <v/>
      </c>
      <c r="M566" t="str">
        <f>IF([2]Entry!$G$569="","",[2]Entry!$G$569)</f>
        <v/>
      </c>
      <c r="N566" t="str">
        <f>IF([2]Entry!$M$569="","",[2]Entry!$M$569)</f>
        <v/>
      </c>
      <c r="O566" t="str">
        <f>IF([2]Entry!$N$569="","",[2]Entry!$N$569)</f>
        <v/>
      </c>
      <c r="P566" t="str">
        <f>IF([2]Entry!$R$569="","",[2]Entry!$R$569)</f>
        <v/>
      </c>
    </row>
    <row r="567" spans="1:16" x14ac:dyDescent="0.2">
      <c r="J567" t="str">
        <f>IF([2]Entry!$C$570="","",[2]Entry!$C$570)</f>
        <v/>
      </c>
      <c r="K567" t="str">
        <f>IF([2]Entry!$D$570="","",[2]Entry!$D$570)</f>
        <v/>
      </c>
      <c r="L567" t="str">
        <f>IF([2]Entry!$E$570="","",[2]Entry!$E$570)</f>
        <v/>
      </c>
      <c r="M567" t="str">
        <f>IF([2]Entry!$G$570="","",[2]Entry!$G$570)</f>
        <v/>
      </c>
      <c r="N567" t="str">
        <f>IF([2]Entry!$M$570="","",[2]Entry!$M$570)</f>
        <v/>
      </c>
      <c r="O567" t="str">
        <f>IF([2]Entry!$N$570="","",[2]Entry!$N$570)</f>
        <v/>
      </c>
      <c r="P567" t="str">
        <f>IF([2]Entry!$R$570="","",[2]Entry!$R$570)</f>
        <v/>
      </c>
    </row>
    <row r="568" spans="1:16" x14ac:dyDescent="0.2">
      <c r="J568" t="str">
        <f>IF([2]Entry!$C$571="","",[2]Entry!$C$571)</f>
        <v/>
      </c>
      <c r="K568" t="str">
        <f>IF([2]Entry!$D$571="","",[2]Entry!$D$571)</f>
        <v/>
      </c>
      <c r="L568" t="str">
        <f>IF([2]Entry!$E$571="","",[2]Entry!$E$571)</f>
        <v/>
      </c>
      <c r="M568" t="str">
        <f>IF([2]Entry!$G$571="","",[2]Entry!$G$571)</f>
        <v/>
      </c>
      <c r="N568" t="str">
        <f>IF([2]Entry!$M$571="","",[2]Entry!$M$571)</f>
        <v/>
      </c>
      <c r="O568" t="str">
        <f>IF([2]Entry!$N$571="","",[2]Entry!$N$571)</f>
        <v/>
      </c>
      <c r="P568" t="str">
        <f>IF([2]Entry!$R$571="","",[2]Entry!$R$571)</f>
        <v/>
      </c>
    </row>
    <row r="569" spans="1:16" x14ac:dyDescent="0.2">
      <c r="J569" t="str">
        <f>IF([2]Entry!$C$572="","",[2]Entry!$C$572)</f>
        <v/>
      </c>
      <c r="K569" t="str">
        <f>IF([2]Entry!$D$572="","",[2]Entry!$D$572)</f>
        <v/>
      </c>
      <c r="L569" t="str">
        <f>IF([2]Entry!$E$572="","",[2]Entry!$E$572)</f>
        <v/>
      </c>
      <c r="M569" t="str">
        <f>IF([2]Entry!$G$572="","",[2]Entry!$G$572)</f>
        <v/>
      </c>
      <c r="N569" t="str">
        <f>IF([2]Entry!$M$572="","",[2]Entry!$M$572)</f>
        <v/>
      </c>
      <c r="O569" t="str">
        <f>IF([2]Entry!$N$572="","",[2]Entry!$N$572)</f>
        <v/>
      </c>
      <c r="P569" t="str">
        <f>IF([2]Entry!$R$572="","",[2]Entry!$R$572)</f>
        <v/>
      </c>
    </row>
    <row r="570" spans="1:16" x14ac:dyDescent="0.2">
      <c r="J570" t="str">
        <f>IF([2]Entry!$C$573="","",[2]Entry!$C$573)</f>
        <v/>
      </c>
      <c r="K570" t="str">
        <f>IF([2]Entry!$D$573="","",[2]Entry!$D$573)</f>
        <v/>
      </c>
      <c r="L570" t="str">
        <f>IF([2]Entry!$E$573="","",[2]Entry!$E$573)</f>
        <v/>
      </c>
      <c r="M570" t="str">
        <f>IF([2]Entry!$G$573="","",[2]Entry!$G$573)</f>
        <v/>
      </c>
      <c r="N570" t="str">
        <f>IF([2]Entry!$M$573="","",[2]Entry!$M$573)</f>
        <v/>
      </c>
      <c r="O570" t="str">
        <f>IF([2]Entry!$N$573="","",[2]Entry!$N$573)</f>
        <v/>
      </c>
      <c r="P570" t="str">
        <f>IF([2]Entry!$R$573="","",[2]Entry!$R$573)</f>
        <v/>
      </c>
    </row>
    <row r="571" spans="1:16" x14ac:dyDescent="0.2">
      <c r="J571" t="str">
        <f>IF([2]Entry!$C$574="","",[2]Entry!$C$574)</f>
        <v/>
      </c>
      <c r="K571" t="str">
        <f>IF([2]Entry!$D$574="","",[2]Entry!$D$574)</f>
        <v/>
      </c>
      <c r="L571" t="str">
        <f>IF([2]Entry!$E$574="","",[2]Entry!$E$574)</f>
        <v/>
      </c>
      <c r="M571" t="str">
        <f>IF([2]Entry!$G$574="","",[2]Entry!$G$574)</f>
        <v/>
      </c>
      <c r="N571" t="str">
        <f>IF([2]Entry!$M$574="","",[2]Entry!$M$574)</f>
        <v/>
      </c>
      <c r="O571" t="str">
        <f>IF([2]Entry!$N$574="","",[2]Entry!$N$574)</f>
        <v/>
      </c>
      <c r="P571" t="str">
        <f>IF([2]Entry!$R$574="","",[2]Entry!$R$574)</f>
        <v/>
      </c>
    </row>
    <row r="572" spans="1:16" x14ac:dyDescent="0.2">
      <c r="J572" t="str">
        <f>IF([2]Entry!$C$575="","",[2]Entry!$C$575)</f>
        <v/>
      </c>
      <c r="K572" t="str">
        <f>IF([2]Entry!$D$575="","",[2]Entry!$D$575)</f>
        <v/>
      </c>
      <c r="L572" t="str">
        <f>IF([2]Entry!$E$575="","",[2]Entry!$E$575)</f>
        <v/>
      </c>
      <c r="M572" t="str">
        <f>IF([2]Entry!$G$575="","",[2]Entry!$G$575)</f>
        <v/>
      </c>
      <c r="N572" t="str">
        <f>IF([2]Entry!$M$575="","",[2]Entry!$M$575)</f>
        <v/>
      </c>
      <c r="O572" t="str">
        <f>IF([2]Entry!$N$575="","",[2]Entry!$N$575)</f>
        <v/>
      </c>
      <c r="P572" t="str">
        <f>IF([2]Entry!$R$575="","",[2]Entry!$R$575)</f>
        <v/>
      </c>
    </row>
    <row r="573" spans="1:16" x14ac:dyDescent="0.2">
      <c r="J573" t="str">
        <f>IF([2]Entry!$C$576="","",[2]Entry!$C$576)</f>
        <v/>
      </c>
      <c r="K573" t="str">
        <f>IF([2]Entry!$D$576="","",[2]Entry!$D$576)</f>
        <v/>
      </c>
      <c r="L573" t="str">
        <f>IF([2]Entry!$E$576="","",[2]Entry!$E$576)</f>
        <v/>
      </c>
      <c r="M573" t="str">
        <f>IF([2]Entry!$G$576="","",[2]Entry!$G$576)</f>
        <v/>
      </c>
      <c r="N573" t="str">
        <f>IF([2]Entry!$M$576="","",[2]Entry!$M$576)</f>
        <v/>
      </c>
      <c r="O573" t="str">
        <f>IF([2]Entry!$N$576="","",[2]Entry!$N$576)</f>
        <v/>
      </c>
      <c r="P573" t="str">
        <f>IF([2]Entry!$R$576="","",[2]Entry!$R$576)</f>
        <v/>
      </c>
    </row>
    <row r="574" spans="1:16" x14ac:dyDescent="0.2">
      <c r="J574" t="str">
        <f>IF([2]Entry!$C$577="","",[2]Entry!$C$577)</f>
        <v/>
      </c>
      <c r="K574" t="str">
        <f>IF([2]Entry!$D$577="","",[2]Entry!$D$577)</f>
        <v/>
      </c>
      <c r="L574" t="str">
        <f>IF([2]Entry!$E$577="","",[2]Entry!$E$577)</f>
        <v/>
      </c>
      <c r="M574" t="str">
        <f>IF([2]Entry!$G$577="","",[2]Entry!$G$577)</f>
        <v/>
      </c>
      <c r="N574" t="str">
        <f>IF([2]Entry!$M$577="","",[2]Entry!$M$577)</f>
        <v/>
      </c>
      <c r="O574" t="str">
        <f>IF([2]Entry!$N$577="","",[2]Entry!$N$577)</f>
        <v/>
      </c>
      <c r="P574" t="str">
        <f>IF([2]Entry!$R$577="","",[2]Entry!$R$577)</f>
        <v/>
      </c>
    </row>
    <row r="575" spans="1:16" x14ac:dyDescent="0.2">
      <c r="J575" t="str">
        <f>IF([2]Entry!$C$578="","",[2]Entry!$C$578)</f>
        <v/>
      </c>
      <c r="K575" t="str">
        <f>IF([2]Entry!$D$578="","",[2]Entry!$D$578)</f>
        <v/>
      </c>
      <c r="L575" t="str">
        <f>IF([2]Entry!$E$578="","",[2]Entry!$E$578)</f>
        <v/>
      </c>
      <c r="M575" t="str">
        <f>IF([2]Entry!$G$578="","",[2]Entry!$G$578)</f>
        <v/>
      </c>
      <c r="N575" t="str">
        <f>IF([2]Entry!$M$578="","",[2]Entry!$M$578)</f>
        <v/>
      </c>
      <c r="O575" t="str">
        <f>IF([2]Entry!$N$578="","",[2]Entry!$N$578)</f>
        <v/>
      </c>
      <c r="P575" t="str">
        <f>IF([2]Entry!$R$578="","",[2]Entry!$R$578)</f>
        <v/>
      </c>
    </row>
    <row r="576" spans="1:16" x14ac:dyDescent="0.2">
      <c r="J576" t="str">
        <f>IF([2]Entry!$C$579="","",[2]Entry!$C$579)</f>
        <v/>
      </c>
      <c r="K576" t="str">
        <f>IF([2]Entry!$D$579="","",[2]Entry!$D$579)</f>
        <v/>
      </c>
      <c r="L576" t="str">
        <f>IF([2]Entry!$E$579="","",[2]Entry!$E$579)</f>
        <v/>
      </c>
      <c r="M576" t="str">
        <f>IF([2]Entry!$G$579="","",[2]Entry!$G$579)</f>
        <v/>
      </c>
      <c r="N576" t="str">
        <f>IF([2]Entry!$M$579="","",[2]Entry!$M$579)</f>
        <v/>
      </c>
      <c r="O576" t="str">
        <f>IF([2]Entry!$N$579="","",[2]Entry!$N$579)</f>
        <v/>
      </c>
      <c r="P576" t="str">
        <f>IF([2]Entry!$R$579="","",[2]Entry!$R$579)</f>
        <v/>
      </c>
    </row>
    <row r="577" spans="10:16" x14ac:dyDescent="0.2">
      <c r="J577" t="str">
        <f>IF([2]Entry!$C$580="","",[2]Entry!$C$580)</f>
        <v/>
      </c>
      <c r="K577" t="str">
        <f>IF([2]Entry!$D$580="","",[2]Entry!$D$580)</f>
        <v/>
      </c>
      <c r="L577" t="str">
        <f>IF([2]Entry!$E$580="","",[2]Entry!$E$580)</f>
        <v/>
      </c>
      <c r="M577" t="str">
        <f>IF([2]Entry!$G$580="","",[2]Entry!$G$580)</f>
        <v/>
      </c>
      <c r="N577" t="str">
        <f>IF([2]Entry!$M$580="","",[2]Entry!$M$580)</f>
        <v/>
      </c>
      <c r="O577" t="str">
        <f>IF([2]Entry!$N$580="","",[2]Entry!$N$580)</f>
        <v/>
      </c>
      <c r="P577" t="str">
        <f>IF([2]Entry!$R$580="","",[2]Entry!$R$580)</f>
        <v/>
      </c>
    </row>
    <row r="578" spans="10:16" x14ac:dyDescent="0.2">
      <c r="J578" t="str">
        <f>IF([2]Entry!$C$581="","",[2]Entry!$C$581)</f>
        <v/>
      </c>
      <c r="K578" t="str">
        <f>IF([2]Entry!$D$581="","",[2]Entry!$D$581)</f>
        <v/>
      </c>
      <c r="L578" t="str">
        <f>IF([2]Entry!$E$581="","",[2]Entry!$E$581)</f>
        <v/>
      </c>
      <c r="M578" t="str">
        <f>IF([2]Entry!$G$581="","",[2]Entry!$G$581)</f>
        <v/>
      </c>
      <c r="N578" t="str">
        <f>IF([2]Entry!$M$581="","",[2]Entry!$M$581)</f>
        <v/>
      </c>
      <c r="O578" t="str">
        <f>IF([2]Entry!$N$581="","",[2]Entry!$N$581)</f>
        <v/>
      </c>
      <c r="P578" t="str">
        <f>IF([2]Entry!$R$581="","",[2]Entry!$R$581)</f>
        <v/>
      </c>
    </row>
    <row r="579" spans="10:16" x14ac:dyDescent="0.2">
      <c r="J579" t="str">
        <f>IF([2]Entry!$C$582="","",[2]Entry!$C$582)</f>
        <v/>
      </c>
      <c r="K579" t="str">
        <f>IF([2]Entry!$D$582="","",[2]Entry!$D$582)</f>
        <v/>
      </c>
      <c r="L579" t="str">
        <f>IF([2]Entry!$E$582="","",[2]Entry!$E$582)</f>
        <v/>
      </c>
      <c r="M579" t="str">
        <f>IF([2]Entry!$G$582="","",[2]Entry!$G$582)</f>
        <v/>
      </c>
      <c r="N579" t="str">
        <f>IF([2]Entry!$M$582="","",[2]Entry!$M$582)</f>
        <v/>
      </c>
      <c r="O579" t="str">
        <f>IF([2]Entry!$N$582="","",[2]Entry!$N$582)</f>
        <v/>
      </c>
      <c r="P579" t="str">
        <f>IF([2]Entry!$R$582="","",[2]Entry!$R$582)</f>
        <v/>
      </c>
    </row>
    <row r="580" spans="10:16" x14ac:dyDescent="0.2">
      <c r="J580" t="str">
        <f>IF([2]Entry!$C$583="","",[2]Entry!$C$583)</f>
        <v/>
      </c>
      <c r="K580" t="str">
        <f>IF([2]Entry!$D$583="","",[2]Entry!$D$583)</f>
        <v/>
      </c>
      <c r="L580" t="str">
        <f>IF([2]Entry!$E$583="","",[2]Entry!$E$583)</f>
        <v/>
      </c>
      <c r="M580" t="str">
        <f>IF([2]Entry!$G$583="","",[2]Entry!$G$583)</f>
        <v/>
      </c>
      <c r="N580" t="str">
        <f>IF([2]Entry!$M$583="","",[2]Entry!$M$583)</f>
        <v/>
      </c>
      <c r="O580" t="str">
        <f>IF([2]Entry!$N$583="","",[2]Entry!$N$583)</f>
        <v/>
      </c>
      <c r="P580" t="str">
        <f>IF([2]Entry!$R$583="","",[2]Entry!$R$583)</f>
        <v/>
      </c>
    </row>
    <row r="581" spans="10:16" x14ac:dyDescent="0.2">
      <c r="J581" t="str">
        <f>IF([2]Entry!$C$584="","",[2]Entry!$C$584)</f>
        <v/>
      </c>
      <c r="K581" t="str">
        <f>IF([2]Entry!$D$584="","",[2]Entry!$D$584)</f>
        <v/>
      </c>
      <c r="L581" t="str">
        <f>IF([2]Entry!$E$584="","",[2]Entry!$E$584)</f>
        <v/>
      </c>
      <c r="M581" t="str">
        <f>IF([2]Entry!$G$584="","",[2]Entry!$G$584)</f>
        <v/>
      </c>
      <c r="N581" t="str">
        <f>IF([2]Entry!$M$584="","",[2]Entry!$M$584)</f>
        <v/>
      </c>
      <c r="O581" t="str">
        <f>IF([2]Entry!$N$584="","",[2]Entry!$N$584)</f>
        <v/>
      </c>
      <c r="P581" t="str">
        <f>IF([2]Entry!$R$584="","",[2]Entry!$R$584)</f>
        <v/>
      </c>
    </row>
    <row r="582" spans="10:16" x14ac:dyDescent="0.2">
      <c r="J582" t="str">
        <f>IF([2]Entry!$C$585="","",[2]Entry!$C$585)</f>
        <v/>
      </c>
      <c r="K582" t="str">
        <f>IF([2]Entry!$D$585="","",[2]Entry!$D$585)</f>
        <v/>
      </c>
      <c r="L582" t="str">
        <f>IF([2]Entry!$E$585="","",[2]Entry!$E$585)</f>
        <v/>
      </c>
      <c r="M582" t="str">
        <f>IF([2]Entry!$G$585="","",[2]Entry!$G$585)</f>
        <v/>
      </c>
      <c r="N582" t="str">
        <f>IF([2]Entry!$M$585="","",[2]Entry!$M$585)</f>
        <v/>
      </c>
      <c r="O582" t="str">
        <f>IF([2]Entry!$N$585="","",[2]Entry!$N$585)</f>
        <v/>
      </c>
      <c r="P582" t="str">
        <f>IF([2]Entry!$R$585="","",[2]Entry!$R$585)</f>
        <v/>
      </c>
    </row>
    <row r="583" spans="10:16" x14ac:dyDescent="0.2">
      <c r="J583" t="str">
        <f>IF([2]Entry!$C$586="","",[2]Entry!$C$586)</f>
        <v/>
      </c>
      <c r="K583" t="str">
        <f>IF([2]Entry!$D$586="","",[2]Entry!$D$586)</f>
        <v/>
      </c>
      <c r="L583" t="str">
        <f>IF([2]Entry!$E$586="","",[2]Entry!$E$586)</f>
        <v/>
      </c>
      <c r="M583" t="str">
        <f>IF([2]Entry!$G$586="","",[2]Entry!$G$586)</f>
        <v/>
      </c>
      <c r="N583" t="str">
        <f>IF([2]Entry!$M$586="","",[2]Entry!$M$586)</f>
        <v/>
      </c>
      <c r="O583" t="str">
        <f>IF([2]Entry!$N$586="","",[2]Entry!$N$586)</f>
        <v/>
      </c>
      <c r="P583" t="str">
        <f>IF([2]Entry!$R$586="","",[2]Entry!$R$586)</f>
        <v/>
      </c>
    </row>
    <row r="584" spans="10:16" x14ac:dyDescent="0.2">
      <c r="J584" t="str">
        <f>IF([2]Entry!$C$587="","",[2]Entry!$C$587)</f>
        <v/>
      </c>
      <c r="K584" t="str">
        <f>IF([2]Entry!$D$587="","",[2]Entry!$D$587)</f>
        <v/>
      </c>
      <c r="L584" t="str">
        <f>IF([2]Entry!$E$587="","",[2]Entry!$E$587)</f>
        <v/>
      </c>
      <c r="M584" t="str">
        <f>IF([2]Entry!$G$587="","",[2]Entry!$G$587)</f>
        <v/>
      </c>
      <c r="N584" t="str">
        <f>IF([2]Entry!$M$587="","",[2]Entry!$M$587)</f>
        <v/>
      </c>
      <c r="O584" t="str">
        <f>IF([2]Entry!$N$587="","",[2]Entry!$N$587)</f>
        <v/>
      </c>
      <c r="P584" t="str">
        <f>IF([2]Entry!$R$587="","",[2]Entry!$R$587)</f>
        <v/>
      </c>
    </row>
    <row r="585" spans="10:16" x14ac:dyDescent="0.2">
      <c r="J585" t="str">
        <f>IF([2]Entry!$C$588="","",[2]Entry!$C$588)</f>
        <v/>
      </c>
      <c r="K585" t="str">
        <f>IF([2]Entry!$D$588="","",[2]Entry!$D$588)</f>
        <v/>
      </c>
      <c r="L585" t="str">
        <f>IF([2]Entry!$E$588="","",[2]Entry!$E$588)</f>
        <v/>
      </c>
      <c r="M585" t="str">
        <f>IF([2]Entry!$G$588="","",[2]Entry!$G$588)</f>
        <v/>
      </c>
      <c r="N585" t="str">
        <f>IF([2]Entry!$M$588="","",[2]Entry!$M$588)</f>
        <v/>
      </c>
      <c r="O585" t="str">
        <f>IF([2]Entry!$N$588="","",[2]Entry!$N$588)</f>
        <v/>
      </c>
      <c r="P585" t="str">
        <f>IF([2]Entry!$R$588="","",[2]Entry!$R$588)</f>
        <v/>
      </c>
    </row>
    <row r="586" spans="10:16" x14ac:dyDescent="0.2">
      <c r="J586" t="str">
        <f>IF([2]Entry!$C$589="","",[2]Entry!$C$589)</f>
        <v/>
      </c>
      <c r="K586" t="str">
        <f>IF([2]Entry!$D$589="","",[2]Entry!$D$589)</f>
        <v/>
      </c>
      <c r="L586" t="str">
        <f>IF([2]Entry!$E$589="","",[2]Entry!$E$589)</f>
        <v/>
      </c>
      <c r="M586" t="str">
        <f>IF([2]Entry!$G$589="","",[2]Entry!$G$589)</f>
        <v/>
      </c>
      <c r="N586" t="str">
        <f>IF([2]Entry!$M$589="","",[2]Entry!$M$589)</f>
        <v/>
      </c>
      <c r="O586" t="str">
        <f>IF([2]Entry!$N$589="","",[2]Entry!$N$589)</f>
        <v/>
      </c>
      <c r="P586" t="str">
        <f>IF([2]Entry!$R$589="","",[2]Entry!$R$589)</f>
        <v/>
      </c>
    </row>
    <row r="587" spans="10:16" x14ac:dyDescent="0.2">
      <c r="J587" t="str">
        <f>IF([2]Entry!$C$590="","",[2]Entry!$C$590)</f>
        <v/>
      </c>
      <c r="K587" t="str">
        <f>IF([2]Entry!$D$590="","",[2]Entry!$D$590)</f>
        <v/>
      </c>
      <c r="L587" t="str">
        <f>IF([2]Entry!$E$590="","",[2]Entry!$E$590)</f>
        <v/>
      </c>
      <c r="M587" t="str">
        <f>IF([2]Entry!$G$590="","",[2]Entry!$G$590)</f>
        <v/>
      </c>
      <c r="N587" t="str">
        <f>IF([2]Entry!$M$590="","",[2]Entry!$M$590)</f>
        <v/>
      </c>
      <c r="O587" t="str">
        <f>IF([2]Entry!$N$590="","",[2]Entry!$N$590)</f>
        <v/>
      </c>
      <c r="P587" t="str">
        <f>IF([2]Entry!$R$590="","",[2]Entry!$R$590)</f>
        <v/>
      </c>
    </row>
    <row r="588" spans="10:16" x14ac:dyDescent="0.2">
      <c r="J588" t="str">
        <f>IF([2]Entry!$C$591="","",[2]Entry!$C$591)</f>
        <v/>
      </c>
      <c r="K588" t="str">
        <f>IF([2]Entry!$D$591="","",[2]Entry!$D$591)</f>
        <v/>
      </c>
      <c r="L588" t="str">
        <f>IF([2]Entry!$E$591="","",[2]Entry!$E$591)</f>
        <v/>
      </c>
      <c r="M588" t="str">
        <f>IF([2]Entry!$G$591="","",[2]Entry!$G$591)</f>
        <v/>
      </c>
      <c r="N588" t="str">
        <f>IF([2]Entry!$M$591="","",[2]Entry!$M$591)</f>
        <v/>
      </c>
      <c r="O588" t="str">
        <f>IF([2]Entry!$N$591="","",[2]Entry!$N$591)</f>
        <v/>
      </c>
      <c r="P588" t="str">
        <f>IF([2]Entry!$R$591="","",[2]Entry!$R$591)</f>
        <v/>
      </c>
    </row>
    <row r="589" spans="10:16" x14ac:dyDescent="0.2">
      <c r="J589" t="str">
        <f>IF([2]Entry!$C$592="","",[2]Entry!$C$592)</f>
        <v/>
      </c>
      <c r="K589" t="str">
        <f>IF([2]Entry!$D$592="","",[2]Entry!$D$592)</f>
        <v/>
      </c>
      <c r="L589" t="str">
        <f>IF([2]Entry!$E$592="","",[2]Entry!$E$592)</f>
        <v/>
      </c>
      <c r="M589" t="str">
        <f>IF([2]Entry!$G$592="","",[2]Entry!$G$592)</f>
        <v/>
      </c>
      <c r="N589" t="str">
        <f>IF([2]Entry!$M$592="","",[2]Entry!$M$592)</f>
        <v/>
      </c>
      <c r="O589" t="str">
        <f>IF([2]Entry!$N$592="","",[2]Entry!$N$592)</f>
        <v/>
      </c>
      <c r="P589" t="str">
        <f>IF([2]Entry!$R$592="","",[2]Entry!$R$592)</f>
        <v/>
      </c>
    </row>
    <row r="590" spans="10:16" x14ac:dyDescent="0.2">
      <c r="J590" t="str">
        <f>IF([2]Entry!$C$593="","",[2]Entry!$C$593)</f>
        <v/>
      </c>
      <c r="K590" t="str">
        <f>IF([2]Entry!$D$593="","",[2]Entry!$D$593)</f>
        <v/>
      </c>
      <c r="L590" t="str">
        <f>IF([2]Entry!$E$593="","",[2]Entry!$E$593)</f>
        <v/>
      </c>
      <c r="M590" t="str">
        <f>IF([2]Entry!$G$593="","",[2]Entry!$G$593)</f>
        <v/>
      </c>
      <c r="N590" t="str">
        <f>IF([2]Entry!$M$593="","",[2]Entry!$M$593)</f>
        <v/>
      </c>
      <c r="O590" t="str">
        <f>IF([2]Entry!$N$593="","",[2]Entry!$N$593)</f>
        <v/>
      </c>
      <c r="P590" t="str">
        <f>IF([2]Entry!$R$593="","",[2]Entry!$R$593)</f>
        <v/>
      </c>
    </row>
    <row r="591" spans="10:16" x14ac:dyDescent="0.2">
      <c r="J591" t="str">
        <f>IF([2]Entry!$C$594="","",[2]Entry!$C$594)</f>
        <v/>
      </c>
      <c r="K591" t="str">
        <f>IF([2]Entry!$D$594="","",[2]Entry!$D$594)</f>
        <v/>
      </c>
      <c r="L591" t="str">
        <f>IF([2]Entry!$E$594="","",[2]Entry!$E$594)</f>
        <v/>
      </c>
      <c r="M591" t="str">
        <f>IF([2]Entry!$G$594="","",[2]Entry!$G$594)</f>
        <v/>
      </c>
      <c r="N591" t="str">
        <f>IF([2]Entry!$M$594="","",[2]Entry!$M$594)</f>
        <v/>
      </c>
      <c r="O591" t="str">
        <f>IF([2]Entry!$N$594="","",[2]Entry!$N$594)</f>
        <v/>
      </c>
      <c r="P591" t="str">
        <f>IF([2]Entry!$R$594="","",[2]Entry!$R$594)</f>
        <v/>
      </c>
    </row>
    <row r="592" spans="10:16" x14ac:dyDescent="0.2">
      <c r="J592" t="str">
        <f>IF([2]Entry!$C$595="","",[2]Entry!$C$595)</f>
        <v/>
      </c>
      <c r="K592" t="str">
        <f>IF([2]Entry!$D$595="","",[2]Entry!$D$595)</f>
        <v/>
      </c>
      <c r="L592" t="str">
        <f>IF([2]Entry!$E$595="","",[2]Entry!$E$595)</f>
        <v/>
      </c>
      <c r="M592" t="str">
        <f>IF([2]Entry!$G$595="","",[2]Entry!$G$595)</f>
        <v/>
      </c>
      <c r="N592" t="str">
        <f>IF([2]Entry!$M$595="","",[2]Entry!$M$595)</f>
        <v/>
      </c>
      <c r="O592" t="str">
        <f>IF([2]Entry!$N$595="","",[2]Entry!$N$595)</f>
        <v/>
      </c>
      <c r="P592" t="str">
        <f>IF([2]Entry!$R$595="","",[2]Entry!$R$595)</f>
        <v/>
      </c>
    </row>
    <row r="593" spans="10:16" x14ac:dyDescent="0.2">
      <c r="J593" t="str">
        <f>IF([2]Entry!$C$596="","",[2]Entry!$C$596)</f>
        <v/>
      </c>
      <c r="K593" t="str">
        <f>IF([2]Entry!$D$596="","",[2]Entry!$D$596)</f>
        <v/>
      </c>
      <c r="L593" t="str">
        <f>IF([2]Entry!$E$596="","",[2]Entry!$E$596)</f>
        <v/>
      </c>
      <c r="M593" t="str">
        <f>IF([2]Entry!$G$596="","",[2]Entry!$G$596)</f>
        <v/>
      </c>
      <c r="N593" t="str">
        <f>IF([2]Entry!$M$596="","",[2]Entry!$M$596)</f>
        <v/>
      </c>
      <c r="O593" t="str">
        <f>IF([2]Entry!$N$596="","",[2]Entry!$N$596)</f>
        <v/>
      </c>
      <c r="P593" t="str">
        <f>IF([2]Entry!$R$596="","",[2]Entry!$R$596)</f>
        <v/>
      </c>
    </row>
    <row r="594" spans="10:16" x14ac:dyDescent="0.2">
      <c r="J594" t="str">
        <f>IF([2]Entry!$C$597="","",[2]Entry!$C$597)</f>
        <v/>
      </c>
      <c r="K594" t="str">
        <f>IF([2]Entry!$D$597="","",[2]Entry!$D$597)</f>
        <v/>
      </c>
      <c r="L594" t="str">
        <f>IF([2]Entry!$E$597="","",[2]Entry!$E$597)</f>
        <v/>
      </c>
      <c r="M594" t="str">
        <f>IF([2]Entry!$G$597="","",[2]Entry!$G$597)</f>
        <v/>
      </c>
      <c r="N594" t="str">
        <f>IF([2]Entry!$M$597="","",[2]Entry!$M$597)</f>
        <v/>
      </c>
      <c r="O594" t="str">
        <f>IF([2]Entry!$N$597="","",[2]Entry!$N$597)</f>
        <v/>
      </c>
      <c r="P594" t="str">
        <f>IF([2]Entry!$R$597="","",[2]Entry!$R$597)</f>
        <v/>
      </c>
    </row>
    <row r="595" spans="10:16" x14ac:dyDescent="0.2">
      <c r="J595" t="str">
        <f>IF([2]Entry!$C$598="","",[2]Entry!$C$598)</f>
        <v/>
      </c>
      <c r="K595" t="str">
        <f>IF([2]Entry!$D$598="","",[2]Entry!$D$598)</f>
        <v/>
      </c>
      <c r="L595" t="str">
        <f>IF([2]Entry!$E$598="","",[2]Entry!$E$598)</f>
        <v/>
      </c>
      <c r="M595" t="str">
        <f>IF([2]Entry!$G$598="","",[2]Entry!$G$598)</f>
        <v/>
      </c>
      <c r="N595" t="str">
        <f>IF([2]Entry!$M$598="","",[2]Entry!$M$598)</f>
        <v/>
      </c>
      <c r="O595" t="str">
        <f>IF([2]Entry!$N$598="","",[2]Entry!$N$598)</f>
        <v/>
      </c>
      <c r="P595" t="str">
        <f>IF([2]Entry!$R$598="","",[2]Entry!$R$598)</f>
        <v/>
      </c>
    </row>
    <row r="596" spans="10:16" x14ac:dyDescent="0.2">
      <c r="J596" t="str">
        <f>IF([2]Entry!$C$599="","",[2]Entry!$C$599)</f>
        <v/>
      </c>
      <c r="K596" t="str">
        <f>IF([2]Entry!$D$599="","",[2]Entry!$D$599)</f>
        <v/>
      </c>
      <c r="L596" t="str">
        <f>IF([2]Entry!$E$599="","",[2]Entry!$E$599)</f>
        <v/>
      </c>
      <c r="M596" t="str">
        <f>IF([2]Entry!$G$599="","",[2]Entry!$G$599)</f>
        <v/>
      </c>
      <c r="N596" t="str">
        <f>IF([2]Entry!$M$599="","",[2]Entry!$M$599)</f>
        <v/>
      </c>
      <c r="O596" t="str">
        <f>IF([2]Entry!$N$599="","",[2]Entry!$N$599)</f>
        <v/>
      </c>
      <c r="P596" t="str">
        <f>IF([2]Entry!$R$599="","",[2]Entry!$R$599)</f>
        <v/>
      </c>
    </row>
    <row r="597" spans="10:16" x14ac:dyDescent="0.2">
      <c r="J597" t="str">
        <f>IF([2]Entry!$C$600="","",[2]Entry!$C$600)</f>
        <v/>
      </c>
      <c r="K597" t="str">
        <f>IF([2]Entry!$D$600="","",[2]Entry!$D$600)</f>
        <v/>
      </c>
      <c r="L597" t="str">
        <f>IF([2]Entry!$E$600="","",[2]Entry!$E$600)</f>
        <v/>
      </c>
      <c r="M597" t="str">
        <f>IF([2]Entry!$G$600="","",[2]Entry!$G$600)</f>
        <v/>
      </c>
      <c r="N597" t="str">
        <f>IF([2]Entry!$M$600="","",[2]Entry!$M$600)</f>
        <v/>
      </c>
      <c r="O597" t="str">
        <f>IF([2]Entry!$N$600="","",[2]Entry!$N$600)</f>
        <v/>
      </c>
      <c r="P597" t="str">
        <f>IF([2]Entry!$R$600="","",[2]Entry!$R$600)</f>
        <v/>
      </c>
    </row>
    <row r="598" spans="10:16" x14ac:dyDescent="0.2">
      <c r="J598" t="str">
        <f>IF([2]Entry!$C$601="","",[2]Entry!$C$601)</f>
        <v/>
      </c>
      <c r="K598" t="str">
        <f>IF([2]Entry!$D$601="","",[2]Entry!$D$601)</f>
        <v/>
      </c>
      <c r="L598" t="str">
        <f>IF([2]Entry!$E$601="","",[2]Entry!$E$601)</f>
        <v/>
      </c>
      <c r="M598" t="str">
        <f>IF([2]Entry!$G$601="","",[2]Entry!$G$601)</f>
        <v/>
      </c>
      <c r="N598" t="str">
        <f>IF([2]Entry!$M$601="","",[2]Entry!$M$601)</f>
        <v/>
      </c>
      <c r="O598" t="str">
        <f>IF([2]Entry!$N$601="","",[2]Entry!$N$601)</f>
        <v/>
      </c>
      <c r="P598" t="str">
        <f>IF([2]Entry!$R$601="","",[2]Entry!$R$601)</f>
        <v/>
      </c>
    </row>
    <row r="599" spans="10:16" x14ac:dyDescent="0.2">
      <c r="J599" t="str">
        <f>IF([2]Entry!$C$602="","",[2]Entry!$C$602)</f>
        <v/>
      </c>
      <c r="K599" t="str">
        <f>IF([2]Entry!$D$602="","",[2]Entry!$D$602)</f>
        <v/>
      </c>
      <c r="L599" t="str">
        <f>IF([2]Entry!$E$602="","",[2]Entry!$E$602)</f>
        <v/>
      </c>
      <c r="M599" t="str">
        <f>IF([2]Entry!$G$602="","",[2]Entry!$G$602)</f>
        <v/>
      </c>
      <c r="N599" t="str">
        <f>IF([2]Entry!$M$602="","",[2]Entry!$M$602)</f>
        <v/>
      </c>
      <c r="O599" t="str">
        <f>IF([2]Entry!$N$602="","",[2]Entry!$N$602)</f>
        <v/>
      </c>
      <c r="P599" t="str">
        <f>IF([2]Entry!$R$602="","",[2]Entry!$R$602)</f>
        <v/>
      </c>
    </row>
    <row r="600" spans="10:16" x14ac:dyDescent="0.2">
      <c r="J600" t="str">
        <f>IF([2]Entry!$C$603="","",[2]Entry!$C$603)</f>
        <v/>
      </c>
      <c r="K600" t="str">
        <f>IF([2]Entry!$D$603="","",[2]Entry!$D$603)</f>
        <v/>
      </c>
      <c r="L600" t="str">
        <f>IF([2]Entry!$E$603="","",[2]Entry!$E$603)</f>
        <v/>
      </c>
      <c r="M600" t="str">
        <f>IF([2]Entry!$G$603="","",[2]Entry!$G$603)</f>
        <v/>
      </c>
      <c r="N600" t="str">
        <f>IF([2]Entry!$M$603="","",[2]Entry!$M$603)</f>
        <v/>
      </c>
      <c r="O600" t="str">
        <f>IF([2]Entry!$N$603="","",[2]Entry!$N$603)</f>
        <v/>
      </c>
      <c r="P600" t="str">
        <f>IF([2]Entry!$R$603="","",[2]Entry!$R$603)</f>
        <v/>
      </c>
    </row>
    <row r="601" spans="10:16" x14ac:dyDescent="0.2">
      <c r="J601" t="str">
        <f>IF([2]Entry!$C$604="","",[2]Entry!$C$604)</f>
        <v/>
      </c>
      <c r="K601" t="str">
        <f>IF([2]Entry!$D$604="","",[2]Entry!$D$604)</f>
        <v/>
      </c>
      <c r="L601" t="str">
        <f>IF([2]Entry!$E$604="","",[2]Entry!$E$604)</f>
        <v/>
      </c>
      <c r="M601" t="str">
        <f>IF([2]Entry!$G$604="","",[2]Entry!$G$604)</f>
        <v/>
      </c>
      <c r="N601" t="str">
        <f>IF([2]Entry!$M$604="","",[2]Entry!$M$604)</f>
        <v/>
      </c>
      <c r="O601" t="str">
        <f>IF([2]Entry!$N$604="","",[2]Entry!$N$604)</f>
        <v/>
      </c>
      <c r="P601" t="str">
        <f>IF([2]Entry!$R$604="","",[2]Entry!$R$604)</f>
        <v/>
      </c>
    </row>
    <row r="602" spans="10:16" x14ac:dyDescent="0.2">
      <c r="J602" t="str">
        <f>IF([2]Entry!$C$605="","",[2]Entry!$C$605)</f>
        <v/>
      </c>
      <c r="K602" t="str">
        <f>IF([2]Entry!$D$605="","",[2]Entry!$D$605)</f>
        <v/>
      </c>
      <c r="L602" t="str">
        <f>IF([2]Entry!$E$605="","",[2]Entry!$E$605)</f>
        <v/>
      </c>
      <c r="M602" t="str">
        <f>IF([2]Entry!$G$605="","",[2]Entry!$G$605)</f>
        <v/>
      </c>
      <c r="N602" t="str">
        <f>IF([2]Entry!$M$605="","",[2]Entry!$M$605)</f>
        <v/>
      </c>
      <c r="O602" t="str">
        <f>IF([2]Entry!$N$605="","",[2]Entry!$N$605)</f>
        <v/>
      </c>
      <c r="P602" t="str">
        <f>IF([2]Entry!$R$605="","",[2]Entry!$R$605)</f>
        <v/>
      </c>
    </row>
    <row r="603" spans="10:16" x14ac:dyDescent="0.2">
      <c r="J603" t="str">
        <f>IF([2]Entry!$C$606="","",[2]Entry!$C$606)</f>
        <v/>
      </c>
      <c r="K603" t="str">
        <f>IF([2]Entry!$D$606="","",[2]Entry!$D$606)</f>
        <v/>
      </c>
      <c r="L603" t="str">
        <f>IF([2]Entry!$E$606="","",[2]Entry!$E$606)</f>
        <v/>
      </c>
      <c r="M603" t="str">
        <f>IF([2]Entry!$G$606="","",[2]Entry!$G$606)</f>
        <v/>
      </c>
      <c r="N603" t="str">
        <f>IF([2]Entry!$M$606="","",[2]Entry!$M$606)</f>
        <v/>
      </c>
      <c r="O603" t="str">
        <f>IF([2]Entry!$N$606="","",[2]Entry!$N$606)</f>
        <v/>
      </c>
      <c r="P603" t="str">
        <f>IF([2]Entry!$R$606="","",[2]Entry!$R$606)</f>
        <v/>
      </c>
    </row>
    <row r="604" spans="10:16" x14ac:dyDescent="0.2">
      <c r="J604" t="str">
        <f>IF([2]Entry!$C$607="","",[2]Entry!$C$607)</f>
        <v/>
      </c>
      <c r="K604" t="str">
        <f>IF([2]Entry!$D$607="","",[2]Entry!$D$607)</f>
        <v/>
      </c>
      <c r="L604" t="str">
        <f>IF([2]Entry!$E$607="","",[2]Entry!$E$607)</f>
        <v/>
      </c>
      <c r="M604" t="str">
        <f>IF([2]Entry!$G$607="","",[2]Entry!$G$607)</f>
        <v/>
      </c>
      <c r="N604" t="str">
        <f>IF([2]Entry!$M$607="","",[2]Entry!$M$607)</f>
        <v/>
      </c>
      <c r="O604" t="str">
        <f>IF([2]Entry!$N$607="","",[2]Entry!$N$607)</f>
        <v/>
      </c>
      <c r="P604" t="str">
        <f>IF([2]Entry!$R$607="","",[2]Entry!$R$607)</f>
        <v/>
      </c>
    </row>
    <row r="605" spans="10:16" x14ac:dyDescent="0.2">
      <c r="J605" t="str">
        <f>IF([2]Entry!$C$608="","",[2]Entry!$C$608)</f>
        <v/>
      </c>
      <c r="K605" t="str">
        <f>IF([2]Entry!$D$608="","",[2]Entry!$D$608)</f>
        <v/>
      </c>
      <c r="L605" t="str">
        <f>IF([2]Entry!$E$608="","",[2]Entry!$E$608)</f>
        <v/>
      </c>
      <c r="M605" t="str">
        <f>IF([2]Entry!$G$608="","",[2]Entry!$G$608)</f>
        <v/>
      </c>
      <c r="N605" t="str">
        <f>IF([2]Entry!$M$608="","",[2]Entry!$M$608)</f>
        <v/>
      </c>
      <c r="O605" t="str">
        <f>IF([2]Entry!$N$608="","",[2]Entry!$N$608)</f>
        <v/>
      </c>
      <c r="P605" t="str">
        <f>IF([2]Entry!$R$608="","",[2]Entry!$R$608)</f>
        <v/>
      </c>
    </row>
    <row r="606" spans="10:16" x14ac:dyDescent="0.2">
      <c r="J606" t="str">
        <f>IF([2]Entry!$C$609="","",[2]Entry!$C$609)</f>
        <v/>
      </c>
      <c r="K606" t="str">
        <f>IF([2]Entry!$D$609="","",[2]Entry!$D$609)</f>
        <v/>
      </c>
      <c r="L606" t="str">
        <f>IF([2]Entry!$E$609="","",[2]Entry!$E$609)</f>
        <v/>
      </c>
      <c r="M606" t="str">
        <f>IF([2]Entry!$G$609="","",[2]Entry!$G$609)</f>
        <v/>
      </c>
      <c r="N606" t="str">
        <f>IF([2]Entry!$M$609="","",[2]Entry!$M$609)</f>
        <v/>
      </c>
      <c r="O606" t="str">
        <f>IF([2]Entry!$N$609="","",[2]Entry!$N$609)</f>
        <v/>
      </c>
      <c r="P606" t="str">
        <f>IF([2]Entry!$R$609="","",[2]Entry!$R$609)</f>
        <v/>
      </c>
    </row>
    <row r="607" spans="10:16" x14ac:dyDescent="0.2">
      <c r="J607" t="str">
        <f>IF([2]Entry!$C$610="","",[2]Entry!$C$610)</f>
        <v/>
      </c>
      <c r="K607" t="str">
        <f>IF([2]Entry!$D$610="","",[2]Entry!$D$610)</f>
        <v/>
      </c>
      <c r="L607" t="str">
        <f>IF([2]Entry!$E$610="","",[2]Entry!$E$610)</f>
        <v/>
      </c>
      <c r="M607" t="str">
        <f>IF([2]Entry!$G$610="","",[2]Entry!$G$610)</f>
        <v/>
      </c>
      <c r="N607" t="str">
        <f>IF([2]Entry!$M$610="","",[2]Entry!$M$610)</f>
        <v/>
      </c>
      <c r="O607" t="str">
        <f>IF([2]Entry!$N$610="","",[2]Entry!$N$610)</f>
        <v/>
      </c>
      <c r="P607" t="str">
        <f>IF([2]Entry!$R$610="","",[2]Entry!$R$610)</f>
        <v/>
      </c>
    </row>
    <row r="608" spans="10:16" x14ac:dyDescent="0.2">
      <c r="J608" t="str">
        <f>IF([2]Entry!$C$611="","",[2]Entry!$C$611)</f>
        <v/>
      </c>
      <c r="K608" t="str">
        <f>IF([2]Entry!$D$611="","",[2]Entry!$D$611)</f>
        <v/>
      </c>
      <c r="L608" t="str">
        <f>IF([2]Entry!$E$611="","",[2]Entry!$E$611)</f>
        <v/>
      </c>
      <c r="M608" t="str">
        <f>IF([2]Entry!$G$611="","",[2]Entry!$G$611)</f>
        <v/>
      </c>
      <c r="N608" t="str">
        <f>IF([2]Entry!$M$611="","",[2]Entry!$M$611)</f>
        <v/>
      </c>
      <c r="O608" t="str">
        <f>IF([2]Entry!$N$611="","",[2]Entry!$N$611)</f>
        <v/>
      </c>
      <c r="P608" t="str">
        <f>IF([2]Entry!$R$611="","",[2]Entry!$R$611)</f>
        <v/>
      </c>
    </row>
    <row r="609" spans="10:16" x14ac:dyDescent="0.2">
      <c r="J609" t="str">
        <f>IF([2]Entry!$C$612="","",[2]Entry!$C$612)</f>
        <v/>
      </c>
      <c r="K609" t="str">
        <f>IF([2]Entry!$D$612="","",[2]Entry!$D$612)</f>
        <v/>
      </c>
      <c r="L609" t="str">
        <f>IF([2]Entry!$E$612="","",[2]Entry!$E$612)</f>
        <v/>
      </c>
      <c r="M609" t="str">
        <f>IF([2]Entry!$G$612="","",[2]Entry!$G$612)</f>
        <v/>
      </c>
      <c r="N609" t="str">
        <f>IF([2]Entry!$M$612="","",[2]Entry!$M$612)</f>
        <v/>
      </c>
      <c r="O609" t="str">
        <f>IF([2]Entry!$N$612="","",[2]Entry!$N$612)</f>
        <v/>
      </c>
      <c r="P609" t="str">
        <f>IF([2]Entry!$R$612="","",[2]Entry!$R$612)</f>
        <v/>
      </c>
    </row>
    <row r="610" spans="10:16" x14ac:dyDescent="0.2">
      <c r="J610" t="str">
        <f>IF([2]Entry!$C$613="","",[2]Entry!$C$613)</f>
        <v/>
      </c>
      <c r="K610" t="str">
        <f>IF([2]Entry!$D$613="","",[2]Entry!$D$613)</f>
        <v/>
      </c>
      <c r="L610" t="str">
        <f>IF([2]Entry!$E$613="","",[2]Entry!$E$613)</f>
        <v/>
      </c>
      <c r="M610" t="str">
        <f>IF([2]Entry!$G$613="","",[2]Entry!$G$613)</f>
        <v/>
      </c>
      <c r="N610" t="str">
        <f>IF([2]Entry!$M$613="","",[2]Entry!$M$613)</f>
        <v/>
      </c>
      <c r="O610" t="str">
        <f>IF([2]Entry!$N$613="","",[2]Entry!$N$613)</f>
        <v/>
      </c>
      <c r="P610" t="str">
        <f>IF([2]Entry!$R$613="","",[2]Entry!$R$613)</f>
        <v/>
      </c>
    </row>
    <row r="611" spans="10:16" x14ac:dyDescent="0.2">
      <c r="J611" t="str">
        <f>IF([2]Entry!$C$614="","",[2]Entry!$C$614)</f>
        <v/>
      </c>
      <c r="K611" t="str">
        <f>IF([2]Entry!$D$614="","",[2]Entry!$D$614)</f>
        <v/>
      </c>
      <c r="L611" t="str">
        <f>IF([2]Entry!$E$614="","",[2]Entry!$E$614)</f>
        <v/>
      </c>
      <c r="M611" t="str">
        <f>IF([2]Entry!$G$614="","",[2]Entry!$G$614)</f>
        <v/>
      </c>
      <c r="N611" t="str">
        <f>IF([2]Entry!$M$614="","",[2]Entry!$M$614)</f>
        <v/>
      </c>
      <c r="O611" t="str">
        <f>IF([2]Entry!$N$614="","",[2]Entry!$N$614)</f>
        <v/>
      </c>
      <c r="P611" t="str">
        <f>IF([2]Entry!$R$614="","",[2]Entry!$R$614)</f>
        <v/>
      </c>
    </row>
    <row r="612" spans="10:16" x14ac:dyDescent="0.2">
      <c r="J612" t="str">
        <f>IF([2]Entry!$C$615="","",[2]Entry!$C$615)</f>
        <v/>
      </c>
      <c r="K612" t="str">
        <f>IF([2]Entry!$D$615="","",[2]Entry!$D$615)</f>
        <v/>
      </c>
      <c r="L612" t="str">
        <f>IF([2]Entry!$E$615="","",[2]Entry!$E$615)</f>
        <v/>
      </c>
      <c r="M612" t="str">
        <f>IF([2]Entry!$G$615="","",[2]Entry!$G$615)</f>
        <v/>
      </c>
      <c r="N612" t="str">
        <f>IF([2]Entry!$M$615="","",[2]Entry!$M$615)</f>
        <v/>
      </c>
      <c r="O612" t="str">
        <f>IF([2]Entry!$N$615="","",[2]Entry!$N$615)</f>
        <v/>
      </c>
      <c r="P612" t="str">
        <f>IF([2]Entry!$R$615="","",[2]Entry!$R$615)</f>
        <v/>
      </c>
    </row>
    <row r="613" spans="10:16" x14ac:dyDescent="0.2">
      <c r="J613" t="str">
        <f>IF([2]Entry!$C$616="","",[2]Entry!$C$616)</f>
        <v/>
      </c>
      <c r="K613" t="str">
        <f>IF([2]Entry!$D$616="","",[2]Entry!$D$616)</f>
        <v/>
      </c>
      <c r="L613" t="str">
        <f>IF([2]Entry!$E$616="","",[2]Entry!$E$616)</f>
        <v/>
      </c>
      <c r="M613" t="str">
        <f>IF([2]Entry!$G$616="","",[2]Entry!$G$616)</f>
        <v/>
      </c>
      <c r="N613" t="str">
        <f>IF([2]Entry!$M$616="","",[2]Entry!$M$616)</f>
        <v/>
      </c>
      <c r="O613" t="str">
        <f>IF([2]Entry!$N$616="","",[2]Entry!$N$616)</f>
        <v/>
      </c>
      <c r="P613" t="str">
        <f>IF([2]Entry!$R$616="","",[2]Entry!$R$616)</f>
        <v/>
      </c>
    </row>
    <row r="614" spans="10:16" x14ac:dyDescent="0.2">
      <c r="J614" t="str">
        <f>IF([2]Entry!$C$617="","",[2]Entry!$C$617)</f>
        <v/>
      </c>
      <c r="K614" t="str">
        <f>IF([2]Entry!$D$617="","",[2]Entry!$D$617)</f>
        <v/>
      </c>
      <c r="L614" t="str">
        <f>IF([2]Entry!$E$617="","",[2]Entry!$E$617)</f>
        <v/>
      </c>
      <c r="M614" t="str">
        <f>IF([2]Entry!$G$617="","",[2]Entry!$G$617)</f>
        <v/>
      </c>
      <c r="N614" t="str">
        <f>IF([2]Entry!$M$617="","",[2]Entry!$M$617)</f>
        <v/>
      </c>
      <c r="O614" t="str">
        <f>IF([2]Entry!$N$617="","",[2]Entry!$N$617)</f>
        <v/>
      </c>
      <c r="P614" t="str">
        <f>IF([2]Entry!$R$617="","",[2]Entry!$R$617)</f>
        <v/>
      </c>
    </row>
    <row r="615" spans="10:16" x14ac:dyDescent="0.2">
      <c r="J615" t="str">
        <f>IF([2]Entry!$C$618="","",[2]Entry!$C$618)</f>
        <v/>
      </c>
      <c r="K615" t="str">
        <f>IF([2]Entry!$D$618="","",[2]Entry!$D$618)</f>
        <v/>
      </c>
      <c r="L615" t="str">
        <f>IF([2]Entry!$E$618="","",[2]Entry!$E$618)</f>
        <v/>
      </c>
      <c r="M615" t="str">
        <f>IF([2]Entry!$G$618="","",[2]Entry!$G$618)</f>
        <v/>
      </c>
      <c r="N615" t="str">
        <f>IF([2]Entry!$M$618="","",[2]Entry!$M$618)</f>
        <v/>
      </c>
      <c r="O615" t="str">
        <f>IF([2]Entry!$N$618="","",[2]Entry!$N$618)</f>
        <v/>
      </c>
      <c r="P615" t="str">
        <f>IF([2]Entry!$R$618="","",[2]Entry!$R$618)</f>
        <v/>
      </c>
    </row>
    <row r="616" spans="10:16" x14ac:dyDescent="0.2">
      <c r="J616" t="str">
        <f>IF([2]Entry!$C$619="","",[2]Entry!$C$619)</f>
        <v/>
      </c>
      <c r="K616" t="str">
        <f>IF([2]Entry!$D$619="","",[2]Entry!$D$619)</f>
        <v/>
      </c>
      <c r="L616" t="str">
        <f>IF([2]Entry!$E$619="","",[2]Entry!$E$619)</f>
        <v/>
      </c>
      <c r="M616" t="str">
        <f>IF([2]Entry!$G$619="","",[2]Entry!$G$619)</f>
        <v/>
      </c>
      <c r="N616" t="str">
        <f>IF([2]Entry!$M$619="","",[2]Entry!$M$619)</f>
        <v/>
      </c>
      <c r="O616" t="str">
        <f>IF([2]Entry!$N$619="","",[2]Entry!$N$619)</f>
        <v/>
      </c>
      <c r="P616" t="str">
        <f>IF([2]Entry!$R$619="","",[2]Entry!$R$619)</f>
        <v/>
      </c>
    </row>
    <row r="617" spans="10:16" x14ac:dyDescent="0.2">
      <c r="J617" t="str">
        <f>IF([2]Entry!$C$620="","",[2]Entry!$C$620)</f>
        <v/>
      </c>
      <c r="K617" t="str">
        <f>IF([2]Entry!$D$620="","",[2]Entry!$D$620)</f>
        <v/>
      </c>
      <c r="L617" t="str">
        <f>IF([2]Entry!$E$620="","",[2]Entry!$E$620)</f>
        <v/>
      </c>
      <c r="M617" t="str">
        <f>IF([2]Entry!$G$620="","",[2]Entry!$G$620)</f>
        <v/>
      </c>
      <c r="N617" t="str">
        <f>IF([2]Entry!$M$620="","",[2]Entry!$M$620)</f>
        <v/>
      </c>
      <c r="O617" t="str">
        <f>IF([2]Entry!$N$620="","",[2]Entry!$N$620)</f>
        <v/>
      </c>
      <c r="P617" t="str">
        <f>IF([2]Entry!$R$620="","",[2]Entry!$R$620)</f>
        <v/>
      </c>
    </row>
    <row r="618" spans="10:16" x14ac:dyDescent="0.2">
      <c r="J618" t="str">
        <f>IF([2]Entry!$C$621="","",[2]Entry!$C$621)</f>
        <v/>
      </c>
      <c r="K618" t="str">
        <f>IF([2]Entry!$D$621="","",[2]Entry!$D$621)</f>
        <v/>
      </c>
      <c r="L618" t="str">
        <f>IF([2]Entry!$E$621="","",[2]Entry!$E$621)</f>
        <v/>
      </c>
      <c r="M618" t="str">
        <f>IF([2]Entry!$G$621="","",[2]Entry!$G$621)</f>
        <v/>
      </c>
      <c r="N618" t="str">
        <f>IF([2]Entry!$M$621="","",[2]Entry!$M$621)</f>
        <v/>
      </c>
      <c r="O618" t="str">
        <f>IF([2]Entry!$N$621="","",[2]Entry!$N$621)</f>
        <v/>
      </c>
      <c r="P618" t="str">
        <f>IF([2]Entry!$R$621="","",[2]Entry!$R$621)</f>
        <v/>
      </c>
    </row>
    <row r="619" spans="10:16" x14ac:dyDescent="0.2">
      <c r="J619" t="str">
        <f>IF([2]Entry!$C$622="","",[2]Entry!$C$622)</f>
        <v/>
      </c>
      <c r="K619" t="str">
        <f>IF([2]Entry!$D$622="","",[2]Entry!$D$622)</f>
        <v/>
      </c>
      <c r="L619" t="str">
        <f>IF([2]Entry!$E$622="","",[2]Entry!$E$622)</f>
        <v/>
      </c>
      <c r="M619" t="str">
        <f>IF([2]Entry!$G$622="","",[2]Entry!$G$622)</f>
        <v/>
      </c>
      <c r="N619" t="str">
        <f>IF([2]Entry!$M$622="","",[2]Entry!$M$622)</f>
        <v/>
      </c>
      <c r="O619" t="str">
        <f>IF([2]Entry!$N$622="","",[2]Entry!$N$622)</f>
        <v/>
      </c>
      <c r="P619" t="str">
        <f>IF([2]Entry!$R$622="","",[2]Entry!$R$622)</f>
        <v/>
      </c>
    </row>
    <row r="620" spans="10:16" x14ac:dyDescent="0.2">
      <c r="J620" t="str">
        <f>IF([2]Entry!$C$623="","",[2]Entry!$C$623)</f>
        <v/>
      </c>
      <c r="K620" t="str">
        <f>IF([2]Entry!$D$623="","",[2]Entry!$D$623)</f>
        <v/>
      </c>
      <c r="L620" t="str">
        <f>IF([2]Entry!$E$623="","",[2]Entry!$E$623)</f>
        <v/>
      </c>
      <c r="M620" t="str">
        <f>IF([2]Entry!$G$623="","",[2]Entry!$G$623)</f>
        <v/>
      </c>
      <c r="N620" t="str">
        <f>IF([2]Entry!$M$623="","",[2]Entry!$M$623)</f>
        <v/>
      </c>
      <c r="O620" t="str">
        <f>IF([2]Entry!$N$623="","",[2]Entry!$N$623)</f>
        <v/>
      </c>
      <c r="P620" t="str">
        <f>IF([2]Entry!$R$623="","",[2]Entry!$R$623)</f>
        <v/>
      </c>
    </row>
    <row r="621" spans="10:16" x14ac:dyDescent="0.2">
      <c r="J621" t="str">
        <f>IF([2]Entry!$C$624="","",[2]Entry!$C$624)</f>
        <v/>
      </c>
      <c r="K621" t="str">
        <f>IF([2]Entry!$D$624="","",[2]Entry!$D$624)</f>
        <v/>
      </c>
      <c r="L621" t="str">
        <f>IF([2]Entry!$E$624="","",[2]Entry!$E$624)</f>
        <v/>
      </c>
      <c r="M621" t="str">
        <f>IF([2]Entry!$G$624="","",[2]Entry!$G$624)</f>
        <v/>
      </c>
      <c r="N621" t="str">
        <f>IF([2]Entry!$M$624="","",[2]Entry!$M$624)</f>
        <v/>
      </c>
      <c r="O621" t="str">
        <f>IF([2]Entry!$N$624="","",[2]Entry!$N$624)</f>
        <v/>
      </c>
      <c r="P621" t="str">
        <f>IF([2]Entry!$R$624="","",[2]Entry!$R$624)</f>
        <v/>
      </c>
    </row>
    <row r="622" spans="10:16" x14ac:dyDescent="0.2">
      <c r="J622" t="str">
        <f>IF([2]Entry!$C$625="","",[2]Entry!$C$625)</f>
        <v/>
      </c>
      <c r="K622" t="str">
        <f>IF([2]Entry!$D$625="","",[2]Entry!$D$625)</f>
        <v/>
      </c>
      <c r="L622" t="str">
        <f>IF([2]Entry!$E$625="","",[2]Entry!$E$625)</f>
        <v/>
      </c>
      <c r="M622" t="str">
        <f>IF([2]Entry!$G$625="","",[2]Entry!$G$625)</f>
        <v/>
      </c>
      <c r="N622" t="str">
        <f>IF([2]Entry!$M$625="","",[2]Entry!$M$625)</f>
        <v/>
      </c>
      <c r="O622" t="str">
        <f>IF([2]Entry!$N$625="","",[2]Entry!$N$625)</f>
        <v/>
      </c>
      <c r="P622" t="str">
        <f>IF([2]Entry!$R$625="","",[2]Entry!$R$625)</f>
        <v/>
      </c>
    </row>
    <row r="623" spans="10:16" x14ac:dyDescent="0.2">
      <c r="J623" t="str">
        <f>IF([2]Entry!$C$626="","",[2]Entry!$C$626)</f>
        <v/>
      </c>
      <c r="K623" t="str">
        <f>IF([2]Entry!$D$626="","",[2]Entry!$D$626)</f>
        <v/>
      </c>
      <c r="L623" t="str">
        <f>IF([2]Entry!$E$626="","",[2]Entry!$E$626)</f>
        <v/>
      </c>
      <c r="M623" t="str">
        <f>IF([2]Entry!$G$626="","",[2]Entry!$G$626)</f>
        <v/>
      </c>
      <c r="N623" t="str">
        <f>IF([2]Entry!$M$626="","",[2]Entry!$M$626)</f>
        <v/>
      </c>
      <c r="O623" t="str">
        <f>IF([2]Entry!$N$626="","",[2]Entry!$N$626)</f>
        <v/>
      </c>
      <c r="P623" t="str">
        <f>IF([2]Entry!$R$626="","",[2]Entry!$R$626)</f>
        <v/>
      </c>
    </row>
    <row r="624" spans="10:16" x14ac:dyDescent="0.2">
      <c r="J624" t="str">
        <f>IF([2]Entry!$C$627="","",[2]Entry!$C$627)</f>
        <v/>
      </c>
      <c r="K624" t="str">
        <f>IF([2]Entry!$D$627="","",[2]Entry!$D$627)</f>
        <v/>
      </c>
      <c r="L624" t="str">
        <f>IF([2]Entry!$E$627="","",[2]Entry!$E$627)</f>
        <v/>
      </c>
      <c r="M624" t="str">
        <f>IF([2]Entry!$G$627="","",[2]Entry!$G$627)</f>
        <v/>
      </c>
      <c r="N624" t="str">
        <f>IF([2]Entry!$M$627="","",[2]Entry!$M$627)</f>
        <v/>
      </c>
      <c r="O624" t="str">
        <f>IF([2]Entry!$N$627="","",[2]Entry!$N$627)</f>
        <v/>
      </c>
      <c r="P624" t="str">
        <f>IF([2]Entry!$R$627="","",[2]Entry!$R$627)</f>
        <v/>
      </c>
    </row>
    <row r="625" spans="10:16" x14ac:dyDescent="0.2">
      <c r="J625" t="str">
        <f>IF([2]Entry!$C$628="","",[2]Entry!$C$628)</f>
        <v/>
      </c>
      <c r="K625" t="str">
        <f>IF([2]Entry!$D$628="","",[2]Entry!$D$628)</f>
        <v/>
      </c>
      <c r="L625" t="str">
        <f>IF([2]Entry!$E$628="","",[2]Entry!$E$628)</f>
        <v/>
      </c>
      <c r="M625" t="str">
        <f>IF([2]Entry!$G$628="","",[2]Entry!$G$628)</f>
        <v/>
      </c>
      <c r="N625" t="str">
        <f>IF([2]Entry!$M$628="","",[2]Entry!$M$628)</f>
        <v/>
      </c>
      <c r="O625" t="str">
        <f>IF([2]Entry!$N$628="","",[2]Entry!$N$628)</f>
        <v/>
      </c>
      <c r="P625" t="str">
        <f>IF([2]Entry!$R$628="","",[2]Entry!$R$628)</f>
        <v/>
      </c>
    </row>
    <row r="626" spans="10:16" x14ac:dyDescent="0.2">
      <c r="J626" t="str">
        <f>IF([2]Entry!$C$629="","",[2]Entry!$C$629)</f>
        <v/>
      </c>
      <c r="K626" t="str">
        <f>IF([2]Entry!$D$629="","",[2]Entry!$D$629)</f>
        <v/>
      </c>
      <c r="L626" t="str">
        <f>IF([2]Entry!$E$629="","",[2]Entry!$E$629)</f>
        <v/>
      </c>
      <c r="M626" t="str">
        <f>IF([2]Entry!$G$629="","",[2]Entry!$G$629)</f>
        <v/>
      </c>
      <c r="N626" t="str">
        <f>IF([2]Entry!$M$629="","",[2]Entry!$M$629)</f>
        <v/>
      </c>
      <c r="O626" t="str">
        <f>IF([2]Entry!$N$629="","",[2]Entry!$N$629)</f>
        <v/>
      </c>
      <c r="P626" t="str">
        <f>IF([2]Entry!$R$629="","",[2]Entry!$R$629)</f>
        <v/>
      </c>
    </row>
    <row r="627" spans="10:16" x14ac:dyDescent="0.2">
      <c r="J627" t="str">
        <f>IF([2]Entry!$C$630="","",[2]Entry!$C$630)</f>
        <v/>
      </c>
      <c r="K627" t="str">
        <f>IF([2]Entry!$D$630="","",[2]Entry!$D$630)</f>
        <v/>
      </c>
      <c r="L627" t="str">
        <f>IF([2]Entry!$E$630="","",[2]Entry!$E$630)</f>
        <v/>
      </c>
      <c r="M627" t="str">
        <f>IF([2]Entry!$G$630="","",[2]Entry!$G$630)</f>
        <v/>
      </c>
      <c r="N627" t="str">
        <f>IF([2]Entry!$M$630="","",[2]Entry!$M$630)</f>
        <v/>
      </c>
      <c r="O627" t="str">
        <f>IF([2]Entry!$N$630="","",[2]Entry!$N$630)</f>
        <v/>
      </c>
      <c r="P627" t="str">
        <f>IF([2]Entry!$R$630="","",[2]Entry!$R$630)</f>
        <v/>
      </c>
    </row>
    <row r="628" spans="10:16" x14ac:dyDescent="0.2">
      <c r="J628" t="str">
        <f>IF([2]Entry!$C$631="","",[2]Entry!$C$631)</f>
        <v/>
      </c>
      <c r="K628" t="str">
        <f>IF([2]Entry!$D$631="","",[2]Entry!$D$631)</f>
        <v/>
      </c>
      <c r="L628" t="str">
        <f>IF([2]Entry!$E$631="","",[2]Entry!$E$631)</f>
        <v/>
      </c>
      <c r="M628" t="str">
        <f>IF([2]Entry!$G$631="","",[2]Entry!$G$631)</f>
        <v/>
      </c>
      <c r="N628" t="str">
        <f>IF([2]Entry!$M$631="","",[2]Entry!$M$631)</f>
        <v/>
      </c>
      <c r="O628" t="str">
        <f>IF([2]Entry!$N$631="","",[2]Entry!$N$631)</f>
        <v/>
      </c>
      <c r="P628" t="str">
        <f>IF([2]Entry!$R$631="","",[2]Entry!$R$631)</f>
        <v/>
      </c>
    </row>
    <row r="629" spans="10:16" x14ac:dyDescent="0.2">
      <c r="J629" t="str">
        <f>IF([2]Entry!$C$632="","",[2]Entry!$C$632)</f>
        <v/>
      </c>
      <c r="K629" t="str">
        <f>IF([2]Entry!$D$632="","",[2]Entry!$D$632)</f>
        <v/>
      </c>
      <c r="L629" t="str">
        <f>IF([2]Entry!$E$632="","",[2]Entry!$E$632)</f>
        <v/>
      </c>
      <c r="M629" t="str">
        <f>IF([2]Entry!$G$632="","",[2]Entry!$G$632)</f>
        <v/>
      </c>
      <c r="N629" t="str">
        <f>IF([2]Entry!$M$632="","",[2]Entry!$M$632)</f>
        <v/>
      </c>
      <c r="O629" t="str">
        <f>IF([2]Entry!$N$632="","",[2]Entry!$N$632)</f>
        <v/>
      </c>
      <c r="P629" t="str">
        <f>IF([2]Entry!$R$632="","",[2]Entry!$R$632)</f>
        <v/>
      </c>
    </row>
    <row r="630" spans="10:16" x14ac:dyDescent="0.2">
      <c r="J630" t="str">
        <f>IF([2]Entry!$C$633="","",[2]Entry!$C$633)</f>
        <v/>
      </c>
      <c r="K630" t="str">
        <f>IF([2]Entry!$D$633="","",[2]Entry!$D$633)</f>
        <v/>
      </c>
      <c r="L630" t="str">
        <f>IF([2]Entry!$E$633="","",[2]Entry!$E$633)</f>
        <v/>
      </c>
      <c r="M630" t="str">
        <f>IF([2]Entry!$G$633="","",[2]Entry!$G$633)</f>
        <v/>
      </c>
      <c r="N630" t="str">
        <f>IF([2]Entry!$M$633="","",[2]Entry!$M$633)</f>
        <v/>
      </c>
      <c r="O630" t="str">
        <f>IF([2]Entry!$N$633="","",[2]Entry!$N$633)</f>
        <v/>
      </c>
      <c r="P630" t="str">
        <f>IF([2]Entry!$R$633="","",[2]Entry!$R$633)</f>
        <v/>
      </c>
    </row>
    <row r="631" spans="10:16" x14ac:dyDescent="0.2">
      <c r="J631" t="str">
        <f>IF([2]Entry!$C$634="","",[2]Entry!$C$634)</f>
        <v/>
      </c>
      <c r="K631" t="str">
        <f>IF([2]Entry!$D$634="","",[2]Entry!$D$634)</f>
        <v/>
      </c>
      <c r="L631" t="str">
        <f>IF([2]Entry!$E$634="","",[2]Entry!$E$634)</f>
        <v/>
      </c>
      <c r="M631" t="str">
        <f>IF([2]Entry!$G$634="","",[2]Entry!$G$634)</f>
        <v/>
      </c>
      <c r="N631" t="str">
        <f>IF([2]Entry!$M$634="","",[2]Entry!$M$634)</f>
        <v/>
      </c>
      <c r="O631" t="str">
        <f>IF([2]Entry!$N$634="","",[2]Entry!$N$634)</f>
        <v/>
      </c>
      <c r="P631" t="str">
        <f>IF([2]Entry!$R$634="","",[2]Entry!$R$634)</f>
        <v/>
      </c>
    </row>
    <row r="632" spans="10:16" x14ac:dyDescent="0.2">
      <c r="J632" t="str">
        <f>IF([2]Entry!$C$635="","",[2]Entry!$C$635)</f>
        <v/>
      </c>
      <c r="K632" t="str">
        <f>IF([2]Entry!$D$635="","",[2]Entry!$D$635)</f>
        <v/>
      </c>
      <c r="L632" t="str">
        <f>IF([2]Entry!$E$635="","",[2]Entry!$E$635)</f>
        <v/>
      </c>
      <c r="M632" t="str">
        <f>IF([2]Entry!$G$635="","",[2]Entry!$G$635)</f>
        <v/>
      </c>
      <c r="N632" t="str">
        <f>IF([2]Entry!$M$635="","",[2]Entry!$M$635)</f>
        <v/>
      </c>
      <c r="O632" t="str">
        <f>IF([2]Entry!$N$635="","",[2]Entry!$N$635)</f>
        <v/>
      </c>
      <c r="P632" t="str">
        <f>IF([2]Entry!$R$635="","",[2]Entry!$R$635)</f>
        <v/>
      </c>
    </row>
    <row r="633" spans="10:16" x14ac:dyDescent="0.2">
      <c r="J633" t="str">
        <f>IF([2]Entry!$C$636="","",[2]Entry!$C$636)</f>
        <v/>
      </c>
      <c r="K633" t="str">
        <f>IF([2]Entry!$D$636="","",[2]Entry!$D$636)</f>
        <v/>
      </c>
      <c r="L633" t="str">
        <f>IF([2]Entry!$E$636="","",[2]Entry!$E$636)</f>
        <v/>
      </c>
      <c r="M633" t="str">
        <f>IF([2]Entry!$G$636="","",[2]Entry!$G$636)</f>
        <v/>
      </c>
      <c r="N633" t="str">
        <f>IF([2]Entry!$M$636="","",[2]Entry!$M$636)</f>
        <v/>
      </c>
      <c r="O633" t="str">
        <f>IF([2]Entry!$N$636="","",[2]Entry!$N$636)</f>
        <v/>
      </c>
      <c r="P633" t="str">
        <f>IF([2]Entry!$R$636="","",[2]Entry!$R$636)</f>
        <v/>
      </c>
    </row>
    <row r="634" spans="10:16" x14ac:dyDescent="0.2">
      <c r="J634" t="str">
        <f>IF([2]Entry!$C$637="","",[2]Entry!$C$637)</f>
        <v/>
      </c>
      <c r="K634" t="str">
        <f>IF([2]Entry!$D$637="","",[2]Entry!$D$637)</f>
        <v/>
      </c>
      <c r="L634" t="str">
        <f>IF([2]Entry!$E$637="","",[2]Entry!$E$637)</f>
        <v/>
      </c>
      <c r="M634" t="str">
        <f>IF([2]Entry!$G$637="","",[2]Entry!$G$637)</f>
        <v/>
      </c>
      <c r="N634" t="str">
        <f>IF([2]Entry!$M$637="","",[2]Entry!$M$637)</f>
        <v/>
      </c>
      <c r="O634" t="str">
        <f>IF([2]Entry!$N$637="","",[2]Entry!$N$637)</f>
        <v/>
      </c>
      <c r="P634" t="str">
        <f>IF([2]Entry!$R$637="","",[2]Entry!$R$637)</f>
        <v/>
      </c>
    </row>
    <row r="635" spans="10:16" x14ac:dyDescent="0.2">
      <c r="J635" t="str">
        <f>IF([2]Entry!$C$638="","",[2]Entry!$C$638)</f>
        <v/>
      </c>
      <c r="K635" t="str">
        <f>IF([2]Entry!$D$638="","",[2]Entry!$D$638)</f>
        <v/>
      </c>
      <c r="L635" t="str">
        <f>IF([2]Entry!$E$638="","",[2]Entry!$E$638)</f>
        <v/>
      </c>
      <c r="M635" t="str">
        <f>IF([2]Entry!$G$638="","",[2]Entry!$G$638)</f>
        <v/>
      </c>
      <c r="N635" t="str">
        <f>IF([2]Entry!$M$638="","",[2]Entry!$M$638)</f>
        <v/>
      </c>
      <c r="O635" t="str">
        <f>IF([2]Entry!$N$638="","",[2]Entry!$N$638)</f>
        <v/>
      </c>
      <c r="P635" t="str">
        <f>IF([2]Entry!$R$638="","",[2]Entry!$R$638)</f>
        <v/>
      </c>
    </row>
    <row r="636" spans="10:16" x14ac:dyDescent="0.2">
      <c r="J636" t="str">
        <f>IF([2]Entry!$C$639="","",[2]Entry!$C$639)</f>
        <v/>
      </c>
      <c r="K636" t="str">
        <f>IF([2]Entry!$D$639="","",[2]Entry!$D$639)</f>
        <v/>
      </c>
      <c r="L636" t="str">
        <f>IF([2]Entry!$E$639="","",[2]Entry!$E$639)</f>
        <v/>
      </c>
      <c r="M636" t="str">
        <f>IF([2]Entry!$G$639="","",[2]Entry!$G$639)</f>
        <v/>
      </c>
      <c r="N636" t="str">
        <f>IF([2]Entry!$M$639="","",[2]Entry!$M$639)</f>
        <v/>
      </c>
      <c r="O636" t="str">
        <f>IF([2]Entry!$N$639="","",[2]Entry!$N$639)</f>
        <v/>
      </c>
      <c r="P636" t="str">
        <f>IF([2]Entry!$R$639="","",[2]Entry!$R$639)</f>
        <v/>
      </c>
    </row>
    <row r="637" spans="10:16" x14ac:dyDescent="0.2">
      <c r="J637" t="str">
        <f>IF([2]Entry!$C$640="","",[2]Entry!$C$640)</f>
        <v/>
      </c>
      <c r="K637" t="str">
        <f>IF([2]Entry!$D$640="","",[2]Entry!$D$640)</f>
        <v/>
      </c>
      <c r="L637" t="str">
        <f>IF([2]Entry!$E$640="","",[2]Entry!$E$640)</f>
        <v/>
      </c>
      <c r="M637" t="str">
        <f>IF([2]Entry!$G$640="","",[2]Entry!$G$640)</f>
        <v/>
      </c>
      <c r="N637" t="str">
        <f>IF([2]Entry!$M$640="","",[2]Entry!$M$640)</f>
        <v/>
      </c>
      <c r="O637" t="str">
        <f>IF([2]Entry!$N$640="","",[2]Entry!$N$640)</f>
        <v/>
      </c>
      <c r="P637" t="str">
        <f>IF([2]Entry!$R$640="","",[2]Entry!$R$640)</f>
        <v/>
      </c>
    </row>
    <row r="638" spans="10:16" x14ac:dyDescent="0.2">
      <c r="J638" t="str">
        <f>IF([2]Entry!$C$641="","",[2]Entry!$C$641)</f>
        <v/>
      </c>
      <c r="K638" t="str">
        <f>IF([2]Entry!$D$641="","",[2]Entry!$D$641)</f>
        <v/>
      </c>
      <c r="L638" t="str">
        <f>IF([2]Entry!$E$641="","",[2]Entry!$E$641)</f>
        <v/>
      </c>
      <c r="M638" t="str">
        <f>IF([2]Entry!$G$641="","",[2]Entry!$G$641)</f>
        <v/>
      </c>
      <c r="N638" t="str">
        <f>IF([2]Entry!$M$641="","",[2]Entry!$M$641)</f>
        <v/>
      </c>
      <c r="O638" t="str">
        <f>IF([2]Entry!$N$641="","",[2]Entry!$N$641)</f>
        <v/>
      </c>
      <c r="P638" t="str">
        <f>IF([2]Entry!$R$641="","",[2]Entry!$R$641)</f>
        <v/>
      </c>
    </row>
    <row r="639" spans="10:16" x14ac:dyDescent="0.2">
      <c r="J639" t="str">
        <f>IF([2]Entry!$C$642="","",[2]Entry!$C$642)</f>
        <v/>
      </c>
      <c r="K639" t="str">
        <f>IF([2]Entry!$D$642="","",[2]Entry!$D$642)</f>
        <v/>
      </c>
      <c r="L639" t="str">
        <f>IF([2]Entry!$E$642="","",[2]Entry!$E$642)</f>
        <v/>
      </c>
      <c r="M639" t="str">
        <f>IF([2]Entry!$G$642="","",[2]Entry!$G$642)</f>
        <v/>
      </c>
      <c r="N639" t="str">
        <f>IF([2]Entry!$M$642="","",[2]Entry!$M$642)</f>
        <v/>
      </c>
      <c r="O639" t="str">
        <f>IF([2]Entry!$N$642="","",[2]Entry!$N$642)</f>
        <v/>
      </c>
      <c r="P639" t="str">
        <f>IF([2]Entry!$R$642="","",[2]Entry!$R$642)</f>
        <v/>
      </c>
    </row>
    <row r="640" spans="10:16" x14ac:dyDescent="0.2">
      <c r="J640" t="str">
        <f>IF([2]Entry!$C$643="","",[2]Entry!$C$643)</f>
        <v/>
      </c>
      <c r="K640" t="str">
        <f>IF([2]Entry!$D$643="","",[2]Entry!$D$643)</f>
        <v/>
      </c>
      <c r="L640" t="str">
        <f>IF([2]Entry!$E$643="","",[2]Entry!$E$643)</f>
        <v/>
      </c>
      <c r="M640" t="str">
        <f>IF([2]Entry!$G$643="","",[2]Entry!$G$643)</f>
        <v/>
      </c>
      <c r="N640" t="str">
        <f>IF([2]Entry!$M$643="","",[2]Entry!$M$643)</f>
        <v/>
      </c>
      <c r="O640" t="str">
        <f>IF([2]Entry!$N$643="","",[2]Entry!$N$643)</f>
        <v/>
      </c>
      <c r="P640" t="str">
        <f>IF([2]Entry!$R$643="","",[2]Entry!$R$643)</f>
        <v/>
      </c>
    </row>
    <row r="641" spans="10:16" x14ac:dyDescent="0.2">
      <c r="J641" t="str">
        <f>IF([2]Entry!$C$644="","",[2]Entry!$C$644)</f>
        <v/>
      </c>
      <c r="K641" t="str">
        <f>IF([2]Entry!$D$644="","",[2]Entry!$D$644)</f>
        <v/>
      </c>
      <c r="L641" t="str">
        <f>IF([2]Entry!$E$644="","",[2]Entry!$E$644)</f>
        <v/>
      </c>
      <c r="M641" t="str">
        <f>IF([2]Entry!$G$644="","",[2]Entry!$G$644)</f>
        <v/>
      </c>
      <c r="N641" t="str">
        <f>IF([2]Entry!$M$644="","",[2]Entry!$M$644)</f>
        <v/>
      </c>
      <c r="O641" t="str">
        <f>IF([2]Entry!$N$644="","",[2]Entry!$N$644)</f>
        <v/>
      </c>
      <c r="P641" t="str">
        <f>IF([2]Entry!$R$644="","",[2]Entry!$R$644)</f>
        <v/>
      </c>
    </row>
    <row r="642" spans="10:16" x14ac:dyDescent="0.2">
      <c r="J642" t="str">
        <f>IF([2]Entry!$C$645="","",[2]Entry!$C$645)</f>
        <v/>
      </c>
      <c r="K642" t="str">
        <f>IF([2]Entry!$D$645="","",[2]Entry!$D$645)</f>
        <v/>
      </c>
      <c r="L642" t="str">
        <f>IF([2]Entry!$E$645="","",[2]Entry!$E$645)</f>
        <v/>
      </c>
      <c r="M642" t="str">
        <f>IF([2]Entry!$G$645="","",[2]Entry!$G$645)</f>
        <v/>
      </c>
      <c r="N642" t="str">
        <f>IF([2]Entry!$M$645="","",[2]Entry!$M$645)</f>
        <v/>
      </c>
      <c r="O642" t="str">
        <f>IF([2]Entry!$N$645="","",[2]Entry!$N$645)</f>
        <v/>
      </c>
      <c r="P642" t="str">
        <f>IF([2]Entry!$R$645="","",[2]Entry!$R$645)</f>
        <v/>
      </c>
    </row>
    <row r="643" spans="10:16" x14ac:dyDescent="0.2">
      <c r="J643" t="str">
        <f>IF([2]Entry!$C$646="","",[2]Entry!$C$646)</f>
        <v/>
      </c>
      <c r="K643" t="str">
        <f>IF([2]Entry!$D$646="","",[2]Entry!$D$646)</f>
        <v/>
      </c>
      <c r="L643" t="str">
        <f>IF([2]Entry!$E$646="","",[2]Entry!$E$646)</f>
        <v/>
      </c>
      <c r="M643" t="str">
        <f>IF([2]Entry!$G$646="","",[2]Entry!$G$646)</f>
        <v/>
      </c>
      <c r="N643" t="str">
        <f>IF([2]Entry!$M$646="","",[2]Entry!$M$646)</f>
        <v/>
      </c>
      <c r="O643" t="str">
        <f>IF([2]Entry!$N$646="","",[2]Entry!$N$646)</f>
        <v/>
      </c>
      <c r="P643" t="str">
        <f>IF([2]Entry!$R$646="","",[2]Entry!$R$646)</f>
        <v/>
      </c>
    </row>
    <row r="644" spans="10:16" x14ac:dyDescent="0.2">
      <c r="J644" t="str">
        <f>IF([2]Entry!$C$647="","",[2]Entry!$C$647)</f>
        <v/>
      </c>
      <c r="K644" t="str">
        <f>IF([2]Entry!$D$647="","",[2]Entry!$D$647)</f>
        <v/>
      </c>
      <c r="L644" t="str">
        <f>IF([2]Entry!$E$647="","",[2]Entry!$E$647)</f>
        <v/>
      </c>
      <c r="M644" t="str">
        <f>IF([2]Entry!$G$647="","",[2]Entry!$G$647)</f>
        <v/>
      </c>
      <c r="N644" t="str">
        <f>IF([2]Entry!$M$647="","",[2]Entry!$M$647)</f>
        <v/>
      </c>
      <c r="O644" t="str">
        <f>IF([2]Entry!$N$647="","",[2]Entry!$N$647)</f>
        <v/>
      </c>
      <c r="P644" t="str">
        <f>IF([2]Entry!$R$647="","",[2]Entry!$R$647)</f>
        <v/>
      </c>
    </row>
    <row r="645" spans="10:16" x14ac:dyDescent="0.2">
      <c r="J645" t="str">
        <f>IF([2]Entry!$C$648="","",[2]Entry!$C$648)</f>
        <v/>
      </c>
      <c r="K645" t="str">
        <f>IF([2]Entry!$D$648="","",[2]Entry!$D$648)</f>
        <v/>
      </c>
      <c r="L645" t="str">
        <f>IF([2]Entry!$E$648="","",[2]Entry!$E$648)</f>
        <v/>
      </c>
      <c r="M645" t="str">
        <f>IF([2]Entry!$G$648="","",[2]Entry!$G$648)</f>
        <v/>
      </c>
      <c r="N645" t="str">
        <f>IF([2]Entry!$M$648="","",[2]Entry!$M$648)</f>
        <v/>
      </c>
      <c r="O645" t="str">
        <f>IF([2]Entry!$N$648="","",[2]Entry!$N$648)</f>
        <v/>
      </c>
      <c r="P645" t="str">
        <f>IF([2]Entry!$R$648="","",[2]Entry!$R$648)</f>
        <v/>
      </c>
    </row>
    <row r="646" spans="10:16" x14ac:dyDescent="0.2">
      <c r="J646" t="str">
        <f>IF([2]Entry!$C$649="","",[2]Entry!$C$649)</f>
        <v/>
      </c>
      <c r="K646" t="str">
        <f>IF([2]Entry!$D$649="","",[2]Entry!$D$649)</f>
        <v/>
      </c>
      <c r="L646" t="str">
        <f>IF([2]Entry!$E$649="","",[2]Entry!$E$649)</f>
        <v/>
      </c>
      <c r="M646" t="str">
        <f>IF([2]Entry!$G$649="","",[2]Entry!$G$649)</f>
        <v/>
      </c>
      <c r="N646" t="str">
        <f>IF([2]Entry!$M$649="","",[2]Entry!$M$649)</f>
        <v/>
      </c>
      <c r="O646" t="str">
        <f>IF([2]Entry!$N$649="","",[2]Entry!$N$649)</f>
        <v/>
      </c>
      <c r="P646" t="str">
        <f>IF([2]Entry!$R$649="","",[2]Entry!$R$649)</f>
        <v/>
      </c>
    </row>
    <row r="647" spans="10:16" x14ac:dyDescent="0.2">
      <c r="J647" t="str">
        <f>IF([2]Entry!$C$650="","",[2]Entry!$C$650)</f>
        <v/>
      </c>
      <c r="K647" t="str">
        <f>IF([2]Entry!$D$650="","",[2]Entry!$D$650)</f>
        <v/>
      </c>
      <c r="L647" t="str">
        <f>IF([2]Entry!$E$650="","",[2]Entry!$E$650)</f>
        <v/>
      </c>
      <c r="M647" t="str">
        <f>IF([2]Entry!$G$650="","",[2]Entry!$G$650)</f>
        <v/>
      </c>
      <c r="N647" t="str">
        <f>IF([2]Entry!$M$650="","",[2]Entry!$M$650)</f>
        <v/>
      </c>
      <c r="O647" t="str">
        <f>IF([2]Entry!$N$650="","",[2]Entry!$N$650)</f>
        <v/>
      </c>
      <c r="P647" t="str">
        <f>IF([2]Entry!$R$650="","",[2]Entry!$R$650)</f>
        <v/>
      </c>
    </row>
    <row r="648" spans="10:16" x14ac:dyDescent="0.2">
      <c r="J648" t="str">
        <f>IF([2]Entry!$C$651="","",[2]Entry!$C$651)</f>
        <v/>
      </c>
      <c r="K648" t="str">
        <f>IF([2]Entry!$D$651="","",[2]Entry!$D$651)</f>
        <v/>
      </c>
      <c r="L648" t="str">
        <f>IF([2]Entry!$E$651="","",[2]Entry!$E$651)</f>
        <v/>
      </c>
      <c r="M648" t="str">
        <f>IF([2]Entry!$G$651="","",[2]Entry!$G$651)</f>
        <v/>
      </c>
      <c r="N648" t="str">
        <f>IF([2]Entry!$M$651="","",[2]Entry!$M$651)</f>
        <v/>
      </c>
      <c r="O648" t="str">
        <f>IF([2]Entry!$N$651="","",[2]Entry!$N$651)</f>
        <v/>
      </c>
      <c r="P648" t="str">
        <f>IF([2]Entry!$R$651="","",[2]Entry!$R$651)</f>
        <v/>
      </c>
    </row>
    <row r="649" spans="10:16" x14ac:dyDescent="0.2">
      <c r="J649" t="str">
        <f>IF([2]Entry!$C$652="","",[2]Entry!$C$652)</f>
        <v/>
      </c>
      <c r="K649" t="str">
        <f>IF([2]Entry!$D$652="","",[2]Entry!$D$652)</f>
        <v/>
      </c>
      <c r="L649" t="str">
        <f>IF([2]Entry!$E$652="","",[2]Entry!$E$652)</f>
        <v/>
      </c>
      <c r="M649" t="str">
        <f>IF([2]Entry!$G$652="","",[2]Entry!$G$652)</f>
        <v/>
      </c>
      <c r="N649" t="str">
        <f>IF([2]Entry!$M$652="","",[2]Entry!$M$652)</f>
        <v/>
      </c>
      <c r="O649" t="str">
        <f>IF([2]Entry!$N$652="","",[2]Entry!$N$652)</f>
        <v/>
      </c>
      <c r="P649" t="str">
        <f>IF([2]Entry!$R$652="","",[2]Entry!$R$652)</f>
        <v/>
      </c>
    </row>
    <row r="650" spans="10:16" x14ac:dyDescent="0.2">
      <c r="J650" t="str">
        <f>IF([2]Entry!$C$653="","",[2]Entry!$C$653)</f>
        <v/>
      </c>
      <c r="K650" t="str">
        <f>IF([2]Entry!$D$653="","",[2]Entry!$D$653)</f>
        <v/>
      </c>
      <c r="L650" t="str">
        <f>IF([2]Entry!$E$653="","",[2]Entry!$E$653)</f>
        <v/>
      </c>
      <c r="M650" t="str">
        <f>IF([2]Entry!$G$653="","",[2]Entry!$G$653)</f>
        <v/>
      </c>
      <c r="N650" t="str">
        <f>IF([2]Entry!$M$653="","",[2]Entry!$M$653)</f>
        <v/>
      </c>
      <c r="O650" t="str">
        <f>IF([2]Entry!$N$653="","",[2]Entry!$N$653)</f>
        <v/>
      </c>
      <c r="P650" t="str">
        <f>IF([2]Entry!$R$653="","",[2]Entry!$R$653)</f>
        <v/>
      </c>
    </row>
    <row r="651" spans="10:16" x14ac:dyDescent="0.2">
      <c r="J651" t="str">
        <f>IF([2]Entry!$C$654="","",[2]Entry!$C$654)</f>
        <v/>
      </c>
      <c r="K651" t="str">
        <f>IF([2]Entry!$D$654="","",[2]Entry!$D$654)</f>
        <v/>
      </c>
      <c r="L651" t="str">
        <f>IF([2]Entry!$E$654="","",[2]Entry!$E$654)</f>
        <v/>
      </c>
      <c r="M651" t="str">
        <f>IF([2]Entry!$G$654="","",[2]Entry!$G$654)</f>
        <v/>
      </c>
      <c r="N651" t="str">
        <f>IF([2]Entry!$M$654="","",[2]Entry!$M$654)</f>
        <v/>
      </c>
      <c r="O651" t="str">
        <f>IF([2]Entry!$N$654="","",[2]Entry!$N$654)</f>
        <v/>
      </c>
      <c r="P651" t="str">
        <f>IF([2]Entry!$R$654="","",[2]Entry!$R$654)</f>
        <v/>
      </c>
    </row>
    <row r="652" spans="10:16" x14ac:dyDescent="0.2">
      <c r="J652" t="str">
        <f>IF([2]Entry!$C$655="","",[2]Entry!$C$655)</f>
        <v/>
      </c>
      <c r="K652" t="str">
        <f>IF([2]Entry!$D$655="","",[2]Entry!$D$655)</f>
        <v/>
      </c>
      <c r="L652" t="str">
        <f>IF([2]Entry!$E$655="","",[2]Entry!$E$655)</f>
        <v/>
      </c>
      <c r="M652" t="str">
        <f>IF([2]Entry!$G$655="","",[2]Entry!$G$655)</f>
        <v/>
      </c>
      <c r="N652" t="str">
        <f>IF([2]Entry!$M$655="","",[2]Entry!$M$655)</f>
        <v/>
      </c>
      <c r="O652" t="str">
        <f>IF([2]Entry!$N$655="","",[2]Entry!$N$655)</f>
        <v/>
      </c>
      <c r="P652" t="str">
        <f>IF([2]Entry!$R$655="","",[2]Entry!$R$655)</f>
        <v/>
      </c>
    </row>
    <row r="653" spans="10:16" x14ac:dyDescent="0.2">
      <c r="J653" t="str">
        <f>IF([2]Entry!$C$656="","",[2]Entry!$C$656)</f>
        <v/>
      </c>
      <c r="K653" t="str">
        <f>IF([2]Entry!$D$656="","",[2]Entry!$D$656)</f>
        <v/>
      </c>
      <c r="L653" t="str">
        <f>IF([2]Entry!$E$656="","",[2]Entry!$E$656)</f>
        <v/>
      </c>
      <c r="M653" t="str">
        <f>IF([2]Entry!$G$656="","",[2]Entry!$G$656)</f>
        <v/>
      </c>
      <c r="N653" t="str">
        <f>IF([2]Entry!$M$656="","",[2]Entry!$M$656)</f>
        <v/>
      </c>
      <c r="O653" t="str">
        <f>IF([2]Entry!$N$656="","",[2]Entry!$N$656)</f>
        <v/>
      </c>
      <c r="P653" t="str">
        <f>IF([2]Entry!$R$656="","",[2]Entry!$R$656)</f>
        <v/>
      </c>
    </row>
    <row r="654" spans="10:16" x14ac:dyDescent="0.2">
      <c r="J654" t="str">
        <f>IF([2]Entry!$C$657="","",[2]Entry!$C$657)</f>
        <v/>
      </c>
      <c r="K654" t="str">
        <f>IF([2]Entry!$D$657="","",[2]Entry!$D$657)</f>
        <v/>
      </c>
      <c r="L654" t="str">
        <f>IF([2]Entry!$E$657="","",[2]Entry!$E$657)</f>
        <v/>
      </c>
      <c r="M654" t="str">
        <f>IF([2]Entry!$G$657="","",[2]Entry!$G$657)</f>
        <v/>
      </c>
      <c r="N654" t="str">
        <f>IF([2]Entry!$M$657="","",[2]Entry!$M$657)</f>
        <v/>
      </c>
      <c r="O654" t="str">
        <f>IF([2]Entry!$N$657="","",[2]Entry!$N$657)</f>
        <v/>
      </c>
      <c r="P654" t="str">
        <f>IF([2]Entry!$R$657="","",[2]Entry!$R$657)</f>
        <v/>
      </c>
    </row>
    <row r="655" spans="10:16" x14ac:dyDescent="0.2">
      <c r="J655" t="str">
        <f>IF([2]Entry!$C$658="","",[2]Entry!$C$658)</f>
        <v/>
      </c>
      <c r="K655" t="str">
        <f>IF([2]Entry!$D$658="","",[2]Entry!$D$658)</f>
        <v/>
      </c>
      <c r="L655" t="str">
        <f>IF([2]Entry!$E$658="","",[2]Entry!$E$658)</f>
        <v/>
      </c>
      <c r="M655" t="str">
        <f>IF([2]Entry!$G$658="","",[2]Entry!$G$658)</f>
        <v/>
      </c>
      <c r="N655" t="str">
        <f>IF([2]Entry!$M$658="","",[2]Entry!$M$658)</f>
        <v/>
      </c>
      <c r="O655" t="str">
        <f>IF([2]Entry!$N$658="","",[2]Entry!$N$658)</f>
        <v/>
      </c>
      <c r="P655" t="str">
        <f>IF([2]Entry!$R$658="","",[2]Entry!$R$658)</f>
        <v/>
      </c>
    </row>
    <row r="656" spans="10:16" x14ac:dyDescent="0.2">
      <c r="J656" t="str">
        <f>IF([2]Entry!$C$659="","",[2]Entry!$C$659)</f>
        <v/>
      </c>
      <c r="K656" t="str">
        <f>IF([2]Entry!$D$659="","",[2]Entry!$D$659)</f>
        <v/>
      </c>
      <c r="L656" t="str">
        <f>IF([2]Entry!$E$659="","",[2]Entry!$E$659)</f>
        <v/>
      </c>
      <c r="M656" t="str">
        <f>IF([2]Entry!$G$659="","",[2]Entry!$G$659)</f>
        <v/>
      </c>
      <c r="N656" t="str">
        <f>IF([2]Entry!$M$659="","",[2]Entry!$M$659)</f>
        <v/>
      </c>
      <c r="O656" t="str">
        <f>IF([2]Entry!$N$659="","",[2]Entry!$N$659)</f>
        <v/>
      </c>
      <c r="P656" t="str">
        <f>IF([2]Entry!$R$659="","",[2]Entry!$R$659)</f>
        <v/>
      </c>
    </row>
    <row r="657" spans="10:16" x14ac:dyDescent="0.2">
      <c r="J657" t="str">
        <f>IF([2]Entry!$C$660="","",[2]Entry!$C$660)</f>
        <v/>
      </c>
      <c r="K657" t="str">
        <f>IF([2]Entry!$D$660="","",[2]Entry!$D$660)</f>
        <v/>
      </c>
      <c r="L657" t="str">
        <f>IF([2]Entry!$E$660="","",[2]Entry!$E$660)</f>
        <v/>
      </c>
      <c r="M657" t="str">
        <f>IF([2]Entry!$G$660="","",[2]Entry!$G$660)</f>
        <v/>
      </c>
      <c r="N657" t="str">
        <f>IF([2]Entry!$M$660="","",[2]Entry!$M$660)</f>
        <v/>
      </c>
      <c r="O657" t="str">
        <f>IF([2]Entry!$N$660="","",[2]Entry!$N$660)</f>
        <v/>
      </c>
      <c r="P657" t="str">
        <f>IF([2]Entry!$R$660="","",[2]Entry!$R$660)</f>
        <v/>
      </c>
    </row>
    <row r="658" spans="10:16" x14ac:dyDescent="0.2">
      <c r="J658" t="str">
        <f>IF([2]Entry!$C$661="","",[2]Entry!$C$661)</f>
        <v/>
      </c>
      <c r="K658" t="str">
        <f>IF([2]Entry!$D$661="","",[2]Entry!$D$661)</f>
        <v/>
      </c>
      <c r="L658" t="str">
        <f>IF([2]Entry!$E$661="","",[2]Entry!$E$661)</f>
        <v/>
      </c>
      <c r="M658" t="str">
        <f>IF([2]Entry!$G$661="","",[2]Entry!$G$661)</f>
        <v/>
      </c>
      <c r="N658" t="str">
        <f>IF([2]Entry!$M$661="","",[2]Entry!$M$661)</f>
        <v/>
      </c>
      <c r="O658" t="str">
        <f>IF([2]Entry!$N$661="","",[2]Entry!$N$661)</f>
        <v/>
      </c>
      <c r="P658" t="str">
        <f>IF([2]Entry!$R$661="","",[2]Entry!$R$661)</f>
        <v/>
      </c>
    </row>
    <row r="659" spans="10:16" x14ac:dyDescent="0.2">
      <c r="J659" t="str">
        <f>IF([2]Entry!$C$662="","",[2]Entry!$C$662)</f>
        <v/>
      </c>
      <c r="K659" t="str">
        <f>IF([2]Entry!$D$662="","",[2]Entry!$D$662)</f>
        <v/>
      </c>
      <c r="L659" t="str">
        <f>IF([2]Entry!$E$662="","",[2]Entry!$E$662)</f>
        <v/>
      </c>
      <c r="M659" t="str">
        <f>IF([2]Entry!$G$662="","",[2]Entry!$G$662)</f>
        <v/>
      </c>
      <c r="N659" t="str">
        <f>IF([2]Entry!$M$662="","",[2]Entry!$M$662)</f>
        <v/>
      </c>
      <c r="O659" t="str">
        <f>IF([2]Entry!$N$662="","",[2]Entry!$N$662)</f>
        <v/>
      </c>
      <c r="P659" t="str">
        <f>IF([2]Entry!$R$662="","",[2]Entry!$R$662)</f>
        <v/>
      </c>
    </row>
    <row r="660" spans="10:16" x14ac:dyDescent="0.2">
      <c r="J660" t="str">
        <f>IF([2]Entry!$C$663="","",[2]Entry!$C$663)</f>
        <v/>
      </c>
      <c r="K660" t="str">
        <f>IF([2]Entry!$D$663="","",[2]Entry!$D$663)</f>
        <v/>
      </c>
      <c r="L660" t="str">
        <f>IF([2]Entry!$E$663="","",[2]Entry!$E$663)</f>
        <v/>
      </c>
      <c r="M660" t="str">
        <f>IF([2]Entry!$G$663="","",[2]Entry!$G$663)</f>
        <v/>
      </c>
      <c r="N660" t="str">
        <f>IF([2]Entry!$M$663="","",[2]Entry!$M$663)</f>
        <v/>
      </c>
      <c r="O660" t="str">
        <f>IF([2]Entry!$N$663="","",[2]Entry!$N$663)</f>
        <v/>
      </c>
      <c r="P660" t="str">
        <f>IF([2]Entry!$R$663="","",[2]Entry!$R$663)</f>
        <v/>
      </c>
    </row>
    <row r="661" spans="10:16" x14ac:dyDescent="0.2">
      <c r="J661" t="str">
        <f>IF([2]Entry!$C$664="","",[2]Entry!$C$664)</f>
        <v/>
      </c>
      <c r="K661" t="str">
        <f>IF([2]Entry!$D$664="","",[2]Entry!$D$664)</f>
        <v/>
      </c>
      <c r="L661" t="str">
        <f>IF([2]Entry!$E$664="","",[2]Entry!$E$664)</f>
        <v/>
      </c>
      <c r="M661" t="str">
        <f>IF([2]Entry!$G$664="","",[2]Entry!$G$664)</f>
        <v/>
      </c>
      <c r="N661" t="str">
        <f>IF([2]Entry!$M$664="","",[2]Entry!$M$664)</f>
        <v/>
      </c>
      <c r="O661" t="str">
        <f>IF([2]Entry!$N$664="","",[2]Entry!$N$664)</f>
        <v/>
      </c>
      <c r="P661" t="str">
        <f>IF([2]Entry!$R$664="","",[2]Entry!$R$664)</f>
        <v/>
      </c>
    </row>
    <row r="662" spans="10:16" x14ac:dyDescent="0.2">
      <c r="J662" t="str">
        <f>IF([2]Entry!$C$665="","",[2]Entry!$C$665)</f>
        <v/>
      </c>
      <c r="K662" t="str">
        <f>IF([2]Entry!$D$665="","",[2]Entry!$D$665)</f>
        <v/>
      </c>
      <c r="L662" t="str">
        <f>IF([2]Entry!$E$665="","",[2]Entry!$E$665)</f>
        <v/>
      </c>
      <c r="M662" t="str">
        <f>IF([2]Entry!$G$665="","",[2]Entry!$G$665)</f>
        <v/>
      </c>
      <c r="N662" t="str">
        <f>IF([2]Entry!$M$665="","",[2]Entry!$M$665)</f>
        <v/>
      </c>
      <c r="O662" t="str">
        <f>IF([2]Entry!$N$665="","",[2]Entry!$N$665)</f>
        <v/>
      </c>
      <c r="P662" t="str">
        <f>IF([2]Entry!$R$665="","",[2]Entry!$R$665)</f>
        <v/>
      </c>
    </row>
    <row r="663" spans="10:16" x14ac:dyDescent="0.2">
      <c r="J663" t="str">
        <f>IF([2]Entry!$C$666="","",[2]Entry!$C$666)</f>
        <v/>
      </c>
      <c r="K663" t="str">
        <f>IF([2]Entry!$D$666="","",[2]Entry!$D$666)</f>
        <v/>
      </c>
      <c r="L663" t="str">
        <f>IF([2]Entry!$E$666="","",[2]Entry!$E$666)</f>
        <v/>
      </c>
      <c r="M663" t="str">
        <f>IF([2]Entry!$G$666="","",[2]Entry!$G$666)</f>
        <v/>
      </c>
      <c r="N663" t="str">
        <f>IF([2]Entry!$M$666="","",[2]Entry!$M$666)</f>
        <v/>
      </c>
      <c r="O663" t="str">
        <f>IF([2]Entry!$N$666="","",[2]Entry!$N$666)</f>
        <v/>
      </c>
      <c r="P663" t="str">
        <f>IF([2]Entry!$R$666="","",[2]Entry!$R$666)</f>
        <v/>
      </c>
    </row>
    <row r="664" spans="10:16" x14ac:dyDescent="0.2">
      <c r="J664" t="str">
        <f>IF([2]Entry!$C$667="","",[2]Entry!$C$667)</f>
        <v/>
      </c>
      <c r="K664" t="str">
        <f>IF([2]Entry!$D$667="","",[2]Entry!$D$667)</f>
        <v/>
      </c>
      <c r="L664" t="str">
        <f>IF([2]Entry!$E$667="","",[2]Entry!$E$667)</f>
        <v/>
      </c>
      <c r="M664" t="str">
        <f>IF([2]Entry!$G$667="","",[2]Entry!$G$667)</f>
        <v/>
      </c>
      <c r="N664" t="str">
        <f>IF([2]Entry!$M$667="","",[2]Entry!$M$667)</f>
        <v/>
      </c>
      <c r="O664" t="str">
        <f>IF([2]Entry!$N$667="","",[2]Entry!$N$667)</f>
        <v/>
      </c>
      <c r="P664" t="str">
        <f>IF([2]Entry!$R$667="","",[2]Entry!$R$667)</f>
        <v/>
      </c>
    </row>
    <row r="665" spans="10:16" x14ac:dyDescent="0.2">
      <c r="J665" t="str">
        <f>IF([2]Entry!$C$668="","",[2]Entry!$C$668)</f>
        <v/>
      </c>
      <c r="K665" t="str">
        <f>IF([2]Entry!$D$668="","",[2]Entry!$D$668)</f>
        <v/>
      </c>
      <c r="L665" t="str">
        <f>IF([2]Entry!$E$668="","",[2]Entry!$E$668)</f>
        <v/>
      </c>
      <c r="M665" t="str">
        <f>IF([2]Entry!$G$668="","",[2]Entry!$G$668)</f>
        <v/>
      </c>
      <c r="N665" t="str">
        <f>IF([2]Entry!$M$668="","",[2]Entry!$M$668)</f>
        <v/>
      </c>
      <c r="O665" t="str">
        <f>IF([2]Entry!$N$668="","",[2]Entry!$N$668)</f>
        <v/>
      </c>
      <c r="P665" t="str">
        <f>IF([2]Entry!$R$668="","",[2]Entry!$R$668)</f>
        <v/>
      </c>
    </row>
    <row r="666" spans="10:16" x14ac:dyDescent="0.2">
      <c r="J666" t="str">
        <f>IF([2]Entry!$C$669="","",[2]Entry!$C$669)</f>
        <v/>
      </c>
      <c r="K666" t="str">
        <f>IF([2]Entry!$D$669="","",[2]Entry!$D$669)</f>
        <v/>
      </c>
      <c r="L666" t="str">
        <f>IF([2]Entry!$E$669="","",[2]Entry!$E$669)</f>
        <v/>
      </c>
      <c r="M666" t="str">
        <f>IF([2]Entry!$G$669="","",[2]Entry!$G$669)</f>
        <v/>
      </c>
      <c r="N666" t="str">
        <f>IF([2]Entry!$M$669="","",[2]Entry!$M$669)</f>
        <v/>
      </c>
      <c r="O666" t="str">
        <f>IF([2]Entry!$N$669="","",[2]Entry!$N$669)</f>
        <v/>
      </c>
      <c r="P666" t="str">
        <f>IF([2]Entry!$R$669="","",[2]Entry!$R$669)</f>
        <v/>
      </c>
    </row>
    <row r="667" spans="10:16" x14ac:dyDescent="0.2">
      <c r="J667" t="str">
        <f>IF([2]Entry!$C$670="","",[2]Entry!$C$670)</f>
        <v/>
      </c>
      <c r="K667" t="str">
        <f>IF([2]Entry!$D$670="","",[2]Entry!$D$670)</f>
        <v/>
      </c>
      <c r="L667" t="str">
        <f>IF([2]Entry!$E$670="","",[2]Entry!$E$670)</f>
        <v/>
      </c>
      <c r="M667" t="str">
        <f>IF([2]Entry!$G$670="","",[2]Entry!$G$670)</f>
        <v/>
      </c>
      <c r="N667" t="str">
        <f>IF([2]Entry!$M$670="","",[2]Entry!$M$670)</f>
        <v/>
      </c>
      <c r="O667" t="str">
        <f>IF([2]Entry!$N$670="","",[2]Entry!$N$670)</f>
        <v/>
      </c>
      <c r="P667" t="str">
        <f>IF([2]Entry!$R$670="","",[2]Entry!$R$670)</f>
        <v/>
      </c>
    </row>
    <row r="668" spans="10:16" x14ac:dyDescent="0.2">
      <c r="J668" t="str">
        <f>IF([2]Entry!$C$671="","",[2]Entry!$C$671)</f>
        <v/>
      </c>
      <c r="K668" t="str">
        <f>IF([2]Entry!$D$671="","",[2]Entry!$D$671)</f>
        <v/>
      </c>
      <c r="L668" t="str">
        <f>IF([2]Entry!$E$671="","",[2]Entry!$E$671)</f>
        <v/>
      </c>
      <c r="M668" t="str">
        <f>IF([2]Entry!$G$671="","",[2]Entry!$G$671)</f>
        <v/>
      </c>
      <c r="N668" t="str">
        <f>IF([2]Entry!$M$671="","",[2]Entry!$M$671)</f>
        <v/>
      </c>
      <c r="O668" t="str">
        <f>IF([2]Entry!$N$671="","",[2]Entry!$N$671)</f>
        <v/>
      </c>
      <c r="P668" t="str">
        <f>IF([2]Entry!$R$671="","",[2]Entry!$R$671)</f>
        <v/>
      </c>
    </row>
    <row r="669" spans="10:16" x14ac:dyDescent="0.2">
      <c r="J669" t="str">
        <f>IF([2]Entry!$C$672="","",[2]Entry!$C$672)</f>
        <v/>
      </c>
      <c r="K669" t="str">
        <f>IF([2]Entry!$D$672="","",[2]Entry!$D$672)</f>
        <v/>
      </c>
      <c r="L669" t="str">
        <f>IF([2]Entry!$E$672="","",[2]Entry!$E$672)</f>
        <v/>
      </c>
      <c r="M669" t="str">
        <f>IF([2]Entry!$G$672="","",[2]Entry!$G$672)</f>
        <v/>
      </c>
      <c r="N669" t="str">
        <f>IF([2]Entry!$M$672="","",[2]Entry!$M$672)</f>
        <v/>
      </c>
      <c r="O669" t="str">
        <f>IF([2]Entry!$N$672="","",[2]Entry!$N$672)</f>
        <v/>
      </c>
      <c r="P669" t="str">
        <f>IF([2]Entry!$R$672="","",[2]Entry!$R$672)</f>
        <v/>
      </c>
    </row>
    <row r="670" spans="10:16" x14ac:dyDescent="0.2">
      <c r="J670" t="str">
        <f>IF([2]Entry!$C$673="","",[2]Entry!$C$673)</f>
        <v/>
      </c>
      <c r="K670" t="str">
        <f>IF([2]Entry!$D$673="","",[2]Entry!$D$673)</f>
        <v/>
      </c>
      <c r="L670" t="str">
        <f>IF([2]Entry!$E$673="","",[2]Entry!$E$673)</f>
        <v/>
      </c>
      <c r="M670" t="str">
        <f>IF([2]Entry!$G$673="","",[2]Entry!$G$673)</f>
        <v/>
      </c>
      <c r="N670" t="str">
        <f>IF([2]Entry!$M$673="","",[2]Entry!$M$673)</f>
        <v/>
      </c>
      <c r="O670" t="str">
        <f>IF([2]Entry!$N$673="","",[2]Entry!$N$673)</f>
        <v/>
      </c>
      <c r="P670" t="str">
        <f>IF([2]Entry!$R$673="","",[2]Entry!$R$673)</f>
        <v/>
      </c>
    </row>
    <row r="671" spans="10:16" x14ac:dyDescent="0.2">
      <c r="J671" t="str">
        <f>IF([2]Entry!$C$674="","",[2]Entry!$C$674)</f>
        <v/>
      </c>
      <c r="K671" t="str">
        <f>IF([2]Entry!$D$674="","",[2]Entry!$D$674)</f>
        <v/>
      </c>
      <c r="L671" t="str">
        <f>IF([2]Entry!$E$674="","",[2]Entry!$E$674)</f>
        <v/>
      </c>
      <c r="M671" t="str">
        <f>IF([2]Entry!$G$674="","",[2]Entry!$G$674)</f>
        <v/>
      </c>
      <c r="N671" t="str">
        <f>IF([2]Entry!$M$674="","",[2]Entry!$M$674)</f>
        <v/>
      </c>
      <c r="O671" t="str">
        <f>IF([2]Entry!$N$674="","",[2]Entry!$N$674)</f>
        <v/>
      </c>
      <c r="P671" t="str">
        <f>IF([2]Entry!$R$674="","",[2]Entry!$R$674)</f>
        <v/>
      </c>
    </row>
    <row r="672" spans="10:16" x14ac:dyDescent="0.2">
      <c r="J672" t="str">
        <f>IF([2]Entry!$C$675="","",[2]Entry!$C$675)</f>
        <v/>
      </c>
      <c r="K672" t="str">
        <f>IF([2]Entry!$D$675="","",[2]Entry!$D$675)</f>
        <v/>
      </c>
      <c r="L672" t="str">
        <f>IF([2]Entry!$E$675="","",[2]Entry!$E$675)</f>
        <v/>
      </c>
      <c r="M672" t="str">
        <f>IF([2]Entry!$G$675="","",[2]Entry!$G$675)</f>
        <v/>
      </c>
      <c r="N672" t="str">
        <f>IF([2]Entry!$M$675="","",[2]Entry!$M$675)</f>
        <v/>
      </c>
      <c r="O672" t="str">
        <f>IF([2]Entry!$N$675="","",[2]Entry!$N$675)</f>
        <v/>
      </c>
      <c r="P672" t="str">
        <f>IF([2]Entry!$R$675="","",[2]Entry!$R$675)</f>
        <v/>
      </c>
    </row>
    <row r="673" spans="10:16" x14ac:dyDescent="0.2">
      <c r="J673" t="str">
        <f>IF([2]Entry!$C$676="","",[2]Entry!$C$676)</f>
        <v/>
      </c>
      <c r="K673" t="str">
        <f>IF([2]Entry!$D$676="","",[2]Entry!$D$676)</f>
        <v/>
      </c>
      <c r="L673" t="str">
        <f>IF([2]Entry!$E$676="","",[2]Entry!$E$676)</f>
        <v/>
      </c>
      <c r="M673" t="str">
        <f>IF([2]Entry!$G$676="","",[2]Entry!$G$676)</f>
        <v/>
      </c>
      <c r="N673" t="str">
        <f>IF([2]Entry!$M$676="","",[2]Entry!$M$676)</f>
        <v/>
      </c>
      <c r="O673" t="str">
        <f>IF([2]Entry!$N$676="","",[2]Entry!$N$676)</f>
        <v/>
      </c>
      <c r="P673" t="str">
        <f>IF([2]Entry!$R$676="","",[2]Entry!$R$676)</f>
        <v/>
      </c>
    </row>
    <row r="674" spans="10:16" x14ac:dyDescent="0.2">
      <c r="J674" t="str">
        <f>IF([2]Entry!$C$677="","",[2]Entry!$C$677)</f>
        <v/>
      </c>
      <c r="K674" t="str">
        <f>IF([2]Entry!$D$677="","",[2]Entry!$D$677)</f>
        <v/>
      </c>
      <c r="L674" t="str">
        <f>IF([2]Entry!$E$677="","",[2]Entry!$E$677)</f>
        <v/>
      </c>
      <c r="M674" t="str">
        <f>IF([2]Entry!$G$677="","",[2]Entry!$G$677)</f>
        <v/>
      </c>
      <c r="N674" t="str">
        <f>IF([2]Entry!$M$677="","",[2]Entry!$M$677)</f>
        <v/>
      </c>
      <c r="O674" t="str">
        <f>IF([2]Entry!$N$677="","",[2]Entry!$N$677)</f>
        <v/>
      </c>
      <c r="P674" t="str">
        <f>IF([2]Entry!$R$677="","",[2]Entry!$R$677)</f>
        <v/>
      </c>
    </row>
    <row r="675" spans="10:16" x14ac:dyDescent="0.2">
      <c r="J675" t="str">
        <f>IF([2]Entry!$C$678="","",[2]Entry!$C$678)</f>
        <v/>
      </c>
      <c r="K675" t="str">
        <f>IF([2]Entry!$D$678="","",[2]Entry!$D$678)</f>
        <v/>
      </c>
      <c r="L675" t="str">
        <f>IF([2]Entry!$E$678="","",[2]Entry!$E$678)</f>
        <v/>
      </c>
      <c r="M675" t="str">
        <f>IF([2]Entry!$G$678="","",[2]Entry!$G$678)</f>
        <v/>
      </c>
      <c r="N675" t="str">
        <f>IF([2]Entry!$M$678="","",[2]Entry!$M$678)</f>
        <v/>
      </c>
      <c r="O675" t="str">
        <f>IF([2]Entry!$N$678="","",[2]Entry!$N$678)</f>
        <v/>
      </c>
      <c r="P675" t="str">
        <f>IF([2]Entry!$R$678="","",[2]Entry!$R$678)</f>
        <v/>
      </c>
    </row>
    <row r="676" spans="10:16" x14ac:dyDescent="0.2">
      <c r="J676" t="str">
        <f>IF([2]Entry!$C$679="","",[2]Entry!$C$679)</f>
        <v/>
      </c>
      <c r="K676" t="str">
        <f>IF([2]Entry!$D$679="","",[2]Entry!$D$679)</f>
        <v/>
      </c>
      <c r="L676" t="str">
        <f>IF([2]Entry!$E$679="","",[2]Entry!$E$679)</f>
        <v/>
      </c>
      <c r="M676" t="str">
        <f>IF([2]Entry!$G$679="","",[2]Entry!$G$679)</f>
        <v/>
      </c>
      <c r="N676" t="str">
        <f>IF([2]Entry!$M$679="","",[2]Entry!$M$679)</f>
        <v/>
      </c>
      <c r="O676" t="str">
        <f>IF([2]Entry!$N$679="","",[2]Entry!$N$679)</f>
        <v/>
      </c>
      <c r="P676" t="str">
        <f>IF([2]Entry!$R$679="","",[2]Entry!$R$679)</f>
        <v/>
      </c>
    </row>
    <row r="677" spans="10:16" x14ac:dyDescent="0.2">
      <c r="J677" t="str">
        <f>IF([2]Entry!$C$680="","",[2]Entry!$C$680)</f>
        <v/>
      </c>
      <c r="K677" t="str">
        <f>IF([2]Entry!$D$680="","",[2]Entry!$D$680)</f>
        <v/>
      </c>
      <c r="L677" t="str">
        <f>IF([2]Entry!$E$680="","",[2]Entry!$E$680)</f>
        <v/>
      </c>
      <c r="M677" t="str">
        <f>IF([2]Entry!$G$680="","",[2]Entry!$G$680)</f>
        <v/>
      </c>
      <c r="N677" t="str">
        <f>IF([2]Entry!$M$680="","",[2]Entry!$M$680)</f>
        <v/>
      </c>
      <c r="O677" t="str">
        <f>IF([2]Entry!$N$680="","",[2]Entry!$N$680)</f>
        <v/>
      </c>
      <c r="P677" t="str">
        <f>IF([2]Entry!$R$680="","",[2]Entry!$R$680)</f>
        <v/>
      </c>
    </row>
    <row r="678" spans="10:16" x14ac:dyDescent="0.2">
      <c r="J678" t="str">
        <f>IF([2]Entry!$C$681="","",[2]Entry!$C$681)</f>
        <v/>
      </c>
      <c r="K678" t="str">
        <f>IF([2]Entry!$D$681="","",[2]Entry!$D$681)</f>
        <v/>
      </c>
      <c r="L678" t="str">
        <f>IF([2]Entry!$E$681="","",[2]Entry!$E$681)</f>
        <v/>
      </c>
      <c r="M678" t="str">
        <f>IF([2]Entry!$G$681="","",[2]Entry!$G$681)</f>
        <v/>
      </c>
      <c r="N678" t="str">
        <f>IF([2]Entry!$M$681="","",[2]Entry!$M$681)</f>
        <v/>
      </c>
      <c r="O678" t="str">
        <f>IF([2]Entry!$N$681="","",[2]Entry!$N$681)</f>
        <v/>
      </c>
      <c r="P678" t="str">
        <f>IF([2]Entry!$R$681="","",[2]Entry!$R$681)</f>
        <v/>
      </c>
    </row>
    <row r="679" spans="10:16" x14ac:dyDescent="0.2">
      <c r="J679" t="str">
        <f>IF([2]Entry!$C$682="","",[2]Entry!$C$682)</f>
        <v/>
      </c>
      <c r="K679" t="str">
        <f>IF([2]Entry!$D$682="","",[2]Entry!$D$682)</f>
        <v/>
      </c>
      <c r="L679" t="str">
        <f>IF([2]Entry!$E$682="","",[2]Entry!$E$682)</f>
        <v/>
      </c>
      <c r="M679" t="str">
        <f>IF([2]Entry!$G$682="","",[2]Entry!$G$682)</f>
        <v/>
      </c>
      <c r="N679" t="str">
        <f>IF([2]Entry!$M$682="","",[2]Entry!$M$682)</f>
        <v/>
      </c>
      <c r="O679" t="str">
        <f>IF([2]Entry!$N$682="","",[2]Entry!$N$682)</f>
        <v/>
      </c>
      <c r="P679" t="str">
        <f>IF([2]Entry!$R$682="","",[2]Entry!$R$682)</f>
        <v/>
      </c>
    </row>
    <row r="680" spans="10:16" x14ac:dyDescent="0.2">
      <c r="J680" t="str">
        <f>IF([2]Entry!$C$683="","",[2]Entry!$C$683)</f>
        <v/>
      </c>
      <c r="K680" t="str">
        <f>IF([2]Entry!$D$683="","",[2]Entry!$D$683)</f>
        <v/>
      </c>
      <c r="L680" t="str">
        <f>IF([2]Entry!$E$683="","",[2]Entry!$E$683)</f>
        <v/>
      </c>
      <c r="M680" t="str">
        <f>IF([2]Entry!$G$683="","",[2]Entry!$G$683)</f>
        <v/>
      </c>
      <c r="N680" t="str">
        <f>IF([2]Entry!$M$683="","",[2]Entry!$M$683)</f>
        <v/>
      </c>
      <c r="O680" t="str">
        <f>IF([2]Entry!$N$683="","",[2]Entry!$N$683)</f>
        <v/>
      </c>
      <c r="P680" t="str">
        <f>IF([2]Entry!$R$683="","",[2]Entry!$R$683)</f>
        <v/>
      </c>
    </row>
    <row r="681" spans="10:16" x14ac:dyDescent="0.2">
      <c r="J681" t="str">
        <f>IF([2]Entry!$C$684="","",[2]Entry!$C$684)</f>
        <v/>
      </c>
      <c r="K681" t="str">
        <f>IF([2]Entry!$D$684="","",[2]Entry!$D$684)</f>
        <v/>
      </c>
      <c r="L681" t="str">
        <f>IF([2]Entry!$E$684="","",[2]Entry!$E$684)</f>
        <v/>
      </c>
      <c r="M681" t="str">
        <f>IF([2]Entry!$G$684="","",[2]Entry!$G$684)</f>
        <v/>
      </c>
      <c r="N681" t="str">
        <f>IF([2]Entry!$M$684="","",[2]Entry!$M$684)</f>
        <v/>
      </c>
      <c r="O681" t="str">
        <f>IF([2]Entry!$N$684="","",[2]Entry!$N$684)</f>
        <v/>
      </c>
      <c r="P681" t="str">
        <f>IF([2]Entry!$R$684="","",[2]Entry!$R$684)</f>
        <v/>
      </c>
    </row>
    <row r="682" spans="10:16" x14ac:dyDescent="0.2">
      <c r="J682" t="str">
        <f>IF([2]Entry!$C$685="","",[2]Entry!$C$685)</f>
        <v/>
      </c>
      <c r="K682" t="str">
        <f>IF([2]Entry!$D$685="","",[2]Entry!$D$685)</f>
        <v/>
      </c>
      <c r="L682" t="str">
        <f>IF([2]Entry!$E$685="","",[2]Entry!$E$685)</f>
        <v/>
      </c>
      <c r="M682" t="str">
        <f>IF([2]Entry!$G$685="","",[2]Entry!$G$685)</f>
        <v/>
      </c>
      <c r="N682" t="str">
        <f>IF([2]Entry!$M$685="","",[2]Entry!$M$685)</f>
        <v/>
      </c>
      <c r="O682" t="str">
        <f>IF([2]Entry!$N$685="","",[2]Entry!$N$685)</f>
        <v/>
      </c>
      <c r="P682" t="str">
        <f>IF([2]Entry!$R$685="","",[2]Entry!$R$685)</f>
        <v/>
      </c>
    </row>
    <row r="683" spans="10:16" x14ac:dyDescent="0.2">
      <c r="J683" t="str">
        <f>IF([2]Entry!$C$686="","",[2]Entry!$C$686)</f>
        <v/>
      </c>
      <c r="K683" t="str">
        <f>IF([2]Entry!$D$686="","",[2]Entry!$D$686)</f>
        <v/>
      </c>
      <c r="L683" t="str">
        <f>IF([2]Entry!$E$686="","",[2]Entry!$E$686)</f>
        <v/>
      </c>
      <c r="M683" t="str">
        <f>IF([2]Entry!$G$686="","",[2]Entry!$G$686)</f>
        <v/>
      </c>
      <c r="N683" t="str">
        <f>IF([2]Entry!$M$686="","",[2]Entry!$M$686)</f>
        <v/>
      </c>
      <c r="O683" t="str">
        <f>IF([2]Entry!$N$686="","",[2]Entry!$N$686)</f>
        <v/>
      </c>
      <c r="P683" t="str">
        <f>IF([2]Entry!$R$686="","",[2]Entry!$R$686)</f>
        <v/>
      </c>
    </row>
    <row r="684" spans="10:16" x14ac:dyDescent="0.2">
      <c r="J684" t="str">
        <f>IF([2]Entry!$C$687="","",[2]Entry!$C$687)</f>
        <v/>
      </c>
      <c r="K684" t="str">
        <f>IF([2]Entry!$D$687="","",[2]Entry!$D$687)</f>
        <v/>
      </c>
      <c r="L684" t="str">
        <f>IF([2]Entry!$E$687="","",[2]Entry!$E$687)</f>
        <v/>
      </c>
      <c r="M684" t="str">
        <f>IF([2]Entry!$G$687="","",[2]Entry!$G$687)</f>
        <v/>
      </c>
      <c r="N684" t="str">
        <f>IF([2]Entry!$M$687="","",[2]Entry!$M$687)</f>
        <v/>
      </c>
      <c r="O684" t="str">
        <f>IF([2]Entry!$N$687="","",[2]Entry!$N$687)</f>
        <v/>
      </c>
      <c r="P684" t="str">
        <f>IF([2]Entry!$R$687="","",[2]Entry!$R$687)</f>
        <v/>
      </c>
    </row>
    <row r="685" spans="10:16" x14ac:dyDescent="0.2">
      <c r="J685" t="str">
        <f>IF([2]Entry!$C$688="","",[2]Entry!$C$688)</f>
        <v/>
      </c>
      <c r="K685" t="str">
        <f>IF([2]Entry!$D$688="","",[2]Entry!$D$688)</f>
        <v/>
      </c>
      <c r="L685" t="str">
        <f>IF([2]Entry!$E$688="","",[2]Entry!$E$688)</f>
        <v/>
      </c>
      <c r="M685" t="str">
        <f>IF([2]Entry!$G$688="","",[2]Entry!$G$688)</f>
        <v/>
      </c>
      <c r="N685" t="str">
        <f>IF([2]Entry!$M$688="","",[2]Entry!$M$688)</f>
        <v/>
      </c>
      <c r="O685" t="str">
        <f>IF([2]Entry!$N$688="","",[2]Entry!$N$688)</f>
        <v/>
      </c>
      <c r="P685" t="str">
        <f>IF([2]Entry!$R$688="","",[2]Entry!$R$688)</f>
        <v/>
      </c>
    </row>
    <row r="686" spans="10:16" x14ac:dyDescent="0.2">
      <c r="J686" t="str">
        <f>IF([2]Entry!$C$689="","",[2]Entry!$C$689)</f>
        <v/>
      </c>
      <c r="K686" t="str">
        <f>IF([2]Entry!$D$689="","",[2]Entry!$D$689)</f>
        <v/>
      </c>
      <c r="L686" t="str">
        <f>IF([2]Entry!$E$689="","",[2]Entry!$E$689)</f>
        <v/>
      </c>
      <c r="M686" t="str">
        <f>IF([2]Entry!$G$689="","",[2]Entry!$G$689)</f>
        <v/>
      </c>
      <c r="N686" t="str">
        <f>IF([2]Entry!$M$689="","",[2]Entry!$M$689)</f>
        <v/>
      </c>
      <c r="O686" t="str">
        <f>IF([2]Entry!$N$689="","",[2]Entry!$N$689)</f>
        <v/>
      </c>
      <c r="P686" t="str">
        <f>IF([2]Entry!$R$689="","",[2]Entry!$R$689)</f>
        <v/>
      </c>
    </row>
    <row r="687" spans="10:16" x14ac:dyDescent="0.2">
      <c r="J687" t="str">
        <f>IF([2]Entry!$C$690="","",[2]Entry!$C$690)</f>
        <v/>
      </c>
      <c r="K687" t="str">
        <f>IF([2]Entry!$D$690="","",[2]Entry!$D$690)</f>
        <v/>
      </c>
      <c r="L687" t="str">
        <f>IF([2]Entry!$E$690="","",[2]Entry!$E$690)</f>
        <v/>
      </c>
      <c r="M687" t="str">
        <f>IF([2]Entry!$G$690="","",[2]Entry!$G$690)</f>
        <v/>
      </c>
      <c r="N687" t="str">
        <f>IF([2]Entry!$M$690="","",[2]Entry!$M$690)</f>
        <v/>
      </c>
      <c r="O687" t="str">
        <f>IF([2]Entry!$N$690="","",[2]Entry!$N$690)</f>
        <v/>
      </c>
      <c r="P687" t="str">
        <f>IF([2]Entry!$R$690="","",[2]Entry!$R$690)</f>
        <v/>
      </c>
    </row>
    <row r="688" spans="10:16" x14ac:dyDescent="0.2">
      <c r="J688" t="str">
        <f>IF([2]Entry!$C$691="","",[2]Entry!$C$691)</f>
        <v/>
      </c>
      <c r="K688" t="str">
        <f>IF([2]Entry!$D$691="","",[2]Entry!$D$691)</f>
        <v/>
      </c>
      <c r="L688" t="str">
        <f>IF([2]Entry!$E$691="","",[2]Entry!$E$691)</f>
        <v/>
      </c>
      <c r="M688" t="str">
        <f>IF([2]Entry!$G$691="","",[2]Entry!$G$691)</f>
        <v/>
      </c>
      <c r="N688" t="str">
        <f>IF([2]Entry!$M$691="","",[2]Entry!$M$691)</f>
        <v/>
      </c>
      <c r="O688" t="str">
        <f>IF([2]Entry!$N$691="","",[2]Entry!$N$691)</f>
        <v/>
      </c>
      <c r="P688" t="str">
        <f>IF([2]Entry!$R$691="","",[2]Entry!$R$691)</f>
        <v/>
      </c>
    </row>
    <row r="689" spans="10:16" x14ac:dyDescent="0.2">
      <c r="J689" t="str">
        <f>IF([2]Entry!$C$692="","",[2]Entry!$C$692)</f>
        <v/>
      </c>
      <c r="K689" t="str">
        <f>IF([2]Entry!$D$692="","",[2]Entry!$D$692)</f>
        <v/>
      </c>
      <c r="L689" t="str">
        <f>IF([2]Entry!$E$692="","",[2]Entry!$E$692)</f>
        <v/>
      </c>
      <c r="M689" t="str">
        <f>IF([2]Entry!$G$692="","",[2]Entry!$G$692)</f>
        <v/>
      </c>
      <c r="N689" t="str">
        <f>IF([2]Entry!$M$692="","",[2]Entry!$M$692)</f>
        <v/>
      </c>
      <c r="O689" t="str">
        <f>IF([2]Entry!$N$692="","",[2]Entry!$N$692)</f>
        <v/>
      </c>
      <c r="P689" t="str">
        <f>IF([2]Entry!$R$692="","",[2]Entry!$R$692)</f>
        <v/>
      </c>
    </row>
    <row r="690" spans="10:16" x14ac:dyDescent="0.2">
      <c r="J690" t="str">
        <f>IF([2]Entry!$C$693="","",[2]Entry!$C$693)</f>
        <v/>
      </c>
      <c r="K690" t="str">
        <f>IF([2]Entry!$D$693="","",[2]Entry!$D$693)</f>
        <v/>
      </c>
      <c r="L690" t="str">
        <f>IF([2]Entry!$E$693="","",[2]Entry!$E$693)</f>
        <v/>
      </c>
      <c r="M690" t="str">
        <f>IF([2]Entry!$G$693="","",[2]Entry!$G$693)</f>
        <v/>
      </c>
      <c r="N690" t="str">
        <f>IF([2]Entry!$M$693="","",[2]Entry!$M$693)</f>
        <v/>
      </c>
      <c r="O690" t="str">
        <f>IF([2]Entry!$N$693="","",[2]Entry!$N$693)</f>
        <v/>
      </c>
      <c r="P690" t="str">
        <f>IF([2]Entry!$R$693="","",[2]Entry!$R$693)</f>
        <v/>
      </c>
    </row>
    <row r="691" spans="10:16" x14ac:dyDescent="0.2">
      <c r="J691" t="str">
        <f>IF([2]Entry!$C$694="","",[2]Entry!$C$694)</f>
        <v/>
      </c>
      <c r="K691" t="str">
        <f>IF([2]Entry!$D$694="","",[2]Entry!$D$694)</f>
        <v/>
      </c>
      <c r="L691" t="str">
        <f>IF([2]Entry!$E$694="","",[2]Entry!$E$694)</f>
        <v/>
      </c>
      <c r="M691" t="str">
        <f>IF([2]Entry!$G$694="","",[2]Entry!$G$694)</f>
        <v/>
      </c>
      <c r="N691" t="str">
        <f>IF([2]Entry!$M$694="","",[2]Entry!$M$694)</f>
        <v/>
      </c>
      <c r="O691" t="str">
        <f>IF([2]Entry!$N$694="","",[2]Entry!$N$694)</f>
        <v/>
      </c>
      <c r="P691" t="str">
        <f>IF([2]Entry!$R$694="","",[2]Entry!$R$694)</f>
        <v/>
      </c>
    </row>
    <row r="692" spans="10:16" x14ac:dyDescent="0.2">
      <c r="J692" t="str">
        <f>IF([2]Entry!$C$695="","",[2]Entry!$C$695)</f>
        <v/>
      </c>
      <c r="K692" t="str">
        <f>IF([2]Entry!$D$695="","",[2]Entry!$D$695)</f>
        <v/>
      </c>
      <c r="L692" t="str">
        <f>IF([2]Entry!$E$695="","",[2]Entry!$E$695)</f>
        <v/>
      </c>
      <c r="M692" t="str">
        <f>IF([2]Entry!$G$695="","",[2]Entry!$G$695)</f>
        <v/>
      </c>
      <c r="N692" t="str">
        <f>IF([2]Entry!$M$695="","",[2]Entry!$M$695)</f>
        <v/>
      </c>
      <c r="O692" t="str">
        <f>IF([2]Entry!$N$695="","",[2]Entry!$N$695)</f>
        <v/>
      </c>
      <c r="P692" t="str">
        <f>IF([2]Entry!$R$695="","",[2]Entry!$R$695)</f>
        <v/>
      </c>
    </row>
    <row r="693" spans="10:16" x14ac:dyDescent="0.2">
      <c r="J693" t="str">
        <f>IF([2]Entry!$C$696="","",[2]Entry!$C$696)</f>
        <v/>
      </c>
      <c r="K693" t="str">
        <f>IF([2]Entry!$D$696="","",[2]Entry!$D$696)</f>
        <v/>
      </c>
      <c r="L693" t="str">
        <f>IF([2]Entry!$E$696="","",[2]Entry!$E$696)</f>
        <v/>
      </c>
      <c r="M693" t="str">
        <f>IF([2]Entry!$G$696="","",[2]Entry!$G$696)</f>
        <v/>
      </c>
      <c r="N693" t="str">
        <f>IF([2]Entry!$M$696="","",[2]Entry!$M$696)</f>
        <v/>
      </c>
      <c r="O693" t="str">
        <f>IF([2]Entry!$N$696="","",[2]Entry!$N$696)</f>
        <v/>
      </c>
      <c r="P693" t="str">
        <f>IF([2]Entry!$R$696="","",[2]Entry!$R$696)</f>
        <v/>
      </c>
    </row>
    <row r="694" spans="10:16" x14ac:dyDescent="0.2">
      <c r="J694" t="str">
        <f>IF([2]Entry!$C$697="","",[2]Entry!$C$697)</f>
        <v/>
      </c>
      <c r="K694" t="str">
        <f>IF([2]Entry!$D$697="","",[2]Entry!$D$697)</f>
        <v/>
      </c>
      <c r="L694" t="str">
        <f>IF([2]Entry!$E$697="","",[2]Entry!$E$697)</f>
        <v/>
      </c>
      <c r="M694" t="str">
        <f>IF([2]Entry!$G$697="","",[2]Entry!$G$697)</f>
        <v/>
      </c>
      <c r="N694" t="str">
        <f>IF([2]Entry!$M$697="","",[2]Entry!$M$697)</f>
        <v/>
      </c>
      <c r="O694" t="str">
        <f>IF([2]Entry!$N$697="","",[2]Entry!$N$697)</f>
        <v/>
      </c>
      <c r="P694" t="str">
        <f>IF([2]Entry!$R$697="","",[2]Entry!$R$697)</f>
        <v/>
      </c>
    </row>
    <row r="695" spans="10:16" x14ac:dyDescent="0.2">
      <c r="J695" t="str">
        <f>IF([2]Entry!$C$698="","",[2]Entry!$C$698)</f>
        <v/>
      </c>
      <c r="K695" t="str">
        <f>IF([2]Entry!$D$698="","",[2]Entry!$D$698)</f>
        <v/>
      </c>
      <c r="L695" t="str">
        <f>IF([2]Entry!$E$698="","",[2]Entry!$E$698)</f>
        <v/>
      </c>
      <c r="M695" t="str">
        <f>IF([2]Entry!$G$698="","",[2]Entry!$G$698)</f>
        <v/>
      </c>
      <c r="N695" t="str">
        <f>IF([2]Entry!$M$698="","",[2]Entry!$M$698)</f>
        <v/>
      </c>
      <c r="O695" t="str">
        <f>IF([2]Entry!$N$698="","",[2]Entry!$N$698)</f>
        <v/>
      </c>
      <c r="P695" t="str">
        <f>IF([2]Entry!$R$698="","",[2]Entry!$R$698)</f>
        <v/>
      </c>
    </row>
    <row r="696" spans="10:16" x14ac:dyDescent="0.2">
      <c r="J696" t="str">
        <f>IF([2]Entry!$C$699="","",[2]Entry!$C$699)</f>
        <v/>
      </c>
      <c r="K696" t="str">
        <f>IF([2]Entry!$D$699="","",[2]Entry!$D$699)</f>
        <v/>
      </c>
      <c r="L696" t="str">
        <f>IF([2]Entry!$E$699="","",[2]Entry!$E$699)</f>
        <v/>
      </c>
      <c r="M696" t="str">
        <f>IF([2]Entry!$G$699="","",[2]Entry!$G$699)</f>
        <v/>
      </c>
      <c r="N696" t="str">
        <f>IF([2]Entry!$M$699="","",[2]Entry!$M$699)</f>
        <v/>
      </c>
      <c r="O696" t="str">
        <f>IF([2]Entry!$N$699="","",[2]Entry!$N$699)</f>
        <v/>
      </c>
      <c r="P696" t="str">
        <f>IF([2]Entry!$R$699="","",[2]Entry!$R$699)</f>
        <v/>
      </c>
    </row>
    <row r="697" spans="10:16" x14ac:dyDescent="0.2">
      <c r="J697" t="str">
        <f>IF([2]Entry!$C$700="","",[2]Entry!$C$700)</f>
        <v/>
      </c>
      <c r="K697" t="str">
        <f>IF([2]Entry!$D$700="","",[2]Entry!$D$700)</f>
        <v/>
      </c>
      <c r="L697" t="str">
        <f>IF([2]Entry!$E$700="","",[2]Entry!$E$700)</f>
        <v/>
      </c>
      <c r="M697" t="str">
        <f>IF([2]Entry!$G$700="","",[2]Entry!$G$700)</f>
        <v/>
      </c>
      <c r="N697" t="str">
        <f>IF([2]Entry!$M$700="","",[2]Entry!$M$700)</f>
        <v/>
      </c>
      <c r="O697" t="str">
        <f>IF([2]Entry!$N$700="","",[2]Entry!$N$700)</f>
        <v/>
      </c>
      <c r="P697" t="str">
        <f>IF([2]Entry!$R$700="","",[2]Entry!$R$700)</f>
        <v/>
      </c>
    </row>
    <row r="698" spans="10:16" x14ac:dyDescent="0.2">
      <c r="J698" t="str">
        <f>IF([2]Entry!$C$701="","",[2]Entry!$C$701)</f>
        <v/>
      </c>
      <c r="K698" t="str">
        <f>IF([2]Entry!$D$701="","",[2]Entry!$D$701)</f>
        <v/>
      </c>
      <c r="L698" t="str">
        <f>IF([2]Entry!$E$701="","",[2]Entry!$E$701)</f>
        <v/>
      </c>
      <c r="M698" t="str">
        <f>IF([2]Entry!$G$701="","",[2]Entry!$G$701)</f>
        <v/>
      </c>
      <c r="N698" t="str">
        <f>IF([2]Entry!$M$701="","",[2]Entry!$M$701)</f>
        <v/>
      </c>
      <c r="O698" t="str">
        <f>IF([2]Entry!$N$701="","",[2]Entry!$N$701)</f>
        <v/>
      </c>
      <c r="P698" t="str">
        <f>IF([2]Entry!$R$701="","",[2]Entry!$R$701)</f>
        <v/>
      </c>
    </row>
    <row r="699" spans="10:16" x14ac:dyDescent="0.2">
      <c r="J699" t="str">
        <f>IF([2]Entry!$C$702="","",[2]Entry!$C$702)</f>
        <v/>
      </c>
      <c r="K699" t="str">
        <f>IF([2]Entry!$D$702="","",[2]Entry!$D$702)</f>
        <v/>
      </c>
      <c r="L699" t="str">
        <f>IF([2]Entry!$E$702="","",[2]Entry!$E$702)</f>
        <v/>
      </c>
      <c r="M699" t="str">
        <f>IF([2]Entry!$G$702="","",[2]Entry!$G$702)</f>
        <v/>
      </c>
      <c r="N699" t="str">
        <f>IF([2]Entry!$M$702="","",[2]Entry!$M$702)</f>
        <v/>
      </c>
      <c r="O699" t="str">
        <f>IF([2]Entry!$N$702="","",[2]Entry!$N$702)</f>
        <v/>
      </c>
      <c r="P699" t="str">
        <f>IF([2]Entry!$R$702="","",[2]Entry!$R$702)</f>
        <v/>
      </c>
    </row>
    <row r="700" spans="10:16" x14ac:dyDescent="0.2">
      <c r="J700" t="str">
        <f>IF([2]Entry!$C$703="","",[2]Entry!$C$703)</f>
        <v/>
      </c>
      <c r="K700" t="str">
        <f>IF([2]Entry!$D$703="","",[2]Entry!$D$703)</f>
        <v/>
      </c>
      <c r="L700" t="str">
        <f>IF([2]Entry!$E$703="","",[2]Entry!$E$703)</f>
        <v/>
      </c>
      <c r="M700" t="str">
        <f>IF([2]Entry!$G$703="","",[2]Entry!$G$703)</f>
        <v/>
      </c>
      <c r="N700" t="str">
        <f>IF([2]Entry!$M$703="","",[2]Entry!$M$703)</f>
        <v/>
      </c>
      <c r="O700" t="str">
        <f>IF([2]Entry!$N$703="","",[2]Entry!$N$703)</f>
        <v/>
      </c>
      <c r="P700" t="str">
        <f>IF([2]Entry!$R$703="","",[2]Entry!$R$703)</f>
        <v/>
      </c>
    </row>
    <row r="701" spans="10:16" x14ac:dyDescent="0.2">
      <c r="J701" t="str">
        <f>IF([2]Entry!$C$704="","",[2]Entry!$C$704)</f>
        <v/>
      </c>
      <c r="K701" t="str">
        <f>IF([2]Entry!$D$704="","",[2]Entry!$D$704)</f>
        <v/>
      </c>
      <c r="L701" t="str">
        <f>IF([2]Entry!$E$704="","",[2]Entry!$E$704)</f>
        <v/>
      </c>
      <c r="M701" t="str">
        <f>IF([2]Entry!$G$704="","",[2]Entry!$G$704)</f>
        <v/>
      </c>
      <c r="N701" t="str">
        <f>IF([2]Entry!$M$704="","",[2]Entry!$M$704)</f>
        <v/>
      </c>
      <c r="O701" t="str">
        <f>IF([2]Entry!$N$704="","",[2]Entry!$N$704)</f>
        <v/>
      </c>
      <c r="P701" t="str">
        <f>IF([2]Entry!$R$704="","",[2]Entry!$R$704)</f>
        <v/>
      </c>
    </row>
    <row r="702" spans="10:16" x14ac:dyDescent="0.2">
      <c r="J702" t="str">
        <f>IF([2]Entry!$C$705="","",[2]Entry!$C$705)</f>
        <v/>
      </c>
      <c r="K702" t="str">
        <f>IF([2]Entry!$D$705="","",[2]Entry!$D$705)</f>
        <v/>
      </c>
      <c r="L702" t="str">
        <f>IF([2]Entry!$E$705="","",[2]Entry!$E$705)</f>
        <v/>
      </c>
      <c r="M702" t="str">
        <f>IF([2]Entry!$G$705="","",[2]Entry!$G$705)</f>
        <v/>
      </c>
      <c r="N702" t="str">
        <f>IF([2]Entry!$M$705="","",[2]Entry!$M$705)</f>
        <v/>
      </c>
      <c r="O702" t="str">
        <f>IF([2]Entry!$N$705="","",[2]Entry!$N$705)</f>
        <v/>
      </c>
      <c r="P702" t="str">
        <f>IF([2]Entry!$R$705="","",[2]Entry!$R$705)</f>
        <v/>
      </c>
    </row>
    <row r="703" spans="10:16" x14ac:dyDescent="0.2">
      <c r="J703" t="str">
        <f>IF([2]Entry!$C$706="","",[2]Entry!$C$706)</f>
        <v/>
      </c>
      <c r="K703" t="str">
        <f>IF([2]Entry!$D$706="","",[2]Entry!$D$706)</f>
        <v/>
      </c>
      <c r="L703" t="str">
        <f>IF([2]Entry!$E$706="","",[2]Entry!$E$706)</f>
        <v/>
      </c>
      <c r="M703" t="str">
        <f>IF([2]Entry!$G$706="","",[2]Entry!$G$706)</f>
        <v/>
      </c>
      <c r="N703" t="str">
        <f>IF([2]Entry!$M$706="","",[2]Entry!$M$706)</f>
        <v/>
      </c>
      <c r="O703" t="str">
        <f>IF([2]Entry!$N$706="","",[2]Entry!$N$706)</f>
        <v/>
      </c>
      <c r="P703" t="str">
        <f>IF([2]Entry!$R$706="","",[2]Entry!$R$706)</f>
        <v/>
      </c>
    </row>
    <row r="704" spans="10:16" x14ac:dyDescent="0.2">
      <c r="J704" t="str">
        <f>IF([2]Entry!$C$707="","",[2]Entry!$C$707)</f>
        <v/>
      </c>
      <c r="K704" t="str">
        <f>IF([2]Entry!$D$707="","",[2]Entry!$D$707)</f>
        <v/>
      </c>
      <c r="L704" t="str">
        <f>IF([2]Entry!$E$707="","",[2]Entry!$E$707)</f>
        <v/>
      </c>
      <c r="M704" t="str">
        <f>IF([2]Entry!$G$707="","",[2]Entry!$G$707)</f>
        <v/>
      </c>
      <c r="N704" t="str">
        <f>IF([2]Entry!$M$707="","",[2]Entry!$M$707)</f>
        <v/>
      </c>
      <c r="O704" t="str">
        <f>IF([2]Entry!$N$707="","",[2]Entry!$N$707)</f>
        <v/>
      </c>
      <c r="P704" t="str">
        <f>IF([2]Entry!$R$707="","",[2]Entry!$R$707)</f>
        <v/>
      </c>
    </row>
    <row r="705" spans="10:16" x14ac:dyDescent="0.2">
      <c r="J705" t="str">
        <f>IF([2]Entry!$C$708="","",[2]Entry!$C$708)</f>
        <v/>
      </c>
      <c r="K705" t="str">
        <f>IF([2]Entry!$D$708="","",[2]Entry!$D$708)</f>
        <v/>
      </c>
      <c r="L705" t="str">
        <f>IF([2]Entry!$E$708="","",[2]Entry!$E$708)</f>
        <v/>
      </c>
      <c r="M705" t="str">
        <f>IF([2]Entry!$G$708="","",[2]Entry!$G$708)</f>
        <v/>
      </c>
      <c r="N705" t="str">
        <f>IF([2]Entry!$M$708="","",[2]Entry!$M$708)</f>
        <v/>
      </c>
      <c r="O705" t="str">
        <f>IF([2]Entry!$N$708="","",[2]Entry!$N$708)</f>
        <v/>
      </c>
      <c r="P705" t="str">
        <f>IF([2]Entry!$R$708="","",[2]Entry!$R$708)</f>
        <v/>
      </c>
    </row>
    <row r="706" spans="10:16" x14ac:dyDescent="0.2">
      <c r="J706" t="str">
        <f>IF([2]Entry!$C$709="","",[2]Entry!$C$709)</f>
        <v/>
      </c>
      <c r="K706" t="str">
        <f>IF([2]Entry!$D$709="","",[2]Entry!$D$709)</f>
        <v/>
      </c>
      <c r="L706" t="str">
        <f>IF([2]Entry!$E$709="","",[2]Entry!$E$709)</f>
        <v/>
      </c>
      <c r="M706" t="str">
        <f>IF([2]Entry!$G$709="","",[2]Entry!$G$709)</f>
        <v/>
      </c>
      <c r="N706" t="str">
        <f>IF([2]Entry!$M$709="","",[2]Entry!$M$709)</f>
        <v/>
      </c>
      <c r="O706" t="str">
        <f>IF([2]Entry!$N$709="","",[2]Entry!$N$709)</f>
        <v/>
      </c>
      <c r="P706" t="str">
        <f>IF([2]Entry!$R$709="","",[2]Entry!$R$709)</f>
        <v/>
      </c>
    </row>
    <row r="707" spans="10:16" x14ac:dyDescent="0.2">
      <c r="J707" t="str">
        <f>IF([2]Entry!$C$710="","",[2]Entry!$C$710)</f>
        <v/>
      </c>
      <c r="K707" t="str">
        <f>IF([2]Entry!$D$710="","",[2]Entry!$D$710)</f>
        <v/>
      </c>
      <c r="L707" t="str">
        <f>IF([2]Entry!$E$710="","",[2]Entry!$E$710)</f>
        <v/>
      </c>
      <c r="M707" t="str">
        <f>IF([2]Entry!$G$710="","",[2]Entry!$G$710)</f>
        <v/>
      </c>
      <c r="N707" t="str">
        <f>IF([2]Entry!$M$710="","",[2]Entry!$M$710)</f>
        <v/>
      </c>
      <c r="O707" t="str">
        <f>IF([2]Entry!$N$710="","",[2]Entry!$N$710)</f>
        <v/>
      </c>
      <c r="P707" t="str">
        <f>IF([2]Entry!$R$710="","",[2]Entry!$R$710)</f>
        <v/>
      </c>
    </row>
    <row r="708" spans="10:16" x14ac:dyDescent="0.2">
      <c r="J708" t="str">
        <f>IF([2]Entry!$C$711="","",[2]Entry!$C$711)</f>
        <v/>
      </c>
      <c r="K708" t="str">
        <f>IF([2]Entry!$D$711="","",[2]Entry!$D$711)</f>
        <v/>
      </c>
      <c r="L708" t="str">
        <f>IF([2]Entry!$E$711="","",[2]Entry!$E$711)</f>
        <v/>
      </c>
      <c r="M708" t="str">
        <f>IF([2]Entry!$G$711="","",[2]Entry!$G$711)</f>
        <v/>
      </c>
      <c r="N708" t="str">
        <f>IF([2]Entry!$M$711="","",[2]Entry!$M$711)</f>
        <v/>
      </c>
      <c r="O708" t="str">
        <f>IF([2]Entry!$N$711="","",[2]Entry!$N$711)</f>
        <v/>
      </c>
      <c r="P708" t="str">
        <f>IF([2]Entry!$R$711="","",[2]Entry!$R$711)</f>
        <v/>
      </c>
    </row>
    <row r="709" spans="10:16" x14ac:dyDescent="0.2">
      <c r="J709" t="str">
        <f>IF([2]Entry!$C$712="","",[2]Entry!$C$712)</f>
        <v/>
      </c>
      <c r="K709" t="str">
        <f>IF([2]Entry!$D$712="","",[2]Entry!$D$712)</f>
        <v/>
      </c>
      <c r="L709" t="str">
        <f>IF([2]Entry!$E$712="","",[2]Entry!$E$712)</f>
        <v/>
      </c>
      <c r="M709" t="str">
        <f>IF([2]Entry!$G$712="","",[2]Entry!$G$712)</f>
        <v/>
      </c>
      <c r="N709" t="str">
        <f>IF([2]Entry!$M$712="","",[2]Entry!$M$712)</f>
        <v/>
      </c>
      <c r="O709" t="str">
        <f>IF([2]Entry!$N$712="","",[2]Entry!$N$712)</f>
        <v/>
      </c>
      <c r="P709" t="str">
        <f>IF([2]Entry!$R$712="","",[2]Entry!$R$712)</f>
        <v/>
      </c>
    </row>
    <row r="710" spans="10:16" x14ac:dyDescent="0.2">
      <c r="J710" t="str">
        <f>IF([2]Entry!$C$713="","",[2]Entry!$C$713)</f>
        <v/>
      </c>
      <c r="K710" t="str">
        <f>IF([2]Entry!$D$713="","",[2]Entry!$D$713)</f>
        <v/>
      </c>
      <c r="L710" t="str">
        <f>IF([2]Entry!$E$713="","",[2]Entry!$E$713)</f>
        <v/>
      </c>
      <c r="M710" t="str">
        <f>IF([2]Entry!$G$713="","",[2]Entry!$G$713)</f>
        <v/>
      </c>
      <c r="N710" t="str">
        <f>IF([2]Entry!$M$713="","",[2]Entry!$M$713)</f>
        <v/>
      </c>
      <c r="O710" t="str">
        <f>IF([2]Entry!$N$713="","",[2]Entry!$N$713)</f>
        <v/>
      </c>
      <c r="P710" t="str">
        <f>IF([2]Entry!$R$713="","",[2]Entry!$R$713)</f>
        <v/>
      </c>
    </row>
    <row r="711" spans="10:16" x14ac:dyDescent="0.2">
      <c r="J711" t="str">
        <f>IF([2]Entry!$C$714="","",[2]Entry!$C$714)</f>
        <v/>
      </c>
      <c r="K711" t="str">
        <f>IF([2]Entry!$D$714="","",[2]Entry!$D$714)</f>
        <v/>
      </c>
      <c r="L711" t="str">
        <f>IF([2]Entry!$E$714="","",[2]Entry!$E$714)</f>
        <v/>
      </c>
      <c r="M711" t="str">
        <f>IF([2]Entry!$G$714="","",[2]Entry!$G$714)</f>
        <v/>
      </c>
      <c r="N711" t="str">
        <f>IF([2]Entry!$M$714="","",[2]Entry!$M$714)</f>
        <v/>
      </c>
      <c r="O711" t="str">
        <f>IF([2]Entry!$N$714="","",[2]Entry!$N$714)</f>
        <v/>
      </c>
      <c r="P711" t="str">
        <f>IF([2]Entry!$R$714="","",[2]Entry!$R$714)</f>
        <v/>
      </c>
    </row>
    <row r="712" spans="10:16" x14ac:dyDescent="0.2">
      <c r="J712" t="str">
        <f>IF([2]Entry!$C$715="","",[2]Entry!$C$715)</f>
        <v/>
      </c>
      <c r="K712" t="str">
        <f>IF([2]Entry!$D$715="","",[2]Entry!$D$715)</f>
        <v/>
      </c>
      <c r="L712" t="str">
        <f>IF([2]Entry!$E$715="","",[2]Entry!$E$715)</f>
        <v/>
      </c>
      <c r="M712" t="str">
        <f>IF([2]Entry!$G$715="","",[2]Entry!$G$715)</f>
        <v/>
      </c>
      <c r="N712" t="str">
        <f>IF([2]Entry!$M$715="","",[2]Entry!$M$715)</f>
        <v/>
      </c>
      <c r="O712" t="str">
        <f>IF([2]Entry!$N$715="","",[2]Entry!$N$715)</f>
        <v/>
      </c>
      <c r="P712" t="str">
        <f>IF([2]Entry!$R$715="","",[2]Entry!$R$715)</f>
        <v/>
      </c>
    </row>
    <row r="713" spans="10:16" x14ac:dyDescent="0.2">
      <c r="J713" t="str">
        <f>IF([2]Entry!$C$716="","",[2]Entry!$C$716)</f>
        <v/>
      </c>
      <c r="K713" t="str">
        <f>IF([2]Entry!$D$716="","",[2]Entry!$D$716)</f>
        <v/>
      </c>
      <c r="L713" t="str">
        <f>IF([2]Entry!$E$716="","",[2]Entry!$E$716)</f>
        <v/>
      </c>
      <c r="M713" t="str">
        <f>IF([2]Entry!$G$716="","",[2]Entry!$G$716)</f>
        <v/>
      </c>
      <c r="N713" t="str">
        <f>IF([2]Entry!$M$716="","",[2]Entry!$M$716)</f>
        <v/>
      </c>
      <c r="O713" t="str">
        <f>IF([2]Entry!$N$716="","",[2]Entry!$N$716)</f>
        <v/>
      </c>
      <c r="P713" t="str">
        <f>IF([2]Entry!$R$716="","",[2]Entry!$R$716)</f>
        <v/>
      </c>
    </row>
    <row r="714" spans="10:16" x14ac:dyDescent="0.2">
      <c r="J714" t="str">
        <f>IF([2]Entry!$C$717="","",[2]Entry!$C$717)</f>
        <v/>
      </c>
      <c r="K714" t="str">
        <f>IF([2]Entry!$D$717="","",[2]Entry!$D$717)</f>
        <v/>
      </c>
      <c r="L714" t="str">
        <f>IF([2]Entry!$E$717="","",[2]Entry!$E$717)</f>
        <v/>
      </c>
      <c r="M714" t="str">
        <f>IF([2]Entry!$G$717="","",[2]Entry!$G$717)</f>
        <v/>
      </c>
      <c r="N714" t="str">
        <f>IF([2]Entry!$M$717="","",[2]Entry!$M$717)</f>
        <v/>
      </c>
      <c r="O714" t="str">
        <f>IF([2]Entry!$N$717="","",[2]Entry!$N$717)</f>
        <v/>
      </c>
      <c r="P714" t="str">
        <f>IF([2]Entry!$R$717="","",[2]Entry!$R$717)</f>
        <v/>
      </c>
    </row>
    <row r="715" spans="10:16" x14ac:dyDescent="0.2">
      <c r="J715" t="str">
        <f>IF([2]Entry!$C$718="","",[2]Entry!$C$718)</f>
        <v/>
      </c>
      <c r="K715" t="str">
        <f>IF([2]Entry!$D$718="","",[2]Entry!$D$718)</f>
        <v/>
      </c>
      <c r="L715" t="str">
        <f>IF([2]Entry!$E$718="","",[2]Entry!$E$718)</f>
        <v/>
      </c>
      <c r="M715" t="str">
        <f>IF([2]Entry!$G$718="","",[2]Entry!$G$718)</f>
        <v/>
      </c>
      <c r="N715" t="str">
        <f>IF([2]Entry!$M$718="","",[2]Entry!$M$718)</f>
        <v/>
      </c>
      <c r="O715" t="str">
        <f>IF([2]Entry!$N$718="","",[2]Entry!$N$718)</f>
        <v/>
      </c>
      <c r="P715" t="str">
        <f>IF([2]Entry!$R$718="","",[2]Entry!$R$718)</f>
        <v/>
      </c>
    </row>
    <row r="716" spans="10:16" x14ac:dyDescent="0.2">
      <c r="J716" t="str">
        <f>IF([2]Entry!$C$719="","",[2]Entry!$C$719)</f>
        <v/>
      </c>
      <c r="K716" t="str">
        <f>IF([2]Entry!$D$719="","",[2]Entry!$D$719)</f>
        <v/>
      </c>
      <c r="L716" t="str">
        <f>IF([2]Entry!$E$719="","",[2]Entry!$E$719)</f>
        <v/>
      </c>
      <c r="M716" t="str">
        <f>IF([2]Entry!$G$719="","",[2]Entry!$G$719)</f>
        <v/>
      </c>
      <c r="N716" t="str">
        <f>IF([2]Entry!$M$719="","",[2]Entry!$M$719)</f>
        <v/>
      </c>
      <c r="O716" t="str">
        <f>IF([2]Entry!$N$719="","",[2]Entry!$N$719)</f>
        <v/>
      </c>
      <c r="P716" t="str">
        <f>IF([2]Entry!$R$719="","",[2]Entry!$R$719)</f>
        <v/>
      </c>
    </row>
    <row r="717" spans="10:16" x14ac:dyDescent="0.2">
      <c r="J717" t="str">
        <f>IF([2]Entry!$C$720="","",[2]Entry!$C$720)</f>
        <v/>
      </c>
      <c r="K717" t="str">
        <f>IF([2]Entry!$D$720="","",[2]Entry!$D$720)</f>
        <v/>
      </c>
      <c r="L717" t="str">
        <f>IF([2]Entry!$E$720="","",[2]Entry!$E$720)</f>
        <v/>
      </c>
      <c r="M717" t="str">
        <f>IF([2]Entry!$G$720="","",[2]Entry!$G$720)</f>
        <v/>
      </c>
      <c r="N717" t="str">
        <f>IF([2]Entry!$M$720="","",[2]Entry!$M$720)</f>
        <v/>
      </c>
      <c r="O717" t="str">
        <f>IF([2]Entry!$N$720="","",[2]Entry!$N$720)</f>
        <v/>
      </c>
      <c r="P717" t="str">
        <f>IF([2]Entry!$R$720="","",[2]Entry!$R$720)</f>
        <v/>
      </c>
    </row>
    <row r="718" spans="10:16" x14ac:dyDescent="0.2">
      <c r="J718" t="str">
        <f>IF([2]Entry!$C$721="","",[2]Entry!$C$721)</f>
        <v/>
      </c>
      <c r="K718" t="str">
        <f>IF([2]Entry!$D$721="","",[2]Entry!$D$721)</f>
        <v/>
      </c>
      <c r="L718" t="str">
        <f>IF([2]Entry!$E$721="","",[2]Entry!$E$721)</f>
        <v/>
      </c>
      <c r="M718" t="str">
        <f>IF([2]Entry!$G$721="","",[2]Entry!$G$721)</f>
        <v/>
      </c>
      <c r="N718" t="str">
        <f>IF([2]Entry!$M$721="","",[2]Entry!$M$721)</f>
        <v/>
      </c>
      <c r="O718" t="str">
        <f>IF([2]Entry!$N$721="","",[2]Entry!$N$721)</f>
        <v/>
      </c>
      <c r="P718" t="str">
        <f>IF([2]Entry!$R$721="","",[2]Entry!$R$721)</f>
        <v/>
      </c>
    </row>
    <row r="719" spans="10:16" x14ac:dyDescent="0.2">
      <c r="J719" t="str">
        <f>IF([2]Entry!$C$722="","",[2]Entry!$C$722)</f>
        <v/>
      </c>
      <c r="K719" t="str">
        <f>IF([2]Entry!$D$722="","",[2]Entry!$D$722)</f>
        <v/>
      </c>
      <c r="L719" t="str">
        <f>IF([2]Entry!$E$722="","",[2]Entry!$E$722)</f>
        <v/>
      </c>
      <c r="M719" t="str">
        <f>IF([2]Entry!$G$722="","",[2]Entry!$G$722)</f>
        <v/>
      </c>
      <c r="N719" t="str">
        <f>IF([2]Entry!$M$722="","",[2]Entry!$M$722)</f>
        <v/>
      </c>
      <c r="O719" t="str">
        <f>IF([2]Entry!$N$722="","",[2]Entry!$N$722)</f>
        <v/>
      </c>
      <c r="P719" t="str">
        <f>IF([2]Entry!$R$722="","",[2]Entry!$R$722)</f>
        <v/>
      </c>
    </row>
    <row r="720" spans="10:16" x14ac:dyDescent="0.2">
      <c r="J720" t="str">
        <f>IF([2]Entry!$C$723="","",[2]Entry!$C$723)</f>
        <v/>
      </c>
      <c r="K720" t="str">
        <f>IF([2]Entry!$D$723="","",[2]Entry!$D$723)</f>
        <v/>
      </c>
      <c r="L720" t="str">
        <f>IF([2]Entry!$E$723="","",[2]Entry!$E$723)</f>
        <v/>
      </c>
      <c r="M720" t="str">
        <f>IF([2]Entry!$G$723="","",[2]Entry!$G$723)</f>
        <v/>
      </c>
      <c r="N720" t="str">
        <f>IF([2]Entry!$M$723="","",[2]Entry!$M$723)</f>
        <v/>
      </c>
      <c r="O720" t="str">
        <f>IF([2]Entry!$N$723="","",[2]Entry!$N$723)</f>
        <v/>
      </c>
      <c r="P720" t="str">
        <f>IF([2]Entry!$R$723="","",[2]Entry!$R$723)</f>
        <v/>
      </c>
    </row>
    <row r="721" spans="10:16" x14ac:dyDescent="0.2">
      <c r="J721" t="str">
        <f>IF([2]Entry!$C$724="","",[2]Entry!$C$724)</f>
        <v/>
      </c>
      <c r="K721" t="str">
        <f>IF([2]Entry!$D$724="","",[2]Entry!$D$724)</f>
        <v/>
      </c>
      <c r="L721" t="str">
        <f>IF([2]Entry!$E$724="","",[2]Entry!$E$724)</f>
        <v/>
      </c>
      <c r="M721" t="str">
        <f>IF([2]Entry!$G$724="","",[2]Entry!$G$724)</f>
        <v/>
      </c>
      <c r="N721" t="str">
        <f>IF([2]Entry!$M$724="","",[2]Entry!$M$724)</f>
        <v/>
      </c>
      <c r="O721" t="str">
        <f>IF([2]Entry!$N$724="","",[2]Entry!$N$724)</f>
        <v/>
      </c>
      <c r="P721" t="str">
        <f>IF([2]Entry!$R$724="","",[2]Entry!$R$724)</f>
        <v/>
      </c>
    </row>
    <row r="722" spans="10:16" x14ac:dyDescent="0.2">
      <c r="J722" t="str">
        <f>IF([2]Entry!$C$725="","",[2]Entry!$C$725)</f>
        <v/>
      </c>
      <c r="K722" t="str">
        <f>IF([2]Entry!$D$725="","",[2]Entry!$D$725)</f>
        <v/>
      </c>
      <c r="L722" t="str">
        <f>IF([2]Entry!$E$725="","",[2]Entry!$E$725)</f>
        <v/>
      </c>
      <c r="M722" t="str">
        <f>IF([2]Entry!$G$725="","",[2]Entry!$G$725)</f>
        <v/>
      </c>
      <c r="N722" t="str">
        <f>IF([2]Entry!$M$725="","",[2]Entry!$M$725)</f>
        <v/>
      </c>
      <c r="O722" t="str">
        <f>IF([2]Entry!$N$725="","",[2]Entry!$N$725)</f>
        <v/>
      </c>
      <c r="P722" t="str">
        <f>IF([2]Entry!$R$725="","",[2]Entry!$R$725)</f>
        <v/>
      </c>
    </row>
    <row r="723" spans="10:16" x14ac:dyDescent="0.2">
      <c r="J723" t="str">
        <f>IF([2]Entry!$C$726="","",[2]Entry!$C$726)</f>
        <v/>
      </c>
      <c r="K723" t="str">
        <f>IF([2]Entry!$D$726="","",[2]Entry!$D$726)</f>
        <v/>
      </c>
      <c r="L723" t="str">
        <f>IF([2]Entry!$E$726="","",[2]Entry!$E$726)</f>
        <v/>
      </c>
      <c r="M723" t="str">
        <f>IF([2]Entry!$G$726="","",[2]Entry!$G$726)</f>
        <v/>
      </c>
      <c r="N723" t="str">
        <f>IF([2]Entry!$M$726="","",[2]Entry!$M$726)</f>
        <v/>
      </c>
      <c r="O723" t="str">
        <f>IF([2]Entry!$N$726="","",[2]Entry!$N$726)</f>
        <v/>
      </c>
      <c r="P723" t="str">
        <f>IF([2]Entry!$R$726="","",[2]Entry!$R$726)</f>
        <v/>
      </c>
    </row>
    <row r="724" spans="10:16" x14ac:dyDescent="0.2">
      <c r="J724" t="str">
        <f>IF([2]Entry!$C$727="","",[2]Entry!$C$727)</f>
        <v/>
      </c>
      <c r="K724" t="str">
        <f>IF([2]Entry!$D$727="","",[2]Entry!$D$727)</f>
        <v/>
      </c>
      <c r="L724" t="str">
        <f>IF([2]Entry!$E$727="","",[2]Entry!$E$727)</f>
        <v/>
      </c>
      <c r="M724" t="str">
        <f>IF([2]Entry!$G$727="","",[2]Entry!$G$727)</f>
        <v/>
      </c>
      <c r="N724" t="str">
        <f>IF([2]Entry!$M$727="","",[2]Entry!$M$727)</f>
        <v/>
      </c>
      <c r="O724" t="str">
        <f>IF([2]Entry!$N$727="","",[2]Entry!$N$727)</f>
        <v/>
      </c>
      <c r="P724" t="str">
        <f>IF([2]Entry!$R$727="","",[2]Entry!$R$727)</f>
        <v/>
      </c>
    </row>
    <row r="725" spans="10:16" x14ac:dyDescent="0.2">
      <c r="J725" t="str">
        <f>IF([2]Entry!$C$728="","",[2]Entry!$C$728)</f>
        <v/>
      </c>
      <c r="K725" t="str">
        <f>IF([2]Entry!$D$728="","",[2]Entry!$D$728)</f>
        <v/>
      </c>
      <c r="L725" t="str">
        <f>IF([2]Entry!$E$728="","",[2]Entry!$E$728)</f>
        <v/>
      </c>
      <c r="M725" t="str">
        <f>IF([2]Entry!$G$728="","",[2]Entry!$G$728)</f>
        <v/>
      </c>
      <c r="N725" t="str">
        <f>IF([2]Entry!$M$728="","",[2]Entry!$M$728)</f>
        <v/>
      </c>
      <c r="O725" t="str">
        <f>IF([2]Entry!$N$728="","",[2]Entry!$N$728)</f>
        <v/>
      </c>
      <c r="P725" t="str">
        <f>IF([2]Entry!$R$728="","",[2]Entry!$R$728)</f>
        <v/>
      </c>
    </row>
    <row r="726" spans="10:16" x14ac:dyDescent="0.2">
      <c r="J726" t="str">
        <f>IF([2]Entry!$C$729="","",[2]Entry!$C$729)</f>
        <v/>
      </c>
      <c r="K726" t="str">
        <f>IF([2]Entry!$D$729="","",[2]Entry!$D$729)</f>
        <v/>
      </c>
      <c r="L726" t="str">
        <f>IF([2]Entry!$E$729="","",[2]Entry!$E$729)</f>
        <v/>
      </c>
      <c r="M726" t="str">
        <f>IF([2]Entry!$G$729="","",[2]Entry!$G$729)</f>
        <v/>
      </c>
      <c r="N726" t="str">
        <f>IF([2]Entry!$M$729="","",[2]Entry!$M$729)</f>
        <v/>
      </c>
      <c r="O726" t="str">
        <f>IF([2]Entry!$N$729="","",[2]Entry!$N$729)</f>
        <v/>
      </c>
      <c r="P726" t="str">
        <f>IF([2]Entry!$R$729="","",[2]Entry!$R$729)</f>
        <v/>
      </c>
    </row>
    <row r="727" spans="10:16" x14ac:dyDescent="0.2">
      <c r="J727" t="str">
        <f>IF([2]Entry!$C$730="","",[2]Entry!$C$730)</f>
        <v/>
      </c>
      <c r="K727" t="str">
        <f>IF([2]Entry!$D$730="","",[2]Entry!$D$730)</f>
        <v/>
      </c>
      <c r="L727" t="str">
        <f>IF([2]Entry!$E$730="","",[2]Entry!$E$730)</f>
        <v/>
      </c>
      <c r="M727" t="str">
        <f>IF([2]Entry!$G$730="","",[2]Entry!$G$730)</f>
        <v/>
      </c>
      <c r="N727" t="str">
        <f>IF([2]Entry!$M$730="","",[2]Entry!$M$730)</f>
        <v/>
      </c>
      <c r="O727" t="str">
        <f>IF([2]Entry!$N$730="","",[2]Entry!$N$730)</f>
        <v/>
      </c>
      <c r="P727" t="str">
        <f>IF([2]Entry!$R$730="","",[2]Entry!$R$730)</f>
        <v/>
      </c>
    </row>
    <row r="728" spans="10:16" x14ac:dyDescent="0.2">
      <c r="J728" t="str">
        <f>IF([2]Entry!$C$731="","",[2]Entry!$C$731)</f>
        <v/>
      </c>
      <c r="K728" t="str">
        <f>IF([2]Entry!$D$731="","",[2]Entry!$D$731)</f>
        <v/>
      </c>
      <c r="L728" t="str">
        <f>IF([2]Entry!$E$731="","",[2]Entry!$E$731)</f>
        <v/>
      </c>
      <c r="M728" t="str">
        <f>IF([2]Entry!$G$731="","",[2]Entry!$G$731)</f>
        <v/>
      </c>
      <c r="N728" t="str">
        <f>IF([2]Entry!$M$731="","",[2]Entry!$M$731)</f>
        <v/>
      </c>
      <c r="O728" t="str">
        <f>IF([2]Entry!$N$731="","",[2]Entry!$N$731)</f>
        <v/>
      </c>
      <c r="P728" t="str">
        <f>IF([2]Entry!$R$731="","",[2]Entry!$R$731)</f>
        <v/>
      </c>
    </row>
    <row r="729" spans="10:16" x14ac:dyDescent="0.2">
      <c r="J729" t="str">
        <f>IF([2]Entry!$C$732="","",[2]Entry!$C$732)</f>
        <v/>
      </c>
      <c r="K729" t="str">
        <f>IF([2]Entry!$D$732="","",[2]Entry!$D$732)</f>
        <v/>
      </c>
      <c r="L729" t="str">
        <f>IF([2]Entry!$E$732="","",[2]Entry!$E$732)</f>
        <v/>
      </c>
      <c r="M729" t="str">
        <f>IF([2]Entry!$G$732="","",[2]Entry!$G$732)</f>
        <v/>
      </c>
      <c r="N729" t="str">
        <f>IF([2]Entry!$M$732="","",[2]Entry!$M$732)</f>
        <v/>
      </c>
      <c r="O729" t="str">
        <f>IF([2]Entry!$N$732="","",[2]Entry!$N$732)</f>
        <v/>
      </c>
      <c r="P729" t="str">
        <f>IF([2]Entry!$R$732="","",[2]Entry!$R$732)</f>
        <v/>
      </c>
    </row>
    <row r="730" spans="10:16" x14ac:dyDescent="0.2">
      <c r="J730" t="str">
        <f>IF([2]Entry!$C$733="","",[2]Entry!$C$733)</f>
        <v/>
      </c>
      <c r="K730" t="str">
        <f>IF([2]Entry!$D$733="","",[2]Entry!$D$733)</f>
        <v/>
      </c>
      <c r="L730" t="str">
        <f>IF([2]Entry!$E$733="","",[2]Entry!$E$733)</f>
        <v/>
      </c>
      <c r="M730" t="str">
        <f>IF([2]Entry!$G$733="","",[2]Entry!$G$733)</f>
        <v/>
      </c>
      <c r="N730" t="str">
        <f>IF([2]Entry!$M$733="","",[2]Entry!$M$733)</f>
        <v/>
      </c>
      <c r="O730" t="str">
        <f>IF([2]Entry!$N$733="","",[2]Entry!$N$733)</f>
        <v/>
      </c>
      <c r="P730" t="str">
        <f>IF([2]Entry!$R$733="","",[2]Entry!$R$733)</f>
        <v/>
      </c>
    </row>
    <row r="731" spans="10:16" x14ac:dyDescent="0.2">
      <c r="J731" t="str">
        <f>IF([2]Entry!$C$734="","",[2]Entry!$C$734)</f>
        <v/>
      </c>
      <c r="K731" t="str">
        <f>IF([2]Entry!$D$734="","",[2]Entry!$D$734)</f>
        <v/>
      </c>
      <c r="L731" t="str">
        <f>IF([2]Entry!$E$734="","",[2]Entry!$E$734)</f>
        <v/>
      </c>
      <c r="M731" t="str">
        <f>IF([2]Entry!$G$734="","",[2]Entry!$G$734)</f>
        <v/>
      </c>
      <c r="N731" t="str">
        <f>IF([2]Entry!$M$734="","",[2]Entry!$M$734)</f>
        <v/>
      </c>
      <c r="O731" t="str">
        <f>IF([2]Entry!$N$734="","",[2]Entry!$N$734)</f>
        <v/>
      </c>
      <c r="P731" t="str">
        <f>IF([2]Entry!$R$734="","",[2]Entry!$R$734)</f>
        <v/>
      </c>
    </row>
    <row r="732" spans="10:16" x14ac:dyDescent="0.2">
      <c r="J732" t="str">
        <f>IF([2]Entry!$C$735="","",[2]Entry!$C$735)</f>
        <v/>
      </c>
      <c r="K732" t="str">
        <f>IF([2]Entry!$D$735="","",[2]Entry!$D$735)</f>
        <v/>
      </c>
      <c r="L732" t="str">
        <f>IF([2]Entry!$E$735="","",[2]Entry!$E$735)</f>
        <v/>
      </c>
      <c r="M732" t="str">
        <f>IF([2]Entry!$G$735="","",[2]Entry!$G$735)</f>
        <v/>
      </c>
      <c r="N732" t="str">
        <f>IF([2]Entry!$M$735="","",[2]Entry!$M$735)</f>
        <v/>
      </c>
      <c r="O732" t="str">
        <f>IF([2]Entry!$N$735="","",[2]Entry!$N$735)</f>
        <v/>
      </c>
      <c r="P732" t="str">
        <f>IF([2]Entry!$R$735="","",[2]Entry!$R$735)</f>
        <v/>
      </c>
    </row>
    <row r="733" spans="10:16" x14ac:dyDescent="0.2">
      <c r="J733" t="str">
        <f>IF([2]Entry!$C$736="","",[2]Entry!$C$736)</f>
        <v/>
      </c>
      <c r="K733" t="str">
        <f>IF([2]Entry!$D$736="","",[2]Entry!$D$736)</f>
        <v/>
      </c>
      <c r="L733" t="str">
        <f>IF([2]Entry!$E$736="","",[2]Entry!$E$736)</f>
        <v/>
      </c>
      <c r="M733" t="str">
        <f>IF([2]Entry!$G$736="","",[2]Entry!$G$736)</f>
        <v/>
      </c>
      <c r="N733" t="str">
        <f>IF([2]Entry!$M$736="","",[2]Entry!$M$736)</f>
        <v/>
      </c>
      <c r="O733" t="str">
        <f>IF([2]Entry!$N$736="","",[2]Entry!$N$736)</f>
        <v/>
      </c>
      <c r="P733" t="str">
        <f>IF([2]Entry!$R$736="","",[2]Entry!$R$736)</f>
        <v/>
      </c>
    </row>
    <row r="734" spans="10:16" x14ac:dyDescent="0.2">
      <c r="J734" t="str">
        <f>IF([2]Entry!$C$737="","",[2]Entry!$C$737)</f>
        <v/>
      </c>
      <c r="K734" t="str">
        <f>IF([2]Entry!$D$737="","",[2]Entry!$D$737)</f>
        <v/>
      </c>
      <c r="L734" t="str">
        <f>IF([2]Entry!$E$737="","",[2]Entry!$E$737)</f>
        <v/>
      </c>
      <c r="M734" t="str">
        <f>IF([2]Entry!$G$737="","",[2]Entry!$G$737)</f>
        <v/>
      </c>
      <c r="N734" t="str">
        <f>IF([2]Entry!$M$737="","",[2]Entry!$M$737)</f>
        <v/>
      </c>
      <c r="O734" t="str">
        <f>IF([2]Entry!$N$737="","",[2]Entry!$N$737)</f>
        <v/>
      </c>
      <c r="P734" t="str">
        <f>IF([2]Entry!$R$737="","",[2]Entry!$R$737)</f>
        <v/>
      </c>
    </row>
    <row r="735" spans="10:16" x14ac:dyDescent="0.2">
      <c r="J735" t="str">
        <f>IF([2]Entry!$C$738="","",[2]Entry!$C$738)</f>
        <v/>
      </c>
      <c r="K735" t="str">
        <f>IF([2]Entry!$D$738="","",[2]Entry!$D$738)</f>
        <v/>
      </c>
      <c r="L735" t="str">
        <f>IF([2]Entry!$E$738="","",[2]Entry!$E$738)</f>
        <v/>
      </c>
      <c r="M735" t="str">
        <f>IF([2]Entry!$G$738="","",[2]Entry!$G$738)</f>
        <v/>
      </c>
      <c r="N735" t="str">
        <f>IF([2]Entry!$M$738="","",[2]Entry!$M$738)</f>
        <v/>
      </c>
      <c r="O735" t="str">
        <f>IF([2]Entry!$N$738="","",[2]Entry!$N$738)</f>
        <v/>
      </c>
      <c r="P735" t="str">
        <f>IF([2]Entry!$R$738="","",[2]Entry!$R$738)</f>
        <v/>
      </c>
    </row>
    <row r="736" spans="10:16" x14ac:dyDescent="0.2">
      <c r="J736" t="str">
        <f>IF([2]Entry!$C$739="","",[2]Entry!$C$739)</f>
        <v/>
      </c>
      <c r="K736" t="str">
        <f>IF([2]Entry!$D$739="","",[2]Entry!$D$739)</f>
        <v/>
      </c>
      <c r="L736" t="str">
        <f>IF([2]Entry!$E$739="","",[2]Entry!$E$739)</f>
        <v/>
      </c>
      <c r="M736" t="str">
        <f>IF([2]Entry!$G$739="","",[2]Entry!$G$739)</f>
        <v/>
      </c>
      <c r="N736" t="str">
        <f>IF([2]Entry!$M$739="","",[2]Entry!$M$739)</f>
        <v/>
      </c>
      <c r="O736" t="str">
        <f>IF([2]Entry!$N$739="","",[2]Entry!$N$739)</f>
        <v/>
      </c>
      <c r="P736" t="str">
        <f>IF([2]Entry!$R$739="","",[2]Entry!$R$739)</f>
        <v/>
      </c>
    </row>
    <row r="737" spans="10:16" x14ac:dyDescent="0.2">
      <c r="J737" t="str">
        <f>IF([2]Entry!$C$740="","",[2]Entry!$C$740)</f>
        <v/>
      </c>
      <c r="K737" t="str">
        <f>IF([2]Entry!$D$740="","",[2]Entry!$D$740)</f>
        <v/>
      </c>
      <c r="L737" t="str">
        <f>IF([2]Entry!$E$740="","",[2]Entry!$E$740)</f>
        <v/>
      </c>
      <c r="M737" t="str">
        <f>IF([2]Entry!$G$740="","",[2]Entry!$G$740)</f>
        <v/>
      </c>
      <c r="N737" t="str">
        <f>IF([2]Entry!$M$740="","",[2]Entry!$M$740)</f>
        <v/>
      </c>
      <c r="O737" t="str">
        <f>IF([2]Entry!$N$740="","",[2]Entry!$N$740)</f>
        <v/>
      </c>
      <c r="P737" t="str">
        <f>IF([2]Entry!$R$740="","",[2]Entry!$R$740)</f>
        <v/>
      </c>
    </row>
    <row r="738" spans="10:16" x14ac:dyDescent="0.2">
      <c r="J738" t="str">
        <f>IF([2]Entry!$C$741="","",[2]Entry!$C$741)</f>
        <v/>
      </c>
      <c r="K738" t="str">
        <f>IF([2]Entry!$D$741="","",[2]Entry!$D$741)</f>
        <v/>
      </c>
      <c r="L738" t="str">
        <f>IF([2]Entry!$E$741="","",[2]Entry!$E$741)</f>
        <v/>
      </c>
      <c r="M738" t="str">
        <f>IF([2]Entry!$G$741="","",[2]Entry!$G$741)</f>
        <v/>
      </c>
      <c r="N738" t="str">
        <f>IF([2]Entry!$M$741="","",[2]Entry!$M$741)</f>
        <v/>
      </c>
      <c r="O738" t="str">
        <f>IF([2]Entry!$N$741="","",[2]Entry!$N$741)</f>
        <v/>
      </c>
      <c r="P738" t="str">
        <f>IF([2]Entry!$R$741="","",[2]Entry!$R$741)</f>
        <v/>
      </c>
    </row>
    <row r="739" spans="10:16" x14ac:dyDescent="0.2">
      <c r="J739" t="str">
        <f>IF([2]Entry!$C$742="","",[2]Entry!$C$742)</f>
        <v/>
      </c>
      <c r="K739" t="str">
        <f>IF([2]Entry!$D$742="","",[2]Entry!$D$742)</f>
        <v/>
      </c>
      <c r="L739" t="str">
        <f>IF([2]Entry!$E$742="","",[2]Entry!$E$742)</f>
        <v/>
      </c>
      <c r="M739" t="str">
        <f>IF([2]Entry!$G$742="","",[2]Entry!$G$742)</f>
        <v/>
      </c>
      <c r="N739" t="str">
        <f>IF([2]Entry!$M$742="","",[2]Entry!$M$742)</f>
        <v/>
      </c>
      <c r="O739" t="str">
        <f>IF([2]Entry!$N$742="","",[2]Entry!$N$742)</f>
        <v/>
      </c>
      <c r="P739" t="str">
        <f>IF([2]Entry!$R$742="","",[2]Entry!$R$742)</f>
        <v/>
      </c>
    </row>
    <row r="740" spans="10:16" x14ac:dyDescent="0.2">
      <c r="J740" t="str">
        <f>IF([2]Entry!$C$743="","",[2]Entry!$C$743)</f>
        <v/>
      </c>
      <c r="K740" t="str">
        <f>IF([2]Entry!$D$743="","",[2]Entry!$D$743)</f>
        <v/>
      </c>
      <c r="L740" t="str">
        <f>IF([2]Entry!$E$743="","",[2]Entry!$E$743)</f>
        <v/>
      </c>
      <c r="M740" t="str">
        <f>IF([2]Entry!$G$743="","",[2]Entry!$G$743)</f>
        <v/>
      </c>
      <c r="N740" t="str">
        <f>IF([2]Entry!$M$743="","",[2]Entry!$M$743)</f>
        <v/>
      </c>
      <c r="O740" t="str">
        <f>IF([2]Entry!$N$743="","",[2]Entry!$N$743)</f>
        <v/>
      </c>
      <c r="P740" t="str">
        <f>IF([2]Entry!$R$743="","",[2]Entry!$R$743)</f>
        <v/>
      </c>
    </row>
    <row r="741" spans="10:16" x14ac:dyDescent="0.2">
      <c r="J741" t="str">
        <f>IF([2]Entry!$C$744="","",[2]Entry!$C$744)</f>
        <v/>
      </c>
      <c r="K741" t="str">
        <f>IF([2]Entry!$D$744="","",[2]Entry!$D$744)</f>
        <v/>
      </c>
      <c r="L741" t="str">
        <f>IF([2]Entry!$E$744="","",[2]Entry!$E$744)</f>
        <v/>
      </c>
      <c r="M741" t="str">
        <f>IF([2]Entry!$G$744="","",[2]Entry!$G$744)</f>
        <v/>
      </c>
      <c r="N741" t="str">
        <f>IF([2]Entry!$M$744="","",[2]Entry!$M$744)</f>
        <v/>
      </c>
      <c r="O741" t="str">
        <f>IF([2]Entry!$N$744="","",[2]Entry!$N$744)</f>
        <v/>
      </c>
      <c r="P741" t="str">
        <f>IF([2]Entry!$R$744="","",[2]Entry!$R$744)</f>
        <v/>
      </c>
    </row>
    <row r="742" spans="10:16" x14ac:dyDescent="0.2">
      <c r="J742" t="str">
        <f>IF([2]Entry!$C$745="","",[2]Entry!$C$745)</f>
        <v/>
      </c>
      <c r="K742" t="str">
        <f>IF([2]Entry!$D$745="","",[2]Entry!$D$745)</f>
        <v/>
      </c>
      <c r="L742" t="str">
        <f>IF([2]Entry!$E$745="","",[2]Entry!$E$745)</f>
        <v/>
      </c>
      <c r="M742" t="str">
        <f>IF([2]Entry!$G$745="","",[2]Entry!$G$745)</f>
        <v/>
      </c>
      <c r="N742" t="str">
        <f>IF([2]Entry!$M$745="","",[2]Entry!$M$745)</f>
        <v/>
      </c>
      <c r="O742" t="str">
        <f>IF([2]Entry!$N$745="","",[2]Entry!$N$745)</f>
        <v/>
      </c>
      <c r="P742" t="str">
        <f>IF([2]Entry!$R$745="","",[2]Entry!$R$745)</f>
        <v/>
      </c>
    </row>
    <row r="743" spans="10:16" x14ac:dyDescent="0.2">
      <c r="J743" t="str">
        <f>IF([2]Entry!$C$746="","",[2]Entry!$C$746)</f>
        <v/>
      </c>
      <c r="K743" t="str">
        <f>IF([2]Entry!$D$746="","",[2]Entry!$D$746)</f>
        <v/>
      </c>
      <c r="L743" t="str">
        <f>IF([2]Entry!$E$746="","",[2]Entry!$E$746)</f>
        <v/>
      </c>
      <c r="M743" t="str">
        <f>IF([2]Entry!$G$746="","",[2]Entry!$G$746)</f>
        <v/>
      </c>
      <c r="N743" t="str">
        <f>IF([2]Entry!$M$746="","",[2]Entry!$M$746)</f>
        <v/>
      </c>
      <c r="O743" t="str">
        <f>IF([2]Entry!$N$746="","",[2]Entry!$N$746)</f>
        <v/>
      </c>
      <c r="P743" t="str">
        <f>IF([2]Entry!$R$746="","",[2]Entry!$R$746)</f>
        <v/>
      </c>
    </row>
    <row r="744" spans="10:16" x14ac:dyDescent="0.2">
      <c r="J744" t="str">
        <f>IF([2]Entry!$C$747="","",[2]Entry!$C$747)</f>
        <v/>
      </c>
      <c r="K744" t="str">
        <f>IF([2]Entry!$D$747="","",[2]Entry!$D$747)</f>
        <v/>
      </c>
      <c r="L744" t="str">
        <f>IF([2]Entry!$E$747="","",[2]Entry!$E$747)</f>
        <v/>
      </c>
      <c r="M744" t="str">
        <f>IF([2]Entry!$G$747="","",[2]Entry!$G$747)</f>
        <v/>
      </c>
      <c r="N744" t="str">
        <f>IF([2]Entry!$M$747="","",[2]Entry!$M$747)</f>
        <v/>
      </c>
      <c r="O744" t="str">
        <f>IF([2]Entry!$N$747="","",[2]Entry!$N$747)</f>
        <v/>
      </c>
      <c r="P744" t="str">
        <f>IF([2]Entry!$R$747="","",[2]Entry!$R$747)</f>
        <v/>
      </c>
    </row>
    <row r="745" spans="10:16" x14ac:dyDescent="0.2">
      <c r="J745" t="str">
        <f>IF([2]Entry!$C$748="","",[2]Entry!$C$748)</f>
        <v/>
      </c>
      <c r="K745" t="str">
        <f>IF([2]Entry!$D$748="","",[2]Entry!$D$748)</f>
        <v/>
      </c>
      <c r="L745" t="str">
        <f>IF([2]Entry!$E$748="","",[2]Entry!$E$748)</f>
        <v/>
      </c>
      <c r="M745" t="str">
        <f>IF([2]Entry!$G$748="","",[2]Entry!$G$748)</f>
        <v/>
      </c>
      <c r="N745" t="str">
        <f>IF([2]Entry!$M$748="","",[2]Entry!$M$748)</f>
        <v/>
      </c>
      <c r="O745" t="str">
        <f>IF([2]Entry!$N$748="","",[2]Entry!$N$748)</f>
        <v/>
      </c>
      <c r="P745" t="str">
        <f>IF([2]Entry!$R$748="","",[2]Entry!$R$748)</f>
        <v/>
      </c>
    </row>
    <row r="746" spans="10:16" x14ac:dyDescent="0.2">
      <c r="J746" t="str">
        <f>IF([2]Entry!$C$749="","",[2]Entry!$C$749)</f>
        <v/>
      </c>
      <c r="K746" t="str">
        <f>IF([2]Entry!$D$749="","",[2]Entry!$D$749)</f>
        <v/>
      </c>
      <c r="L746" t="str">
        <f>IF([2]Entry!$E$749="","",[2]Entry!$E$749)</f>
        <v/>
      </c>
      <c r="M746" t="str">
        <f>IF([2]Entry!$G$749="","",[2]Entry!$G$749)</f>
        <v/>
      </c>
      <c r="N746" t="str">
        <f>IF([2]Entry!$M$749="","",[2]Entry!$M$749)</f>
        <v/>
      </c>
      <c r="O746" t="str">
        <f>IF([2]Entry!$N$749="","",[2]Entry!$N$749)</f>
        <v/>
      </c>
      <c r="P746" t="str">
        <f>IF([2]Entry!$R$749="","",[2]Entry!$R$749)</f>
        <v/>
      </c>
    </row>
    <row r="747" spans="10:16" x14ac:dyDescent="0.2">
      <c r="J747" t="str">
        <f>IF([2]Entry!$C$750="","",[2]Entry!$C$750)</f>
        <v/>
      </c>
      <c r="K747" t="str">
        <f>IF([2]Entry!$D$750="","",[2]Entry!$D$750)</f>
        <v/>
      </c>
      <c r="L747" t="str">
        <f>IF([2]Entry!$E$750="","",[2]Entry!$E$750)</f>
        <v/>
      </c>
      <c r="M747" t="str">
        <f>IF([2]Entry!$G$750="","",[2]Entry!$G$750)</f>
        <v/>
      </c>
      <c r="N747" t="str">
        <f>IF([2]Entry!$M$750="","",[2]Entry!$M$750)</f>
        <v/>
      </c>
      <c r="O747" t="str">
        <f>IF([2]Entry!$N$750="","",[2]Entry!$N$750)</f>
        <v/>
      </c>
      <c r="P747" t="str">
        <f>IF([2]Entry!$R$750="","",[2]Entry!$R$750)</f>
        <v/>
      </c>
    </row>
    <row r="748" spans="10:16" x14ac:dyDescent="0.2">
      <c r="J748" t="str">
        <f>IF([2]Entry!$C$751="","",[2]Entry!$C$751)</f>
        <v/>
      </c>
      <c r="K748" t="str">
        <f>IF([2]Entry!$D$751="","",[2]Entry!$D$751)</f>
        <v/>
      </c>
      <c r="L748" t="str">
        <f>IF([2]Entry!$E$751="","",[2]Entry!$E$751)</f>
        <v/>
      </c>
      <c r="M748" t="str">
        <f>IF([2]Entry!$G$751="","",[2]Entry!$G$751)</f>
        <v/>
      </c>
      <c r="N748" t="str">
        <f>IF([2]Entry!$M$751="","",[2]Entry!$M$751)</f>
        <v/>
      </c>
      <c r="O748" t="str">
        <f>IF([2]Entry!$N$751="","",[2]Entry!$N$751)</f>
        <v/>
      </c>
      <c r="P748" t="str">
        <f>IF([2]Entry!$R$751="","",[2]Entry!$R$751)</f>
        <v/>
      </c>
    </row>
    <row r="749" spans="10:16" x14ac:dyDescent="0.2">
      <c r="J749" t="str">
        <f>IF([2]Entry!$C$752="","",[2]Entry!$C$752)</f>
        <v/>
      </c>
      <c r="K749" t="str">
        <f>IF([2]Entry!$D$752="","",[2]Entry!$D$752)</f>
        <v/>
      </c>
      <c r="L749" t="str">
        <f>IF([2]Entry!$E$752="","",[2]Entry!$E$752)</f>
        <v/>
      </c>
      <c r="M749" t="str">
        <f>IF([2]Entry!$G$752="","",[2]Entry!$G$752)</f>
        <v/>
      </c>
      <c r="N749" t="str">
        <f>IF([2]Entry!$M$752="","",[2]Entry!$M$752)</f>
        <v/>
      </c>
      <c r="O749" t="str">
        <f>IF([2]Entry!$N$752="","",[2]Entry!$N$752)</f>
        <v/>
      </c>
      <c r="P749" t="str">
        <f>IF([2]Entry!$R$752="","",[2]Entry!$R$752)</f>
        <v/>
      </c>
    </row>
    <row r="750" spans="10:16" x14ac:dyDescent="0.2">
      <c r="J750" t="str">
        <f>IF([2]Entry!$C$753="","",[2]Entry!$C$753)</f>
        <v/>
      </c>
      <c r="K750" t="str">
        <f>IF([2]Entry!$D$753="","",[2]Entry!$D$753)</f>
        <v/>
      </c>
      <c r="L750" t="str">
        <f>IF([2]Entry!$E$753="","",[2]Entry!$E$753)</f>
        <v/>
      </c>
      <c r="M750" t="str">
        <f>IF([2]Entry!$G$753="","",[2]Entry!$G$753)</f>
        <v/>
      </c>
      <c r="N750" t="str">
        <f>IF([2]Entry!$M$753="","",[2]Entry!$M$753)</f>
        <v/>
      </c>
      <c r="O750" t="str">
        <f>IF([2]Entry!$N$753="","",[2]Entry!$N$753)</f>
        <v/>
      </c>
      <c r="P750" t="str">
        <f>IF([2]Entry!$R$753="","",[2]Entry!$R$753)</f>
        <v/>
      </c>
    </row>
    <row r="751" spans="10:16" x14ac:dyDescent="0.2">
      <c r="J751" t="str">
        <f>IF([2]Entry!$C$754="","",[2]Entry!$C$754)</f>
        <v/>
      </c>
      <c r="K751" t="str">
        <f>IF([2]Entry!$D$754="","",[2]Entry!$D$754)</f>
        <v/>
      </c>
      <c r="L751" t="str">
        <f>IF([2]Entry!$E$754="","",[2]Entry!$E$754)</f>
        <v/>
      </c>
      <c r="M751" t="str">
        <f>IF([2]Entry!$G$754="","",[2]Entry!$G$754)</f>
        <v/>
      </c>
      <c r="N751" t="str">
        <f>IF([2]Entry!$M$754="","",[2]Entry!$M$754)</f>
        <v/>
      </c>
      <c r="O751" t="str">
        <f>IF([2]Entry!$N$754="","",[2]Entry!$N$754)</f>
        <v/>
      </c>
      <c r="P751" t="str">
        <f>IF([2]Entry!$R$754="","",[2]Entry!$R$754)</f>
        <v/>
      </c>
    </row>
    <row r="752" spans="10:16" x14ac:dyDescent="0.2">
      <c r="J752" t="str">
        <f>IF([2]Entry!$C$755="","",[2]Entry!$C$755)</f>
        <v/>
      </c>
      <c r="K752" t="str">
        <f>IF([2]Entry!$D$755="","",[2]Entry!$D$755)</f>
        <v/>
      </c>
      <c r="L752" t="str">
        <f>IF([2]Entry!$E$755="","",[2]Entry!$E$755)</f>
        <v/>
      </c>
      <c r="M752" t="str">
        <f>IF([2]Entry!$G$755="","",[2]Entry!$G$755)</f>
        <v/>
      </c>
      <c r="N752" t="str">
        <f>IF([2]Entry!$M$755="","",[2]Entry!$M$755)</f>
        <v/>
      </c>
      <c r="O752" t="str">
        <f>IF([2]Entry!$N$755="","",[2]Entry!$N$755)</f>
        <v/>
      </c>
      <c r="P752" t="str">
        <f>IF([2]Entry!$R$755="","",[2]Entry!$R$755)</f>
        <v/>
      </c>
    </row>
    <row r="753" spans="10:16" x14ac:dyDescent="0.2">
      <c r="J753" t="str">
        <f>IF([2]Entry!$C$756="","",[2]Entry!$C$756)</f>
        <v/>
      </c>
      <c r="K753" t="str">
        <f>IF([2]Entry!$D$756="","",[2]Entry!$D$756)</f>
        <v/>
      </c>
      <c r="L753" t="str">
        <f>IF([2]Entry!$E$756="","",[2]Entry!$E$756)</f>
        <v/>
      </c>
      <c r="M753" t="str">
        <f>IF([2]Entry!$G$756="","",[2]Entry!$G$756)</f>
        <v/>
      </c>
      <c r="N753" t="str">
        <f>IF([2]Entry!$M$756="","",[2]Entry!$M$756)</f>
        <v/>
      </c>
      <c r="O753" t="str">
        <f>IF([2]Entry!$N$756="","",[2]Entry!$N$756)</f>
        <v/>
      </c>
      <c r="P753" t="str">
        <f>IF([2]Entry!$R$756="","",[2]Entry!$R$756)</f>
        <v/>
      </c>
    </row>
    <row r="754" spans="10:16" x14ac:dyDescent="0.2">
      <c r="J754" t="str">
        <f>IF([2]Entry!$C$757="","",[2]Entry!$C$757)</f>
        <v/>
      </c>
      <c r="K754" t="str">
        <f>IF([2]Entry!$D$757="","",[2]Entry!$D$757)</f>
        <v/>
      </c>
      <c r="L754" t="str">
        <f>IF([2]Entry!$E$757="","",[2]Entry!$E$757)</f>
        <v/>
      </c>
      <c r="M754" t="str">
        <f>IF([2]Entry!$G$757="","",[2]Entry!$G$757)</f>
        <v/>
      </c>
      <c r="N754" t="str">
        <f>IF([2]Entry!$M$757="","",[2]Entry!$M$757)</f>
        <v/>
      </c>
      <c r="O754" t="str">
        <f>IF([2]Entry!$N$757="","",[2]Entry!$N$757)</f>
        <v/>
      </c>
      <c r="P754" t="str">
        <f>IF([2]Entry!$R$757="","",[2]Entry!$R$757)</f>
        <v/>
      </c>
    </row>
    <row r="755" spans="10:16" x14ac:dyDescent="0.2">
      <c r="J755" t="str">
        <f>IF([2]Entry!$C$758="","",[2]Entry!$C$758)</f>
        <v/>
      </c>
      <c r="K755" t="str">
        <f>IF([2]Entry!$D$758="","",[2]Entry!$D$758)</f>
        <v/>
      </c>
      <c r="L755" t="str">
        <f>IF([2]Entry!$E$758="","",[2]Entry!$E$758)</f>
        <v/>
      </c>
      <c r="M755" t="str">
        <f>IF([2]Entry!$G$758="","",[2]Entry!$G$758)</f>
        <v/>
      </c>
      <c r="N755" t="str">
        <f>IF([2]Entry!$M$758="","",[2]Entry!$M$758)</f>
        <v/>
      </c>
      <c r="O755" t="str">
        <f>IF([2]Entry!$N$758="","",[2]Entry!$N$758)</f>
        <v/>
      </c>
      <c r="P755" t="str">
        <f>IF([2]Entry!$R$758="","",[2]Entry!$R$758)</f>
        <v/>
      </c>
    </row>
    <row r="756" spans="10:16" x14ac:dyDescent="0.2">
      <c r="J756" t="str">
        <f>IF([2]Entry!$C$759="","",[2]Entry!$C$759)</f>
        <v/>
      </c>
      <c r="K756" t="str">
        <f>IF([2]Entry!$D$759="","",[2]Entry!$D$759)</f>
        <v/>
      </c>
      <c r="L756" t="str">
        <f>IF([2]Entry!$E$759="","",[2]Entry!$E$759)</f>
        <v/>
      </c>
      <c r="M756" t="str">
        <f>IF([2]Entry!$G$759="","",[2]Entry!$G$759)</f>
        <v/>
      </c>
      <c r="N756" t="str">
        <f>IF([2]Entry!$M$759="","",[2]Entry!$M$759)</f>
        <v/>
      </c>
      <c r="O756" t="str">
        <f>IF([2]Entry!$N$759="","",[2]Entry!$N$759)</f>
        <v/>
      </c>
      <c r="P756" t="str">
        <f>IF([2]Entry!$R$759="","",[2]Entry!$R$759)</f>
        <v/>
      </c>
    </row>
    <row r="757" spans="10:16" x14ac:dyDescent="0.2">
      <c r="J757" t="str">
        <f>IF([2]Entry!$C$760="","",[2]Entry!$C$760)</f>
        <v/>
      </c>
      <c r="K757" t="str">
        <f>IF([2]Entry!$D$760="","",[2]Entry!$D$760)</f>
        <v/>
      </c>
      <c r="L757" t="str">
        <f>IF([2]Entry!$E$760="","",[2]Entry!$E$760)</f>
        <v/>
      </c>
      <c r="M757" t="str">
        <f>IF([2]Entry!$G$760="","",[2]Entry!$G$760)</f>
        <v/>
      </c>
      <c r="N757" t="str">
        <f>IF([2]Entry!$M$760="","",[2]Entry!$M$760)</f>
        <v/>
      </c>
      <c r="O757" t="str">
        <f>IF([2]Entry!$N$760="","",[2]Entry!$N$760)</f>
        <v/>
      </c>
      <c r="P757" t="str">
        <f>IF([2]Entry!$R$760="","",[2]Entry!$R$760)</f>
        <v/>
      </c>
    </row>
    <row r="758" spans="10:16" x14ac:dyDescent="0.2">
      <c r="J758" t="str">
        <f>IF([2]Entry!$C$761="","",[2]Entry!$C$761)</f>
        <v/>
      </c>
      <c r="K758" t="str">
        <f>IF([2]Entry!$D$761="","",[2]Entry!$D$761)</f>
        <v/>
      </c>
      <c r="L758" t="str">
        <f>IF([2]Entry!$E$761="","",[2]Entry!$E$761)</f>
        <v/>
      </c>
      <c r="M758" t="str">
        <f>IF([2]Entry!$G$761="","",[2]Entry!$G$761)</f>
        <v/>
      </c>
      <c r="N758" t="str">
        <f>IF([2]Entry!$M$761="","",[2]Entry!$M$761)</f>
        <v/>
      </c>
      <c r="O758" t="str">
        <f>IF([2]Entry!$N$761="","",[2]Entry!$N$761)</f>
        <v/>
      </c>
      <c r="P758" t="str">
        <f>IF([2]Entry!$R$761="","",[2]Entry!$R$761)</f>
        <v/>
      </c>
    </row>
    <row r="759" spans="10:16" x14ac:dyDescent="0.2">
      <c r="J759" t="str">
        <f>IF([2]Entry!$C$762="","",[2]Entry!$C$762)</f>
        <v/>
      </c>
      <c r="K759" t="str">
        <f>IF([2]Entry!$D$762="","",[2]Entry!$D$762)</f>
        <v/>
      </c>
      <c r="L759" t="str">
        <f>IF([2]Entry!$E$762="","",[2]Entry!$E$762)</f>
        <v/>
      </c>
      <c r="M759" t="str">
        <f>IF([2]Entry!$G$762="","",[2]Entry!$G$762)</f>
        <v/>
      </c>
      <c r="N759" t="str">
        <f>IF([2]Entry!$M$762="","",[2]Entry!$M$762)</f>
        <v/>
      </c>
      <c r="O759" t="str">
        <f>IF([2]Entry!$N$762="","",[2]Entry!$N$762)</f>
        <v/>
      </c>
      <c r="P759" t="str">
        <f>IF([2]Entry!$R$762="","",[2]Entry!$R$762)</f>
        <v/>
      </c>
    </row>
    <row r="760" spans="10:16" x14ac:dyDescent="0.2">
      <c r="J760" t="str">
        <f>IF([2]Entry!$C$763="","",[2]Entry!$C$763)</f>
        <v/>
      </c>
      <c r="K760" t="str">
        <f>IF([2]Entry!$D$763="","",[2]Entry!$D$763)</f>
        <v/>
      </c>
      <c r="L760" t="str">
        <f>IF([2]Entry!$E$763="","",[2]Entry!$E$763)</f>
        <v/>
      </c>
      <c r="M760" t="str">
        <f>IF([2]Entry!$G$763="","",[2]Entry!$G$763)</f>
        <v/>
      </c>
      <c r="N760" t="str">
        <f>IF([2]Entry!$M$763="","",[2]Entry!$M$763)</f>
        <v/>
      </c>
      <c r="O760" t="str">
        <f>IF([2]Entry!$N$763="","",[2]Entry!$N$763)</f>
        <v/>
      </c>
      <c r="P760" t="str">
        <f>IF([2]Entry!$R$763="","",[2]Entry!$R$763)</f>
        <v/>
      </c>
    </row>
    <row r="761" spans="10:16" x14ac:dyDescent="0.2">
      <c r="J761" t="str">
        <f>IF([2]Entry!$C$764="","",[2]Entry!$C$764)</f>
        <v/>
      </c>
      <c r="K761" t="str">
        <f>IF([2]Entry!$D$764="","",[2]Entry!$D$764)</f>
        <v/>
      </c>
      <c r="L761" t="str">
        <f>IF([2]Entry!$E$764="","",[2]Entry!$E$764)</f>
        <v/>
      </c>
      <c r="M761" t="str">
        <f>IF([2]Entry!$G$764="","",[2]Entry!$G$764)</f>
        <v/>
      </c>
      <c r="N761" t="str">
        <f>IF([2]Entry!$M$764="","",[2]Entry!$M$764)</f>
        <v/>
      </c>
      <c r="O761" t="str">
        <f>IF([2]Entry!$N$764="","",[2]Entry!$N$764)</f>
        <v/>
      </c>
      <c r="P761" t="str">
        <f>IF([2]Entry!$R$764="","",[2]Entry!$R$764)</f>
        <v/>
      </c>
    </row>
    <row r="762" spans="10:16" x14ac:dyDescent="0.2">
      <c r="J762" t="str">
        <f>IF([2]Entry!$C$765="","",[2]Entry!$C$765)</f>
        <v/>
      </c>
      <c r="K762" t="str">
        <f>IF([2]Entry!$D$765="","",[2]Entry!$D$765)</f>
        <v/>
      </c>
      <c r="L762" t="str">
        <f>IF([2]Entry!$E$765="","",[2]Entry!$E$765)</f>
        <v/>
      </c>
      <c r="M762" t="str">
        <f>IF([2]Entry!$G$765="","",[2]Entry!$G$765)</f>
        <v/>
      </c>
      <c r="N762" t="str">
        <f>IF([2]Entry!$M$765="","",[2]Entry!$M$765)</f>
        <v/>
      </c>
      <c r="O762" t="str">
        <f>IF([2]Entry!$N$765="","",[2]Entry!$N$765)</f>
        <v/>
      </c>
      <c r="P762" t="str">
        <f>IF([2]Entry!$R$765="","",[2]Entry!$R$765)</f>
        <v/>
      </c>
    </row>
    <row r="763" spans="10:16" x14ac:dyDescent="0.2">
      <c r="J763" t="str">
        <f>IF([2]Entry!$C$766="","",[2]Entry!$C$766)</f>
        <v/>
      </c>
      <c r="K763" t="str">
        <f>IF([2]Entry!$D$766="","",[2]Entry!$D$766)</f>
        <v/>
      </c>
      <c r="L763" t="str">
        <f>IF([2]Entry!$E$766="","",[2]Entry!$E$766)</f>
        <v/>
      </c>
      <c r="M763" t="str">
        <f>IF([2]Entry!$G$766="","",[2]Entry!$G$766)</f>
        <v/>
      </c>
      <c r="N763" t="str">
        <f>IF([2]Entry!$M$766="","",[2]Entry!$M$766)</f>
        <v/>
      </c>
      <c r="O763" t="str">
        <f>IF([2]Entry!$N$766="","",[2]Entry!$N$766)</f>
        <v/>
      </c>
      <c r="P763" t="str">
        <f>IF([2]Entry!$R$766="","",[2]Entry!$R$766)</f>
        <v/>
      </c>
    </row>
    <row r="764" spans="10:16" x14ac:dyDescent="0.2">
      <c r="J764" t="str">
        <f>IF([2]Entry!$C$767="","",[2]Entry!$C$767)</f>
        <v/>
      </c>
      <c r="K764" t="str">
        <f>IF([2]Entry!$D$767="","",[2]Entry!$D$767)</f>
        <v/>
      </c>
      <c r="L764" t="str">
        <f>IF([2]Entry!$E$767="","",[2]Entry!$E$767)</f>
        <v/>
      </c>
      <c r="M764" t="str">
        <f>IF([2]Entry!$G$767="","",[2]Entry!$G$767)</f>
        <v/>
      </c>
      <c r="N764" t="str">
        <f>IF([2]Entry!$M$767="","",[2]Entry!$M$767)</f>
        <v/>
      </c>
      <c r="O764" t="str">
        <f>IF([2]Entry!$N$767="","",[2]Entry!$N$767)</f>
        <v/>
      </c>
      <c r="P764" t="str">
        <f>IF([2]Entry!$R$767="","",[2]Entry!$R$767)</f>
        <v/>
      </c>
    </row>
    <row r="765" spans="10:16" x14ac:dyDescent="0.2">
      <c r="J765" t="str">
        <f>IF([2]Entry!$C$768="","",[2]Entry!$C$768)</f>
        <v/>
      </c>
      <c r="K765" t="str">
        <f>IF([2]Entry!$D$768="","",[2]Entry!$D$768)</f>
        <v/>
      </c>
      <c r="L765" t="str">
        <f>IF([2]Entry!$E$768="","",[2]Entry!$E$768)</f>
        <v/>
      </c>
      <c r="M765" t="str">
        <f>IF([2]Entry!$G$768="","",[2]Entry!$G$768)</f>
        <v/>
      </c>
      <c r="N765" t="str">
        <f>IF([2]Entry!$M$768="","",[2]Entry!$M$768)</f>
        <v/>
      </c>
      <c r="O765" t="str">
        <f>IF([2]Entry!$N$768="","",[2]Entry!$N$768)</f>
        <v/>
      </c>
      <c r="P765" t="str">
        <f>IF([2]Entry!$R$768="","",[2]Entry!$R$768)</f>
        <v/>
      </c>
    </row>
    <row r="766" spans="10:16" x14ac:dyDescent="0.2">
      <c r="J766" t="str">
        <f>IF([2]Entry!$C$769="","",[2]Entry!$C$769)</f>
        <v/>
      </c>
      <c r="K766" t="str">
        <f>IF([2]Entry!$D$769="","",[2]Entry!$D$769)</f>
        <v/>
      </c>
      <c r="L766" t="str">
        <f>IF([2]Entry!$E$769="","",[2]Entry!$E$769)</f>
        <v/>
      </c>
      <c r="M766" t="str">
        <f>IF([2]Entry!$G$769="","",[2]Entry!$G$769)</f>
        <v/>
      </c>
      <c r="N766" t="str">
        <f>IF([2]Entry!$M$769="","",[2]Entry!$M$769)</f>
        <v/>
      </c>
      <c r="O766" t="str">
        <f>IF([2]Entry!$N$769="","",[2]Entry!$N$769)</f>
        <v/>
      </c>
      <c r="P766" t="str">
        <f>IF([2]Entry!$R$769="","",[2]Entry!$R$769)</f>
        <v/>
      </c>
    </row>
    <row r="767" spans="10:16" x14ac:dyDescent="0.2">
      <c r="J767" t="str">
        <f>IF([2]Entry!$C$770="","",[2]Entry!$C$770)</f>
        <v/>
      </c>
      <c r="K767" t="str">
        <f>IF([2]Entry!$D$770="","",[2]Entry!$D$770)</f>
        <v/>
      </c>
      <c r="L767" t="str">
        <f>IF([2]Entry!$E$770="","",[2]Entry!$E$770)</f>
        <v/>
      </c>
      <c r="M767" t="str">
        <f>IF([2]Entry!$G$770="","",[2]Entry!$G$770)</f>
        <v/>
      </c>
      <c r="N767" t="str">
        <f>IF([2]Entry!$M$770="","",[2]Entry!$M$770)</f>
        <v/>
      </c>
      <c r="O767" t="str">
        <f>IF([2]Entry!$N$770="","",[2]Entry!$N$770)</f>
        <v/>
      </c>
      <c r="P767" t="str">
        <f>IF([2]Entry!$R$770="","",[2]Entry!$R$770)</f>
        <v/>
      </c>
    </row>
    <row r="768" spans="10:16" x14ac:dyDescent="0.2">
      <c r="J768" t="str">
        <f>IF([2]Entry!$C$771="","",[2]Entry!$C$771)</f>
        <v/>
      </c>
      <c r="K768" t="str">
        <f>IF([2]Entry!$D$771="","",[2]Entry!$D$771)</f>
        <v/>
      </c>
      <c r="L768" t="str">
        <f>IF([2]Entry!$E$771="","",[2]Entry!$E$771)</f>
        <v/>
      </c>
      <c r="M768" t="str">
        <f>IF([2]Entry!$G$771="","",[2]Entry!$G$771)</f>
        <v/>
      </c>
      <c r="N768" t="str">
        <f>IF([2]Entry!$M$771="","",[2]Entry!$M$771)</f>
        <v/>
      </c>
      <c r="O768" t="str">
        <f>IF([2]Entry!$N$771="","",[2]Entry!$N$771)</f>
        <v/>
      </c>
      <c r="P768" t="str">
        <f>IF([2]Entry!$R$771="","",[2]Entry!$R$771)</f>
        <v/>
      </c>
    </row>
    <row r="769" spans="10:16" x14ac:dyDescent="0.2">
      <c r="J769" t="str">
        <f>IF([2]Entry!$C$772="","",[2]Entry!$C$772)</f>
        <v/>
      </c>
      <c r="K769" t="str">
        <f>IF([2]Entry!$D$772="","",[2]Entry!$D$772)</f>
        <v/>
      </c>
      <c r="L769" t="str">
        <f>IF([2]Entry!$E$772="","",[2]Entry!$E$772)</f>
        <v/>
      </c>
      <c r="M769" t="str">
        <f>IF([2]Entry!$G$772="","",[2]Entry!$G$772)</f>
        <v/>
      </c>
      <c r="N769" t="str">
        <f>IF([2]Entry!$M$772="","",[2]Entry!$M$772)</f>
        <v/>
      </c>
      <c r="O769" t="str">
        <f>IF([2]Entry!$N$772="","",[2]Entry!$N$772)</f>
        <v/>
      </c>
      <c r="P769" t="str">
        <f>IF([2]Entry!$R$772="","",[2]Entry!$R$772)</f>
        <v/>
      </c>
    </row>
    <row r="770" spans="10:16" x14ac:dyDescent="0.2">
      <c r="J770" t="str">
        <f>IF([2]Entry!$C$773="","",[2]Entry!$C$773)</f>
        <v/>
      </c>
      <c r="K770" t="str">
        <f>IF([2]Entry!$D$773="","",[2]Entry!$D$773)</f>
        <v/>
      </c>
      <c r="L770" t="str">
        <f>IF([2]Entry!$E$773="","",[2]Entry!$E$773)</f>
        <v/>
      </c>
      <c r="M770" t="str">
        <f>IF([2]Entry!$G$773="","",[2]Entry!$G$773)</f>
        <v/>
      </c>
      <c r="N770" t="str">
        <f>IF([2]Entry!$M$773="","",[2]Entry!$M$773)</f>
        <v/>
      </c>
      <c r="O770" t="str">
        <f>IF([2]Entry!$N$773="","",[2]Entry!$N$773)</f>
        <v/>
      </c>
      <c r="P770" t="str">
        <f>IF([2]Entry!$R$773="","",[2]Entry!$R$773)</f>
        <v/>
      </c>
    </row>
    <row r="771" spans="10:16" x14ac:dyDescent="0.2">
      <c r="J771" t="str">
        <f>IF([2]Entry!$C$774="","",[2]Entry!$C$774)</f>
        <v/>
      </c>
      <c r="K771" t="str">
        <f>IF([2]Entry!$D$774="","",[2]Entry!$D$774)</f>
        <v/>
      </c>
      <c r="L771" t="str">
        <f>IF([2]Entry!$E$774="","",[2]Entry!$E$774)</f>
        <v/>
      </c>
      <c r="M771" t="str">
        <f>IF([2]Entry!$G$774="","",[2]Entry!$G$774)</f>
        <v/>
      </c>
      <c r="N771" t="str">
        <f>IF([2]Entry!$M$774="","",[2]Entry!$M$774)</f>
        <v/>
      </c>
      <c r="O771" t="str">
        <f>IF([2]Entry!$N$774="","",[2]Entry!$N$774)</f>
        <v/>
      </c>
      <c r="P771" t="str">
        <f>IF([2]Entry!$R$774="","",[2]Entry!$R$774)</f>
        <v/>
      </c>
    </row>
    <row r="772" spans="10:16" x14ac:dyDescent="0.2">
      <c r="J772" t="str">
        <f>IF([2]Entry!$C$775="","",[2]Entry!$C$775)</f>
        <v/>
      </c>
      <c r="K772" t="str">
        <f>IF([2]Entry!$D$775="","",[2]Entry!$D$775)</f>
        <v/>
      </c>
      <c r="L772" t="str">
        <f>IF([2]Entry!$E$775="","",[2]Entry!$E$775)</f>
        <v/>
      </c>
      <c r="M772" t="str">
        <f>IF([2]Entry!$G$775="","",[2]Entry!$G$775)</f>
        <v/>
      </c>
      <c r="N772" t="str">
        <f>IF([2]Entry!$M$775="","",[2]Entry!$M$775)</f>
        <v/>
      </c>
      <c r="O772" t="str">
        <f>IF([2]Entry!$N$775="","",[2]Entry!$N$775)</f>
        <v/>
      </c>
      <c r="P772" t="str">
        <f>IF([2]Entry!$R$775="","",[2]Entry!$R$775)</f>
        <v/>
      </c>
    </row>
    <row r="773" spans="10:16" x14ac:dyDescent="0.2">
      <c r="J773" t="str">
        <f>IF([2]Entry!$C$776="","",[2]Entry!$C$776)</f>
        <v/>
      </c>
      <c r="K773" t="str">
        <f>IF([2]Entry!$D$776="","",[2]Entry!$D$776)</f>
        <v/>
      </c>
      <c r="L773" t="str">
        <f>IF([2]Entry!$E$776="","",[2]Entry!$E$776)</f>
        <v/>
      </c>
      <c r="M773" t="str">
        <f>IF([2]Entry!$G$776="","",[2]Entry!$G$776)</f>
        <v/>
      </c>
      <c r="N773" t="str">
        <f>IF([2]Entry!$M$776="","",[2]Entry!$M$776)</f>
        <v/>
      </c>
      <c r="O773" t="str">
        <f>IF([2]Entry!$N$776="","",[2]Entry!$N$776)</f>
        <v/>
      </c>
      <c r="P773" t="str">
        <f>IF([2]Entry!$R$776="","",[2]Entry!$R$776)</f>
        <v/>
      </c>
    </row>
    <row r="774" spans="10:16" x14ac:dyDescent="0.2">
      <c r="J774" t="str">
        <f>IF([2]Entry!$C$777="","",[2]Entry!$C$777)</f>
        <v/>
      </c>
      <c r="K774" t="str">
        <f>IF([2]Entry!$D$777="","",[2]Entry!$D$777)</f>
        <v/>
      </c>
      <c r="L774" t="str">
        <f>IF([2]Entry!$E$777="","",[2]Entry!$E$777)</f>
        <v/>
      </c>
      <c r="M774" t="str">
        <f>IF([2]Entry!$G$777="","",[2]Entry!$G$777)</f>
        <v/>
      </c>
      <c r="N774" t="str">
        <f>IF([2]Entry!$M$777="","",[2]Entry!$M$777)</f>
        <v/>
      </c>
      <c r="O774" t="str">
        <f>IF([2]Entry!$N$777="","",[2]Entry!$N$777)</f>
        <v/>
      </c>
      <c r="P774" t="str">
        <f>IF([2]Entry!$R$777="","",[2]Entry!$R$777)</f>
        <v/>
      </c>
    </row>
    <row r="775" spans="10:16" x14ac:dyDescent="0.2">
      <c r="J775" t="str">
        <f>IF([2]Entry!$C$778="","",[2]Entry!$C$778)</f>
        <v/>
      </c>
      <c r="K775" t="str">
        <f>IF([2]Entry!$D$778="","",[2]Entry!$D$778)</f>
        <v/>
      </c>
      <c r="L775" t="str">
        <f>IF([2]Entry!$E$778="","",[2]Entry!$E$778)</f>
        <v/>
      </c>
      <c r="M775" t="str">
        <f>IF([2]Entry!$G$778="","",[2]Entry!$G$778)</f>
        <v/>
      </c>
      <c r="N775" t="str">
        <f>IF([2]Entry!$M$778="","",[2]Entry!$M$778)</f>
        <v/>
      </c>
      <c r="O775" t="str">
        <f>IF([2]Entry!$N$778="","",[2]Entry!$N$778)</f>
        <v/>
      </c>
      <c r="P775" t="str">
        <f>IF([2]Entry!$R$778="","",[2]Entry!$R$778)</f>
        <v/>
      </c>
    </row>
    <row r="776" spans="10:16" x14ac:dyDescent="0.2">
      <c r="J776" t="str">
        <f>IF([2]Entry!$C$779="","",[2]Entry!$C$779)</f>
        <v/>
      </c>
      <c r="K776" t="str">
        <f>IF([2]Entry!$D$779="","",[2]Entry!$D$779)</f>
        <v/>
      </c>
      <c r="L776" t="str">
        <f>IF([2]Entry!$E$779="","",[2]Entry!$E$779)</f>
        <v/>
      </c>
      <c r="M776" t="str">
        <f>IF([2]Entry!$G$779="","",[2]Entry!$G$779)</f>
        <v/>
      </c>
      <c r="N776" t="str">
        <f>IF([2]Entry!$M$779="","",[2]Entry!$M$779)</f>
        <v/>
      </c>
      <c r="O776" t="str">
        <f>IF([2]Entry!$N$779="","",[2]Entry!$N$779)</f>
        <v/>
      </c>
      <c r="P776" t="str">
        <f>IF([2]Entry!$R$779="","",[2]Entry!$R$779)</f>
        <v/>
      </c>
    </row>
    <row r="777" spans="10:16" x14ac:dyDescent="0.2">
      <c r="J777" t="str">
        <f>IF([2]Entry!$C$780="","",[2]Entry!$C$780)</f>
        <v/>
      </c>
      <c r="K777" t="str">
        <f>IF([2]Entry!$D$780="","",[2]Entry!$D$780)</f>
        <v/>
      </c>
      <c r="L777" t="str">
        <f>IF([2]Entry!$E$780="","",[2]Entry!$E$780)</f>
        <v/>
      </c>
      <c r="M777" t="str">
        <f>IF([2]Entry!$G$780="","",[2]Entry!$G$780)</f>
        <v/>
      </c>
      <c r="N777" t="str">
        <f>IF([2]Entry!$M$780="","",[2]Entry!$M$780)</f>
        <v/>
      </c>
      <c r="O777" t="str">
        <f>IF([2]Entry!$N$780="","",[2]Entry!$N$780)</f>
        <v/>
      </c>
      <c r="P777" t="str">
        <f>IF([2]Entry!$R$780="","",[2]Entry!$R$780)</f>
        <v/>
      </c>
    </row>
    <row r="778" spans="10:16" x14ac:dyDescent="0.2">
      <c r="J778" t="str">
        <f>IF([2]Entry!$C$781="","",[2]Entry!$C$781)</f>
        <v/>
      </c>
      <c r="K778" t="str">
        <f>IF([2]Entry!$D$781="","",[2]Entry!$D$781)</f>
        <v/>
      </c>
      <c r="L778" t="str">
        <f>IF([2]Entry!$E$781="","",[2]Entry!$E$781)</f>
        <v/>
      </c>
      <c r="M778" t="str">
        <f>IF([2]Entry!$G$781="","",[2]Entry!$G$781)</f>
        <v/>
      </c>
      <c r="N778" t="str">
        <f>IF([2]Entry!$M$781="","",[2]Entry!$M$781)</f>
        <v/>
      </c>
      <c r="O778" t="str">
        <f>IF([2]Entry!$N$781="","",[2]Entry!$N$781)</f>
        <v/>
      </c>
      <c r="P778" t="str">
        <f>IF([2]Entry!$R$781="","",[2]Entry!$R$781)</f>
        <v/>
      </c>
    </row>
    <row r="779" spans="10:16" x14ac:dyDescent="0.2">
      <c r="J779" t="str">
        <f>IF([2]Entry!$C$782="","",[2]Entry!$C$782)</f>
        <v/>
      </c>
      <c r="K779" t="str">
        <f>IF([2]Entry!$D$782="","",[2]Entry!$D$782)</f>
        <v/>
      </c>
      <c r="L779" t="str">
        <f>IF([2]Entry!$E$782="","",[2]Entry!$E$782)</f>
        <v/>
      </c>
      <c r="M779" t="str">
        <f>IF([2]Entry!$G$782="","",[2]Entry!$G$782)</f>
        <v/>
      </c>
      <c r="N779" t="str">
        <f>IF([2]Entry!$M$782="","",[2]Entry!$M$782)</f>
        <v/>
      </c>
      <c r="O779" t="str">
        <f>IF([2]Entry!$N$782="","",[2]Entry!$N$782)</f>
        <v/>
      </c>
      <c r="P779" t="str">
        <f>IF([2]Entry!$R$782="","",[2]Entry!$R$782)</f>
        <v/>
      </c>
    </row>
    <row r="780" spans="10:16" x14ac:dyDescent="0.2">
      <c r="J780" t="str">
        <f>IF([2]Entry!$C$783="","",[2]Entry!$C$783)</f>
        <v/>
      </c>
      <c r="K780" t="str">
        <f>IF([2]Entry!$D$783="","",[2]Entry!$D$783)</f>
        <v/>
      </c>
      <c r="L780" t="str">
        <f>IF([2]Entry!$E$783="","",[2]Entry!$E$783)</f>
        <v/>
      </c>
      <c r="M780" t="str">
        <f>IF([2]Entry!$G$783="","",[2]Entry!$G$783)</f>
        <v/>
      </c>
      <c r="N780" t="str">
        <f>IF([2]Entry!$M$783="","",[2]Entry!$M$783)</f>
        <v/>
      </c>
      <c r="O780" t="str">
        <f>IF([2]Entry!$N$783="","",[2]Entry!$N$783)</f>
        <v/>
      </c>
      <c r="P780" t="str">
        <f>IF([2]Entry!$R$783="","",[2]Entry!$R$783)</f>
        <v/>
      </c>
    </row>
    <row r="781" spans="10:16" x14ac:dyDescent="0.2">
      <c r="J781" t="str">
        <f>IF([2]Entry!$C$784="","",[2]Entry!$C$784)</f>
        <v/>
      </c>
      <c r="K781" t="str">
        <f>IF([2]Entry!$D$784="","",[2]Entry!$D$784)</f>
        <v/>
      </c>
      <c r="L781" t="str">
        <f>IF([2]Entry!$E$784="","",[2]Entry!$E$784)</f>
        <v/>
      </c>
      <c r="M781" t="str">
        <f>IF([2]Entry!$G$784="","",[2]Entry!$G$784)</f>
        <v/>
      </c>
      <c r="N781" t="str">
        <f>IF([2]Entry!$M$784="","",[2]Entry!$M$784)</f>
        <v/>
      </c>
      <c r="O781" t="str">
        <f>IF([2]Entry!$N$784="","",[2]Entry!$N$784)</f>
        <v/>
      </c>
      <c r="P781" t="str">
        <f>IF([2]Entry!$R$784="","",[2]Entry!$R$784)</f>
        <v/>
      </c>
    </row>
    <row r="782" spans="10:16" x14ac:dyDescent="0.2">
      <c r="J782" t="str">
        <f>IF([2]Entry!$C$785="","",[2]Entry!$C$785)</f>
        <v/>
      </c>
      <c r="K782" t="str">
        <f>IF([2]Entry!$D$785="","",[2]Entry!$D$785)</f>
        <v/>
      </c>
      <c r="L782" t="str">
        <f>IF([2]Entry!$E$785="","",[2]Entry!$E$785)</f>
        <v/>
      </c>
      <c r="M782" t="str">
        <f>IF([2]Entry!$G$785="","",[2]Entry!$G$785)</f>
        <v/>
      </c>
      <c r="N782" t="str">
        <f>IF([2]Entry!$M$785="","",[2]Entry!$M$785)</f>
        <v/>
      </c>
      <c r="O782" t="str">
        <f>IF([2]Entry!$N$785="","",[2]Entry!$N$785)</f>
        <v/>
      </c>
      <c r="P782" t="str">
        <f>IF([2]Entry!$R$785="","",[2]Entry!$R$785)</f>
        <v/>
      </c>
    </row>
    <row r="783" spans="10:16" x14ac:dyDescent="0.2">
      <c r="J783" t="str">
        <f>IF([2]Entry!$C$786="","",[2]Entry!$C$786)</f>
        <v/>
      </c>
      <c r="K783" t="str">
        <f>IF([2]Entry!$D$786="","",[2]Entry!$D$786)</f>
        <v/>
      </c>
      <c r="L783" t="str">
        <f>IF([2]Entry!$E$786="","",[2]Entry!$E$786)</f>
        <v/>
      </c>
      <c r="M783" t="str">
        <f>IF([2]Entry!$G$786="","",[2]Entry!$G$786)</f>
        <v/>
      </c>
      <c r="N783" t="str">
        <f>IF([2]Entry!$M$786="","",[2]Entry!$M$786)</f>
        <v/>
      </c>
      <c r="O783" t="str">
        <f>IF([2]Entry!$N$786="","",[2]Entry!$N$786)</f>
        <v/>
      </c>
      <c r="P783" t="str">
        <f>IF([2]Entry!$R$786="","",[2]Entry!$R$786)</f>
        <v/>
      </c>
    </row>
    <row r="784" spans="10:16" x14ac:dyDescent="0.2">
      <c r="J784" t="str">
        <f>IF([2]Entry!$C$787="","",[2]Entry!$C$787)</f>
        <v/>
      </c>
      <c r="K784" t="str">
        <f>IF([2]Entry!$D$787="","",[2]Entry!$D$787)</f>
        <v/>
      </c>
      <c r="L784" t="str">
        <f>IF([2]Entry!$E$787="","",[2]Entry!$E$787)</f>
        <v/>
      </c>
      <c r="M784" t="str">
        <f>IF([2]Entry!$G$787="","",[2]Entry!$G$787)</f>
        <v/>
      </c>
      <c r="N784" t="str">
        <f>IF([2]Entry!$M$787="","",[2]Entry!$M$787)</f>
        <v/>
      </c>
      <c r="O784" t="str">
        <f>IF([2]Entry!$N$787="","",[2]Entry!$N$787)</f>
        <v/>
      </c>
      <c r="P784" t="str">
        <f>IF([2]Entry!$R$787="","",[2]Entry!$R$787)</f>
        <v/>
      </c>
    </row>
    <row r="785" spans="10:16" x14ac:dyDescent="0.2">
      <c r="J785" t="str">
        <f>IF([2]Entry!$C$788="","",[2]Entry!$C$788)</f>
        <v/>
      </c>
      <c r="K785" t="str">
        <f>IF([2]Entry!$D$788="","",[2]Entry!$D$788)</f>
        <v/>
      </c>
      <c r="L785" t="str">
        <f>IF([2]Entry!$E$788="","",[2]Entry!$E$788)</f>
        <v/>
      </c>
      <c r="M785" t="str">
        <f>IF([2]Entry!$G$788="","",[2]Entry!$G$788)</f>
        <v/>
      </c>
      <c r="N785" t="str">
        <f>IF([2]Entry!$M$788="","",[2]Entry!$M$788)</f>
        <v/>
      </c>
      <c r="O785" t="str">
        <f>IF([2]Entry!$N$788="","",[2]Entry!$N$788)</f>
        <v/>
      </c>
      <c r="P785" t="str">
        <f>IF([2]Entry!$R$788="","",[2]Entry!$R$788)</f>
        <v/>
      </c>
    </row>
    <row r="786" spans="10:16" x14ac:dyDescent="0.2">
      <c r="J786" t="str">
        <f>IF([2]Entry!$C$789="","",[2]Entry!$C$789)</f>
        <v/>
      </c>
      <c r="K786" t="str">
        <f>IF([2]Entry!$D$789="","",[2]Entry!$D$789)</f>
        <v/>
      </c>
      <c r="L786" t="str">
        <f>IF([2]Entry!$E$789="","",[2]Entry!$E$789)</f>
        <v/>
      </c>
      <c r="M786" t="str">
        <f>IF([2]Entry!$G$789="","",[2]Entry!$G$789)</f>
        <v/>
      </c>
      <c r="N786" t="str">
        <f>IF([2]Entry!$M$789="","",[2]Entry!$M$789)</f>
        <v/>
      </c>
      <c r="O786" t="str">
        <f>IF([2]Entry!$N$789="","",[2]Entry!$N$789)</f>
        <v/>
      </c>
      <c r="P786" t="str">
        <f>IF([2]Entry!$R$789="","",[2]Entry!$R$789)</f>
        <v/>
      </c>
    </row>
    <row r="787" spans="10:16" x14ac:dyDescent="0.2">
      <c r="J787" t="str">
        <f>IF([2]Entry!$C$790="","",[2]Entry!$C$790)</f>
        <v/>
      </c>
      <c r="K787" t="str">
        <f>IF([2]Entry!$D$790="","",[2]Entry!$D$790)</f>
        <v/>
      </c>
      <c r="L787" t="str">
        <f>IF([2]Entry!$E$790="","",[2]Entry!$E$790)</f>
        <v/>
      </c>
      <c r="M787" t="str">
        <f>IF([2]Entry!$G$790="","",[2]Entry!$G$790)</f>
        <v/>
      </c>
      <c r="N787" t="str">
        <f>IF([2]Entry!$M$790="","",[2]Entry!$M$790)</f>
        <v/>
      </c>
      <c r="O787" t="str">
        <f>IF([2]Entry!$N$790="","",[2]Entry!$N$790)</f>
        <v/>
      </c>
      <c r="P787" t="str">
        <f>IF([2]Entry!$R$790="","",[2]Entry!$R$790)</f>
        <v/>
      </c>
    </row>
    <row r="788" spans="10:16" x14ac:dyDescent="0.2">
      <c r="J788" t="str">
        <f>IF([2]Entry!$C$791="","",[2]Entry!$C$791)</f>
        <v/>
      </c>
      <c r="K788" t="str">
        <f>IF([2]Entry!$D$791="","",[2]Entry!$D$791)</f>
        <v/>
      </c>
      <c r="L788" t="str">
        <f>IF([2]Entry!$E$791="","",[2]Entry!$E$791)</f>
        <v/>
      </c>
      <c r="M788" t="str">
        <f>IF([2]Entry!$G$791="","",[2]Entry!$G$791)</f>
        <v/>
      </c>
      <c r="N788" t="str">
        <f>IF([2]Entry!$M$791="","",[2]Entry!$M$791)</f>
        <v/>
      </c>
      <c r="O788" t="str">
        <f>IF([2]Entry!$N$791="","",[2]Entry!$N$791)</f>
        <v/>
      </c>
      <c r="P788" t="str">
        <f>IF([2]Entry!$R$791="","",[2]Entry!$R$791)</f>
        <v/>
      </c>
    </row>
    <row r="789" spans="10:16" x14ac:dyDescent="0.2">
      <c r="J789" t="str">
        <f>IF([2]Entry!$C$792="","",[2]Entry!$C$792)</f>
        <v/>
      </c>
      <c r="K789" t="str">
        <f>IF([2]Entry!$D$792="","",[2]Entry!$D$792)</f>
        <v/>
      </c>
      <c r="L789" t="str">
        <f>IF([2]Entry!$E$792="","",[2]Entry!$E$792)</f>
        <v/>
      </c>
      <c r="M789" t="str">
        <f>IF([2]Entry!$G$792="","",[2]Entry!$G$792)</f>
        <v/>
      </c>
      <c r="N789" t="str">
        <f>IF([2]Entry!$M$792="","",[2]Entry!$M$792)</f>
        <v/>
      </c>
      <c r="O789" t="str">
        <f>IF([2]Entry!$N$792="","",[2]Entry!$N$792)</f>
        <v/>
      </c>
      <c r="P789" t="str">
        <f>IF([2]Entry!$R$792="","",[2]Entry!$R$792)</f>
        <v/>
      </c>
    </row>
    <row r="790" spans="10:16" x14ac:dyDescent="0.2">
      <c r="J790" t="str">
        <f>IF([2]Entry!$C$793="","",[2]Entry!$C$793)</f>
        <v/>
      </c>
      <c r="K790" t="str">
        <f>IF([2]Entry!$D$793="","",[2]Entry!$D$793)</f>
        <v/>
      </c>
      <c r="L790" t="str">
        <f>IF([2]Entry!$E$793="","",[2]Entry!$E$793)</f>
        <v/>
      </c>
      <c r="M790" t="str">
        <f>IF([2]Entry!$G$793="","",[2]Entry!$G$793)</f>
        <v/>
      </c>
      <c r="N790" t="str">
        <f>IF([2]Entry!$M$793="","",[2]Entry!$M$793)</f>
        <v/>
      </c>
      <c r="O790" t="str">
        <f>IF([2]Entry!$N$793="","",[2]Entry!$N$793)</f>
        <v/>
      </c>
      <c r="P790" t="str">
        <f>IF([2]Entry!$R$793="","",[2]Entry!$R$793)</f>
        <v/>
      </c>
    </row>
    <row r="791" spans="10:16" x14ac:dyDescent="0.2">
      <c r="J791" t="str">
        <f>IF([2]Entry!$C$794="","",[2]Entry!$C$794)</f>
        <v/>
      </c>
      <c r="K791" t="str">
        <f>IF([2]Entry!$D$794="","",[2]Entry!$D$794)</f>
        <v/>
      </c>
      <c r="L791" t="str">
        <f>IF([2]Entry!$E$794="","",[2]Entry!$E$794)</f>
        <v/>
      </c>
      <c r="M791" t="str">
        <f>IF([2]Entry!$G$794="","",[2]Entry!$G$794)</f>
        <v/>
      </c>
      <c r="N791" t="str">
        <f>IF([2]Entry!$M$794="","",[2]Entry!$M$794)</f>
        <v/>
      </c>
      <c r="O791" t="str">
        <f>IF([2]Entry!$N$794="","",[2]Entry!$N$794)</f>
        <v/>
      </c>
      <c r="P791" t="str">
        <f>IF([2]Entry!$R$794="","",[2]Entry!$R$794)</f>
        <v/>
      </c>
    </row>
    <row r="792" spans="10:16" x14ac:dyDescent="0.2">
      <c r="J792" t="str">
        <f>IF([2]Entry!$C$795="","",[2]Entry!$C$795)</f>
        <v/>
      </c>
      <c r="K792" t="str">
        <f>IF([2]Entry!$D$795="","",[2]Entry!$D$795)</f>
        <v/>
      </c>
      <c r="L792" t="str">
        <f>IF([2]Entry!$E$795="","",[2]Entry!$E$795)</f>
        <v/>
      </c>
      <c r="M792" t="str">
        <f>IF([2]Entry!$G$795="","",[2]Entry!$G$795)</f>
        <v/>
      </c>
      <c r="N792" t="str">
        <f>IF([2]Entry!$M$795="","",[2]Entry!$M$795)</f>
        <v/>
      </c>
      <c r="O792" t="str">
        <f>IF([2]Entry!$N$795="","",[2]Entry!$N$795)</f>
        <v/>
      </c>
      <c r="P792" t="str">
        <f>IF([2]Entry!$R$795="","",[2]Entry!$R$795)</f>
        <v/>
      </c>
    </row>
    <row r="793" spans="10:16" x14ac:dyDescent="0.2">
      <c r="J793" t="str">
        <f>IF([2]Entry!$C$796="","",[2]Entry!$C$796)</f>
        <v/>
      </c>
      <c r="K793" t="str">
        <f>IF([2]Entry!$D$796="","",[2]Entry!$D$796)</f>
        <v/>
      </c>
      <c r="L793" t="str">
        <f>IF([2]Entry!$E$796="","",[2]Entry!$E$796)</f>
        <v/>
      </c>
      <c r="M793" t="str">
        <f>IF([2]Entry!$G$796="","",[2]Entry!$G$796)</f>
        <v/>
      </c>
      <c r="N793" t="str">
        <f>IF([2]Entry!$M$796="","",[2]Entry!$M$796)</f>
        <v/>
      </c>
      <c r="O793" t="str">
        <f>IF([2]Entry!$N$796="","",[2]Entry!$N$796)</f>
        <v/>
      </c>
      <c r="P793" t="str">
        <f>IF([2]Entry!$R$796="","",[2]Entry!$R$796)</f>
        <v/>
      </c>
    </row>
    <row r="794" spans="10:16" x14ac:dyDescent="0.2">
      <c r="J794" t="str">
        <f>IF([2]Entry!$C$797="","",[2]Entry!$C$797)</f>
        <v/>
      </c>
      <c r="K794" t="str">
        <f>IF([2]Entry!$D$797="","",[2]Entry!$D$797)</f>
        <v/>
      </c>
      <c r="L794" t="str">
        <f>IF([2]Entry!$E$797="","",[2]Entry!$E$797)</f>
        <v/>
      </c>
      <c r="M794" t="str">
        <f>IF([2]Entry!$G$797="","",[2]Entry!$G$797)</f>
        <v/>
      </c>
      <c r="N794" t="str">
        <f>IF([2]Entry!$M$797="","",[2]Entry!$M$797)</f>
        <v/>
      </c>
      <c r="O794" t="str">
        <f>IF([2]Entry!$N$797="","",[2]Entry!$N$797)</f>
        <v/>
      </c>
      <c r="P794" t="str">
        <f>IF([2]Entry!$R$797="","",[2]Entry!$R$797)</f>
        <v/>
      </c>
    </row>
    <row r="795" spans="10:16" x14ac:dyDescent="0.2">
      <c r="J795" t="str">
        <f>IF([2]Entry!$C$798="","",[2]Entry!$C$798)</f>
        <v/>
      </c>
      <c r="K795" t="str">
        <f>IF([2]Entry!$D$798="","",[2]Entry!$D$798)</f>
        <v/>
      </c>
      <c r="L795" t="str">
        <f>IF([2]Entry!$E$798="","",[2]Entry!$E$798)</f>
        <v/>
      </c>
      <c r="M795" t="str">
        <f>IF([2]Entry!$G$798="","",[2]Entry!$G$798)</f>
        <v/>
      </c>
      <c r="N795" t="str">
        <f>IF([2]Entry!$M$798="","",[2]Entry!$M$798)</f>
        <v/>
      </c>
      <c r="O795" t="str">
        <f>IF([2]Entry!$N$798="","",[2]Entry!$N$798)</f>
        <v/>
      </c>
      <c r="P795" t="str">
        <f>IF([2]Entry!$R$798="","",[2]Entry!$R$798)</f>
        <v/>
      </c>
    </row>
    <row r="796" spans="10:16" x14ac:dyDescent="0.2">
      <c r="J796" t="str">
        <f>IF([2]Entry!$C$799="","",[2]Entry!$C$799)</f>
        <v/>
      </c>
      <c r="K796" t="str">
        <f>IF([2]Entry!$D$799="","",[2]Entry!$D$799)</f>
        <v/>
      </c>
      <c r="L796" t="str">
        <f>IF([2]Entry!$E$799="","",[2]Entry!$E$799)</f>
        <v/>
      </c>
      <c r="M796" t="str">
        <f>IF([2]Entry!$G$799="","",[2]Entry!$G$799)</f>
        <v/>
      </c>
      <c r="N796" t="str">
        <f>IF([2]Entry!$M$799="","",[2]Entry!$M$799)</f>
        <v/>
      </c>
      <c r="O796" t="str">
        <f>IF([2]Entry!$N$799="","",[2]Entry!$N$799)</f>
        <v/>
      </c>
      <c r="P796" t="str">
        <f>IF([2]Entry!$R$799="","",[2]Entry!$R$799)</f>
        <v/>
      </c>
    </row>
    <row r="797" spans="10:16" x14ac:dyDescent="0.2">
      <c r="J797" t="str">
        <f>IF([2]Entry!$C$800="","",[2]Entry!$C$800)</f>
        <v/>
      </c>
      <c r="K797" t="str">
        <f>IF([2]Entry!$D$800="","",[2]Entry!$D$800)</f>
        <v/>
      </c>
      <c r="L797" t="str">
        <f>IF([2]Entry!$E$800="","",[2]Entry!$E$800)</f>
        <v/>
      </c>
      <c r="M797" t="str">
        <f>IF([2]Entry!$G$800="","",[2]Entry!$G$800)</f>
        <v/>
      </c>
      <c r="N797" t="str">
        <f>IF([2]Entry!$M$800="","",[2]Entry!$M$800)</f>
        <v/>
      </c>
      <c r="O797" t="str">
        <f>IF([2]Entry!$N$800="","",[2]Entry!$N$800)</f>
        <v/>
      </c>
      <c r="P797" t="str">
        <f>IF([2]Entry!$R$800="","",[2]Entry!$R$800)</f>
        <v/>
      </c>
    </row>
    <row r="798" spans="10:16" x14ac:dyDescent="0.2">
      <c r="J798" t="str">
        <f>IF([2]Entry!$C$801="","",[2]Entry!$C$801)</f>
        <v/>
      </c>
      <c r="K798" t="str">
        <f>IF([2]Entry!$D$801="","",[2]Entry!$D$801)</f>
        <v/>
      </c>
      <c r="L798" t="str">
        <f>IF([2]Entry!$E$801="","",[2]Entry!$E$801)</f>
        <v/>
      </c>
      <c r="M798" t="str">
        <f>IF([2]Entry!$G$801="","",[2]Entry!$G$801)</f>
        <v/>
      </c>
      <c r="N798" t="str">
        <f>IF([2]Entry!$M$801="","",[2]Entry!$M$801)</f>
        <v/>
      </c>
      <c r="O798" t="str">
        <f>IF([2]Entry!$N$801="","",[2]Entry!$N$801)</f>
        <v/>
      </c>
      <c r="P798" t="str">
        <f>IF([2]Entry!$R$801="","",[2]Entry!$R$801)</f>
        <v/>
      </c>
    </row>
    <row r="799" spans="10:16" x14ac:dyDescent="0.2">
      <c r="J799" t="str">
        <f>IF([2]Entry!$C$802="","",[2]Entry!$C$802)</f>
        <v/>
      </c>
      <c r="K799" t="str">
        <f>IF([2]Entry!$D$802="","",[2]Entry!$D$802)</f>
        <v/>
      </c>
      <c r="L799" t="str">
        <f>IF([2]Entry!$E$802="","",[2]Entry!$E$802)</f>
        <v/>
      </c>
      <c r="M799" t="str">
        <f>IF([2]Entry!$G$802="","",[2]Entry!$G$802)</f>
        <v/>
      </c>
      <c r="N799" t="str">
        <f>IF([2]Entry!$M$802="","",[2]Entry!$M$802)</f>
        <v/>
      </c>
      <c r="O799" t="str">
        <f>IF([2]Entry!$N$802="","",[2]Entry!$N$802)</f>
        <v/>
      </c>
      <c r="P799" t="str">
        <f>IF([2]Entry!$R$802="","",[2]Entry!$R$802)</f>
        <v/>
      </c>
    </row>
    <row r="800" spans="10:16" x14ac:dyDescent="0.2">
      <c r="J800" t="str">
        <f>IF([2]Entry!$C$803="","",[2]Entry!$C$803)</f>
        <v/>
      </c>
      <c r="K800" t="str">
        <f>IF([2]Entry!$D$803="","",[2]Entry!$D$803)</f>
        <v/>
      </c>
      <c r="L800" t="str">
        <f>IF([2]Entry!$E$803="","",[2]Entry!$E$803)</f>
        <v/>
      </c>
      <c r="M800" t="str">
        <f>IF([2]Entry!$G$803="","",[2]Entry!$G$803)</f>
        <v/>
      </c>
      <c r="N800" t="str">
        <f>IF([2]Entry!$M$803="","",[2]Entry!$M$803)</f>
        <v/>
      </c>
      <c r="O800" t="str">
        <f>IF([2]Entry!$N$803="","",[2]Entry!$N$803)</f>
        <v/>
      </c>
      <c r="P800" t="str">
        <f>IF([2]Entry!$R$803="","",[2]Entry!$R$803)</f>
        <v/>
      </c>
    </row>
    <row r="801" spans="10:16" x14ac:dyDescent="0.2">
      <c r="J801" t="str">
        <f>IF([2]Entry!$C$804="","",[2]Entry!$C$804)</f>
        <v/>
      </c>
      <c r="K801" t="str">
        <f>IF([2]Entry!$D$804="","",[2]Entry!$D$804)</f>
        <v/>
      </c>
      <c r="L801" t="str">
        <f>IF([2]Entry!$E$804="","",[2]Entry!$E$804)</f>
        <v/>
      </c>
      <c r="M801" t="str">
        <f>IF([2]Entry!$G$804="","",[2]Entry!$G$804)</f>
        <v/>
      </c>
      <c r="N801" t="str">
        <f>IF([2]Entry!$M$804="","",[2]Entry!$M$804)</f>
        <v/>
      </c>
      <c r="O801" t="str">
        <f>IF([2]Entry!$N$804="","",[2]Entry!$N$804)</f>
        <v/>
      </c>
      <c r="P801" t="str">
        <f>IF([2]Entry!$R$804="","",[2]Entry!$R$804)</f>
        <v/>
      </c>
    </row>
    <row r="802" spans="10:16" x14ac:dyDescent="0.2">
      <c r="J802" t="str">
        <f>IF([2]Entry!$C$805="","",[2]Entry!$C$805)</f>
        <v/>
      </c>
      <c r="K802" t="str">
        <f>IF([2]Entry!$D$805="","",[2]Entry!$D$805)</f>
        <v/>
      </c>
      <c r="L802" t="str">
        <f>IF([2]Entry!$E$805="","",[2]Entry!$E$805)</f>
        <v/>
      </c>
      <c r="M802" t="str">
        <f>IF([2]Entry!$G$805="","",[2]Entry!$G$805)</f>
        <v/>
      </c>
      <c r="N802" t="str">
        <f>IF([2]Entry!$M$805="","",[2]Entry!$M$805)</f>
        <v/>
      </c>
      <c r="O802" t="str">
        <f>IF([2]Entry!$N$805="","",[2]Entry!$N$805)</f>
        <v/>
      </c>
      <c r="P802" t="str">
        <f>IF([2]Entry!$R$805="","",[2]Entry!$R$805)</f>
        <v/>
      </c>
    </row>
    <row r="803" spans="10:16" x14ac:dyDescent="0.2">
      <c r="J803" t="str">
        <f>IF([2]Entry!$C$806="","",[2]Entry!$C$806)</f>
        <v/>
      </c>
      <c r="K803" t="str">
        <f>IF([2]Entry!$D$806="","",[2]Entry!$D$806)</f>
        <v/>
      </c>
      <c r="L803" t="str">
        <f>IF([2]Entry!$E$806="","",[2]Entry!$E$806)</f>
        <v/>
      </c>
      <c r="M803" t="str">
        <f>IF([2]Entry!$G$806="","",[2]Entry!$G$806)</f>
        <v/>
      </c>
      <c r="N803" t="str">
        <f>IF([2]Entry!$M$806="","",[2]Entry!$M$806)</f>
        <v/>
      </c>
      <c r="O803" t="str">
        <f>IF([2]Entry!$N$806="","",[2]Entry!$N$806)</f>
        <v/>
      </c>
      <c r="P803" t="str">
        <f>IF([2]Entry!$R$806="","",[2]Entry!$R$806)</f>
        <v/>
      </c>
    </row>
    <row r="804" spans="10:16" x14ac:dyDescent="0.2">
      <c r="J804" t="str">
        <f>IF([2]Entry!$C$807="","",[2]Entry!$C$807)</f>
        <v/>
      </c>
      <c r="K804" t="str">
        <f>IF([2]Entry!$D$807="","",[2]Entry!$D$807)</f>
        <v/>
      </c>
      <c r="L804" t="str">
        <f>IF([2]Entry!$E$807="","",[2]Entry!$E$807)</f>
        <v/>
      </c>
      <c r="M804" t="str">
        <f>IF([2]Entry!$G$807="","",[2]Entry!$G$807)</f>
        <v/>
      </c>
      <c r="N804" t="str">
        <f>IF([2]Entry!$M$807="","",[2]Entry!$M$807)</f>
        <v/>
      </c>
      <c r="O804" t="str">
        <f>IF([2]Entry!$N$807="","",[2]Entry!$N$807)</f>
        <v/>
      </c>
      <c r="P804" t="str">
        <f>IF([2]Entry!$R$807="","",[2]Entry!$R$807)</f>
        <v/>
      </c>
    </row>
    <row r="805" spans="10:16" x14ac:dyDescent="0.2">
      <c r="J805" t="str">
        <f>IF([2]Entry!$C$808="","",[2]Entry!$C$808)</f>
        <v/>
      </c>
      <c r="K805" t="str">
        <f>IF([2]Entry!$D$808="","",[2]Entry!$D$808)</f>
        <v/>
      </c>
      <c r="L805" t="str">
        <f>IF([2]Entry!$E$808="","",[2]Entry!$E$808)</f>
        <v/>
      </c>
      <c r="M805" t="str">
        <f>IF([2]Entry!$G$808="","",[2]Entry!$G$808)</f>
        <v/>
      </c>
      <c r="N805" t="str">
        <f>IF([2]Entry!$M$808="","",[2]Entry!$M$808)</f>
        <v/>
      </c>
      <c r="O805" t="str">
        <f>IF([2]Entry!$N$808="","",[2]Entry!$N$808)</f>
        <v/>
      </c>
      <c r="P805" t="str">
        <f>IF([2]Entry!$R$808="","",[2]Entry!$R$808)</f>
        <v/>
      </c>
    </row>
    <row r="806" spans="10:16" x14ac:dyDescent="0.2">
      <c r="J806" t="str">
        <f>IF([2]Entry!$C$809="","",[2]Entry!$C$809)</f>
        <v/>
      </c>
      <c r="K806" t="str">
        <f>IF([2]Entry!$D$809="","",[2]Entry!$D$809)</f>
        <v/>
      </c>
      <c r="L806" t="str">
        <f>IF([2]Entry!$E$809="","",[2]Entry!$E$809)</f>
        <v/>
      </c>
      <c r="M806" t="str">
        <f>IF([2]Entry!$G$809="","",[2]Entry!$G$809)</f>
        <v/>
      </c>
      <c r="N806" t="str">
        <f>IF([2]Entry!$M$809="","",[2]Entry!$M$809)</f>
        <v/>
      </c>
      <c r="O806" t="str">
        <f>IF([2]Entry!$N$809="","",[2]Entry!$N$809)</f>
        <v/>
      </c>
      <c r="P806" t="str">
        <f>IF([2]Entry!$R$809="","",[2]Entry!$R$809)</f>
        <v/>
      </c>
    </row>
    <row r="807" spans="10:16" x14ac:dyDescent="0.2">
      <c r="J807" t="str">
        <f>IF([2]Entry!$C$810="","",[2]Entry!$C$810)</f>
        <v/>
      </c>
      <c r="K807" t="str">
        <f>IF([2]Entry!$D$810="","",[2]Entry!$D$810)</f>
        <v/>
      </c>
      <c r="L807" t="str">
        <f>IF([2]Entry!$E$810="","",[2]Entry!$E$810)</f>
        <v/>
      </c>
      <c r="M807" t="str">
        <f>IF([2]Entry!$G$810="","",[2]Entry!$G$810)</f>
        <v/>
      </c>
      <c r="N807" t="str">
        <f>IF([2]Entry!$M$810="","",[2]Entry!$M$810)</f>
        <v/>
      </c>
      <c r="O807" t="str">
        <f>IF([2]Entry!$N$810="","",[2]Entry!$N$810)</f>
        <v/>
      </c>
      <c r="P807" t="str">
        <f>IF([2]Entry!$R$810="","",[2]Entry!$R$810)</f>
        <v/>
      </c>
    </row>
    <row r="808" spans="10:16" x14ac:dyDescent="0.2">
      <c r="J808" t="str">
        <f>IF([2]Entry!$C$811="","",[2]Entry!$C$811)</f>
        <v/>
      </c>
      <c r="K808" t="str">
        <f>IF([2]Entry!$D$811="","",[2]Entry!$D$811)</f>
        <v/>
      </c>
      <c r="L808" t="str">
        <f>IF([2]Entry!$E$811="","",[2]Entry!$E$811)</f>
        <v/>
      </c>
      <c r="M808" t="str">
        <f>IF([2]Entry!$G$811="","",[2]Entry!$G$811)</f>
        <v/>
      </c>
      <c r="N808" t="str">
        <f>IF([2]Entry!$M$811="","",[2]Entry!$M$811)</f>
        <v/>
      </c>
      <c r="O808" t="str">
        <f>IF([2]Entry!$N$811="","",[2]Entry!$N$811)</f>
        <v/>
      </c>
      <c r="P808" t="str">
        <f>IF([2]Entry!$R$811="","",[2]Entry!$R$811)</f>
        <v/>
      </c>
    </row>
    <row r="809" spans="10:16" x14ac:dyDescent="0.2">
      <c r="J809" t="str">
        <f>IF([2]Entry!$C$812="","",[2]Entry!$C$812)</f>
        <v/>
      </c>
      <c r="K809" t="str">
        <f>IF([2]Entry!$D$812="","",[2]Entry!$D$812)</f>
        <v/>
      </c>
      <c r="L809" t="str">
        <f>IF([2]Entry!$E$812="","",[2]Entry!$E$812)</f>
        <v/>
      </c>
      <c r="M809" t="str">
        <f>IF([2]Entry!$G$812="","",[2]Entry!$G$812)</f>
        <v/>
      </c>
      <c r="N809" t="str">
        <f>IF([2]Entry!$M$812="","",[2]Entry!$M$812)</f>
        <v/>
      </c>
      <c r="O809" t="str">
        <f>IF([2]Entry!$N$812="","",[2]Entry!$N$812)</f>
        <v/>
      </c>
      <c r="P809" t="str">
        <f>IF([2]Entry!$R$812="","",[2]Entry!$R$812)</f>
        <v/>
      </c>
    </row>
    <row r="810" spans="10:16" x14ac:dyDescent="0.2">
      <c r="J810" t="str">
        <f>IF([2]Entry!$C$813="","",[2]Entry!$C$813)</f>
        <v/>
      </c>
      <c r="K810" t="str">
        <f>IF([2]Entry!$D$813="","",[2]Entry!$D$813)</f>
        <v/>
      </c>
      <c r="L810" t="str">
        <f>IF([2]Entry!$E$813="","",[2]Entry!$E$813)</f>
        <v/>
      </c>
      <c r="M810" t="str">
        <f>IF([2]Entry!$G$813="","",[2]Entry!$G$813)</f>
        <v/>
      </c>
      <c r="N810" t="str">
        <f>IF([2]Entry!$M$813="","",[2]Entry!$M$813)</f>
        <v/>
      </c>
      <c r="O810" t="str">
        <f>IF([2]Entry!$N$813="","",[2]Entry!$N$813)</f>
        <v/>
      </c>
      <c r="P810" t="str">
        <f>IF([2]Entry!$R$813="","",[2]Entry!$R$813)</f>
        <v/>
      </c>
    </row>
    <row r="811" spans="10:16" x14ac:dyDescent="0.2">
      <c r="J811" t="str">
        <f>IF([2]Entry!$C$814="","",[2]Entry!$C$814)</f>
        <v/>
      </c>
      <c r="K811" t="str">
        <f>IF([2]Entry!$D$814="","",[2]Entry!$D$814)</f>
        <v/>
      </c>
      <c r="L811" t="str">
        <f>IF([2]Entry!$E$814="","",[2]Entry!$E$814)</f>
        <v/>
      </c>
      <c r="M811" t="str">
        <f>IF([2]Entry!$G$814="","",[2]Entry!$G$814)</f>
        <v/>
      </c>
      <c r="N811" t="str">
        <f>IF([2]Entry!$M$814="","",[2]Entry!$M$814)</f>
        <v/>
      </c>
      <c r="O811" t="str">
        <f>IF([2]Entry!$N$814="","",[2]Entry!$N$814)</f>
        <v/>
      </c>
      <c r="P811" t="str">
        <f>IF([2]Entry!$R$814="","",[2]Entry!$R$814)</f>
        <v/>
      </c>
    </row>
    <row r="812" spans="10:16" x14ac:dyDescent="0.2">
      <c r="J812" t="str">
        <f>IF([2]Entry!$C$815="","",[2]Entry!$C$815)</f>
        <v/>
      </c>
      <c r="K812" t="str">
        <f>IF([2]Entry!$D$815="","",[2]Entry!$D$815)</f>
        <v/>
      </c>
      <c r="L812" t="str">
        <f>IF([2]Entry!$E$815="","",[2]Entry!$E$815)</f>
        <v/>
      </c>
      <c r="M812" t="str">
        <f>IF([2]Entry!$G$815="","",[2]Entry!$G$815)</f>
        <v/>
      </c>
      <c r="N812" t="str">
        <f>IF([2]Entry!$M$815="","",[2]Entry!$M$815)</f>
        <v/>
      </c>
      <c r="O812" t="str">
        <f>IF([2]Entry!$N$815="","",[2]Entry!$N$815)</f>
        <v/>
      </c>
      <c r="P812" t="str">
        <f>IF([2]Entry!$R$815="","",[2]Entry!$R$815)</f>
        <v/>
      </c>
    </row>
    <row r="813" spans="10:16" x14ac:dyDescent="0.2">
      <c r="J813" t="str">
        <f>IF([2]Entry!$C$816="","",[2]Entry!$C$816)</f>
        <v/>
      </c>
      <c r="K813" t="str">
        <f>IF([2]Entry!$D$816="","",[2]Entry!$D$816)</f>
        <v/>
      </c>
      <c r="L813" t="str">
        <f>IF([2]Entry!$E$816="","",[2]Entry!$E$816)</f>
        <v/>
      </c>
      <c r="M813" t="str">
        <f>IF([2]Entry!$G$816="","",[2]Entry!$G$816)</f>
        <v/>
      </c>
      <c r="N813" t="str">
        <f>IF([2]Entry!$M$816="","",[2]Entry!$M$816)</f>
        <v/>
      </c>
      <c r="O813" t="str">
        <f>IF([2]Entry!$N$816="","",[2]Entry!$N$816)</f>
        <v/>
      </c>
      <c r="P813" t="str">
        <f>IF([2]Entry!$R$816="","",[2]Entry!$R$816)</f>
        <v/>
      </c>
    </row>
    <row r="814" spans="10:16" x14ac:dyDescent="0.2">
      <c r="J814" t="str">
        <f>IF([2]Entry!$C$817="","",[2]Entry!$C$817)</f>
        <v/>
      </c>
      <c r="K814" t="str">
        <f>IF([2]Entry!$D$817="","",[2]Entry!$D$817)</f>
        <v/>
      </c>
      <c r="L814" t="str">
        <f>IF([2]Entry!$E$817="","",[2]Entry!$E$817)</f>
        <v/>
      </c>
      <c r="M814" t="str">
        <f>IF([2]Entry!$G$817="","",[2]Entry!$G$817)</f>
        <v/>
      </c>
      <c r="N814" t="str">
        <f>IF([2]Entry!$M$817="","",[2]Entry!$M$817)</f>
        <v/>
      </c>
      <c r="O814" t="str">
        <f>IF([2]Entry!$N$817="","",[2]Entry!$N$817)</f>
        <v/>
      </c>
      <c r="P814" t="str">
        <f>IF([2]Entry!$R$817="","",[2]Entry!$R$817)</f>
        <v/>
      </c>
    </row>
    <row r="815" spans="10:16" x14ac:dyDescent="0.2">
      <c r="J815" t="str">
        <f>IF([2]Entry!$C$818="","",[2]Entry!$C$818)</f>
        <v/>
      </c>
      <c r="K815" t="str">
        <f>IF([2]Entry!$D$818="","",[2]Entry!$D$818)</f>
        <v/>
      </c>
      <c r="L815" t="str">
        <f>IF([2]Entry!$E$818="","",[2]Entry!$E$818)</f>
        <v/>
      </c>
      <c r="M815" t="str">
        <f>IF([2]Entry!$G$818="","",[2]Entry!$G$818)</f>
        <v/>
      </c>
      <c r="N815" t="str">
        <f>IF([2]Entry!$M$818="","",[2]Entry!$M$818)</f>
        <v/>
      </c>
      <c r="O815" t="str">
        <f>IF([2]Entry!$N$818="","",[2]Entry!$N$818)</f>
        <v/>
      </c>
      <c r="P815" t="str">
        <f>IF([2]Entry!$R$818="","",[2]Entry!$R$818)</f>
        <v/>
      </c>
    </row>
    <row r="816" spans="10:16" x14ac:dyDescent="0.2">
      <c r="J816" t="str">
        <f>IF([2]Entry!$C$819="","",[2]Entry!$C$819)</f>
        <v/>
      </c>
      <c r="K816" t="str">
        <f>IF([2]Entry!$D$819="","",[2]Entry!$D$819)</f>
        <v/>
      </c>
      <c r="L816" t="str">
        <f>IF([2]Entry!$E$819="","",[2]Entry!$E$819)</f>
        <v/>
      </c>
      <c r="M816" t="str">
        <f>IF([2]Entry!$G$819="","",[2]Entry!$G$819)</f>
        <v/>
      </c>
      <c r="N816" t="str">
        <f>IF([2]Entry!$M$819="","",[2]Entry!$M$819)</f>
        <v/>
      </c>
      <c r="O816" t="str">
        <f>IF([2]Entry!$N$819="","",[2]Entry!$N$819)</f>
        <v/>
      </c>
      <c r="P816" t="str">
        <f>IF([2]Entry!$R$819="","",[2]Entry!$R$819)</f>
        <v/>
      </c>
    </row>
    <row r="817" spans="10:16" x14ac:dyDescent="0.2">
      <c r="J817" t="str">
        <f>IF([2]Entry!$C$820="","",[2]Entry!$C$820)</f>
        <v/>
      </c>
      <c r="K817" t="str">
        <f>IF([2]Entry!$D$820="","",[2]Entry!$D$820)</f>
        <v/>
      </c>
      <c r="L817" t="str">
        <f>IF([2]Entry!$E$820="","",[2]Entry!$E$820)</f>
        <v/>
      </c>
      <c r="M817" t="str">
        <f>IF([2]Entry!$G$820="","",[2]Entry!$G$820)</f>
        <v/>
      </c>
      <c r="N817" t="str">
        <f>IF([2]Entry!$M$820="","",[2]Entry!$M$820)</f>
        <v/>
      </c>
      <c r="O817" t="str">
        <f>IF([2]Entry!$N$820="","",[2]Entry!$N$820)</f>
        <v/>
      </c>
      <c r="P817" t="str">
        <f>IF([2]Entry!$R$820="","",[2]Entry!$R$820)</f>
        <v/>
      </c>
    </row>
    <row r="818" spans="10:16" x14ac:dyDescent="0.2">
      <c r="J818" t="str">
        <f>IF([2]Entry!$C$821="","",[2]Entry!$C$821)</f>
        <v/>
      </c>
      <c r="K818" t="str">
        <f>IF([2]Entry!$D$821="","",[2]Entry!$D$821)</f>
        <v/>
      </c>
      <c r="L818" t="str">
        <f>IF([2]Entry!$E$821="","",[2]Entry!$E$821)</f>
        <v/>
      </c>
      <c r="M818" t="str">
        <f>IF([2]Entry!$G$821="","",[2]Entry!$G$821)</f>
        <v/>
      </c>
      <c r="N818" t="str">
        <f>IF([2]Entry!$M$821="","",[2]Entry!$M$821)</f>
        <v/>
      </c>
      <c r="O818" t="str">
        <f>IF([2]Entry!$N$821="","",[2]Entry!$N$821)</f>
        <v/>
      </c>
      <c r="P818" t="str">
        <f>IF([2]Entry!$R$821="","",[2]Entry!$R$821)</f>
        <v/>
      </c>
    </row>
    <row r="819" spans="10:16" x14ac:dyDescent="0.2">
      <c r="J819" t="str">
        <f>IF([2]Entry!$C$822="","",[2]Entry!$C$822)</f>
        <v/>
      </c>
      <c r="K819" t="str">
        <f>IF([2]Entry!$D$822="","",[2]Entry!$D$822)</f>
        <v/>
      </c>
      <c r="L819" t="str">
        <f>IF([2]Entry!$E$822="","",[2]Entry!$E$822)</f>
        <v/>
      </c>
      <c r="M819" t="str">
        <f>IF([2]Entry!$G$822="","",[2]Entry!$G$822)</f>
        <v/>
      </c>
      <c r="N819" t="str">
        <f>IF([2]Entry!$M$822="","",[2]Entry!$M$822)</f>
        <v/>
      </c>
      <c r="O819" t="str">
        <f>IF([2]Entry!$N$822="","",[2]Entry!$N$822)</f>
        <v/>
      </c>
      <c r="P819" t="str">
        <f>IF([2]Entry!$R$822="","",[2]Entry!$R$822)</f>
        <v/>
      </c>
    </row>
    <row r="820" spans="10:16" x14ac:dyDescent="0.2">
      <c r="J820" t="str">
        <f>IF([2]Entry!$C$823="","",[2]Entry!$C$823)</f>
        <v/>
      </c>
      <c r="K820" t="str">
        <f>IF([2]Entry!$D$823="","",[2]Entry!$D$823)</f>
        <v/>
      </c>
      <c r="L820" t="str">
        <f>IF([2]Entry!$E$823="","",[2]Entry!$E$823)</f>
        <v/>
      </c>
      <c r="M820" t="str">
        <f>IF([2]Entry!$G$823="","",[2]Entry!$G$823)</f>
        <v/>
      </c>
      <c r="N820" t="str">
        <f>IF([2]Entry!$M$823="","",[2]Entry!$M$823)</f>
        <v/>
      </c>
      <c r="O820" t="str">
        <f>IF([2]Entry!$N$823="","",[2]Entry!$N$823)</f>
        <v/>
      </c>
      <c r="P820" t="str">
        <f>IF([2]Entry!$R$823="","",[2]Entry!$R$823)</f>
        <v/>
      </c>
    </row>
    <row r="821" spans="10:16" x14ac:dyDescent="0.2">
      <c r="J821" t="str">
        <f>IF([2]Entry!$C$824="","",[2]Entry!$C$824)</f>
        <v/>
      </c>
      <c r="K821" t="str">
        <f>IF([2]Entry!$D$824="","",[2]Entry!$D$824)</f>
        <v/>
      </c>
      <c r="L821" t="str">
        <f>IF([2]Entry!$E$824="","",[2]Entry!$E$824)</f>
        <v/>
      </c>
      <c r="M821" t="str">
        <f>IF([2]Entry!$G$824="","",[2]Entry!$G$824)</f>
        <v/>
      </c>
      <c r="N821" t="str">
        <f>IF([2]Entry!$M$824="","",[2]Entry!$M$824)</f>
        <v/>
      </c>
      <c r="O821" t="str">
        <f>IF([2]Entry!$N$824="","",[2]Entry!$N$824)</f>
        <v/>
      </c>
      <c r="P821" t="str">
        <f>IF([2]Entry!$R$824="","",[2]Entry!$R$824)</f>
        <v/>
      </c>
    </row>
    <row r="822" spans="10:16" x14ac:dyDescent="0.2">
      <c r="J822" t="str">
        <f>IF([2]Entry!$C$825="","",[2]Entry!$C$825)</f>
        <v/>
      </c>
      <c r="K822" t="str">
        <f>IF([2]Entry!$D$825="","",[2]Entry!$D$825)</f>
        <v/>
      </c>
      <c r="L822" t="str">
        <f>IF([2]Entry!$E$825="","",[2]Entry!$E$825)</f>
        <v/>
      </c>
      <c r="M822" t="str">
        <f>IF([2]Entry!$G$825="","",[2]Entry!$G$825)</f>
        <v/>
      </c>
      <c r="N822" t="str">
        <f>IF([2]Entry!$M$825="","",[2]Entry!$M$825)</f>
        <v/>
      </c>
      <c r="O822" t="str">
        <f>IF([2]Entry!$N$825="","",[2]Entry!$N$825)</f>
        <v/>
      </c>
      <c r="P822" t="str">
        <f>IF([2]Entry!$R$825="","",[2]Entry!$R$825)</f>
        <v/>
      </c>
    </row>
    <row r="823" spans="10:16" x14ac:dyDescent="0.2">
      <c r="J823" t="str">
        <f>IF([2]Entry!$C$826="","",[2]Entry!$C$826)</f>
        <v/>
      </c>
      <c r="K823" t="str">
        <f>IF([2]Entry!$D$826="","",[2]Entry!$D$826)</f>
        <v/>
      </c>
      <c r="L823" t="str">
        <f>IF([2]Entry!$E$826="","",[2]Entry!$E$826)</f>
        <v/>
      </c>
      <c r="M823" t="str">
        <f>IF([2]Entry!$G$826="","",[2]Entry!$G$826)</f>
        <v/>
      </c>
      <c r="N823" t="str">
        <f>IF([2]Entry!$M$826="","",[2]Entry!$M$826)</f>
        <v/>
      </c>
      <c r="O823" t="str">
        <f>IF([2]Entry!$N$826="","",[2]Entry!$N$826)</f>
        <v/>
      </c>
      <c r="P823" t="str">
        <f>IF([2]Entry!$R$826="","",[2]Entry!$R$826)</f>
        <v/>
      </c>
    </row>
    <row r="824" spans="10:16" x14ac:dyDescent="0.2">
      <c r="J824" t="str">
        <f>IF([2]Entry!$C$827="","",[2]Entry!$C$827)</f>
        <v/>
      </c>
      <c r="K824" t="str">
        <f>IF([2]Entry!$D$827="","",[2]Entry!$D$827)</f>
        <v/>
      </c>
      <c r="L824" t="str">
        <f>IF([2]Entry!$E$827="","",[2]Entry!$E$827)</f>
        <v/>
      </c>
      <c r="M824" t="str">
        <f>IF([2]Entry!$G$827="","",[2]Entry!$G$827)</f>
        <v/>
      </c>
      <c r="N824" t="str">
        <f>IF([2]Entry!$M$827="","",[2]Entry!$M$827)</f>
        <v/>
      </c>
      <c r="O824" t="str">
        <f>IF([2]Entry!$N$827="","",[2]Entry!$N$827)</f>
        <v/>
      </c>
      <c r="P824" t="str">
        <f>IF([2]Entry!$R$827="","",[2]Entry!$R$827)</f>
        <v/>
      </c>
    </row>
    <row r="825" spans="10:16" x14ac:dyDescent="0.2">
      <c r="J825" t="str">
        <f>IF([2]Entry!$C$828="","",[2]Entry!$C$828)</f>
        <v/>
      </c>
      <c r="K825" t="str">
        <f>IF([2]Entry!$D$828="","",[2]Entry!$D$828)</f>
        <v/>
      </c>
      <c r="L825" t="str">
        <f>IF([2]Entry!$E$828="","",[2]Entry!$E$828)</f>
        <v/>
      </c>
      <c r="M825" t="str">
        <f>IF([2]Entry!$G$828="","",[2]Entry!$G$828)</f>
        <v/>
      </c>
      <c r="N825" t="str">
        <f>IF([2]Entry!$M$828="","",[2]Entry!$M$828)</f>
        <v/>
      </c>
      <c r="O825" t="str">
        <f>IF([2]Entry!$N$828="","",[2]Entry!$N$828)</f>
        <v/>
      </c>
      <c r="P825" t="str">
        <f>IF([2]Entry!$R$828="","",[2]Entry!$R$828)</f>
        <v/>
      </c>
    </row>
    <row r="826" spans="10:16" x14ac:dyDescent="0.2">
      <c r="J826" t="str">
        <f>IF([2]Entry!$C$829="","",[2]Entry!$C$829)</f>
        <v/>
      </c>
      <c r="K826" t="str">
        <f>IF([2]Entry!$D$829="","",[2]Entry!$D$829)</f>
        <v/>
      </c>
      <c r="L826" t="str">
        <f>IF([2]Entry!$E$829="","",[2]Entry!$E$829)</f>
        <v/>
      </c>
      <c r="M826" t="str">
        <f>IF([2]Entry!$G$829="","",[2]Entry!$G$829)</f>
        <v/>
      </c>
      <c r="N826" t="str">
        <f>IF([2]Entry!$M$829="","",[2]Entry!$M$829)</f>
        <v/>
      </c>
      <c r="O826" t="str">
        <f>IF([2]Entry!$N$829="","",[2]Entry!$N$829)</f>
        <v/>
      </c>
      <c r="P826" t="str">
        <f>IF([2]Entry!$R$829="","",[2]Entry!$R$829)</f>
        <v/>
      </c>
    </row>
    <row r="827" spans="10:16" x14ac:dyDescent="0.2">
      <c r="J827" t="str">
        <f>IF([2]Entry!$C$830="","",[2]Entry!$C$830)</f>
        <v/>
      </c>
      <c r="K827" t="str">
        <f>IF([2]Entry!$D$830="","",[2]Entry!$D$830)</f>
        <v/>
      </c>
      <c r="L827" t="str">
        <f>IF([2]Entry!$E$830="","",[2]Entry!$E$830)</f>
        <v/>
      </c>
      <c r="M827" t="str">
        <f>IF([2]Entry!$G$830="","",[2]Entry!$G$830)</f>
        <v/>
      </c>
      <c r="N827" t="str">
        <f>IF([2]Entry!$M$830="","",[2]Entry!$M$830)</f>
        <v/>
      </c>
      <c r="O827" t="str">
        <f>IF([2]Entry!$N$830="","",[2]Entry!$N$830)</f>
        <v/>
      </c>
      <c r="P827" t="str">
        <f>IF([2]Entry!$R$830="","",[2]Entry!$R$830)</f>
        <v/>
      </c>
    </row>
    <row r="828" spans="10:16" x14ac:dyDescent="0.2">
      <c r="J828" t="str">
        <f>IF([2]Entry!$C$831="","",[2]Entry!$C$831)</f>
        <v/>
      </c>
      <c r="K828" t="str">
        <f>IF([2]Entry!$D$831="","",[2]Entry!$D$831)</f>
        <v/>
      </c>
      <c r="L828" t="str">
        <f>IF([2]Entry!$E$831="","",[2]Entry!$E$831)</f>
        <v/>
      </c>
      <c r="M828" t="str">
        <f>IF([2]Entry!$G$831="","",[2]Entry!$G$831)</f>
        <v/>
      </c>
      <c r="N828" t="str">
        <f>IF([2]Entry!$M$831="","",[2]Entry!$M$831)</f>
        <v/>
      </c>
      <c r="O828" t="str">
        <f>IF([2]Entry!$N$831="","",[2]Entry!$N$831)</f>
        <v/>
      </c>
      <c r="P828" t="str">
        <f>IF([2]Entry!$R$831="","",[2]Entry!$R$831)</f>
        <v/>
      </c>
    </row>
    <row r="829" spans="10:16" x14ac:dyDescent="0.2">
      <c r="J829" t="str">
        <f>IF([2]Entry!$C$832="","",[2]Entry!$C$832)</f>
        <v/>
      </c>
      <c r="K829" t="str">
        <f>IF([2]Entry!$D$832="","",[2]Entry!$D$832)</f>
        <v/>
      </c>
      <c r="L829" t="str">
        <f>IF([2]Entry!$E$832="","",[2]Entry!$E$832)</f>
        <v/>
      </c>
      <c r="M829" t="str">
        <f>IF([2]Entry!$G$832="","",[2]Entry!$G$832)</f>
        <v/>
      </c>
      <c r="N829" t="str">
        <f>IF([2]Entry!$M$832="","",[2]Entry!$M$832)</f>
        <v/>
      </c>
      <c r="O829" t="str">
        <f>IF([2]Entry!$N$832="","",[2]Entry!$N$832)</f>
        <v/>
      </c>
      <c r="P829" t="str">
        <f>IF([2]Entry!$R$832="","",[2]Entry!$R$832)</f>
        <v/>
      </c>
    </row>
    <row r="830" spans="10:16" x14ac:dyDescent="0.2">
      <c r="J830" t="str">
        <f>IF([2]Entry!$C$833="","",[2]Entry!$C$833)</f>
        <v/>
      </c>
      <c r="K830" t="str">
        <f>IF([2]Entry!$D$833="","",[2]Entry!$D$833)</f>
        <v/>
      </c>
      <c r="L830" t="str">
        <f>IF([2]Entry!$E$833="","",[2]Entry!$E$833)</f>
        <v/>
      </c>
      <c r="M830" t="str">
        <f>IF([2]Entry!$G$833="","",[2]Entry!$G$833)</f>
        <v/>
      </c>
      <c r="N830" t="str">
        <f>IF([2]Entry!$M$833="","",[2]Entry!$M$833)</f>
        <v/>
      </c>
      <c r="O830" t="str">
        <f>IF([2]Entry!$N$833="","",[2]Entry!$N$833)</f>
        <v/>
      </c>
      <c r="P830" t="str">
        <f>IF([2]Entry!$R$833="","",[2]Entry!$R$833)</f>
        <v/>
      </c>
    </row>
    <row r="831" spans="10:16" x14ac:dyDescent="0.2">
      <c r="J831" t="str">
        <f>IF([2]Entry!$C$834="","",[2]Entry!$C$834)</f>
        <v/>
      </c>
      <c r="K831" t="str">
        <f>IF([2]Entry!$D$834="","",[2]Entry!$D$834)</f>
        <v/>
      </c>
      <c r="L831" t="str">
        <f>IF([2]Entry!$E$834="","",[2]Entry!$E$834)</f>
        <v/>
      </c>
      <c r="M831" t="str">
        <f>IF([2]Entry!$G$834="","",[2]Entry!$G$834)</f>
        <v/>
      </c>
      <c r="N831" t="str">
        <f>IF([2]Entry!$M$834="","",[2]Entry!$M$834)</f>
        <v/>
      </c>
      <c r="O831" t="str">
        <f>IF([2]Entry!$N$834="","",[2]Entry!$N$834)</f>
        <v/>
      </c>
      <c r="P831" t="str">
        <f>IF([2]Entry!$R$834="","",[2]Entry!$R$834)</f>
        <v/>
      </c>
    </row>
    <row r="832" spans="10:16" x14ac:dyDescent="0.2">
      <c r="J832" t="str">
        <f>IF([2]Entry!$C$835="","",[2]Entry!$C$835)</f>
        <v/>
      </c>
      <c r="K832" t="str">
        <f>IF([2]Entry!$D$835="","",[2]Entry!$D$835)</f>
        <v/>
      </c>
      <c r="L832" t="str">
        <f>IF([2]Entry!$E$835="","",[2]Entry!$E$835)</f>
        <v/>
      </c>
      <c r="M832" t="str">
        <f>IF([2]Entry!$G$835="","",[2]Entry!$G$835)</f>
        <v/>
      </c>
      <c r="N832" t="str">
        <f>IF([2]Entry!$M$835="","",[2]Entry!$M$835)</f>
        <v/>
      </c>
      <c r="O832" t="str">
        <f>IF([2]Entry!$N$835="","",[2]Entry!$N$835)</f>
        <v/>
      </c>
      <c r="P832" t="str">
        <f>IF([2]Entry!$R$835="","",[2]Entry!$R$835)</f>
        <v/>
      </c>
    </row>
    <row r="833" spans="10:16" x14ac:dyDescent="0.2">
      <c r="J833" t="str">
        <f>IF([2]Entry!$C$836="","",[2]Entry!$C$836)</f>
        <v/>
      </c>
      <c r="K833" t="str">
        <f>IF([2]Entry!$D$836="","",[2]Entry!$D$836)</f>
        <v/>
      </c>
      <c r="L833" t="str">
        <f>IF([2]Entry!$E$836="","",[2]Entry!$E$836)</f>
        <v/>
      </c>
      <c r="M833" t="str">
        <f>IF([2]Entry!$G$836="","",[2]Entry!$G$836)</f>
        <v/>
      </c>
      <c r="N833" t="str">
        <f>IF([2]Entry!$M$836="","",[2]Entry!$M$836)</f>
        <v/>
      </c>
      <c r="O833" t="str">
        <f>IF([2]Entry!$N$836="","",[2]Entry!$N$836)</f>
        <v/>
      </c>
      <c r="P833" t="str">
        <f>IF([2]Entry!$R$836="","",[2]Entry!$R$836)</f>
        <v/>
      </c>
    </row>
    <row r="834" spans="10:16" x14ac:dyDescent="0.2">
      <c r="J834" t="str">
        <f>IF([2]Entry!$C$837="","",[2]Entry!$C$837)</f>
        <v/>
      </c>
      <c r="K834" t="str">
        <f>IF([2]Entry!$D$837="","",[2]Entry!$D$837)</f>
        <v/>
      </c>
      <c r="L834" t="str">
        <f>IF([2]Entry!$E$837="","",[2]Entry!$E$837)</f>
        <v/>
      </c>
      <c r="M834" t="str">
        <f>IF([2]Entry!$G$837="","",[2]Entry!$G$837)</f>
        <v/>
      </c>
      <c r="N834" t="str">
        <f>IF([2]Entry!$M$837="","",[2]Entry!$M$837)</f>
        <v/>
      </c>
      <c r="O834" t="str">
        <f>IF([2]Entry!$N$837="","",[2]Entry!$N$837)</f>
        <v/>
      </c>
      <c r="P834" t="str">
        <f>IF([2]Entry!$R$837="","",[2]Entry!$R$837)</f>
        <v/>
      </c>
    </row>
    <row r="835" spans="10:16" x14ac:dyDescent="0.2">
      <c r="J835" t="str">
        <f>IF([2]Entry!$C$838="","",[2]Entry!$C$838)</f>
        <v/>
      </c>
      <c r="K835" t="str">
        <f>IF([2]Entry!$D$838="","",[2]Entry!$D$838)</f>
        <v/>
      </c>
      <c r="L835" t="str">
        <f>IF([2]Entry!$E$838="","",[2]Entry!$E$838)</f>
        <v/>
      </c>
      <c r="M835" t="str">
        <f>IF([2]Entry!$G$838="","",[2]Entry!$G$838)</f>
        <v/>
      </c>
      <c r="N835" t="str">
        <f>IF([2]Entry!$M$838="","",[2]Entry!$M$838)</f>
        <v/>
      </c>
      <c r="O835" t="str">
        <f>IF([2]Entry!$N$838="","",[2]Entry!$N$838)</f>
        <v/>
      </c>
      <c r="P835" t="str">
        <f>IF([2]Entry!$R$838="","",[2]Entry!$R$838)</f>
        <v/>
      </c>
    </row>
    <row r="836" spans="10:16" x14ac:dyDescent="0.2">
      <c r="J836" t="str">
        <f>IF([2]Entry!$C$839="","",[2]Entry!$C$839)</f>
        <v/>
      </c>
      <c r="K836" t="str">
        <f>IF([2]Entry!$D$839="","",[2]Entry!$D$839)</f>
        <v/>
      </c>
      <c r="L836" t="str">
        <f>IF([2]Entry!$E$839="","",[2]Entry!$E$839)</f>
        <v/>
      </c>
      <c r="M836" t="str">
        <f>IF([2]Entry!$G$839="","",[2]Entry!$G$839)</f>
        <v/>
      </c>
      <c r="N836" t="str">
        <f>IF([2]Entry!$M$839="","",[2]Entry!$M$839)</f>
        <v/>
      </c>
      <c r="O836" t="str">
        <f>IF([2]Entry!$N$839="","",[2]Entry!$N$839)</f>
        <v/>
      </c>
      <c r="P836" t="str">
        <f>IF([2]Entry!$R$839="","",[2]Entry!$R$839)</f>
        <v/>
      </c>
    </row>
    <row r="837" spans="10:16" x14ac:dyDescent="0.2">
      <c r="J837" t="str">
        <f>IF([2]Entry!$C$840="","",[2]Entry!$C$840)</f>
        <v/>
      </c>
      <c r="K837" t="str">
        <f>IF([2]Entry!$D$840="","",[2]Entry!$D$840)</f>
        <v/>
      </c>
      <c r="L837" t="str">
        <f>IF([2]Entry!$E$840="","",[2]Entry!$E$840)</f>
        <v/>
      </c>
      <c r="M837" t="str">
        <f>IF([2]Entry!$G$840="","",[2]Entry!$G$840)</f>
        <v/>
      </c>
      <c r="N837" t="str">
        <f>IF([2]Entry!$M$840="","",[2]Entry!$M$840)</f>
        <v/>
      </c>
      <c r="O837" t="str">
        <f>IF([2]Entry!$N$840="","",[2]Entry!$N$840)</f>
        <v/>
      </c>
      <c r="P837" t="str">
        <f>IF([2]Entry!$R$840="","",[2]Entry!$R$840)</f>
        <v/>
      </c>
    </row>
    <row r="838" spans="10:16" x14ac:dyDescent="0.2">
      <c r="J838" t="str">
        <f>IF([2]Entry!$C$841="","",[2]Entry!$C$841)</f>
        <v/>
      </c>
      <c r="K838" t="str">
        <f>IF([2]Entry!$D$841="","",[2]Entry!$D$841)</f>
        <v/>
      </c>
      <c r="L838" t="str">
        <f>IF([2]Entry!$E$841="","",[2]Entry!$E$841)</f>
        <v/>
      </c>
      <c r="M838" t="str">
        <f>IF([2]Entry!$G$841="","",[2]Entry!$G$841)</f>
        <v/>
      </c>
      <c r="N838" t="str">
        <f>IF([2]Entry!$M$841="","",[2]Entry!$M$841)</f>
        <v/>
      </c>
      <c r="O838" t="str">
        <f>IF([2]Entry!$N$841="","",[2]Entry!$N$841)</f>
        <v/>
      </c>
      <c r="P838" t="str">
        <f>IF([2]Entry!$R$841="","",[2]Entry!$R$841)</f>
        <v/>
      </c>
    </row>
    <row r="839" spans="10:16" x14ac:dyDescent="0.2">
      <c r="J839" t="str">
        <f>IF([2]Entry!$C$842="","",[2]Entry!$C$842)</f>
        <v/>
      </c>
      <c r="K839" t="str">
        <f>IF([2]Entry!$D$842="","",[2]Entry!$D$842)</f>
        <v/>
      </c>
      <c r="L839" t="str">
        <f>IF([2]Entry!$E$842="","",[2]Entry!$E$842)</f>
        <v/>
      </c>
      <c r="M839" t="str">
        <f>IF([2]Entry!$G$842="","",[2]Entry!$G$842)</f>
        <v/>
      </c>
      <c r="N839" t="str">
        <f>IF([2]Entry!$M$842="","",[2]Entry!$M$842)</f>
        <v/>
      </c>
      <c r="O839" t="str">
        <f>IF([2]Entry!$N$842="","",[2]Entry!$N$842)</f>
        <v/>
      </c>
      <c r="P839" t="str">
        <f>IF([2]Entry!$R$842="","",[2]Entry!$R$842)</f>
        <v/>
      </c>
    </row>
    <row r="840" spans="10:16" x14ac:dyDescent="0.2">
      <c r="J840" t="str">
        <f>IF([2]Entry!$C$843="","",[2]Entry!$C$843)</f>
        <v/>
      </c>
      <c r="K840" t="str">
        <f>IF([2]Entry!$D$843="","",[2]Entry!$D$843)</f>
        <v/>
      </c>
      <c r="L840" t="str">
        <f>IF([2]Entry!$E$843="","",[2]Entry!$E$843)</f>
        <v/>
      </c>
      <c r="M840" t="str">
        <f>IF([2]Entry!$G$843="","",[2]Entry!$G$843)</f>
        <v/>
      </c>
      <c r="N840" t="str">
        <f>IF([2]Entry!$M$843="","",[2]Entry!$M$843)</f>
        <v/>
      </c>
      <c r="O840" t="str">
        <f>IF([2]Entry!$N$843="","",[2]Entry!$N$843)</f>
        <v/>
      </c>
      <c r="P840" t="str">
        <f>IF([2]Entry!$R$843="","",[2]Entry!$R$843)</f>
        <v/>
      </c>
    </row>
    <row r="841" spans="10:16" x14ac:dyDescent="0.2">
      <c r="J841" t="str">
        <f>IF([2]Entry!$C$844="","",[2]Entry!$C$844)</f>
        <v/>
      </c>
      <c r="K841" t="str">
        <f>IF([2]Entry!$D$844="","",[2]Entry!$D$844)</f>
        <v/>
      </c>
      <c r="L841" t="str">
        <f>IF([2]Entry!$E$844="","",[2]Entry!$E$844)</f>
        <v/>
      </c>
      <c r="M841" t="str">
        <f>IF([2]Entry!$G$844="","",[2]Entry!$G$844)</f>
        <v/>
      </c>
      <c r="N841" t="str">
        <f>IF([2]Entry!$M$844="","",[2]Entry!$M$844)</f>
        <v/>
      </c>
      <c r="O841" t="str">
        <f>IF([2]Entry!$N$844="","",[2]Entry!$N$844)</f>
        <v/>
      </c>
      <c r="P841" t="str">
        <f>IF([2]Entry!$R$844="","",[2]Entry!$R$844)</f>
        <v/>
      </c>
    </row>
    <row r="842" spans="10:16" x14ac:dyDescent="0.2">
      <c r="J842" t="str">
        <f>IF([2]Entry!$C$845="","",[2]Entry!$C$845)</f>
        <v/>
      </c>
      <c r="K842" t="str">
        <f>IF([2]Entry!$D$845="","",[2]Entry!$D$845)</f>
        <v/>
      </c>
      <c r="L842" t="str">
        <f>IF([2]Entry!$E$845="","",[2]Entry!$E$845)</f>
        <v/>
      </c>
      <c r="M842" t="str">
        <f>IF([2]Entry!$G$845="","",[2]Entry!$G$845)</f>
        <v/>
      </c>
      <c r="N842" t="str">
        <f>IF([2]Entry!$M$845="","",[2]Entry!$M$845)</f>
        <v/>
      </c>
      <c r="O842" t="str">
        <f>IF([2]Entry!$N$845="","",[2]Entry!$N$845)</f>
        <v/>
      </c>
      <c r="P842" t="str">
        <f>IF([2]Entry!$R$845="","",[2]Entry!$R$845)</f>
        <v/>
      </c>
    </row>
    <row r="843" spans="10:16" x14ac:dyDescent="0.2">
      <c r="J843" t="str">
        <f>IF([2]Entry!$C$846="","",[2]Entry!$C$846)</f>
        <v/>
      </c>
      <c r="K843" t="str">
        <f>IF([2]Entry!$D$846="","",[2]Entry!$D$846)</f>
        <v/>
      </c>
      <c r="L843" t="str">
        <f>IF([2]Entry!$E$846="","",[2]Entry!$E$846)</f>
        <v/>
      </c>
      <c r="M843" t="str">
        <f>IF([2]Entry!$G$846="","",[2]Entry!$G$846)</f>
        <v/>
      </c>
      <c r="N843" t="str">
        <f>IF([2]Entry!$M$846="","",[2]Entry!$M$846)</f>
        <v/>
      </c>
      <c r="O843" t="str">
        <f>IF([2]Entry!$N$846="","",[2]Entry!$N$846)</f>
        <v/>
      </c>
      <c r="P843" t="str">
        <f>IF([2]Entry!$R$846="","",[2]Entry!$R$846)</f>
        <v/>
      </c>
    </row>
    <row r="844" spans="10:16" x14ac:dyDescent="0.2">
      <c r="J844" t="str">
        <f>IF([2]Entry!$C$847="","",[2]Entry!$C$847)</f>
        <v/>
      </c>
      <c r="K844" t="str">
        <f>IF([2]Entry!$D$847="","",[2]Entry!$D$847)</f>
        <v/>
      </c>
      <c r="L844" t="str">
        <f>IF([2]Entry!$E$847="","",[2]Entry!$E$847)</f>
        <v/>
      </c>
      <c r="M844" t="str">
        <f>IF([2]Entry!$G$847="","",[2]Entry!$G$847)</f>
        <v/>
      </c>
      <c r="N844" t="str">
        <f>IF([2]Entry!$M$847="","",[2]Entry!$M$847)</f>
        <v/>
      </c>
      <c r="O844" t="str">
        <f>IF([2]Entry!$N$847="","",[2]Entry!$N$847)</f>
        <v/>
      </c>
      <c r="P844" t="str">
        <f>IF([2]Entry!$R$847="","",[2]Entry!$R$847)</f>
        <v/>
      </c>
    </row>
    <row r="845" spans="10:16" x14ac:dyDescent="0.2">
      <c r="J845" t="str">
        <f>IF([2]Entry!$C$848="","",[2]Entry!$C$848)</f>
        <v/>
      </c>
      <c r="K845" t="str">
        <f>IF([2]Entry!$D$848="","",[2]Entry!$D$848)</f>
        <v/>
      </c>
      <c r="L845" t="str">
        <f>IF([2]Entry!$E$848="","",[2]Entry!$E$848)</f>
        <v/>
      </c>
      <c r="M845" t="str">
        <f>IF([2]Entry!$G$848="","",[2]Entry!$G$848)</f>
        <v/>
      </c>
      <c r="N845" t="str">
        <f>IF([2]Entry!$M$848="","",[2]Entry!$M$848)</f>
        <v/>
      </c>
      <c r="O845" t="str">
        <f>IF([2]Entry!$N$848="","",[2]Entry!$N$848)</f>
        <v/>
      </c>
      <c r="P845" t="str">
        <f>IF([2]Entry!$R$848="","",[2]Entry!$R$848)</f>
        <v/>
      </c>
    </row>
    <row r="846" spans="10:16" x14ac:dyDescent="0.2">
      <c r="J846" t="str">
        <f>IF([2]Entry!$C$849="","",[2]Entry!$C$849)</f>
        <v/>
      </c>
      <c r="K846" t="str">
        <f>IF([2]Entry!$D$849="","",[2]Entry!$D$849)</f>
        <v/>
      </c>
      <c r="L846" t="str">
        <f>IF([2]Entry!$E$849="","",[2]Entry!$E$849)</f>
        <v/>
      </c>
      <c r="M846" t="str">
        <f>IF([2]Entry!$G$849="","",[2]Entry!$G$849)</f>
        <v/>
      </c>
      <c r="N846" t="str">
        <f>IF([2]Entry!$M$849="","",[2]Entry!$M$849)</f>
        <v/>
      </c>
      <c r="O846" t="str">
        <f>IF([2]Entry!$N$849="","",[2]Entry!$N$849)</f>
        <v/>
      </c>
      <c r="P846" t="str">
        <f>IF([2]Entry!$R$849="","",[2]Entry!$R$849)</f>
        <v/>
      </c>
    </row>
    <row r="847" spans="10:16" x14ac:dyDescent="0.2">
      <c r="J847" t="str">
        <f>IF([2]Entry!$C$850="","",[2]Entry!$C$850)</f>
        <v/>
      </c>
      <c r="K847" t="str">
        <f>IF([2]Entry!$D$850="","",[2]Entry!$D$850)</f>
        <v/>
      </c>
      <c r="L847" t="str">
        <f>IF([2]Entry!$E$850="","",[2]Entry!$E$850)</f>
        <v/>
      </c>
      <c r="M847" t="str">
        <f>IF([2]Entry!$G$850="","",[2]Entry!$G$850)</f>
        <v/>
      </c>
      <c r="N847" t="str">
        <f>IF([2]Entry!$M$850="","",[2]Entry!$M$850)</f>
        <v/>
      </c>
      <c r="O847" t="str">
        <f>IF([2]Entry!$N$850="","",[2]Entry!$N$850)</f>
        <v/>
      </c>
      <c r="P847" t="str">
        <f>IF([2]Entry!$R$850="","",[2]Entry!$R$850)</f>
        <v/>
      </c>
    </row>
    <row r="848" spans="10:16" x14ac:dyDescent="0.2">
      <c r="J848" t="str">
        <f>IF([2]Entry!$C$851="","",[2]Entry!$C$851)</f>
        <v/>
      </c>
      <c r="K848" t="str">
        <f>IF([2]Entry!$D$851="","",[2]Entry!$D$851)</f>
        <v/>
      </c>
      <c r="L848" t="str">
        <f>IF([2]Entry!$E$851="","",[2]Entry!$E$851)</f>
        <v/>
      </c>
      <c r="M848" t="str">
        <f>IF([2]Entry!$G$851="","",[2]Entry!$G$851)</f>
        <v/>
      </c>
      <c r="N848" t="str">
        <f>IF([2]Entry!$M$851="","",[2]Entry!$M$851)</f>
        <v/>
      </c>
      <c r="O848" t="str">
        <f>IF([2]Entry!$N$851="","",[2]Entry!$N$851)</f>
        <v/>
      </c>
      <c r="P848" t="str">
        <f>IF([2]Entry!$R$851="","",[2]Entry!$R$851)</f>
        <v/>
      </c>
    </row>
    <row r="849" spans="10:16" x14ac:dyDescent="0.2">
      <c r="J849" t="str">
        <f>IF([2]Entry!$C$852="","",[2]Entry!$C$852)</f>
        <v/>
      </c>
      <c r="K849" t="str">
        <f>IF([2]Entry!$D$852="","",[2]Entry!$D$852)</f>
        <v/>
      </c>
      <c r="L849" t="str">
        <f>IF([2]Entry!$E$852="","",[2]Entry!$E$852)</f>
        <v/>
      </c>
      <c r="M849" t="str">
        <f>IF([2]Entry!$G$852="","",[2]Entry!$G$852)</f>
        <v/>
      </c>
      <c r="N849" t="str">
        <f>IF([2]Entry!$M$852="","",[2]Entry!$M$852)</f>
        <v/>
      </c>
      <c r="O849" t="str">
        <f>IF([2]Entry!$N$852="","",[2]Entry!$N$852)</f>
        <v/>
      </c>
      <c r="P849" t="str">
        <f>IF([2]Entry!$R$852="","",[2]Entry!$R$852)</f>
        <v/>
      </c>
    </row>
    <row r="850" spans="10:16" x14ac:dyDescent="0.2">
      <c r="J850" t="str">
        <f>IF([2]Entry!$C$853="","",[2]Entry!$C$853)</f>
        <v/>
      </c>
      <c r="K850" t="str">
        <f>IF([2]Entry!$D$853="","",[2]Entry!$D$853)</f>
        <v/>
      </c>
      <c r="L850" t="str">
        <f>IF([2]Entry!$E$853="","",[2]Entry!$E$853)</f>
        <v/>
      </c>
      <c r="M850" t="str">
        <f>IF([2]Entry!$G$853="","",[2]Entry!$G$853)</f>
        <v/>
      </c>
      <c r="N850" t="str">
        <f>IF([2]Entry!$M$853="","",[2]Entry!$M$853)</f>
        <v/>
      </c>
      <c r="O850" t="str">
        <f>IF([2]Entry!$N$853="","",[2]Entry!$N$853)</f>
        <v/>
      </c>
      <c r="P850" t="str">
        <f>IF([2]Entry!$R$853="","",[2]Entry!$R$853)</f>
        <v/>
      </c>
    </row>
    <row r="851" spans="10:16" x14ac:dyDescent="0.2">
      <c r="J851" t="str">
        <f>IF([2]Entry!$C$854="","",[2]Entry!$C$854)</f>
        <v/>
      </c>
      <c r="K851" t="str">
        <f>IF([2]Entry!$D$854="","",[2]Entry!$D$854)</f>
        <v/>
      </c>
      <c r="L851" t="str">
        <f>IF([2]Entry!$E$854="","",[2]Entry!$E$854)</f>
        <v/>
      </c>
      <c r="M851" t="str">
        <f>IF([2]Entry!$G$854="","",[2]Entry!$G$854)</f>
        <v/>
      </c>
      <c r="N851" t="str">
        <f>IF([2]Entry!$M$854="","",[2]Entry!$M$854)</f>
        <v/>
      </c>
      <c r="O851" t="str">
        <f>IF([2]Entry!$N$854="","",[2]Entry!$N$854)</f>
        <v/>
      </c>
      <c r="P851" t="str">
        <f>IF([2]Entry!$R$854="","",[2]Entry!$R$854)</f>
        <v/>
      </c>
    </row>
    <row r="852" spans="10:16" x14ac:dyDescent="0.2">
      <c r="J852" t="str">
        <f>IF([2]Entry!$C$855="","",[2]Entry!$C$855)</f>
        <v/>
      </c>
      <c r="K852" t="str">
        <f>IF([2]Entry!$D$855="","",[2]Entry!$D$855)</f>
        <v/>
      </c>
      <c r="L852" t="str">
        <f>IF([2]Entry!$E$855="","",[2]Entry!$E$855)</f>
        <v/>
      </c>
      <c r="M852" t="str">
        <f>IF([2]Entry!$G$855="","",[2]Entry!$G$855)</f>
        <v/>
      </c>
      <c r="N852" t="str">
        <f>IF([2]Entry!$M$855="","",[2]Entry!$M$855)</f>
        <v/>
      </c>
      <c r="O852" t="str">
        <f>IF([2]Entry!$N$855="","",[2]Entry!$N$855)</f>
        <v/>
      </c>
      <c r="P852" t="str">
        <f>IF([2]Entry!$R$855="","",[2]Entry!$R$855)</f>
        <v/>
      </c>
    </row>
    <row r="853" spans="10:16" x14ac:dyDescent="0.2">
      <c r="J853" t="str">
        <f>IF([2]Entry!$C$856="","",[2]Entry!$C$856)</f>
        <v/>
      </c>
      <c r="K853" t="str">
        <f>IF([2]Entry!$D$856="","",[2]Entry!$D$856)</f>
        <v/>
      </c>
      <c r="L853" t="str">
        <f>IF([2]Entry!$E$856="","",[2]Entry!$E$856)</f>
        <v/>
      </c>
      <c r="M853" t="str">
        <f>IF([2]Entry!$G$856="","",[2]Entry!$G$856)</f>
        <v/>
      </c>
      <c r="N853" t="str">
        <f>IF([2]Entry!$M$856="","",[2]Entry!$M$856)</f>
        <v/>
      </c>
      <c r="O853" t="str">
        <f>IF([2]Entry!$N$856="","",[2]Entry!$N$856)</f>
        <v/>
      </c>
      <c r="P853" t="str">
        <f>IF([2]Entry!$R$856="","",[2]Entry!$R$856)</f>
        <v/>
      </c>
    </row>
    <row r="854" spans="10:16" x14ac:dyDescent="0.2">
      <c r="J854" t="str">
        <f>IF([2]Entry!$C$857="","",[2]Entry!$C$857)</f>
        <v/>
      </c>
      <c r="K854" t="str">
        <f>IF([2]Entry!$D$857="","",[2]Entry!$D$857)</f>
        <v/>
      </c>
      <c r="L854" t="str">
        <f>IF([2]Entry!$E$857="","",[2]Entry!$E$857)</f>
        <v/>
      </c>
      <c r="M854" t="str">
        <f>IF([2]Entry!$G$857="","",[2]Entry!$G$857)</f>
        <v/>
      </c>
      <c r="N854" t="str">
        <f>IF([2]Entry!$M$857="","",[2]Entry!$M$857)</f>
        <v/>
      </c>
      <c r="O854" t="str">
        <f>IF([2]Entry!$N$857="","",[2]Entry!$N$857)</f>
        <v/>
      </c>
      <c r="P854" t="str">
        <f>IF([2]Entry!$R$857="","",[2]Entry!$R$857)</f>
        <v/>
      </c>
    </row>
    <row r="855" spans="10:16" x14ac:dyDescent="0.2">
      <c r="J855" t="str">
        <f>IF([2]Entry!$C$858="","",[2]Entry!$C$858)</f>
        <v/>
      </c>
      <c r="K855" t="str">
        <f>IF([2]Entry!$D$858="","",[2]Entry!$D$858)</f>
        <v/>
      </c>
      <c r="L855" t="str">
        <f>IF([2]Entry!$E$858="","",[2]Entry!$E$858)</f>
        <v/>
      </c>
      <c r="M855" t="str">
        <f>IF([2]Entry!$G$858="","",[2]Entry!$G$858)</f>
        <v/>
      </c>
      <c r="N855" t="str">
        <f>IF([2]Entry!$M$858="","",[2]Entry!$M$858)</f>
        <v/>
      </c>
      <c r="O855" t="str">
        <f>IF([2]Entry!$N$858="","",[2]Entry!$N$858)</f>
        <v/>
      </c>
      <c r="P855" t="str">
        <f>IF([2]Entry!$R$858="","",[2]Entry!$R$858)</f>
        <v/>
      </c>
    </row>
    <row r="856" spans="10:16" x14ac:dyDescent="0.2">
      <c r="J856" t="str">
        <f>IF([2]Entry!$C$859="","",[2]Entry!$C$859)</f>
        <v/>
      </c>
      <c r="K856" t="str">
        <f>IF([2]Entry!$D$859="","",[2]Entry!$D$859)</f>
        <v/>
      </c>
      <c r="L856" t="str">
        <f>IF([2]Entry!$E$859="","",[2]Entry!$E$859)</f>
        <v/>
      </c>
      <c r="M856" t="str">
        <f>IF([2]Entry!$G$859="","",[2]Entry!$G$859)</f>
        <v/>
      </c>
      <c r="N856" t="str">
        <f>IF([2]Entry!$M$859="","",[2]Entry!$M$859)</f>
        <v/>
      </c>
      <c r="O856" t="str">
        <f>IF([2]Entry!$N$859="","",[2]Entry!$N$859)</f>
        <v/>
      </c>
      <c r="P856" t="str">
        <f>IF([2]Entry!$R$859="","",[2]Entry!$R$859)</f>
        <v/>
      </c>
    </row>
    <row r="857" spans="10:16" x14ac:dyDescent="0.2">
      <c r="J857" t="str">
        <f>IF([2]Entry!$C$860="","",[2]Entry!$C$860)</f>
        <v/>
      </c>
      <c r="K857" t="str">
        <f>IF([2]Entry!$D$860="","",[2]Entry!$D$860)</f>
        <v/>
      </c>
      <c r="L857" t="str">
        <f>IF([2]Entry!$E$860="","",[2]Entry!$E$860)</f>
        <v/>
      </c>
      <c r="M857" t="str">
        <f>IF([2]Entry!$G$860="","",[2]Entry!$G$860)</f>
        <v/>
      </c>
      <c r="N857" t="str">
        <f>IF([2]Entry!$M$860="","",[2]Entry!$M$860)</f>
        <v/>
      </c>
      <c r="O857" t="str">
        <f>IF([2]Entry!$N$860="","",[2]Entry!$N$860)</f>
        <v/>
      </c>
      <c r="P857" t="str">
        <f>IF([2]Entry!$R$860="","",[2]Entry!$R$860)</f>
        <v/>
      </c>
    </row>
    <row r="858" spans="10:16" x14ac:dyDescent="0.2">
      <c r="J858" t="str">
        <f>IF([2]Entry!$C$861="","",[2]Entry!$C$861)</f>
        <v/>
      </c>
      <c r="K858" t="str">
        <f>IF([2]Entry!$D$861="","",[2]Entry!$D$861)</f>
        <v/>
      </c>
      <c r="L858" t="str">
        <f>IF([2]Entry!$E$861="","",[2]Entry!$E$861)</f>
        <v/>
      </c>
      <c r="M858" t="str">
        <f>IF([2]Entry!$G$861="","",[2]Entry!$G$861)</f>
        <v/>
      </c>
      <c r="N858" t="str">
        <f>IF([2]Entry!$M$861="","",[2]Entry!$M$861)</f>
        <v/>
      </c>
      <c r="O858" t="str">
        <f>IF([2]Entry!$N$861="","",[2]Entry!$N$861)</f>
        <v/>
      </c>
      <c r="P858" t="str">
        <f>IF([2]Entry!$R$861="","",[2]Entry!$R$861)</f>
        <v/>
      </c>
    </row>
    <row r="859" spans="10:16" x14ac:dyDescent="0.2">
      <c r="J859" t="str">
        <f>IF([2]Entry!$C$862="","",[2]Entry!$C$862)</f>
        <v/>
      </c>
      <c r="K859" t="str">
        <f>IF([2]Entry!$D$862="","",[2]Entry!$D$862)</f>
        <v/>
      </c>
      <c r="L859" t="str">
        <f>IF([2]Entry!$E$862="","",[2]Entry!$E$862)</f>
        <v/>
      </c>
      <c r="M859" t="str">
        <f>IF([2]Entry!$G$862="","",[2]Entry!$G$862)</f>
        <v/>
      </c>
      <c r="N859" t="str">
        <f>IF([2]Entry!$M$862="","",[2]Entry!$M$862)</f>
        <v/>
      </c>
      <c r="O859" t="str">
        <f>IF([2]Entry!$N$862="","",[2]Entry!$N$862)</f>
        <v/>
      </c>
      <c r="P859" t="str">
        <f>IF([2]Entry!$R$862="","",[2]Entry!$R$862)</f>
        <v/>
      </c>
    </row>
    <row r="860" spans="10:16" x14ac:dyDescent="0.2">
      <c r="J860" t="str">
        <f>IF([2]Entry!$C$863="","",[2]Entry!$C$863)</f>
        <v/>
      </c>
      <c r="K860" t="str">
        <f>IF([2]Entry!$D$863="","",[2]Entry!$D$863)</f>
        <v/>
      </c>
      <c r="L860" t="str">
        <f>IF([2]Entry!$E$863="","",[2]Entry!$E$863)</f>
        <v/>
      </c>
      <c r="M860" t="str">
        <f>IF([2]Entry!$G$863="","",[2]Entry!$G$863)</f>
        <v/>
      </c>
      <c r="N860" t="str">
        <f>IF([2]Entry!$M$863="","",[2]Entry!$M$863)</f>
        <v/>
      </c>
      <c r="O860" t="str">
        <f>IF([2]Entry!$N$863="","",[2]Entry!$N$863)</f>
        <v/>
      </c>
      <c r="P860" t="str">
        <f>IF([2]Entry!$R$863="","",[2]Entry!$R$863)</f>
        <v/>
      </c>
    </row>
    <row r="861" spans="10:16" x14ac:dyDescent="0.2">
      <c r="J861" t="str">
        <f>IF([2]Entry!$C$864="","",[2]Entry!$C$864)</f>
        <v/>
      </c>
      <c r="K861" t="str">
        <f>IF([2]Entry!$D$864="","",[2]Entry!$D$864)</f>
        <v/>
      </c>
      <c r="L861" t="str">
        <f>IF([2]Entry!$E$864="","",[2]Entry!$E$864)</f>
        <v/>
      </c>
      <c r="M861" t="str">
        <f>IF([2]Entry!$G$864="","",[2]Entry!$G$864)</f>
        <v/>
      </c>
      <c r="N861" t="str">
        <f>IF([2]Entry!$M$864="","",[2]Entry!$M$864)</f>
        <v/>
      </c>
      <c r="O861" t="str">
        <f>IF([2]Entry!$N$864="","",[2]Entry!$N$864)</f>
        <v/>
      </c>
      <c r="P861" t="str">
        <f>IF([2]Entry!$R$864="","",[2]Entry!$R$864)</f>
        <v/>
      </c>
    </row>
    <row r="862" spans="10:16" x14ac:dyDescent="0.2">
      <c r="J862" t="str">
        <f>IF([2]Entry!$C$865="","",[2]Entry!$C$865)</f>
        <v/>
      </c>
      <c r="K862" t="str">
        <f>IF([2]Entry!$D$865="","",[2]Entry!$D$865)</f>
        <v/>
      </c>
      <c r="L862" t="str">
        <f>IF([2]Entry!$E$865="","",[2]Entry!$E$865)</f>
        <v/>
      </c>
      <c r="M862" t="str">
        <f>IF([2]Entry!$G$865="","",[2]Entry!$G$865)</f>
        <v/>
      </c>
      <c r="N862" t="str">
        <f>IF([2]Entry!$M$865="","",[2]Entry!$M$865)</f>
        <v/>
      </c>
      <c r="O862" t="str">
        <f>IF([2]Entry!$N$865="","",[2]Entry!$N$865)</f>
        <v/>
      </c>
      <c r="P862" t="str">
        <f>IF([2]Entry!$R$865="","",[2]Entry!$R$865)</f>
        <v/>
      </c>
    </row>
    <row r="863" spans="10:16" x14ac:dyDescent="0.2">
      <c r="J863" t="str">
        <f>IF([2]Entry!$C$866="","",[2]Entry!$C$866)</f>
        <v/>
      </c>
      <c r="K863" t="str">
        <f>IF([2]Entry!$D$866="","",[2]Entry!$D$866)</f>
        <v/>
      </c>
      <c r="L863" t="str">
        <f>IF([2]Entry!$E$866="","",[2]Entry!$E$866)</f>
        <v/>
      </c>
      <c r="M863" t="str">
        <f>IF([2]Entry!$G$866="","",[2]Entry!$G$866)</f>
        <v/>
      </c>
      <c r="N863" t="str">
        <f>IF([2]Entry!$M$866="","",[2]Entry!$M$866)</f>
        <v/>
      </c>
      <c r="O863" t="str">
        <f>IF([2]Entry!$N$866="","",[2]Entry!$N$866)</f>
        <v/>
      </c>
      <c r="P863" t="str">
        <f>IF([2]Entry!$R$866="","",[2]Entry!$R$866)</f>
        <v/>
      </c>
    </row>
    <row r="864" spans="10:16" x14ac:dyDescent="0.2">
      <c r="J864" t="str">
        <f>IF([2]Entry!$C$867="","",[2]Entry!$C$867)</f>
        <v/>
      </c>
      <c r="K864" t="str">
        <f>IF([2]Entry!$D$867="","",[2]Entry!$D$867)</f>
        <v/>
      </c>
      <c r="L864" t="str">
        <f>IF([2]Entry!$E$867="","",[2]Entry!$E$867)</f>
        <v/>
      </c>
      <c r="M864" t="str">
        <f>IF([2]Entry!$G$867="","",[2]Entry!$G$867)</f>
        <v/>
      </c>
      <c r="N864" t="str">
        <f>IF([2]Entry!$M$867="","",[2]Entry!$M$867)</f>
        <v/>
      </c>
      <c r="O864" t="str">
        <f>IF([2]Entry!$N$867="","",[2]Entry!$N$867)</f>
        <v/>
      </c>
      <c r="P864" t="str">
        <f>IF([2]Entry!$R$867="","",[2]Entry!$R$867)</f>
        <v/>
      </c>
    </row>
    <row r="865" spans="10:16" x14ac:dyDescent="0.2">
      <c r="J865" t="str">
        <f>IF([2]Entry!$C$868="","",[2]Entry!$C$868)</f>
        <v/>
      </c>
      <c r="K865" t="str">
        <f>IF([2]Entry!$D$868="","",[2]Entry!$D$868)</f>
        <v/>
      </c>
      <c r="L865" t="str">
        <f>IF([2]Entry!$E$868="","",[2]Entry!$E$868)</f>
        <v/>
      </c>
      <c r="M865" t="str">
        <f>IF([2]Entry!$G$868="","",[2]Entry!$G$868)</f>
        <v/>
      </c>
      <c r="N865" t="str">
        <f>IF([2]Entry!$M$868="","",[2]Entry!$M$868)</f>
        <v/>
      </c>
      <c r="O865" t="str">
        <f>IF([2]Entry!$N$868="","",[2]Entry!$N$868)</f>
        <v/>
      </c>
      <c r="P865" t="str">
        <f>IF([2]Entry!$R$868="","",[2]Entry!$R$868)</f>
        <v/>
      </c>
    </row>
    <row r="866" spans="10:16" x14ac:dyDescent="0.2">
      <c r="J866" t="str">
        <f>IF([2]Entry!$C$869="","",[2]Entry!$C$869)</f>
        <v/>
      </c>
      <c r="K866" t="str">
        <f>IF([2]Entry!$D$869="","",[2]Entry!$D$869)</f>
        <v/>
      </c>
      <c r="L866" t="str">
        <f>IF([2]Entry!$E$869="","",[2]Entry!$E$869)</f>
        <v/>
      </c>
      <c r="M866" t="str">
        <f>IF([2]Entry!$G$869="","",[2]Entry!$G$869)</f>
        <v/>
      </c>
      <c r="N866" t="str">
        <f>IF([2]Entry!$M$869="","",[2]Entry!$M$869)</f>
        <v/>
      </c>
      <c r="O866" t="str">
        <f>IF([2]Entry!$N$869="","",[2]Entry!$N$869)</f>
        <v/>
      </c>
      <c r="P866" t="str">
        <f>IF([2]Entry!$R$869="","",[2]Entry!$R$869)</f>
        <v/>
      </c>
    </row>
    <row r="867" spans="10:16" x14ac:dyDescent="0.2">
      <c r="J867" t="str">
        <f>IF([2]Entry!$C$870="","",[2]Entry!$C$870)</f>
        <v/>
      </c>
      <c r="K867" t="str">
        <f>IF([2]Entry!$D$870="","",[2]Entry!$D$870)</f>
        <v/>
      </c>
      <c r="L867" t="str">
        <f>IF([2]Entry!$E$870="","",[2]Entry!$E$870)</f>
        <v/>
      </c>
      <c r="M867" t="str">
        <f>IF([2]Entry!$G$870="","",[2]Entry!$G$870)</f>
        <v/>
      </c>
      <c r="N867" t="str">
        <f>IF([2]Entry!$M$870="","",[2]Entry!$M$870)</f>
        <v/>
      </c>
      <c r="O867" t="str">
        <f>IF([2]Entry!$N$870="","",[2]Entry!$N$870)</f>
        <v/>
      </c>
      <c r="P867" t="str">
        <f>IF([2]Entry!$R$870="","",[2]Entry!$R$870)</f>
        <v/>
      </c>
    </row>
    <row r="868" spans="10:16" x14ac:dyDescent="0.2">
      <c r="J868" t="str">
        <f>IF([2]Entry!$C$871="","",[2]Entry!$C$871)</f>
        <v/>
      </c>
      <c r="K868" t="str">
        <f>IF([2]Entry!$D$871="","",[2]Entry!$D$871)</f>
        <v/>
      </c>
      <c r="L868" t="str">
        <f>IF([2]Entry!$E$871="","",[2]Entry!$E$871)</f>
        <v/>
      </c>
      <c r="M868" t="str">
        <f>IF([2]Entry!$G$871="","",[2]Entry!$G$871)</f>
        <v/>
      </c>
      <c r="N868" t="str">
        <f>IF([2]Entry!$M$871="","",[2]Entry!$M$871)</f>
        <v/>
      </c>
      <c r="O868" t="str">
        <f>IF([2]Entry!$N$871="","",[2]Entry!$N$871)</f>
        <v/>
      </c>
      <c r="P868" t="str">
        <f>IF([2]Entry!$R$871="","",[2]Entry!$R$871)</f>
        <v/>
      </c>
    </row>
    <row r="869" spans="10:16" x14ac:dyDescent="0.2">
      <c r="J869" t="str">
        <f>IF([2]Entry!$C$872="","",[2]Entry!$C$872)</f>
        <v/>
      </c>
      <c r="K869" t="str">
        <f>IF([2]Entry!$D$872="","",[2]Entry!$D$872)</f>
        <v/>
      </c>
      <c r="L869" t="str">
        <f>IF([2]Entry!$E$872="","",[2]Entry!$E$872)</f>
        <v/>
      </c>
      <c r="M869" t="str">
        <f>IF([2]Entry!$G$872="","",[2]Entry!$G$872)</f>
        <v/>
      </c>
      <c r="N869" t="str">
        <f>IF([2]Entry!$M$872="","",[2]Entry!$M$872)</f>
        <v/>
      </c>
      <c r="O869" t="str">
        <f>IF([2]Entry!$N$872="","",[2]Entry!$N$872)</f>
        <v/>
      </c>
      <c r="P869" t="str">
        <f>IF([2]Entry!$R$872="","",[2]Entry!$R$872)</f>
        <v/>
      </c>
    </row>
    <row r="870" spans="10:16" x14ac:dyDescent="0.2">
      <c r="J870" t="str">
        <f>IF([2]Entry!$C$873="","",[2]Entry!$C$873)</f>
        <v/>
      </c>
      <c r="K870" t="str">
        <f>IF([2]Entry!$D$873="","",[2]Entry!$D$873)</f>
        <v/>
      </c>
      <c r="L870" t="str">
        <f>IF([2]Entry!$E$873="","",[2]Entry!$E$873)</f>
        <v/>
      </c>
      <c r="M870" t="str">
        <f>IF([2]Entry!$G$873="","",[2]Entry!$G$873)</f>
        <v/>
      </c>
      <c r="N870" t="str">
        <f>IF([2]Entry!$M$873="","",[2]Entry!$M$873)</f>
        <v/>
      </c>
      <c r="O870" t="str">
        <f>IF([2]Entry!$N$873="","",[2]Entry!$N$873)</f>
        <v/>
      </c>
      <c r="P870" t="str">
        <f>IF([2]Entry!$R$873="","",[2]Entry!$R$873)</f>
        <v/>
      </c>
    </row>
    <row r="871" spans="10:16" x14ac:dyDescent="0.2">
      <c r="J871" t="str">
        <f>IF([2]Entry!$C$874="","",[2]Entry!$C$874)</f>
        <v/>
      </c>
      <c r="K871" t="str">
        <f>IF([2]Entry!$D$874="","",[2]Entry!$D$874)</f>
        <v/>
      </c>
      <c r="L871" t="str">
        <f>IF([2]Entry!$E$874="","",[2]Entry!$E$874)</f>
        <v/>
      </c>
      <c r="M871" t="str">
        <f>IF([2]Entry!$G$874="","",[2]Entry!$G$874)</f>
        <v/>
      </c>
      <c r="N871" t="str">
        <f>IF([2]Entry!$M$874="","",[2]Entry!$M$874)</f>
        <v/>
      </c>
      <c r="O871" t="str">
        <f>IF([2]Entry!$N$874="","",[2]Entry!$N$874)</f>
        <v/>
      </c>
      <c r="P871" t="str">
        <f>IF([2]Entry!$R$874="","",[2]Entry!$R$874)</f>
        <v/>
      </c>
    </row>
    <row r="872" spans="10:16" x14ac:dyDescent="0.2">
      <c r="J872" t="str">
        <f>IF([2]Entry!$C$875="","",[2]Entry!$C$875)</f>
        <v/>
      </c>
      <c r="K872" t="str">
        <f>IF([2]Entry!$D$875="","",[2]Entry!$D$875)</f>
        <v/>
      </c>
      <c r="L872" t="str">
        <f>IF([2]Entry!$E$875="","",[2]Entry!$E$875)</f>
        <v/>
      </c>
      <c r="M872" t="str">
        <f>IF([2]Entry!$G$875="","",[2]Entry!$G$875)</f>
        <v/>
      </c>
      <c r="N872" t="str">
        <f>IF([2]Entry!$M$875="","",[2]Entry!$M$875)</f>
        <v/>
      </c>
      <c r="O872" t="str">
        <f>IF([2]Entry!$N$875="","",[2]Entry!$N$875)</f>
        <v/>
      </c>
      <c r="P872" t="str">
        <f>IF([2]Entry!$R$875="","",[2]Entry!$R$875)</f>
        <v/>
      </c>
    </row>
    <row r="873" spans="10:16" x14ac:dyDescent="0.2">
      <c r="J873" t="str">
        <f>IF([2]Entry!$C$876="","",[2]Entry!$C$876)</f>
        <v/>
      </c>
      <c r="K873" t="str">
        <f>IF([2]Entry!$D$876="","",[2]Entry!$D$876)</f>
        <v/>
      </c>
      <c r="L873" t="str">
        <f>IF([2]Entry!$E$876="","",[2]Entry!$E$876)</f>
        <v/>
      </c>
      <c r="M873" t="str">
        <f>IF([2]Entry!$G$876="","",[2]Entry!$G$876)</f>
        <v/>
      </c>
      <c r="N873" t="str">
        <f>IF([2]Entry!$M$876="","",[2]Entry!$M$876)</f>
        <v/>
      </c>
      <c r="O873" t="str">
        <f>IF([2]Entry!$N$876="","",[2]Entry!$N$876)</f>
        <v/>
      </c>
      <c r="P873" t="str">
        <f>IF([2]Entry!$R$876="","",[2]Entry!$R$876)</f>
        <v/>
      </c>
    </row>
    <row r="874" spans="10:16" x14ac:dyDescent="0.2">
      <c r="J874" t="str">
        <f>IF([2]Entry!$C$877="","",[2]Entry!$C$877)</f>
        <v/>
      </c>
      <c r="K874" t="str">
        <f>IF([2]Entry!$D$877="","",[2]Entry!$D$877)</f>
        <v/>
      </c>
      <c r="L874" t="str">
        <f>IF([2]Entry!$E$877="","",[2]Entry!$E$877)</f>
        <v/>
      </c>
      <c r="M874" t="str">
        <f>IF([2]Entry!$G$877="","",[2]Entry!$G$877)</f>
        <v/>
      </c>
      <c r="N874" t="str">
        <f>IF([2]Entry!$M$877="","",[2]Entry!$M$877)</f>
        <v/>
      </c>
      <c r="O874" t="str">
        <f>IF([2]Entry!$N$877="","",[2]Entry!$N$877)</f>
        <v/>
      </c>
      <c r="P874" t="str">
        <f>IF([2]Entry!$R$877="","",[2]Entry!$R$877)</f>
        <v/>
      </c>
    </row>
    <row r="875" spans="10:16" x14ac:dyDescent="0.2">
      <c r="J875" t="str">
        <f>IF([2]Entry!$C$878="","",[2]Entry!$C$878)</f>
        <v/>
      </c>
      <c r="K875" t="str">
        <f>IF([2]Entry!$D$878="","",[2]Entry!$D$878)</f>
        <v/>
      </c>
      <c r="L875" t="str">
        <f>IF([2]Entry!$E$878="","",[2]Entry!$E$878)</f>
        <v/>
      </c>
      <c r="M875" t="str">
        <f>IF([2]Entry!$G$878="","",[2]Entry!$G$878)</f>
        <v/>
      </c>
      <c r="N875" t="str">
        <f>IF([2]Entry!$M$878="","",[2]Entry!$M$878)</f>
        <v/>
      </c>
      <c r="O875" t="str">
        <f>IF([2]Entry!$N$878="","",[2]Entry!$N$878)</f>
        <v/>
      </c>
      <c r="P875" t="str">
        <f>IF([2]Entry!$R$878="","",[2]Entry!$R$878)</f>
        <v/>
      </c>
    </row>
    <row r="876" spans="10:16" x14ac:dyDescent="0.2">
      <c r="J876" t="str">
        <f>IF([2]Entry!$C$879="","",[2]Entry!$C$879)</f>
        <v/>
      </c>
      <c r="K876" t="str">
        <f>IF([2]Entry!$D$879="","",[2]Entry!$D$879)</f>
        <v/>
      </c>
      <c r="L876" t="str">
        <f>IF([2]Entry!$E$879="","",[2]Entry!$E$879)</f>
        <v/>
      </c>
      <c r="M876" t="str">
        <f>IF([2]Entry!$G$879="","",[2]Entry!$G$879)</f>
        <v/>
      </c>
      <c r="N876" t="str">
        <f>IF([2]Entry!$M$879="","",[2]Entry!$M$879)</f>
        <v/>
      </c>
      <c r="O876" t="str">
        <f>IF([2]Entry!$N$879="","",[2]Entry!$N$879)</f>
        <v/>
      </c>
      <c r="P876" t="str">
        <f>IF([2]Entry!$R$879="","",[2]Entry!$R$879)</f>
        <v/>
      </c>
    </row>
    <row r="877" spans="10:16" x14ac:dyDescent="0.2">
      <c r="J877" t="str">
        <f>IF([2]Entry!$C$880="","",[2]Entry!$C$880)</f>
        <v/>
      </c>
      <c r="K877" t="str">
        <f>IF([2]Entry!$D$880="","",[2]Entry!$D$880)</f>
        <v/>
      </c>
      <c r="L877" t="str">
        <f>IF([2]Entry!$E$880="","",[2]Entry!$E$880)</f>
        <v/>
      </c>
      <c r="M877" t="str">
        <f>IF([2]Entry!$G$880="","",[2]Entry!$G$880)</f>
        <v/>
      </c>
      <c r="N877" t="str">
        <f>IF([2]Entry!$M$880="","",[2]Entry!$M$880)</f>
        <v/>
      </c>
      <c r="O877" t="str">
        <f>IF([2]Entry!$N$880="","",[2]Entry!$N$880)</f>
        <v/>
      </c>
      <c r="P877" t="str">
        <f>IF([2]Entry!$R$880="","",[2]Entry!$R$880)</f>
        <v/>
      </c>
    </row>
    <row r="878" spans="10:16" x14ac:dyDescent="0.2">
      <c r="J878" t="str">
        <f>IF([2]Entry!$C$881="","",[2]Entry!$C$881)</f>
        <v/>
      </c>
      <c r="K878" t="str">
        <f>IF([2]Entry!$D$881="","",[2]Entry!$D$881)</f>
        <v/>
      </c>
      <c r="L878" t="str">
        <f>IF([2]Entry!$E$881="","",[2]Entry!$E$881)</f>
        <v/>
      </c>
      <c r="M878" t="str">
        <f>IF([2]Entry!$G$881="","",[2]Entry!$G$881)</f>
        <v/>
      </c>
      <c r="N878" t="str">
        <f>IF([2]Entry!$M$881="","",[2]Entry!$M$881)</f>
        <v/>
      </c>
      <c r="O878" t="str">
        <f>IF([2]Entry!$N$881="","",[2]Entry!$N$881)</f>
        <v/>
      </c>
      <c r="P878" t="str">
        <f>IF([2]Entry!$R$881="","",[2]Entry!$R$881)</f>
        <v/>
      </c>
    </row>
    <row r="879" spans="10:16" x14ac:dyDescent="0.2">
      <c r="J879" t="str">
        <f>IF([2]Entry!$C$882="","",[2]Entry!$C$882)</f>
        <v/>
      </c>
      <c r="K879" t="str">
        <f>IF([2]Entry!$D$882="","",[2]Entry!$D$882)</f>
        <v/>
      </c>
      <c r="L879" t="str">
        <f>IF([2]Entry!$E$882="","",[2]Entry!$E$882)</f>
        <v/>
      </c>
      <c r="M879" t="str">
        <f>IF([2]Entry!$G$882="","",[2]Entry!$G$882)</f>
        <v/>
      </c>
      <c r="N879" t="str">
        <f>IF([2]Entry!$M$882="","",[2]Entry!$M$882)</f>
        <v/>
      </c>
      <c r="O879" t="str">
        <f>IF([2]Entry!$N$882="","",[2]Entry!$N$882)</f>
        <v/>
      </c>
      <c r="P879" t="str">
        <f>IF([2]Entry!$R$882="","",[2]Entry!$R$882)</f>
        <v/>
      </c>
    </row>
    <row r="880" spans="10:16" x14ac:dyDescent="0.2">
      <c r="J880" t="str">
        <f>IF([2]Entry!$C$883="","",[2]Entry!$C$883)</f>
        <v/>
      </c>
      <c r="K880" t="str">
        <f>IF([2]Entry!$D$883="","",[2]Entry!$D$883)</f>
        <v/>
      </c>
      <c r="L880" t="str">
        <f>IF([2]Entry!$E$883="","",[2]Entry!$E$883)</f>
        <v/>
      </c>
      <c r="M880" t="str">
        <f>IF([2]Entry!$G$883="","",[2]Entry!$G$883)</f>
        <v/>
      </c>
      <c r="N880" t="str">
        <f>IF([2]Entry!$M$883="","",[2]Entry!$M$883)</f>
        <v/>
      </c>
      <c r="O880" t="str">
        <f>IF([2]Entry!$N$883="","",[2]Entry!$N$883)</f>
        <v/>
      </c>
      <c r="P880" t="str">
        <f>IF([2]Entry!$R$883="","",[2]Entry!$R$883)</f>
        <v/>
      </c>
    </row>
    <row r="881" spans="10:16" x14ac:dyDescent="0.2">
      <c r="J881" t="str">
        <f>IF([2]Entry!$C$884="","",[2]Entry!$C$884)</f>
        <v/>
      </c>
      <c r="K881" t="str">
        <f>IF([2]Entry!$D$884="","",[2]Entry!$D$884)</f>
        <v/>
      </c>
      <c r="L881" t="str">
        <f>IF([2]Entry!$E$884="","",[2]Entry!$E$884)</f>
        <v/>
      </c>
      <c r="M881" t="str">
        <f>IF([2]Entry!$G$884="","",[2]Entry!$G$884)</f>
        <v/>
      </c>
      <c r="N881" t="str">
        <f>IF([2]Entry!$M$884="","",[2]Entry!$M$884)</f>
        <v/>
      </c>
      <c r="O881" t="str">
        <f>IF([2]Entry!$N$884="","",[2]Entry!$N$884)</f>
        <v/>
      </c>
      <c r="P881" t="str">
        <f>IF([2]Entry!$R$884="","",[2]Entry!$R$884)</f>
        <v/>
      </c>
    </row>
    <row r="882" spans="10:16" x14ac:dyDescent="0.2">
      <c r="J882" t="str">
        <f>IF([2]Entry!$C$885="","",[2]Entry!$C$885)</f>
        <v/>
      </c>
      <c r="K882" t="str">
        <f>IF([2]Entry!$D$885="","",[2]Entry!$D$885)</f>
        <v/>
      </c>
      <c r="L882" t="str">
        <f>IF([2]Entry!$E$885="","",[2]Entry!$E$885)</f>
        <v/>
      </c>
      <c r="M882" t="str">
        <f>IF([2]Entry!$G$885="","",[2]Entry!$G$885)</f>
        <v/>
      </c>
      <c r="N882" t="str">
        <f>IF([2]Entry!$M$885="","",[2]Entry!$M$885)</f>
        <v/>
      </c>
      <c r="O882" t="str">
        <f>IF([2]Entry!$N$885="","",[2]Entry!$N$885)</f>
        <v/>
      </c>
      <c r="P882" t="str">
        <f>IF([2]Entry!$R$885="","",[2]Entry!$R$885)</f>
        <v/>
      </c>
    </row>
    <row r="883" spans="10:16" x14ac:dyDescent="0.2">
      <c r="J883" t="str">
        <f>IF([2]Entry!$C$886="","",[2]Entry!$C$886)</f>
        <v/>
      </c>
      <c r="K883" t="str">
        <f>IF([2]Entry!$D$886="","",[2]Entry!$D$886)</f>
        <v/>
      </c>
      <c r="L883" t="str">
        <f>IF([2]Entry!$E$886="","",[2]Entry!$E$886)</f>
        <v/>
      </c>
      <c r="M883" t="str">
        <f>IF([2]Entry!$G$886="","",[2]Entry!$G$886)</f>
        <v/>
      </c>
      <c r="N883" t="str">
        <f>IF([2]Entry!$M$886="","",[2]Entry!$M$886)</f>
        <v/>
      </c>
      <c r="O883" t="str">
        <f>IF([2]Entry!$N$886="","",[2]Entry!$N$886)</f>
        <v/>
      </c>
      <c r="P883" t="str">
        <f>IF([2]Entry!$R$886="","",[2]Entry!$R$886)</f>
        <v/>
      </c>
    </row>
    <row r="884" spans="10:16" x14ac:dyDescent="0.2">
      <c r="J884" t="str">
        <f>IF([2]Entry!$C$887="","",[2]Entry!$C$887)</f>
        <v/>
      </c>
      <c r="K884" t="str">
        <f>IF([2]Entry!$D$887="","",[2]Entry!$D$887)</f>
        <v/>
      </c>
      <c r="L884" t="str">
        <f>IF([2]Entry!$E$887="","",[2]Entry!$E$887)</f>
        <v/>
      </c>
      <c r="M884" t="str">
        <f>IF([2]Entry!$G$887="","",[2]Entry!$G$887)</f>
        <v/>
      </c>
      <c r="N884" t="str">
        <f>IF([2]Entry!$M$887="","",[2]Entry!$M$887)</f>
        <v/>
      </c>
      <c r="O884" t="str">
        <f>IF([2]Entry!$N$887="","",[2]Entry!$N$887)</f>
        <v/>
      </c>
      <c r="P884" t="str">
        <f>IF([2]Entry!$R$887="","",[2]Entry!$R$887)</f>
        <v/>
      </c>
    </row>
    <row r="885" spans="10:16" x14ac:dyDescent="0.2">
      <c r="J885" t="str">
        <f>IF([2]Entry!$C$888="","",[2]Entry!$C$888)</f>
        <v/>
      </c>
      <c r="K885" t="str">
        <f>IF([2]Entry!$D$888="","",[2]Entry!$D$888)</f>
        <v/>
      </c>
      <c r="L885" t="str">
        <f>IF([2]Entry!$E$888="","",[2]Entry!$E$888)</f>
        <v/>
      </c>
      <c r="M885" t="str">
        <f>IF([2]Entry!$G$888="","",[2]Entry!$G$888)</f>
        <v/>
      </c>
      <c r="N885" t="str">
        <f>IF([2]Entry!$M$888="","",[2]Entry!$M$888)</f>
        <v/>
      </c>
      <c r="O885" t="str">
        <f>IF([2]Entry!$N$888="","",[2]Entry!$N$888)</f>
        <v/>
      </c>
      <c r="P885" t="str">
        <f>IF([2]Entry!$R$888="","",[2]Entry!$R$888)</f>
        <v/>
      </c>
    </row>
    <row r="886" spans="10:16" x14ac:dyDescent="0.2">
      <c r="J886" t="str">
        <f>IF([2]Entry!$C$889="","",[2]Entry!$C$889)</f>
        <v/>
      </c>
      <c r="K886" t="str">
        <f>IF([2]Entry!$D$889="","",[2]Entry!$D$889)</f>
        <v/>
      </c>
      <c r="L886" t="str">
        <f>IF([2]Entry!$E$889="","",[2]Entry!$E$889)</f>
        <v/>
      </c>
      <c r="M886" t="str">
        <f>IF([2]Entry!$G$889="","",[2]Entry!$G$889)</f>
        <v/>
      </c>
      <c r="N886" t="str">
        <f>IF([2]Entry!$M$889="","",[2]Entry!$M$889)</f>
        <v/>
      </c>
      <c r="O886" t="str">
        <f>IF([2]Entry!$N$889="","",[2]Entry!$N$889)</f>
        <v/>
      </c>
      <c r="P886" t="str">
        <f>IF([2]Entry!$R$889="","",[2]Entry!$R$889)</f>
        <v/>
      </c>
    </row>
    <row r="887" spans="10:16" x14ac:dyDescent="0.2">
      <c r="J887" t="str">
        <f>IF([2]Entry!$C$890="","",[2]Entry!$C$890)</f>
        <v/>
      </c>
      <c r="K887" t="str">
        <f>IF([2]Entry!$D$890="","",[2]Entry!$D$890)</f>
        <v/>
      </c>
      <c r="L887" t="str">
        <f>IF([2]Entry!$E$890="","",[2]Entry!$E$890)</f>
        <v/>
      </c>
      <c r="M887" t="str">
        <f>IF([2]Entry!$G$890="","",[2]Entry!$G$890)</f>
        <v/>
      </c>
      <c r="N887" t="str">
        <f>IF([2]Entry!$M$890="","",[2]Entry!$M$890)</f>
        <v/>
      </c>
      <c r="O887" t="str">
        <f>IF([2]Entry!$N$890="","",[2]Entry!$N$890)</f>
        <v/>
      </c>
      <c r="P887" t="str">
        <f>IF([2]Entry!$R$890="","",[2]Entry!$R$890)</f>
        <v/>
      </c>
    </row>
    <row r="888" spans="10:16" x14ac:dyDescent="0.2">
      <c r="J888" t="str">
        <f>IF([2]Entry!$C$891="","",[2]Entry!$C$891)</f>
        <v/>
      </c>
      <c r="K888" t="str">
        <f>IF([2]Entry!$D$891="","",[2]Entry!$D$891)</f>
        <v/>
      </c>
      <c r="L888" t="str">
        <f>IF([2]Entry!$E$891="","",[2]Entry!$E$891)</f>
        <v/>
      </c>
      <c r="M888" t="str">
        <f>IF([2]Entry!$G$891="","",[2]Entry!$G$891)</f>
        <v/>
      </c>
      <c r="N888" t="str">
        <f>IF([2]Entry!$M$891="","",[2]Entry!$M$891)</f>
        <v/>
      </c>
      <c r="O888" t="str">
        <f>IF([2]Entry!$N$891="","",[2]Entry!$N$891)</f>
        <v/>
      </c>
      <c r="P888" t="str">
        <f>IF([2]Entry!$R$891="","",[2]Entry!$R$891)</f>
        <v/>
      </c>
    </row>
    <row r="889" spans="10:16" x14ac:dyDescent="0.2">
      <c r="J889" t="str">
        <f>IF([2]Entry!$C$892="","",[2]Entry!$C$892)</f>
        <v/>
      </c>
      <c r="K889" t="str">
        <f>IF([2]Entry!$D$892="","",[2]Entry!$D$892)</f>
        <v/>
      </c>
      <c r="L889" t="str">
        <f>IF([2]Entry!$E$892="","",[2]Entry!$E$892)</f>
        <v/>
      </c>
      <c r="M889" t="str">
        <f>IF([2]Entry!$G$892="","",[2]Entry!$G$892)</f>
        <v/>
      </c>
      <c r="N889" t="str">
        <f>IF([2]Entry!$M$892="","",[2]Entry!$M$892)</f>
        <v/>
      </c>
      <c r="O889" t="str">
        <f>IF([2]Entry!$N$892="","",[2]Entry!$N$892)</f>
        <v/>
      </c>
      <c r="P889" t="str">
        <f>IF([2]Entry!$R$892="","",[2]Entry!$R$892)</f>
        <v/>
      </c>
    </row>
    <row r="890" spans="10:16" x14ac:dyDescent="0.2">
      <c r="J890" t="str">
        <f>IF([2]Entry!$C$893="","",[2]Entry!$C$893)</f>
        <v/>
      </c>
      <c r="K890" t="str">
        <f>IF([2]Entry!$D$893="","",[2]Entry!$D$893)</f>
        <v/>
      </c>
      <c r="L890" t="str">
        <f>IF([2]Entry!$E$893="","",[2]Entry!$E$893)</f>
        <v/>
      </c>
      <c r="M890" t="str">
        <f>IF([2]Entry!$G$893="","",[2]Entry!$G$893)</f>
        <v/>
      </c>
      <c r="N890" t="str">
        <f>IF([2]Entry!$M$893="","",[2]Entry!$M$893)</f>
        <v/>
      </c>
      <c r="O890" t="str">
        <f>IF([2]Entry!$N$893="","",[2]Entry!$N$893)</f>
        <v/>
      </c>
      <c r="P890" t="str">
        <f>IF([2]Entry!$R$893="","",[2]Entry!$R$893)</f>
        <v/>
      </c>
    </row>
    <row r="891" spans="10:16" x14ac:dyDescent="0.2">
      <c r="J891" t="str">
        <f>IF([2]Entry!$C$894="","",[2]Entry!$C$894)</f>
        <v/>
      </c>
      <c r="K891" t="str">
        <f>IF([2]Entry!$D$894="","",[2]Entry!$D$894)</f>
        <v/>
      </c>
      <c r="L891" t="str">
        <f>IF([2]Entry!$E$894="","",[2]Entry!$E$894)</f>
        <v/>
      </c>
      <c r="M891" t="str">
        <f>IF([2]Entry!$G$894="","",[2]Entry!$G$894)</f>
        <v/>
      </c>
      <c r="N891" t="str">
        <f>IF([2]Entry!$M$894="","",[2]Entry!$M$894)</f>
        <v/>
      </c>
      <c r="O891" t="str">
        <f>IF([2]Entry!$N$894="","",[2]Entry!$N$894)</f>
        <v/>
      </c>
      <c r="P891" t="str">
        <f>IF([2]Entry!$R$894="","",[2]Entry!$R$894)</f>
        <v/>
      </c>
    </row>
    <row r="892" spans="10:16" x14ac:dyDescent="0.2">
      <c r="J892" t="str">
        <f>IF([2]Entry!$C$895="","",[2]Entry!$C$895)</f>
        <v/>
      </c>
      <c r="K892" t="str">
        <f>IF([2]Entry!$D$895="","",[2]Entry!$D$895)</f>
        <v/>
      </c>
      <c r="L892" t="str">
        <f>IF([2]Entry!$E$895="","",[2]Entry!$E$895)</f>
        <v/>
      </c>
      <c r="M892" t="str">
        <f>IF([2]Entry!$G$895="","",[2]Entry!$G$895)</f>
        <v/>
      </c>
      <c r="N892" t="str">
        <f>IF([2]Entry!$M$895="","",[2]Entry!$M$895)</f>
        <v/>
      </c>
      <c r="O892" t="str">
        <f>IF([2]Entry!$N$895="","",[2]Entry!$N$895)</f>
        <v/>
      </c>
      <c r="P892" t="str">
        <f>IF([2]Entry!$R$895="","",[2]Entry!$R$895)</f>
        <v/>
      </c>
    </row>
    <row r="893" spans="10:16" x14ac:dyDescent="0.2">
      <c r="J893" t="str">
        <f>IF([2]Entry!$C$896="","",[2]Entry!$C$896)</f>
        <v/>
      </c>
      <c r="K893" t="str">
        <f>IF([2]Entry!$D$896="","",[2]Entry!$D$896)</f>
        <v/>
      </c>
      <c r="L893" t="str">
        <f>IF([2]Entry!$E$896="","",[2]Entry!$E$896)</f>
        <v/>
      </c>
      <c r="M893" t="str">
        <f>IF([2]Entry!$G$896="","",[2]Entry!$G$896)</f>
        <v/>
      </c>
      <c r="N893" t="str">
        <f>IF([2]Entry!$M$896="","",[2]Entry!$M$896)</f>
        <v/>
      </c>
      <c r="O893" t="str">
        <f>IF([2]Entry!$N$896="","",[2]Entry!$N$896)</f>
        <v/>
      </c>
      <c r="P893" t="str">
        <f>IF([2]Entry!$R$896="","",[2]Entry!$R$896)</f>
        <v/>
      </c>
    </row>
    <row r="894" spans="10:16" x14ac:dyDescent="0.2">
      <c r="J894" t="str">
        <f>IF([2]Entry!$C$897="","",[2]Entry!$C$897)</f>
        <v/>
      </c>
      <c r="K894" t="str">
        <f>IF([2]Entry!$D$897="","",[2]Entry!$D$897)</f>
        <v/>
      </c>
      <c r="L894" t="str">
        <f>IF([2]Entry!$E$897="","",[2]Entry!$E$897)</f>
        <v/>
      </c>
      <c r="M894" t="str">
        <f>IF([2]Entry!$G$897="","",[2]Entry!$G$897)</f>
        <v/>
      </c>
      <c r="N894" t="str">
        <f>IF([2]Entry!$M$897="","",[2]Entry!$M$897)</f>
        <v/>
      </c>
      <c r="O894" t="str">
        <f>IF([2]Entry!$N$897="","",[2]Entry!$N$897)</f>
        <v/>
      </c>
      <c r="P894" t="str">
        <f>IF([2]Entry!$R$897="","",[2]Entry!$R$897)</f>
        <v/>
      </c>
    </row>
    <row r="895" spans="10:16" x14ac:dyDescent="0.2">
      <c r="J895" t="str">
        <f>IF([2]Entry!$C$898="","",[2]Entry!$C$898)</f>
        <v/>
      </c>
      <c r="K895" t="str">
        <f>IF([2]Entry!$D$898="","",[2]Entry!$D$898)</f>
        <v/>
      </c>
      <c r="L895" t="str">
        <f>IF([2]Entry!$E$898="","",[2]Entry!$E$898)</f>
        <v/>
      </c>
      <c r="M895" t="str">
        <f>IF([2]Entry!$G$898="","",[2]Entry!$G$898)</f>
        <v/>
      </c>
      <c r="N895" t="str">
        <f>IF([2]Entry!$M$898="","",[2]Entry!$M$898)</f>
        <v/>
      </c>
      <c r="O895" t="str">
        <f>IF([2]Entry!$N$898="","",[2]Entry!$N$898)</f>
        <v/>
      </c>
      <c r="P895" t="str">
        <f>IF([2]Entry!$R$898="","",[2]Entry!$R$898)</f>
        <v/>
      </c>
    </row>
    <row r="896" spans="10:16" x14ac:dyDescent="0.2">
      <c r="J896" t="str">
        <f>IF([2]Entry!$C$899="","",[2]Entry!$C$899)</f>
        <v/>
      </c>
      <c r="K896" t="str">
        <f>IF([2]Entry!$D$899="","",[2]Entry!$D$899)</f>
        <v/>
      </c>
      <c r="L896" t="str">
        <f>IF([2]Entry!$E$899="","",[2]Entry!$E$899)</f>
        <v/>
      </c>
      <c r="M896" t="str">
        <f>IF([2]Entry!$G$899="","",[2]Entry!$G$899)</f>
        <v/>
      </c>
      <c r="N896" t="str">
        <f>IF([2]Entry!$M$899="","",[2]Entry!$M$899)</f>
        <v/>
      </c>
      <c r="O896" t="str">
        <f>IF([2]Entry!$N$899="","",[2]Entry!$N$899)</f>
        <v/>
      </c>
      <c r="P896" t="str">
        <f>IF([2]Entry!$R$899="","",[2]Entry!$R$899)</f>
        <v/>
      </c>
    </row>
    <row r="897" spans="10:16" x14ac:dyDescent="0.2">
      <c r="J897" t="str">
        <f>IF([2]Entry!$C$900="","",[2]Entry!$C$900)</f>
        <v/>
      </c>
      <c r="K897" t="str">
        <f>IF([2]Entry!$D$900="","",[2]Entry!$D$900)</f>
        <v/>
      </c>
      <c r="L897" t="str">
        <f>IF([2]Entry!$E$900="","",[2]Entry!$E$900)</f>
        <v/>
      </c>
      <c r="M897" t="str">
        <f>IF([2]Entry!$G$900="","",[2]Entry!$G$900)</f>
        <v/>
      </c>
      <c r="N897" t="str">
        <f>IF([2]Entry!$M$900="","",[2]Entry!$M$900)</f>
        <v/>
      </c>
      <c r="O897" t="str">
        <f>IF([2]Entry!$N$900="","",[2]Entry!$N$900)</f>
        <v/>
      </c>
      <c r="P897" t="str">
        <f>IF([2]Entry!$R$900="","",[2]Entry!$R$900)</f>
        <v/>
      </c>
    </row>
    <row r="898" spans="10:16" x14ac:dyDescent="0.2">
      <c r="J898" t="str">
        <f>IF([2]Entry!$C$901="","",[2]Entry!$C$901)</f>
        <v/>
      </c>
      <c r="K898" t="str">
        <f>IF([2]Entry!$D$901="","",[2]Entry!$D$901)</f>
        <v/>
      </c>
      <c r="L898" t="str">
        <f>IF([2]Entry!$E$901="","",[2]Entry!$E$901)</f>
        <v/>
      </c>
      <c r="M898" t="str">
        <f>IF([2]Entry!$G$901="","",[2]Entry!$G$901)</f>
        <v/>
      </c>
      <c r="N898" t="str">
        <f>IF([2]Entry!$M$901="","",[2]Entry!$M$901)</f>
        <v/>
      </c>
      <c r="O898" t="str">
        <f>IF([2]Entry!$N$901="","",[2]Entry!$N$901)</f>
        <v/>
      </c>
      <c r="P898" t="str">
        <f>IF([2]Entry!$R$901="","",[2]Entry!$R$901)</f>
        <v/>
      </c>
    </row>
    <row r="899" spans="10:16" x14ac:dyDescent="0.2">
      <c r="J899" t="str">
        <f>IF([2]Entry!$C$902="","",[2]Entry!$C$902)</f>
        <v/>
      </c>
      <c r="K899" t="str">
        <f>IF([2]Entry!$D$902="","",[2]Entry!$D$902)</f>
        <v/>
      </c>
      <c r="L899" t="str">
        <f>IF([2]Entry!$E$902="","",[2]Entry!$E$902)</f>
        <v/>
      </c>
      <c r="M899" t="str">
        <f>IF([2]Entry!$G$902="","",[2]Entry!$G$902)</f>
        <v/>
      </c>
      <c r="N899" t="str">
        <f>IF([2]Entry!$M$902="","",[2]Entry!$M$902)</f>
        <v/>
      </c>
      <c r="O899" t="str">
        <f>IF([2]Entry!$N$902="","",[2]Entry!$N$902)</f>
        <v/>
      </c>
      <c r="P899" t="str">
        <f>IF([2]Entry!$R$902="","",[2]Entry!$R$902)</f>
        <v/>
      </c>
    </row>
    <row r="900" spans="10:16" x14ac:dyDescent="0.2">
      <c r="J900" t="str">
        <f>IF([2]Entry!$C$903="","",[2]Entry!$C$903)</f>
        <v/>
      </c>
      <c r="K900" t="str">
        <f>IF([2]Entry!$D$903="","",[2]Entry!$D$903)</f>
        <v/>
      </c>
      <c r="L900" t="str">
        <f>IF([2]Entry!$E$903="","",[2]Entry!$E$903)</f>
        <v/>
      </c>
      <c r="M900" t="str">
        <f>IF([2]Entry!$G$903="","",[2]Entry!$G$903)</f>
        <v/>
      </c>
      <c r="N900" t="str">
        <f>IF([2]Entry!$M$903="","",[2]Entry!$M$903)</f>
        <v/>
      </c>
      <c r="O900" t="str">
        <f>IF([2]Entry!$N$903="","",[2]Entry!$N$903)</f>
        <v/>
      </c>
      <c r="P900" t="str">
        <f>IF([2]Entry!$R$903="","",[2]Entry!$R$903)</f>
        <v/>
      </c>
    </row>
    <row r="901" spans="10:16" x14ac:dyDescent="0.2">
      <c r="J901" t="str">
        <f>IF([2]Entry!$C$904="","",[2]Entry!$C$904)</f>
        <v/>
      </c>
      <c r="K901" t="str">
        <f>IF([2]Entry!$D$904="","",[2]Entry!$D$904)</f>
        <v/>
      </c>
      <c r="L901" t="str">
        <f>IF([2]Entry!$E$904="","",[2]Entry!$E$904)</f>
        <v/>
      </c>
      <c r="M901" t="str">
        <f>IF([2]Entry!$G$904="","",[2]Entry!$G$904)</f>
        <v/>
      </c>
      <c r="N901" t="str">
        <f>IF([2]Entry!$M$904="","",[2]Entry!$M$904)</f>
        <v/>
      </c>
      <c r="O901" t="str">
        <f>IF([2]Entry!$N$904="","",[2]Entry!$N$904)</f>
        <v/>
      </c>
      <c r="P901" t="str">
        <f>IF([2]Entry!$R$904="","",[2]Entry!$R$904)</f>
        <v/>
      </c>
    </row>
    <row r="902" spans="10:16" x14ac:dyDescent="0.2">
      <c r="J902" t="str">
        <f>IF([2]Entry!$C$905="","",[2]Entry!$C$905)</f>
        <v/>
      </c>
      <c r="K902" t="str">
        <f>IF([2]Entry!$D$905="","",[2]Entry!$D$905)</f>
        <v/>
      </c>
      <c r="L902" t="str">
        <f>IF([2]Entry!$E$905="","",[2]Entry!$E$905)</f>
        <v/>
      </c>
      <c r="M902" t="str">
        <f>IF([2]Entry!$G$905="","",[2]Entry!$G$905)</f>
        <v/>
      </c>
      <c r="N902" t="str">
        <f>IF([2]Entry!$M$905="","",[2]Entry!$M$905)</f>
        <v/>
      </c>
      <c r="O902" t="str">
        <f>IF([2]Entry!$N$905="","",[2]Entry!$N$905)</f>
        <v/>
      </c>
      <c r="P902" t="str">
        <f>IF([2]Entry!$R$905="","",[2]Entry!$R$905)</f>
        <v/>
      </c>
    </row>
    <row r="903" spans="10:16" x14ac:dyDescent="0.2">
      <c r="J903" t="str">
        <f>IF([2]Entry!$C$906="","",[2]Entry!$C$906)</f>
        <v/>
      </c>
      <c r="K903" t="str">
        <f>IF([2]Entry!$D$906="","",[2]Entry!$D$906)</f>
        <v/>
      </c>
      <c r="L903" t="str">
        <f>IF([2]Entry!$E$906="","",[2]Entry!$E$906)</f>
        <v/>
      </c>
      <c r="M903" t="str">
        <f>IF([2]Entry!$G$906="","",[2]Entry!$G$906)</f>
        <v/>
      </c>
      <c r="N903" t="str">
        <f>IF([2]Entry!$M$906="","",[2]Entry!$M$906)</f>
        <v/>
      </c>
      <c r="O903" t="str">
        <f>IF([2]Entry!$N$906="","",[2]Entry!$N$906)</f>
        <v/>
      </c>
      <c r="P903" t="str">
        <f>IF([2]Entry!$R$906="","",[2]Entry!$R$906)</f>
        <v/>
      </c>
    </row>
    <row r="904" spans="10:16" x14ac:dyDescent="0.2">
      <c r="J904" t="str">
        <f>IF([2]Entry!$C$907="","",[2]Entry!$C$907)</f>
        <v/>
      </c>
      <c r="K904" t="str">
        <f>IF([2]Entry!$D$907="","",[2]Entry!$D$907)</f>
        <v/>
      </c>
      <c r="L904" t="str">
        <f>IF([2]Entry!$E$907="","",[2]Entry!$E$907)</f>
        <v/>
      </c>
      <c r="M904" t="str">
        <f>IF([2]Entry!$G$907="","",[2]Entry!$G$907)</f>
        <v/>
      </c>
      <c r="N904" t="str">
        <f>IF([2]Entry!$M$907="","",[2]Entry!$M$907)</f>
        <v/>
      </c>
      <c r="O904" t="str">
        <f>IF([2]Entry!$N$907="","",[2]Entry!$N$907)</f>
        <v/>
      </c>
      <c r="P904" t="str">
        <f>IF([2]Entry!$R$907="","",[2]Entry!$R$907)</f>
        <v/>
      </c>
    </row>
    <row r="905" spans="10:16" x14ac:dyDescent="0.2">
      <c r="J905" t="str">
        <f>IF([2]Entry!$C$908="","",[2]Entry!$C$908)</f>
        <v/>
      </c>
      <c r="K905" t="str">
        <f>IF([2]Entry!$D$908="","",[2]Entry!$D$908)</f>
        <v/>
      </c>
      <c r="L905" t="str">
        <f>IF([2]Entry!$E$908="","",[2]Entry!$E$908)</f>
        <v/>
      </c>
      <c r="M905" t="str">
        <f>IF([2]Entry!$G$908="","",[2]Entry!$G$908)</f>
        <v/>
      </c>
      <c r="N905" t="str">
        <f>IF([2]Entry!$M$908="","",[2]Entry!$M$908)</f>
        <v/>
      </c>
      <c r="O905" t="str">
        <f>IF([2]Entry!$N$908="","",[2]Entry!$N$908)</f>
        <v/>
      </c>
      <c r="P905" t="str">
        <f>IF([2]Entry!$R$908="","",[2]Entry!$R$908)</f>
        <v/>
      </c>
    </row>
    <row r="906" spans="10:16" x14ac:dyDescent="0.2">
      <c r="J906" t="str">
        <f>IF([2]Entry!$C$909="","",[2]Entry!$C$909)</f>
        <v/>
      </c>
      <c r="K906" t="str">
        <f>IF([2]Entry!$D$909="","",[2]Entry!$D$909)</f>
        <v/>
      </c>
      <c r="L906" t="str">
        <f>IF([2]Entry!$E$909="","",[2]Entry!$E$909)</f>
        <v/>
      </c>
      <c r="M906" t="str">
        <f>IF([2]Entry!$G$909="","",[2]Entry!$G$909)</f>
        <v/>
      </c>
      <c r="N906" t="str">
        <f>IF([2]Entry!$M$909="","",[2]Entry!$M$909)</f>
        <v/>
      </c>
      <c r="O906" t="str">
        <f>IF([2]Entry!$N$909="","",[2]Entry!$N$909)</f>
        <v/>
      </c>
      <c r="P906" t="str">
        <f>IF([2]Entry!$R$909="","",[2]Entry!$R$909)</f>
        <v/>
      </c>
    </row>
    <row r="907" spans="10:16" x14ac:dyDescent="0.2">
      <c r="J907" t="str">
        <f>IF([2]Entry!$C$910="","",[2]Entry!$C$910)</f>
        <v/>
      </c>
      <c r="K907" t="str">
        <f>IF([2]Entry!$D$910="","",[2]Entry!$D$910)</f>
        <v/>
      </c>
      <c r="L907" t="str">
        <f>IF([2]Entry!$E$910="","",[2]Entry!$E$910)</f>
        <v/>
      </c>
      <c r="M907" t="str">
        <f>IF([2]Entry!$G$910="","",[2]Entry!$G$910)</f>
        <v/>
      </c>
      <c r="N907" t="str">
        <f>IF([2]Entry!$M$910="","",[2]Entry!$M$910)</f>
        <v/>
      </c>
      <c r="O907" t="str">
        <f>IF([2]Entry!$N$910="","",[2]Entry!$N$910)</f>
        <v/>
      </c>
      <c r="P907" t="str">
        <f>IF([2]Entry!$R$910="","",[2]Entry!$R$910)</f>
        <v/>
      </c>
    </row>
    <row r="908" spans="10:16" x14ac:dyDescent="0.2">
      <c r="J908" t="str">
        <f>IF([2]Entry!$C$911="","",[2]Entry!$C$911)</f>
        <v/>
      </c>
      <c r="K908" t="str">
        <f>IF([2]Entry!$D$911="","",[2]Entry!$D$911)</f>
        <v/>
      </c>
      <c r="L908" t="str">
        <f>IF([2]Entry!$E$911="","",[2]Entry!$E$911)</f>
        <v/>
      </c>
      <c r="M908" t="str">
        <f>IF([2]Entry!$G$911="","",[2]Entry!$G$911)</f>
        <v/>
      </c>
      <c r="N908" t="str">
        <f>IF([2]Entry!$M$911="","",[2]Entry!$M$911)</f>
        <v/>
      </c>
      <c r="O908" t="str">
        <f>IF([2]Entry!$N$911="","",[2]Entry!$N$911)</f>
        <v/>
      </c>
      <c r="P908" t="str">
        <f>IF([2]Entry!$R$911="","",[2]Entry!$R$911)</f>
        <v/>
      </c>
    </row>
    <row r="909" spans="10:16" x14ac:dyDescent="0.2">
      <c r="J909" t="str">
        <f>IF([2]Entry!$C$912="","",[2]Entry!$C$912)</f>
        <v/>
      </c>
      <c r="K909" t="str">
        <f>IF([2]Entry!$D$912="","",[2]Entry!$D$912)</f>
        <v/>
      </c>
      <c r="L909" t="str">
        <f>IF([2]Entry!$E$912="","",[2]Entry!$E$912)</f>
        <v/>
      </c>
      <c r="M909" t="str">
        <f>IF([2]Entry!$G$912="","",[2]Entry!$G$912)</f>
        <v/>
      </c>
      <c r="N909" t="str">
        <f>IF([2]Entry!$M$912="","",[2]Entry!$M$912)</f>
        <v/>
      </c>
      <c r="O909" t="str">
        <f>IF([2]Entry!$N$912="","",[2]Entry!$N$912)</f>
        <v/>
      </c>
      <c r="P909" t="str">
        <f>IF([2]Entry!$R$912="","",[2]Entry!$R$912)</f>
        <v/>
      </c>
    </row>
    <row r="910" spans="10:16" x14ac:dyDescent="0.2">
      <c r="J910" t="str">
        <f>IF([2]Entry!$C$913="","",[2]Entry!$C$913)</f>
        <v/>
      </c>
      <c r="K910" t="str">
        <f>IF([2]Entry!$D$913="","",[2]Entry!$D$913)</f>
        <v/>
      </c>
      <c r="L910" t="str">
        <f>IF([2]Entry!$E$913="","",[2]Entry!$E$913)</f>
        <v/>
      </c>
      <c r="M910" t="str">
        <f>IF([2]Entry!$G$913="","",[2]Entry!$G$913)</f>
        <v/>
      </c>
      <c r="N910" t="str">
        <f>IF([2]Entry!$M$913="","",[2]Entry!$M$913)</f>
        <v/>
      </c>
      <c r="O910" t="str">
        <f>IF([2]Entry!$N$913="","",[2]Entry!$N$913)</f>
        <v/>
      </c>
      <c r="P910" t="str">
        <f>IF([2]Entry!$R$913="","",[2]Entry!$R$913)</f>
        <v/>
      </c>
    </row>
    <row r="911" spans="10:16" x14ac:dyDescent="0.2">
      <c r="J911" t="str">
        <f>IF([2]Entry!$C$914="","",[2]Entry!$C$914)</f>
        <v/>
      </c>
      <c r="K911" t="str">
        <f>IF([2]Entry!$D$914="","",[2]Entry!$D$914)</f>
        <v/>
      </c>
      <c r="L911" t="str">
        <f>IF([2]Entry!$E$914="","",[2]Entry!$E$914)</f>
        <v/>
      </c>
      <c r="M911" t="str">
        <f>IF([2]Entry!$G$914="","",[2]Entry!$G$914)</f>
        <v/>
      </c>
      <c r="N911" t="str">
        <f>IF([2]Entry!$M$914="","",[2]Entry!$M$914)</f>
        <v/>
      </c>
      <c r="O911" t="str">
        <f>IF([2]Entry!$N$914="","",[2]Entry!$N$914)</f>
        <v/>
      </c>
      <c r="P911" t="str">
        <f>IF([2]Entry!$R$914="","",[2]Entry!$R$914)</f>
        <v/>
      </c>
    </row>
    <row r="912" spans="10:16" x14ac:dyDescent="0.2">
      <c r="J912" t="str">
        <f>IF([2]Entry!$C$915="","",[2]Entry!$C$915)</f>
        <v/>
      </c>
      <c r="K912" t="str">
        <f>IF([2]Entry!$D$915="","",[2]Entry!$D$915)</f>
        <v/>
      </c>
      <c r="L912" t="str">
        <f>IF([2]Entry!$E$915="","",[2]Entry!$E$915)</f>
        <v/>
      </c>
      <c r="M912" t="str">
        <f>IF([2]Entry!$G$915="","",[2]Entry!$G$915)</f>
        <v/>
      </c>
      <c r="N912" t="str">
        <f>IF([2]Entry!$M$915="","",[2]Entry!$M$915)</f>
        <v/>
      </c>
      <c r="O912" t="str">
        <f>IF([2]Entry!$N$915="","",[2]Entry!$N$915)</f>
        <v/>
      </c>
      <c r="P912" t="str">
        <f>IF([2]Entry!$R$915="","",[2]Entry!$R$915)</f>
        <v/>
      </c>
    </row>
    <row r="913" spans="10:16" x14ac:dyDescent="0.2">
      <c r="J913" t="str">
        <f>IF([2]Entry!$C$916="","",[2]Entry!$C$916)</f>
        <v/>
      </c>
      <c r="K913" t="str">
        <f>IF([2]Entry!$D$916="","",[2]Entry!$D$916)</f>
        <v/>
      </c>
      <c r="L913" t="str">
        <f>IF([2]Entry!$E$916="","",[2]Entry!$E$916)</f>
        <v/>
      </c>
      <c r="M913" t="str">
        <f>IF([2]Entry!$G$916="","",[2]Entry!$G$916)</f>
        <v/>
      </c>
      <c r="N913" t="str">
        <f>IF([2]Entry!$M$916="","",[2]Entry!$M$916)</f>
        <v/>
      </c>
      <c r="O913" t="str">
        <f>IF([2]Entry!$N$916="","",[2]Entry!$N$916)</f>
        <v/>
      </c>
      <c r="P913" t="str">
        <f>IF([2]Entry!$R$916="","",[2]Entry!$R$916)</f>
        <v/>
      </c>
    </row>
    <row r="914" spans="10:16" x14ac:dyDescent="0.2">
      <c r="J914" t="str">
        <f>IF([2]Entry!$C$917="","",[2]Entry!$C$917)</f>
        <v/>
      </c>
      <c r="K914" t="str">
        <f>IF([2]Entry!$D$917="","",[2]Entry!$D$917)</f>
        <v/>
      </c>
      <c r="L914" t="str">
        <f>IF([2]Entry!$E$917="","",[2]Entry!$E$917)</f>
        <v/>
      </c>
      <c r="M914" t="str">
        <f>IF([2]Entry!$G$917="","",[2]Entry!$G$917)</f>
        <v/>
      </c>
      <c r="N914" t="str">
        <f>IF([2]Entry!$M$917="","",[2]Entry!$M$917)</f>
        <v/>
      </c>
      <c r="O914" t="str">
        <f>IF([2]Entry!$N$917="","",[2]Entry!$N$917)</f>
        <v/>
      </c>
      <c r="P914" t="str">
        <f>IF([2]Entry!$R$917="","",[2]Entry!$R$917)</f>
        <v/>
      </c>
    </row>
    <row r="915" spans="10:16" x14ac:dyDescent="0.2">
      <c r="J915" t="str">
        <f>IF([2]Entry!$C$918="","",[2]Entry!$C$918)</f>
        <v/>
      </c>
      <c r="K915" t="str">
        <f>IF([2]Entry!$D$918="","",[2]Entry!$D$918)</f>
        <v/>
      </c>
      <c r="L915" t="str">
        <f>IF([2]Entry!$E$918="","",[2]Entry!$E$918)</f>
        <v/>
      </c>
      <c r="M915" t="str">
        <f>IF([2]Entry!$G$918="","",[2]Entry!$G$918)</f>
        <v/>
      </c>
      <c r="N915" t="str">
        <f>IF([2]Entry!$M$918="","",[2]Entry!$M$918)</f>
        <v/>
      </c>
      <c r="O915" t="str">
        <f>IF([2]Entry!$N$918="","",[2]Entry!$N$918)</f>
        <v/>
      </c>
      <c r="P915" t="str">
        <f>IF([2]Entry!$R$918="","",[2]Entry!$R$918)</f>
        <v/>
      </c>
    </row>
    <row r="916" spans="10:16" x14ac:dyDescent="0.2">
      <c r="J916" t="str">
        <f>IF([2]Entry!$C$919="","",[2]Entry!$C$919)</f>
        <v/>
      </c>
      <c r="K916" t="str">
        <f>IF([2]Entry!$D$919="","",[2]Entry!$D$919)</f>
        <v/>
      </c>
      <c r="L916" t="str">
        <f>IF([2]Entry!$E$919="","",[2]Entry!$E$919)</f>
        <v/>
      </c>
      <c r="M916" t="str">
        <f>IF([2]Entry!$G$919="","",[2]Entry!$G$919)</f>
        <v/>
      </c>
      <c r="N916" t="str">
        <f>IF([2]Entry!$M$919="","",[2]Entry!$M$919)</f>
        <v/>
      </c>
      <c r="O916" t="str">
        <f>IF([2]Entry!$N$919="","",[2]Entry!$N$919)</f>
        <v/>
      </c>
      <c r="P916" t="str">
        <f>IF([2]Entry!$R$919="","",[2]Entry!$R$919)</f>
        <v/>
      </c>
    </row>
    <row r="917" spans="10:16" x14ac:dyDescent="0.2">
      <c r="J917" t="str">
        <f>IF([2]Entry!$C$920="","",[2]Entry!$C$920)</f>
        <v/>
      </c>
      <c r="K917" t="str">
        <f>IF([2]Entry!$D$920="","",[2]Entry!$D$920)</f>
        <v/>
      </c>
      <c r="L917" t="str">
        <f>IF([2]Entry!$E$920="","",[2]Entry!$E$920)</f>
        <v/>
      </c>
      <c r="M917" t="str">
        <f>IF([2]Entry!$G$920="","",[2]Entry!$G$920)</f>
        <v/>
      </c>
      <c r="N917" t="str">
        <f>IF([2]Entry!$M$920="","",[2]Entry!$M$920)</f>
        <v/>
      </c>
      <c r="O917" t="str">
        <f>IF([2]Entry!$N$920="","",[2]Entry!$N$920)</f>
        <v/>
      </c>
      <c r="P917" t="str">
        <f>IF([2]Entry!$R$920="","",[2]Entry!$R$920)</f>
        <v/>
      </c>
    </row>
    <row r="918" spans="10:16" x14ac:dyDescent="0.2">
      <c r="J918" t="str">
        <f>IF([2]Entry!$C$921="","",[2]Entry!$C$921)</f>
        <v/>
      </c>
      <c r="K918" t="str">
        <f>IF([2]Entry!$D$921="","",[2]Entry!$D$921)</f>
        <v/>
      </c>
      <c r="L918" t="str">
        <f>IF([2]Entry!$E$921="","",[2]Entry!$E$921)</f>
        <v/>
      </c>
      <c r="M918" t="str">
        <f>IF([2]Entry!$G$921="","",[2]Entry!$G$921)</f>
        <v/>
      </c>
      <c r="N918" t="str">
        <f>IF([2]Entry!$M$921="","",[2]Entry!$M$921)</f>
        <v/>
      </c>
      <c r="O918" t="str">
        <f>IF([2]Entry!$N$921="","",[2]Entry!$N$921)</f>
        <v/>
      </c>
      <c r="P918" t="str">
        <f>IF([2]Entry!$R$921="","",[2]Entry!$R$921)</f>
        <v/>
      </c>
    </row>
    <row r="919" spans="10:16" x14ac:dyDescent="0.2">
      <c r="J919" t="str">
        <f>IF([2]Entry!$C$922="","",[2]Entry!$C$922)</f>
        <v/>
      </c>
      <c r="K919" t="str">
        <f>IF([2]Entry!$D$922="","",[2]Entry!$D$922)</f>
        <v/>
      </c>
      <c r="L919" t="str">
        <f>IF([2]Entry!$E$922="","",[2]Entry!$E$922)</f>
        <v/>
      </c>
      <c r="M919" t="str">
        <f>IF([2]Entry!$G$922="","",[2]Entry!$G$922)</f>
        <v/>
      </c>
      <c r="N919" t="str">
        <f>IF([2]Entry!$M$922="","",[2]Entry!$M$922)</f>
        <v/>
      </c>
      <c r="O919" t="str">
        <f>IF([2]Entry!$N$922="","",[2]Entry!$N$922)</f>
        <v/>
      </c>
      <c r="P919" t="str">
        <f>IF([2]Entry!$R$922="","",[2]Entry!$R$922)</f>
        <v/>
      </c>
    </row>
    <row r="920" spans="10:16" x14ac:dyDescent="0.2">
      <c r="J920" t="str">
        <f>IF([2]Entry!$C$923="","",[2]Entry!$C$923)</f>
        <v/>
      </c>
      <c r="K920" t="str">
        <f>IF([2]Entry!$D$923="","",[2]Entry!$D$923)</f>
        <v/>
      </c>
      <c r="L920" t="str">
        <f>IF([2]Entry!$E$923="","",[2]Entry!$E$923)</f>
        <v/>
      </c>
      <c r="M920" t="str">
        <f>IF([2]Entry!$G$923="","",[2]Entry!$G$923)</f>
        <v/>
      </c>
      <c r="N920" t="str">
        <f>IF([2]Entry!$M$923="","",[2]Entry!$M$923)</f>
        <v/>
      </c>
      <c r="O920" t="str">
        <f>IF([2]Entry!$N$923="","",[2]Entry!$N$923)</f>
        <v/>
      </c>
      <c r="P920" t="str">
        <f>IF([2]Entry!$R$923="","",[2]Entry!$R$923)</f>
        <v/>
      </c>
    </row>
    <row r="921" spans="10:16" x14ac:dyDescent="0.2">
      <c r="J921" t="str">
        <f>IF([2]Entry!$C$924="","",[2]Entry!$C$924)</f>
        <v/>
      </c>
      <c r="K921" t="str">
        <f>IF([2]Entry!$D$924="","",[2]Entry!$D$924)</f>
        <v/>
      </c>
      <c r="L921" t="str">
        <f>IF([2]Entry!$E$924="","",[2]Entry!$E$924)</f>
        <v/>
      </c>
      <c r="M921" t="str">
        <f>IF([2]Entry!$G$924="","",[2]Entry!$G$924)</f>
        <v/>
      </c>
      <c r="N921" t="str">
        <f>IF([2]Entry!$M$924="","",[2]Entry!$M$924)</f>
        <v/>
      </c>
      <c r="O921" t="str">
        <f>IF([2]Entry!$N$924="","",[2]Entry!$N$924)</f>
        <v/>
      </c>
      <c r="P921" t="str">
        <f>IF([2]Entry!$R$924="","",[2]Entry!$R$924)</f>
        <v/>
      </c>
    </row>
    <row r="922" spans="10:16" x14ac:dyDescent="0.2">
      <c r="J922" t="str">
        <f>IF([2]Entry!$C$925="","",[2]Entry!$C$925)</f>
        <v/>
      </c>
      <c r="K922" t="str">
        <f>IF([2]Entry!$D$925="","",[2]Entry!$D$925)</f>
        <v/>
      </c>
      <c r="L922" t="str">
        <f>IF([2]Entry!$E$925="","",[2]Entry!$E$925)</f>
        <v/>
      </c>
      <c r="M922" t="str">
        <f>IF([2]Entry!$G$925="","",[2]Entry!$G$925)</f>
        <v/>
      </c>
      <c r="N922" t="str">
        <f>IF([2]Entry!$M$925="","",[2]Entry!$M$925)</f>
        <v/>
      </c>
      <c r="O922" t="str">
        <f>IF([2]Entry!$N$925="","",[2]Entry!$N$925)</f>
        <v/>
      </c>
      <c r="P922" t="str">
        <f>IF([2]Entry!$R$925="","",[2]Entry!$R$925)</f>
        <v/>
      </c>
    </row>
    <row r="923" spans="10:16" x14ac:dyDescent="0.2">
      <c r="J923" t="str">
        <f>IF([2]Entry!$C$926="","",[2]Entry!$C$926)</f>
        <v/>
      </c>
      <c r="K923" t="str">
        <f>IF([2]Entry!$D$926="","",[2]Entry!$D$926)</f>
        <v/>
      </c>
      <c r="L923" t="str">
        <f>IF([2]Entry!$E$926="","",[2]Entry!$E$926)</f>
        <v/>
      </c>
      <c r="M923" t="str">
        <f>IF([2]Entry!$G$926="","",[2]Entry!$G$926)</f>
        <v/>
      </c>
      <c r="N923" t="str">
        <f>IF([2]Entry!$M$926="","",[2]Entry!$M$926)</f>
        <v/>
      </c>
      <c r="O923" t="str">
        <f>IF([2]Entry!$N$926="","",[2]Entry!$N$926)</f>
        <v/>
      </c>
      <c r="P923" t="str">
        <f>IF([2]Entry!$R$926="","",[2]Entry!$R$926)</f>
        <v/>
      </c>
    </row>
    <row r="924" spans="10:16" x14ac:dyDescent="0.2">
      <c r="J924" t="str">
        <f>IF([2]Entry!$C$927="","",[2]Entry!$C$927)</f>
        <v/>
      </c>
      <c r="K924" t="str">
        <f>IF([2]Entry!$D$927="","",[2]Entry!$D$927)</f>
        <v/>
      </c>
      <c r="L924" t="str">
        <f>IF([2]Entry!$E$927="","",[2]Entry!$E$927)</f>
        <v/>
      </c>
      <c r="M924" t="str">
        <f>IF([2]Entry!$G$927="","",[2]Entry!$G$927)</f>
        <v/>
      </c>
      <c r="N924" t="str">
        <f>IF([2]Entry!$M$927="","",[2]Entry!$M$927)</f>
        <v/>
      </c>
      <c r="O924" t="str">
        <f>IF([2]Entry!$N$927="","",[2]Entry!$N$927)</f>
        <v/>
      </c>
      <c r="P924" t="str">
        <f>IF([2]Entry!$R$927="","",[2]Entry!$R$927)</f>
        <v/>
      </c>
    </row>
    <row r="925" spans="10:16" x14ac:dyDescent="0.2">
      <c r="J925" t="str">
        <f>IF([2]Entry!$C$928="","",[2]Entry!$C$928)</f>
        <v/>
      </c>
      <c r="K925" t="str">
        <f>IF([2]Entry!$D$928="","",[2]Entry!$D$928)</f>
        <v/>
      </c>
      <c r="L925" t="str">
        <f>IF([2]Entry!$E$928="","",[2]Entry!$E$928)</f>
        <v/>
      </c>
      <c r="M925" t="str">
        <f>IF([2]Entry!$G$928="","",[2]Entry!$G$928)</f>
        <v/>
      </c>
      <c r="N925" t="str">
        <f>IF([2]Entry!$M$928="","",[2]Entry!$M$928)</f>
        <v/>
      </c>
      <c r="O925" t="str">
        <f>IF([2]Entry!$N$928="","",[2]Entry!$N$928)</f>
        <v/>
      </c>
      <c r="P925" t="str">
        <f>IF([2]Entry!$R$928="","",[2]Entry!$R$928)</f>
        <v/>
      </c>
    </row>
    <row r="926" spans="10:16" x14ac:dyDescent="0.2">
      <c r="J926" t="str">
        <f>IF([2]Entry!$C$929="","",[2]Entry!$C$929)</f>
        <v/>
      </c>
      <c r="K926" t="str">
        <f>IF([2]Entry!$D$929="","",[2]Entry!$D$929)</f>
        <v/>
      </c>
      <c r="L926" t="str">
        <f>IF([2]Entry!$E$929="","",[2]Entry!$E$929)</f>
        <v/>
      </c>
      <c r="M926" t="str">
        <f>IF([2]Entry!$G$929="","",[2]Entry!$G$929)</f>
        <v/>
      </c>
      <c r="N926" t="str">
        <f>IF([2]Entry!$M$929="","",[2]Entry!$M$929)</f>
        <v/>
      </c>
      <c r="O926" t="str">
        <f>IF([2]Entry!$N$929="","",[2]Entry!$N$929)</f>
        <v/>
      </c>
      <c r="P926" t="str">
        <f>IF([2]Entry!$R$929="","",[2]Entry!$R$929)</f>
        <v/>
      </c>
    </row>
    <row r="927" spans="10:16" x14ac:dyDescent="0.2">
      <c r="J927" t="str">
        <f>IF([2]Entry!$C$930="","",[2]Entry!$C$930)</f>
        <v/>
      </c>
      <c r="K927" t="str">
        <f>IF([2]Entry!$D$930="","",[2]Entry!$D$930)</f>
        <v/>
      </c>
      <c r="L927" t="str">
        <f>IF([2]Entry!$E$930="","",[2]Entry!$E$930)</f>
        <v/>
      </c>
      <c r="M927" t="str">
        <f>IF([2]Entry!$G$930="","",[2]Entry!$G$930)</f>
        <v/>
      </c>
      <c r="N927" t="str">
        <f>IF([2]Entry!$M$930="","",[2]Entry!$M$930)</f>
        <v/>
      </c>
      <c r="O927" t="str">
        <f>IF([2]Entry!$N$930="","",[2]Entry!$N$930)</f>
        <v/>
      </c>
      <c r="P927" t="str">
        <f>IF([2]Entry!$R$930="","",[2]Entry!$R$930)</f>
        <v/>
      </c>
    </row>
    <row r="928" spans="10:16" x14ac:dyDescent="0.2">
      <c r="J928" t="str">
        <f>IF([2]Entry!$C$931="","",[2]Entry!$C$931)</f>
        <v/>
      </c>
      <c r="K928" t="str">
        <f>IF([2]Entry!$D$931="","",[2]Entry!$D$931)</f>
        <v/>
      </c>
      <c r="L928" t="str">
        <f>IF([2]Entry!$E$931="","",[2]Entry!$E$931)</f>
        <v/>
      </c>
      <c r="M928" t="str">
        <f>IF([2]Entry!$G$931="","",[2]Entry!$G$931)</f>
        <v/>
      </c>
      <c r="N928" t="str">
        <f>IF([2]Entry!$M$931="","",[2]Entry!$M$931)</f>
        <v/>
      </c>
      <c r="O928" t="str">
        <f>IF([2]Entry!$N$931="","",[2]Entry!$N$931)</f>
        <v/>
      </c>
      <c r="P928" t="str">
        <f>IF([2]Entry!$R$931="","",[2]Entry!$R$931)</f>
        <v/>
      </c>
    </row>
    <row r="929" spans="10:16" x14ac:dyDescent="0.2">
      <c r="J929" t="str">
        <f>IF([2]Entry!$C$932="","",[2]Entry!$C$932)</f>
        <v/>
      </c>
      <c r="K929" t="str">
        <f>IF([2]Entry!$D$932="","",[2]Entry!$D$932)</f>
        <v/>
      </c>
      <c r="L929" t="str">
        <f>IF([2]Entry!$E$932="","",[2]Entry!$E$932)</f>
        <v/>
      </c>
      <c r="M929" t="str">
        <f>IF([2]Entry!$G$932="","",[2]Entry!$G$932)</f>
        <v/>
      </c>
      <c r="N929" t="str">
        <f>IF([2]Entry!$M$932="","",[2]Entry!$M$932)</f>
        <v/>
      </c>
      <c r="O929" t="str">
        <f>IF([2]Entry!$N$932="","",[2]Entry!$N$932)</f>
        <v/>
      </c>
      <c r="P929" t="str">
        <f>IF([2]Entry!$R$932="","",[2]Entry!$R$932)</f>
        <v/>
      </c>
    </row>
    <row r="930" spans="10:16" x14ac:dyDescent="0.2">
      <c r="J930" t="str">
        <f>IF([2]Entry!$C$933="","",[2]Entry!$C$933)</f>
        <v/>
      </c>
      <c r="K930" t="str">
        <f>IF([2]Entry!$D$933="","",[2]Entry!$D$933)</f>
        <v/>
      </c>
      <c r="L930" t="str">
        <f>IF([2]Entry!$E$933="","",[2]Entry!$E$933)</f>
        <v/>
      </c>
      <c r="M930" t="str">
        <f>IF([2]Entry!$G$933="","",[2]Entry!$G$933)</f>
        <v/>
      </c>
      <c r="N930" t="str">
        <f>IF([2]Entry!$M$933="","",[2]Entry!$M$933)</f>
        <v/>
      </c>
      <c r="O930" t="str">
        <f>IF([2]Entry!$N$933="","",[2]Entry!$N$933)</f>
        <v/>
      </c>
      <c r="P930" t="str">
        <f>IF([2]Entry!$R$933="","",[2]Entry!$R$933)</f>
        <v/>
      </c>
    </row>
    <row r="931" spans="10:16" x14ac:dyDescent="0.2">
      <c r="J931" t="str">
        <f>IF([2]Entry!$C$934="","",[2]Entry!$C$934)</f>
        <v/>
      </c>
      <c r="K931" t="str">
        <f>IF([2]Entry!$D$934="","",[2]Entry!$D$934)</f>
        <v/>
      </c>
      <c r="L931" t="str">
        <f>IF([2]Entry!$E$934="","",[2]Entry!$E$934)</f>
        <v/>
      </c>
      <c r="M931" t="str">
        <f>IF([2]Entry!$G$934="","",[2]Entry!$G$934)</f>
        <v/>
      </c>
      <c r="N931" t="str">
        <f>IF([2]Entry!$M$934="","",[2]Entry!$M$934)</f>
        <v/>
      </c>
      <c r="O931" t="str">
        <f>IF([2]Entry!$N$934="","",[2]Entry!$N$934)</f>
        <v/>
      </c>
      <c r="P931" t="str">
        <f>IF([2]Entry!$R$934="","",[2]Entry!$R$934)</f>
        <v/>
      </c>
    </row>
    <row r="932" spans="10:16" x14ac:dyDescent="0.2">
      <c r="J932" t="str">
        <f>IF([2]Entry!$C$935="","",[2]Entry!$C$935)</f>
        <v/>
      </c>
      <c r="K932" t="str">
        <f>IF([2]Entry!$D$935="","",[2]Entry!$D$935)</f>
        <v/>
      </c>
      <c r="L932" t="str">
        <f>IF([2]Entry!$E$935="","",[2]Entry!$E$935)</f>
        <v/>
      </c>
      <c r="M932" t="str">
        <f>IF([2]Entry!$G$935="","",[2]Entry!$G$935)</f>
        <v/>
      </c>
      <c r="N932" t="str">
        <f>IF([2]Entry!$M$935="","",[2]Entry!$M$935)</f>
        <v/>
      </c>
      <c r="O932" t="str">
        <f>IF([2]Entry!$N$935="","",[2]Entry!$N$935)</f>
        <v/>
      </c>
      <c r="P932" t="str">
        <f>IF([2]Entry!$R$935="","",[2]Entry!$R$935)</f>
        <v/>
      </c>
    </row>
    <row r="933" spans="10:16" x14ac:dyDescent="0.2">
      <c r="J933" t="str">
        <f>IF([2]Entry!$C$936="","",[2]Entry!$C$936)</f>
        <v/>
      </c>
      <c r="K933" t="str">
        <f>IF([2]Entry!$D$936="","",[2]Entry!$D$936)</f>
        <v/>
      </c>
      <c r="L933" t="str">
        <f>IF([2]Entry!$E$936="","",[2]Entry!$E$936)</f>
        <v/>
      </c>
      <c r="M933" t="str">
        <f>IF([2]Entry!$G$936="","",[2]Entry!$G$936)</f>
        <v/>
      </c>
      <c r="N933" t="str">
        <f>IF([2]Entry!$M$936="","",[2]Entry!$M$936)</f>
        <v/>
      </c>
      <c r="O933" t="str">
        <f>IF([2]Entry!$N$936="","",[2]Entry!$N$936)</f>
        <v/>
      </c>
      <c r="P933" t="str">
        <f>IF([2]Entry!$R$936="","",[2]Entry!$R$936)</f>
        <v/>
      </c>
    </row>
    <row r="934" spans="10:16" x14ac:dyDescent="0.2">
      <c r="J934" t="str">
        <f>IF([2]Entry!$C$937="","",[2]Entry!$C$937)</f>
        <v/>
      </c>
      <c r="K934" t="str">
        <f>IF([2]Entry!$D$937="","",[2]Entry!$D$937)</f>
        <v/>
      </c>
      <c r="L934" t="str">
        <f>IF([2]Entry!$E$937="","",[2]Entry!$E$937)</f>
        <v/>
      </c>
      <c r="M934" t="str">
        <f>IF([2]Entry!$G$937="","",[2]Entry!$G$937)</f>
        <v/>
      </c>
      <c r="N934" t="str">
        <f>IF([2]Entry!$M$937="","",[2]Entry!$M$937)</f>
        <v/>
      </c>
      <c r="O934" t="str">
        <f>IF([2]Entry!$N$937="","",[2]Entry!$N$937)</f>
        <v/>
      </c>
      <c r="P934" t="str">
        <f>IF([2]Entry!$R$937="","",[2]Entry!$R$937)</f>
        <v/>
      </c>
    </row>
    <row r="935" spans="10:16" x14ac:dyDescent="0.2">
      <c r="J935" t="str">
        <f>IF([2]Entry!$C$938="","",[2]Entry!$C$938)</f>
        <v/>
      </c>
      <c r="K935" t="str">
        <f>IF([2]Entry!$D$938="","",[2]Entry!$D$938)</f>
        <v/>
      </c>
      <c r="L935" t="str">
        <f>IF([2]Entry!$E$938="","",[2]Entry!$E$938)</f>
        <v/>
      </c>
      <c r="M935" t="str">
        <f>IF([2]Entry!$G$938="","",[2]Entry!$G$938)</f>
        <v/>
      </c>
      <c r="N935" t="str">
        <f>IF([2]Entry!$M$938="","",[2]Entry!$M$938)</f>
        <v/>
      </c>
      <c r="O935" t="str">
        <f>IF([2]Entry!$N$938="","",[2]Entry!$N$938)</f>
        <v/>
      </c>
      <c r="P935" t="str">
        <f>IF([2]Entry!$R$938="","",[2]Entry!$R$938)</f>
        <v/>
      </c>
    </row>
    <row r="936" spans="10:16" x14ac:dyDescent="0.2">
      <c r="J936" t="str">
        <f>IF([2]Entry!$C$939="","",[2]Entry!$C$939)</f>
        <v/>
      </c>
      <c r="K936" t="str">
        <f>IF([2]Entry!$D$939="","",[2]Entry!$D$939)</f>
        <v/>
      </c>
      <c r="L936" t="str">
        <f>IF([2]Entry!$E$939="","",[2]Entry!$E$939)</f>
        <v/>
      </c>
      <c r="M936" t="str">
        <f>IF([2]Entry!$G$939="","",[2]Entry!$G$939)</f>
        <v/>
      </c>
      <c r="N936" t="str">
        <f>IF([2]Entry!$M$939="","",[2]Entry!$M$939)</f>
        <v/>
      </c>
      <c r="O936" t="str">
        <f>IF([2]Entry!$N$939="","",[2]Entry!$N$939)</f>
        <v/>
      </c>
      <c r="P936" t="str">
        <f>IF([2]Entry!$R$939="","",[2]Entry!$R$939)</f>
        <v/>
      </c>
    </row>
    <row r="937" spans="10:16" x14ac:dyDescent="0.2">
      <c r="J937" t="str">
        <f>IF([2]Entry!$C$940="","",[2]Entry!$C$940)</f>
        <v/>
      </c>
      <c r="K937" t="str">
        <f>IF([2]Entry!$D$940="","",[2]Entry!$D$940)</f>
        <v/>
      </c>
      <c r="L937" t="str">
        <f>IF([2]Entry!$E$940="","",[2]Entry!$E$940)</f>
        <v/>
      </c>
      <c r="M937" t="str">
        <f>IF([2]Entry!$G$940="","",[2]Entry!$G$940)</f>
        <v/>
      </c>
      <c r="N937" t="str">
        <f>IF([2]Entry!$M$940="","",[2]Entry!$M$940)</f>
        <v/>
      </c>
      <c r="O937" t="str">
        <f>IF([2]Entry!$N$940="","",[2]Entry!$N$940)</f>
        <v/>
      </c>
      <c r="P937" t="str">
        <f>IF([2]Entry!$R$940="","",[2]Entry!$R$940)</f>
        <v/>
      </c>
    </row>
    <row r="938" spans="10:16" x14ac:dyDescent="0.2">
      <c r="J938" t="str">
        <f>IF([2]Entry!$C$941="","",[2]Entry!$C$941)</f>
        <v/>
      </c>
      <c r="K938" t="str">
        <f>IF([2]Entry!$D$941="","",[2]Entry!$D$941)</f>
        <v/>
      </c>
      <c r="L938" t="str">
        <f>IF([2]Entry!$E$941="","",[2]Entry!$E$941)</f>
        <v/>
      </c>
      <c r="M938" t="str">
        <f>IF([2]Entry!$G$941="","",[2]Entry!$G$941)</f>
        <v/>
      </c>
      <c r="N938" t="str">
        <f>IF([2]Entry!$M$941="","",[2]Entry!$M$941)</f>
        <v/>
      </c>
      <c r="O938" t="str">
        <f>IF([2]Entry!$N$941="","",[2]Entry!$N$941)</f>
        <v/>
      </c>
      <c r="P938" t="str">
        <f>IF([2]Entry!$R$941="","",[2]Entry!$R$941)</f>
        <v/>
      </c>
    </row>
    <row r="939" spans="10:16" x14ac:dyDescent="0.2">
      <c r="J939" t="str">
        <f>IF([2]Entry!$C$942="","",[2]Entry!$C$942)</f>
        <v/>
      </c>
      <c r="K939" t="str">
        <f>IF([2]Entry!$D$942="","",[2]Entry!$D$942)</f>
        <v/>
      </c>
      <c r="L939" t="str">
        <f>IF([2]Entry!$E$942="","",[2]Entry!$E$942)</f>
        <v/>
      </c>
      <c r="M939" t="str">
        <f>IF([2]Entry!$G$942="","",[2]Entry!$G$942)</f>
        <v/>
      </c>
      <c r="N939" t="str">
        <f>IF([2]Entry!$M$942="","",[2]Entry!$M$942)</f>
        <v/>
      </c>
      <c r="O939" t="str">
        <f>IF([2]Entry!$N$942="","",[2]Entry!$N$942)</f>
        <v/>
      </c>
      <c r="P939" t="str">
        <f>IF([2]Entry!$R$942="","",[2]Entry!$R$942)</f>
        <v/>
      </c>
    </row>
    <row r="940" spans="10:16" x14ac:dyDescent="0.2">
      <c r="J940" t="str">
        <f>IF([2]Entry!$C$943="","",[2]Entry!$C$943)</f>
        <v/>
      </c>
      <c r="K940" t="str">
        <f>IF([2]Entry!$D$943="","",[2]Entry!$D$943)</f>
        <v/>
      </c>
      <c r="L940" t="str">
        <f>IF([2]Entry!$E$943="","",[2]Entry!$E$943)</f>
        <v/>
      </c>
      <c r="M940" t="str">
        <f>IF([2]Entry!$G$943="","",[2]Entry!$G$943)</f>
        <v/>
      </c>
      <c r="N940" t="str">
        <f>IF([2]Entry!$M$943="","",[2]Entry!$M$943)</f>
        <v/>
      </c>
      <c r="O940" t="str">
        <f>IF([2]Entry!$N$943="","",[2]Entry!$N$943)</f>
        <v/>
      </c>
      <c r="P940" t="str">
        <f>IF([2]Entry!$R$943="","",[2]Entry!$R$943)</f>
        <v/>
      </c>
    </row>
    <row r="941" spans="10:16" x14ac:dyDescent="0.2">
      <c r="J941" t="str">
        <f>IF([2]Entry!$C$944="","",[2]Entry!$C$944)</f>
        <v/>
      </c>
      <c r="K941" t="str">
        <f>IF([2]Entry!$D$944="","",[2]Entry!$D$944)</f>
        <v/>
      </c>
      <c r="L941" t="str">
        <f>IF([2]Entry!$E$944="","",[2]Entry!$E$944)</f>
        <v/>
      </c>
      <c r="M941" t="str">
        <f>IF([2]Entry!$G$944="","",[2]Entry!$G$944)</f>
        <v/>
      </c>
      <c r="N941" t="str">
        <f>IF([2]Entry!$M$944="","",[2]Entry!$M$944)</f>
        <v/>
      </c>
      <c r="O941" t="str">
        <f>IF([2]Entry!$N$944="","",[2]Entry!$N$944)</f>
        <v/>
      </c>
      <c r="P941" t="str">
        <f>IF([2]Entry!$R$944="","",[2]Entry!$R$944)</f>
        <v/>
      </c>
    </row>
    <row r="942" spans="10:16" x14ac:dyDescent="0.2">
      <c r="J942" t="str">
        <f>IF([2]Entry!$C$945="","",[2]Entry!$C$945)</f>
        <v/>
      </c>
      <c r="K942" t="str">
        <f>IF([2]Entry!$D$945="","",[2]Entry!$D$945)</f>
        <v/>
      </c>
      <c r="L942" t="str">
        <f>IF([2]Entry!$E$945="","",[2]Entry!$E$945)</f>
        <v/>
      </c>
      <c r="M942" t="str">
        <f>IF([2]Entry!$G$945="","",[2]Entry!$G$945)</f>
        <v/>
      </c>
      <c r="N942" t="str">
        <f>IF([2]Entry!$M$945="","",[2]Entry!$M$945)</f>
        <v/>
      </c>
      <c r="O942" t="str">
        <f>IF([2]Entry!$N$945="","",[2]Entry!$N$945)</f>
        <v/>
      </c>
      <c r="P942" t="str">
        <f>IF([2]Entry!$R$945="","",[2]Entry!$R$945)</f>
        <v/>
      </c>
    </row>
    <row r="943" spans="10:16" x14ac:dyDescent="0.2">
      <c r="J943" t="str">
        <f>IF([2]Entry!$C$946="","",[2]Entry!$C$946)</f>
        <v/>
      </c>
      <c r="K943" t="str">
        <f>IF([2]Entry!$D$946="","",[2]Entry!$D$946)</f>
        <v/>
      </c>
      <c r="L943" t="str">
        <f>IF([2]Entry!$E$946="","",[2]Entry!$E$946)</f>
        <v/>
      </c>
      <c r="M943" t="str">
        <f>IF([2]Entry!$G$946="","",[2]Entry!$G$946)</f>
        <v/>
      </c>
      <c r="N943" t="str">
        <f>IF([2]Entry!$M$946="","",[2]Entry!$M$946)</f>
        <v/>
      </c>
      <c r="O943" t="str">
        <f>IF([2]Entry!$N$946="","",[2]Entry!$N$946)</f>
        <v/>
      </c>
      <c r="P943" t="str">
        <f>IF([2]Entry!$R$946="","",[2]Entry!$R$946)</f>
        <v/>
      </c>
    </row>
    <row r="944" spans="10:16" x14ac:dyDescent="0.2">
      <c r="J944" t="str">
        <f>IF([2]Entry!$C$947="","",[2]Entry!$C$947)</f>
        <v/>
      </c>
      <c r="K944" t="str">
        <f>IF([2]Entry!$D$947="","",[2]Entry!$D$947)</f>
        <v/>
      </c>
      <c r="L944" t="str">
        <f>IF([2]Entry!$E$947="","",[2]Entry!$E$947)</f>
        <v/>
      </c>
      <c r="M944" t="str">
        <f>IF([2]Entry!$G$947="","",[2]Entry!$G$947)</f>
        <v/>
      </c>
      <c r="N944" t="str">
        <f>IF([2]Entry!$M$947="","",[2]Entry!$M$947)</f>
        <v/>
      </c>
      <c r="O944" t="str">
        <f>IF([2]Entry!$N$947="","",[2]Entry!$N$947)</f>
        <v/>
      </c>
      <c r="P944" t="str">
        <f>IF([2]Entry!$R$947="","",[2]Entry!$R$947)</f>
        <v/>
      </c>
    </row>
    <row r="945" spans="10:16" x14ac:dyDescent="0.2">
      <c r="J945" t="str">
        <f>IF([2]Entry!$C$948="","",[2]Entry!$C$948)</f>
        <v/>
      </c>
      <c r="K945" t="str">
        <f>IF([2]Entry!$D$948="","",[2]Entry!$D$948)</f>
        <v/>
      </c>
      <c r="L945" t="str">
        <f>IF([2]Entry!$E$948="","",[2]Entry!$E$948)</f>
        <v/>
      </c>
      <c r="M945" t="str">
        <f>IF([2]Entry!$G$948="","",[2]Entry!$G$948)</f>
        <v/>
      </c>
      <c r="N945" t="str">
        <f>IF([2]Entry!$M$948="","",[2]Entry!$M$948)</f>
        <v/>
      </c>
      <c r="O945" t="str">
        <f>IF([2]Entry!$N$948="","",[2]Entry!$N$948)</f>
        <v/>
      </c>
      <c r="P945" t="str">
        <f>IF([2]Entry!$R$948="","",[2]Entry!$R$948)</f>
        <v/>
      </c>
    </row>
    <row r="946" spans="10:16" x14ac:dyDescent="0.2">
      <c r="J946" t="str">
        <f>IF([2]Entry!$C$949="","",[2]Entry!$C$949)</f>
        <v/>
      </c>
      <c r="K946" t="str">
        <f>IF([2]Entry!$D$949="","",[2]Entry!$D$949)</f>
        <v/>
      </c>
      <c r="L946" t="str">
        <f>IF([2]Entry!$E$949="","",[2]Entry!$E$949)</f>
        <v/>
      </c>
      <c r="M946" t="str">
        <f>IF([2]Entry!$G$949="","",[2]Entry!$G$949)</f>
        <v/>
      </c>
      <c r="N946" t="str">
        <f>IF([2]Entry!$M$949="","",[2]Entry!$M$949)</f>
        <v/>
      </c>
      <c r="O946" t="str">
        <f>IF([2]Entry!$N$949="","",[2]Entry!$N$949)</f>
        <v/>
      </c>
      <c r="P946" t="str">
        <f>IF([2]Entry!$R$949="","",[2]Entry!$R$949)</f>
        <v/>
      </c>
    </row>
    <row r="947" spans="10:16" x14ac:dyDescent="0.2">
      <c r="J947" t="str">
        <f>IF([2]Entry!$C$950="","",[2]Entry!$C$950)</f>
        <v/>
      </c>
      <c r="K947" t="str">
        <f>IF([2]Entry!$D$950="","",[2]Entry!$D$950)</f>
        <v/>
      </c>
      <c r="L947" t="str">
        <f>IF([2]Entry!$E$950="","",[2]Entry!$E$950)</f>
        <v/>
      </c>
      <c r="M947" t="str">
        <f>IF([2]Entry!$G$950="","",[2]Entry!$G$950)</f>
        <v/>
      </c>
      <c r="N947" t="str">
        <f>IF([2]Entry!$M$950="","",[2]Entry!$M$950)</f>
        <v/>
      </c>
      <c r="O947" t="str">
        <f>IF([2]Entry!$N$950="","",[2]Entry!$N$950)</f>
        <v/>
      </c>
      <c r="P947" t="str">
        <f>IF([2]Entry!$R$950="","",[2]Entry!$R$950)</f>
        <v/>
      </c>
    </row>
    <row r="948" spans="10:16" x14ac:dyDescent="0.2">
      <c r="J948" t="str">
        <f>IF([2]Entry!$C$951="","",[2]Entry!$C$951)</f>
        <v/>
      </c>
      <c r="K948" t="str">
        <f>IF([2]Entry!$D$951="","",[2]Entry!$D$951)</f>
        <v/>
      </c>
      <c r="L948" t="str">
        <f>IF([2]Entry!$E$951="","",[2]Entry!$E$951)</f>
        <v/>
      </c>
      <c r="M948" t="str">
        <f>IF([2]Entry!$G$951="","",[2]Entry!$G$951)</f>
        <v/>
      </c>
      <c r="N948" t="str">
        <f>IF([2]Entry!$M$951="","",[2]Entry!$M$951)</f>
        <v/>
      </c>
      <c r="O948" t="str">
        <f>IF([2]Entry!$N$951="","",[2]Entry!$N$951)</f>
        <v/>
      </c>
      <c r="P948" t="str">
        <f>IF([2]Entry!$R$951="","",[2]Entry!$R$951)</f>
        <v/>
      </c>
    </row>
    <row r="949" spans="10:16" x14ac:dyDescent="0.2">
      <c r="J949" t="str">
        <f>IF([2]Entry!$C$952="","",[2]Entry!$C$952)</f>
        <v/>
      </c>
      <c r="K949" t="str">
        <f>IF([2]Entry!$D$952="","",[2]Entry!$D$952)</f>
        <v/>
      </c>
      <c r="L949" t="str">
        <f>IF([2]Entry!$E$952="","",[2]Entry!$E$952)</f>
        <v/>
      </c>
      <c r="M949" t="str">
        <f>IF([2]Entry!$G$952="","",[2]Entry!$G$952)</f>
        <v/>
      </c>
      <c r="N949" t="str">
        <f>IF([2]Entry!$M$952="","",[2]Entry!$M$952)</f>
        <v/>
      </c>
      <c r="O949" t="str">
        <f>IF([2]Entry!$N$952="","",[2]Entry!$N$952)</f>
        <v/>
      </c>
      <c r="P949" t="str">
        <f>IF([2]Entry!$R$952="","",[2]Entry!$R$952)</f>
        <v/>
      </c>
    </row>
    <row r="950" spans="10:16" x14ac:dyDescent="0.2">
      <c r="J950" t="str">
        <f>IF([2]Entry!$C$953="","",[2]Entry!$C$953)</f>
        <v/>
      </c>
      <c r="K950" t="str">
        <f>IF([2]Entry!$D$953="","",[2]Entry!$D$953)</f>
        <v/>
      </c>
      <c r="L950" t="str">
        <f>IF([2]Entry!$E$953="","",[2]Entry!$E$953)</f>
        <v/>
      </c>
      <c r="M950" t="str">
        <f>IF([2]Entry!$G$953="","",[2]Entry!$G$953)</f>
        <v/>
      </c>
      <c r="N950" t="str">
        <f>IF([2]Entry!$M$953="","",[2]Entry!$M$953)</f>
        <v/>
      </c>
      <c r="O950" t="str">
        <f>IF([2]Entry!$N$953="","",[2]Entry!$N$953)</f>
        <v/>
      </c>
      <c r="P950" t="str">
        <f>IF([2]Entry!$R$953="","",[2]Entry!$R$953)</f>
        <v/>
      </c>
    </row>
    <row r="951" spans="10:16" x14ac:dyDescent="0.2">
      <c r="J951" t="str">
        <f>IF([2]Entry!$C$954="","",[2]Entry!$C$954)</f>
        <v/>
      </c>
      <c r="K951" t="str">
        <f>IF([2]Entry!$D$954="","",[2]Entry!$D$954)</f>
        <v/>
      </c>
      <c r="L951" t="str">
        <f>IF([2]Entry!$E$954="","",[2]Entry!$E$954)</f>
        <v/>
      </c>
      <c r="M951" t="str">
        <f>IF([2]Entry!$G$954="","",[2]Entry!$G$954)</f>
        <v/>
      </c>
      <c r="N951" t="str">
        <f>IF([2]Entry!$M$954="","",[2]Entry!$M$954)</f>
        <v/>
      </c>
      <c r="O951" t="str">
        <f>IF([2]Entry!$N$954="","",[2]Entry!$N$954)</f>
        <v/>
      </c>
      <c r="P951" t="str">
        <f>IF([2]Entry!$R$954="","",[2]Entry!$R$954)</f>
        <v/>
      </c>
    </row>
    <row r="952" spans="10:16" x14ac:dyDescent="0.2">
      <c r="J952" t="str">
        <f>IF([2]Entry!$C$955="","",[2]Entry!$C$955)</f>
        <v/>
      </c>
      <c r="K952" t="str">
        <f>IF([2]Entry!$D$955="","",[2]Entry!$D$955)</f>
        <v/>
      </c>
      <c r="L952" t="str">
        <f>IF([2]Entry!$E$955="","",[2]Entry!$E$955)</f>
        <v/>
      </c>
      <c r="M952" t="str">
        <f>IF([2]Entry!$G$955="","",[2]Entry!$G$955)</f>
        <v/>
      </c>
      <c r="N952" t="str">
        <f>IF([2]Entry!$M$955="","",[2]Entry!$M$955)</f>
        <v/>
      </c>
      <c r="O952" t="str">
        <f>IF([2]Entry!$N$955="","",[2]Entry!$N$955)</f>
        <v/>
      </c>
      <c r="P952" t="str">
        <f>IF([2]Entry!$R$955="","",[2]Entry!$R$955)</f>
        <v/>
      </c>
    </row>
    <row r="953" spans="10:16" x14ac:dyDescent="0.2">
      <c r="J953" t="str">
        <f>IF([2]Entry!$C$956="","",[2]Entry!$C$956)</f>
        <v/>
      </c>
      <c r="K953" t="str">
        <f>IF([2]Entry!$D$956="","",[2]Entry!$D$956)</f>
        <v/>
      </c>
      <c r="L953" t="str">
        <f>IF([2]Entry!$E$956="","",[2]Entry!$E$956)</f>
        <v/>
      </c>
      <c r="M953" t="str">
        <f>IF([2]Entry!$G$956="","",[2]Entry!$G$956)</f>
        <v/>
      </c>
      <c r="N953" t="str">
        <f>IF([2]Entry!$M$956="","",[2]Entry!$M$956)</f>
        <v/>
      </c>
      <c r="O953" t="str">
        <f>IF([2]Entry!$N$956="","",[2]Entry!$N$956)</f>
        <v/>
      </c>
      <c r="P953" t="str">
        <f>IF([2]Entry!$R$956="","",[2]Entry!$R$956)</f>
        <v/>
      </c>
    </row>
    <row r="954" spans="10:16" x14ac:dyDescent="0.2">
      <c r="J954" t="str">
        <f>IF([2]Entry!$C$957="","",[2]Entry!$C$957)</f>
        <v/>
      </c>
      <c r="K954" t="str">
        <f>IF([2]Entry!$D$957="","",[2]Entry!$D$957)</f>
        <v/>
      </c>
      <c r="L954" t="str">
        <f>IF([2]Entry!$E$957="","",[2]Entry!$E$957)</f>
        <v/>
      </c>
      <c r="M954" t="str">
        <f>IF([2]Entry!$G$957="","",[2]Entry!$G$957)</f>
        <v/>
      </c>
      <c r="N954" t="str">
        <f>IF([2]Entry!$M$957="","",[2]Entry!$M$957)</f>
        <v/>
      </c>
      <c r="O954" t="str">
        <f>IF([2]Entry!$N$957="","",[2]Entry!$N$957)</f>
        <v/>
      </c>
      <c r="P954" t="str">
        <f>IF([2]Entry!$R$957="","",[2]Entry!$R$957)</f>
        <v/>
      </c>
    </row>
    <row r="955" spans="10:16" x14ac:dyDescent="0.2">
      <c r="J955" t="str">
        <f>IF([2]Entry!$C$958="","",[2]Entry!$C$958)</f>
        <v/>
      </c>
      <c r="K955" t="str">
        <f>IF([2]Entry!$D$958="","",[2]Entry!$D$958)</f>
        <v/>
      </c>
      <c r="L955" t="str">
        <f>IF([2]Entry!$E$958="","",[2]Entry!$E$958)</f>
        <v/>
      </c>
      <c r="M955" t="str">
        <f>IF([2]Entry!$G$958="","",[2]Entry!$G$958)</f>
        <v/>
      </c>
      <c r="N955" t="str">
        <f>IF([2]Entry!$M$958="","",[2]Entry!$M$958)</f>
        <v/>
      </c>
      <c r="O955" t="str">
        <f>IF([2]Entry!$N$958="","",[2]Entry!$N$958)</f>
        <v/>
      </c>
      <c r="P955" t="str">
        <f>IF([2]Entry!$R$958="","",[2]Entry!$R$958)</f>
        <v/>
      </c>
    </row>
    <row r="956" spans="10:16" x14ac:dyDescent="0.2">
      <c r="J956" t="str">
        <f>IF([2]Entry!$C$959="","",[2]Entry!$C$959)</f>
        <v/>
      </c>
      <c r="K956" t="str">
        <f>IF([2]Entry!$D$959="","",[2]Entry!$D$959)</f>
        <v/>
      </c>
      <c r="L956" t="str">
        <f>IF([2]Entry!$E$959="","",[2]Entry!$E$959)</f>
        <v/>
      </c>
      <c r="M956" t="str">
        <f>IF([2]Entry!$G$959="","",[2]Entry!$G$959)</f>
        <v/>
      </c>
      <c r="N956" t="str">
        <f>IF([2]Entry!$M$959="","",[2]Entry!$M$959)</f>
        <v/>
      </c>
      <c r="O956" t="str">
        <f>IF([2]Entry!$N$959="","",[2]Entry!$N$959)</f>
        <v/>
      </c>
      <c r="P956" t="str">
        <f>IF([2]Entry!$R$959="","",[2]Entry!$R$959)</f>
        <v/>
      </c>
    </row>
    <row r="957" spans="10:16" x14ac:dyDescent="0.2">
      <c r="J957" t="str">
        <f>IF([2]Entry!$C$960="","",[2]Entry!$C$960)</f>
        <v/>
      </c>
      <c r="K957" t="str">
        <f>IF([2]Entry!$D$960="","",[2]Entry!$D$960)</f>
        <v/>
      </c>
      <c r="L957" t="str">
        <f>IF([2]Entry!$E$960="","",[2]Entry!$E$960)</f>
        <v/>
      </c>
      <c r="M957" t="str">
        <f>IF([2]Entry!$G$960="","",[2]Entry!$G$960)</f>
        <v/>
      </c>
      <c r="N957" t="str">
        <f>IF([2]Entry!$M$960="","",[2]Entry!$M$960)</f>
        <v/>
      </c>
      <c r="O957" t="str">
        <f>IF([2]Entry!$N$960="","",[2]Entry!$N$960)</f>
        <v/>
      </c>
      <c r="P957" t="str">
        <f>IF([2]Entry!$R$960="","",[2]Entry!$R$960)</f>
        <v/>
      </c>
    </row>
    <row r="958" spans="10:16" x14ac:dyDescent="0.2">
      <c r="J958" t="str">
        <f>IF([2]Entry!$C$961="","",[2]Entry!$C$961)</f>
        <v/>
      </c>
      <c r="K958" t="str">
        <f>IF([2]Entry!$D$961="","",[2]Entry!$D$961)</f>
        <v/>
      </c>
      <c r="L958" t="str">
        <f>IF([2]Entry!$E$961="","",[2]Entry!$E$961)</f>
        <v/>
      </c>
      <c r="M958" t="str">
        <f>IF([2]Entry!$G$961="","",[2]Entry!$G$961)</f>
        <v/>
      </c>
      <c r="N958" t="str">
        <f>IF([2]Entry!$M$961="","",[2]Entry!$M$961)</f>
        <v/>
      </c>
      <c r="O958" t="str">
        <f>IF([2]Entry!$N$961="","",[2]Entry!$N$961)</f>
        <v/>
      </c>
      <c r="P958" t="str">
        <f>IF([2]Entry!$R$961="","",[2]Entry!$R$961)</f>
        <v/>
      </c>
    </row>
    <row r="959" spans="10:16" x14ac:dyDescent="0.2">
      <c r="J959" t="str">
        <f>IF([2]Entry!$C$962="","",[2]Entry!$C$962)</f>
        <v/>
      </c>
      <c r="K959" t="str">
        <f>IF([2]Entry!$D$962="","",[2]Entry!$D$962)</f>
        <v/>
      </c>
      <c r="L959" t="str">
        <f>IF([2]Entry!$E$962="","",[2]Entry!$E$962)</f>
        <v/>
      </c>
      <c r="M959" t="str">
        <f>IF([2]Entry!$G$962="","",[2]Entry!$G$962)</f>
        <v/>
      </c>
      <c r="N959" t="str">
        <f>IF([2]Entry!$M$962="","",[2]Entry!$M$962)</f>
        <v/>
      </c>
      <c r="O959" t="str">
        <f>IF([2]Entry!$N$962="","",[2]Entry!$N$962)</f>
        <v/>
      </c>
      <c r="P959" t="str">
        <f>IF([2]Entry!$R$962="","",[2]Entry!$R$962)</f>
        <v/>
      </c>
    </row>
    <row r="960" spans="10:16" x14ac:dyDescent="0.2">
      <c r="J960" t="str">
        <f>IF([2]Entry!$C$963="","",[2]Entry!$C$963)</f>
        <v/>
      </c>
      <c r="K960" t="str">
        <f>IF([2]Entry!$D$963="","",[2]Entry!$D$963)</f>
        <v/>
      </c>
      <c r="L960" t="str">
        <f>IF([2]Entry!$E$963="","",[2]Entry!$E$963)</f>
        <v/>
      </c>
      <c r="M960" t="str">
        <f>IF([2]Entry!$G$963="","",[2]Entry!$G$963)</f>
        <v/>
      </c>
      <c r="N960" t="str">
        <f>IF([2]Entry!$M$963="","",[2]Entry!$M$963)</f>
        <v/>
      </c>
      <c r="O960" t="str">
        <f>IF([2]Entry!$N$963="","",[2]Entry!$N$963)</f>
        <v/>
      </c>
      <c r="P960" t="str">
        <f>IF([2]Entry!$R$963="","",[2]Entry!$R$963)</f>
        <v/>
      </c>
    </row>
    <row r="961" spans="10:16" x14ac:dyDescent="0.2">
      <c r="J961" t="str">
        <f>IF([2]Entry!$C$964="","",[2]Entry!$C$964)</f>
        <v/>
      </c>
      <c r="K961" t="str">
        <f>IF([2]Entry!$D$964="","",[2]Entry!$D$964)</f>
        <v/>
      </c>
      <c r="L961" t="str">
        <f>IF([2]Entry!$E$964="","",[2]Entry!$E$964)</f>
        <v/>
      </c>
      <c r="M961" t="str">
        <f>IF([2]Entry!$G$964="","",[2]Entry!$G$964)</f>
        <v/>
      </c>
      <c r="N961" t="str">
        <f>IF([2]Entry!$M$964="","",[2]Entry!$M$964)</f>
        <v/>
      </c>
      <c r="O961" t="str">
        <f>IF([2]Entry!$N$964="","",[2]Entry!$N$964)</f>
        <v/>
      </c>
      <c r="P961" t="str">
        <f>IF([2]Entry!$R$964="","",[2]Entry!$R$964)</f>
        <v/>
      </c>
    </row>
    <row r="962" spans="10:16" x14ac:dyDescent="0.2">
      <c r="J962" t="str">
        <f>IF([2]Entry!$C$965="","",[2]Entry!$C$965)</f>
        <v/>
      </c>
      <c r="K962" t="str">
        <f>IF([2]Entry!$D$965="","",[2]Entry!$D$965)</f>
        <v/>
      </c>
      <c r="L962" t="str">
        <f>IF([2]Entry!$E$965="","",[2]Entry!$E$965)</f>
        <v/>
      </c>
      <c r="M962" t="str">
        <f>IF([2]Entry!$G$965="","",[2]Entry!$G$965)</f>
        <v/>
      </c>
      <c r="N962" t="str">
        <f>IF([2]Entry!$M$965="","",[2]Entry!$M$965)</f>
        <v/>
      </c>
      <c r="O962" t="str">
        <f>IF([2]Entry!$N$965="","",[2]Entry!$N$965)</f>
        <v/>
      </c>
      <c r="P962" t="str">
        <f>IF([2]Entry!$R$965="","",[2]Entry!$R$965)</f>
        <v/>
      </c>
    </row>
    <row r="963" spans="10:16" x14ac:dyDescent="0.2">
      <c r="J963" t="str">
        <f>IF([2]Entry!$C$966="","",[2]Entry!$C$966)</f>
        <v/>
      </c>
      <c r="K963" t="str">
        <f>IF([2]Entry!$D$966="","",[2]Entry!$D$966)</f>
        <v/>
      </c>
      <c r="L963" t="str">
        <f>IF([2]Entry!$E$966="","",[2]Entry!$E$966)</f>
        <v/>
      </c>
      <c r="M963" t="str">
        <f>IF([2]Entry!$G$966="","",[2]Entry!$G$966)</f>
        <v/>
      </c>
      <c r="N963" t="str">
        <f>IF([2]Entry!$M$966="","",[2]Entry!$M$966)</f>
        <v/>
      </c>
      <c r="O963" t="str">
        <f>IF([2]Entry!$N$966="","",[2]Entry!$N$966)</f>
        <v/>
      </c>
      <c r="P963" t="str">
        <f>IF([2]Entry!$R$966="","",[2]Entry!$R$966)</f>
        <v/>
      </c>
    </row>
    <row r="964" spans="10:16" x14ac:dyDescent="0.2">
      <c r="J964" t="str">
        <f>IF([2]Entry!$C$967="","",[2]Entry!$C$967)</f>
        <v/>
      </c>
      <c r="K964" t="str">
        <f>IF([2]Entry!$D$967="","",[2]Entry!$D$967)</f>
        <v/>
      </c>
      <c r="L964" t="str">
        <f>IF([2]Entry!$E$967="","",[2]Entry!$E$967)</f>
        <v/>
      </c>
      <c r="M964" t="str">
        <f>IF([2]Entry!$G$967="","",[2]Entry!$G$967)</f>
        <v/>
      </c>
      <c r="N964" t="str">
        <f>IF([2]Entry!$M$967="","",[2]Entry!$M$967)</f>
        <v/>
      </c>
      <c r="O964" t="str">
        <f>IF([2]Entry!$N$967="","",[2]Entry!$N$967)</f>
        <v/>
      </c>
      <c r="P964" t="str">
        <f>IF([2]Entry!$R$967="","",[2]Entry!$R$967)</f>
        <v/>
      </c>
    </row>
    <row r="965" spans="10:16" x14ac:dyDescent="0.2">
      <c r="J965" t="str">
        <f>IF([2]Entry!$C$968="","",[2]Entry!$C$968)</f>
        <v/>
      </c>
      <c r="K965" t="str">
        <f>IF([2]Entry!$D$968="","",[2]Entry!$D$968)</f>
        <v/>
      </c>
      <c r="L965" t="str">
        <f>IF([2]Entry!$E$968="","",[2]Entry!$E$968)</f>
        <v/>
      </c>
      <c r="M965" t="str">
        <f>IF([2]Entry!$G$968="","",[2]Entry!$G$968)</f>
        <v/>
      </c>
      <c r="N965" t="str">
        <f>IF([2]Entry!$M$968="","",[2]Entry!$M$968)</f>
        <v/>
      </c>
      <c r="O965" t="str">
        <f>IF([2]Entry!$N$968="","",[2]Entry!$N$968)</f>
        <v/>
      </c>
      <c r="P965" t="str">
        <f>IF([2]Entry!$R$968="","",[2]Entry!$R$968)</f>
        <v/>
      </c>
    </row>
    <row r="966" spans="10:16" x14ac:dyDescent="0.2">
      <c r="J966" t="str">
        <f>IF([2]Entry!$C$969="","",[2]Entry!$C$969)</f>
        <v/>
      </c>
      <c r="K966" t="str">
        <f>IF([2]Entry!$D$969="","",[2]Entry!$D$969)</f>
        <v/>
      </c>
      <c r="L966" t="str">
        <f>IF([2]Entry!$E$969="","",[2]Entry!$E$969)</f>
        <v/>
      </c>
      <c r="M966" t="str">
        <f>IF([2]Entry!$G$969="","",[2]Entry!$G$969)</f>
        <v/>
      </c>
      <c r="N966" t="str">
        <f>IF([2]Entry!$M$969="","",[2]Entry!$M$969)</f>
        <v/>
      </c>
      <c r="O966" t="str">
        <f>IF([2]Entry!$N$969="","",[2]Entry!$N$969)</f>
        <v/>
      </c>
      <c r="P966" t="str">
        <f>IF([2]Entry!$R$969="","",[2]Entry!$R$969)</f>
        <v/>
      </c>
    </row>
    <row r="967" spans="10:16" x14ac:dyDescent="0.2">
      <c r="J967" t="str">
        <f>IF([2]Entry!$C$970="","",[2]Entry!$C$970)</f>
        <v/>
      </c>
      <c r="K967" t="str">
        <f>IF([2]Entry!$D$970="","",[2]Entry!$D$970)</f>
        <v/>
      </c>
      <c r="L967" t="str">
        <f>IF([2]Entry!$E$970="","",[2]Entry!$E$970)</f>
        <v/>
      </c>
      <c r="M967" t="str">
        <f>IF([2]Entry!$G$970="","",[2]Entry!$G$970)</f>
        <v/>
      </c>
      <c r="N967" t="str">
        <f>IF([2]Entry!$M$970="","",[2]Entry!$M$970)</f>
        <v/>
      </c>
      <c r="O967" t="str">
        <f>IF([2]Entry!$N$970="","",[2]Entry!$N$970)</f>
        <v/>
      </c>
      <c r="P967" t="str">
        <f>IF([2]Entry!$R$970="","",[2]Entry!$R$970)</f>
        <v/>
      </c>
    </row>
    <row r="968" spans="10:16" x14ac:dyDescent="0.2">
      <c r="J968" t="str">
        <f>IF([2]Entry!$C$971="","",[2]Entry!$C$971)</f>
        <v/>
      </c>
      <c r="K968" t="str">
        <f>IF([2]Entry!$D$971="","",[2]Entry!$D$971)</f>
        <v/>
      </c>
      <c r="L968" t="str">
        <f>IF([2]Entry!$E$971="","",[2]Entry!$E$971)</f>
        <v/>
      </c>
      <c r="M968" t="str">
        <f>IF([2]Entry!$G$971="","",[2]Entry!$G$971)</f>
        <v/>
      </c>
      <c r="N968" t="str">
        <f>IF([2]Entry!$M$971="","",[2]Entry!$M$971)</f>
        <v/>
      </c>
      <c r="O968" t="str">
        <f>IF([2]Entry!$N$971="","",[2]Entry!$N$971)</f>
        <v/>
      </c>
      <c r="P968" t="str">
        <f>IF([2]Entry!$R$971="","",[2]Entry!$R$971)</f>
        <v/>
      </c>
    </row>
    <row r="969" spans="10:16" x14ac:dyDescent="0.2">
      <c r="J969" t="str">
        <f>IF([2]Entry!$C$972="","",[2]Entry!$C$972)</f>
        <v/>
      </c>
      <c r="K969" t="str">
        <f>IF([2]Entry!$D$972="","",[2]Entry!$D$972)</f>
        <v/>
      </c>
      <c r="L969" t="str">
        <f>IF([2]Entry!$E$972="","",[2]Entry!$E$972)</f>
        <v/>
      </c>
      <c r="M969" t="str">
        <f>IF([2]Entry!$G$972="","",[2]Entry!$G$972)</f>
        <v/>
      </c>
      <c r="N969" t="str">
        <f>IF([2]Entry!$M$972="","",[2]Entry!$M$972)</f>
        <v/>
      </c>
      <c r="O969" t="str">
        <f>IF([2]Entry!$N$972="","",[2]Entry!$N$972)</f>
        <v/>
      </c>
      <c r="P969" t="str">
        <f>IF([2]Entry!$R$972="","",[2]Entry!$R$972)</f>
        <v/>
      </c>
    </row>
    <row r="970" spans="10:16" x14ac:dyDescent="0.2">
      <c r="J970" t="str">
        <f>IF([2]Entry!$C$973="","",[2]Entry!$C$973)</f>
        <v/>
      </c>
      <c r="K970" t="str">
        <f>IF([2]Entry!$D$973="","",[2]Entry!$D$973)</f>
        <v/>
      </c>
      <c r="L970" t="str">
        <f>IF([2]Entry!$E$973="","",[2]Entry!$E$973)</f>
        <v/>
      </c>
      <c r="M970" t="str">
        <f>IF([2]Entry!$G$973="","",[2]Entry!$G$973)</f>
        <v/>
      </c>
      <c r="N970" t="str">
        <f>IF([2]Entry!$M$973="","",[2]Entry!$M$973)</f>
        <v/>
      </c>
      <c r="O970" t="str">
        <f>IF([2]Entry!$N$973="","",[2]Entry!$N$973)</f>
        <v/>
      </c>
      <c r="P970" t="str">
        <f>IF([2]Entry!$R$973="","",[2]Entry!$R$973)</f>
        <v/>
      </c>
    </row>
    <row r="971" spans="10:16" x14ac:dyDescent="0.2">
      <c r="J971" t="str">
        <f>IF([2]Entry!$C$974="","",[2]Entry!$C$974)</f>
        <v/>
      </c>
      <c r="K971" t="str">
        <f>IF([2]Entry!$D$974="","",[2]Entry!$D$974)</f>
        <v/>
      </c>
      <c r="L971" t="str">
        <f>IF([2]Entry!$E$974="","",[2]Entry!$E$974)</f>
        <v/>
      </c>
      <c r="M971" t="str">
        <f>IF([2]Entry!$G$974="","",[2]Entry!$G$974)</f>
        <v/>
      </c>
      <c r="N971" t="str">
        <f>IF([2]Entry!$M$974="","",[2]Entry!$M$974)</f>
        <v/>
      </c>
      <c r="O971" t="str">
        <f>IF([2]Entry!$N$974="","",[2]Entry!$N$974)</f>
        <v/>
      </c>
      <c r="P971" t="str">
        <f>IF([2]Entry!$R$974="","",[2]Entry!$R$974)</f>
        <v/>
      </c>
    </row>
    <row r="972" spans="10:16" x14ac:dyDescent="0.2">
      <c r="J972" t="str">
        <f>IF([2]Entry!$C$975="","",[2]Entry!$C$975)</f>
        <v/>
      </c>
      <c r="K972" t="str">
        <f>IF([2]Entry!$D$975="","",[2]Entry!$D$975)</f>
        <v/>
      </c>
      <c r="L972" t="str">
        <f>IF([2]Entry!$E$975="","",[2]Entry!$E$975)</f>
        <v/>
      </c>
      <c r="M972" t="str">
        <f>IF([2]Entry!$G$975="","",[2]Entry!$G$975)</f>
        <v/>
      </c>
      <c r="N972" t="str">
        <f>IF([2]Entry!$M$975="","",[2]Entry!$M$975)</f>
        <v/>
      </c>
      <c r="O972" t="str">
        <f>IF([2]Entry!$N$975="","",[2]Entry!$N$975)</f>
        <v/>
      </c>
      <c r="P972" t="str">
        <f>IF([2]Entry!$R$975="","",[2]Entry!$R$975)</f>
        <v/>
      </c>
    </row>
    <row r="973" spans="10:16" x14ac:dyDescent="0.2">
      <c r="J973" t="str">
        <f>IF([2]Entry!$C$976="","",[2]Entry!$C$976)</f>
        <v/>
      </c>
      <c r="K973" t="str">
        <f>IF([2]Entry!$D$976="","",[2]Entry!$D$976)</f>
        <v/>
      </c>
      <c r="L973" t="str">
        <f>IF([2]Entry!$E$976="","",[2]Entry!$E$976)</f>
        <v/>
      </c>
      <c r="M973" t="str">
        <f>IF([2]Entry!$G$976="","",[2]Entry!$G$976)</f>
        <v/>
      </c>
      <c r="N973" t="str">
        <f>IF([2]Entry!$M$976="","",[2]Entry!$M$976)</f>
        <v/>
      </c>
      <c r="O973" t="str">
        <f>IF([2]Entry!$N$976="","",[2]Entry!$N$976)</f>
        <v/>
      </c>
      <c r="P973" t="str">
        <f>IF([2]Entry!$R$976="","",[2]Entry!$R$976)</f>
        <v/>
      </c>
    </row>
    <row r="974" spans="10:16" x14ac:dyDescent="0.2">
      <c r="J974" t="str">
        <f>IF([2]Entry!$C$977="","",[2]Entry!$C$977)</f>
        <v/>
      </c>
      <c r="K974" t="str">
        <f>IF([2]Entry!$D$977="","",[2]Entry!$D$977)</f>
        <v/>
      </c>
      <c r="L974" t="str">
        <f>IF([2]Entry!$E$977="","",[2]Entry!$E$977)</f>
        <v/>
      </c>
      <c r="M974" t="str">
        <f>IF([2]Entry!$G$977="","",[2]Entry!$G$977)</f>
        <v/>
      </c>
      <c r="N974" t="str">
        <f>IF([2]Entry!$M$977="","",[2]Entry!$M$977)</f>
        <v/>
      </c>
      <c r="O974" t="str">
        <f>IF([2]Entry!$N$977="","",[2]Entry!$N$977)</f>
        <v/>
      </c>
      <c r="P974" t="str">
        <f>IF([2]Entry!$R$977="","",[2]Entry!$R$977)</f>
        <v/>
      </c>
    </row>
    <row r="975" spans="10:16" x14ac:dyDescent="0.2">
      <c r="J975" t="str">
        <f>IF([2]Entry!$C$978="","",[2]Entry!$C$978)</f>
        <v/>
      </c>
      <c r="K975" t="str">
        <f>IF([2]Entry!$D$978="","",[2]Entry!$D$978)</f>
        <v/>
      </c>
      <c r="L975" t="str">
        <f>IF([2]Entry!$E$978="","",[2]Entry!$E$978)</f>
        <v/>
      </c>
      <c r="M975" t="str">
        <f>IF([2]Entry!$G$978="","",[2]Entry!$G$978)</f>
        <v/>
      </c>
      <c r="N975" t="str">
        <f>IF([2]Entry!$M$978="","",[2]Entry!$M$978)</f>
        <v/>
      </c>
      <c r="O975" t="str">
        <f>IF([2]Entry!$N$978="","",[2]Entry!$N$978)</f>
        <v/>
      </c>
      <c r="P975" t="str">
        <f>IF([2]Entry!$R$978="","",[2]Entry!$R$978)</f>
        <v/>
      </c>
    </row>
    <row r="976" spans="10:16" x14ac:dyDescent="0.2">
      <c r="J976" t="str">
        <f>IF([2]Entry!$C$979="","",[2]Entry!$C$979)</f>
        <v/>
      </c>
      <c r="K976" t="str">
        <f>IF([2]Entry!$D$979="","",[2]Entry!$D$979)</f>
        <v/>
      </c>
      <c r="L976" t="str">
        <f>IF([2]Entry!$E$979="","",[2]Entry!$E$979)</f>
        <v/>
      </c>
      <c r="M976" t="str">
        <f>IF([2]Entry!$G$979="","",[2]Entry!$G$979)</f>
        <v/>
      </c>
      <c r="N976" t="str">
        <f>IF([2]Entry!$M$979="","",[2]Entry!$M$979)</f>
        <v/>
      </c>
      <c r="O976" t="str">
        <f>IF([2]Entry!$N$979="","",[2]Entry!$N$979)</f>
        <v/>
      </c>
      <c r="P976" t="str">
        <f>IF([2]Entry!$R$979="","",[2]Entry!$R$979)</f>
        <v/>
      </c>
    </row>
    <row r="977" spans="10:16" x14ac:dyDescent="0.2">
      <c r="J977" t="str">
        <f>IF([2]Entry!$C$980="","",[2]Entry!$C$980)</f>
        <v/>
      </c>
      <c r="K977" t="str">
        <f>IF([2]Entry!$D$980="","",[2]Entry!$D$980)</f>
        <v/>
      </c>
      <c r="L977" t="str">
        <f>IF([2]Entry!$E$980="","",[2]Entry!$E$980)</f>
        <v/>
      </c>
      <c r="M977" t="str">
        <f>IF([2]Entry!$G$980="","",[2]Entry!$G$980)</f>
        <v/>
      </c>
      <c r="N977" t="str">
        <f>IF([2]Entry!$M$980="","",[2]Entry!$M$980)</f>
        <v/>
      </c>
      <c r="O977" t="str">
        <f>IF([2]Entry!$N$980="","",[2]Entry!$N$980)</f>
        <v/>
      </c>
      <c r="P977" t="str">
        <f>IF([2]Entry!$R$980="","",[2]Entry!$R$980)</f>
        <v/>
      </c>
    </row>
    <row r="978" spans="10:16" x14ac:dyDescent="0.2">
      <c r="J978" t="str">
        <f>IF([2]Entry!$C$981="","",[2]Entry!$C$981)</f>
        <v/>
      </c>
      <c r="K978" t="str">
        <f>IF([2]Entry!$D$981="","",[2]Entry!$D$981)</f>
        <v/>
      </c>
      <c r="L978" t="str">
        <f>IF([2]Entry!$E$981="","",[2]Entry!$E$981)</f>
        <v/>
      </c>
      <c r="M978" t="str">
        <f>IF([2]Entry!$G$981="","",[2]Entry!$G$981)</f>
        <v/>
      </c>
      <c r="N978" t="str">
        <f>IF([2]Entry!$M$981="","",[2]Entry!$M$981)</f>
        <v/>
      </c>
      <c r="O978" t="str">
        <f>IF([2]Entry!$N$981="","",[2]Entry!$N$981)</f>
        <v/>
      </c>
      <c r="P978" t="str">
        <f>IF([2]Entry!$R$981="","",[2]Entry!$R$981)</f>
        <v/>
      </c>
    </row>
    <row r="979" spans="10:16" x14ac:dyDescent="0.2">
      <c r="J979" t="str">
        <f>IF([2]Entry!$C$982="","",[2]Entry!$C$982)</f>
        <v/>
      </c>
      <c r="K979" t="str">
        <f>IF([2]Entry!$D$982="","",[2]Entry!$D$982)</f>
        <v/>
      </c>
      <c r="L979" t="str">
        <f>IF([2]Entry!$E$982="","",[2]Entry!$E$982)</f>
        <v/>
      </c>
      <c r="M979" t="str">
        <f>IF([2]Entry!$G$982="","",[2]Entry!$G$982)</f>
        <v/>
      </c>
      <c r="N979" t="str">
        <f>IF([2]Entry!$M$982="","",[2]Entry!$M$982)</f>
        <v/>
      </c>
      <c r="O979" t="str">
        <f>IF([2]Entry!$N$982="","",[2]Entry!$N$982)</f>
        <v/>
      </c>
      <c r="P979" t="str">
        <f>IF([2]Entry!$R$982="","",[2]Entry!$R$982)</f>
        <v/>
      </c>
    </row>
    <row r="980" spans="10:16" x14ac:dyDescent="0.2">
      <c r="J980" t="str">
        <f>IF([2]Entry!$C$983="","",[2]Entry!$C$983)</f>
        <v/>
      </c>
      <c r="K980" t="str">
        <f>IF([2]Entry!$D$983="","",[2]Entry!$D$983)</f>
        <v/>
      </c>
      <c r="L980" t="str">
        <f>IF([2]Entry!$E$983="","",[2]Entry!$E$983)</f>
        <v/>
      </c>
      <c r="M980" t="str">
        <f>IF([2]Entry!$G$983="","",[2]Entry!$G$983)</f>
        <v/>
      </c>
      <c r="N980" t="str">
        <f>IF([2]Entry!$M$983="","",[2]Entry!$M$983)</f>
        <v/>
      </c>
      <c r="O980" t="str">
        <f>IF([2]Entry!$N$983="","",[2]Entry!$N$983)</f>
        <v/>
      </c>
      <c r="P980" t="str">
        <f>IF([2]Entry!$R$983="","",[2]Entry!$R$983)</f>
        <v/>
      </c>
    </row>
    <row r="981" spans="10:16" x14ac:dyDescent="0.2">
      <c r="J981" t="str">
        <f>IF([2]Entry!$C$984="","",[2]Entry!$C$984)</f>
        <v/>
      </c>
      <c r="K981" t="str">
        <f>IF([2]Entry!$D$984="","",[2]Entry!$D$984)</f>
        <v/>
      </c>
      <c r="L981" t="str">
        <f>IF([2]Entry!$E$984="","",[2]Entry!$E$984)</f>
        <v/>
      </c>
      <c r="M981" t="str">
        <f>IF([2]Entry!$G$984="","",[2]Entry!$G$984)</f>
        <v/>
      </c>
      <c r="N981" t="str">
        <f>IF([2]Entry!$M$984="","",[2]Entry!$M$984)</f>
        <v/>
      </c>
      <c r="O981" t="str">
        <f>IF([2]Entry!$N$984="","",[2]Entry!$N$984)</f>
        <v/>
      </c>
      <c r="P981" t="str">
        <f>IF([2]Entry!$R$984="","",[2]Entry!$R$984)</f>
        <v/>
      </c>
    </row>
    <row r="982" spans="10:16" x14ac:dyDescent="0.2">
      <c r="J982" t="str">
        <f>IF([2]Entry!$C$985="","",[2]Entry!$C$985)</f>
        <v/>
      </c>
      <c r="K982" t="str">
        <f>IF([2]Entry!$D$985="","",[2]Entry!$D$985)</f>
        <v/>
      </c>
      <c r="L982" t="str">
        <f>IF([2]Entry!$E$985="","",[2]Entry!$E$985)</f>
        <v/>
      </c>
      <c r="M982" t="str">
        <f>IF([2]Entry!$G$985="","",[2]Entry!$G$985)</f>
        <v/>
      </c>
      <c r="N982" t="str">
        <f>IF([2]Entry!$M$985="","",[2]Entry!$M$985)</f>
        <v/>
      </c>
      <c r="O982" t="str">
        <f>IF([2]Entry!$N$985="","",[2]Entry!$N$985)</f>
        <v/>
      </c>
      <c r="P982" t="str">
        <f>IF([2]Entry!$R$985="","",[2]Entry!$R$985)</f>
        <v/>
      </c>
    </row>
    <row r="983" spans="10:16" x14ac:dyDescent="0.2">
      <c r="J983" t="str">
        <f>IF([2]Entry!$C$986="","",[2]Entry!$C$986)</f>
        <v/>
      </c>
      <c r="K983" t="str">
        <f>IF([2]Entry!$D$986="","",[2]Entry!$D$986)</f>
        <v/>
      </c>
      <c r="L983" t="str">
        <f>IF([2]Entry!$E$986="","",[2]Entry!$E$986)</f>
        <v/>
      </c>
      <c r="M983" t="str">
        <f>IF([2]Entry!$G$986="","",[2]Entry!$G$986)</f>
        <v/>
      </c>
      <c r="N983" t="str">
        <f>IF([2]Entry!$M$986="","",[2]Entry!$M$986)</f>
        <v/>
      </c>
      <c r="O983" t="str">
        <f>IF([2]Entry!$N$986="","",[2]Entry!$N$986)</f>
        <v/>
      </c>
      <c r="P983" t="str">
        <f>IF([2]Entry!$R$986="","",[2]Entry!$R$986)</f>
        <v/>
      </c>
    </row>
    <row r="984" spans="10:16" x14ac:dyDescent="0.2">
      <c r="J984" t="str">
        <f>IF([2]Entry!$C$987="","",[2]Entry!$C$987)</f>
        <v/>
      </c>
      <c r="K984" t="str">
        <f>IF([2]Entry!$D$987="","",[2]Entry!$D$987)</f>
        <v/>
      </c>
      <c r="L984" t="str">
        <f>IF([2]Entry!$E$987="","",[2]Entry!$E$987)</f>
        <v/>
      </c>
      <c r="M984" t="str">
        <f>IF([2]Entry!$G$987="","",[2]Entry!$G$987)</f>
        <v/>
      </c>
      <c r="N984" t="str">
        <f>IF([2]Entry!$M$987="","",[2]Entry!$M$987)</f>
        <v/>
      </c>
      <c r="O984" t="str">
        <f>IF([2]Entry!$N$987="","",[2]Entry!$N$987)</f>
        <v/>
      </c>
      <c r="P984" t="str">
        <f>IF([2]Entry!$R$987="","",[2]Entry!$R$987)</f>
        <v/>
      </c>
    </row>
    <row r="985" spans="10:16" x14ac:dyDescent="0.2">
      <c r="J985" t="str">
        <f>IF([2]Entry!$C$988="","",[2]Entry!$C$988)</f>
        <v/>
      </c>
      <c r="K985" t="str">
        <f>IF([2]Entry!$D$988="","",[2]Entry!$D$988)</f>
        <v/>
      </c>
      <c r="L985" t="str">
        <f>IF([2]Entry!$E$988="","",[2]Entry!$E$988)</f>
        <v/>
      </c>
      <c r="M985" t="str">
        <f>IF([2]Entry!$G$988="","",[2]Entry!$G$988)</f>
        <v/>
      </c>
      <c r="N985" t="str">
        <f>IF([2]Entry!$M$988="","",[2]Entry!$M$988)</f>
        <v/>
      </c>
      <c r="O985" t="str">
        <f>IF([2]Entry!$N$988="","",[2]Entry!$N$988)</f>
        <v/>
      </c>
      <c r="P985" t="str">
        <f>IF([2]Entry!$R$988="","",[2]Entry!$R$988)</f>
        <v/>
      </c>
    </row>
    <row r="986" spans="10:16" x14ac:dyDescent="0.2">
      <c r="J986" t="str">
        <f>IF([2]Entry!$C$989="","",[2]Entry!$C$989)</f>
        <v/>
      </c>
      <c r="K986" t="str">
        <f>IF([2]Entry!$D$989="","",[2]Entry!$D$989)</f>
        <v/>
      </c>
      <c r="L986" t="str">
        <f>IF([2]Entry!$E$989="","",[2]Entry!$E$989)</f>
        <v/>
      </c>
      <c r="M986" t="str">
        <f>IF([2]Entry!$G$989="","",[2]Entry!$G$989)</f>
        <v/>
      </c>
      <c r="N986" t="str">
        <f>IF([2]Entry!$M$989="","",[2]Entry!$M$989)</f>
        <v/>
      </c>
      <c r="O986" t="str">
        <f>IF([2]Entry!$N$989="","",[2]Entry!$N$989)</f>
        <v/>
      </c>
      <c r="P986" t="str">
        <f>IF([2]Entry!$R$989="","",[2]Entry!$R$989)</f>
        <v/>
      </c>
    </row>
    <row r="987" spans="10:16" x14ac:dyDescent="0.2">
      <c r="J987" t="str">
        <f>IF([2]Entry!$C$990="","",[2]Entry!$C$990)</f>
        <v/>
      </c>
      <c r="K987" t="str">
        <f>IF([2]Entry!$D$990="","",[2]Entry!$D$990)</f>
        <v/>
      </c>
      <c r="L987" t="str">
        <f>IF([2]Entry!$E$990="","",[2]Entry!$E$990)</f>
        <v/>
      </c>
      <c r="M987" t="str">
        <f>IF([2]Entry!$G$990="","",[2]Entry!$G$990)</f>
        <v/>
      </c>
      <c r="N987" t="str">
        <f>IF([2]Entry!$M$990="","",[2]Entry!$M$990)</f>
        <v/>
      </c>
      <c r="O987" t="str">
        <f>IF([2]Entry!$N$990="","",[2]Entry!$N$990)</f>
        <v/>
      </c>
      <c r="P987" t="str">
        <f>IF([2]Entry!$R$990="","",[2]Entry!$R$990)</f>
        <v/>
      </c>
    </row>
    <row r="988" spans="10:16" x14ac:dyDescent="0.2">
      <c r="J988" t="str">
        <f>IF([2]Entry!$C$991="","",[2]Entry!$C$991)</f>
        <v/>
      </c>
      <c r="K988" t="str">
        <f>IF([2]Entry!$D$991="","",[2]Entry!$D$991)</f>
        <v/>
      </c>
      <c r="L988" t="str">
        <f>IF([2]Entry!$E$991="","",[2]Entry!$E$991)</f>
        <v/>
      </c>
      <c r="M988" t="str">
        <f>IF([2]Entry!$G$991="","",[2]Entry!$G$991)</f>
        <v/>
      </c>
      <c r="N988" t="str">
        <f>IF([2]Entry!$M$991="","",[2]Entry!$M$991)</f>
        <v/>
      </c>
      <c r="O988" t="str">
        <f>IF([2]Entry!$N$991="","",[2]Entry!$N$991)</f>
        <v/>
      </c>
      <c r="P988" t="str">
        <f>IF([2]Entry!$R$991="","",[2]Entry!$R$991)</f>
        <v/>
      </c>
    </row>
    <row r="989" spans="10:16" x14ac:dyDescent="0.2">
      <c r="J989" t="str">
        <f>IF([2]Entry!$C$992="","",[2]Entry!$C$992)</f>
        <v/>
      </c>
      <c r="K989" t="str">
        <f>IF([2]Entry!$D$992="","",[2]Entry!$D$992)</f>
        <v/>
      </c>
      <c r="L989" t="str">
        <f>IF([2]Entry!$E$992="","",[2]Entry!$E$992)</f>
        <v/>
      </c>
      <c r="M989" t="str">
        <f>IF([2]Entry!$G$992="","",[2]Entry!$G$992)</f>
        <v/>
      </c>
      <c r="N989" t="str">
        <f>IF([2]Entry!$M$992="","",[2]Entry!$M$992)</f>
        <v/>
      </c>
      <c r="O989" t="str">
        <f>IF([2]Entry!$N$992="","",[2]Entry!$N$992)</f>
        <v/>
      </c>
      <c r="P989" t="str">
        <f>IF([2]Entry!$R$992="","",[2]Entry!$R$992)</f>
        <v/>
      </c>
    </row>
    <row r="990" spans="10:16" x14ac:dyDescent="0.2">
      <c r="J990" t="str">
        <f>IF([2]Entry!$C$993="","",[2]Entry!$C$993)</f>
        <v/>
      </c>
      <c r="K990" t="str">
        <f>IF([2]Entry!$D$993="","",[2]Entry!$D$993)</f>
        <v/>
      </c>
      <c r="L990" t="str">
        <f>IF([2]Entry!$E$993="","",[2]Entry!$E$993)</f>
        <v/>
      </c>
      <c r="M990" t="str">
        <f>IF([2]Entry!$G$993="","",[2]Entry!$G$993)</f>
        <v/>
      </c>
      <c r="N990" t="str">
        <f>IF([2]Entry!$M$993="","",[2]Entry!$M$993)</f>
        <v/>
      </c>
      <c r="O990" t="str">
        <f>IF([2]Entry!$N$993="","",[2]Entry!$N$993)</f>
        <v/>
      </c>
      <c r="P990" t="str">
        <f>IF([2]Entry!$R$993="","",[2]Entry!$R$993)</f>
        <v/>
      </c>
    </row>
    <row r="991" spans="10:16" x14ac:dyDescent="0.2">
      <c r="J991" t="str">
        <f>IF([2]Entry!$C$994="","",[2]Entry!$C$994)</f>
        <v/>
      </c>
      <c r="K991" t="str">
        <f>IF([2]Entry!$D$994="","",[2]Entry!$D$994)</f>
        <v/>
      </c>
      <c r="L991" t="str">
        <f>IF([2]Entry!$E$994="","",[2]Entry!$E$994)</f>
        <v/>
      </c>
      <c r="M991" t="str">
        <f>IF([2]Entry!$G$994="","",[2]Entry!$G$994)</f>
        <v/>
      </c>
      <c r="N991" t="str">
        <f>IF([2]Entry!$M$994="","",[2]Entry!$M$994)</f>
        <v/>
      </c>
      <c r="O991" t="str">
        <f>IF([2]Entry!$N$994="","",[2]Entry!$N$994)</f>
        <v/>
      </c>
      <c r="P991" t="str">
        <f>IF([2]Entry!$R$994="","",[2]Entry!$R$994)</f>
        <v/>
      </c>
    </row>
    <row r="992" spans="10:16" x14ac:dyDescent="0.2">
      <c r="J992" t="str">
        <f>IF([2]Entry!$C$995="","",[2]Entry!$C$995)</f>
        <v/>
      </c>
      <c r="K992" t="str">
        <f>IF([2]Entry!$D$995="","",[2]Entry!$D$995)</f>
        <v/>
      </c>
      <c r="L992" t="str">
        <f>IF([2]Entry!$E$995="","",[2]Entry!$E$995)</f>
        <v/>
      </c>
      <c r="M992" t="str">
        <f>IF([2]Entry!$G$995="","",[2]Entry!$G$995)</f>
        <v/>
      </c>
      <c r="N992" t="str">
        <f>IF([2]Entry!$M$995="","",[2]Entry!$M$995)</f>
        <v/>
      </c>
      <c r="O992" t="str">
        <f>IF([2]Entry!$N$995="","",[2]Entry!$N$995)</f>
        <v/>
      </c>
      <c r="P992" t="str">
        <f>IF([2]Entry!$R$995="","",[2]Entry!$R$995)</f>
        <v/>
      </c>
    </row>
    <row r="993" spans="10:16" x14ac:dyDescent="0.2">
      <c r="J993" t="str">
        <f>IF([2]Entry!$C$996="","",[2]Entry!$C$996)</f>
        <v/>
      </c>
      <c r="K993" t="str">
        <f>IF([2]Entry!$D$996="","",[2]Entry!$D$996)</f>
        <v/>
      </c>
      <c r="L993" t="str">
        <f>IF([2]Entry!$E$996="","",[2]Entry!$E$996)</f>
        <v/>
      </c>
      <c r="M993" t="str">
        <f>IF([2]Entry!$G$996="","",[2]Entry!$G$996)</f>
        <v/>
      </c>
      <c r="N993" t="str">
        <f>IF([2]Entry!$M$996="","",[2]Entry!$M$996)</f>
        <v/>
      </c>
      <c r="O993" t="str">
        <f>IF([2]Entry!$N$996="","",[2]Entry!$N$996)</f>
        <v/>
      </c>
      <c r="P993" t="str">
        <f>IF([2]Entry!$R$996="","",[2]Entry!$R$996)</f>
        <v/>
      </c>
    </row>
    <row r="994" spans="10:16" x14ac:dyDescent="0.2">
      <c r="J994" t="str">
        <f>IF([2]Entry!$C$997="","",[2]Entry!$C$997)</f>
        <v/>
      </c>
      <c r="K994" t="str">
        <f>IF([2]Entry!$D$997="","",[2]Entry!$D$997)</f>
        <v/>
      </c>
      <c r="L994" t="str">
        <f>IF([2]Entry!$E$997="","",[2]Entry!$E$997)</f>
        <v/>
      </c>
      <c r="M994" t="str">
        <f>IF([2]Entry!$G$997="","",[2]Entry!$G$997)</f>
        <v/>
      </c>
      <c r="N994" t="str">
        <f>IF([2]Entry!$M$997="","",[2]Entry!$M$997)</f>
        <v/>
      </c>
      <c r="O994" t="str">
        <f>IF([2]Entry!$N$997="","",[2]Entry!$N$997)</f>
        <v/>
      </c>
      <c r="P994" t="str">
        <f>IF([2]Entry!$R$997="","",[2]Entry!$R$997)</f>
        <v/>
      </c>
    </row>
    <row r="995" spans="10:16" x14ac:dyDescent="0.2">
      <c r="J995" t="str">
        <f>IF([2]Entry!$C$998="","",[2]Entry!$C$998)</f>
        <v/>
      </c>
      <c r="K995" t="str">
        <f>IF([2]Entry!$D$998="","",[2]Entry!$D$998)</f>
        <v/>
      </c>
      <c r="L995" t="str">
        <f>IF([2]Entry!$E$998="","",[2]Entry!$E$998)</f>
        <v/>
      </c>
      <c r="M995" t="str">
        <f>IF([2]Entry!$G$998="","",[2]Entry!$G$998)</f>
        <v/>
      </c>
      <c r="N995" t="str">
        <f>IF([2]Entry!$M$998="","",[2]Entry!$M$998)</f>
        <v/>
      </c>
      <c r="O995" t="str">
        <f>IF([2]Entry!$N$998="","",[2]Entry!$N$998)</f>
        <v/>
      </c>
      <c r="P995" t="str">
        <f>IF([2]Entry!$R$998="","",[2]Entry!$R$998)</f>
        <v/>
      </c>
    </row>
    <row r="996" spans="10:16" x14ac:dyDescent="0.2">
      <c r="J996" t="str">
        <f>IF([2]Entry!$C$999="","",[2]Entry!$C$999)</f>
        <v/>
      </c>
      <c r="K996" t="str">
        <f>IF([2]Entry!$D$999="","",[2]Entry!$D$999)</f>
        <v/>
      </c>
      <c r="L996" t="str">
        <f>IF([2]Entry!$E$999="","",[2]Entry!$E$999)</f>
        <v/>
      </c>
      <c r="M996" t="str">
        <f>IF([2]Entry!$G$999="","",[2]Entry!$G$999)</f>
        <v/>
      </c>
      <c r="N996" t="str">
        <f>IF([2]Entry!$M$999="","",[2]Entry!$M$999)</f>
        <v/>
      </c>
      <c r="O996" t="str">
        <f>IF([2]Entry!$N$999="","",[2]Entry!$N$999)</f>
        <v/>
      </c>
      <c r="P996" t="str">
        <f>IF([2]Entry!$R$999="","",[2]Entry!$R$999)</f>
        <v/>
      </c>
    </row>
    <row r="997" spans="10:16" x14ac:dyDescent="0.2">
      <c r="J997" t="str">
        <f>IF([2]Entry!$C$1000="","",[2]Entry!$C$1000)</f>
        <v/>
      </c>
      <c r="K997" t="str">
        <f>IF([2]Entry!$D$1000="","",[2]Entry!$D$1000)</f>
        <v/>
      </c>
      <c r="L997" t="str">
        <f>IF([2]Entry!$E$1000="","",[2]Entry!$E$1000)</f>
        <v/>
      </c>
      <c r="M997" t="str">
        <f>IF([2]Entry!$G$1000="","",[2]Entry!$G$1000)</f>
        <v/>
      </c>
      <c r="N997" t="str">
        <f>IF([2]Entry!$M$1000="","",[2]Entry!$M$1000)</f>
        <v/>
      </c>
      <c r="O997" t="str">
        <f>IF([2]Entry!$N$1000="","",[2]Entry!$N$1000)</f>
        <v/>
      </c>
      <c r="P997" t="str">
        <f>IF([2]Entry!$R$1000="","",[2]Entry!$R$1000)</f>
        <v/>
      </c>
    </row>
    <row r="998" spans="10:16" x14ac:dyDescent="0.2">
      <c r="J998" t="str">
        <f>IF([2]Entry!$C$1001="","",[2]Entry!$C$1001)</f>
        <v/>
      </c>
      <c r="K998" t="str">
        <f>IF([2]Entry!$D$1001="","",[2]Entry!$D$1001)</f>
        <v/>
      </c>
      <c r="L998" t="str">
        <f>IF([2]Entry!$E$1001="","",[2]Entry!$E$1001)</f>
        <v/>
      </c>
      <c r="M998" t="str">
        <f>IF([2]Entry!$G$1001="","",[2]Entry!$G$1001)</f>
        <v/>
      </c>
      <c r="N998" t="str">
        <f>IF([2]Entry!$M$1001="","",[2]Entry!$M$1001)</f>
        <v/>
      </c>
      <c r="O998" t="str">
        <f>IF([2]Entry!$N$1001="","",[2]Entry!$N$1001)</f>
        <v/>
      </c>
      <c r="P998" t="str">
        <f>IF([2]Entry!$R$1001="","",[2]Entry!$R$1001)</f>
        <v/>
      </c>
    </row>
    <row r="999" spans="10:16" x14ac:dyDescent="0.2">
      <c r="J999" t="str">
        <f>IF([2]Entry!$C$1002="","",[2]Entry!$C$1002)</f>
        <v/>
      </c>
      <c r="K999" t="str">
        <f>IF([2]Entry!$D$1002="","",[2]Entry!$D$1002)</f>
        <v/>
      </c>
      <c r="L999" t="str">
        <f>IF([2]Entry!$E$1002="","",[2]Entry!$E$1002)</f>
        <v/>
      </c>
      <c r="M999" t="str">
        <f>IF([2]Entry!$G$1002="","",[2]Entry!$G$1002)</f>
        <v/>
      </c>
      <c r="N999" t="str">
        <f>IF([2]Entry!$M$1002="","",[2]Entry!$M$1002)</f>
        <v/>
      </c>
      <c r="O999" t="str">
        <f>IF([2]Entry!$N$1002="","",[2]Entry!$N$1002)</f>
        <v/>
      </c>
      <c r="P999" t="str">
        <f>IF([2]Entry!$R$1002="","",[2]Entry!$R$1002)</f>
        <v/>
      </c>
    </row>
    <row r="1000" spans="10:16" x14ac:dyDescent="0.2">
      <c r="J1000" t="str">
        <f>IF([2]Entry!$C$1003="","",[2]Entry!$C$1003)</f>
        <v/>
      </c>
      <c r="K1000" t="str">
        <f>IF([2]Entry!$D$1003="","",[2]Entry!$D$1003)</f>
        <v/>
      </c>
      <c r="L1000" t="str">
        <f>IF([2]Entry!$E$1003="","",[2]Entry!$E$1003)</f>
        <v/>
      </c>
      <c r="M1000" t="str">
        <f>IF([2]Entry!$G$1003="","",[2]Entry!$G$1003)</f>
        <v/>
      </c>
      <c r="N1000" t="str">
        <f>IF([2]Entry!$M$1003="","",[2]Entry!$M$1003)</f>
        <v/>
      </c>
      <c r="O1000" t="str">
        <f>IF([2]Entry!$N$1003="","",[2]Entry!$N$1003)</f>
        <v/>
      </c>
      <c r="P1000" t="str">
        <f>IF([2]Entry!$R$1003="","",[2]Entry!$R$1003)</f>
        <v/>
      </c>
    </row>
    <row r="1001" spans="10:16" x14ac:dyDescent="0.2">
      <c r="J1001" t="str">
        <f>IF([2]Entry!$C$1004="","",[2]Entry!$C$1004)</f>
        <v/>
      </c>
      <c r="K1001" t="str">
        <f>IF([2]Entry!$D$1004="","",[2]Entry!$D$1004)</f>
        <v/>
      </c>
      <c r="L1001" t="str">
        <f>IF([2]Entry!$E$1004="","",[2]Entry!$E$1004)</f>
        <v/>
      </c>
      <c r="M1001" t="str">
        <f>IF([2]Entry!$G$1004="","",[2]Entry!$G$1004)</f>
        <v/>
      </c>
      <c r="N1001" t="str">
        <f>IF([2]Entry!$M$1004="","",[2]Entry!$M$1004)</f>
        <v/>
      </c>
      <c r="O1001" t="str">
        <f>IF([2]Entry!$N$1004="","",[2]Entry!$N$1004)</f>
        <v/>
      </c>
      <c r="P1001" t="str">
        <f>IF([2]Entry!$R$1004="","",[2]Entry!$R$1004)</f>
        <v/>
      </c>
    </row>
    <row r="1002" spans="10:16" x14ac:dyDescent="0.2">
      <c r="J1002" t="str">
        <f>IF([2]Entry!$C$1005="","",[2]Entry!$C$1005)</f>
        <v/>
      </c>
      <c r="K1002" t="str">
        <f>IF([2]Entry!$D$1005="","",[2]Entry!$D$1005)</f>
        <v/>
      </c>
      <c r="L1002" t="str">
        <f>IF([2]Entry!$E$1005="","",[2]Entry!$E$1005)</f>
        <v/>
      </c>
      <c r="M1002" t="str">
        <f>IF([2]Entry!$G$1005="","",[2]Entry!$G$1005)</f>
        <v/>
      </c>
      <c r="N1002" t="str">
        <f>IF([2]Entry!$M$1005="","",[2]Entry!$M$1005)</f>
        <v/>
      </c>
      <c r="O1002" t="str">
        <f>IF([2]Entry!$N$1005="","",[2]Entry!$N$1005)</f>
        <v/>
      </c>
      <c r="P1002" t="str">
        <f>IF([2]Entry!$R$1005="","",[2]Entry!$R$1005)</f>
        <v/>
      </c>
    </row>
    <row r="1003" spans="10:16" x14ac:dyDescent="0.2">
      <c r="J1003" t="str">
        <f>IF([2]Entry!$C$1006="","",[2]Entry!$C$1006)</f>
        <v/>
      </c>
      <c r="K1003" t="str">
        <f>IF([2]Entry!$D$1006="","",[2]Entry!$D$1006)</f>
        <v/>
      </c>
      <c r="L1003" t="str">
        <f>IF([2]Entry!$E$1006="","",[2]Entry!$E$1006)</f>
        <v/>
      </c>
      <c r="M1003" t="str">
        <f>IF([2]Entry!$G$1006="","",[2]Entry!$G$1006)</f>
        <v/>
      </c>
      <c r="N1003" t="str">
        <f>IF([2]Entry!$M$1006="","",[2]Entry!$M$1006)</f>
        <v/>
      </c>
      <c r="O1003" t="str">
        <f>IF([2]Entry!$N$1006="","",[2]Entry!$N$1006)</f>
        <v/>
      </c>
      <c r="P1003" t="str">
        <f>IF([2]Entry!$R$1006="","",[2]Entry!$R$1006)</f>
        <v/>
      </c>
    </row>
    <row r="1004" spans="10:16" x14ac:dyDescent="0.2">
      <c r="J1004" t="str">
        <f>IF([2]Entry!$C$1007="","",[2]Entry!$C$1007)</f>
        <v/>
      </c>
      <c r="K1004" t="str">
        <f>IF([2]Entry!$D$1007="","",[2]Entry!$D$1007)</f>
        <v/>
      </c>
      <c r="L1004" t="str">
        <f>IF([2]Entry!$E$1007="","",[2]Entry!$E$1007)</f>
        <v/>
      </c>
      <c r="M1004" t="str">
        <f>IF([2]Entry!$G$1007="","",[2]Entry!$G$1007)</f>
        <v/>
      </c>
      <c r="N1004" t="str">
        <f>IF([2]Entry!$M$1007="","",[2]Entry!$M$1007)</f>
        <v/>
      </c>
      <c r="O1004" t="str">
        <f>IF([2]Entry!$N$1007="","",[2]Entry!$N$1007)</f>
        <v/>
      </c>
      <c r="P1004" t="str">
        <f>IF([2]Entry!$R$1007="","",[2]Entry!$R$1007)</f>
        <v/>
      </c>
    </row>
    <row r="1005" spans="10:16" x14ac:dyDescent="0.2">
      <c r="J1005" t="str">
        <f>IF([2]Entry!$C$1008="","",[2]Entry!$C$1008)</f>
        <v/>
      </c>
      <c r="K1005" t="str">
        <f>IF([2]Entry!$D$1008="","",[2]Entry!$D$1008)</f>
        <v/>
      </c>
      <c r="L1005" t="str">
        <f>IF([2]Entry!$E$1008="","",[2]Entry!$E$1008)</f>
        <v/>
      </c>
      <c r="M1005" t="str">
        <f>IF([2]Entry!$G$1008="","",[2]Entry!$G$1008)</f>
        <v/>
      </c>
      <c r="N1005" t="str">
        <f>IF([2]Entry!$M$1008="","",[2]Entry!$M$1008)</f>
        <v/>
      </c>
      <c r="O1005" t="str">
        <f>IF([2]Entry!$N$1008="","",[2]Entry!$N$1008)</f>
        <v/>
      </c>
      <c r="P1005" t="str">
        <f>IF([2]Entry!$R$1008="","",[2]Entry!$R$1008)</f>
        <v/>
      </c>
    </row>
    <row r="1006" spans="10:16" x14ac:dyDescent="0.2">
      <c r="J1006" t="str">
        <f>IF([2]Entry!$C$1009="","",[2]Entry!$C$1009)</f>
        <v/>
      </c>
      <c r="K1006" t="str">
        <f>IF([2]Entry!$D$1009="","",[2]Entry!$D$1009)</f>
        <v/>
      </c>
      <c r="L1006" t="str">
        <f>IF([2]Entry!$E$1009="","",[2]Entry!$E$1009)</f>
        <v/>
      </c>
      <c r="M1006" t="str">
        <f>IF([2]Entry!$G$1009="","",[2]Entry!$G$1009)</f>
        <v/>
      </c>
      <c r="N1006" t="str">
        <f>IF([2]Entry!$M$1009="","",[2]Entry!$M$1009)</f>
        <v/>
      </c>
      <c r="O1006" t="str">
        <f>IF([2]Entry!$N$1009="","",[2]Entry!$N$1009)</f>
        <v/>
      </c>
      <c r="P1006" t="str">
        <f>IF([2]Entry!$R$1009="","",[2]Entry!$R$1009)</f>
        <v/>
      </c>
    </row>
    <row r="1007" spans="10:16" x14ac:dyDescent="0.2">
      <c r="J1007" t="str">
        <f>IF([2]Entry!$C$1010="","",[2]Entry!$C$1010)</f>
        <v/>
      </c>
      <c r="K1007" t="str">
        <f>IF([2]Entry!$D$1010="","",[2]Entry!$D$1010)</f>
        <v/>
      </c>
      <c r="L1007" t="str">
        <f>IF([2]Entry!$E$1010="","",[2]Entry!$E$1010)</f>
        <v/>
      </c>
      <c r="M1007" t="str">
        <f>IF([2]Entry!$G$1010="","",[2]Entry!$G$1010)</f>
        <v/>
      </c>
      <c r="N1007" t="str">
        <f>IF([2]Entry!$M$1010="","",[2]Entry!$M$1010)</f>
        <v/>
      </c>
      <c r="O1007" t="str">
        <f>IF([2]Entry!$N$1010="","",[2]Entry!$N$1010)</f>
        <v/>
      </c>
      <c r="P1007" t="str">
        <f>IF([2]Entry!$R$1010="","",[2]Entry!$R$1010)</f>
        <v/>
      </c>
    </row>
    <row r="1008" spans="10:16" x14ac:dyDescent="0.2">
      <c r="J1008" t="str">
        <f>IF([2]Entry!$C$1011="","",[2]Entry!$C$1011)</f>
        <v/>
      </c>
      <c r="K1008" t="str">
        <f>IF([2]Entry!$D$1011="","",[2]Entry!$D$1011)</f>
        <v/>
      </c>
      <c r="L1008" t="str">
        <f>IF([2]Entry!$E$1011="","",[2]Entry!$E$1011)</f>
        <v/>
      </c>
      <c r="M1008" t="str">
        <f>IF([2]Entry!$G$1011="","",[2]Entry!$G$1011)</f>
        <v/>
      </c>
      <c r="N1008" t="str">
        <f>IF([2]Entry!$M$1011="","",[2]Entry!$M$1011)</f>
        <v/>
      </c>
      <c r="O1008" t="str">
        <f>IF([2]Entry!$N$1011="","",[2]Entry!$N$1011)</f>
        <v/>
      </c>
      <c r="P1008" t="str">
        <f>IF([2]Entry!$R$1011="","",[2]Entry!$R$1011)</f>
        <v/>
      </c>
    </row>
    <row r="1009" spans="10:16" x14ac:dyDescent="0.2">
      <c r="J1009" t="str">
        <f>IF([2]Entry!$C$1012="","",[2]Entry!$C$1012)</f>
        <v/>
      </c>
      <c r="K1009" t="str">
        <f>IF([2]Entry!$D$1012="","",[2]Entry!$D$1012)</f>
        <v/>
      </c>
      <c r="L1009" t="str">
        <f>IF([2]Entry!$E$1012="","",[2]Entry!$E$1012)</f>
        <v/>
      </c>
      <c r="M1009" t="str">
        <f>IF([2]Entry!$G$1012="","",[2]Entry!$G$1012)</f>
        <v/>
      </c>
      <c r="N1009" t="str">
        <f>IF([2]Entry!$M$1012="","",[2]Entry!$M$1012)</f>
        <v/>
      </c>
      <c r="O1009" t="str">
        <f>IF([2]Entry!$N$1012="","",[2]Entry!$N$1012)</f>
        <v/>
      </c>
      <c r="P1009" t="str">
        <f>IF([2]Entry!$R$1012="","",[2]Entry!$R$1012)</f>
        <v/>
      </c>
    </row>
    <row r="1010" spans="10:16" x14ac:dyDescent="0.2">
      <c r="J1010" t="str">
        <f>IF([2]Entry!$C$1013="","",[2]Entry!$C$1013)</f>
        <v/>
      </c>
      <c r="K1010" t="str">
        <f>IF([2]Entry!$D$1013="","",[2]Entry!$D$1013)</f>
        <v/>
      </c>
      <c r="L1010" t="str">
        <f>IF([2]Entry!$E$1013="","",[2]Entry!$E$1013)</f>
        <v/>
      </c>
      <c r="M1010" t="str">
        <f>IF([2]Entry!$G$1013="","",[2]Entry!$G$1013)</f>
        <v/>
      </c>
      <c r="N1010" t="str">
        <f>IF([2]Entry!$M$1013="","",[2]Entry!$M$1013)</f>
        <v/>
      </c>
      <c r="O1010" t="str">
        <f>IF([2]Entry!$N$1013="","",[2]Entry!$N$1013)</f>
        <v/>
      </c>
      <c r="P1010" t="str">
        <f>IF([2]Entry!$R$1013="","",[2]Entry!$R$1013)</f>
        <v/>
      </c>
    </row>
    <row r="1011" spans="10:16" x14ac:dyDescent="0.2">
      <c r="J1011" t="str">
        <f>IF([2]Entry!$C$1014="","",[2]Entry!$C$1014)</f>
        <v/>
      </c>
      <c r="K1011" t="str">
        <f>IF([2]Entry!$D$1014="","",[2]Entry!$D$1014)</f>
        <v/>
      </c>
      <c r="L1011" t="str">
        <f>IF([2]Entry!$E$1014="","",[2]Entry!$E$1014)</f>
        <v/>
      </c>
      <c r="M1011" t="str">
        <f>IF([2]Entry!$G$1014="","",[2]Entry!$G$1014)</f>
        <v/>
      </c>
      <c r="N1011" t="str">
        <f>IF([2]Entry!$M$1014="","",[2]Entry!$M$1014)</f>
        <v/>
      </c>
      <c r="O1011" t="str">
        <f>IF([2]Entry!$N$1014="","",[2]Entry!$N$1014)</f>
        <v/>
      </c>
      <c r="P1011" t="str">
        <f>IF([2]Entry!$R$1014="","",[2]Entry!$R$1014)</f>
        <v/>
      </c>
    </row>
    <row r="1012" spans="10:16" x14ac:dyDescent="0.2">
      <c r="J1012" t="str">
        <f>IF([2]Entry!$C$1015="","",[2]Entry!$C$1015)</f>
        <v/>
      </c>
      <c r="K1012" t="str">
        <f>IF([2]Entry!$D$1015="","",[2]Entry!$D$1015)</f>
        <v/>
      </c>
      <c r="L1012" t="str">
        <f>IF([2]Entry!$E$1015="","",[2]Entry!$E$1015)</f>
        <v/>
      </c>
      <c r="M1012" t="str">
        <f>IF([2]Entry!$G$1015="","",[2]Entry!$G$1015)</f>
        <v/>
      </c>
      <c r="N1012" t="str">
        <f>IF([2]Entry!$M$1015="","",[2]Entry!$M$1015)</f>
        <v/>
      </c>
      <c r="O1012" t="str">
        <f>IF([2]Entry!$N$1015="","",[2]Entry!$N$1015)</f>
        <v/>
      </c>
      <c r="P1012" t="str">
        <f>IF([2]Entry!$R$1015="","",[2]Entry!$R$1015)</f>
        <v/>
      </c>
    </row>
    <row r="1013" spans="10:16" x14ac:dyDescent="0.2">
      <c r="J1013" t="str">
        <f>IF([2]Entry!$C$1016="","",[2]Entry!$C$1016)</f>
        <v/>
      </c>
      <c r="K1013" t="str">
        <f>IF([2]Entry!$D$1016="","",[2]Entry!$D$1016)</f>
        <v/>
      </c>
      <c r="L1013" t="str">
        <f>IF([2]Entry!$E$1016="","",[2]Entry!$E$1016)</f>
        <v/>
      </c>
      <c r="M1013" t="str">
        <f>IF([2]Entry!$G$1016="","",[2]Entry!$G$1016)</f>
        <v/>
      </c>
      <c r="N1013" t="str">
        <f>IF([2]Entry!$M$1016="","",[2]Entry!$M$1016)</f>
        <v/>
      </c>
      <c r="O1013" t="str">
        <f>IF([2]Entry!$N$1016="","",[2]Entry!$N$1016)</f>
        <v/>
      </c>
      <c r="P1013" t="str">
        <f>IF([2]Entry!$R$1016="","",[2]Entry!$R$1016)</f>
        <v/>
      </c>
    </row>
    <row r="1014" spans="10:16" x14ac:dyDescent="0.2">
      <c r="J1014" t="str">
        <f>IF([2]Entry!$C$1017="","",[2]Entry!$C$1017)</f>
        <v/>
      </c>
      <c r="K1014" t="str">
        <f>IF([2]Entry!$D$1017="","",[2]Entry!$D$1017)</f>
        <v/>
      </c>
      <c r="L1014" t="str">
        <f>IF([2]Entry!$E$1017="","",[2]Entry!$E$1017)</f>
        <v/>
      </c>
      <c r="M1014" t="str">
        <f>IF([2]Entry!$G$1017="","",[2]Entry!$G$1017)</f>
        <v/>
      </c>
      <c r="N1014" t="str">
        <f>IF([2]Entry!$M$1017="","",[2]Entry!$M$1017)</f>
        <v/>
      </c>
      <c r="O1014" t="str">
        <f>IF([2]Entry!$N$1017="","",[2]Entry!$N$1017)</f>
        <v/>
      </c>
      <c r="P1014" t="str">
        <f>IF([2]Entry!$R$1017="","",[2]Entry!$R$1017)</f>
        <v/>
      </c>
    </row>
    <row r="1015" spans="10:16" x14ac:dyDescent="0.2">
      <c r="J1015" t="str">
        <f>IF([2]Entry!$C$1018="","",[2]Entry!$C$1018)</f>
        <v/>
      </c>
      <c r="K1015" t="str">
        <f>IF([2]Entry!$D$1018="","",[2]Entry!$D$1018)</f>
        <v/>
      </c>
      <c r="L1015" t="str">
        <f>IF([2]Entry!$E$1018="","",[2]Entry!$E$1018)</f>
        <v/>
      </c>
      <c r="M1015" t="str">
        <f>IF([2]Entry!$G$1018="","",[2]Entry!$G$1018)</f>
        <v/>
      </c>
      <c r="N1015" t="str">
        <f>IF([2]Entry!$M$1018="","",[2]Entry!$M$1018)</f>
        <v/>
      </c>
      <c r="O1015" t="str">
        <f>IF([2]Entry!$N$1018="","",[2]Entry!$N$1018)</f>
        <v/>
      </c>
      <c r="P1015" t="str">
        <f>IF([2]Entry!$R$1018="","",[2]Entry!$R$1018)</f>
        <v/>
      </c>
    </row>
    <row r="1016" spans="10:16" x14ac:dyDescent="0.2">
      <c r="J1016" t="str">
        <f>IF([2]Entry!$C$1019="","",[2]Entry!$C$1019)</f>
        <v/>
      </c>
      <c r="K1016" t="str">
        <f>IF([2]Entry!$D$1019="","",[2]Entry!$D$1019)</f>
        <v/>
      </c>
      <c r="L1016" t="str">
        <f>IF([2]Entry!$E$1019="","",[2]Entry!$E$1019)</f>
        <v/>
      </c>
      <c r="M1016" t="str">
        <f>IF([2]Entry!$G$1019="","",[2]Entry!$G$1019)</f>
        <v/>
      </c>
      <c r="N1016" t="str">
        <f>IF([2]Entry!$M$1019="","",[2]Entry!$M$1019)</f>
        <v/>
      </c>
      <c r="O1016" t="str">
        <f>IF([2]Entry!$N$1019="","",[2]Entry!$N$1019)</f>
        <v/>
      </c>
      <c r="P1016" t="str">
        <f>IF([2]Entry!$R$1019="","",[2]Entry!$R$1019)</f>
        <v/>
      </c>
    </row>
    <row r="1017" spans="10:16" x14ac:dyDescent="0.2">
      <c r="J1017" t="str">
        <f>IF([2]Entry!$C$1020="","",[2]Entry!$C$1020)</f>
        <v/>
      </c>
      <c r="K1017" t="str">
        <f>IF([2]Entry!$D$1020="","",[2]Entry!$D$1020)</f>
        <v/>
      </c>
      <c r="L1017" t="str">
        <f>IF([2]Entry!$E$1020="","",[2]Entry!$E$1020)</f>
        <v/>
      </c>
      <c r="M1017" t="str">
        <f>IF([2]Entry!$G$1020="","",[2]Entry!$G$1020)</f>
        <v/>
      </c>
      <c r="N1017" t="str">
        <f>IF([2]Entry!$M$1020="","",[2]Entry!$M$1020)</f>
        <v/>
      </c>
      <c r="O1017" t="str">
        <f>IF([2]Entry!$N$1020="","",[2]Entry!$N$1020)</f>
        <v/>
      </c>
      <c r="P1017" t="str">
        <f>IF([2]Entry!$R$1020="","",[2]Entry!$R$1020)</f>
        <v/>
      </c>
    </row>
    <row r="1018" spans="10:16" x14ac:dyDescent="0.2">
      <c r="J1018" t="str">
        <f>IF([2]Entry!$C$1021="","",[2]Entry!$C$1021)</f>
        <v/>
      </c>
      <c r="K1018" t="str">
        <f>IF([2]Entry!$D$1021="","",[2]Entry!$D$1021)</f>
        <v/>
      </c>
      <c r="L1018" t="str">
        <f>IF([2]Entry!$E$1021="","",[2]Entry!$E$1021)</f>
        <v/>
      </c>
      <c r="M1018" t="str">
        <f>IF([2]Entry!$G$1021="","",[2]Entry!$G$1021)</f>
        <v/>
      </c>
      <c r="N1018" t="str">
        <f>IF([2]Entry!$M$1021="","",[2]Entry!$M$1021)</f>
        <v/>
      </c>
      <c r="O1018" t="str">
        <f>IF([2]Entry!$N$1021="","",[2]Entry!$N$1021)</f>
        <v/>
      </c>
      <c r="P1018" t="str">
        <f>IF([2]Entry!$R$1021="","",[2]Entry!$R$1021)</f>
        <v/>
      </c>
    </row>
    <row r="1019" spans="10:16" x14ac:dyDescent="0.2">
      <c r="J1019" t="str">
        <f>IF([2]Entry!$C$1022="","",[2]Entry!$C$1022)</f>
        <v/>
      </c>
      <c r="K1019" t="str">
        <f>IF([2]Entry!$D$1022="","",[2]Entry!$D$1022)</f>
        <v/>
      </c>
      <c r="L1019" t="str">
        <f>IF([2]Entry!$E$1022="","",[2]Entry!$E$1022)</f>
        <v/>
      </c>
      <c r="M1019" t="str">
        <f>IF([2]Entry!$G$1022="","",[2]Entry!$G$1022)</f>
        <v/>
      </c>
      <c r="N1019" t="str">
        <f>IF([2]Entry!$M$1022="","",[2]Entry!$M$1022)</f>
        <v/>
      </c>
      <c r="O1019" t="str">
        <f>IF([2]Entry!$N$1022="","",[2]Entry!$N$1022)</f>
        <v/>
      </c>
      <c r="P1019" t="str">
        <f>IF([2]Entry!$R$1022="","",[2]Entry!$R$1022)</f>
        <v/>
      </c>
    </row>
    <row r="1020" spans="10:16" x14ac:dyDescent="0.2">
      <c r="J1020" t="str">
        <f>IF([2]Entry!$C$1023="","",[2]Entry!$C$1023)</f>
        <v/>
      </c>
      <c r="K1020" t="str">
        <f>IF([2]Entry!$D$1023="","",[2]Entry!$D$1023)</f>
        <v/>
      </c>
      <c r="L1020" t="str">
        <f>IF([2]Entry!$E$1023="","",[2]Entry!$E$1023)</f>
        <v/>
      </c>
      <c r="M1020" t="str">
        <f>IF([2]Entry!$G$1023="","",[2]Entry!$G$1023)</f>
        <v/>
      </c>
      <c r="N1020" t="str">
        <f>IF([2]Entry!$M$1023="","",[2]Entry!$M$1023)</f>
        <v/>
      </c>
      <c r="O1020" t="str">
        <f>IF([2]Entry!$N$1023="","",[2]Entry!$N$1023)</f>
        <v/>
      </c>
      <c r="P1020" t="str">
        <f>IF([2]Entry!$R$1023="","",[2]Entry!$R$1023)</f>
        <v/>
      </c>
    </row>
    <row r="1021" spans="10:16" x14ac:dyDescent="0.2">
      <c r="J1021" t="str">
        <f>IF([2]Entry!$C$1024="","",[2]Entry!$C$1024)</f>
        <v/>
      </c>
      <c r="K1021" t="str">
        <f>IF([2]Entry!$D$1024="","",[2]Entry!$D$1024)</f>
        <v/>
      </c>
      <c r="L1021" t="str">
        <f>IF([2]Entry!$E$1024="","",[2]Entry!$E$1024)</f>
        <v/>
      </c>
      <c r="M1021" t="str">
        <f>IF([2]Entry!$G$1024="","",[2]Entry!$G$1024)</f>
        <v/>
      </c>
      <c r="N1021" t="str">
        <f>IF([2]Entry!$M$1024="","",[2]Entry!$M$1024)</f>
        <v/>
      </c>
      <c r="O1021" t="str">
        <f>IF([2]Entry!$N$1024="","",[2]Entry!$N$1024)</f>
        <v/>
      </c>
      <c r="P1021" t="str">
        <f>IF([2]Entry!$R$1024="","",[2]Entry!$R$1024)</f>
        <v/>
      </c>
    </row>
    <row r="1022" spans="10:16" x14ac:dyDescent="0.2">
      <c r="J1022" t="str">
        <f>IF([2]Entry!$C$1025="","",[2]Entry!$C$1025)</f>
        <v/>
      </c>
      <c r="K1022" t="str">
        <f>IF([2]Entry!$D$1025="","",[2]Entry!$D$1025)</f>
        <v/>
      </c>
      <c r="L1022" t="str">
        <f>IF([2]Entry!$E$1025="","",[2]Entry!$E$1025)</f>
        <v/>
      </c>
      <c r="M1022" t="str">
        <f>IF([2]Entry!$G$1025="","",[2]Entry!$G$1025)</f>
        <v/>
      </c>
      <c r="N1022" t="str">
        <f>IF([2]Entry!$M$1025="","",[2]Entry!$M$1025)</f>
        <v/>
      </c>
      <c r="O1022" t="str">
        <f>IF([2]Entry!$N$1025="","",[2]Entry!$N$1025)</f>
        <v/>
      </c>
      <c r="P1022" t="str">
        <f>IF([2]Entry!$R$1025="","",[2]Entry!$R$1025)</f>
        <v/>
      </c>
    </row>
    <row r="1023" spans="10:16" x14ac:dyDescent="0.2">
      <c r="J1023" t="str">
        <f>IF([2]Entry!$C$1026="","",[2]Entry!$C$1026)</f>
        <v/>
      </c>
      <c r="K1023" t="str">
        <f>IF([2]Entry!$D$1026="","",[2]Entry!$D$1026)</f>
        <v/>
      </c>
      <c r="L1023" t="str">
        <f>IF([2]Entry!$E$1026="","",[2]Entry!$E$1026)</f>
        <v/>
      </c>
      <c r="M1023" t="str">
        <f>IF([2]Entry!$G$1026="","",[2]Entry!$G$1026)</f>
        <v/>
      </c>
      <c r="N1023" t="str">
        <f>IF([2]Entry!$M$1026="","",[2]Entry!$M$1026)</f>
        <v/>
      </c>
      <c r="O1023" t="str">
        <f>IF([2]Entry!$N$1026="","",[2]Entry!$N$1026)</f>
        <v/>
      </c>
      <c r="P1023" t="str">
        <f>IF([2]Entry!$R$1026="","",[2]Entry!$R$1026)</f>
        <v/>
      </c>
    </row>
    <row r="1024" spans="10:16" x14ac:dyDescent="0.2">
      <c r="J1024" t="str">
        <f>IF([2]Entry!$C$1027="","",[2]Entry!$C$1027)</f>
        <v/>
      </c>
      <c r="K1024" t="str">
        <f>IF([2]Entry!$D$1027="","",[2]Entry!$D$1027)</f>
        <v/>
      </c>
      <c r="L1024" t="str">
        <f>IF([2]Entry!$E$1027="","",[2]Entry!$E$1027)</f>
        <v/>
      </c>
      <c r="M1024" t="str">
        <f>IF([2]Entry!$G$1027="","",[2]Entry!$G$1027)</f>
        <v/>
      </c>
      <c r="N1024" t="str">
        <f>IF([2]Entry!$M$1027="","",[2]Entry!$M$1027)</f>
        <v/>
      </c>
      <c r="O1024" t="str">
        <f>IF([2]Entry!$N$1027="","",[2]Entry!$N$1027)</f>
        <v/>
      </c>
      <c r="P1024" t="str">
        <f>IF([2]Entry!$R$1027="","",[2]Entry!$R$1027)</f>
        <v/>
      </c>
    </row>
    <row r="1025" spans="10:16" x14ac:dyDescent="0.2">
      <c r="J1025" t="str">
        <f>IF([2]Entry!$C$1028="","",[2]Entry!$C$1028)</f>
        <v/>
      </c>
      <c r="K1025" t="str">
        <f>IF([2]Entry!$D$1028="","",[2]Entry!$D$1028)</f>
        <v/>
      </c>
      <c r="L1025" t="str">
        <f>IF([2]Entry!$E$1028="","",[2]Entry!$E$1028)</f>
        <v/>
      </c>
      <c r="M1025" t="str">
        <f>IF([2]Entry!$G$1028="","",[2]Entry!$G$1028)</f>
        <v/>
      </c>
      <c r="N1025" t="str">
        <f>IF([2]Entry!$M$1028="","",[2]Entry!$M$1028)</f>
        <v/>
      </c>
      <c r="O1025" t="str">
        <f>IF([2]Entry!$N$1028="","",[2]Entry!$N$1028)</f>
        <v/>
      </c>
      <c r="P1025" t="str">
        <f>IF([2]Entry!$R$1028="","",[2]Entry!$R$1028)</f>
        <v/>
      </c>
    </row>
    <row r="1026" spans="10:16" x14ac:dyDescent="0.2">
      <c r="J1026" t="str">
        <f>IF([2]Entry!$C$1029="","",[2]Entry!$C$1029)</f>
        <v/>
      </c>
      <c r="K1026" t="str">
        <f>IF([2]Entry!$D$1029="","",[2]Entry!$D$1029)</f>
        <v/>
      </c>
      <c r="L1026" t="str">
        <f>IF([2]Entry!$E$1029="","",[2]Entry!$E$1029)</f>
        <v/>
      </c>
      <c r="M1026" t="str">
        <f>IF([2]Entry!$G$1029="","",[2]Entry!$G$1029)</f>
        <v/>
      </c>
      <c r="N1026" t="str">
        <f>IF([2]Entry!$M$1029="","",[2]Entry!$M$1029)</f>
        <v/>
      </c>
      <c r="O1026" t="str">
        <f>IF([2]Entry!$N$1029="","",[2]Entry!$N$1029)</f>
        <v/>
      </c>
      <c r="P1026" t="str">
        <f>IF([2]Entry!$R$1029="","",[2]Entry!$R$1029)</f>
        <v/>
      </c>
    </row>
    <row r="1027" spans="10:16" x14ac:dyDescent="0.2">
      <c r="J1027" t="str">
        <f>IF([2]Entry!$C$1030="","",[2]Entry!$C$1030)</f>
        <v/>
      </c>
      <c r="K1027" t="str">
        <f>IF([2]Entry!$D$1030="","",[2]Entry!$D$1030)</f>
        <v/>
      </c>
      <c r="L1027" t="str">
        <f>IF([2]Entry!$E$1030="","",[2]Entry!$E$1030)</f>
        <v/>
      </c>
      <c r="M1027" t="str">
        <f>IF([2]Entry!$G$1030="","",[2]Entry!$G$1030)</f>
        <v/>
      </c>
      <c r="N1027" t="str">
        <f>IF([2]Entry!$M$1030="","",[2]Entry!$M$1030)</f>
        <v/>
      </c>
      <c r="O1027" t="str">
        <f>IF([2]Entry!$N$1030="","",[2]Entry!$N$1030)</f>
        <v/>
      </c>
      <c r="P1027" t="str">
        <f>IF([2]Entry!$R$1030="","",[2]Entry!$R$1030)</f>
        <v/>
      </c>
    </row>
    <row r="1028" spans="10:16" x14ac:dyDescent="0.2">
      <c r="J1028" t="str">
        <f>IF([2]Entry!$C$1031="","",[2]Entry!$C$1031)</f>
        <v/>
      </c>
      <c r="K1028" t="str">
        <f>IF([2]Entry!$D$1031="","",[2]Entry!$D$1031)</f>
        <v/>
      </c>
      <c r="L1028" t="str">
        <f>IF([2]Entry!$E$1031="","",[2]Entry!$E$1031)</f>
        <v/>
      </c>
      <c r="M1028" t="str">
        <f>IF([2]Entry!$G$1031="","",[2]Entry!$G$1031)</f>
        <v/>
      </c>
      <c r="N1028" t="str">
        <f>IF([2]Entry!$M$1031="","",[2]Entry!$M$1031)</f>
        <v/>
      </c>
      <c r="O1028" t="str">
        <f>IF([2]Entry!$N$1031="","",[2]Entry!$N$1031)</f>
        <v/>
      </c>
      <c r="P1028" t="str">
        <f>IF([2]Entry!$R$1031="","",[2]Entry!$R$1031)</f>
        <v/>
      </c>
    </row>
    <row r="1029" spans="10:16" x14ac:dyDescent="0.2">
      <c r="J1029" t="str">
        <f>IF([2]Entry!$C$1032="","",[2]Entry!$C$1032)</f>
        <v/>
      </c>
      <c r="K1029" t="str">
        <f>IF([2]Entry!$D$1032="","",[2]Entry!$D$1032)</f>
        <v/>
      </c>
      <c r="L1029" t="str">
        <f>IF([2]Entry!$E$1032="","",[2]Entry!$E$1032)</f>
        <v/>
      </c>
      <c r="M1029" t="str">
        <f>IF([2]Entry!$G$1032="","",[2]Entry!$G$1032)</f>
        <v/>
      </c>
      <c r="N1029" t="str">
        <f>IF([2]Entry!$M$1032="","",[2]Entry!$M$1032)</f>
        <v/>
      </c>
      <c r="O1029" t="str">
        <f>IF([2]Entry!$N$1032="","",[2]Entry!$N$1032)</f>
        <v/>
      </c>
      <c r="P1029" t="str">
        <f>IF([2]Entry!$R$1032="","",[2]Entry!$R$1032)</f>
        <v/>
      </c>
    </row>
    <row r="1030" spans="10:16" x14ac:dyDescent="0.2">
      <c r="J1030" t="str">
        <f>IF([2]Entry!$C$1033="","",[2]Entry!$C$1033)</f>
        <v/>
      </c>
      <c r="K1030" t="str">
        <f>IF([2]Entry!$D$1033="","",[2]Entry!$D$1033)</f>
        <v/>
      </c>
      <c r="L1030" t="str">
        <f>IF([2]Entry!$E$1033="","",[2]Entry!$E$1033)</f>
        <v/>
      </c>
      <c r="M1030" t="str">
        <f>IF([2]Entry!$G$1033="","",[2]Entry!$G$1033)</f>
        <v/>
      </c>
      <c r="N1030" t="str">
        <f>IF([2]Entry!$M$1033="","",[2]Entry!$M$1033)</f>
        <v/>
      </c>
      <c r="O1030" t="str">
        <f>IF([2]Entry!$N$1033="","",[2]Entry!$N$1033)</f>
        <v/>
      </c>
      <c r="P1030" t="str">
        <f>IF([2]Entry!$R$1033="","",[2]Entry!$R$1033)</f>
        <v/>
      </c>
    </row>
    <row r="1031" spans="10:16" x14ac:dyDescent="0.2">
      <c r="J1031" t="str">
        <f>IF([2]Entry!$C$1034="","",[2]Entry!$C$1034)</f>
        <v/>
      </c>
      <c r="K1031" t="str">
        <f>IF([2]Entry!$D$1034="","",[2]Entry!$D$1034)</f>
        <v/>
      </c>
      <c r="L1031" t="str">
        <f>IF([2]Entry!$E$1034="","",[2]Entry!$E$1034)</f>
        <v/>
      </c>
      <c r="M1031" t="str">
        <f>IF([2]Entry!$G$1034="","",[2]Entry!$G$1034)</f>
        <v/>
      </c>
      <c r="N1031" t="str">
        <f>IF([2]Entry!$M$1034="","",[2]Entry!$M$1034)</f>
        <v/>
      </c>
      <c r="O1031" t="str">
        <f>IF([2]Entry!$N$1034="","",[2]Entry!$N$1034)</f>
        <v/>
      </c>
      <c r="P1031" t="str">
        <f>IF([2]Entry!$R$1034="","",[2]Entry!$R$1034)</f>
        <v/>
      </c>
    </row>
    <row r="1032" spans="10:16" x14ac:dyDescent="0.2">
      <c r="J1032" t="str">
        <f>IF([2]Entry!$C$1035="","",[2]Entry!$C$1035)</f>
        <v/>
      </c>
      <c r="K1032" t="str">
        <f>IF([2]Entry!$D$1035="","",[2]Entry!$D$1035)</f>
        <v/>
      </c>
      <c r="L1032" t="str">
        <f>IF([2]Entry!$E$1035="","",[2]Entry!$E$1035)</f>
        <v/>
      </c>
      <c r="M1032" t="str">
        <f>IF([2]Entry!$G$1035="","",[2]Entry!$G$1035)</f>
        <v/>
      </c>
      <c r="N1032" t="str">
        <f>IF([2]Entry!$M$1035="","",[2]Entry!$M$1035)</f>
        <v/>
      </c>
      <c r="O1032" t="str">
        <f>IF([2]Entry!$N$1035="","",[2]Entry!$N$1035)</f>
        <v/>
      </c>
      <c r="P1032" t="str">
        <f>IF([2]Entry!$R$1035="","",[2]Entry!$R$1035)</f>
        <v/>
      </c>
    </row>
    <row r="1033" spans="10:16" x14ac:dyDescent="0.2">
      <c r="J1033" t="str">
        <f>IF([2]Entry!$C$1036="","",[2]Entry!$C$1036)</f>
        <v/>
      </c>
      <c r="K1033" t="str">
        <f>IF([2]Entry!$D$1036="","",[2]Entry!$D$1036)</f>
        <v/>
      </c>
      <c r="L1033" t="str">
        <f>IF([2]Entry!$E$1036="","",[2]Entry!$E$1036)</f>
        <v/>
      </c>
      <c r="M1033" t="str">
        <f>IF([2]Entry!$G$1036="","",[2]Entry!$G$1036)</f>
        <v/>
      </c>
      <c r="N1033" t="str">
        <f>IF([2]Entry!$M$1036="","",[2]Entry!$M$1036)</f>
        <v/>
      </c>
      <c r="O1033" t="str">
        <f>IF([2]Entry!$N$1036="","",[2]Entry!$N$1036)</f>
        <v/>
      </c>
      <c r="P1033" t="str">
        <f>IF([2]Entry!$R$1036="","",[2]Entry!$R$1036)</f>
        <v/>
      </c>
    </row>
    <row r="1034" spans="10:16" x14ac:dyDescent="0.2">
      <c r="J1034" t="str">
        <f>IF([2]Entry!$C$1037="","",[2]Entry!$C$1037)</f>
        <v/>
      </c>
      <c r="K1034" t="str">
        <f>IF([2]Entry!$D$1037="","",[2]Entry!$D$1037)</f>
        <v/>
      </c>
      <c r="L1034" t="str">
        <f>IF([2]Entry!$E$1037="","",[2]Entry!$E$1037)</f>
        <v/>
      </c>
      <c r="M1034" t="str">
        <f>IF([2]Entry!$G$1037="","",[2]Entry!$G$1037)</f>
        <v/>
      </c>
      <c r="N1034" t="str">
        <f>IF([2]Entry!$M$1037="","",[2]Entry!$M$1037)</f>
        <v/>
      </c>
      <c r="O1034" t="str">
        <f>IF([2]Entry!$N$1037="","",[2]Entry!$N$1037)</f>
        <v/>
      </c>
      <c r="P1034" t="str">
        <f>IF([2]Entry!$R$1037="","",[2]Entry!$R$1037)</f>
        <v/>
      </c>
    </row>
    <row r="1035" spans="10:16" x14ac:dyDescent="0.2">
      <c r="J1035" t="str">
        <f>IF([2]Entry!$C$1038="","",[2]Entry!$C$1038)</f>
        <v/>
      </c>
      <c r="K1035" t="str">
        <f>IF([2]Entry!$D$1038="","",[2]Entry!$D$1038)</f>
        <v/>
      </c>
      <c r="L1035" t="str">
        <f>IF([2]Entry!$E$1038="","",[2]Entry!$E$1038)</f>
        <v/>
      </c>
      <c r="M1035" t="str">
        <f>IF([2]Entry!$G$1038="","",[2]Entry!$G$1038)</f>
        <v/>
      </c>
      <c r="N1035" t="str">
        <f>IF([2]Entry!$M$1038="","",[2]Entry!$M$1038)</f>
        <v/>
      </c>
      <c r="O1035" t="str">
        <f>IF([2]Entry!$N$1038="","",[2]Entry!$N$1038)</f>
        <v/>
      </c>
      <c r="P1035" t="str">
        <f>IF([2]Entry!$R$1038="","",[2]Entry!$R$1038)</f>
        <v/>
      </c>
    </row>
    <row r="1036" spans="10:16" x14ac:dyDescent="0.2">
      <c r="J1036" t="str">
        <f>IF([2]Entry!$C$1039="","",[2]Entry!$C$1039)</f>
        <v/>
      </c>
      <c r="K1036" t="str">
        <f>IF([2]Entry!$D$1039="","",[2]Entry!$D$1039)</f>
        <v/>
      </c>
      <c r="L1036" t="str">
        <f>IF([2]Entry!$E$1039="","",[2]Entry!$E$1039)</f>
        <v/>
      </c>
      <c r="M1036" t="str">
        <f>IF([2]Entry!$G$1039="","",[2]Entry!$G$1039)</f>
        <v/>
      </c>
      <c r="N1036" t="str">
        <f>IF([2]Entry!$M$1039="","",[2]Entry!$M$1039)</f>
        <v/>
      </c>
      <c r="O1036" t="str">
        <f>IF([2]Entry!$N$1039="","",[2]Entry!$N$1039)</f>
        <v/>
      </c>
      <c r="P1036" t="str">
        <f>IF([2]Entry!$R$1039="","",[2]Entry!$R$1039)</f>
        <v/>
      </c>
    </row>
    <row r="1037" spans="10:16" x14ac:dyDescent="0.2">
      <c r="J1037" t="str">
        <f>IF([2]Entry!$C$1040="","",[2]Entry!$C$1040)</f>
        <v/>
      </c>
      <c r="K1037" t="str">
        <f>IF([2]Entry!$D$1040="","",[2]Entry!$D$1040)</f>
        <v/>
      </c>
      <c r="L1037" t="str">
        <f>IF([2]Entry!$E$1040="","",[2]Entry!$E$1040)</f>
        <v/>
      </c>
      <c r="M1037" t="str">
        <f>IF([2]Entry!$G$1040="","",[2]Entry!$G$1040)</f>
        <v/>
      </c>
      <c r="N1037" t="str">
        <f>IF([2]Entry!$M$1040="","",[2]Entry!$M$1040)</f>
        <v/>
      </c>
      <c r="O1037" t="str">
        <f>IF([2]Entry!$N$1040="","",[2]Entry!$N$1040)</f>
        <v/>
      </c>
      <c r="P1037" t="str">
        <f>IF([2]Entry!$R$1040="","",[2]Entry!$R$1040)</f>
        <v/>
      </c>
    </row>
    <row r="1038" spans="10:16" x14ac:dyDescent="0.2">
      <c r="J1038" t="str">
        <f>IF([2]Entry!$C$1041="","",[2]Entry!$C$1041)</f>
        <v/>
      </c>
      <c r="K1038" t="str">
        <f>IF([2]Entry!$D$1041="","",[2]Entry!$D$1041)</f>
        <v/>
      </c>
      <c r="L1038" t="str">
        <f>IF([2]Entry!$E$1041="","",[2]Entry!$E$1041)</f>
        <v/>
      </c>
      <c r="M1038" t="str">
        <f>IF([2]Entry!$G$1041="","",[2]Entry!$G$1041)</f>
        <v/>
      </c>
      <c r="N1038" t="str">
        <f>IF([2]Entry!$M$1041="","",[2]Entry!$M$1041)</f>
        <v/>
      </c>
      <c r="O1038" t="str">
        <f>IF([2]Entry!$N$1041="","",[2]Entry!$N$1041)</f>
        <v/>
      </c>
      <c r="P1038" t="str">
        <f>IF([2]Entry!$R$1041="","",[2]Entry!$R$1041)</f>
        <v/>
      </c>
    </row>
    <row r="1039" spans="10:16" x14ac:dyDescent="0.2">
      <c r="J1039" t="str">
        <f>IF([2]Entry!$C$1042="","",[2]Entry!$C$1042)</f>
        <v/>
      </c>
      <c r="K1039" t="str">
        <f>IF([2]Entry!$D$1042="","",[2]Entry!$D$1042)</f>
        <v/>
      </c>
      <c r="L1039" t="str">
        <f>IF([2]Entry!$E$1042="","",[2]Entry!$E$1042)</f>
        <v/>
      </c>
      <c r="M1039" t="str">
        <f>IF([2]Entry!$G$1042="","",[2]Entry!$G$1042)</f>
        <v/>
      </c>
      <c r="N1039" t="str">
        <f>IF([2]Entry!$M$1042="","",[2]Entry!$M$1042)</f>
        <v/>
      </c>
      <c r="O1039" t="str">
        <f>IF([2]Entry!$N$1042="","",[2]Entry!$N$1042)</f>
        <v/>
      </c>
      <c r="P1039" t="str">
        <f>IF([2]Entry!$R$1042="","",[2]Entry!$R$1042)</f>
        <v/>
      </c>
    </row>
    <row r="1040" spans="10:16" x14ac:dyDescent="0.2">
      <c r="J1040" t="str">
        <f>IF([2]Entry!$C$1043="","",[2]Entry!$C$1043)</f>
        <v/>
      </c>
      <c r="K1040" t="str">
        <f>IF([2]Entry!$D$1043="","",[2]Entry!$D$1043)</f>
        <v/>
      </c>
      <c r="L1040" t="str">
        <f>IF([2]Entry!$E$1043="","",[2]Entry!$E$1043)</f>
        <v/>
      </c>
      <c r="M1040" t="str">
        <f>IF([2]Entry!$G$1043="","",[2]Entry!$G$1043)</f>
        <v/>
      </c>
      <c r="N1040" t="str">
        <f>IF([2]Entry!$M$1043="","",[2]Entry!$M$1043)</f>
        <v/>
      </c>
      <c r="O1040" t="str">
        <f>IF([2]Entry!$N$1043="","",[2]Entry!$N$1043)</f>
        <v/>
      </c>
      <c r="P1040" t="str">
        <f>IF([2]Entry!$R$1043="","",[2]Entry!$R$1043)</f>
        <v/>
      </c>
    </row>
    <row r="1041" spans="10:16" x14ac:dyDescent="0.2">
      <c r="J1041" t="str">
        <f>IF([2]Entry!$C$1044="","",[2]Entry!$C$1044)</f>
        <v/>
      </c>
      <c r="K1041" t="str">
        <f>IF([2]Entry!$D$1044="","",[2]Entry!$D$1044)</f>
        <v/>
      </c>
      <c r="L1041" t="str">
        <f>IF([2]Entry!$E$1044="","",[2]Entry!$E$1044)</f>
        <v/>
      </c>
      <c r="M1041" t="str">
        <f>IF([2]Entry!$G$1044="","",[2]Entry!$G$1044)</f>
        <v/>
      </c>
      <c r="N1041" t="str">
        <f>IF([2]Entry!$M$1044="","",[2]Entry!$M$1044)</f>
        <v/>
      </c>
      <c r="O1041" t="str">
        <f>IF([2]Entry!$N$1044="","",[2]Entry!$N$1044)</f>
        <v/>
      </c>
      <c r="P1041" t="str">
        <f>IF([2]Entry!$R$1044="","",[2]Entry!$R$1044)</f>
        <v/>
      </c>
    </row>
    <row r="1042" spans="10:16" x14ac:dyDescent="0.2">
      <c r="J1042" t="str">
        <f>IF([2]Entry!$C$1045="","",[2]Entry!$C$1045)</f>
        <v/>
      </c>
      <c r="K1042" t="str">
        <f>IF([2]Entry!$D$1045="","",[2]Entry!$D$1045)</f>
        <v/>
      </c>
      <c r="L1042" t="str">
        <f>IF([2]Entry!$E$1045="","",[2]Entry!$E$1045)</f>
        <v/>
      </c>
      <c r="M1042" t="str">
        <f>IF([2]Entry!$G$1045="","",[2]Entry!$G$1045)</f>
        <v/>
      </c>
      <c r="N1042" t="str">
        <f>IF([2]Entry!$M$1045="","",[2]Entry!$M$1045)</f>
        <v/>
      </c>
      <c r="O1042" t="str">
        <f>IF([2]Entry!$N$1045="","",[2]Entry!$N$1045)</f>
        <v/>
      </c>
      <c r="P1042" t="str">
        <f>IF([2]Entry!$R$1045="","",[2]Entry!$R$1045)</f>
        <v/>
      </c>
    </row>
    <row r="1043" spans="10:16" x14ac:dyDescent="0.2">
      <c r="J1043" t="str">
        <f>IF([2]Entry!$C$1046="","",[2]Entry!$C$1046)</f>
        <v/>
      </c>
      <c r="K1043" t="str">
        <f>IF([2]Entry!$D$1046="","",[2]Entry!$D$1046)</f>
        <v/>
      </c>
      <c r="L1043" t="str">
        <f>IF([2]Entry!$E$1046="","",[2]Entry!$E$1046)</f>
        <v/>
      </c>
      <c r="M1043" t="str">
        <f>IF([2]Entry!$G$1046="","",[2]Entry!$G$1046)</f>
        <v/>
      </c>
      <c r="N1043" t="str">
        <f>IF([2]Entry!$M$1046="","",[2]Entry!$M$1046)</f>
        <v/>
      </c>
      <c r="O1043" t="str">
        <f>IF([2]Entry!$N$1046="","",[2]Entry!$N$1046)</f>
        <v/>
      </c>
      <c r="P1043" t="str">
        <f>IF([2]Entry!$R$1046="","",[2]Entry!$R$1046)</f>
        <v/>
      </c>
    </row>
    <row r="1044" spans="10:16" x14ac:dyDescent="0.2">
      <c r="J1044" t="str">
        <f>IF([2]Entry!$C$1047="","",[2]Entry!$C$1047)</f>
        <v/>
      </c>
      <c r="K1044" t="str">
        <f>IF([2]Entry!$D$1047="","",[2]Entry!$D$1047)</f>
        <v/>
      </c>
      <c r="L1044" t="str">
        <f>IF([2]Entry!$E$1047="","",[2]Entry!$E$1047)</f>
        <v/>
      </c>
      <c r="M1044" t="str">
        <f>IF([2]Entry!$G$1047="","",[2]Entry!$G$1047)</f>
        <v/>
      </c>
      <c r="N1044" t="str">
        <f>IF([2]Entry!$M$1047="","",[2]Entry!$M$1047)</f>
        <v/>
      </c>
      <c r="O1044" t="str">
        <f>IF([2]Entry!$N$1047="","",[2]Entry!$N$1047)</f>
        <v/>
      </c>
      <c r="P1044" t="str">
        <f>IF([2]Entry!$R$1047="","",[2]Entry!$R$1047)</f>
        <v/>
      </c>
    </row>
    <row r="1045" spans="10:16" x14ac:dyDescent="0.2">
      <c r="J1045" t="str">
        <f>IF([2]Entry!$C$1048="","",[2]Entry!$C$1048)</f>
        <v/>
      </c>
      <c r="K1045" t="str">
        <f>IF([2]Entry!$D$1048="","",[2]Entry!$D$1048)</f>
        <v/>
      </c>
      <c r="L1045" t="str">
        <f>IF([2]Entry!$E$1048="","",[2]Entry!$E$1048)</f>
        <v/>
      </c>
      <c r="M1045" t="str">
        <f>IF([2]Entry!$G$1048="","",[2]Entry!$G$1048)</f>
        <v/>
      </c>
      <c r="N1045" t="str">
        <f>IF([2]Entry!$M$1048="","",[2]Entry!$M$1048)</f>
        <v/>
      </c>
      <c r="O1045" t="str">
        <f>IF([2]Entry!$N$1048="","",[2]Entry!$N$1048)</f>
        <v/>
      </c>
      <c r="P1045" t="str">
        <f>IF([2]Entry!$R$1048="","",[2]Entry!$R$1048)</f>
        <v/>
      </c>
    </row>
    <row r="1046" spans="10:16" x14ac:dyDescent="0.2">
      <c r="J1046" t="str">
        <f>IF([2]Entry!$C$1049="","",[2]Entry!$C$1049)</f>
        <v/>
      </c>
      <c r="K1046" t="str">
        <f>IF([2]Entry!$D$1049="","",[2]Entry!$D$1049)</f>
        <v/>
      </c>
      <c r="L1046" t="str">
        <f>IF([2]Entry!$E$1049="","",[2]Entry!$E$1049)</f>
        <v/>
      </c>
      <c r="M1046" t="str">
        <f>IF([2]Entry!$G$1049="","",[2]Entry!$G$1049)</f>
        <v/>
      </c>
      <c r="N1046" t="str">
        <f>IF([2]Entry!$M$1049="","",[2]Entry!$M$1049)</f>
        <v/>
      </c>
      <c r="O1046" t="str">
        <f>IF([2]Entry!$N$1049="","",[2]Entry!$N$1049)</f>
        <v/>
      </c>
      <c r="P1046" t="str">
        <f>IF([2]Entry!$R$1049="","",[2]Entry!$R$1049)</f>
        <v/>
      </c>
    </row>
    <row r="1047" spans="10:16" x14ac:dyDescent="0.2">
      <c r="J1047" t="str">
        <f>IF([2]Entry!$C$1050="","",[2]Entry!$C$1050)</f>
        <v/>
      </c>
      <c r="K1047" t="str">
        <f>IF([2]Entry!$D$1050="","",[2]Entry!$D$1050)</f>
        <v/>
      </c>
      <c r="L1047" t="str">
        <f>IF([2]Entry!$E$1050="","",[2]Entry!$E$1050)</f>
        <v/>
      </c>
      <c r="M1047" t="str">
        <f>IF([2]Entry!$G$1050="","",[2]Entry!$G$1050)</f>
        <v/>
      </c>
      <c r="N1047" t="str">
        <f>IF([2]Entry!$M$1050="","",[2]Entry!$M$1050)</f>
        <v/>
      </c>
      <c r="O1047" t="str">
        <f>IF([2]Entry!$N$1050="","",[2]Entry!$N$1050)</f>
        <v/>
      </c>
      <c r="P1047" t="str">
        <f>IF([2]Entry!$R$1050="","",[2]Entry!$R$1050)</f>
        <v/>
      </c>
    </row>
    <row r="1048" spans="10:16" x14ac:dyDescent="0.2">
      <c r="J1048" t="str">
        <f>IF([2]Entry!$C$1051="","",[2]Entry!$C$1051)</f>
        <v/>
      </c>
      <c r="K1048" t="str">
        <f>IF([2]Entry!$D$1051="","",[2]Entry!$D$1051)</f>
        <v/>
      </c>
      <c r="L1048" t="str">
        <f>IF([2]Entry!$E$1051="","",[2]Entry!$E$1051)</f>
        <v/>
      </c>
      <c r="M1048" t="str">
        <f>IF([2]Entry!$G$1051="","",[2]Entry!$G$1051)</f>
        <v/>
      </c>
      <c r="N1048" t="str">
        <f>IF([2]Entry!$M$1051="","",[2]Entry!$M$1051)</f>
        <v/>
      </c>
      <c r="O1048" t="str">
        <f>IF([2]Entry!$N$1051="","",[2]Entry!$N$1051)</f>
        <v/>
      </c>
      <c r="P1048" t="str">
        <f>IF([2]Entry!$R$1051="","",[2]Entry!$R$1051)</f>
        <v/>
      </c>
    </row>
    <row r="1049" spans="10:16" x14ac:dyDescent="0.2">
      <c r="J1049" t="str">
        <f>IF([2]Entry!$C$1052="","",[2]Entry!$C$1052)</f>
        <v/>
      </c>
      <c r="K1049" t="str">
        <f>IF([2]Entry!$D$1052="","",[2]Entry!$D$1052)</f>
        <v/>
      </c>
      <c r="L1049" t="str">
        <f>IF([2]Entry!$E$1052="","",[2]Entry!$E$1052)</f>
        <v/>
      </c>
      <c r="M1049" t="str">
        <f>IF([2]Entry!$G$1052="","",[2]Entry!$G$1052)</f>
        <v/>
      </c>
      <c r="N1049" t="str">
        <f>IF([2]Entry!$M$1052="","",[2]Entry!$M$1052)</f>
        <v/>
      </c>
      <c r="O1049" t="str">
        <f>IF([2]Entry!$N$1052="","",[2]Entry!$N$1052)</f>
        <v/>
      </c>
      <c r="P1049" t="str">
        <f>IF([2]Entry!$R$1052="","",[2]Entry!$R$1052)</f>
        <v/>
      </c>
    </row>
    <row r="1050" spans="10:16" x14ac:dyDescent="0.2">
      <c r="J1050" t="str">
        <f>IF([2]Entry!$C$1053="","",[2]Entry!$C$1053)</f>
        <v/>
      </c>
      <c r="K1050" t="str">
        <f>IF([2]Entry!$D$1053="","",[2]Entry!$D$1053)</f>
        <v/>
      </c>
      <c r="L1050" t="str">
        <f>IF([2]Entry!$E$1053="","",[2]Entry!$E$1053)</f>
        <v/>
      </c>
      <c r="M1050" t="str">
        <f>IF([2]Entry!$G$1053="","",[2]Entry!$G$1053)</f>
        <v/>
      </c>
      <c r="N1050" t="str">
        <f>IF([2]Entry!$M$1053="","",[2]Entry!$M$1053)</f>
        <v/>
      </c>
      <c r="O1050" t="str">
        <f>IF([2]Entry!$N$1053="","",[2]Entry!$N$1053)</f>
        <v/>
      </c>
      <c r="P1050" t="str">
        <f>IF([2]Entry!$R$1053="","",[2]Entry!$R$1053)</f>
        <v/>
      </c>
    </row>
    <row r="1051" spans="10:16" x14ac:dyDescent="0.2">
      <c r="J1051" t="str">
        <f>IF([2]Entry!$C$1054="","",[2]Entry!$C$1054)</f>
        <v/>
      </c>
      <c r="K1051" t="str">
        <f>IF([2]Entry!$D$1054="","",[2]Entry!$D$1054)</f>
        <v/>
      </c>
      <c r="L1051" t="str">
        <f>IF([2]Entry!$E$1054="","",[2]Entry!$E$1054)</f>
        <v/>
      </c>
      <c r="M1051" t="str">
        <f>IF([2]Entry!$G$1054="","",[2]Entry!$G$1054)</f>
        <v/>
      </c>
      <c r="N1051" t="str">
        <f>IF([2]Entry!$M$1054="","",[2]Entry!$M$1054)</f>
        <v/>
      </c>
      <c r="O1051" t="str">
        <f>IF([2]Entry!$N$1054="","",[2]Entry!$N$1054)</f>
        <v/>
      </c>
      <c r="P1051" t="str">
        <f>IF([2]Entry!$R$1054="","",[2]Entry!$R$1054)</f>
        <v/>
      </c>
    </row>
    <row r="1052" spans="10:16" x14ac:dyDescent="0.2">
      <c r="J1052" t="str">
        <f>IF([2]Entry!$C$1055="","",[2]Entry!$C$1055)</f>
        <v/>
      </c>
      <c r="K1052" t="str">
        <f>IF([2]Entry!$D$1055="","",[2]Entry!$D$1055)</f>
        <v/>
      </c>
      <c r="L1052" t="str">
        <f>IF([2]Entry!$E$1055="","",[2]Entry!$E$1055)</f>
        <v/>
      </c>
      <c r="M1052" t="str">
        <f>IF([2]Entry!$G$1055="","",[2]Entry!$G$1055)</f>
        <v/>
      </c>
      <c r="N1052" t="str">
        <f>IF([2]Entry!$M$1055="","",[2]Entry!$M$1055)</f>
        <v/>
      </c>
      <c r="O1052" t="str">
        <f>IF([2]Entry!$N$1055="","",[2]Entry!$N$1055)</f>
        <v/>
      </c>
      <c r="P1052" t="str">
        <f>IF([2]Entry!$R$1055="","",[2]Entry!$R$1055)</f>
        <v/>
      </c>
    </row>
    <row r="1053" spans="10:16" x14ac:dyDescent="0.2">
      <c r="J1053" t="str">
        <f>IF([2]Entry!$C$1056="","",[2]Entry!$C$1056)</f>
        <v/>
      </c>
      <c r="K1053" t="str">
        <f>IF([2]Entry!$D$1056="","",[2]Entry!$D$1056)</f>
        <v/>
      </c>
      <c r="L1053" t="str">
        <f>IF([2]Entry!$E$1056="","",[2]Entry!$E$1056)</f>
        <v/>
      </c>
      <c r="M1053" t="str">
        <f>IF([2]Entry!$G$1056="","",[2]Entry!$G$1056)</f>
        <v/>
      </c>
      <c r="N1053" t="str">
        <f>IF([2]Entry!$M$1056="","",[2]Entry!$M$1056)</f>
        <v/>
      </c>
      <c r="O1053" t="str">
        <f>IF([2]Entry!$N$1056="","",[2]Entry!$N$1056)</f>
        <v/>
      </c>
      <c r="P1053" t="str">
        <f>IF([2]Entry!$R$1056="","",[2]Entry!$R$1056)</f>
        <v/>
      </c>
    </row>
    <row r="1054" spans="10:16" x14ac:dyDescent="0.2">
      <c r="J1054" t="str">
        <f>IF([2]Entry!$C$1057="","",[2]Entry!$C$1057)</f>
        <v/>
      </c>
      <c r="K1054" t="str">
        <f>IF([2]Entry!$D$1057="","",[2]Entry!$D$1057)</f>
        <v/>
      </c>
      <c r="L1054" t="str">
        <f>IF([2]Entry!$E$1057="","",[2]Entry!$E$1057)</f>
        <v/>
      </c>
      <c r="M1054" t="str">
        <f>IF([2]Entry!$G$1057="","",[2]Entry!$G$1057)</f>
        <v/>
      </c>
      <c r="N1054" t="str">
        <f>IF([2]Entry!$M$1057="","",[2]Entry!$M$1057)</f>
        <v/>
      </c>
      <c r="O1054" t="str">
        <f>IF([2]Entry!$N$1057="","",[2]Entry!$N$1057)</f>
        <v/>
      </c>
      <c r="P1054" t="str">
        <f>IF([2]Entry!$R$1057="","",[2]Entry!$R$1057)</f>
        <v/>
      </c>
    </row>
    <row r="1055" spans="10:16" x14ac:dyDescent="0.2">
      <c r="J1055" t="str">
        <f>IF([2]Entry!$C$1058="","",[2]Entry!$C$1058)</f>
        <v/>
      </c>
      <c r="K1055" t="str">
        <f>IF([2]Entry!$D$1058="","",[2]Entry!$D$1058)</f>
        <v/>
      </c>
      <c r="L1055" t="str">
        <f>IF([2]Entry!$E$1058="","",[2]Entry!$E$1058)</f>
        <v/>
      </c>
      <c r="M1055" t="str">
        <f>IF([2]Entry!$G$1058="","",[2]Entry!$G$1058)</f>
        <v/>
      </c>
      <c r="N1055" t="str">
        <f>IF([2]Entry!$M$1058="","",[2]Entry!$M$1058)</f>
        <v/>
      </c>
      <c r="O1055" t="str">
        <f>IF([2]Entry!$N$1058="","",[2]Entry!$N$1058)</f>
        <v/>
      </c>
      <c r="P1055" t="str">
        <f>IF([2]Entry!$R$1058="","",[2]Entry!$R$1058)</f>
        <v/>
      </c>
    </row>
    <row r="1056" spans="10:16" x14ac:dyDescent="0.2">
      <c r="J1056" t="str">
        <f>IF([2]Entry!$C$1059="","",[2]Entry!$C$1059)</f>
        <v/>
      </c>
      <c r="K1056" t="str">
        <f>IF([2]Entry!$D$1059="","",[2]Entry!$D$1059)</f>
        <v/>
      </c>
      <c r="L1056" t="str">
        <f>IF([2]Entry!$E$1059="","",[2]Entry!$E$1059)</f>
        <v/>
      </c>
      <c r="M1056" t="str">
        <f>IF([2]Entry!$G$1059="","",[2]Entry!$G$1059)</f>
        <v/>
      </c>
      <c r="N1056" t="str">
        <f>IF([2]Entry!$M$1059="","",[2]Entry!$M$1059)</f>
        <v/>
      </c>
      <c r="O1056" t="str">
        <f>IF([2]Entry!$N$1059="","",[2]Entry!$N$1059)</f>
        <v/>
      </c>
      <c r="P1056" t="str">
        <f>IF([2]Entry!$R$1059="","",[2]Entry!$R$1059)</f>
        <v/>
      </c>
    </row>
    <row r="1057" spans="10:16" x14ac:dyDescent="0.2">
      <c r="J1057" t="str">
        <f>IF([2]Entry!$C$1060="","",[2]Entry!$C$1060)</f>
        <v/>
      </c>
      <c r="K1057" t="str">
        <f>IF([2]Entry!$D$1060="","",[2]Entry!$D$1060)</f>
        <v/>
      </c>
      <c r="L1057" t="str">
        <f>IF([2]Entry!$E$1060="","",[2]Entry!$E$1060)</f>
        <v/>
      </c>
      <c r="M1057" t="str">
        <f>IF([2]Entry!$G$1060="","",[2]Entry!$G$1060)</f>
        <v/>
      </c>
      <c r="N1057" t="str">
        <f>IF([2]Entry!$M$1060="","",[2]Entry!$M$1060)</f>
        <v/>
      </c>
      <c r="O1057" t="str">
        <f>IF([2]Entry!$N$1060="","",[2]Entry!$N$1060)</f>
        <v/>
      </c>
      <c r="P1057" t="str">
        <f>IF([2]Entry!$R$1060="","",[2]Entry!$R$1060)</f>
        <v/>
      </c>
    </row>
    <row r="1058" spans="10:16" x14ac:dyDescent="0.2">
      <c r="J1058" t="str">
        <f>IF([2]Entry!$C$1061="","",[2]Entry!$C$1061)</f>
        <v/>
      </c>
      <c r="K1058" t="str">
        <f>IF([2]Entry!$D$1061="","",[2]Entry!$D$1061)</f>
        <v/>
      </c>
      <c r="L1058" t="str">
        <f>IF([2]Entry!$E$1061="","",[2]Entry!$E$1061)</f>
        <v/>
      </c>
      <c r="M1058" t="str">
        <f>IF([2]Entry!$G$1061="","",[2]Entry!$G$1061)</f>
        <v/>
      </c>
      <c r="N1058" t="str">
        <f>IF([2]Entry!$M$1061="","",[2]Entry!$M$1061)</f>
        <v/>
      </c>
      <c r="O1058" t="str">
        <f>IF([2]Entry!$N$1061="","",[2]Entry!$N$1061)</f>
        <v/>
      </c>
      <c r="P1058" t="str">
        <f>IF([2]Entry!$R$1061="","",[2]Entry!$R$1061)</f>
        <v/>
      </c>
    </row>
    <row r="1059" spans="10:16" x14ac:dyDescent="0.2">
      <c r="J1059" t="str">
        <f>IF([2]Entry!$C$1062="","",[2]Entry!$C$1062)</f>
        <v/>
      </c>
      <c r="K1059" t="str">
        <f>IF([2]Entry!$D$1062="","",[2]Entry!$D$1062)</f>
        <v/>
      </c>
      <c r="L1059" t="str">
        <f>IF([2]Entry!$E$1062="","",[2]Entry!$E$1062)</f>
        <v/>
      </c>
      <c r="M1059" t="str">
        <f>IF([2]Entry!$G$1062="","",[2]Entry!$G$1062)</f>
        <v/>
      </c>
      <c r="N1059" t="str">
        <f>IF([2]Entry!$M$1062="","",[2]Entry!$M$1062)</f>
        <v/>
      </c>
      <c r="O1059" t="str">
        <f>IF([2]Entry!$N$1062="","",[2]Entry!$N$1062)</f>
        <v/>
      </c>
      <c r="P1059" t="str">
        <f>IF([2]Entry!$R$1062="","",[2]Entry!$R$1062)</f>
        <v/>
      </c>
    </row>
    <row r="1060" spans="10:16" x14ac:dyDescent="0.2">
      <c r="J1060" t="str">
        <f>IF([2]Entry!$C$1063="","",[2]Entry!$C$1063)</f>
        <v/>
      </c>
      <c r="K1060" t="str">
        <f>IF([2]Entry!$D$1063="","",[2]Entry!$D$1063)</f>
        <v/>
      </c>
      <c r="L1060" t="str">
        <f>IF([2]Entry!$E$1063="","",[2]Entry!$E$1063)</f>
        <v/>
      </c>
      <c r="M1060" t="str">
        <f>IF([2]Entry!$G$1063="","",[2]Entry!$G$1063)</f>
        <v/>
      </c>
      <c r="N1060" t="str">
        <f>IF([2]Entry!$M$1063="","",[2]Entry!$M$1063)</f>
        <v/>
      </c>
      <c r="O1060" t="str">
        <f>IF([2]Entry!$N$1063="","",[2]Entry!$N$1063)</f>
        <v/>
      </c>
      <c r="P1060" t="str">
        <f>IF([2]Entry!$R$1063="","",[2]Entry!$R$1063)</f>
        <v/>
      </c>
    </row>
    <row r="1061" spans="10:16" x14ac:dyDescent="0.2">
      <c r="J1061" t="str">
        <f>IF([2]Entry!$C$1064="","",[2]Entry!$C$1064)</f>
        <v/>
      </c>
      <c r="K1061" t="str">
        <f>IF([2]Entry!$D$1064="","",[2]Entry!$D$1064)</f>
        <v/>
      </c>
      <c r="L1061" t="str">
        <f>IF([2]Entry!$E$1064="","",[2]Entry!$E$1064)</f>
        <v/>
      </c>
      <c r="M1061" t="str">
        <f>IF([2]Entry!$G$1064="","",[2]Entry!$G$1064)</f>
        <v/>
      </c>
      <c r="N1061" t="str">
        <f>IF([2]Entry!$M$1064="","",[2]Entry!$M$1064)</f>
        <v/>
      </c>
      <c r="O1061" t="str">
        <f>IF([2]Entry!$N$1064="","",[2]Entry!$N$1064)</f>
        <v/>
      </c>
      <c r="P1061" t="str">
        <f>IF([2]Entry!$R$1064="","",[2]Entry!$R$1064)</f>
        <v/>
      </c>
    </row>
    <row r="1062" spans="10:16" x14ac:dyDescent="0.2">
      <c r="J1062" t="str">
        <f>IF([2]Entry!$C$1065="","",[2]Entry!$C$1065)</f>
        <v/>
      </c>
      <c r="K1062" t="str">
        <f>IF([2]Entry!$D$1065="","",[2]Entry!$D$1065)</f>
        <v/>
      </c>
      <c r="L1062" t="str">
        <f>IF([2]Entry!$E$1065="","",[2]Entry!$E$1065)</f>
        <v/>
      </c>
      <c r="M1062" t="str">
        <f>IF([2]Entry!$G$1065="","",[2]Entry!$G$1065)</f>
        <v/>
      </c>
      <c r="N1062" t="str">
        <f>IF([2]Entry!$M$1065="","",[2]Entry!$M$1065)</f>
        <v/>
      </c>
      <c r="O1062" t="str">
        <f>IF([2]Entry!$N$1065="","",[2]Entry!$N$1065)</f>
        <v/>
      </c>
      <c r="P1062" t="str">
        <f>IF([2]Entry!$R$1065="","",[2]Entry!$R$1065)</f>
        <v/>
      </c>
    </row>
    <row r="1063" spans="10:16" x14ac:dyDescent="0.2">
      <c r="J1063" t="str">
        <f>IF([2]Entry!$C$1066="","",[2]Entry!$C$1066)</f>
        <v/>
      </c>
      <c r="K1063" t="str">
        <f>IF([2]Entry!$D$1066="","",[2]Entry!$D$1066)</f>
        <v/>
      </c>
      <c r="L1063" t="str">
        <f>IF([2]Entry!$E$1066="","",[2]Entry!$E$1066)</f>
        <v/>
      </c>
      <c r="M1063" t="str">
        <f>IF([2]Entry!$G$1066="","",[2]Entry!$G$1066)</f>
        <v/>
      </c>
      <c r="N1063" t="str">
        <f>IF([2]Entry!$M$1066="","",[2]Entry!$M$1066)</f>
        <v/>
      </c>
      <c r="O1063" t="str">
        <f>IF([2]Entry!$N$1066="","",[2]Entry!$N$1066)</f>
        <v/>
      </c>
      <c r="P1063" t="str">
        <f>IF([2]Entry!$R$1066="","",[2]Entry!$R$1066)</f>
        <v/>
      </c>
    </row>
    <row r="1064" spans="10:16" x14ac:dyDescent="0.2">
      <c r="J1064" t="str">
        <f>IF([2]Entry!$C$1067="","",[2]Entry!$C$1067)</f>
        <v/>
      </c>
      <c r="K1064" t="str">
        <f>IF([2]Entry!$D$1067="","",[2]Entry!$D$1067)</f>
        <v/>
      </c>
      <c r="L1064" t="str">
        <f>IF([2]Entry!$E$1067="","",[2]Entry!$E$1067)</f>
        <v/>
      </c>
      <c r="M1064" t="str">
        <f>IF([2]Entry!$G$1067="","",[2]Entry!$G$1067)</f>
        <v/>
      </c>
      <c r="N1064" t="str">
        <f>IF([2]Entry!$M$1067="","",[2]Entry!$M$1067)</f>
        <v/>
      </c>
      <c r="O1064" t="str">
        <f>IF([2]Entry!$N$1067="","",[2]Entry!$N$1067)</f>
        <v/>
      </c>
      <c r="P1064" t="str">
        <f>IF([2]Entry!$R$1067="","",[2]Entry!$R$1067)</f>
        <v/>
      </c>
    </row>
    <row r="1065" spans="10:16" x14ac:dyDescent="0.2">
      <c r="J1065" t="str">
        <f>IF([2]Entry!$C$1068="","",[2]Entry!$C$1068)</f>
        <v/>
      </c>
      <c r="K1065" t="str">
        <f>IF([2]Entry!$D$1068="","",[2]Entry!$D$1068)</f>
        <v/>
      </c>
      <c r="L1065" t="str">
        <f>IF([2]Entry!$E$1068="","",[2]Entry!$E$1068)</f>
        <v/>
      </c>
      <c r="M1065" t="str">
        <f>IF([2]Entry!$G$1068="","",[2]Entry!$G$1068)</f>
        <v/>
      </c>
      <c r="N1065" t="str">
        <f>IF([2]Entry!$M$1068="","",[2]Entry!$M$1068)</f>
        <v/>
      </c>
      <c r="O1065" t="str">
        <f>IF([2]Entry!$N$1068="","",[2]Entry!$N$1068)</f>
        <v/>
      </c>
      <c r="P1065" t="str">
        <f>IF([2]Entry!$R$1068="","",[2]Entry!$R$1068)</f>
        <v/>
      </c>
    </row>
    <row r="1066" spans="10:16" x14ac:dyDescent="0.2">
      <c r="J1066" t="str">
        <f>IF([2]Entry!$C$1069="","",[2]Entry!$C$1069)</f>
        <v/>
      </c>
      <c r="K1066" t="str">
        <f>IF([2]Entry!$D$1069="","",[2]Entry!$D$1069)</f>
        <v/>
      </c>
      <c r="L1066" t="str">
        <f>IF([2]Entry!$E$1069="","",[2]Entry!$E$1069)</f>
        <v/>
      </c>
      <c r="M1066" t="str">
        <f>IF([2]Entry!$G$1069="","",[2]Entry!$G$1069)</f>
        <v/>
      </c>
      <c r="N1066" t="str">
        <f>IF([2]Entry!$M$1069="","",[2]Entry!$M$1069)</f>
        <v/>
      </c>
      <c r="O1066" t="str">
        <f>IF([2]Entry!$N$1069="","",[2]Entry!$N$1069)</f>
        <v/>
      </c>
      <c r="P1066" t="str">
        <f>IF([2]Entry!$R$1069="","",[2]Entry!$R$1069)</f>
        <v/>
      </c>
    </row>
    <row r="1067" spans="10:16" x14ac:dyDescent="0.2">
      <c r="J1067" t="str">
        <f>IF([2]Entry!$C$1070="","",[2]Entry!$C$1070)</f>
        <v/>
      </c>
      <c r="K1067" t="str">
        <f>IF([2]Entry!$D$1070="","",[2]Entry!$D$1070)</f>
        <v/>
      </c>
      <c r="L1067" t="str">
        <f>IF([2]Entry!$E$1070="","",[2]Entry!$E$1070)</f>
        <v/>
      </c>
      <c r="M1067" t="str">
        <f>IF([2]Entry!$G$1070="","",[2]Entry!$G$1070)</f>
        <v/>
      </c>
      <c r="N1067" t="str">
        <f>IF([2]Entry!$M$1070="","",[2]Entry!$M$1070)</f>
        <v/>
      </c>
      <c r="O1067" t="str">
        <f>IF([2]Entry!$N$1070="","",[2]Entry!$N$1070)</f>
        <v/>
      </c>
      <c r="P1067" t="str">
        <f>IF([2]Entry!$R$1070="","",[2]Entry!$R$1070)</f>
        <v/>
      </c>
    </row>
    <row r="1068" spans="10:16" x14ac:dyDescent="0.2">
      <c r="J1068" t="str">
        <f>IF([2]Entry!$C$1071="","",[2]Entry!$C$1071)</f>
        <v/>
      </c>
      <c r="K1068" t="str">
        <f>IF([2]Entry!$D$1071="","",[2]Entry!$D$1071)</f>
        <v/>
      </c>
      <c r="L1068" t="str">
        <f>IF([2]Entry!$E$1071="","",[2]Entry!$E$1071)</f>
        <v/>
      </c>
      <c r="M1068" t="str">
        <f>IF([2]Entry!$G$1071="","",[2]Entry!$G$1071)</f>
        <v/>
      </c>
      <c r="N1068" t="str">
        <f>IF([2]Entry!$M$1071="","",[2]Entry!$M$1071)</f>
        <v/>
      </c>
      <c r="O1068" t="str">
        <f>IF([2]Entry!$N$1071="","",[2]Entry!$N$1071)</f>
        <v/>
      </c>
      <c r="P1068" t="str">
        <f>IF([2]Entry!$R$1071="","",[2]Entry!$R$1071)</f>
        <v/>
      </c>
    </row>
    <row r="1069" spans="10:16" x14ac:dyDescent="0.2">
      <c r="J1069" t="str">
        <f>IF([2]Entry!$C$1072="","",[2]Entry!$C$1072)</f>
        <v/>
      </c>
      <c r="K1069" t="str">
        <f>IF([2]Entry!$D$1072="","",[2]Entry!$D$1072)</f>
        <v/>
      </c>
      <c r="L1069" t="str">
        <f>IF([2]Entry!$E$1072="","",[2]Entry!$E$1072)</f>
        <v/>
      </c>
      <c r="M1069" t="str">
        <f>IF([2]Entry!$G$1072="","",[2]Entry!$G$1072)</f>
        <v/>
      </c>
      <c r="N1069" t="str">
        <f>IF([2]Entry!$M$1072="","",[2]Entry!$M$1072)</f>
        <v/>
      </c>
      <c r="O1069" t="str">
        <f>IF([2]Entry!$N$1072="","",[2]Entry!$N$1072)</f>
        <v/>
      </c>
      <c r="P1069" t="str">
        <f>IF([2]Entry!$R$1072="","",[2]Entry!$R$1072)</f>
        <v/>
      </c>
    </row>
    <row r="1070" spans="10:16" x14ac:dyDescent="0.2">
      <c r="J1070" t="str">
        <f>IF([2]Entry!$C$1073="","",[2]Entry!$C$1073)</f>
        <v/>
      </c>
      <c r="K1070" t="str">
        <f>IF([2]Entry!$D$1073="","",[2]Entry!$D$1073)</f>
        <v/>
      </c>
      <c r="L1070" t="str">
        <f>IF([2]Entry!$E$1073="","",[2]Entry!$E$1073)</f>
        <v/>
      </c>
      <c r="M1070" t="str">
        <f>IF([2]Entry!$G$1073="","",[2]Entry!$G$1073)</f>
        <v/>
      </c>
      <c r="N1070" t="str">
        <f>IF([2]Entry!$M$1073="","",[2]Entry!$M$1073)</f>
        <v/>
      </c>
      <c r="O1070" t="str">
        <f>IF([2]Entry!$N$1073="","",[2]Entry!$N$1073)</f>
        <v/>
      </c>
      <c r="P1070" t="str">
        <f>IF([2]Entry!$R$1073="","",[2]Entry!$R$1073)</f>
        <v/>
      </c>
    </row>
    <row r="1071" spans="10:16" x14ac:dyDescent="0.2">
      <c r="J1071" t="str">
        <f>IF([2]Entry!$C$1074="","",[2]Entry!$C$1074)</f>
        <v/>
      </c>
      <c r="K1071" t="str">
        <f>IF([2]Entry!$D$1074="","",[2]Entry!$D$1074)</f>
        <v/>
      </c>
      <c r="L1071" t="str">
        <f>IF([2]Entry!$E$1074="","",[2]Entry!$E$1074)</f>
        <v/>
      </c>
      <c r="M1071" t="str">
        <f>IF([2]Entry!$G$1074="","",[2]Entry!$G$1074)</f>
        <v/>
      </c>
      <c r="N1071" t="str">
        <f>IF([2]Entry!$M$1074="","",[2]Entry!$M$1074)</f>
        <v/>
      </c>
      <c r="O1071" t="str">
        <f>IF([2]Entry!$N$1074="","",[2]Entry!$N$1074)</f>
        <v/>
      </c>
      <c r="P1071" t="str">
        <f>IF([2]Entry!$R$1074="","",[2]Entry!$R$1074)</f>
        <v/>
      </c>
    </row>
    <row r="1072" spans="10:16" x14ac:dyDescent="0.2">
      <c r="J1072" t="str">
        <f>IF([2]Entry!$C$1075="","",[2]Entry!$C$1075)</f>
        <v/>
      </c>
      <c r="K1072" t="str">
        <f>IF([2]Entry!$D$1075="","",[2]Entry!$D$1075)</f>
        <v/>
      </c>
      <c r="L1072" t="str">
        <f>IF([2]Entry!$E$1075="","",[2]Entry!$E$1075)</f>
        <v/>
      </c>
      <c r="M1072" t="str">
        <f>IF([2]Entry!$G$1075="","",[2]Entry!$G$1075)</f>
        <v/>
      </c>
      <c r="N1072" t="str">
        <f>IF([2]Entry!$M$1075="","",[2]Entry!$M$1075)</f>
        <v/>
      </c>
      <c r="O1072" t="str">
        <f>IF([2]Entry!$N$1075="","",[2]Entry!$N$1075)</f>
        <v/>
      </c>
      <c r="P1072" t="str">
        <f>IF([2]Entry!$R$1075="","",[2]Entry!$R$1075)</f>
        <v/>
      </c>
    </row>
    <row r="1073" spans="10:16" x14ac:dyDescent="0.2">
      <c r="J1073" t="str">
        <f>IF([2]Entry!$C$1076="","",[2]Entry!$C$1076)</f>
        <v/>
      </c>
      <c r="K1073" t="str">
        <f>IF([2]Entry!$D$1076="","",[2]Entry!$D$1076)</f>
        <v/>
      </c>
      <c r="L1073" t="str">
        <f>IF([2]Entry!$E$1076="","",[2]Entry!$E$1076)</f>
        <v/>
      </c>
      <c r="M1073" t="str">
        <f>IF([2]Entry!$G$1076="","",[2]Entry!$G$1076)</f>
        <v/>
      </c>
      <c r="N1073" t="str">
        <f>IF([2]Entry!$M$1076="","",[2]Entry!$M$1076)</f>
        <v/>
      </c>
      <c r="O1073" t="str">
        <f>IF([2]Entry!$N$1076="","",[2]Entry!$N$1076)</f>
        <v/>
      </c>
      <c r="P1073" t="str">
        <f>IF([2]Entry!$R$1076="","",[2]Entry!$R$1076)</f>
        <v/>
      </c>
    </row>
    <row r="1074" spans="10:16" x14ac:dyDescent="0.2">
      <c r="J1074" t="str">
        <f>IF([2]Entry!$C$1077="","",[2]Entry!$C$1077)</f>
        <v/>
      </c>
      <c r="K1074" t="str">
        <f>IF([2]Entry!$D$1077="","",[2]Entry!$D$1077)</f>
        <v/>
      </c>
      <c r="L1074" t="str">
        <f>IF([2]Entry!$E$1077="","",[2]Entry!$E$1077)</f>
        <v/>
      </c>
      <c r="M1074" t="str">
        <f>IF([2]Entry!$G$1077="","",[2]Entry!$G$1077)</f>
        <v/>
      </c>
      <c r="N1074" t="str">
        <f>IF([2]Entry!$M$1077="","",[2]Entry!$M$1077)</f>
        <v/>
      </c>
      <c r="O1074" t="str">
        <f>IF([2]Entry!$N$1077="","",[2]Entry!$N$1077)</f>
        <v/>
      </c>
      <c r="P1074" t="str">
        <f>IF([2]Entry!$R$1077="","",[2]Entry!$R$1077)</f>
        <v/>
      </c>
    </row>
    <row r="1075" spans="10:16" x14ac:dyDescent="0.2">
      <c r="J1075" t="str">
        <f>IF([2]Entry!$C$1078="","",[2]Entry!$C$1078)</f>
        <v/>
      </c>
      <c r="K1075" t="str">
        <f>IF([2]Entry!$D$1078="","",[2]Entry!$D$1078)</f>
        <v/>
      </c>
      <c r="L1075" t="str">
        <f>IF([2]Entry!$E$1078="","",[2]Entry!$E$1078)</f>
        <v/>
      </c>
      <c r="M1075" t="str">
        <f>IF([2]Entry!$G$1078="","",[2]Entry!$G$1078)</f>
        <v/>
      </c>
      <c r="N1075" t="str">
        <f>IF([2]Entry!$M$1078="","",[2]Entry!$M$1078)</f>
        <v/>
      </c>
      <c r="O1075" t="str">
        <f>IF([2]Entry!$N$1078="","",[2]Entry!$N$1078)</f>
        <v/>
      </c>
      <c r="P1075" t="str">
        <f>IF([2]Entry!$R$1078="","",[2]Entry!$R$1078)</f>
        <v/>
      </c>
    </row>
    <row r="1076" spans="10:16" x14ac:dyDescent="0.2">
      <c r="J1076" t="str">
        <f>IF([2]Entry!$C$1079="","",[2]Entry!$C$1079)</f>
        <v/>
      </c>
      <c r="K1076" t="str">
        <f>IF([2]Entry!$D$1079="","",[2]Entry!$D$1079)</f>
        <v/>
      </c>
      <c r="L1076" t="str">
        <f>IF([2]Entry!$E$1079="","",[2]Entry!$E$1079)</f>
        <v/>
      </c>
      <c r="M1076" t="str">
        <f>IF([2]Entry!$G$1079="","",[2]Entry!$G$1079)</f>
        <v/>
      </c>
      <c r="N1076" t="str">
        <f>IF([2]Entry!$M$1079="","",[2]Entry!$M$1079)</f>
        <v/>
      </c>
      <c r="O1076" t="str">
        <f>IF([2]Entry!$N$1079="","",[2]Entry!$N$1079)</f>
        <v/>
      </c>
      <c r="P1076" t="str">
        <f>IF([2]Entry!$R$1079="","",[2]Entry!$R$1079)</f>
        <v/>
      </c>
    </row>
    <row r="1077" spans="10:16" x14ac:dyDescent="0.2">
      <c r="J1077" t="str">
        <f>IF([2]Entry!$C$1080="","",[2]Entry!$C$1080)</f>
        <v/>
      </c>
      <c r="K1077" t="str">
        <f>IF([2]Entry!$D$1080="","",[2]Entry!$D$1080)</f>
        <v/>
      </c>
      <c r="L1077" t="str">
        <f>IF([2]Entry!$E$1080="","",[2]Entry!$E$1080)</f>
        <v/>
      </c>
      <c r="M1077" t="str">
        <f>IF([2]Entry!$G$1080="","",[2]Entry!$G$1080)</f>
        <v/>
      </c>
      <c r="N1077" t="str">
        <f>IF([2]Entry!$M$1080="","",[2]Entry!$M$1080)</f>
        <v/>
      </c>
      <c r="O1077" t="str">
        <f>IF([2]Entry!$N$1080="","",[2]Entry!$N$1080)</f>
        <v/>
      </c>
      <c r="P1077" t="str">
        <f>IF([2]Entry!$R$1080="","",[2]Entry!$R$1080)</f>
        <v/>
      </c>
    </row>
    <row r="1078" spans="10:16" x14ac:dyDescent="0.2">
      <c r="J1078" t="str">
        <f>IF([2]Entry!$C$1081="","",[2]Entry!$C$1081)</f>
        <v/>
      </c>
      <c r="K1078" t="str">
        <f>IF([2]Entry!$D$1081="","",[2]Entry!$D$1081)</f>
        <v/>
      </c>
      <c r="L1078" t="str">
        <f>IF([2]Entry!$E$1081="","",[2]Entry!$E$1081)</f>
        <v/>
      </c>
      <c r="M1078" t="str">
        <f>IF([2]Entry!$G$1081="","",[2]Entry!$G$1081)</f>
        <v/>
      </c>
      <c r="N1078" t="str">
        <f>IF([2]Entry!$M$1081="","",[2]Entry!$M$1081)</f>
        <v/>
      </c>
      <c r="O1078" t="str">
        <f>IF([2]Entry!$N$1081="","",[2]Entry!$N$1081)</f>
        <v/>
      </c>
      <c r="P1078" t="str">
        <f>IF([2]Entry!$R$1081="","",[2]Entry!$R$1081)</f>
        <v/>
      </c>
    </row>
    <row r="1079" spans="10:16" x14ac:dyDescent="0.2">
      <c r="J1079" t="str">
        <f>IF([2]Entry!$C$1082="","",[2]Entry!$C$1082)</f>
        <v/>
      </c>
      <c r="K1079" t="str">
        <f>IF([2]Entry!$D$1082="","",[2]Entry!$D$1082)</f>
        <v/>
      </c>
      <c r="L1079" t="str">
        <f>IF([2]Entry!$E$1082="","",[2]Entry!$E$1082)</f>
        <v/>
      </c>
      <c r="M1079" t="str">
        <f>IF([2]Entry!$G$1082="","",[2]Entry!$G$1082)</f>
        <v/>
      </c>
      <c r="N1079" t="str">
        <f>IF([2]Entry!$M$1082="","",[2]Entry!$M$1082)</f>
        <v/>
      </c>
      <c r="O1079" t="str">
        <f>IF([2]Entry!$N$1082="","",[2]Entry!$N$1082)</f>
        <v/>
      </c>
      <c r="P1079" t="str">
        <f>IF([2]Entry!$R$1082="","",[2]Entry!$R$1082)</f>
        <v/>
      </c>
    </row>
    <row r="1080" spans="10:16" x14ac:dyDescent="0.2">
      <c r="J1080" t="str">
        <f>IF([2]Entry!$C$1083="","",[2]Entry!$C$1083)</f>
        <v/>
      </c>
      <c r="K1080" t="str">
        <f>IF([2]Entry!$D$1083="","",[2]Entry!$D$1083)</f>
        <v/>
      </c>
      <c r="L1080" t="str">
        <f>IF([2]Entry!$E$1083="","",[2]Entry!$E$1083)</f>
        <v/>
      </c>
      <c r="M1080" t="str">
        <f>IF([2]Entry!$G$1083="","",[2]Entry!$G$1083)</f>
        <v/>
      </c>
      <c r="N1080" t="str">
        <f>IF([2]Entry!$M$1083="","",[2]Entry!$M$1083)</f>
        <v/>
      </c>
      <c r="O1080" t="str">
        <f>IF([2]Entry!$N$1083="","",[2]Entry!$N$1083)</f>
        <v/>
      </c>
      <c r="P1080" t="str">
        <f>IF([2]Entry!$R$1083="","",[2]Entry!$R$1083)</f>
        <v/>
      </c>
    </row>
    <row r="1081" spans="10:16" x14ac:dyDescent="0.2">
      <c r="J1081" t="str">
        <f>IF([2]Entry!$C$1084="","",[2]Entry!$C$1084)</f>
        <v/>
      </c>
      <c r="K1081" t="str">
        <f>IF([2]Entry!$D$1084="","",[2]Entry!$D$1084)</f>
        <v/>
      </c>
      <c r="L1081" t="str">
        <f>IF([2]Entry!$E$1084="","",[2]Entry!$E$1084)</f>
        <v/>
      </c>
      <c r="M1081" t="str">
        <f>IF([2]Entry!$G$1084="","",[2]Entry!$G$1084)</f>
        <v/>
      </c>
      <c r="N1081" t="str">
        <f>IF([2]Entry!$M$1084="","",[2]Entry!$M$1084)</f>
        <v/>
      </c>
      <c r="O1081" t="str">
        <f>IF([2]Entry!$N$1084="","",[2]Entry!$N$1084)</f>
        <v/>
      </c>
      <c r="P1081" t="str">
        <f>IF([2]Entry!$R$1084="","",[2]Entry!$R$1084)</f>
        <v/>
      </c>
    </row>
    <row r="1082" spans="10:16" x14ac:dyDescent="0.2">
      <c r="J1082" t="str">
        <f>IF([2]Entry!$C$1085="","",[2]Entry!$C$1085)</f>
        <v/>
      </c>
      <c r="K1082" t="str">
        <f>IF([2]Entry!$D$1085="","",[2]Entry!$D$1085)</f>
        <v/>
      </c>
      <c r="L1082" t="str">
        <f>IF([2]Entry!$E$1085="","",[2]Entry!$E$1085)</f>
        <v/>
      </c>
      <c r="M1082" t="str">
        <f>IF([2]Entry!$G$1085="","",[2]Entry!$G$1085)</f>
        <v/>
      </c>
      <c r="N1082" t="str">
        <f>IF([2]Entry!$M$1085="","",[2]Entry!$M$1085)</f>
        <v/>
      </c>
      <c r="O1082" t="str">
        <f>IF([2]Entry!$N$1085="","",[2]Entry!$N$1085)</f>
        <v/>
      </c>
      <c r="P1082" t="str">
        <f>IF([2]Entry!$R$1085="","",[2]Entry!$R$1085)</f>
        <v/>
      </c>
    </row>
    <row r="1083" spans="10:16" x14ac:dyDescent="0.2">
      <c r="J1083" t="str">
        <f>IF([2]Entry!$C$1086="","",[2]Entry!$C$1086)</f>
        <v/>
      </c>
      <c r="K1083" t="str">
        <f>IF([2]Entry!$D$1086="","",[2]Entry!$D$1086)</f>
        <v/>
      </c>
      <c r="L1083" t="str">
        <f>IF([2]Entry!$E$1086="","",[2]Entry!$E$1086)</f>
        <v/>
      </c>
      <c r="M1083" t="str">
        <f>IF([2]Entry!$G$1086="","",[2]Entry!$G$1086)</f>
        <v/>
      </c>
      <c r="N1083" t="str">
        <f>IF([2]Entry!$M$1086="","",[2]Entry!$M$1086)</f>
        <v/>
      </c>
      <c r="O1083" t="str">
        <f>IF([2]Entry!$N$1086="","",[2]Entry!$N$1086)</f>
        <v/>
      </c>
      <c r="P1083" t="str">
        <f>IF([2]Entry!$R$1086="","",[2]Entry!$R$1086)</f>
        <v/>
      </c>
    </row>
    <row r="1084" spans="10:16" x14ac:dyDescent="0.2">
      <c r="J1084" t="str">
        <f>IF([2]Entry!$C$1087="","",[2]Entry!$C$1087)</f>
        <v/>
      </c>
      <c r="K1084" t="str">
        <f>IF([2]Entry!$D$1087="","",[2]Entry!$D$1087)</f>
        <v/>
      </c>
      <c r="L1084" t="str">
        <f>IF([2]Entry!$E$1087="","",[2]Entry!$E$1087)</f>
        <v/>
      </c>
      <c r="M1084" t="str">
        <f>IF([2]Entry!$G$1087="","",[2]Entry!$G$1087)</f>
        <v/>
      </c>
      <c r="N1084" t="str">
        <f>IF([2]Entry!$M$1087="","",[2]Entry!$M$1087)</f>
        <v/>
      </c>
      <c r="O1084" t="str">
        <f>IF([2]Entry!$N$1087="","",[2]Entry!$N$1087)</f>
        <v/>
      </c>
      <c r="P1084" t="str">
        <f>IF([2]Entry!$R$1087="","",[2]Entry!$R$1087)</f>
        <v/>
      </c>
    </row>
    <row r="1085" spans="10:16" x14ac:dyDescent="0.2">
      <c r="J1085" t="str">
        <f>IF([2]Entry!$C$1088="","",[2]Entry!$C$1088)</f>
        <v/>
      </c>
      <c r="K1085" t="str">
        <f>IF([2]Entry!$D$1088="","",[2]Entry!$D$1088)</f>
        <v/>
      </c>
      <c r="L1085" t="str">
        <f>IF([2]Entry!$E$1088="","",[2]Entry!$E$1088)</f>
        <v/>
      </c>
      <c r="M1085" t="str">
        <f>IF([2]Entry!$G$1088="","",[2]Entry!$G$1088)</f>
        <v/>
      </c>
      <c r="N1085" t="str">
        <f>IF([2]Entry!$M$1088="","",[2]Entry!$M$1088)</f>
        <v/>
      </c>
      <c r="O1085" t="str">
        <f>IF([2]Entry!$N$1088="","",[2]Entry!$N$1088)</f>
        <v/>
      </c>
      <c r="P1085" t="str">
        <f>IF([2]Entry!$R$1088="","",[2]Entry!$R$1088)</f>
        <v/>
      </c>
    </row>
    <row r="1086" spans="10:16" x14ac:dyDescent="0.2">
      <c r="J1086" t="str">
        <f>IF([2]Entry!$C$1089="","",[2]Entry!$C$1089)</f>
        <v/>
      </c>
      <c r="K1086" t="str">
        <f>IF([2]Entry!$D$1089="","",[2]Entry!$D$1089)</f>
        <v/>
      </c>
      <c r="L1086" t="str">
        <f>IF([2]Entry!$E$1089="","",[2]Entry!$E$1089)</f>
        <v/>
      </c>
      <c r="M1086" t="str">
        <f>IF([2]Entry!$G$1089="","",[2]Entry!$G$1089)</f>
        <v/>
      </c>
      <c r="N1086" t="str">
        <f>IF([2]Entry!$M$1089="","",[2]Entry!$M$1089)</f>
        <v/>
      </c>
      <c r="O1086" t="str">
        <f>IF([2]Entry!$N$1089="","",[2]Entry!$N$1089)</f>
        <v/>
      </c>
      <c r="P1086" t="str">
        <f>IF([2]Entry!$R$1089="","",[2]Entry!$R$1089)</f>
        <v/>
      </c>
    </row>
    <row r="1087" spans="10:16" x14ac:dyDescent="0.2">
      <c r="J1087" t="str">
        <f>IF([2]Entry!$C$1090="","",[2]Entry!$C$1090)</f>
        <v/>
      </c>
      <c r="K1087" t="str">
        <f>IF([2]Entry!$D$1090="","",[2]Entry!$D$1090)</f>
        <v/>
      </c>
      <c r="L1087" t="str">
        <f>IF([2]Entry!$E$1090="","",[2]Entry!$E$1090)</f>
        <v/>
      </c>
      <c r="M1087" t="str">
        <f>IF([2]Entry!$G$1090="","",[2]Entry!$G$1090)</f>
        <v/>
      </c>
      <c r="N1087" t="str">
        <f>IF([2]Entry!$M$1090="","",[2]Entry!$M$1090)</f>
        <v/>
      </c>
      <c r="O1087" t="str">
        <f>IF([2]Entry!$N$1090="","",[2]Entry!$N$1090)</f>
        <v/>
      </c>
      <c r="P1087" t="str">
        <f>IF([2]Entry!$R$1090="","",[2]Entry!$R$1090)</f>
        <v/>
      </c>
    </row>
    <row r="1088" spans="10:16" x14ac:dyDescent="0.2">
      <c r="J1088" t="str">
        <f>IF([2]Entry!$C$1091="","",[2]Entry!$C$1091)</f>
        <v/>
      </c>
      <c r="K1088" t="str">
        <f>IF([2]Entry!$D$1091="","",[2]Entry!$D$1091)</f>
        <v/>
      </c>
      <c r="L1088" t="str">
        <f>IF([2]Entry!$E$1091="","",[2]Entry!$E$1091)</f>
        <v/>
      </c>
      <c r="M1088" t="str">
        <f>IF([2]Entry!$G$1091="","",[2]Entry!$G$1091)</f>
        <v/>
      </c>
      <c r="N1088" t="str">
        <f>IF([2]Entry!$M$1091="","",[2]Entry!$M$1091)</f>
        <v/>
      </c>
      <c r="O1088" t="str">
        <f>IF([2]Entry!$N$1091="","",[2]Entry!$N$1091)</f>
        <v/>
      </c>
      <c r="P1088" t="str">
        <f>IF([2]Entry!$R$1091="","",[2]Entry!$R$1091)</f>
        <v/>
      </c>
    </row>
    <row r="1089" spans="10:16" x14ac:dyDescent="0.2">
      <c r="J1089" t="str">
        <f>IF([2]Entry!$C$1092="","",[2]Entry!$C$1092)</f>
        <v/>
      </c>
      <c r="K1089" t="str">
        <f>IF([2]Entry!$D$1092="","",[2]Entry!$D$1092)</f>
        <v/>
      </c>
      <c r="L1089" t="str">
        <f>IF([2]Entry!$E$1092="","",[2]Entry!$E$1092)</f>
        <v/>
      </c>
      <c r="M1089" t="str">
        <f>IF([2]Entry!$G$1092="","",[2]Entry!$G$1092)</f>
        <v/>
      </c>
      <c r="N1089" t="str">
        <f>IF([2]Entry!$M$1092="","",[2]Entry!$M$1092)</f>
        <v/>
      </c>
      <c r="O1089" t="str">
        <f>IF([2]Entry!$N$1092="","",[2]Entry!$N$1092)</f>
        <v/>
      </c>
      <c r="P1089" t="str">
        <f>IF([2]Entry!$R$1092="","",[2]Entry!$R$1092)</f>
        <v/>
      </c>
    </row>
    <row r="1090" spans="10:16" x14ac:dyDescent="0.2">
      <c r="J1090" t="str">
        <f>IF([2]Entry!$C$1093="","",[2]Entry!$C$1093)</f>
        <v/>
      </c>
      <c r="K1090" t="str">
        <f>IF([2]Entry!$D$1093="","",[2]Entry!$D$1093)</f>
        <v/>
      </c>
      <c r="L1090" t="str">
        <f>IF([2]Entry!$E$1093="","",[2]Entry!$E$1093)</f>
        <v/>
      </c>
      <c r="M1090" t="str">
        <f>IF([2]Entry!$G$1093="","",[2]Entry!$G$1093)</f>
        <v/>
      </c>
      <c r="N1090" t="str">
        <f>IF([2]Entry!$M$1093="","",[2]Entry!$M$1093)</f>
        <v/>
      </c>
      <c r="O1090" t="str">
        <f>IF([2]Entry!$N$1093="","",[2]Entry!$N$1093)</f>
        <v/>
      </c>
      <c r="P1090" t="str">
        <f>IF([2]Entry!$R$1093="","",[2]Entry!$R$1093)</f>
        <v/>
      </c>
    </row>
    <row r="1091" spans="10:16" x14ac:dyDescent="0.2">
      <c r="J1091" t="str">
        <f>IF([2]Entry!$C$1094="","",[2]Entry!$C$1094)</f>
        <v/>
      </c>
      <c r="K1091" t="str">
        <f>IF([2]Entry!$D$1094="","",[2]Entry!$D$1094)</f>
        <v/>
      </c>
      <c r="L1091" t="str">
        <f>IF([2]Entry!$E$1094="","",[2]Entry!$E$1094)</f>
        <v/>
      </c>
      <c r="M1091" t="str">
        <f>IF([2]Entry!$G$1094="","",[2]Entry!$G$1094)</f>
        <v/>
      </c>
      <c r="N1091" t="str">
        <f>IF([2]Entry!$M$1094="","",[2]Entry!$M$1094)</f>
        <v/>
      </c>
      <c r="O1091" t="str">
        <f>IF([2]Entry!$N$1094="","",[2]Entry!$N$1094)</f>
        <v/>
      </c>
      <c r="P1091" t="str">
        <f>IF([2]Entry!$R$1094="","",[2]Entry!$R$1094)</f>
        <v/>
      </c>
    </row>
    <row r="1092" spans="10:16" x14ac:dyDescent="0.2">
      <c r="J1092" t="str">
        <f>IF([2]Entry!$C$1095="","",[2]Entry!$C$1095)</f>
        <v/>
      </c>
      <c r="K1092" t="str">
        <f>IF([2]Entry!$D$1095="","",[2]Entry!$D$1095)</f>
        <v/>
      </c>
      <c r="L1092" t="str">
        <f>IF([2]Entry!$E$1095="","",[2]Entry!$E$1095)</f>
        <v/>
      </c>
      <c r="M1092" t="str">
        <f>IF([2]Entry!$G$1095="","",[2]Entry!$G$1095)</f>
        <v/>
      </c>
      <c r="N1092" t="str">
        <f>IF([2]Entry!$M$1095="","",[2]Entry!$M$1095)</f>
        <v/>
      </c>
      <c r="O1092" t="str">
        <f>IF([2]Entry!$N$1095="","",[2]Entry!$N$1095)</f>
        <v/>
      </c>
      <c r="P1092" t="str">
        <f>IF([2]Entry!$R$1095="","",[2]Entry!$R$1095)</f>
        <v/>
      </c>
    </row>
    <row r="1093" spans="10:16" x14ac:dyDescent="0.2">
      <c r="J1093" t="str">
        <f>IF([2]Entry!$C$1096="","",[2]Entry!$C$1096)</f>
        <v/>
      </c>
      <c r="K1093" t="str">
        <f>IF([2]Entry!$D$1096="","",[2]Entry!$D$1096)</f>
        <v/>
      </c>
      <c r="L1093" t="str">
        <f>IF([2]Entry!$E$1096="","",[2]Entry!$E$1096)</f>
        <v/>
      </c>
      <c r="M1093" t="str">
        <f>IF([2]Entry!$G$1096="","",[2]Entry!$G$1096)</f>
        <v/>
      </c>
      <c r="N1093" t="str">
        <f>IF([2]Entry!$M$1096="","",[2]Entry!$M$1096)</f>
        <v/>
      </c>
      <c r="O1093" t="str">
        <f>IF([2]Entry!$N$1096="","",[2]Entry!$N$1096)</f>
        <v/>
      </c>
      <c r="P1093" t="str">
        <f>IF([2]Entry!$R$1096="","",[2]Entry!$R$1096)</f>
        <v/>
      </c>
    </row>
    <row r="1094" spans="10:16" x14ac:dyDescent="0.2">
      <c r="J1094" t="str">
        <f>IF([2]Entry!$C$1097="","",[2]Entry!$C$1097)</f>
        <v/>
      </c>
      <c r="K1094" t="str">
        <f>IF([2]Entry!$D$1097="","",[2]Entry!$D$1097)</f>
        <v/>
      </c>
      <c r="L1094" t="str">
        <f>IF([2]Entry!$E$1097="","",[2]Entry!$E$1097)</f>
        <v/>
      </c>
      <c r="M1094" t="str">
        <f>IF([2]Entry!$G$1097="","",[2]Entry!$G$1097)</f>
        <v/>
      </c>
      <c r="N1094" t="str">
        <f>IF([2]Entry!$M$1097="","",[2]Entry!$M$1097)</f>
        <v/>
      </c>
      <c r="O1094" t="str">
        <f>IF([2]Entry!$N$1097="","",[2]Entry!$N$1097)</f>
        <v/>
      </c>
      <c r="P1094" t="str">
        <f>IF([2]Entry!$R$1097="","",[2]Entry!$R$1097)</f>
        <v/>
      </c>
    </row>
    <row r="1095" spans="10:16" x14ac:dyDescent="0.2">
      <c r="J1095" t="str">
        <f>IF([2]Entry!$C$1098="","",[2]Entry!$C$1098)</f>
        <v/>
      </c>
      <c r="K1095" t="str">
        <f>IF([2]Entry!$D$1098="","",[2]Entry!$D$1098)</f>
        <v/>
      </c>
      <c r="L1095" t="str">
        <f>IF([2]Entry!$E$1098="","",[2]Entry!$E$1098)</f>
        <v/>
      </c>
      <c r="M1095" t="str">
        <f>IF([2]Entry!$G$1098="","",[2]Entry!$G$1098)</f>
        <v/>
      </c>
      <c r="N1095" t="str">
        <f>IF([2]Entry!$M$1098="","",[2]Entry!$M$1098)</f>
        <v/>
      </c>
      <c r="O1095" t="str">
        <f>IF([2]Entry!$N$1098="","",[2]Entry!$N$1098)</f>
        <v/>
      </c>
      <c r="P1095" t="str">
        <f>IF([2]Entry!$R$1098="","",[2]Entry!$R$1098)</f>
        <v/>
      </c>
    </row>
    <row r="1096" spans="10:16" x14ac:dyDescent="0.2">
      <c r="J1096" t="str">
        <f>IF([2]Entry!$C$1099="","",[2]Entry!$C$1099)</f>
        <v/>
      </c>
      <c r="K1096" t="str">
        <f>IF([2]Entry!$D$1099="","",[2]Entry!$D$1099)</f>
        <v/>
      </c>
      <c r="L1096" t="str">
        <f>IF([2]Entry!$E$1099="","",[2]Entry!$E$1099)</f>
        <v/>
      </c>
      <c r="M1096" t="str">
        <f>IF([2]Entry!$G$1099="","",[2]Entry!$G$1099)</f>
        <v/>
      </c>
      <c r="N1096" t="str">
        <f>IF([2]Entry!$M$1099="","",[2]Entry!$M$1099)</f>
        <v/>
      </c>
      <c r="O1096" t="str">
        <f>IF([2]Entry!$N$1099="","",[2]Entry!$N$1099)</f>
        <v/>
      </c>
      <c r="P1096" t="str">
        <f>IF([2]Entry!$R$1099="","",[2]Entry!$R$1099)</f>
        <v/>
      </c>
    </row>
    <row r="1097" spans="10:16" x14ac:dyDescent="0.2">
      <c r="J1097" t="str">
        <f>IF([2]Entry!$C$1100="","",[2]Entry!$C$1100)</f>
        <v/>
      </c>
      <c r="K1097" t="str">
        <f>IF([2]Entry!$D$1100="","",[2]Entry!$D$1100)</f>
        <v/>
      </c>
      <c r="L1097" t="str">
        <f>IF([2]Entry!$E$1100="","",[2]Entry!$E$1100)</f>
        <v/>
      </c>
      <c r="M1097" t="str">
        <f>IF([2]Entry!$G$1100="","",[2]Entry!$G$1100)</f>
        <v/>
      </c>
      <c r="N1097" t="str">
        <f>IF([2]Entry!$M$1100="","",[2]Entry!$M$1100)</f>
        <v/>
      </c>
      <c r="O1097" t="str">
        <f>IF([2]Entry!$N$1100="","",[2]Entry!$N$1100)</f>
        <v/>
      </c>
      <c r="P1097" t="str">
        <f>IF([2]Entry!$R$1100="","",[2]Entry!$R$1100)</f>
        <v/>
      </c>
    </row>
    <row r="1098" spans="10:16" x14ac:dyDescent="0.2">
      <c r="J1098" t="str">
        <f>IF([2]Entry!$C$1101="","",[2]Entry!$C$1101)</f>
        <v/>
      </c>
      <c r="K1098" t="str">
        <f>IF([2]Entry!$D$1101="","",[2]Entry!$D$1101)</f>
        <v/>
      </c>
      <c r="L1098" t="str">
        <f>IF([2]Entry!$E$1101="","",[2]Entry!$E$1101)</f>
        <v/>
      </c>
      <c r="M1098" t="str">
        <f>IF([2]Entry!$G$1101="","",[2]Entry!$G$1101)</f>
        <v/>
      </c>
      <c r="N1098" t="str">
        <f>IF([2]Entry!$M$1101="","",[2]Entry!$M$1101)</f>
        <v/>
      </c>
      <c r="O1098" t="str">
        <f>IF([2]Entry!$N$1101="","",[2]Entry!$N$1101)</f>
        <v/>
      </c>
      <c r="P1098" t="str">
        <f>IF([2]Entry!$R$1101="","",[2]Entry!$R$1101)</f>
        <v/>
      </c>
    </row>
    <row r="1099" spans="10:16" x14ac:dyDescent="0.2">
      <c r="J1099" t="str">
        <f>IF([2]Entry!$C$1102="","",[2]Entry!$C$1102)</f>
        <v/>
      </c>
      <c r="K1099" t="str">
        <f>IF([2]Entry!$D$1102="","",[2]Entry!$D$1102)</f>
        <v/>
      </c>
      <c r="L1099" t="str">
        <f>IF([2]Entry!$E$1102="","",[2]Entry!$E$1102)</f>
        <v/>
      </c>
      <c r="M1099" t="str">
        <f>IF([2]Entry!$G$1102="","",[2]Entry!$G$1102)</f>
        <v/>
      </c>
      <c r="N1099" t="str">
        <f>IF([2]Entry!$M$1102="","",[2]Entry!$M$1102)</f>
        <v/>
      </c>
      <c r="O1099" t="str">
        <f>IF([2]Entry!$N$1102="","",[2]Entry!$N$1102)</f>
        <v/>
      </c>
      <c r="P1099" t="str">
        <f>IF([2]Entry!$R$1102="","",[2]Entry!$R$1102)</f>
        <v/>
      </c>
    </row>
    <row r="1100" spans="10:16" x14ac:dyDescent="0.2">
      <c r="J1100" t="str">
        <f>IF([2]Entry!$C$1103="","",[2]Entry!$C$1103)</f>
        <v/>
      </c>
      <c r="K1100" t="str">
        <f>IF([2]Entry!$D$1103="","",[2]Entry!$D$1103)</f>
        <v/>
      </c>
      <c r="L1100" t="str">
        <f>IF([2]Entry!$E$1103="","",[2]Entry!$E$1103)</f>
        <v/>
      </c>
      <c r="M1100" t="str">
        <f>IF([2]Entry!$G$1103="","",[2]Entry!$G$1103)</f>
        <v/>
      </c>
      <c r="N1100" t="str">
        <f>IF([2]Entry!$M$1103="","",[2]Entry!$M$1103)</f>
        <v/>
      </c>
      <c r="O1100" t="str">
        <f>IF([2]Entry!$N$1103="","",[2]Entry!$N$1103)</f>
        <v/>
      </c>
      <c r="P1100" t="str">
        <f>IF([2]Entry!$R$1103="","",[2]Entry!$R$1103)</f>
        <v/>
      </c>
    </row>
    <row r="1101" spans="10:16" x14ac:dyDescent="0.2">
      <c r="J1101" t="str">
        <f>IF([2]Entry!$C$1104="","",[2]Entry!$C$1104)</f>
        <v/>
      </c>
      <c r="K1101" t="str">
        <f>IF([2]Entry!$D$1104="","",[2]Entry!$D$1104)</f>
        <v/>
      </c>
      <c r="L1101" t="str">
        <f>IF([2]Entry!$E$1104="","",[2]Entry!$E$1104)</f>
        <v/>
      </c>
      <c r="M1101" t="str">
        <f>IF([2]Entry!$G$1104="","",[2]Entry!$G$1104)</f>
        <v/>
      </c>
      <c r="N1101" t="str">
        <f>IF([2]Entry!$M$1104="","",[2]Entry!$M$1104)</f>
        <v/>
      </c>
      <c r="O1101" t="str">
        <f>IF([2]Entry!$N$1104="","",[2]Entry!$N$1104)</f>
        <v/>
      </c>
      <c r="P1101" t="str">
        <f>IF([2]Entry!$R$1104="","",[2]Entry!$R$1104)</f>
        <v/>
      </c>
    </row>
    <row r="1102" spans="10:16" x14ac:dyDescent="0.2">
      <c r="J1102" t="str">
        <f>IF([2]Entry!$C$1105="","",[2]Entry!$C$1105)</f>
        <v/>
      </c>
      <c r="K1102" t="str">
        <f>IF([2]Entry!$D$1105="","",[2]Entry!$D$1105)</f>
        <v/>
      </c>
      <c r="L1102" t="str">
        <f>IF([2]Entry!$E$1105="","",[2]Entry!$E$1105)</f>
        <v/>
      </c>
      <c r="M1102" t="str">
        <f>IF([2]Entry!$G$1105="","",[2]Entry!$G$1105)</f>
        <v/>
      </c>
      <c r="N1102" t="str">
        <f>IF([2]Entry!$M$1105="","",[2]Entry!$M$1105)</f>
        <v/>
      </c>
      <c r="O1102" t="str">
        <f>IF([2]Entry!$N$1105="","",[2]Entry!$N$1105)</f>
        <v/>
      </c>
      <c r="P1102" t="str">
        <f>IF([2]Entry!$R$1105="","",[2]Entry!$R$1105)</f>
        <v/>
      </c>
    </row>
    <row r="1103" spans="10:16" x14ac:dyDescent="0.2">
      <c r="J1103" t="str">
        <f>IF([2]Entry!$C$1106="","",[2]Entry!$C$1106)</f>
        <v/>
      </c>
      <c r="K1103" t="str">
        <f>IF([2]Entry!$D$1106="","",[2]Entry!$D$1106)</f>
        <v/>
      </c>
      <c r="L1103" t="str">
        <f>IF([2]Entry!$E$1106="","",[2]Entry!$E$1106)</f>
        <v/>
      </c>
      <c r="M1103" t="str">
        <f>IF([2]Entry!$G$1106="","",[2]Entry!$G$1106)</f>
        <v/>
      </c>
      <c r="N1103" t="str">
        <f>IF([2]Entry!$M$1106="","",[2]Entry!$M$1106)</f>
        <v/>
      </c>
      <c r="O1103" t="str">
        <f>IF([2]Entry!$N$1106="","",[2]Entry!$N$1106)</f>
        <v/>
      </c>
      <c r="P1103" t="str">
        <f>IF([2]Entry!$R$1106="","",[2]Entry!$R$1106)</f>
        <v/>
      </c>
    </row>
    <row r="1104" spans="10:16" x14ac:dyDescent="0.2">
      <c r="J1104" t="str">
        <f>IF([2]Entry!$C$1107="","",[2]Entry!$C$1107)</f>
        <v/>
      </c>
      <c r="K1104" t="str">
        <f>IF([2]Entry!$D$1107="","",[2]Entry!$D$1107)</f>
        <v/>
      </c>
      <c r="L1104" t="str">
        <f>IF([2]Entry!$E$1107="","",[2]Entry!$E$1107)</f>
        <v/>
      </c>
      <c r="M1104" t="str">
        <f>IF([2]Entry!$G$1107="","",[2]Entry!$G$1107)</f>
        <v/>
      </c>
      <c r="N1104" t="str">
        <f>IF([2]Entry!$M$1107="","",[2]Entry!$M$1107)</f>
        <v/>
      </c>
      <c r="O1104" t="str">
        <f>IF([2]Entry!$N$1107="","",[2]Entry!$N$1107)</f>
        <v/>
      </c>
      <c r="P1104" t="str">
        <f>IF([2]Entry!$R$1107="","",[2]Entry!$R$1107)</f>
        <v/>
      </c>
    </row>
    <row r="1105" spans="10:16" x14ac:dyDescent="0.2">
      <c r="J1105" t="str">
        <f>IF([2]Entry!$C$1108="","",[2]Entry!$C$1108)</f>
        <v/>
      </c>
      <c r="K1105" t="str">
        <f>IF([2]Entry!$D$1108="","",[2]Entry!$D$1108)</f>
        <v/>
      </c>
      <c r="L1105" t="str">
        <f>IF([2]Entry!$E$1108="","",[2]Entry!$E$1108)</f>
        <v/>
      </c>
      <c r="M1105" t="str">
        <f>IF([2]Entry!$G$1108="","",[2]Entry!$G$1108)</f>
        <v/>
      </c>
      <c r="N1105" t="str">
        <f>IF([2]Entry!$M$1108="","",[2]Entry!$M$1108)</f>
        <v/>
      </c>
      <c r="O1105" t="str">
        <f>IF([2]Entry!$N$1108="","",[2]Entry!$N$1108)</f>
        <v/>
      </c>
      <c r="P1105" t="str">
        <f>IF([2]Entry!$R$1108="","",[2]Entry!$R$1108)</f>
        <v/>
      </c>
    </row>
    <row r="1106" spans="10:16" x14ac:dyDescent="0.2">
      <c r="J1106" t="str">
        <f>IF([2]Entry!$C$1109="","",[2]Entry!$C$1109)</f>
        <v/>
      </c>
      <c r="K1106" t="str">
        <f>IF([2]Entry!$D$1109="","",[2]Entry!$D$1109)</f>
        <v/>
      </c>
      <c r="L1106" t="str">
        <f>IF([2]Entry!$E$1109="","",[2]Entry!$E$1109)</f>
        <v/>
      </c>
      <c r="M1106" t="str">
        <f>IF([2]Entry!$G$1109="","",[2]Entry!$G$1109)</f>
        <v/>
      </c>
      <c r="N1106" t="str">
        <f>IF([2]Entry!$M$1109="","",[2]Entry!$M$1109)</f>
        <v/>
      </c>
      <c r="O1106" t="str">
        <f>IF([2]Entry!$N$1109="","",[2]Entry!$N$1109)</f>
        <v/>
      </c>
      <c r="P1106" t="str">
        <f>IF([2]Entry!$R$1109="","",[2]Entry!$R$1109)</f>
        <v/>
      </c>
    </row>
    <row r="1107" spans="10:16" x14ac:dyDescent="0.2">
      <c r="J1107" t="str">
        <f>IF([2]Entry!$C$1110="","",[2]Entry!$C$1110)</f>
        <v/>
      </c>
      <c r="K1107" t="str">
        <f>IF([2]Entry!$D$1110="","",[2]Entry!$D$1110)</f>
        <v/>
      </c>
      <c r="L1107" t="str">
        <f>IF([2]Entry!$E$1110="","",[2]Entry!$E$1110)</f>
        <v/>
      </c>
      <c r="M1107" t="str">
        <f>IF([2]Entry!$G$1110="","",[2]Entry!$G$1110)</f>
        <v/>
      </c>
      <c r="N1107" t="str">
        <f>IF([2]Entry!$M$1110="","",[2]Entry!$M$1110)</f>
        <v/>
      </c>
      <c r="O1107" t="str">
        <f>IF([2]Entry!$N$1110="","",[2]Entry!$N$1110)</f>
        <v/>
      </c>
      <c r="P1107" t="str">
        <f>IF([2]Entry!$R$1110="","",[2]Entry!$R$1110)</f>
        <v/>
      </c>
    </row>
    <row r="1108" spans="10:16" x14ac:dyDescent="0.2">
      <c r="J1108" t="str">
        <f>IF([2]Entry!$C$1111="","",[2]Entry!$C$1111)</f>
        <v/>
      </c>
      <c r="K1108" t="str">
        <f>IF([2]Entry!$D$1111="","",[2]Entry!$D$1111)</f>
        <v/>
      </c>
      <c r="L1108" t="str">
        <f>IF([2]Entry!$E$1111="","",[2]Entry!$E$1111)</f>
        <v/>
      </c>
      <c r="M1108" t="str">
        <f>IF([2]Entry!$G$1111="","",[2]Entry!$G$1111)</f>
        <v/>
      </c>
      <c r="N1108" t="str">
        <f>IF([2]Entry!$M$1111="","",[2]Entry!$M$1111)</f>
        <v/>
      </c>
      <c r="O1108" t="str">
        <f>IF([2]Entry!$N$1111="","",[2]Entry!$N$1111)</f>
        <v/>
      </c>
      <c r="P1108" t="str">
        <f>IF([2]Entry!$R$1111="","",[2]Entry!$R$1111)</f>
        <v/>
      </c>
    </row>
    <row r="1109" spans="10:16" x14ac:dyDescent="0.2">
      <c r="J1109" t="str">
        <f>IF([2]Entry!$C$1112="","",[2]Entry!$C$1112)</f>
        <v/>
      </c>
      <c r="K1109" t="str">
        <f>IF([2]Entry!$D$1112="","",[2]Entry!$D$1112)</f>
        <v/>
      </c>
      <c r="L1109" t="str">
        <f>IF([2]Entry!$E$1112="","",[2]Entry!$E$1112)</f>
        <v/>
      </c>
      <c r="M1109" t="str">
        <f>IF([2]Entry!$G$1112="","",[2]Entry!$G$1112)</f>
        <v/>
      </c>
      <c r="N1109" t="str">
        <f>IF([2]Entry!$M$1112="","",[2]Entry!$M$1112)</f>
        <v/>
      </c>
      <c r="O1109" t="str">
        <f>IF([2]Entry!$N$1112="","",[2]Entry!$N$1112)</f>
        <v/>
      </c>
      <c r="P1109" t="str">
        <f>IF([2]Entry!$R$1112="","",[2]Entry!$R$1112)</f>
        <v/>
      </c>
    </row>
    <row r="1110" spans="10:16" x14ac:dyDescent="0.2">
      <c r="J1110" t="str">
        <f>IF([2]Entry!$C$1113="","",[2]Entry!$C$1113)</f>
        <v/>
      </c>
      <c r="K1110" t="str">
        <f>IF([2]Entry!$D$1113="","",[2]Entry!$D$1113)</f>
        <v/>
      </c>
      <c r="L1110" t="str">
        <f>IF([2]Entry!$E$1113="","",[2]Entry!$E$1113)</f>
        <v/>
      </c>
      <c r="M1110" t="str">
        <f>IF([2]Entry!$G$1113="","",[2]Entry!$G$1113)</f>
        <v/>
      </c>
      <c r="N1110" t="str">
        <f>IF([2]Entry!$M$1113="","",[2]Entry!$M$1113)</f>
        <v/>
      </c>
      <c r="O1110" t="str">
        <f>IF([2]Entry!$N$1113="","",[2]Entry!$N$1113)</f>
        <v/>
      </c>
      <c r="P1110" t="str">
        <f>IF([2]Entry!$R$1113="","",[2]Entry!$R$1113)</f>
        <v/>
      </c>
    </row>
    <row r="1111" spans="10:16" x14ac:dyDescent="0.2">
      <c r="J1111" t="str">
        <f>IF([2]Entry!$C$1114="","",[2]Entry!$C$1114)</f>
        <v/>
      </c>
      <c r="K1111" t="str">
        <f>IF([2]Entry!$D$1114="","",[2]Entry!$D$1114)</f>
        <v/>
      </c>
      <c r="L1111" t="str">
        <f>IF([2]Entry!$E$1114="","",[2]Entry!$E$1114)</f>
        <v/>
      </c>
      <c r="M1111" t="str">
        <f>IF([2]Entry!$G$1114="","",[2]Entry!$G$1114)</f>
        <v/>
      </c>
      <c r="N1111" t="str">
        <f>IF([2]Entry!$M$1114="","",[2]Entry!$M$1114)</f>
        <v/>
      </c>
      <c r="O1111" t="str">
        <f>IF([2]Entry!$N$1114="","",[2]Entry!$N$1114)</f>
        <v/>
      </c>
      <c r="P1111" t="str">
        <f>IF([2]Entry!$R$1114="","",[2]Entry!$R$1114)</f>
        <v/>
      </c>
    </row>
    <row r="1112" spans="10:16" x14ac:dyDescent="0.2">
      <c r="J1112" t="str">
        <f>IF([2]Entry!$C$1115="","",[2]Entry!$C$1115)</f>
        <v/>
      </c>
      <c r="K1112" t="str">
        <f>IF([2]Entry!$D$1115="","",[2]Entry!$D$1115)</f>
        <v/>
      </c>
      <c r="L1112" t="str">
        <f>IF([2]Entry!$E$1115="","",[2]Entry!$E$1115)</f>
        <v/>
      </c>
      <c r="M1112" t="str">
        <f>IF([2]Entry!$G$1115="","",[2]Entry!$G$1115)</f>
        <v/>
      </c>
      <c r="N1112" t="str">
        <f>IF([2]Entry!$M$1115="","",[2]Entry!$M$1115)</f>
        <v/>
      </c>
      <c r="O1112" t="str">
        <f>IF([2]Entry!$N$1115="","",[2]Entry!$N$1115)</f>
        <v/>
      </c>
      <c r="P1112" t="str">
        <f>IF([2]Entry!$R$1115="","",[2]Entry!$R$1115)</f>
        <v/>
      </c>
    </row>
    <row r="1113" spans="10:16" x14ac:dyDescent="0.2">
      <c r="J1113" t="str">
        <f>IF([2]Entry!$C$1116="","",[2]Entry!$C$1116)</f>
        <v/>
      </c>
      <c r="K1113" t="str">
        <f>IF([2]Entry!$D$1116="","",[2]Entry!$D$1116)</f>
        <v/>
      </c>
      <c r="L1113" t="str">
        <f>IF([2]Entry!$E$1116="","",[2]Entry!$E$1116)</f>
        <v/>
      </c>
      <c r="M1113" t="str">
        <f>IF([2]Entry!$G$1116="","",[2]Entry!$G$1116)</f>
        <v/>
      </c>
      <c r="N1113" t="str">
        <f>IF([2]Entry!$M$1116="","",[2]Entry!$M$1116)</f>
        <v/>
      </c>
      <c r="O1113" t="str">
        <f>IF([2]Entry!$N$1116="","",[2]Entry!$N$1116)</f>
        <v/>
      </c>
      <c r="P1113" t="str">
        <f>IF([2]Entry!$R$1116="","",[2]Entry!$R$1116)</f>
        <v/>
      </c>
    </row>
    <row r="1114" spans="10:16" x14ac:dyDescent="0.2">
      <c r="J1114" t="str">
        <f>IF([2]Entry!$C$1117="","",[2]Entry!$C$1117)</f>
        <v/>
      </c>
      <c r="K1114" t="str">
        <f>IF([2]Entry!$D$1117="","",[2]Entry!$D$1117)</f>
        <v/>
      </c>
      <c r="L1114" t="str">
        <f>IF([2]Entry!$E$1117="","",[2]Entry!$E$1117)</f>
        <v/>
      </c>
      <c r="M1114" t="str">
        <f>IF([2]Entry!$G$1117="","",[2]Entry!$G$1117)</f>
        <v/>
      </c>
      <c r="N1114" t="str">
        <f>IF([2]Entry!$M$1117="","",[2]Entry!$M$1117)</f>
        <v/>
      </c>
      <c r="O1114" t="str">
        <f>IF([2]Entry!$N$1117="","",[2]Entry!$N$1117)</f>
        <v/>
      </c>
      <c r="P1114" t="str">
        <f>IF([2]Entry!$R$1117="","",[2]Entry!$R$1117)</f>
        <v/>
      </c>
    </row>
    <row r="1115" spans="10:16" x14ac:dyDescent="0.2">
      <c r="J1115" t="str">
        <f>IF([2]Entry!$C$1118="","",[2]Entry!$C$1118)</f>
        <v/>
      </c>
      <c r="K1115" t="str">
        <f>IF([2]Entry!$D$1118="","",[2]Entry!$D$1118)</f>
        <v/>
      </c>
      <c r="L1115" t="str">
        <f>IF([2]Entry!$E$1118="","",[2]Entry!$E$1118)</f>
        <v/>
      </c>
      <c r="M1115" t="str">
        <f>IF([2]Entry!$G$1118="","",[2]Entry!$G$1118)</f>
        <v/>
      </c>
      <c r="N1115" t="str">
        <f>IF([2]Entry!$M$1118="","",[2]Entry!$M$1118)</f>
        <v/>
      </c>
      <c r="O1115" t="str">
        <f>IF([2]Entry!$N$1118="","",[2]Entry!$N$1118)</f>
        <v/>
      </c>
      <c r="P1115" t="str">
        <f>IF([2]Entry!$R$1118="","",[2]Entry!$R$1118)</f>
        <v/>
      </c>
    </row>
    <row r="1116" spans="10:16" x14ac:dyDescent="0.2">
      <c r="J1116" t="str">
        <f>IF([2]Entry!$C$1119="","",[2]Entry!$C$1119)</f>
        <v/>
      </c>
      <c r="K1116" t="str">
        <f>IF([2]Entry!$D$1119="","",[2]Entry!$D$1119)</f>
        <v/>
      </c>
      <c r="L1116" t="str">
        <f>IF([2]Entry!$E$1119="","",[2]Entry!$E$1119)</f>
        <v/>
      </c>
      <c r="M1116" t="str">
        <f>IF([2]Entry!$G$1119="","",[2]Entry!$G$1119)</f>
        <v/>
      </c>
      <c r="N1116" t="str">
        <f>IF([2]Entry!$M$1119="","",[2]Entry!$M$1119)</f>
        <v/>
      </c>
      <c r="O1116" t="str">
        <f>IF([2]Entry!$N$1119="","",[2]Entry!$N$1119)</f>
        <v/>
      </c>
      <c r="P1116" t="str">
        <f>IF([2]Entry!$R$1119="","",[2]Entry!$R$1119)</f>
        <v/>
      </c>
    </row>
    <row r="1117" spans="10:16" x14ac:dyDescent="0.2">
      <c r="J1117" t="str">
        <f>IF([2]Entry!$C$1120="","",[2]Entry!$C$1120)</f>
        <v/>
      </c>
      <c r="K1117" t="str">
        <f>IF([2]Entry!$D$1120="","",[2]Entry!$D$1120)</f>
        <v/>
      </c>
      <c r="L1117" t="str">
        <f>IF([2]Entry!$E$1120="","",[2]Entry!$E$1120)</f>
        <v/>
      </c>
      <c r="M1117" t="str">
        <f>IF([2]Entry!$G$1120="","",[2]Entry!$G$1120)</f>
        <v/>
      </c>
      <c r="N1117" t="str">
        <f>IF([2]Entry!$M$1120="","",[2]Entry!$M$1120)</f>
        <v/>
      </c>
      <c r="O1117" t="str">
        <f>IF([2]Entry!$N$1120="","",[2]Entry!$N$1120)</f>
        <v/>
      </c>
      <c r="P1117" t="str">
        <f>IF([2]Entry!$R$1120="","",[2]Entry!$R$1120)</f>
        <v/>
      </c>
    </row>
    <row r="1118" spans="10:16" x14ac:dyDescent="0.2">
      <c r="J1118" t="str">
        <f>IF([2]Entry!$C$1121="","",[2]Entry!$C$1121)</f>
        <v/>
      </c>
      <c r="K1118" t="str">
        <f>IF([2]Entry!$D$1121="","",[2]Entry!$D$1121)</f>
        <v/>
      </c>
      <c r="L1118" t="str">
        <f>IF([2]Entry!$E$1121="","",[2]Entry!$E$1121)</f>
        <v/>
      </c>
      <c r="M1118" t="str">
        <f>IF([2]Entry!$G$1121="","",[2]Entry!$G$1121)</f>
        <v/>
      </c>
      <c r="N1118" t="str">
        <f>IF([2]Entry!$M$1121="","",[2]Entry!$M$1121)</f>
        <v/>
      </c>
      <c r="O1118" t="str">
        <f>IF([2]Entry!$N$1121="","",[2]Entry!$N$1121)</f>
        <v/>
      </c>
      <c r="P1118" t="str">
        <f>IF([2]Entry!$R$1121="","",[2]Entry!$R$1121)</f>
        <v/>
      </c>
    </row>
    <row r="1119" spans="10:16" x14ac:dyDescent="0.2">
      <c r="J1119" t="str">
        <f>IF([2]Entry!$C$1122="","",[2]Entry!$C$1122)</f>
        <v/>
      </c>
      <c r="K1119" t="str">
        <f>IF([2]Entry!$D$1122="","",[2]Entry!$D$1122)</f>
        <v/>
      </c>
      <c r="L1119" t="str">
        <f>IF([2]Entry!$E$1122="","",[2]Entry!$E$1122)</f>
        <v/>
      </c>
      <c r="M1119" t="str">
        <f>IF([2]Entry!$G$1122="","",[2]Entry!$G$1122)</f>
        <v/>
      </c>
      <c r="N1119" t="str">
        <f>IF([2]Entry!$M$1122="","",[2]Entry!$M$1122)</f>
        <v/>
      </c>
      <c r="O1119" t="str">
        <f>IF([2]Entry!$N$1122="","",[2]Entry!$N$1122)</f>
        <v/>
      </c>
      <c r="P1119" t="str">
        <f>IF([2]Entry!$R$1122="","",[2]Entry!$R$1122)</f>
        <v/>
      </c>
    </row>
    <row r="1120" spans="10:16" x14ac:dyDescent="0.2">
      <c r="J1120" t="str">
        <f>IF([2]Entry!$C$1123="","",[2]Entry!$C$1123)</f>
        <v/>
      </c>
      <c r="K1120" t="str">
        <f>IF([2]Entry!$D$1123="","",[2]Entry!$D$1123)</f>
        <v/>
      </c>
      <c r="L1120" t="str">
        <f>IF([2]Entry!$E$1123="","",[2]Entry!$E$1123)</f>
        <v/>
      </c>
      <c r="M1120" t="str">
        <f>IF([2]Entry!$G$1123="","",[2]Entry!$G$1123)</f>
        <v/>
      </c>
      <c r="N1120" t="str">
        <f>IF([2]Entry!$M$1123="","",[2]Entry!$M$1123)</f>
        <v/>
      </c>
      <c r="O1120" t="str">
        <f>IF([2]Entry!$N$1123="","",[2]Entry!$N$1123)</f>
        <v/>
      </c>
      <c r="P1120" t="str">
        <f>IF([2]Entry!$R$1123="","",[2]Entry!$R$1123)</f>
        <v/>
      </c>
    </row>
    <row r="1121" spans="10:16" x14ac:dyDescent="0.2">
      <c r="J1121" t="str">
        <f>IF([2]Entry!$C$1124="","",[2]Entry!$C$1124)</f>
        <v/>
      </c>
      <c r="K1121" t="str">
        <f>IF([2]Entry!$D$1124="","",[2]Entry!$D$1124)</f>
        <v/>
      </c>
      <c r="L1121" t="str">
        <f>IF([2]Entry!$E$1124="","",[2]Entry!$E$1124)</f>
        <v/>
      </c>
      <c r="M1121" t="str">
        <f>IF([2]Entry!$G$1124="","",[2]Entry!$G$1124)</f>
        <v/>
      </c>
      <c r="N1121" t="str">
        <f>IF([2]Entry!$M$1124="","",[2]Entry!$M$1124)</f>
        <v/>
      </c>
      <c r="O1121" t="str">
        <f>IF([2]Entry!$N$1124="","",[2]Entry!$N$1124)</f>
        <v/>
      </c>
      <c r="P1121" t="str">
        <f>IF([2]Entry!$R$1124="","",[2]Entry!$R$1124)</f>
        <v/>
      </c>
    </row>
    <row r="1122" spans="10:16" x14ac:dyDescent="0.2">
      <c r="J1122" t="str">
        <f>IF([2]Entry!$C$1125="","",[2]Entry!$C$1125)</f>
        <v/>
      </c>
      <c r="K1122" t="str">
        <f>IF([2]Entry!$D$1125="","",[2]Entry!$D$1125)</f>
        <v/>
      </c>
      <c r="L1122" t="str">
        <f>IF([2]Entry!$E$1125="","",[2]Entry!$E$1125)</f>
        <v/>
      </c>
      <c r="M1122" t="str">
        <f>IF([2]Entry!$G$1125="","",[2]Entry!$G$1125)</f>
        <v/>
      </c>
      <c r="N1122" t="str">
        <f>IF([2]Entry!$M$1125="","",[2]Entry!$M$1125)</f>
        <v/>
      </c>
      <c r="O1122" t="str">
        <f>IF([2]Entry!$N$1125="","",[2]Entry!$N$1125)</f>
        <v/>
      </c>
      <c r="P1122" t="str">
        <f>IF([2]Entry!$R$1125="","",[2]Entry!$R$1125)</f>
        <v/>
      </c>
    </row>
    <row r="1123" spans="10:16" x14ac:dyDescent="0.2">
      <c r="J1123" t="str">
        <f>IF([2]Entry!$C$1126="","",[2]Entry!$C$1126)</f>
        <v/>
      </c>
      <c r="K1123" t="str">
        <f>IF([2]Entry!$D$1126="","",[2]Entry!$D$1126)</f>
        <v/>
      </c>
      <c r="L1123" t="str">
        <f>IF([2]Entry!$E$1126="","",[2]Entry!$E$1126)</f>
        <v/>
      </c>
      <c r="M1123" t="str">
        <f>IF([2]Entry!$G$1126="","",[2]Entry!$G$1126)</f>
        <v/>
      </c>
      <c r="N1123" t="str">
        <f>IF([2]Entry!$M$1126="","",[2]Entry!$M$1126)</f>
        <v/>
      </c>
      <c r="O1123" t="str">
        <f>IF([2]Entry!$N$1126="","",[2]Entry!$N$1126)</f>
        <v/>
      </c>
      <c r="P1123" t="str">
        <f>IF([2]Entry!$R$1126="","",[2]Entry!$R$1126)</f>
        <v/>
      </c>
    </row>
    <row r="1124" spans="10:16" x14ac:dyDescent="0.2">
      <c r="J1124" t="str">
        <f>IF([2]Entry!$C$1127="","",[2]Entry!$C$1127)</f>
        <v/>
      </c>
      <c r="K1124" t="str">
        <f>IF([2]Entry!$D$1127="","",[2]Entry!$D$1127)</f>
        <v/>
      </c>
      <c r="L1124" t="str">
        <f>IF([2]Entry!$E$1127="","",[2]Entry!$E$1127)</f>
        <v/>
      </c>
      <c r="M1124" t="str">
        <f>IF([2]Entry!$G$1127="","",[2]Entry!$G$1127)</f>
        <v/>
      </c>
      <c r="N1124" t="str">
        <f>IF([2]Entry!$M$1127="","",[2]Entry!$M$1127)</f>
        <v/>
      </c>
      <c r="O1124" t="str">
        <f>IF([2]Entry!$N$1127="","",[2]Entry!$N$1127)</f>
        <v/>
      </c>
      <c r="P1124" t="str">
        <f>IF([2]Entry!$R$1127="","",[2]Entry!$R$1127)</f>
        <v/>
      </c>
    </row>
    <row r="1125" spans="10:16" x14ac:dyDescent="0.2">
      <c r="J1125" t="str">
        <f>IF([2]Entry!$C$1128="","",[2]Entry!$C$1128)</f>
        <v/>
      </c>
      <c r="K1125" t="str">
        <f>IF([2]Entry!$D$1128="","",[2]Entry!$D$1128)</f>
        <v/>
      </c>
      <c r="L1125" t="str">
        <f>IF([2]Entry!$E$1128="","",[2]Entry!$E$1128)</f>
        <v/>
      </c>
      <c r="M1125" t="str">
        <f>IF([2]Entry!$G$1128="","",[2]Entry!$G$1128)</f>
        <v/>
      </c>
      <c r="N1125" t="str">
        <f>IF([2]Entry!$M$1128="","",[2]Entry!$M$1128)</f>
        <v/>
      </c>
      <c r="O1125" t="str">
        <f>IF([2]Entry!$N$1128="","",[2]Entry!$N$1128)</f>
        <v/>
      </c>
      <c r="P1125" t="str">
        <f>IF([2]Entry!$R$1128="","",[2]Entry!$R$1128)</f>
        <v/>
      </c>
    </row>
    <row r="1126" spans="10:16" x14ac:dyDescent="0.2">
      <c r="J1126" t="str">
        <f>IF([2]Entry!$C$1129="","",[2]Entry!$C$1129)</f>
        <v/>
      </c>
      <c r="K1126" t="str">
        <f>IF([2]Entry!$D$1129="","",[2]Entry!$D$1129)</f>
        <v/>
      </c>
      <c r="L1126" t="str">
        <f>IF([2]Entry!$E$1129="","",[2]Entry!$E$1129)</f>
        <v/>
      </c>
      <c r="M1126" t="str">
        <f>IF([2]Entry!$G$1129="","",[2]Entry!$G$1129)</f>
        <v/>
      </c>
      <c r="N1126" t="str">
        <f>IF([2]Entry!$M$1129="","",[2]Entry!$M$1129)</f>
        <v/>
      </c>
      <c r="O1126" t="str">
        <f>IF([2]Entry!$N$1129="","",[2]Entry!$N$1129)</f>
        <v/>
      </c>
      <c r="P1126" t="str">
        <f>IF([2]Entry!$R$1129="","",[2]Entry!$R$1129)</f>
        <v/>
      </c>
    </row>
    <row r="1127" spans="10:16" x14ac:dyDescent="0.2">
      <c r="J1127" t="str">
        <f>IF([2]Entry!$C$1130="","",[2]Entry!$C$1130)</f>
        <v/>
      </c>
      <c r="K1127" t="str">
        <f>IF([2]Entry!$D$1130="","",[2]Entry!$D$1130)</f>
        <v/>
      </c>
      <c r="L1127" t="str">
        <f>IF([2]Entry!$E$1130="","",[2]Entry!$E$1130)</f>
        <v/>
      </c>
      <c r="M1127" t="str">
        <f>IF([2]Entry!$G$1130="","",[2]Entry!$G$1130)</f>
        <v/>
      </c>
      <c r="N1127" t="str">
        <f>IF([2]Entry!$M$1130="","",[2]Entry!$M$1130)</f>
        <v/>
      </c>
      <c r="O1127" t="str">
        <f>IF([2]Entry!$N$1130="","",[2]Entry!$N$1130)</f>
        <v/>
      </c>
      <c r="P1127" t="str">
        <f>IF([2]Entry!$R$1130="","",[2]Entry!$R$1130)</f>
        <v/>
      </c>
    </row>
    <row r="1128" spans="10:16" x14ac:dyDescent="0.2">
      <c r="J1128" t="str">
        <f>IF([2]Entry!$C$1131="","",[2]Entry!$C$1131)</f>
        <v/>
      </c>
      <c r="K1128" t="str">
        <f>IF([2]Entry!$D$1131="","",[2]Entry!$D$1131)</f>
        <v/>
      </c>
      <c r="L1128" t="str">
        <f>IF([2]Entry!$E$1131="","",[2]Entry!$E$1131)</f>
        <v/>
      </c>
      <c r="M1128" t="str">
        <f>IF([2]Entry!$G$1131="","",[2]Entry!$G$1131)</f>
        <v/>
      </c>
      <c r="N1128" t="str">
        <f>IF([2]Entry!$M$1131="","",[2]Entry!$M$1131)</f>
        <v/>
      </c>
      <c r="O1128" t="str">
        <f>IF([2]Entry!$N$1131="","",[2]Entry!$N$1131)</f>
        <v/>
      </c>
      <c r="P1128" t="str">
        <f>IF([2]Entry!$R$1131="","",[2]Entry!$R$1131)</f>
        <v/>
      </c>
    </row>
    <row r="1129" spans="10:16" x14ac:dyDescent="0.2">
      <c r="J1129" t="str">
        <f>IF([2]Entry!$C$1132="","",[2]Entry!$C$1132)</f>
        <v/>
      </c>
      <c r="K1129" t="str">
        <f>IF([2]Entry!$D$1132="","",[2]Entry!$D$1132)</f>
        <v/>
      </c>
      <c r="L1129" t="str">
        <f>IF([2]Entry!$E$1132="","",[2]Entry!$E$1132)</f>
        <v/>
      </c>
      <c r="M1129" t="str">
        <f>IF([2]Entry!$G$1132="","",[2]Entry!$G$1132)</f>
        <v/>
      </c>
      <c r="N1129" t="str">
        <f>IF([2]Entry!$M$1132="","",[2]Entry!$M$1132)</f>
        <v/>
      </c>
      <c r="O1129" t="str">
        <f>IF([2]Entry!$N$1132="","",[2]Entry!$N$1132)</f>
        <v/>
      </c>
      <c r="P1129" t="str">
        <f>IF([2]Entry!$R$1132="","",[2]Entry!$R$1132)</f>
        <v/>
      </c>
    </row>
    <row r="1130" spans="10:16" x14ac:dyDescent="0.2">
      <c r="J1130" t="str">
        <f>IF([2]Entry!$C$1133="","",[2]Entry!$C$1133)</f>
        <v/>
      </c>
      <c r="K1130" t="str">
        <f>IF([2]Entry!$D$1133="","",[2]Entry!$D$1133)</f>
        <v/>
      </c>
      <c r="L1130" t="str">
        <f>IF([2]Entry!$E$1133="","",[2]Entry!$E$1133)</f>
        <v/>
      </c>
      <c r="M1130" t="str">
        <f>IF([2]Entry!$G$1133="","",[2]Entry!$G$1133)</f>
        <v/>
      </c>
      <c r="N1130" t="str">
        <f>IF([2]Entry!$M$1133="","",[2]Entry!$M$1133)</f>
        <v/>
      </c>
      <c r="O1130" t="str">
        <f>IF([2]Entry!$N$1133="","",[2]Entry!$N$1133)</f>
        <v/>
      </c>
      <c r="P1130" t="str">
        <f>IF([2]Entry!$R$1133="","",[2]Entry!$R$1133)</f>
        <v/>
      </c>
    </row>
    <row r="1131" spans="10:16" x14ac:dyDescent="0.2">
      <c r="J1131" t="str">
        <f>IF([2]Entry!$C$1134="","",[2]Entry!$C$1134)</f>
        <v/>
      </c>
      <c r="K1131" t="str">
        <f>IF([2]Entry!$D$1134="","",[2]Entry!$D$1134)</f>
        <v/>
      </c>
      <c r="L1131" t="str">
        <f>IF([2]Entry!$E$1134="","",[2]Entry!$E$1134)</f>
        <v/>
      </c>
      <c r="M1131" t="str">
        <f>IF([2]Entry!$G$1134="","",[2]Entry!$G$1134)</f>
        <v/>
      </c>
      <c r="N1131" t="str">
        <f>IF([2]Entry!$M$1134="","",[2]Entry!$M$1134)</f>
        <v/>
      </c>
      <c r="O1131" t="str">
        <f>IF([2]Entry!$N$1134="","",[2]Entry!$N$1134)</f>
        <v/>
      </c>
      <c r="P1131" t="str">
        <f>IF([2]Entry!$R$1134="","",[2]Entry!$R$1134)</f>
        <v/>
      </c>
    </row>
    <row r="1132" spans="10:16" x14ac:dyDescent="0.2">
      <c r="J1132" t="str">
        <f>IF([2]Entry!$C$1135="","",[2]Entry!$C$1135)</f>
        <v/>
      </c>
      <c r="K1132" t="str">
        <f>IF([2]Entry!$D$1135="","",[2]Entry!$D$1135)</f>
        <v/>
      </c>
      <c r="L1132" t="str">
        <f>IF([2]Entry!$E$1135="","",[2]Entry!$E$1135)</f>
        <v/>
      </c>
      <c r="M1132" t="str">
        <f>IF([2]Entry!$G$1135="","",[2]Entry!$G$1135)</f>
        <v/>
      </c>
      <c r="N1132" t="str">
        <f>IF([2]Entry!$M$1135="","",[2]Entry!$M$1135)</f>
        <v/>
      </c>
      <c r="O1132" t="str">
        <f>IF([2]Entry!$N$1135="","",[2]Entry!$N$1135)</f>
        <v/>
      </c>
      <c r="P1132" t="str">
        <f>IF([2]Entry!$R$1135="","",[2]Entry!$R$1135)</f>
        <v/>
      </c>
    </row>
    <row r="1133" spans="10:16" x14ac:dyDescent="0.2">
      <c r="J1133" t="str">
        <f>IF([2]Entry!$C$1136="","",[2]Entry!$C$1136)</f>
        <v/>
      </c>
      <c r="K1133" t="str">
        <f>IF([2]Entry!$D$1136="","",[2]Entry!$D$1136)</f>
        <v/>
      </c>
      <c r="L1133" t="str">
        <f>IF([2]Entry!$E$1136="","",[2]Entry!$E$1136)</f>
        <v/>
      </c>
      <c r="M1133" t="str">
        <f>IF([2]Entry!$G$1136="","",[2]Entry!$G$1136)</f>
        <v/>
      </c>
      <c r="N1133" t="str">
        <f>IF([2]Entry!$M$1136="","",[2]Entry!$M$1136)</f>
        <v/>
      </c>
      <c r="O1133" t="str">
        <f>IF([2]Entry!$N$1136="","",[2]Entry!$N$1136)</f>
        <v/>
      </c>
      <c r="P1133" t="str">
        <f>IF([2]Entry!$R$1136="","",[2]Entry!$R$1136)</f>
        <v/>
      </c>
    </row>
    <row r="1134" spans="10:16" x14ac:dyDescent="0.2">
      <c r="J1134" t="str">
        <f>IF([2]Entry!$C$1137="","",[2]Entry!$C$1137)</f>
        <v/>
      </c>
      <c r="K1134" t="str">
        <f>IF([2]Entry!$D$1137="","",[2]Entry!$D$1137)</f>
        <v/>
      </c>
      <c r="L1134" t="str">
        <f>IF([2]Entry!$E$1137="","",[2]Entry!$E$1137)</f>
        <v/>
      </c>
      <c r="M1134" t="str">
        <f>IF([2]Entry!$G$1137="","",[2]Entry!$G$1137)</f>
        <v/>
      </c>
      <c r="N1134" t="str">
        <f>IF([2]Entry!$M$1137="","",[2]Entry!$M$1137)</f>
        <v/>
      </c>
      <c r="O1134" t="str">
        <f>IF([2]Entry!$N$1137="","",[2]Entry!$N$1137)</f>
        <v/>
      </c>
      <c r="P1134" t="str">
        <f>IF([2]Entry!$R$1137="","",[2]Entry!$R$1137)</f>
        <v/>
      </c>
    </row>
    <row r="1135" spans="10:16" x14ac:dyDescent="0.2">
      <c r="J1135" t="str">
        <f>IF([2]Entry!$C$1138="","",[2]Entry!$C$1138)</f>
        <v/>
      </c>
      <c r="K1135" t="str">
        <f>IF([2]Entry!$D$1138="","",[2]Entry!$D$1138)</f>
        <v/>
      </c>
      <c r="L1135" t="str">
        <f>IF([2]Entry!$E$1138="","",[2]Entry!$E$1138)</f>
        <v/>
      </c>
      <c r="M1135" t="str">
        <f>IF([2]Entry!$G$1138="","",[2]Entry!$G$1138)</f>
        <v/>
      </c>
      <c r="N1135" t="str">
        <f>IF([2]Entry!$M$1138="","",[2]Entry!$M$1138)</f>
        <v/>
      </c>
      <c r="O1135" t="str">
        <f>IF([2]Entry!$N$1138="","",[2]Entry!$N$1138)</f>
        <v/>
      </c>
      <c r="P1135" t="str">
        <f>IF([2]Entry!$R$1138="","",[2]Entry!$R$1138)</f>
        <v/>
      </c>
    </row>
    <row r="1136" spans="10:16" x14ac:dyDescent="0.2">
      <c r="J1136" t="str">
        <f>IF([2]Entry!$C$1139="","",[2]Entry!$C$1139)</f>
        <v/>
      </c>
      <c r="K1136" t="str">
        <f>IF([2]Entry!$D$1139="","",[2]Entry!$D$1139)</f>
        <v/>
      </c>
      <c r="L1136" t="str">
        <f>IF([2]Entry!$E$1139="","",[2]Entry!$E$1139)</f>
        <v/>
      </c>
      <c r="M1136" t="str">
        <f>IF([2]Entry!$G$1139="","",[2]Entry!$G$1139)</f>
        <v/>
      </c>
      <c r="N1136" t="str">
        <f>IF([2]Entry!$M$1139="","",[2]Entry!$M$1139)</f>
        <v/>
      </c>
      <c r="O1136" t="str">
        <f>IF([2]Entry!$N$1139="","",[2]Entry!$N$1139)</f>
        <v/>
      </c>
      <c r="P1136" t="str">
        <f>IF([2]Entry!$R$1139="","",[2]Entry!$R$1139)</f>
        <v/>
      </c>
    </row>
    <row r="1137" spans="10:16" x14ac:dyDescent="0.2">
      <c r="J1137" t="str">
        <f>IF([2]Entry!$C$1140="","",[2]Entry!$C$1140)</f>
        <v/>
      </c>
      <c r="K1137" t="str">
        <f>IF([2]Entry!$D$1140="","",[2]Entry!$D$1140)</f>
        <v/>
      </c>
      <c r="L1137" t="str">
        <f>IF([2]Entry!$E$1140="","",[2]Entry!$E$1140)</f>
        <v/>
      </c>
      <c r="M1137" t="str">
        <f>IF([2]Entry!$G$1140="","",[2]Entry!$G$1140)</f>
        <v/>
      </c>
      <c r="N1137" t="str">
        <f>IF([2]Entry!$M$1140="","",[2]Entry!$M$1140)</f>
        <v/>
      </c>
      <c r="O1137" t="str">
        <f>IF([2]Entry!$N$1140="","",[2]Entry!$N$1140)</f>
        <v/>
      </c>
      <c r="P1137" t="str">
        <f>IF([2]Entry!$R$1140="","",[2]Entry!$R$1140)</f>
        <v/>
      </c>
    </row>
    <row r="1138" spans="10:16" x14ac:dyDescent="0.2">
      <c r="J1138" t="str">
        <f>IF([2]Entry!$C$1141="","",[2]Entry!$C$1141)</f>
        <v/>
      </c>
      <c r="K1138" t="str">
        <f>IF([2]Entry!$D$1141="","",[2]Entry!$D$1141)</f>
        <v/>
      </c>
      <c r="L1138" t="str">
        <f>IF([2]Entry!$E$1141="","",[2]Entry!$E$1141)</f>
        <v/>
      </c>
      <c r="M1138" t="str">
        <f>IF([2]Entry!$G$1141="","",[2]Entry!$G$1141)</f>
        <v/>
      </c>
      <c r="N1138" t="str">
        <f>IF([2]Entry!$M$1141="","",[2]Entry!$M$1141)</f>
        <v/>
      </c>
      <c r="O1138" t="str">
        <f>IF([2]Entry!$N$1141="","",[2]Entry!$N$1141)</f>
        <v/>
      </c>
      <c r="P1138" t="str">
        <f>IF([2]Entry!$R$1141="","",[2]Entry!$R$1141)</f>
        <v/>
      </c>
    </row>
    <row r="1139" spans="10:16" x14ac:dyDescent="0.2">
      <c r="J1139" t="str">
        <f>IF([2]Entry!$C$1142="","",[2]Entry!$C$1142)</f>
        <v/>
      </c>
      <c r="K1139" t="str">
        <f>IF([2]Entry!$D$1142="","",[2]Entry!$D$1142)</f>
        <v/>
      </c>
      <c r="L1139" t="str">
        <f>IF([2]Entry!$E$1142="","",[2]Entry!$E$1142)</f>
        <v/>
      </c>
      <c r="M1139" t="str">
        <f>IF([2]Entry!$G$1142="","",[2]Entry!$G$1142)</f>
        <v/>
      </c>
      <c r="N1139" t="str">
        <f>IF([2]Entry!$M$1142="","",[2]Entry!$M$1142)</f>
        <v/>
      </c>
      <c r="O1139" t="str">
        <f>IF([2]Entry!$N$1142="","",[2]Entry!$N$1142)</f>
        <v/>
      </c>
      <c r="P1139" t="str">
        <f>IF([2]Entry!$R$1142="","",[2]Entry!$R$1142)</f>
        <v/>
      </c>
    </row>
    <row r="1140" spans="10:16" x14ac:dyDescent="0.2">
      <c r="J1140" t="str">
        <f>IF([2]Entry!$C$1143="","",[2]Entry!$C$1143)</f>
        <v/>
      </c>
      <c r="K1140" t="str">
        <f>IF([2]Entry!$D$1143="","",[2]Entry!$D$1143)</f>
        <v/>
      </c>
      <c r="L1140" t="str">
        <f>IF([2]Entry!$E$1143="","",[2]Entry!$E$1143)</f>
        <v/>
      </c>
      <c r="M1140" t="str">
        <f>IF([2]Entry!$G$1143="","",[2]Entry!$G$1143)</f>
        <v/>
      </c>
      <c r="N1140" t="str">
        <f>IF([2]Entry!$M$1143="","",[2]Entry!$M$1143)</f>
        <v/>
      </c>
      <c r="O1140" t="str">
        <f>IF([2]Entry!$N$1143="","",[2]Entry!$N$1143)</f>
        <v/>
      </c>
      <c r="P1140" t="str">
        <f>IF([2]Entry!$R$1143="","",[2]Entry!$R$1143)</f>
        <v/>
      </c>
    </row>
    <row r="1141" spans="10:16" x14ac:dyDescent="0.2">
      <c r="J1141" t="str">
        <f>IF([2]Entry!$C$1144="","",[2]Entry!$C$1144)</f>
        <v/>
      </c>
      <c r="K1141" t="str">
        <f>IF([2]Entry!$D$1144="","",[2]Entry!$D$1144)</f>
        <v/>
      </c>
      <c r="L1141" t="str">
        <f>IF([2]Entry!$E$1144="","",[2]Entry!$E$1144)</f>
        <v/>
      </c>
      <c r="M1141" t="str">
        <f>IF([2]Entry!$G$1144="","",[2]Entry!$G$1144)</f>
        <v/>
      </c>
      <c r="N1141" t="str">
        <f>IF([2]Entry!$M$1144="","",[2]Entry!$M$1144)</f>
        <v/>
      </c>
      <c r="O1141" t="str">
        <f>IF([2]Entry!$N$1144="","",[2]Entry!$N$1144)</f>
        <v/>
      </c>
      <c r="P1141" t="str">
        <f>IF([2]Entry!$R$1144="","",[2]Entry!$R$1144)</f>
        <v/>
      </c>
    </row>
    <row r="1142" spans="10:16" x14ac:dyDescent="0.2">
      <c r="J1142" t="str">
        <f>IF([2]Entry!$C$1145="","",[2]Entry!$C$1145)</f>
        <v/>
      </c>
      <c r="K1142" t="str">
        <f>IF([2]Entry!$D$1145="","",[2]Entry!$D$1145)</f>
        <v/>
      </c>
      <c r="L1142" t="str">
        <f>IF([2]Entry!$E$1145="","",[2]Entry!$E$1145)</f>
        <v/>
      </c>
      <c r="M1142" t="str">
        <f>IF([2]Entry!$G$1145="","",[2]Entry!$G$1145)</f>
        <v/>
      </c>
      <c r="N1142" t="str">
        <f>IF([2]Entry!$M$1145="","",[2]Entry!$M$1145)</f>
        <v/>
      </c>
      <c r="O1142" t="str">
        <f>IF([2]Entry!$N$1145="","",[2]Entry!$N$1145)</f>
        <v/>
      </c>
      <c r="P1142" t="str">
        <f>IF([2]Entry!$R$1145="","",[2]Entry!$R$1145)</f>
        <v/>
      </c>
    </row>
    <row r="1143" spans="10:16" x14ac:dyDescent="0.2">
      <c r="J1143" t="str">
        <f>IF([2]Entry!$C$1146="","",[2]Entry!$C$1146)</f>
        <v/>
      </c>
      <c r="K1143" t="str">
        <f>IF([2]Entry!$D$1146="","",[2]Entry!$D$1146)</f>
        <v/>
      </c>
      <c r="L1143" t="str">
        <f>IF([2]Entry!$E$1146="","",[2]Entry!$E$1146)</f>
        <v/>
      </c>
      <c r="M1143" t="str">
        <f>IF([2]Entry!$G$1146="","",[2]Entry!$G$1146)</f>
        <v/>
      </c>
      <c r="N1143" t="str">
        <f>IF([2]Entry!$M$1146="","",[2]Entry!$M$1146)</f>
        <v/>
      </c>
      <c r="O1143" t="str">
        <f>IF([2]Entry!$N$1146="","",[2]Entry!$N$1146)</f>
        <v/>
      </c>
      <c r="P1143" t="str">
        <f>IF([2]Entry!$R$1146="","",[2]Entry!$R$1146)</f>
        <v/>
      </c>
    </row>
    <row r="1144" spans="10:16" x14ac:dyDescent="0.2">
      <c r="J1144" t="str">
        <f>IF([2]Entry!$C$1147="","",[2]Entry!$C$1147)</f>
        <v/>
      </c>
      <c r="K1144" t="str">
        <f>IF([2]Entry!$D$1147="","",[2]Entry!$D$1147)</f>
        <v/>
      </c>
      <c r="L1144" t="str">
        <f>IF([2]Entry!$E$1147="","",[2]Entry!$E$1147)</f>
        <v/>
      </c>
      <c r="M1144" t="str">
        <f>IF([2]Entry!$G$1147="","",[2]Entry!$G$1147)</f>
        <v/>
      </c>
      <c r="N1144" t="str">
        <f>IF([2]Entry!$M$1147="","",[2]Entry!$M$1147)</f>
        <v/>
      </c>
      <c r="O1144" t="str">
        <f>IF([2]Entry!$N$1147="","",[2]Entry!$N$1147)</f>
        <v/>
      </c>
      <c r="P1144" t="str">
        <f>IF([2]Entry!$R$1147="","",[2]Entry!$R$1147)</f>
        <v/>
      </c>
    </row>
    <row r="1145" spans="10:16" x14ac:dyDescent="0.2">
      <c r="J1145" t="str">
        <f>IF([2]Entry!$C$1148="","",[2]Entry!$C$1148)</f>
        <v/>
      </c>
      <c r="K1145" t="str">
        <f>IF([2]Entry!$D$1148="","",[2]Entry!$D$1148)</f>
        <v/>
      </c>
      <c r="L1145" t="str">
        <f>IF([2]Entry!$E$1148="","",[2]Entry!$E$1148)</f>
        <v/>
      </c>
      <c r="M1145" t="str">
        <f>IF([2]Entry!$G$1148="","",[2]Entry!$G$1148)</f>
        <v/>
      </c>
      <c r="N1145" t="str">
        <f>IF([2]Entry!$M$1148="","",[2]Entry!$M$1148)</f>
        <v/>
      </c>
      <c r="O1145" t="str">
        <f>IF([2]Entry!$N$1148="","",[2]Entry!$N$1148)</f>
        <v/>
      </c>
      <c r="P1145" t="str">
        <f>IF([2]Entry!$R$1148="","",[2]Entry!$R$1148)</f>
        <v/>
      </c>
    </row>
    <row r="1146" spans="10:16" x14ac:dyDescent="0.2">
      <c r="J1146" t="str">
        <f>IF([2]Entry!$C$1149="","",[2]Entry!$C$1149)</f>
        <v/>
      </c>
      <c r="K1146" t="str">
        <f>IF([2]Entry!$D$1149="","",[2]Entry!$D$1149)</f>
        <v/>
      </c>
      <c r="L1146" t="str">
        <f>IF([2]Entry!$E$1149="","",[2]Entry!$E$1149)</f>
        <v/>
      </c>
      <c r="M1146" t="str">
        <f>IF([2]Entry!$G$1149="","",[2]Entry!$G$1149)</f>
        <v/>
      </c>
      <c r="N1146" t="str">
        <f>IF([2]Entry!$M$1149="","",[2]Entry!$M$1149)</f>
        <v/>
      </c>
      <c r="O1146" t="str">
        <f>IF([2]Entry!$N$1149="","",[2]Entry!$N$1149)</f>
        <v/>
      </c>
      <c r="P1146" t="str">
        <f>IF([2]Entry!$R$1149="","",[2]Entry!$R$1149)</f>
        <v/>
      </c>
    </row>
    <row r="1147" spans="10:16" x14ac:dyDescent="0.2">
      <c r="J1147" t="str">
        <f>IF([2]Entry!$C$1150="","",[2]Entry!$C$1150)</f>
        <v/>
      </c>
      <c r="K1147" t="str">
        <f>IF([2]Entry!$D$1150="","",[2]Entry!$D$1150)</f>
        <v/>
      </c>
      <c r="L1147" t="str">
        <f>IF([2]Entry!$E$1150="","",[2]Entry!$E$1150)</f>
        <v/>
      </c>
      <c r="M1147" t="str">
        <f>IF([2]Entry!$G$1150="","",[2]Entry!$G$1150)</f>
        <v/>
      </c>
      <c r="N1147" t="str">
        <f>IF([2]Entry!$M$1150="","",[2]Entry!$M$1150)</f>
        <v/>
      </c>
      <c r="O1147" t="str">
        <f>IF([2]Entry!$N$1150="","",[2]Entry!$N$1150)</f>
        <v/>
      </c>
      <c r="P1147" t="str">
        <f>IF([2]Entry!$R$1150="","",[2]Entry!$R$1150)</f>
        <v/>
      </c>
    </row>
    <row r="1148" spans="10:16" x14ac:dyDescent="0.2">
      <c r="J1148" t="str">
        <f>IF([2]Entry!$C$1151="","",[2]Entry!$C$1151)</f>
        <v/>
      </c>
      <c r="K1148" t="str">
        <f>IF([2]Entry!$D$1151="","",[2]Entry!$D$1151)</f>
        <v/>
      </c>
      <c r="L1148" t="str">
        <f>IF([2]Entry!$E$1151="","",[2]Entry!$E$1151)</f>
        <v/>
      </c>
      <c r="M1148" t="str">
        <f>IF([2]Entry!$G$1151="","",[2]Entry!$G$1151)</f>
        <v/>
      </c>
      <c r="N1148" t="str">
        <f>IF([2]Entry!$M$1151="","",[2]Entry!$M$1151)</f>
        <v/>
      </c>
      <c r="O1148" t="str">
        <f>IF([2]Entry!$N$1151="","",[2]Entry!$N$1151)</f>
        <v/>
      </c>
      <c r="P1148" t="str">
        <f>IF([2]Entry!$R$1151="","",[2]Entry!$R$1151)</f>
        <v/>
      </c>
    </row>
    <row r="1149" spans="10:16" x14ac:dyDescent="0.2">
      <c r="J1149" t="str">
        <f>IF([2]Entry!$C$1152="","",[2]Entry!$C$1152)</f>
        <v/>
      </c>
      <c r="K1149" t="str">
        <f>IF([2]Entry!$D$1152="","",[2]Entry!$D$1152)</f>
        <v/>
      </c>
      <c r="L1149" t="str">
        <f>IF([2]Entry!$E$1152="","",[2]Entry!$E$1152)</f>
        <v/>
      </c>
      <c r="M1149" t="str">
        <f>IF([2]Entry!$G$1152="","",[2]Entry!$G$1152)</f>
        <v/>
      </c>
      <c r="N1149" t="str">
        <f>IF([2]Entry!$M$1152="","",[2]Entry!$M$1152)</f>
        <v/>
      </c>
      <c r="O1149" t="str">
        <f>IF([2]Entry!$N$1152="","",[2]Entry!$N$1152)</f>
        <v/>
      </c>
      <c r="P1149" t="str">
        <f>IF([2]Entry!$R$1152="","",[2]Entry!$R$1152)</f>
        <v/>
      </c>
    </row>
    <row r="1150" spans="10:16" x14ac:dyDescent="0.2">
      <c r="J1150" t="str">
        <f>IF([2]Entry!$C$1153="","",[2]Entry!$C$1153)</f>
        <v/>
      </c>
      <c r="K1150" t="str">
        <f>IF([2]Entry!$D$1153="","",[2]Entry!$D$1153)</f>
        <v/>
      </c>
      <c r="L1150" t="str">
        <f>IF([2]Entry!$E$1153="","",[2]Entry!$E$1153)</f>
        <v/>
      </c>
      <c r="M1150" t="str">
        <f>IF([2]Entry!$G$1153="","",[2]Entry!$G$1153)</f>
        <v/>
      </c>
      <c r="N1150" t="str">
        <f>IF([2]Entry!$M$1153="","",[2]Entry!$M$1153)</f>
        <v/>
      </c>
      <c r="O1150" t="str">
        <f>IF([2]Entry!$N$1153="","",[2]Entry!$N$1153)</f>
        <v/>
      </c>
      <c r="P1150" t="str">
        <f>IF([2]Entry!$R$1153="","",[2]Entry!$R$1153)</f>
        <v/>
      </c>
    </row>
    <row r="1151" spans="10:16" x14ac:dyDescent="0.2">
      <c r="J1151" t="str">
        <f>IF([2]Entry!$C$1154="","",[2]Entry!$C$1154)</f>
        <v/>
      </c>
      <c r="K1151" t="str">
        <f>IF([2]Entry!$D$1154="","",[2]Entry!$D$1154)</f>
        <v/>
      </c>
      <c r="L1151" t="str">
        <f>IF([2]Entry!$E$1154="","",[2]Entry!$E$1154)</f>
        <v/>
      </c>
      <c r="M1151" t="str">
        <f>IF([2]Entry!$G$1154="","",[2]Entry!$G$1154)</f>
        <v/>
      </c>
      <c r="N1151" t="str">
        <f>IF([2]Entry!$M$1154="","",[2]Entry!$M$1154)</f>
        <v/>
      </c>
      <c r="O1151" t="str">
        <f>IF([2]Entry!$N$1154="","",[2]Entry!$N$1154)</f>
        <v/>
      </c>
      <c r="P1151" t="str">
        <f>IF([2]Entry!$R$1154="","",[2]Entry!$R$1154)</f>
        <v/>
      </c>
    </row>
    <row r="1152" spans="10:16" x14ac:dyDescent="0.2">
      <c r="J1152" t="str">
        <f>IF([2]Entry!$C$1155="","",[2]Entry!$C$1155)</f>
        <v/>
      </c>
      <c r="K1152" t="str">
        <f>IF([2]Entry!$D$1155="","",[2]Entry!$D$1155)</f>
        <v/>
      </c>
      <c r="L1152" t="str">
        <f>IF([2]Entry!$E$1155="","",[2]Entry!$E$1155)</f>
        <v/>
      </c>
      <c r="M1152" t="str">
        <f>IF([2]Entry!$G$1155="","",[2]Entry!$G$1155)</f>
        <v/>
      </c>
      <c r="N1152" t="str">
        <f>IF([2]Entry!$M$1155="","",[2]Entry!$M$1155)</f>
        <v/>
      </c>
      <c r="O1152" t="str">
        <f>IF([2]Entry!$N$1155="","",[2]Entry!$N$1155)</f>
        <v/>
      </c>
      <c r="P1152" t="str">
        <f>IF([2]Entry!$R$1155="","",[2]Entry!$R$1155)</f>
        <v/>
      </c>
    </row>
    <row r="1153" spans="10:16" x14ac:dyDescent="0.2">
      <c r="J1153" t="str">
        <f>IF([2]Entry!$C$1156="","",[2]Entry!$C$1156)</f>
        <v/>
      </c>
      <c r="K1153" t="str">
        <f>IF([2]Entry!$D$1156="","",[2]Entry!$D$1156)</f>
        <v/>
      </c>
      <c r="L1153" t="str">
        <f>IF([2]Entry!$E$1156="","",[2]Entry!$E$1156)</f>
        <v/>
      </c>
      <c r="M1153" t="str">
        <f>IF([2]Entry!$G$1156="","",[2]Entry!$G$1156)</f>
        <v/>
      </c>
      <c r="N1153" t="str">
        <f>IF([2]Entry!$M$1156="","",[2]Entry!$M$1156)</f>
        <v/>
      </c>
      <c r="O1153" t="str">
        <f>IF([2]Entry!$N$1156="","",[2]Entry!$N$1156)</f>
        <v/>
      </c>
      <c r="P1153" t="str">
        <f>IF([2]Entry!$R$1156="","",[2]Entry!$R$1156)</f>
        <v/>
      </c>
    </row>
    <row r="1154" spans="10:16" x14ac:dyDescent="0.2">
      <c r="J1154" t="str">
        <f>IF([2]Entry!$C$1157="","",[2]Entry!$C$1157)</f>
        <v/>
      </c>
      <c r="K1154" t="str">
        <f>IF([2]Entry!$D$1157="","",[2]Entry!$D$1157)</f>
        <v/>
      </c>
      <c r="L1154" t="str">
        <f>IF([2]Entry!$E$1157="","",[2]Entry!$E$1157)</f>
        <v/>
      </c>
      <c r="M1154" t="str">
        <f>IF([2]Entry!$G$1157="","",[2]Entry!$G$1157)</f>
        <v/>
      </c>
      <c r="N1154" t="str">
        <f>IF([2]Entry!$M$1157="","",[2]Entry!$M$1157)</f>
        <v/>
      </c>
      <c r="O1154" t="str">
        <f>IF([2]Entry!$N$1157="","",[2]Entry!$N$1157)</f>
        <v/>
      </c>
      <c r="P1154" t="str">
        <f>IF([2]Entry!$R$1157="","",[2]Entry!$R$1157)</f>
        <v/>
      </c>
    </row>
    <row r="1155" spans="10:16" x14ac:dyDescent="0.2">
      <c r="J1155" t="str">
        <f>IF([2]Entry!$C$1158="","",[2]Entry!$C$1158)</f>
        <v/>
      </c>
      <c r="K1155" t="str">
        <f>IF([2]Entry!$D$1158="","",[2]Entry!$D$1158)</f>
        <v/>
      </c>
      <c r="L1155" t="str">
        <f>IF([2]Entry!$E$1158="","",[2]Entry!$E$1158)</f>
        <v/>
      </c>
      <c r="M1155" t="str">
        <f>IF([2]Entry!$G$1158="","",[2]Entry!$G$1158)</f>
        <v/>
      </c>
      <c r="N1155" t="str">
        <f>IF([2]Entry!$M$1158="","",[2]Entry!$M$1158)</f>
        <v/>
      </c>
      <c r="O1155" t="str">
        <f>IF([2]Entry!$N$1158="","",[2]Entry!$N$1158)</f>
        <v/>
      </c>
      <c r="P1155" t="str">
        <f>IF([2]Entry!$R$1158="","",[2]Entry!$R$1158)</f>
        <v/>
      </c>
    </row>
    <row r="1156" spans="10:16" x14ac:dyDescent="0.2">
      <c r="J1156" t="str">
        <f>IF([2]Entry!$C$1159="","",[2]Entry!$C$1159)</f>
        <v/>
      </c>
      <c r="K1156" t="str">
        <f>IF([2]Entry!$D$1159="","",[2]Entry!$D$1159)</f>
        <v/>
      </c>
      <c r="L1156" t="str">
        <f>IF([2]Entry!$E$1159="","",[2]Entry!$E$1159)</f>
        <v/>
      </c>
      <c r="M1156" t="str">
        <f>IF([2]Entry!$G$1159="","",[2]Entry!$G$1159)</f>
        <v/>
      </c>
      <c r="N1156" t="str">
        <f>IF([2]Entry!$M$1159="","",[2]Entry!$M$1159)</f>
        <v/>
      </c>
      <c r="O1156" t="str">
        <f>IF([2]Entry!$N$1159="","",[2]Entry!$N$1159)</f>
        <v/>
      </c>
      <c r="P1156" t="str">
        <f>IF([2]Entry!$R$1159="","",[2]Entry!$R$1159)</f>
        <v/>
      </c>
    </row>
    <row r="1157" spans="10:16" x14ac:dyDescent="0.2">
      <c r="J1157" t="str">
        <f>IF([2]Entry!$C$1160="","",[2]Entry!$C$1160)</f>
        <v/>
      </c>
      <c r="K1157" t="str">
        <f>IF([2]Entry!$D$1160="","",[2]Entry!$D$1160)</f>
        <v/>
      </c>
      <c r="L1157" t="str">
        <f>IF([2]Entry!$E$1160="","",[2]Entry!$E$1160)</f>
        <v/>
      </c>
      <c r="M1157" t="str">
        <f>IF([2]Entry!$G$1160="","",[2]Entry!$G$1160)</f>
        <v/>
      </c>
      <c r="N1157" t="str">
        <f>IF([2]Entry!$M$1160="","",[2]Entry!$M$1160)</f>
        <v/>
      </c>
      <c r="O1157" t="str">
        <f>IF([2]Entry!$N$1160="","",[2]Entry!$N$1160)</f>
        <v/>
      </c>
      <c r="P1157" t="str">
        <f>IF([2]Entry!$R$1160="","",[2]Entry!$R$1160)</f>
        <v/>
      </c>
    </row>
    <row r="1158" spans="10:16" x14ac:dyDescent="0.2">
      <c r="J1158" t="str">
        <f>IF([2]Entry!$C$1161="","",[2]Entry!$C$1161)</f>
        <v/>
      </c>
      <c r="K1158" t="str">
        <f>IF([2]Entry!$D$1161="","",[2]Entry!$D$1161)</f>
        <v/>
      </c>
      <c r="L1158" t="str">
        <f>IF([2]Entry!$E$1161="","",[2]Entry!$E$1161)</f>
        <v/>
      </c>
      <c r="M1158" t="str">
        <f>IF([2]Entry!$G$1161="","",[2]Entry!$G$1161)</f>
        <v/>
      </c>
      <c r="N1158" t="str">
        <f>IF([2]Entry!$M$1161="","",[2]Entry!$M$1161)</f>
        <v/>
      </c>
      <c r="O1158" t="str">
        <f>IF([2]Entry!$N$1161="","",[2]Entry!$N$1161)</f>
        <v/>
      </c>
      <c r="P1158" t="str">
        <f>IF([2]Entry!$R$1161="","",[2]Entry!$R$1161)</f>
        <v/>
      </c>
    </row>
    <row r="1159" spans="10:16" x14ac:dyDescent="0.2">
      <c r="J1159" t="str">
        <f>IF([2]Entry!$C$1162="","",[2]Entry!$C$1162)</f>
        <v/>
      </c>
      <c r="K1159" t="str">
        <f>IF([2]Entry!$D$1162="","",[2]Entry!$D$1162)</f>
        <v/>
      </c>
      <c r="L1159" t="str">
        <f>IF([2]Entry!$E$1162="","",[2]Entry!$E$1162)</f>
        <v/>
      </c>
      <c r="M1159" t="str">
        <f>IF([2]Entry!$G$1162="","",[2]Entry!$G$1162)</f>
        <v/>
      </c>
      <c r="N1159" t="str">
        <f>IF([2]Entry!$M$1162="","",[2]Entry!$M$1162)</f>
        <v/>
      </c>
      <c r="O1159" t="str">
        <f>IF([2]Entry!$N$1162="","",[2]Entry!$N$1162)</f>
        <v/>
      </c>
      <c r="P1159" t="str">
        <f>IF([2]Entry!$R$1162="","",[2]Entry!$R$1162)</f>
        <v/>
      </c>
    </row>
    <row r="1160" spans="10:16" x14ac:dyDescent="0.2">
      <c r="J1160" t="str">
        <f>IF([2]Entry!$C$1163="","",[2]Entry!$C$1163)</f>
        <v/>
      </c>
      <c r="K1160" t="str">
        <f>IF([2]Entry!$D$1163="","",[2]Entry!$D$1163)</f>
        <v/>
      </c>
      <c r="L1160" t="str">
        <f>IF([2]Entry!$E$1163="","",[2]Entry!$E$1163)</f>
        <v/>
      </c>
      <c r="M1160" t="str">
        <f>IF([2]Entry!$G$1163="","",[2]Entry!$G$1163)</f>
        <v/>
      </c>
      <c r="N1160" t="str">
        <f>IF([2]Entry!$M$1163="","",[2]Entry!$M$1163)</f>
        <v/>
      </c>
      <c r="O1160" t="str">
        <f>IF([2]Entry!$N$1163="","",[2]Entry!$N$1163)</f>
        <v/>
      </c>
      <c r="P1160" t="str">
        <f>IF([2]Entry!$R$1163="","",[2]Entry!$R$1163)</f>
        <v/>
      </c>
    </row>
    <row r="1161" spans="10:16" x14ac:dyDescent="0.2">
      <c r="J1161" t="str">
        <f>IF([2]Entry!$C$1164="","",[2]Entry!$C$1164)</f>
        <v/>
      </c>
      <c r="K1161" t="str">
        <f>IF([2]Entry!$D$1164="","",[2]Entry!$D$1164)</f>
        <v/>
      </c>
      <c r="L1161" t="str">
        <f>IF([2]Entry!$E$1164="","",[2]Entry!$E$1164)</f>
        <v/>
      </c>
      <c r="M1161" t="str">
        <f>IF([2]Entry!$G$1164="","",[2]Entry!$G$1164)</f>
        <v/>
      </c>
      <c r="N1161" t="str">
        <f>IF([2]Entry!$M$1164="","",[2]Entry!$M$1164)</f>
        <v/>
      </c>
      <c r="O1161" t="str">
        <f>IF([2]Entry!$N$1164="","",[2]Entry!$N$1164)</f>
        <v/>
      </c>
      <c r="P1161" t="str">
        <f>IF([2]Entry!$R$1164="","",[2]Entry!$R$1164)</f>
        <v/>
      </c>
    </row>
    <row r="1162" spans="10:16" x14ac:dyDescent="0.2">
      <c r="J1162" t="str">
        <f>IF([2]Entry!$C$1165="","",[2]Entry!$C$1165)</f>
        <v/>
      </c>
      <c r="K1162" t="str">
        <f>IF([2]Entry!$D$1165="","",[2]Entry!$D$1165)</f>
        <v/>
      </c>
      <c r="L1162" t="str">
        <f>IF([2]Entry!$E$1165="","",[2]Entry!$E$1165)</f>
        <v/>
      </c>
      <c r="M1162" t="str">
        <f>IF([2]Entry!$G$1165="","",[2]Entry!$G$1165)</f>
        <v/>
      </c>
      <c r="N1162" t="str">
        <f>IF([2]Entry!$M$1165="","",[2]Entry!$M$1165)</f>
        <v/>
      </c>
      <c r="O1162" t="str">
        <f>IF([2]Entry!$N$1165="","",[2]Entry!$N$1165)</f>
        <v/>
      </c>
      <c r="P1162" t="str">
        <f>IF([2]Entry!$R$1165="","",[2]Entry!$R$1165)</f>
        <v/>
      </c>
    </row>
    <row r="1163" spans="10:16" x14ac:dyDescent="0.2">
      <c r="J1163" t="str">
        <f>IF([2]Entry!$C$1166="","",[2]Entry!$C$1166)</f>
        <v/>
      </c>
      <c r="K1163" t="str">
        <f>IF([2]Entry!$D$1166="","",[2]Entry!$D$1166)</f>
        <v/>
      </c>
      <c r="L1163" t="str">
        <f>IF([2]Entry!$E$1166="","",[2]Entry!$E$1166)</f>
        <v/>
      </c>
      <c r="M1163" t="str">
        <f>IF([2]Entry!$G$1166="","",[2]Entry!$G$1166)</f>
        <v/>
      </c>
      <c r="N1163" t="str">
        <f>IF([2]Entry!$M$1166="","",[2]Entry!$M$1166)</f>
        <v/>
      </c>
      <c r="O1163" t="str">
        <f>IF([2]Entry!$N$1166="","",[2]Entry!$N$1166)</f>
        <v/>
      </c>
      <c r="P1163" t="str">
        <f>IF([2]Entry!$R$1166="","",[2]Entry!$R$1166)</f>
        <v/>
      </c>
    </row>
    <row r="1164" spans="10:16" x14ac:dyDescent="0.2">
      <c r="J1164" t="str">
        <f>IF([2]Entry!$C$1167="","",[2]Entry!$C$1167)</f>
        <v/>
      </c>
      <c r="K1164" t="str">
        <f>IF([2]Entry!$D$1167="","",[2]Entry!$D$1167)</f>
        <v/>
      </c>
      <c r="L1164" t="str">
        <f>IF([2]Entry!$E$1167="","",[2]Entry!$E$1167)</f>
        <v/>
      </c>
      <c r="M1164" t="str">
        <f>IF([2]Entry!$G$1167="","",[2]Entry!$G$1167)</f>
        <v/>
      </c>
      <c r="N1164" t="str">
        <f>IF([2]Entry!$M$1167="","",[2]Entry!$M$1167)</f>
        <v/>
      </c>
      <c r="O1164" t="str">
        <f>IF([2]Entry!$N$1167="","",[2]Entry!$N$1167)</f>
        <v/>
      </c>
      <c r="P1164" t="str">
        <f>IF([2]Entry!$R$1167="","",[2]Entry!$R$1167)</f>
        <v/>
      </c>
    </row>
    <row r="1165" spans="10:16" x14ac:dyDescent="0.2">
      <c r="J1165" t="str">
        <f>IF([2]Entry!$C$1168="","",[2]Entry!$C$1168)</f>
        <v/>
      </c>
      <c r="K1165" t="str">
        <f>IF([2]Entry!$D$1168="","",[2]Entry!$D$1168)</f>
        <v/>
      </c>
      <c r="L1165" t="str">
        <f>IF([2]Entry!$E$1168="","",[2]Entry!$E$1168)</f>
        <v/>
      </c>
      <c r="M1165" t="str">
        <f>IF([2]Entry!$G$1168="","",[2]Entry!$G$1168)</f>
        <v/>
      </c>
      <c r="N1165" t="str">
        <f>IF([2]Entry!$M$1168="","",[2]Entry!$M$1168)</f>
        <v/>
      </c>
      <c r="O1165" t="str">
        <f>IF([2]Entry!$N$1168="","",[2]Entry!$N$1168)</f>
        <v/>
      </c>
      <c r="P1165" t="str">
        <f>IF([2]Entry!$R$1168="","",[2]Entry!$R$1168)</f>
        <v/>
      </c>
    </row>
    <row r="1166" spans="10:16" x14ac:dyDescent="0.2">
      <c r="J1166" t="str">
        <f>IF([2]Entry!$C$1169="","",[2]Entry!$C$1169)</f>
        <v/>
      </c>
      <c r="K1166" t="str">
        <f>IF([2]Entry!$D$1169="","",[2]Entry!$D$1169)</f>
        <v/>
      </c>
      <c r="L1166" t="str">
        <f>IF([2]Entry!$E$1169="","",[2]Entry!$E$1169)</f>
        <v/>
      </c>
      <c r="M1166" t="str">
        <f>IF([2]Entry!$G$1169="","",[2]Entry!$G$1169)</f>
        <v/>
      </c>
      <c r="N1166" t="str">
        <f>IF([2]Entry!$M$1169="","",[2]Entry!$M$1169)</f>
        <v/>
      </c>
      <c r="O1166" t="str">
        <f>IF([2]Entry!$N$1169="","",[2]Entry!$N$1169)</f>
        <v/>
      </c>
      <c r="P1166" t="str">
        <f>IF([2]Entry!$R$1169="","",[2]Entry!$R$1169)</f>
        <v/>
      </c>
    </row>
    <row r="1167" spans="10:16" x14ac:dyDescent="0.2">
      <c r="J1167" t="str">
        <f>IF([2]Entry!$C$1170="","",[2]Entry!$C$1170)</f>
        <v/>
      </c>
      <c r="K1167" t="str">
        <f>IF([2]Entry!$D$1170="","",[2]Entry!$D$1170)</f>
        <v/>
      </c>
      <c r="L1167" t="str">
        <f>IF([2]Entry!$E$1170="","",[2]Entry!$E$1170)</f>
        <v/>
      </c>
      <c r="M1167" t="str">
        <f>IF([2]Entry!$G$1170="","",[2]Entry!$G$1170)</f>
        <v/>
      </c>
      <c r="N1167" t="str">
        <f>IF([2]Entry!$M$1170="","",[2]Entry!$M$1170)</f>
        <v/>
      </c>
      <c r="O1167" t="str">
        <f>IF([2]Entry!$N$1170="","",[2]Entry!$N$1170)</f>
        <v/>
      </c>
      <c r="P1167" t="str">
        <f>IF([2]Entry!$R$1170="","",[2]Entry!$R$1170)</f>
        <v/>
      </c>
    </row>
    <row r="1168" spans="10:16" x14ac:dyDescent="0.2">
      <c r="J1168" t="str">
        <f>IF([2]Entry!$C$1171="","",[2]Entry!$C$1171)</f>
        <v/>
      </c>
      <c r="K1168" t="str">
        <f>IF([2]Entry!$D$1171="","",[2]Entry!$D$1171)</f>
        <v/>
      </c>
      <c r="L1168" t="str">
        <f>IF([2]Entry!$E$1171="","",[2]Entry!$E$1171)</f>
        <v/>
      </c>
      <c r="M1168" t="str">
        <f>IF([2]Entry!$G$1171="","",[2]Entry!$G$1171)</f>
        <v/>
      </c>
      <c r="N1168" t="str">
        <f>IF([2]Entry!$M$1171="","",[2]Entry!$M$1171)</f>
        <v/>
      </c>
      <c r="O1168" t="str">
        <f>IF([2]Entry!$N$1171="","",[2]Entry!$N$1171)</f>
        <v/>
      </c>
      <c r="P1168" t="str">
        <f>IF([2]Entry!$R$1171="","",[2]Entry!$R$1171)</f>
        <v/>
      </c>
    </row>
    <row r="1169" spans="10:16" x14ac:dyDescent="0.2">
      <c r="J1169" t="str">
        <f>IF([2]Entry!$C$1172="","",[2]Entry!$C$1172)</f>
        <v/>
      </c>
      <c r="K1169" t="str">
        <f>IF([2]Entry!$D$1172="","",[2]Entry!$D$1172)</f>
        <v/>
      </c>
      <c r="L1169" t="str">
        <f>IF([2]Entry!$E$1172="","",[2]Entry!$E$1172)</f>
        <v/>
      </c>
      <c r="M1169" t="str">
        <f>IF([2]Entry!$G$1172="","",[2]Entry!$G$1172)</f>
        <v/>
      </c>
      <c r="N1169" t="str">
        <f>IF([2]Entry!$M$1172="","",[2]Entry!$M$1172)</f>
        <v/>
      </c>
      <c r="O1169" t="str">
        <f>IF([2]Entry!$N$1172="","",[2]Entry!$N$1172)</f>
        <v/>
      </c>
      <c r="P1169" t="str">
        <f>IF([2]Entry!$R$1172="","",[2]Entry!$R$1172)</f>
        <v/>
      </c>
    </row>
    <row r="1170" spans="10:16" x14ac:dyDescent="0.2">
      <c r="J1170" t="str">
        <f>IF([2]Entry!$C$1173="","",[2]Entry!$C$1173)</f>
        <v/>
      </c>
      <c r="K1170" t="str">
        <f>IF([2]Entry!$D$1173="","",[2]Entry!$D$1173)</f>
        <v/>
      </c>
      <c r="L1170" t="str">
        <f>IF([2]Entry!$E$1173="","",[2]Entry!$E$1173)</f>
        <v/>
      </c>
      <c r="M1170" t="str">
        <f>IF([2]Entry!$G$1173="","",[2]Entry!$G$1173)</f>
        <v/>
      </c>
      <c r="N1170" t="str">
        <f>IF([2]Entry!$M$1173="","",[2]Entry!$M$1173)</f>
        <v/>
      </c>
      <c r="O1170" t="str">
        <f>IF([2]Entry!$N$1173="","",[2]Entry!$N$1173)</f>
        <v/>
      </c>
      <c r="P1170" t="str">
        <f>IF([2]Entry!$R$1173="","",[2]Entry!$R$1173)</f>
        <v/>
      </c>
    </row>
    <row r="1171" spans="10:16" x14ac:dyDescent="0.2">
      <c r="J1171" t="str">
        <f>IF([2]Entry!$C$1174="","",[2]Entry!$C$1174)</f>
        <v/>
      </c>
      <c r="K1171" t="str">
        <f>IF([2]Entry!$D$1174="","",[2]Entry!$D$1174)</f>
        <v/>
      </c>
      <c r="L1171" t="str">
        <f>IF([2]Entry!$E$1174="","",[2]Entry!$E$1174)</f>
        <v/>
      </c>
      <c r="M1171" t="str">
        <f>IF([2]Entry!$G$1174="","",[2]Entry!$G$1174)</f>
        <v/>
      </c>
      <c r="N1171" t="str">
        <f>IF([2]Entry!$M$1174="","",[2]Entry!$M$1174)</f>
        <v/>
      </c>
      <c r="O1171" t="str">
        <f>IF([2]Entry!$N$1174="","",[2]Entry!$N$1174)</f>
        <v/>
      </c>
      <c r="P1171" t="str">
        <f>IF([2]Entry!$R$1174="","",[2]Entry!$R$1174)</f>
        <v/>
      </c>
    </row>
    <row r="1172" spans="10:16" x14ac:dyDescent="0.2">
      <c r="J1172" t="str">
        <f>IF([2]Entry!$C$1175="","",[2]Entry!$C$1175)</f>
        <v/>
      </c>
      <c r="K1172" t="str">
        <f>IF([2]Entry!$D$1175="","",[2]Entry!$D$1175)</f>
        <v/>
      </c>
      <c r="L1172" t="str">
        <f>IF([2]Entry!$E$1175="","",[2]Entry!$E$1175)</f>
        <v/>
      </c>
      <c r="M1172" t="str">
        <f>IF([2]Entry!$G$1175="","",[2]Entry!$G$1175)</f>
        <v/>
      </c>
      <c r="N1172" t="str">
        <f>IF([2]Entry!$M$1175="","",[2]Entry!$M$1175)</f>
        <v/>
      </c>
      <c r="O1172" t="str">
        <f>IF([2]Entry!$N$1175="","",[2]Entry!$N$1175)</f>
        <v/>
      </c>
      <c r="P1172" t="str">
        <f>IF([2]Entry!$R$1175="","",[2]Entry!$R$1175)</f>
        <v/>
      </c>
    </row>
    <row r="1173" spans="10:16" x14ac:dyDescent="0.2">
      <c r="J1173" t="str">
        <f>IF([2]Entry!$C$1176="","",[2]Entry!$C$1176)</f>
        <v/>
      </c>
      <c r="K1173" t="str">
        <f>IF([2]Entry!$D$1176="","",[2]Entry!$D$1176)</f>
        <v/>
      </c>
      <c r="L1173" t="str">
        <f>IF([2]Entry!$E$1176="","",[2]Entry!$E$1176)</f>
        <v/>
      </c>
      <c r="M1173" t="str">
        <f>IF([2]Entry!$G$1176="","",[2]Entry!$G$1176)</f>
        <v/>
      </c>
      <c r="N1173" t="str">
        <f>IF([2]Entry!$M$1176="","",[2]Entry!$M$1176)</f>
        <v/>
      </c>
      <c r="O1173" t="str">
        <f>IF([2]Entry!$N$1176="","",[2]Entry!$N$1176)</f>
        <v/>
      </c>
      <c r="P1173" t="str">
        <f>IF([2]Entry!$R$1176="","",[2]Entry!$R$1176)</f>
        <v/>
      </c>
    </row>
    <row r="1174" spans="10:16" x14ac:dyDescent="0.2">
      <c r="J1174" t="str">
        <f>IF([2]Entry!$C$1177="","",[2]Entry!$C$1177)</f>
        <v/>
      </c>
      <c r="K1174" t="str">
        <f>IF([2]Entry!$D$1177="","",[2]Entry!$D$1177)</f>
        <v/>
      </c>
      <c r="L1174" t="str">
        <f>IF([2]Entry!$E$1177="","",[2]Entry!$E$1177)</f>
        <v/>
      </c>
      <c r="M1174" t="str">
        <f>IF([2]Entry!$G$1177="","",[2]Entry!$G$1177)</f>
        <v/>
      </c>
      <c r="N1174" t="str">
        <f>IF([2]Entry!$M$1177="","",[2]Entry!$M$1177)</f>
        <v/>
      </c>
      <c r="O1174" t="str">
        <f>IF([2]Entry!$N$1177="","",[2]Entry!$N$1177)</f>
        <v/>
      </c>
      <c r="P1174" t="str">
        <f>IF([2]Entry!$R$1177="","",[2]Entry!$R$1177)</f>
        <v/>
      </c>
    </row>
    <row r="1175" spans="10:16" x14ac:dyDescent="0.2">
      <c r="J1175" t="str">
        <f>IF([2]Entry!$C$1178="","",[2]Entry!$C$1178)</f>
        <v/>
      </c>
      <c r="K1175" t="str">
        <f>IF([2]Entry!$D$1178="","",[2]Entry!$D$1178)</f>
        <v/>
      </c>
      <c r="L1175" t="str">
        <f>IF([2]Entry!$E$1178="","",[2]Entry!$E$1178)</f>
        <v/>
      </c>
      <c r="M1175" t="str">
        <f>IF([2]Entry!$G$1178="","",[2]Entry!$G$1178)</f>
        <v/>
      </c>
      <c r="N1175" t="str">
        <f>IF([2]Entry!$M$1178="","",[2]Entry!$M$1178)</f>
        <v/>
      </c>
      <c r="O1175" t="str">
        <f>IF([2]Entry!$N$1178="","",[2]Entry!$N$1178)</f>
        <v/>
      </c>
      <c r="P1175" t="str">
        <f>IF([2]Entry!$R$1178="","",[2]Entry!$R$1178)</f>
        <v/>
      </c>
    </row>
    <row r="1176" spans="10:16" x14ac:dyDescent="0.2">
      <c r="J1176" t="str">
        <f>IF([2]Entry!$C$1179="","",[2]Entry!$C$1179)</f>
        <v/>
      </c>
      <c r="K1176" t="str">
        <f>IF([2]Entry!$D$1179="","",[2]Entry!$D$1179)</f>
        <v/>
      </c>
      <c r="L1176" t="str">
        <f>IF([2]Entry!$E$1179="","",[2]Entry!$E$1179)</f>
        <v/>
      </c>
      <c r="M1176" t="str">
        <f>IF([2]Entry!$G$1179="","",[2]Entry!$G$1179)</f>
        <v/>
      </c>
      <c r="N1176" t="str">
        <f>IF([2]Entry!$M$1179="","",[2]Entry!$M$1179)</f>
        <v/>
      </c>
      <c r="O1176" t="str">
        <f>IF([2]Entry!$N$1179="","",[2]Entry!$N$1179)</f>
        <v/>
      </c>
      <c r="P1176" t="str">
        <f>IF([2]Entry!$R$1179="","",[2]Entry!$R$1179)</f>
        <v/>
      </c>
    </row>
    <row r="1177" spans="10:16" x14ac:dyDescent="0.2">
      <c r="J1177" t="str">
        <f>IF([2]Entry!$C$1180="","",[2]Entry!$C$1180)</f>
        <v/>
      </c>
      <c r="K1177" t="str">
        <f>IF([2]Entry!$D$1180="","",[2]Entry!$D$1180)</f>
        <v/>
      </c>
      <c r="L1177" t="str">
        <f>IF([2]Entry!$E$1180="","",[2]Entry!$E$1180)</f>
        <v/>
      </c>
      <c r="M1177" t="str">
        <f>IF([2]Entry!$G$1180="","",[2]Entry!$G$1180)</f>
        <v/>
      </c>
      <c r="N1177" t="str">
        <f>IF([2]Entry!$M$1180="","",[2]Entry!$M$1180)</f>
        <v/>
      </c>
      <c r="O1177" t="str">
        <f>IF([2]Entry!$N$1180="","",[2]Entry!$N$1180)</f>
        <v/>
      </c>
      <c r="P1177" t="str">
        <f>IF([2]Entry!$R$1180="","",[2]Entry!$R$1180)</f>
        <v/>
      </c>
    </row>
    <row r="1178" spans="10:16" x14ac:dyDescent="0.2">
      <c r="J1178" t="str">
        <f>IF([2]Entry!$C$1181="","",[2]Entry!$C$1181)</f>
        <v/>
      </c>
      <c r="K1178" t="str">
        <f>IF([2]Entry!$D$1181="","",[2]Entry!$D$1181)</f>
        <v/>
      </c>
      <c r="L1178" t="str">
        <f>IF([2]Entry!$E$1181="","",[2]Entry!$E$1181)</f>
        <v/>
      </c>
      <c r="M1178" t="str">
        <f>IF([2]Entry!$G$1181="","",[2]Entry!$G$1181)</f>
        <v/>
      </c>
      <c r="N1178" t="str">
        <f>IF([2]Entry!$M$1181="","",[2]Entry!$M$1181)</f>
        <v/>
      </c>
      <c r="O1178" t="str">
        <f>IF([2]Entry!$N$1181="","",[2]Entry!$N$1181)</f>
        <v/>
      </c>
      <c r="P1178" t="str">
        <f>IF([2]Entry!$R$1181="","",[2]Entry!$R$1181)</f>
        <v/>
      </c>
    </row>
    <row r="1179" spans="10:16" x14ac:dyDescent="0.2">
      <c r="J1179" t="str">
        <f>IF([2]Entry!$C$1182="","",[2]Entry!$C$1182)</f>
        <v/>
      </c>
      <c r="K1179" t="str">
        <f>IF([2]Entry!$D$1182="","",[2]Entry!$D$1182)</f>
        <v/>
      </c>
      <c r="L1179" t="str">
        <f>IF([2]Entry!$E$1182="","",[2]Entry!$E$1182)</f>
        <v/>
      </c>
      <c r="M1179" t="str">
        <f>IF([2]Entry!$G$1182="","",[2]Entry!$G$1182)</f>
        <v/>
      </c>
      <c r="N1179" t="str">
        <f>IF([2]Entry!$M$1182="","",[2]Entry!$M$1182)</f>
        <v/>
      </c>
      <c r="O1179" t="str">
        <f>IF([2]Entry!$N$1182="","",[2]Entry!$N$1182)</f>
        <v/>
      </c>
      <c r="P1179" t="str">
        <f>IF([2]Entry!$R$1182="","",[2]Entry!$R$1182)</f>
        <v/>
      </c>
    </row>
    <row r="1180" spans="10:16" x14ac:dyDescent="0.2">
      <c r="J1180" t="str">
        <f>IF([2]Entry!$C$1183="","",[2]Entry!$C$1183)</f>
        <v/>
      </c>
      <c r="K1180" t="str">
        <f>IF([2]Entry!$D$1183="","",[2]Entry!$D$1183)</f>
        <v/>
      </c>
      <c r="L1180" t="str">
        <f>IF([2]Entry!$E$1183="","",[2]Entry!$E$1183)</f>
        <v/>
      </c>
      <c r="M1180" t="str">
        <f>IF([2]Entry!$G$1183="","",[2]Entry!$G$1183)</f>
        <v/>
      </c>
      <c r="N1180" t="str">
        <f>IF([2]Entry!$M$1183="","",[2]Entry!$M$1183)</f>
        <v/>
      </c>
      <c r="O1180" t="str">
        <f>IF([2]Entry!$N$1183="","",[2]Entry!$N$1183)</f>
        <v/>
      </c>
      <c r="P1180" t="str">
        <f>IF([2]Entry!$R$1183="","",[2]Entry!$R$1183)</f>
        <v/>
      </c>
    </row>
    <row r="1181" spans="10:16" x14ac:dyDescent="0.2">
      <c r="J1181" t="str">
        <f>IF([2]Entry!$C$1184="","",[2]Entry!$C$1184)</f>
        <v/>
      </c>
      <c r="K1181" t="str">
        <f>IF([2]Entry!$D$1184="","",[2]Entry!$D$1184)</f>
        <v/>
      </c>
      <c r="L1181" t="str">
        <f>IF([2]Entry!$E$1184="","",[2]Entry!$E$1184)</f>
        <v/>
      </c>
      <c r="M1181" t="str">
        <f>IF([2]Entry!$G$1184="","",[2]Entry!$G$1184)</f>
        <v/>
      </c>
      <c r="N1181" t="str">
        <f>IF([2]Entry!$M$1184="","",[2]Entry!$M$1184)</f>
        <v/>
      </c>
      <c r="O1181" t="str">
        <f>IF([2]Entry!$N$1184="","",[2]Entry!$N$1184)</f>
        <v/>
      </c>
      <c r="P1181" t="str">
        <f>IF([2]Entry!$R$1184="","",[2]Entry!$R$1184)</f>
        <v/>
      </c>
    </row>
    <row r="1182" spans="10:16" x14ac:dyDescent="0.2">
      <c r="J1182" t="str">
        <f>IF([2]Entry!$C$1185="","",[2]Entry!$C$1185)</f>
        <v/>
      </c>
      <c r="K1182" t="str">
        <f>IF([2]Entry!$D$1185="","",[2]Entry!$D$1185)</f>
        <v/>
      </c>
      <c r="L1182" t="str">
        <f>IF([2]Entry!$E$1185="","",[2]Entry!$E$1185)</f>
        <v/>
      </c>
      <c r="M1182" t="str">
        <f>IF([2]Entry!$G$1185="","",[2]Entry!$G$1185)</f>
        <v/>
      </c>
      <c r="N1182" t="str">
        <f>IF([2]Entry!$M$1185="","",[2]Entry!$M$1185)</f>
        <v/>
      </c>
      <c r="O1182" t="str">
        <f>IF([2]Entry!$N$1185="","",[2]Entry!$N$1185)</f>
        <v/>
      </c>
      <c r="P1182" t="str">
        <f>IF([2]Entry!$R$1185="","",[2]Entry!$R$1185)</f>
        <v/>
      </c>
    </row>
    <row r="1183" spans="10:16" x14ac:dyDescent="0.2">
      <c r="J1183" t="str">
        <f>IF([2]Entry!$C$1186="","",[2]Entry!$C$1186)</f>
        <v/>
      </c>
      <c r="K1183" t="str">
        <f>IF([2]Entry!$D$1186="","",[2]Entry!$D$1186)</f>
        <v/>
      </c>
      <c r="L1183" t="str">
        <f>IF([2]Entry!$E$1186="","",[2]Entry!$E$1186)</f>
        <v/>
      </c>
      <c r="M1183" t="str">
        <f>IF([2]Entry!$G$1186="","",[2]Entry!$G$1186)</f>
        <v/>
      </c>
      <c r="N1183" t="str">
        <f>IF([2]Entry!$M$1186="","",[2]Entry!$M$1186)</f>
        <v/>
      </c>
      <c r="O1183" t="str">
        <f>IF([2]Entry!$N$1186="","",[2]Entry!$N$1186)</f>
        <v/>
      </c>
      <c r="P1183" t="str">
        <f>IF([2]Entry!$R$1186="","",[2]Entry!$R$1186)</f>
        <v/>
      </c>
    </row>
    <row r="1184" spans="10:16" x14ac:dyDescent="0.2">
      <c r="J1184" t="str">
        <f>IF([2]Entry!$C$1187="","",[2]Entry!$C$1187)</f>
        <v/>
      </c>
      <c r="K1184" t="str">
        <f>IF([2]Entry!$D$1187="","",[2]Entry!$D$1187)</f>
        <v/>
      </c>
      <c r="L1184" t="str">
        <f>IF([2]Entry!$E$1187="","",[2]Entry!$E$1187)</f>
        <v/>
      </c>
      <c r="M1184" t="str">
        <f>IF([2]Entry!$G$1187="","",[2]Entry!$G$1187)</f>
        <v/>
      </c>
      <c r="N1184" t="str">
        <f>IF([2]Entry!$M$1187="","",[2]Entry!$M$1187)</f>
        <v/>
      </c>
      <c r="O1184" t="str">
        <f>IF([2]Entry!$N$1187="","",[2]Entry!$N$1187)</f>
        <v/>
      </c>
      <c r="P1184" t="str">
        <f>IF([2]Entry!$R$1187="","",[2]Entry!$R$1187)</f>
        <v/>
      </c>
    </row>
    <row r="1185" spans="10:16" x14ac:dyDescent="0.2">
      <c r="J1185" t="str">
        <f>IF([2]Entry!$C$1188="","",[2]Entry!$C$1188)</f>
        <v/>
      </c>
      <c r="K1185" t="str">
        <f>IF([2]Entry!$D$1188="","",[2]Entry!$D$1188)</f>
        <v/>
      </c>
      <c r="L1185" t="str">
        <f>IF([2]Entry!$E$1188="","",[2]Entry!$E$1188)</f>
        <v/>
      </c>
      <c r="M1185" t="str">
        <f>IF([2]Entry!$G$1188="","",[2]Entry!$G$1188)</f>
        <v/>
      </c>
      <c r="N1185" t="str">
        <f>IF([2]Entry!$M$1188="","",[2]Entry!$M$1188)</f>
        <v/>
      </c>
      <c r="O1185" t="str">
        <f>IF([2]Entry!$N$1188="","",[2]Entry!$N$1188)</f>
        <v/>
      </c>
      <c r="P1185" t="str">
        <f>IF([2]Entry!$R$1188="","",[2]Entry!$R$1188)</f>
        <v/>
      </c>
    </row>
    <row r="1186" spans="10:16" x14ac:dyDescent="0.2">
      <c r="J1186" t="str">
        <f>IF([2]Entry!$C$1189="","",[2]Entry!$C$1189)</f>
        <v/>
      </c>
      <c r="K1186" t="str">
        <f>IF([2]Entry!$D$1189="","",[2]Entry!$D$1189)</f>
        <v/>
      </c>
      <c r="L1186" t="str">
        <f>IF([2]Entry!$E$1189="","",[2]Entry!$E$1189)</f>
        <v/>
      </c>
      <c r="M1186" t="str">
        <f>IF([2]Entry!$G$1189="","",[2]Entry!$G$1189)</f>
        <v/>
      </c>
      <c r="N1186" t="str">
        <f>IF([2]Entry!$M$1189="","",[2]Entry!$M$1189)</f>
        <v/>
      </c>
      <c r="O1186" t="str">
        <f>IF([2]Entry!$N$1189="","",[2]Entry!$N$1189)</f>
        <v/>
      </c>
      <c r="P1186" t="str">
        <f>IF([2]Entry!$R$1189="","",[2]Entry!$R$1189)</f>
        <v/>
      </c>
    </row>
    <row r="1187" spans="10:16" x14ac:dyDescent="0.2">
      <c r="J1187" t="str">
        <f>IF([2]Entry!$C$1190="","",[2]Entry!$C$1190)</f>
        <v/>
      </c>
      <c r="K1187" t="str">
        <f>IF([2]Entry!$D$1190="","",[2]Entry!$D$1190)</f>
        <v/>
      </c>
      <c r="L1187" t="str">
        <f>IF([2]Entry!$E$1190="","",[2]Entry!$E$1190)</f>
        <v/>
      </c>
      <c r="M1187" t="str">
        <f>IF([2]Entry!$G$1190="","",[2]Entry!$G$1190)</f>
        <v/>
      </c>
      <c r="N1187" t="str">
        <f>IF([2]Entry!$M$1190="","",[2]Entry!$M$1190)</f>
        <v/>
      </c>
      <c r="O1187" t="str">
        <f>IF([2]Entry!$N$1190="","",[2]Entry!$N$1190)</f>
        <v/>
      </c>
      <c r="P1187" t="str">
        <f>IF([2]Entry!$R$1190="","",[2]Entry!$R$1190)</f>
        <v/>
      </c>
    </row>
    <row r="1188" spans="10:16" x14ac:dyDescent="0.2">
      <c r="J1188" t="str">
        <f>IF([2]Entry!$C$1191="","",[2]Entry!$C$1191)</f>
        <v/>
      </c>
      <c r="K1188" t="str">
        <f>IF([2]Entry!$D$1191="","",[2]Entry!$D$1191)</f>
        <v/>
      </c>
      <c r="L1188" t="str">
        <f>IF([2]Entry!$E$1191="","",[2]Entry!$E$1191)</f>
        <v/>
      </c>
      <c r="M1188" t="str">
        <f>IF([2]Entry!$G$1191="","",[2]Entry!$G$1191)</f>
        <v/>
      </c>
      <c r="N1188" t="str">
        <f>IF([2]Entry!$M$1191="","",[2]Entry!$M$1191)</f>
        <v/>
      </c>
      <c r="O1188" t="str">
        <f>IF([2]Entry!$N$1191="","",[2]Entry!$N$1191)</f>
        <v/>
      </c>
      <c r="P1188" t="str">
        <f>IF([2]Entry!$R$1191="","",[2]Entry!$R$1191)</f>
        <v/>
      </c>
    </row>
    <row r="1189" spans="10:16" x14ac:dyDescent="0.2">
      <c r="J1189" t="str">
        <f>IF([2]Entry!$C$1192="","",[2]Entry!$C$1192)</f>
        <v/>
      </c>
      <c r="K1189" t="str">
        <f>IF([2]Entry!$D$1192="","",[2]Entry!$D$1192)</f>
        <v/>
      </c>
      <c r="L1189" t="str">
        <f>IF([2]Entry!$E$1192="","",[2]Entry!$E$1192)</f>
        <v/>
      </c>
      <c r="M1189" t="str">
        <f>IF([2]Entry!$G$1192="","",[2]Entry!$G$1192)</f>
        <v/>
      </c>
      <c r="N1189" t="str">
        <f>IF([2]Entry!$M$1192="","",[2]Entry!$M$1192)</f>
        <v/>
      </c>
      <c r="O1189" t="str">
        <f>IF([2]Entry!$N$1192="","",[2]Entry!$N$1192)</f>
        <v/>
      </c>
      <c r="P1189" t="str">
        <f>IF([2]Entry!$R$1192="","",[2]Entry!$R$1192)</f>
        <v/>
      </c>
    </row>
    <row r="1190" spans="10:16" x14ac:dyDescent="0.2">
      <c r="J1190" t="str">
        <f>IF([2]Entry!$C$1193="","",[2]Entry!$C$1193)</f>
        <v/>
      </c>
      <c r="K1190" t="str">
        <f>IF([2]Entry!$D$1193="","",[2]Entry!$D$1193)</f>
        <v/>
      </c>
      <c r="L1190" t="str">
        <f>IF([2]Entry!$E$1193="","",[2]Entry!$E$1193)</f>
        <v/>
      </c>
      <c r="M1190" t="str">
        <f>IF([2]Entry!$G$1193="","",[2]Entry!$G$1193)</f>
        <v/>
      </c>
      <c r="N1190" t="str">
        <f>IF([2]Entry!$M$1193="","",[2]Entry!$M$1193)</f>
        <v/>
      </c>
      <c r="O1190" t="str">
        <f>IF([2]Entry!$N$1193="","",[2]Entry!$N$1193)</f>
        <v/>
      </c>
      <c r="P1190" t="str">
        <f>IF([2]Entry!$R$1193="","",[2]Entry!$R$1193)</f>
        <v/>
      </c>
    </row>
    <row r="1191" spans="10:16" x14ac:dyDescent="0.2">
      <c r="J1191" t="str">
        <f>IF([2]Entry!$C$1194="","",[2]Entry!$C$1194)</f>
        <v/>
      </c>
      <c r="K1191" t="str">
        <f>IF([2]Entry!$D$1194="","",[2]Entry!$D$1194)</f>
        <v/>
      </c>
      <c r="L1191" t="str">
        <f>IF([2]Entry!$E$1194="","",[2]Entry!$E$1194)</f>
        <v/>
      </c>
      <c r="M1191" t="str">
        <f>IF([2]Entry!$G$1194="","",[2]Entry!$G$1194)</f>
        <v/>
      </c>
      <c r="N1191" t="str">
        <f>IF([2]Entry!$M$1194="","",[2]Entry!$M$1194)</f>
        <v/>
      </c>
      <c r="O1191" t="str">
        <f>IF([2]Entry!$N$1194="","",[2]Entry!$N$1194)</f>
        <v/>
      </c>
      <c r="P1191" t="str">
        <f>IF([2]Entry!$R$1194="","",[2]Entry!$R$1194)</f>
        <v/>
      </c>
    </row>
    <row r="1192" spans="10:16" x14ac:dyDescent="0.2">
      <c r="J1192" t="str">
        <f>IF([2]Entry!$C$1195="","",[2]Entry!$C$1195)</f>
        <v/>
      </c>
      <c r="K1192" t="str">
        <f>IF([2]Entry!$D$1195="","",[2]Entry!$D$1195)</f>
        <v/>
      </c>
      <c r="L1192" t="str">
        <f>IF([2]Entry!$E$1195="","",[2]Entry!$E$1195)</f>
        <v/>
      </c>
      <c r="M1192" t="str">
        <f>IF([2]Entry!$G$1195="","",[2]Entry!$G$1195)</f>
        <v/>
      </c>
      <c r="N1192" t="str">
        <f>IF([2]Entry!$M$1195="","",[2]Entry!$M$1195)</f>
        <v/>
      </c>
      <c r="O1192" t="str">
        <f>IF([2]Entry!$N$1195="","",[2]Entry!$N$1195)</f>
        <v/>
      </c>
      <c r="P1192" t="str">
        <f>IF([2]Entry!$R$1195="","",[2]Entry!$R$1195)</f>
        <v/>
      </c>
    </row>
    <row r="1193" spans="10:16" x14ac:dyDescent="0.2">
      <c r="J1193" t="str">
        <f>IF([2]Entry!$C$1196="","",[2]Entry!$C$1196)</f>
        <v/>
      </c>
      <c r="K1193" t="str">
        <f>IF([2]Entry!$D$1196="","",[2]Entry!$D$1196)</f>
        <v/>
      </c>
      <c r="L1193" t="str">
        <f>IF([2]Entry!$E$1196="","",[2]Entry!$E$1196)</f>
        <v/>
      </c>
      <c r="M1193" t="str">
        <f>IF([2]Entry!$G$1196="","",[2]Entry!$G$1196)</f>
        <v/>
      </c>
      <c r="N1193" t="str">
        <f>IF([2]Entry!$M$1196="","",[2]Entry!$M$1196)</f>
        <v/>
      </c>
      <c r="O1193" t="str">
        <f>IF([2]Entry!$N$1196="","",[2]Entry!$N$1196)</f>
        <v/>
      </c>
      <c r="P1193" t="str">
        <f>IF([2]Entry!$R$1196="","",[2]Entry!$R$1196)</f>
        <v/>
      </c>
    </row>
    <row r="1194" spans="10:16" x14ac:dyDescent="0.2">
      <c r="J1194" t="str">
        <f>IF([2]Entry!$C$1197="","",[2]Entry!$C$1197)</f>
        <v/>
      </c>
      <c r="K1194" t="str">
        <f>IF([2]Entry!$D$1197="","",[2]Entry!$D$1197)</f>
        <v/>
      </c>
      <c r="L1194" t="str">
        <f>IF([2]Entry!$E$1197="","",[2]Entry!$E$1197)</f>
        <v/>
      </c>
      <c r="M1194" t="str">
        <f>IF([2]Entry!$G$1197="","",[2]Entry!$G$1197)</f>
        <v/>
      </c>
      <c r="N1194" t="str">
        <f>IF([2]Entry!$M$1197="","",[2]Entry!$M$1197)</f>
        <v/>
      </c>
      <c r="O1194" t="str">
        <f>IF([2]Entry!$N$1197="","",[2]Entry!$N$1197)</f>
        <v/>
      </c>
      <c r="P1194" t="str">
        <f>IF([2]Entry!$R$1197="","",[2]Entry!$R$1197)</f>
        <v/>
      </c>
    </row>
    <row r="1195" spans="10:16" x14ac:dyDescent="0.2">
      <c r="J1195" t="str">
        <f>IF([2]Entry!$C$1198="","",[2]Entry!$C$1198)</f>
        <v/>
      </c>
      <c r="K1195" t="str">
        <f>IF([2]Entry!$D$1198="","",[2]Entry!$D$1198)</f>
        <v/>
      </c>
      <c r="L1195" t="str">
        <f>IF([2]Entry!$E$1198="","",[2]Entry!$E$1198)</f>
        <v/>
      </c>
      <c r="M1195" t="str">
        <f>IF([2]Entry!$G$1198="","",[2]Entry!$G$1198)</f>
        <v/>
      </c>
      <c r="N1195" t="str">
        <f>IF([2]Entry!$M$1198="","",[2]Entry!$M$1198)</f>
        <v/>
      </c>
      <c r="O1195" t="str">
        <f>IF([2]Entry!$N$1198="","",[2]Entry!$N$1198)</f>
        <v/>
      </c>
      <c r="P1195" t="str">
        <f>IF([2]Entry!$R$1198="","",[2]Entry!$R$1198)</f>
        <v/>
      </c>
    </row>
    <row r="1196" spans="10:16" x14ac:dyDescent="0.2">
      <c r="J1196" t="str">
        <f>IF([2]Entry!$C$1199="","",[2]Entry!$C$1199)</f>
        <v/>
      </c>
      <c r="K1196" t="str">
        <f>IF([2]Entry!$D$1199="","",[2]Entry!$D$1199)</f>
        <v/>
      </c>
      <c r="L1196" t="str">
        <f>IF([2]Entry!$E$1199="","",[2]Entry!$E$1199)</f>
        <v/>
      </c>
      <c r="M1196" t="str">
        <f>IF([2]Entry!$G$1199="","",[2]Entry!$G$1199)</f>
        <v/>
      </c>
      <c r="N1196" t="str">
        <f>IF([2]Entry!$M$1199="","",[2]Entry!$M$1199)</f>
        <v/>
      </c>
      <c r="O1196" t="str">
        <f>IF([2]Entry!$N$1199="","",[2]Entry!$N$1199)</f>
        <v/>
      </c>
      <c r="P1196" t="str">
        <f>IF([2]Entry!$R$1199="","",[2]Entry!$R$1199)</f>
        <v/>
      </c>
    </row>
    <row r="1197" spans="10:16" x14ac:dyDescent="0.2">
      <c r="J1197" t="str">
        <f>IF([2]Entry!$C$1200="","",[2]Entry!$C$1200)</f>
        <v/>
      </c>
      <c r="K1197" t="str">
        <f>IF([2]Entry!$D$1200="","",[2]Entry!$D$1200)</f>
        <v/>
      </c>
      <c r="L1197" t="str">
        <f>IF([2]Entry!$E$1200="","",[2]Entry!$E$1200)</f>
        <v/>
      </c>
      <c r="M1197" t="str">
        <f>IF([2]Entry!$G$1200="","",[2]Entry!$G$1200)</f>
        <v/>
      </c>
      <c r="N1197" t="str">
        <f>IF([2]Entry!$M$1200="","",[2]Entry!$M$1200)</f>
        <v/>
      </c>
      <c r="O1197" t="str">
        <f>IF([2]Entry!$N$1200="","",[2]Entry!$N$1200)</f>
        <v/>
      </c>
      <c r="P1197" t="str">
        <f>IF([2]Entry!$R$1200="","",[2]Entry!$R$1200)</f>
        <v/>
      </c>
    </row>
    <row r="1198" spans="10:16" x14ac:dyDescent="0.2">
      <c r="J1198" t="str">
        <f>IF([2]Entry!$C$1201="","",[2]Entry!$C$1201)</f>
        <v/>
      </c>
      <c r="K1198" t="str">
        <f>IF([2]Entry!$D$1201="","",[2]Entry!$D$1201)</f>
        <v/>
      </c>
      <c r="L1198" t="str">
        <f>IF([2]Entry!$E$1201="","",[2]Entry!$E$1201)</f>
        <v/>
      </c>
      <c r="M1198" t="str">
        <f>IF([2]Entry!$G$1201="","",[2]Entry!$G$1201)</f>
        <v/>
      </c>
      <c r="N1198" t="str">
        <f>IF([2]Entry!$M$1201="","",[2]Entry!$M$1201)</f>
        <v/>
      </c>
      <c r="O1198" t="str">
        <f>IF([2]Entry!$N$1201="","",[2]Entry!$N$1201)</f>
        <v/>
      </c>
      <c r="P1198" t="str">
        <f>IF([2]Entry!$R$1201="","",[2]Entry!$R$1201)</f>
        <v/>
      </c>
    </row>
    <row r="1199" spans="10:16" x14ac:dyDescent="0.2">
      <c r="J1199" t="str">
        <f>IF([2]Entry!$C$1202="","",[2]Entry!$C$1202)</f>
        <v/>
      </c>
      <c r="K1199" t="str">
        <f>IF([2]Entry!$D$1202="","",[2]Entry!$D$1202)</f>
        <v/>
      </c>
      <c r="L1199" t="str">
        <f>IF([2]Entry!$E$1202="","",[2]Entry!$E$1202)</f>
        <v/>
      </c>
      <c r="M1199" t="str">
        <f>IF([2]Entry!$G$1202="","",[2]Entry!$G$1202)</f>
        <v/>
      </c>
      <c r="N1199" t="str">
        <f>IF([2]Entry!$M$1202="","",[2]Entry!$M$1202)</f>
        <v/>
      </c>
      <c r="O1199" t="str">
        <f>IF([2]Entry!$N$1202="","",[2]Entry!$N$1202)</f>
        <v/>
      </c>
      <c r="P1199" t="str">
        <f>IF([2]Entry!$R$1202="","",[2]Entry!$R$1202)</f>
        <v/>
      </c>
    </row>
    <row r="1200" spans="10:16" x14ac:dyDescent="0.2">
      <c r="J1200" t="str">
        <f>IF([2]Entry!$C$1203="","",[2]Entry!$C$1203)</f>
        <v/>
      </c>
      <c r="K1200" t="str">
        <f>IF([2]Entry!$D$1203="","",[2]Entry!$D$1203)</f>
        <v/>
      </c>
      <c r="L1200" t="str">
        <f>IF([2]Entry!$E$1203="","",[2]Entry!$E$1203)</f>
        <v/>
      </c>
      <c r="M1200" t="str">
        <f>IF([2]Entry!$G$1203="","",[2]Entry!$G$1203)</f>
        <v/>
      </c>
      <c r="N1200" t="str">
        <f>IF([2]Entry!$M$1203="","",[2]Entry!$M$1203)</f>
        <v/>
      </c>
      <c r="O1200" t="str">
        <f>IF([2]Entry!$N$1203="","",[2]Entry!$N$1203)</f>
        <v/>
      </c>
      <c r="P1200" t="str">
        <f>IF([2]Entry!$R$1203="","",[2]Entry!$R$1203)</f>
        <v/>
      </c>
    </row>
    <row r="1201" spans="10:16" x14ac:dyDescent="0.2">
      <c r="J1201" t="str">
        <f>IF([2]Entry!$C$1204="","",[2]Entry!$C$1204)</f>
        <v/>
      </c>
      <c r="K1201" t="str">
        <f>IF([2]Entry!$D$1204="","",[2]Entry!$D$1204)</f>
        <v/>
      </c>
      <c r="L1201" t="str">
        <f>IF([2]Entry!$E$1204="","",[2]Entry!$E$1204)</f>
        <v/>
      </c>
      <c r="M1201" t="str">
        <f>IF([2]Entry!$G$1204="","",[2]Entry!$G$1204)</f>
        <v/>
      </c>
      <c r="N1201" t="str">
        <f>IF([2]Entry!$M$1204="","",[2]Entry!$M$1204)</f>
        <v/>
      </c>
      <c r="O1201" t="str">
        <f>IF([2]Entry!$N$1204="","",[2]Entry!$N$1204)</f>
        <v/>
      </c>
      <c r="P1201" t="str">
        <f>IF([2]Entry!$R$1204="","",[2]Entry!$R$1204)</f>
        <v/>
      </c>
    </row>
    <row r="1202" spans="10:16" x14ac:dyDescent="0.2">
      <c r="J1202" t="str">
        <f>IF([2]Entry!$C$1205="","",[2]Entry!$C$1205)</f>
        <v/>
      </c>
      <c r="K1202" t="str">
        <f>IF([2]Entry!$D$1205="","",[2]Entry!$D$1205)</f>
        <v/>
      </c>
      <c r="L1202" t="str">
        <f>IF([2]Entry!$E$1205="","",[2]Entry!$E$1205)</f>
        <v/>
      </c>
      <c r="M1202" t="str">
        <f>IF([2]Entry!$G$1205="","",[2]Entry!$G$1205)</f>
        <v/>
      </c>
      <c r="N1202" t="str">
        <f>IF([2]Entry!$M$1205="","",[2]Entry!$M$1205)</f>
        <v/>
      </c>
      <c r="O1202" t="str">
        <f>IF([2]Entry!$N$1205="","",[2]Entry!$N$1205)</f>
        <v/>
      </c>
      <c r="P1202" t="str">
        <f>IF([2]Entry!$R$1205="","",[2]Entry!$R$1205)</f>
        <v/>
      </c>
    </row>
    <row r="1203" spans="10:16" x14ac:dyDescent="0.2">
      <c r="J1203" t="str">
        <f>IF([2]Entry!$C$1206="","",[2]Entry!$C$1206)</f>
        <v/>
      </c>
      <c r="K1203" t="str">
        <f>IF([2]Entry!$D$1206="","",[2]Entry!$D$1206)</f>
        <v/>
      </c>
      <c r="L1203" t="str">
        <f>IF([2]Entry!$E$1206="","",[2]Entry!$E$1206)</f>
        <v/>
      </c>
      <c r="M1203" t="str">
        <f>IF([2]Entry!$G$1206="","",[2]Entry!$G$1206)</f>
        <v/>
      </c>
      <c r="N1203" t="str">
        <f>IF([2]Entry!$M$1206="","",[2]Entry!$M$1206)</f>
        <v/>
      </c>
      <c r="O1203" t="str">
        <f>IF([2]Entry!$N$1206="","",[2]Entry!$N$1206)</f>
        <v/>
      </c>
      <c r="P1203" t="str">
        <f>IF([2]Entry!$R$1206="","",[2]Entry!$R$1206)</f>
        <v/>
      </c>
    </row>
    <row r="1204" spans="10:16" x14ac:dyDescent="0.2">
      <c r="J1204" t="str">
        <f>IF([2]Entry!$C$1207="","",[2]Entry!$C$1207)</f>
        <v/>
      </c>
      <c r="K1204" t="str">
        <f>IF([2]Entry!$D$1207="","",[2]Entry!$D$1207)</f>
        <v/>
      </c>
      <c r="L1204" t="str">
        <f>IF([2]Entry!$E$1207="","",[2]Entry!$E$1207)</f>
        <v/>
      </c>
      <c r="M1204" t="str">
        <f>IF([2]Entry!$G$1207="","",[2]Entry!$G$1207)</f>
        <v/>
      </c>
      <c r="N1204" t="str">
        <f>IF([2]Entry!$M$1207="","",[2]Entry!$M$1207)</f>
        <v/>
      </c>
      <c r="O1204" t="str">
        <f>IF([2]Entry!$N$1207="","",[2]Entry!$N$1207)</f>
        <v/>
      </c>
      <c r="P1204" t="str">
        <f>IF([2]Entry!$R$1207="","",[2]Entry!$R$1207)</f>
        <v/>
      </c>
    </row>
    <row r="1205" spans="10:16" x14ac:dyDescent="0.2">
      <c r="J1205" t="str">
        <f>IF([2]Entry!$C$1208="","",[2]Entry!$C$1208)</f>
        <v/>
      </c>
      <c r="K1205" t="str">
        <f>IF([2]Entry!$D$1208="","",[2]Entry!$D$1208)</f>
        <v/>
      </c>
      <c r="L1205" t="str">
        <f>IF([2]Entry!$E$1208="","",[2]Entry!$E$1208)</f>
        <v/>
      </c>
      <c r="M1205" t="str">
        <f>IF([2]Entry!$G$1208="","",[2]Entry!$G$1208)</f>
        <v/>
      </c>
      <c r="N1205" t="str">
        <f>IF([2]Entry!$M$1208="","",[2]Entry!$M$1208)</f>
        <v/>
      </c>
      <c r="O1205" t="str">
        <f>IF([2]Entry!$N$1208="","",[2]Entry!$N$1208)</f>
        <v/>
      </c>
      <c r="P1205" t="str">
        <f>IF([2]Entry!$R$1208="","",[2]Entry!$R$1208)</f>
        <v/>
      </c>
    </row>
    <row r="1206" spans="10:16" x14ac:dyDescent="0.2">
      <c r="J1206" t="str">
        <f>IF([2]Entry!$C$1209="","",[2]Entry!$C$1209)</f>
        <v/>
      </c>
      <c r="K1206" t="str">
        <f>IF([2]Entry!$D$1209="","",[2]Entry!$D$1209)</f>
        <v/>
      </c>
      <c r="L1206" t="str">
        <f>IF([2]Entry!$E$1209="","",[2]Entry!$E$1209)</f>
        <v/>
      </c>
      <c r="M1206" t="str">
        <f>IF([2]Entry!$G$1209="","",[2]Entry!$G$1209)</f>
        <v/>
      </c>
      <c r="N1206" t="str">
        <f>IF([2]Entry!$M$1209="","",[2]Entry!$M$1209)</f>
        <v/>
      </c>
      <c r="O1206" t="str">
        <f>IF([2]Entry!$N$1209="","",[2]Entry!$N$1209)</f>
        <v/>
      </c>
      <c r="P1206" t="str">
        <f>IF([2]Entry!$R$1209="","",[2]Entry!$R$1209)</f>
        <v/>
      </c>
    </row>
    <row r="1207" spans="10:16" x14ac:dyDescent="0.2">
      <c r="J1207" t="str">
        <f>IF([2]Entry!$C$1210="","",[2]Entry!$C$1210)</f>
        <v/>
      </c>
      <c r="K1207" t="str">
        <f>IF([2]Entry!$D$1210="","",[2]Entry!$D$1210)</f>
        <v/>
      </c>
      <c r="L1207" t="str">
        <f>IF([2]Entry!$E$1210="","",[2]Entry!$E$1210)</f>
        <v/>
      </c>
      <c r="M1207" t="str">
        <f>IF([2]Entry!$G$1210="","",[2]Entry!$G$1210)</f>
        <v/>
      </c>
      <c r="N1207" t="str">
        <f>IF([2]Entry!$M$1210="","",[2]Entry!$M$1210)</f>
        <v/>
      </c>
      <c r="O1207" t="str">
        <f>IF([2]Entry!$N$1210="","",[2]Entry!$N$1210)</f>
        <v/>
      </c>
      <c r="P1207" t="str">
        <f>IF([2]Entry!$R$1210="","",[2]Entry!$R$1210)</f>
        <v/>
      </c>
    </row>
    <row r="1208" spans="10:16" x14ac:dyDescent="0.2">
      <c r="J1208" t="str">
        <f>IF([2]Entry!$C$1211="","",[2]Entry!$C$1211)</f>
        <v/>
      </c>
      <c r="K1208" t="str">
        <f>IF([2]Entry!$D$1211="","",[2]Entry!$D$1211)</f>
        <v/>
      </c>
      <c r="L1208" t="str">
        <f>IF([2]Entry!$E$1211="","",[2]Entry!$E$1211)</f>
        <v/>
      </c>
      <c r="M1208" t="str">
        <f>IF([2]Entry!$G$1211="","",[2]Entry!$G$1211)</f>
        <v/>
      </c>
      <c r="N1208" t="str">
        <f>IF([2]Entry!$M$1211="","",[2]Entry!$M$1211)</f>
        <v/>
      </c>
      <c r="O1208" t="str">
        <f>IF([2]Entry!$N$1211="","",[2]Entry!$N$1211)</f>
        <v/>
      </c>
      <c r="P1208" t="str">
        <f>IF([2]Entry!$R$1211="","",[2]Entry!$R$1211)</f>
        <v/>
      </c>
    </row>
    <row r="1209" spans="10:16" x14ac:dyDescent="0.2">
      <c r="J1209" t="str">
        <f>IF([2]Entry!$C$1212="","",[2]Entry!$C$1212)</f>
        <v/>
      </c>
      <c r="K1209" t="str">
        <f>IF([2]Entry!$D$1212="","",[2]Entry!$D$1212)</f>
        <v/>
      </c>
      <c r="L1209" t="str">
        <f>IF([2]Entry!$E$1212="","",[2]Entry!$E$1212)</f>
        <v/>
      </c>
      <c r="M1209" t="str">
        <f>IF([2]Entry!$G$1212="","",[2]Entry!$G$1212)</f>
        <v/>
      </c>
      <c r="N1209" t="str">
        <f>IF([2]Entry!$M$1212="","",[2]Entry!$M$1212)</f>
        <v/>
      </c>
      <c r="O1209" t="str">
        <f>IF([2]Entry!$N$1212="","",[2]Entry!$N$1212)</f>
        <v/>
      </c>
      <c r="P1209" t="str">
        <f>IF([2]Entry!$R$1212="","",[2]Entry!$R$1212)</f>
        <v/>
      </c>
    </row>
    <row r="1210" spans="10:16" x14ac:dyDescent="0.2">
      <c r="J1210" t="str">
        <f>IF([2]Entry!$C$1213="","",[2]Entry!$C$1213)</f>
        <v/>
      </c>
      <c r="K1210" t="str">
        <f>IF([2]Entry!$D$1213="","",[2]Entry!$D$1213)</f>
        <v/>
      </c>
      <c r="L1210" t="str">
        <f>IF([2]Entry!$E$1213="","",[2]Entry!$E$1213)</f>
        <v/>
      </c>
      <c r="M1210" t="str">
        <f>IF([2]Entry!$G$1213="","",[2]Entry!$G$1213)</f>
        <v/>
      </c>
      <c r="N1210" t="str">
        <f>IF([2]Entry!$M$1213="","",[2]Entry!$M$1213)</f>
        <v/>
      </c>
      <c r="O1210" t="str">
        <f>IF([2]Entry!$N$1213="","",[2]Entry!$N$1213)</f>
        <v/>
      </c>
      <c r="P1210" t="str">
        <f>IF([2]Entry!$R$1213="","",[2]Entry!$R$1213)</f>
        <v/>
      </c>
    </row>
    <row r="1211" spans="10:16" x14ac:dyDescent="0.2">
      <c r="J1211" t="str">
        <f>IF([2]Entry!$C$1214="","",[2]Entry!$C$1214)</f>
        <v/>
      </c>
      <c r="K1211" t="str">
        <f>IF([2]Entry!$D$1214="","",[2]Entry!$D$1214)</f>
        <v/>
      </c>
      <c r="L1211" t="str">
        <f>IF([2]Entry!$E$1214="","",[2]Entry!$E$1214)</f>
        <v/>
      </c>
      <c r="M1211" t="str">
        <f>IF([2]Entry!$G$1214="","",[2]Entry!$G$1214)</f>
        <v/>
      </c>
      <c r="N1211" t="str">
        <f>IF([2]Entry!$M$1214="","",[2]Entry!$M$1214)</f>
        <v/>
      </c>
      <c r="O1211" t="str">
        <f>IF([2]Entry!$N$1214="","",[2]Entry!$N$1214)</f>
        <v/>
      </c>
      <c r="P1211" t="str">
        <f>IF([2]Entry!$R$1214="","",[2]Entry!$R$1214)</f>
        <v/>
      </c>
    </row>
    <row r="1212" spans="10:16" x14ac:dyDescent="0.2">
      <c r="J1212" t="str">
        <f>IF([2]Entry!$C$1215="","",[2]Entry!$C$1215)</f>
        <v/>
      </c>
      <c r="K1212" t="str">
        <f>IF([2]Entry!$D$1215="","",[2]Entry!$D$1215)</f>
        <v/>
      </c>
      <c r="L1212" t="str">
        <f>IF([2]Entry!$E$1215="","",[2]Entry!$E$1215)</f>
        <v/>
      </c>
      <c r="M1212" t="str">
        <f>IF([2]Entry!$G$1215="","",[2]Entry!$G$1215)</f>
        <v/>
      </c>
      <c r="N1212" t="str">
        <f>IF([2]Entry!$M$1215="","",[2]Entry!$M$1215)</f>
        <v/>
      </c>
      <c r="O1212" t="str">
        <f>IF([2]Entry!$N$1215="","",[2]Entry!$N$1215)</f>
        <v/>
      </c>
      <c r="P1212" t="str">
        <f>IF([2]Entry!$R$1215="","",[2]Entry!$R$1215)</f>
        <v/>
      </c>
    </row>
    <row r="1213" spans="10:16" x14ac:dyDescent="0.2">
      <c r="J1213" t="str">
        <f>IF([2]Entry!$C$1216="","",[2]Entry!$C$1216)</f>
        <v/>
      </c>
      <c r="K1213" t="str">
        <f>IF([2]Entry!$D$1216="","",[2]Entry!$D$1216)</f>
        <v/>
      </c>
      <c r="L1213" t="str">
        <f>IF([2]Entry!$E$1216="","",[2]Entry!$E$1216)</f>
        <v/>
      </c>
      <c r="M1213" t="str">
        <f>IF([2]Entry!$G$1216="","",[2]Entry!$G$1216)</f>
        <v/>
      </c>
      <c r="N1213" t="str">
        <f>IF([2]Entry!$M$1216="","",[2]Entry!$M$1216)</f>
        <v/>
      </c>
      <c r="O1213" t="str">
        <f>IF([2]Entry!$N$1216="","",[2]Entry!$N$1216)</f>
        <v/>
      </c>
      <c r="P1213" t="str">
        <f>IF([2]Entry!$R$1216="","",[2]Entry!$R$1216)</f>
        <v/>
      </c>
    </row>
    <row r="1214" spans="10:16" x14ac:dyDescent="0.2">
      <c r="J1214" t="str">
        <f>IF([2]Entry!$C$1217="","",[2]Entry!$C$1217)</f>
        <v/>
      </c>
      <c r="K1214" t="str">
        <f>IF([2]Entry!$D$1217="","",[2]Entry!$D$1217)</f>
        <v/>
      </c>
      <c r="L1214" t="str">
        <f>IF([2]Entry!$E$1217="","",[2]Entry!$E$1217)</f>
        <v/>
      </c>
      <c r="M1214" t="str">
        <f>IF([2]Entry!$G$1217="","",[2]Entry!$G$1217)</f>
        <v/>
      </c>
      <c r="N1214" t="str">
        <f>IF([2]Entry!$M$1217="","",[2]Entry!$M$1217)</f>
        <v/>
      </c>
      <c r="O1214" t="str">
        <f>IF([2]Entry!$N$1217="","",[2]Entry!$N$1217)</f>
        <v/>
      </c>
      <c r="P1214" t="str">
        <f>IF([2]Entry!$R$1217="","",[2]Entry!$R$1217)</f>
        <v/>
      </c>
    </row>
    <row r="1215" spans="10:16" x14ac:dyDescent="0.2">
      <c r="J1215" t="str">
        <f>IF([2]Entry!$C$1218="","",[2]Entry!$C$1218)</f>
        <v/>
      </c>
      <c r="K1215" t="str">
        <f>IF([2]Entry!$D$1218="","",[2]Entry!$D$1218)</f>
        <v/>
      </c>
      <c r="L1215" t="str">
        <f>IF([2]Entry!$E$1218="","",[2]Entry!$E$1218)</f>
        <v/>
      </c>
      <c r="M1215" t="str">
        <f>IF([2]Entry!$G$1218="","",[2]Entry!$G$1218)</f>
        <v/>
      </c>
      <c r="N1215" t="str">
        <f>IF([2]Entry!$M$1218="","",[2]Entry!$M$1218)</f>
        <v/>
      </c>
      <c r="O1215" t="str">
        <f>IF([2]Entry!$N$1218="","",[2]Entry!$N$1218)</f>
        <v/>
      </c>
      <c r="P1215" t="str">
        <f>IF([2]Entry!$R$1218="","",[2]Entry!$R$1218)</f>
        <v/>
      </c>
    </row>
    <row r="1216" spans="10:16" x14ac:dyDescent="0.2">
      <c r="J1216" t="str">
        <f>IF([2]Entry!$C$1219="","",[2]Entry!$C$1219)</f>
        <v/>
      </c>
      <c r="K1216" t="str">
        <f>IF([2]Entry!$D$1219="","",[2]Entry!$D$1219)</f>
        <v/>
      </c>
      <c r="L1216" t="str">
        <f>IF([2]Entry!$E$1219="","",[2]Entry!$E$1219)</f>
        <v/>
      </c>
      <c r="M1216" t="str">
        <f>IF([2]Entry!$G$1219="","",[2]Entry!$G$1219)</f>
        <v/>
      </c>
      <c r="N1216" t="str">
        <f>IF([2]Entry!$M$1219="","",[2]Entry!$M$1219)</f>
        <v/>
      </c>
      <c r="O1216" t="str">
        <f>IF([2]Entry!$N$1219="","",[2]Entry!$N$1219)</f>
        <v/>
      </c>
      <c r="P1216" t="str">
        <f>IF([2]Entry!$R$1219="","",[2]Entry!$R$1219)</f>
        <v/>
      </c>
    </row>
    <row r="1217" spans="10:16" x14ac:dyDescent="0.2">
      <c r="J1217" t="str">
        <f>IF([2]Entry!$C$1220="","",[2]Entry!$C$1220)</f>
        <v/>
      </c>
      <c r="K1217" t="str">
        <f>IF([2]Entry!$D$1220="","",[2]Entry!$D$1220)</f>
        <v/>
      </c>
      <c r="L1217" t="str">
        <f>IF([2]Entry!$E$1220="","",[2]Entry!$E$1220)</f>
        <v/>
      </c>
      <c r="M1217" t="str">
        <f>IF([2]Entry!$G$1220="","",[2]Entry!$G$1220)</f>
        <v/>
      </c>
      <c r="N1217" t="str">
        <f>IF([2]Entry!$M$1220="","",[2]Entry!$M$1220)</f>
        <v/>
      </c>
      <c r="O1217" t="str">
        <f>IF([2]Entry!$N$1220="","",[2]Entry!$N$1220)</f>
        <v/>
      </c>
      <c r="P1217" t="str">
        <f>IF([2]Entry!$R$1220="","",[2]Entry!$R$1220)</f>
        <v/>
      </c>
    </row>
    <row r="1218" spans="10:16" x14ac:dyDescent="0.2">
      <c r="J1218" t="str">
        <f>IF([2]Entry!$C$1221="","",[2]Entry!$C$1221)</f>
        <v/>
      </c>
      <c r="K1218" t="str">
        <f>IF([2]Entry!$D$1221="","",[2]Entry!$D$1221)</f>
        <v/>
      </c>
      <c r="L1218" t="str">
        <f>IF([2]Entry!$E$1221="","",[2]Entry!$E$1221)</f>
        <v/>
      </c>
      <c r="M1218" t="str">
        <f>IF([2]Entry!$G$1221="","",[2]Entry!$G$1221)</f>
        <v/>
      </c>
      <c r="N1218" t="str">
        <f>IF([2]Entry!$M$1221="","",[2]Entry!$M$1221)</f>
        <v/>
      </c>
      <c r="O1218" t="str">
        <f>IF([2]Entry!$N$1221="","",[2]Entry!$N$1221)</f>
        <v/>
      </c>
      <c r="P1218" t="str">
        <f>IF([2]Entry!$R$1221="","",[2]Entry!$R$1221)</f>
        <v/>
      </c>
    </row>
    <row r="1219" spans="10:16" x14ac:dyDescent="0.2">
      <c r="J1219" t="str">
        <f>IF([2]Entry!$C$1222="","",[2]Entry!$C$1222)</f>
        <v/>
      </c>
      <c r="K1219" t="str">
        <f>IF([2]Entry!$D$1222="","",[2]Entry!$D$1222)</f>
        <v/>
      </c>
      <c r="L1219" t="str">
        <f>IF([2]Entry!$E$1222="","",[2]Entry!$E$1222)</f>
        <v/>
      </c>
      <c r="M1219" t="str">
        <f>IF([2]Entry!$G$1222="","",[2]Entry!$G$1222)</f>
        <v/>
      </c>
      <c r="N1219" t="str">
        <f>IF([2]Entry!$M$1222="","",[2]Entry!$M$1222)</f>
        <v/>
      </c>
      <c r="O1219" t="str">
        <f>IF([2]Entry!$N$1222="","",[2]Entry!$N$1222)</f>
        <v/>
      </c>
      <c r="P1219" t="str">
        <f>IF([2]Entry!$R$1222="","",[2]Entry!$R$1222)</f>
        <v/>
      </c>
    </row>
    <row r="1220" spans="10:16" x14ac:dyDescent="0.2">
      <c r="J1220" t="str">
        <f>IF([2]Entry!$C$1223="","",[2]Entry!$C$1223)</f>
        <v/>
      </c>
      <c r="K1220" t="str">
        <f>IF([2]Entry!$D$1223="","",[2]Entry!$D$1223)</f>
        <v/>
      </c>
      <c r="L1220" t="str">
        <f>IF([2]Entry!$E$1223="","",[2]Entry!$E$1223)</f>
        <v/>
      </c>
      <c r="M1220" t="str">
        <f>IF([2]Entry!$G$1223="","",[2]Entry!$G$1223)</f>
        <v/>
      </c>
      <c r="N1220" t="str">
        <f>IF([2]Entry!$M$1223="","",[2]Entry!$M$1223)</f>
        <v/>
      </c>
      <c r="O1220" t="str">
        <f>IF([2]Entry!$N$1223="","",[2]Entry!$N$1223)</f>
        <v/>
      </c>
      <c r="P1220" t="str">
        <f>IF([2]Entry!$R$1223="","",[2]Entry!$R$1223)</f>
        <v/>
      </c>
    </row>
    <row r="1221" spans="10:16" x14ac:dyDescent="0.2">
      <c r="J1221" t="str">
        <f>IF([2]Entry!$C$1224="","",[2]Entry!$C$1224)</f>
        <v/>
      </c>
      <c r="K1221" t="str">
        <f>IF([2]Entry!$D$1224="","",[2]Entry!$D$1224)</f>
        <v/>
      </c>
      <c r="L1221" t="str">
        <f>IF([2]Entry!$E$1224="","",[2]Entry!$E$1224)</f>
        <v/>
      </c>
      <c r="M1221" t="str">
        <f>IF([2]Entry!$G$1224="","",[2]Entry!$G$1224)</f>
        <v/>
      </c>
      <c r="N1221" t="str">
        <f>IF([2]Entry!$M$1224="","",[2]Entry!$M$1224)</f>
        <v/>
      </c>
      <c r="O1221" t="str">
        <f>IF([2]Entry!$N$1224="","",[2]Entry!$N$1224)</f>
        <v/>
      </c>
      <c r="P1221" t="str">
        <f>IF([2]Entry!$R$1224="","",[2]Entry!$R$1224)</f>
        <v/>
      </c>
    </row>
    <row r="1222" spans="10:16" x14ac:dyDescent="0.2">
      <c r="J1222" t="str">
        <f>IF([2]Entry!$C$1225="","",[2]Entry!$C$1225)</f>
        <v/>
      </c>
      <c r="K1222" t="str">
        <f>IF([2]Entry!$D$1225="","",[2]Entry!$D$1225)</f>
        <v/>
      </c>
      <c r="L1222" t="str">
        <f>IF([2]Entry!$E$1225="","",[2]Entry!$E$1225)</f>
        <v/>
      </c>
      <c r="M1222" t="str">
        <f>IF([2]Entry!$G$1225="","",[2]Entry!$G$1225)</f>
        <v/>
      </c>
      <c r="N1222" t="str">
        <f>IF([2]Entry!$M$1225="","",[2]Entry!$M$1225)</f>
        <v/>
      </c>
      <c r="O1222" t="str">
        <f>IF([2]Entry!$N$1225="","",[2]Entry!$N$1225)</f>
        <v/>
      </c>
      <c r="P1222" t="str">
        <f>IF([2]Entry!$R$1225="","",[2]Entry!$R$1225)</f>
        <v/>
      </c>
    </row>
    <row r="1223" spans="10:16" x14ac:dyDescent="0.2">
      <c r="J1223" t="str">
        <f>IF([2]Entry!$C$1226="","",[2]Entry!$C$1226)</f>
        <v/>
      </c>
      <c r="K1223" t="str">
        <f>IF([2]Entry!$D$1226="","",[2]Entry!$D$1226)</f>
        <v/>
      </c>
      <c r="L1223" t="str">
        <f>IF([2]Entry!$E$1226="","",[2]Entry!$E$1226)</f>
        <v/>
      </c>
      <c r="M1223" t="str">
        <f>IF([2]Entry!$G$1226="","",[2]Entry!$G$1226)</f>
        <v/>
      </c>
      <c r="N1223" t="str">
        <f>IF([2]Entry!$M$1226="","",[2]Entry!$M$1226)</f>
        <v/>
      </c>
      <c r="O1223" t="str">
        <f>IF([2]Entry!$N$1226="","",[2]Entry!$N$1226)</f>
        <v/>
      </c>
      <c r="P1223" t="str">
        <f>IF([2]Entry!$R$1226="","",[2]Entry!$R$1226)</f>
        <v/>
      </c>
    </row>
    <row r="1224" spans="10:16" x14ac:dyDescent="0.2">
      <c r="J1224" t="str">
        <f>IF([2]Entry!$C$1227="","",[2]Entry!$C$1227)</f>
        <v/>
      </c>
      <c r="K1224" t="str">
        <f>IF([2]Entry!$D$1227="","",[2]Entry!$D$1227)</f>
        <v/>
      </c>
      <c r="L1224" t="str">
        <f>IF([2]Entry!$E$1227="","",[2]Entry!$E$1227)</f>
        <v/>
      </c>
      <c r="M1224" t="str">
        <f>IF([2]Entry!$G$1227="","",[2]Entry!$G$1227)</f>
        <v/>
      </c>
      <c r="N1224" t="str">
        <f>IF([2]Entry!$M$1227="","",[2]Entry!$M$1227)</f>
        <v/>
      </c>
      <c r="O1224" t="str">
        <f>IF([2]Entry!$N$1227="","",[2]Entry!$N$1227)</f>
        <v/>
      </c>
      <c r="P1224" t="str">
        <f>IF([2]Entry!$R$1227="","",[2]Entry!$R$1227)</f>
        <v/>
      </c>
    </row>
    <row r="1225" spans="10:16" x14ac:dyDescent="0.2">
      <c r="J1225" t="str">
        <f>IF([2]Entry!$C$1228="","",[2]Entry!$C$1228)</f>
        <v/>
      </c>
      <c r="K1225" t="str">
        <f>IF([2]Entry!$D$1228="","",[2]Entry!$D$1228)</f>
        <v/>
      </c>
      <c r="L1225" t="str">
        <f>IF([2]Entry!$E$1228="","",[2]Entry!$E$1228)</f>
        <v/>
      </c>
      <c r="M1225" t="str">
        <f>IF([2]Entry!$G$1228="","",[2]Entry!$G$1228)</f>
        <v/>
      </c>
      <c r="N1225" t="str">
        <f>IF([2]Entry!$M$1228="","",[2]Entry!$M$1228)</f>
        <v/>
      </c>
      <c r="O1225" t="str">
        <f>IF([2]Entry!$N$1228="","",[2]Entry!$N$1228)</f>
        <v/>
      </c>
      <c r="P1225" t="str">
        <f>IF([2]Entry!$R$1228="","",[2]Entry!$R$1228)</f>
        <v/>
      </c>
    </row>
    <row r="1226" spans="10:16" x14ac:dyDescent="0.2">
      <c r="J1226" t="str">
        <f>IF([2]Entry!$C$1229="","",[2]Entry!$C$1229)</f>
        <v/>
      </c>
      <c r="K1226" t="str">
        <f>IF([2]Entry!$D$1229="","",[2]Entry!$D$1229)</f>
        <v/>
      </c>
      <c r="L1226" t="str">
        <f>IF([2]Entry!$E$1229="","",[2]Entry!$E$1229)</f>
        <v/>
      </c>
      <c r="M1226" t="str">
        <f>IF([2]Entry!$G$1229="","",[2]Entry!$G$1229)</f>
        <v/>
      </c>
      <c r="N1226" t="str">
        <f>IF([2]Entry!$M$1229="","",[2]Entry!$M$1229)</f>
        <v/>
      </c>
      <c r="O1226" t="str">
        <f>IF([2]Entry!$N$1229="","",[2]Entry!$N$1229)</f>
        <v/>
      </c>
      <c r="P1226" t="str">
        <f>IF([2]Entry!$R$1229="","",[2]Entry!$R$1229)</f>
        <v/>
      </c>
    </row>
    <row r="1227" spans="10:16" x14ac:dyDescent="0.2">
      <c r="J1227" t="str">
        <f>IF([2]Entry!$C$1230="","",[2]Entry!$C$1230)</f>
        <v/>
      </c>
      <c r="K1227" t="str">
        <f>IF([2]Entry!$D$1230="","",[2]Entry!$D$1230)</f>
        <v/>
      </c>
      <c r="L1227" t="str">
        <f>IF([2]Entry!$E$1230="","",[2]Entry!$E$1230)</f>
        <v/>
      </c>
      <c r="M1227" t="str">
        <f>IF([2]Entry!$G$1230="","",[2]Entry!$G$1230)</f>
        <v/>
      </c>
      <c r="N1227" t="str">
        <f>IF([2]Entry!$M$1230="","",[2]Entry!$M$1230)</f>
        <v/>
      </c>
      <c r="O1227" t="str">
        <f>IF([2]Entry!$N$1230="","",[2]Entry!$N$1230)</f>
        <v/>
      </c>
      <c r="P1227" t="str">
        <f>IF([2]Entry!$R$1230="","",[2]Entry!$R$1230)</f>
        <v/>
      </c>
    </row>
    <row r="1228" spans="10:16" x14ac:dyDescent="0.2">
      <c r="J1228" t="str">
        <f>IF([2]Entry!$C$1231="","",[2]Entry!$C$1231)</f>
        <v/>
      </c>
      <c r="K1228" t="str">
        <f>IF([2]Entry!$D$1231="","",[2]Entry!$D$1231)</f>
        <v/>
      </c>
      <c r="L1228" t="str">
        <f>IF([2]Entry!$E$1231="","",[2]Entry!$E$1231)</f>
        <v/>
      </c>
      <c r="M1228" t="str">
        <f>IF([2]Entry!$G$1231="","",[2]Entry!$G$1231)</f>
        <v/>
      </c>
      <c r="N1228" t="str">
        <f>IF([2]Entry!$M$1231="","",[2]Entry!$M$1231)</f>
        <v/>
      </c>
      <c r="O1228" t="str">
        <f>IF([2]Entry!$N$1231="","",[2]Entry!$N$1231)</f>
        <v/>
      </c>
      <c r="P1228" t="str">
        <f>IF([2]Entry!$R$1231="","",[2]Entry!$R$1231)</f>
        <v/>
      </c>
    </row>
    <row r="1229" spans="10:16" x14ac:dyDescent="0.2">
      <c r="J1229" t="str">
        <f>IF([2]Entry!$C$1232="","",[2]Entry!$C$1232)</f>
        <v/>
      </c>
      <c r="K1229" t="str">
        <f>IF([2]Entry!$D$1232="","",[2]Entry!$D$1232)</f>
        <v/>
      </c>
      <c r="L1229" t="str">
        <f>IF([2]Entry!$E$1232="","",[2]Entry!$E$1232)</f>
        <v/>
      </c>
      <c r="M1229" t="str">
        <f>IF([2]Entry!$G$1232="","",[2]Entry!$G$1232)</f>
        <v/>
      </c>
      <c r="N1229" t="str">
        <f>IF([2]Entry!$M$1232="","",[2]Entry!$M$1232)</f>
        <v/>
      </c>
      <c r="O1229" t="str">
        <f>IF([2]Entry!$N$1232="","",[2]Entry!$N$1232)</f>
        <v/>
      </c>
      <c r="P1229" t="str">
        <f>IF([2]Entry!$R$1232="","",[2]Entry!$R$1232)</f>
        <v/>
      </c>
    </row>
    <row r="1230" spans="10:16" x14ac:dyDescent="0.2">
      <c r="J1230" t="str">
        <f>IF([2]Entry!$C$1233="","",[2]Entry!$C$1233)</f>
        <v/>
      </c>
      <c r="K1230" t="str">
        <f>IF([2]Entry!$D$1233="","",[2]Entry!$D$1233)</f>
        <v/>
      </c>
      <c r="L1230" t="str">
        <f>IF([2]Entry!$E$1233="","",[2]Entry!$E$1233)</f>
        <v/>
      </c>
      <c r="M1230" t="str">
        <f>IF([2]Entry!$G$1233="","",[2]Entry!$G$1233)</f>
        <v/>
      </c>
      <c r="N1230" t="str">
        <f>IF([2]Entry!$M$1233="","",[2]Entry!$M$1233)</f>
        <v/>
      </c>
      <c r="O1230" t="str">
        <f>IF([2]Entry!$N$1233="","",[2]Entry!$N$1233)</f>
        <v/>
      </c>
      <c r="P1230" t="str">
        <f>IF([2]Entry!$R$1233="","",[2]Entry!$R$1233)</f>
        <v/>
      </c>
    </row>
    <row r="1231" spans="10:16" x14ac:dyDescent="0.2">
      <c r="J1231" t="str">
        <f>IF([2]Entry!$C$1234="","",[2]Entry!$C$1234)</f>
        <v/>
      </c>
      <c r="K1231" t="str">
        <f>IF([2]Entry!$D$1234="","",[2]Entry!$D$1234)</f>
        <v/>
      </c>
      <c r="L1231" t="str">
        <f>IF([2]Entry!$E$1234="","",[2]Entry!$E$1234)</f>
        <v/>
      </c>
      <c r="M1231" t="str">
        <f>IF([2]Entry!$G$1234="","",[2]Entry!$G$1234)</f>
        <v/>
      </c>
      <c r="N1231" t="str">
        <f>IF([2]Entry!$M$1234="","",[2]Entry!$M$1234)</f>
        <v/>
      </c>
      <c r="O1231" t="str">
        <f>IF([2]Entry!$N$1234="","",[2]Entry!$N$1234)</f>
        <v/>
      </c>
      <c r="P1231" t="str">
        <f>IF([2]Entry!$R$1234="","",[2]Entry!$R$1234)</f>
        <v/>
      </c>
    </row>
    <row r="1232" spans="10:16" x14ac:dyDescent="0.2">
      <c r="J1232" t="str">
        <f>IF([2]Entry!$C$1235="","",[2]Entry!$C$1235)</f>
        <v/>
      </c>
      <c r="K1232" t="str">
        <f>IF([2]Entry!$D$1235="","",[2]Entry!$D$1235)</f>
        <v/>
      </c>
      <c r="L1232" t="str">
        <f>IF([2]Entry!$E$1235="","",[2]Entry!$E$1235)</f>
        <v/>
      </c>
      <c r="M1232" t="str">
        <f>IF([2]Entry!$G$1235="","",[2]Entry!$G$1235)</f>
        <v/>
      </c>
      <c r="N1232" t="str">
        <f>IF([2]Entry!$M$1235="","",[2]Entry!$M$1235)</f>
        <v/>
      </c>
      <c r="O1232" t="str">
        <f>IF([2]Entry!$N$1235="","",[2]Entry!$N$1235)</f>
        <v/>
      </c>
      <c r="P1232" t="str">
        <f>IF([2]Entry!$R$1235="","",[2]Entry!$R$1235)</f>
        <v/>
      </c>
    </row>
    <row r="1233" spans="10:16" x14ac:dyDescent="0.2">
      <c r="J1233" t="str">
        <f>IF([2]Entry!$C$1236="","",[2]Entry!$C$1236)</f>
        <v/>
      </c>
      <c r="K1233" t="str">
        <f>IF([2]Entry!$D$1236="","",[2]Entry!$D$1236)</f>
        <v/>
      </c>
      <c r="L1233" t="str">
        <f>IF([2]Entry!$E$1236="","",[2]Entry!$E$1236)</f>
        <v/>
      </c>
      <c r="M1233" t="str">
        <f>IF([2]Entry!$G$1236="","",[2]Entry!$G$1236)</f>
        <v/>
      </c>
      <c r="N1233" t="str">
        <f>IF([2]Entry!$M$1236="","",[2]Entry!$M$1236)</f>
        <v/>
      </c>
      <c r="O1233" t="str">
        <f>IF([2]Entry!$N$1236="","",[2]Entry!$N$1236)</f>
        <v/>
      </c>
      <c r="P1233" t="str">
        <f>IF([2]Entry!$R$1236="","",[2]Entry!$R$1236)</f>
        <v/>
      </c>
    </row>
    <row r="1234" spans="10:16" x14ac:dyDescent="0.2">
      <c r="J1234" t="str">
        <f>IF([2]Entry!$C$1237="","",[2]Entry!$C$1237)</f>
        <v/>
      </c>
      <c r="K1234" t="str">
        <f>IF([2]Entry!$D$1237="","",[2]Entry!$D$1237)</f>
        <v/>
      </c>
      <c r="L1234" t="str">
        <f>IF([2]Entry!$E$1237="","",[2]Entry!$E$1237)</f>
        <v/>
      </c>
      <c r="M1234" t="str">
        <f>IF([2]Entry!$G$1237="","",[2]Entry!$G$1237)</f>
        <v/>
      </c>
      <c r="N1234" t="str">
        <f>IF([2]Entry!$M$1237="","",[2]Entry!$M$1237)</f>
        <v/>
      </c>
      <c r="O1234" t="str">
        <f>IF([2]Entry!$N$1237="","",[2]Entry!$N$1237)</f>
        <v/>
      </c>
      <c r="P1234" t="str">
        <f>IF([2]Entry!$R$1237="","",[2]Entry!$R$1237)</f>
        <v/>
      </c>
    </row>
    <row r="1235" spans="10:16" x14ac:dyDescent="0.2">
      <c r="J1235" t="str">
        <f>IF([2]Entry!$C$1238="","",[2]Entry!$C$1238)</f>
        <v/>
      </c>
      <c r="K1235" t="str">
        <f>IF([2]Entry!$D$1238="","",[2]Entry!$D$1238)</f>
        <v/>
      </c>
      <c r="L1235" t="str">
        <f>IF([2]Entry!$E$1238="","",[2]Entry!$E$1238)</f>
        <v/>
      </c>
      <c r="M1235" t="str">
        <f>IF([2]Entry!$G$1238="","",[2]Entry!$G$1238)</f>
        <v/>
      </c>
      <c r="N1235" t="str">
        <f>IF([2]Entry!$M$1238="","",[2]Entry!$M$1238)</f>
        <v/>
      </c>
      <c r="O1235" t="str">
        <f>IF([2]Entry!$N$1238="","",[2]Entry!$N$1238)</f>
        <v/>
      </c>
      <c r="P1235" t="str">
        <f>IF([2]Entry!$R$1238="","",[2]Entry!$R$1238)</f>
        <v/>
      </c>
    </row>
    <row r="1236" spans="10:16" x14ac:dyDescent="0.2">
      <c r="J1236" t="str">
        <f>IF([2]Entry!$C$1239="","",[2]Entry!$C$1239)</f>
        <v/>
      </c>
      <c r="K1236" t="str">
        <f>IF([2]Entry!$D$1239="","",[2]Entry!$D$1239)</f>
        <v/>
      </c>
      <c r="L1236" t="str">
        <f>IF([2]Entry!$E$1239="","",[2]Entry!$E$1239)</f>
        <v/>
      </c>
      <c r="M1236" t="str">
        <f>IF([2]Entry!$G$1239="","",[2]Entry!$G$1239)</f>
        <v/>
      </c>
      <c r="N1236" t="str">
        <f>IF([2]Entry!$M$1239="","",[2]Entry!$M$1239)</f>
        <v/>
      </c>
      <c r="O1236" t="str">
        <f>IF([2]Entry!$N$1239="","",[2]Entry!$N$1239)</f>
        <v/>
      </c>
      <c r="P1236" t="str">
        <f>IF([2]Entry!$R$1239="","",[2]Entry!$R$1239)</f>
        <v/>
      </c>
    </row>
    <row r="1237" spans="10:16" x14ac:dyDescent="0.2">
      <c r="J1237" t="str">
        <f>IF([2]Entry!$C$1240="","",[2]Entry!$C$1240)</f>
        <v/>
      </c>
      <c r="K1237" t="str">
        <f>IF([2]Entry!$D$1240="","",[2]Entry!$D$1240)</f>
        <v/>
      </c>
      <c r="L1237" t="str">
        <f>IF([2]Entry!$E$1240="","",[2]Entry!$E$1240)</f>
        <v/>
      </c>
      <c r="M1237" t="str">
        <f>IF([2]Entry!$G$1240="","",[2]Entry!$G$1240)</f>
        <v/>
      </c>
      <c r="N1237" t="str">
        <f>IF([2]Entry!$M$1240="","",[2]Entry!$M$1240)</f>
        <v/>
      </c>
      <c r="O1237" t="str">
        <f>IF([2]Entry!$N$1240="","",[2]Entry!$N$1240)</f>
        <v/>
      </c>
      <c r="P1237" t="str">
        <f>IF([2]Entry!$R$1240="","",[2]Entry!$R$1240)</f>
        <v/>
      </c>
    </row>
    <row r="1238" spans="10:16" x14ac:dyDescent="0.2">
      <c r="J1238" t="str">
        <f>IF([2]Entry!$C$1241="","",[2]Entry!$C$1241)</f>
        <v/>
      </c>
      <c r="K1238" t="str">
        <f>IF([2]Entry!$D$1241="","",[2]Entry!$D$1241)</f>
        <v/>
      </c>
      <c r="L1238" t="str">
        <f>IF([2]Entry!$E$1241="","",[2]Entry!$E$1241)</f>
        <v/>
      </c>
      <c r="M1238" t="str">
        <f>IF([2]Entry!$G$1241="","",[2]Entry!$G$1241)</f>
        <v/>
      </c>
      <c r="N1238" t="str">
        <f>IF([2]Entry!$M$1241="","",[2]Entry!$M$1241)</f>
        <v/>
      </c>
      <c r="O1238" t="str">
        <f>IF([2]Entry!$N$1241="","",[2]Entry!$N$1241)</f>
        <v/>
      </c>
      <c r="P1238" t="str">
        <f>IF([2]Entry!$R$1241="","",[2]Entry!$R$1241)</f>
        <v/>
      </c>
    </row>
    <row r="1239" spans="10:16" x14ac:dyDescent="0.2">
      <c r="J1239" t="str">
        <f>IF([2]Entry!$C$1242="","",[2]Entry!$C$1242)</f>
        <v/>
      </c>
      <c r="K1239" t="str">
        <f>IF([2]Entry!$D$1242="","",[2]Entry!$D$1242)</f>
        <v/>
      </c>
      <c r="L1239" t="str">
        <f>IF([2]Entry!$E$1242="","",[2]Entry!$E$1242)</f>
        <v/>
      </c>
      <c r="M1239" t="str">
        <f>IF([2]Entry!$G$1242="","",[2]Entry!$G$1242)</f>
        <v/>
      </c>
      <c r="N1239" t="str">
        <f>IF([2]Entry!$M$1242="","",[2]Entry!$M$1242)</f>
        <v/>
      </c>
      <c r="O1239" t="str">
        <f>IF([2]Entry!$N$1242="","",[2]Entry!$N$1242)</f>
        <v/>
      </c>
      <c r="P1239" t="str">
        <f>IF([2]Entry!$R$1242="","",[2]Entry!$R$1242)</f>
        <v/>
      </c>
    </row>
    <row r="1240" spans="10:16" x14ac:dyDescent="0.2">
      <c r="J1240" t="str">
        <f>IF([2]Entry!$C$1243="","",[2]Entry!$C$1243)</f>
        <v/>
      </c>
      <c r="K1240" t="str">
        <f>IF([2]Entry!$D$1243="","",[2]Entry!$D$1243)</f>
        <v/>
      </c>
      <c r="L1240" t="str">
        <f>IF([2]Entry!$E$1243="","",[2]Entry!$E$1243)</f>
        <v/>
      </c>
      <c r="M1240" t="str">
        <f>IF([2]Entry!$G$1243="","",[2]Entry!$G$1243)</f>
        <v/>
      </c>
      <c r="N1240" t="str">
        <f>IF([2]Entry!$M$1243="","",[2]Entry!$M$1243)</f>
        <v/>
      </c>
      <c r="O1240" t="str">
        <f>IF([2]Entry!$N$1243="","",[2]Entry!$N$1243)</f>
        <v/>
      </c>
      <c r="P1240" t="str">
        <f>IF([2]Entry!$R$1243="","",[2]Entry!$R$1243)</f>
        <v/>
      </c>
    </row>
    <row r="1241" spans="10:16" x14ac:dyDescent="0.2">
      <c r="J1241" t="str">
        <f>IF([2]Entry!$C$1244="","",[2]Entry!$C$1244)</f>
        <v/>
      </c>
      <c r="K1241" t="str">
        <f>IF([2]Entry!$D$1244="","",[2]Entry!$D$1244)</f>
        <v/>
      </c>
      <c r="L1241" t="str">
        <f>IF([2]Entry!$E$1244="","",[2]Entry!$E$1244)</f>
        <v/>
      </c>
      <c r="M1241" t="str">
        <f>IF([2]Entry!$G$1244="","",[2]Entry!$G$1244)</f>
        <v/>
      </c>
      <c r="N1241" t="str">
        <f>IF([2]Entry!$M$1244="","",[2]Entry!$M$1244)</f>
        <v/>
      </c>
      <c r="O1241" t="str">
        <f>IF([2]Entry!$N$1244="","",[2]Entry!$N$1244)</f>
        <v/>
      </c>
      <c r="P1241" t="str">
        <f>IF([2]Entry!$R$1244="","",[2]Entry!$R$1244)</f>
        <v/>
      </c>
    </row>
    <row r="1242" spans="10:16" x14ac:dyDescent="0.2">
      <c r="J1242" t="str">
        <f>IF([2]Entry!$C$1245="","",[2]Entry!$C$1245)</f>
        <v/>
      </c>
      <c r="K1242" t="str">
        <f>IF([2]Entry!$D$1245="","",[2]Entry!$D$1245)</f>
        <v/>
      </c>
      <c r="L1242" t="str">
        <f>IF([2]Entry!$E$1245="","",[2]Entry!$E$1245)</f>
        <v/>
      </c>
      <c r="M1242" t="str">
        <f>IF([2]Entry!$G$1245="","",[2]Entry!$G$1245)</f>
        <v/>
      </c>
      <c r="N1242" t="str">
        <f>IF([2]Entry!$M$1245="","",[2]Entry!$M$1245)</f>
        <v/>
      </c>
      <c r="O1242" t="str">
        <f>IF([2]Entry!$N$1245="","",[2]Entry!$N$1245)</f>
        <v/>
      </c>
      <c r="P1242" t="str">
        <f>IF([2]Entry!$R$1245="","",[2]Entry!$R$1245)</f>
        <v/>
      </c>
    </row>
    <row r="1243" spans="10:16" x14ac:dyDescent="0.2">
      <c r="J1243" t="str">
        <f>IF([2]Entry!$C$1246="","",[2]Entry!$C$1246)</f>
        <v/>
      </c>
      <c r="K1243" t="str">
        <f>IF([2]Entry!$D$1246="","",[2]Entry!$D$1246)</f>
        <v/>
      </c>
      <c r="L1243" t="str">
        <f>IF([2]Entry!$E$1246="","",[2]Entry!$E$1246)</f>
        <v/>
      </c>
      <c r="M1243" t="str">
        <f>IF([2]Entry!$G$1246="","",[2]Entry!$G$1246)</f>
        <v/>
      </c>
      <c r="N1243" t="str">
        <f>IF([2]Entry!$M$1246="","",[2]Entry!$M$1246)</f>
        <v/>
      </c>
      <c r="O1243" t="str">
        <f>IF([2]Entry!$N$1246="","",[2]Entry!$N$1246)</f>
        <v/>
      </c>
      <c r="P1243" t="str">
        <f>IF([2]Entry!$R$1246="","",[2]Entry!$R$1246)</f>
        <v/>
      </c>
    </row>
    <row r="1244" spans="10:16" x14ac:dyDescent="0.2">
      <c r="J1244" t="str">
        <f>IF([2]Entry!$C$1247="","",[2]Entry!$C$1247)</f>
        <v/>
      </c>
      <c r="K1244" t="str">
        <f>IF([2]Entry!$D$1247="","",[2]Entry!$D$1247)</f>
        <v/>
      </c>
      <c r="L1244" t="str">
        <f>IF([2]Entry!$E$1247="","",[2]Entry!$E$1247)</f>
        <v/>
      </c>
      <c r="M1244" t="str">
        <f>IF([2]Entry!$G$1247="","",[2]Entry!$G$1247)</f>
        <v/>
      </c>
      <c r="N1244" t="str">
        <f>IF([2]Entry!$M$1247="","",[2]Entry!$M$1247)</f>
        <v/>
      </c>
      <c r="O1244" t="str">
        <f>IF([2]Entry!$N$1247="","",[2]Entry!$N$1247)</f>
        <v/>
      </c>
      <c r="P1244" t="str">
        <f>IF([2]Entry!$R$1247="","",[2]Entry!$R$1247)</f>
        <v/>
      </c>
    </row>
    <row r="1245" spans="10:16" x14ac:dyDescent="0.2">
      <c r="J1245" t="str">
        <f>IF([2]Entry!$C$1248="","",[2]Entry!$C$1248)</f>
        <v/>
      </c>
      <c r="K1245" t="str">
        <f>IF([2]Entry!$D$1248="","",[2]Entry!$D$1248)</f>
        <v/>
      </c>
      <c r="L1245" t="str">
        <f>IF([2]Entry!$E$1248="","",[2]Entry!$E$1248)</f>
        <v/>
      </c>
      <c r="M1245" t="str">
        <f>IF([2]Entry!$G$1248="","",[2]Entry!$G$1248)</f>
        <v/>
      </c>
      <c r="N1245" t="str">
        <f>IF([2]Entry!$M$1248="","",[2]Entry!$M$1248)</f>
        <v/>
      </c>
      <c r="O1245" t="str">
        <f>IF([2]Entry!$N$1248="","",[2]Entry!$N$1248)</f>
        <v/>
      </c>
      <c r="P1245" t="str">
        <f>IF([2]Entry!$R$1248="","",[2]Entry!$R$1248)</f>
        <v/>
      </c>
    </row>
    <row r="1246" spans="10:16" x14ac:dyDescent="0.2">
      <c r="J1246" t="str">
        <f>IF([2]Entry!$C$1249="","",[2]Entry!$C$1249)</f>
        <v/>
      </c>
      <c r="K1246" t="str">
        <f>IF([2]Entry!$D$1249="","",[2]Entry!$D$1249)</f>
        <v/>
      </c>
      <c r="L1246" t="str">
        <f>IF([2]Entry!$E$1249="","",[2]Entry!$E$1249)</f>
        <v/>
      </c>
      <c r="M1246" t="str">
        <f>IF([2]Entry!$G$1249="","",[2]Entry!$G$1249)</f>
        <v/>
      </c>
      <c r="N1246" t="str">
        <f>IF([2]Entry!$M$1249="","",[2]Entry!$M$1249)</f>
        <v/>
      </c>
      <c r="O1246" t="str">
        <f>IF([2]Entry!$N$1249="","",[2]Entry!$N$1249)</f>
        <v/>
      </c>
      <c r="P1246" t="str">
        <f>IF([2]Entry!$R$1249="","",[2]Entry!$R$1249)</f>
        <v/>
      </c>
    </row>
    <row r="1247" spans="10:16" x14ac:dyDescent="0.2">
      <c r="J1247" t="str">
        <f>IF([2]Entry!$C$1250="","",[2]Entry!$C$1250)</f>
        <v/>
      </c>
      <c r="K1247" t="str">
        <f>IF([2]Entry!$D$1250="","",[2]Entry!$D$1250)</f>
        <v/>
      </c>
      <c r="L1247" t="str">
        <f>IF([2]Entry!$E$1250="","",[2]Entry!$E$1250)</f>
        <v/>
      </c>
      <c r="M1247" t="str">
        <f>IF([2]Entry!$G$1250="","",[2]Entry!$G$1250)</f>
        <v/>
      </c>
      <c r="N1247" t="str">
        <f>IF([2]Entry!$M$1250="","",[2]Entry!$M$1250)</f>
        <v/>
      </c>
      <c r="O1247" t="str">
        <f>IF([2]Entry!$N$1250="","",[2]Entry!$N$1250)</f>
        <v/>
      </c>
      <c r="P1247" t="str">
        <f>IF([2]Entry!$R$1250="","",[2]Entry!$R$1250)</f>
        <v/>
      </c>
    </row>
    <row r="1248" spans="10:16" x14ac:dyDescent="0.2">
      <c r="J1248" t="str">
        <f>IF([2]Entry!$C$1251="","",[2]Entry!$C$1251)</f>
        <v/>
      </c>
      <c r="K1248" t="str">
        <f>IF([2]Entry!$D$1251="","",[2]Entry!$D$1251)</f>
        <v/>
      </c>
      <c r="L1248" t="str">
        <f>IF([2]Entry!$E$1251="","",[2]Entry!$E$1251)</f>
        <v/>
      </c>
      <c r="M1248" t="str">
        <f>IF([2]Entry!$G$1251="","",[2]Entry!$G$1251)</f>
        <v/>
      </c>
      <c r="N1248" t="str">
        <f>IF([2]Entry!$M$1251="","",[2]Entry!$M$1251)</f>
        <v/>
      </c>
      <c r="O1248" t="str">
        <f>IF([2]Entry!$N$1251="","",[2]Entry!$N$1251)</f>
        <v/>
      </c>
      <c r="P1248" t="str">
        <f>IF([2]Entry!$R$1251="","",[2]Entry!$R$1251)</f>
        <v/>
      </c>
    </row>
    <row r="1249" spans="10:16" x14ac:dyDescent="0.2">
      <c r="J1249" t="str">
        <f>IF([2]Entry!$C$1252="","",[2]Entry!$C$1252)</f>
        <v/>
      </c>
      <c r="K1249" t="str">
        <f>IF([2]Entry!$D$1252="","",[2]Entry!$D$1252)</f>
        <v/>
      </c>
      <c r="L1249" t="str">
        <f>IF([2]Entry!$E$1252="","",[2]Entry!$E$1252)</f>
        <v/>
      </c>
      <c r="M1249" t="str">
        <f>IF([2]Entry!$G$1252="","",[2]Entry!$G$1252)</f>
        <v/>
      </c>
      <c r="N1249" t="str">
        <f>IF([2]Entry!$M$1252="","",[2]Entry!$M$1252)</f>
        <v/>
      </c>
      <c r="O1249" t="str">
        <f>IF([2]Entry!$N$1252="","",[2]Entry!$N$1252)</f>
        <v/>
      </c>
      <c r="P1249" t="str">
        <f>IF([2]Entry!$R$1252="","",[2]Entry!$R$1252)</f>
        <v/>
      </c>
    </row>
    <row r="1250" spans="10:16" x14ac:dyDescent="0.2">
      <c r="J1250" t="str">
        <f>IF([2]Entry!$C$1253="","",[2]Entry!$C$1253)</f>
        <v/>
      </c>
      <c r="K1250" t="str">
        <f>IF([2]Entry!$D$1253="","",[2]Entry!$D$1253)</f>
        <v/>
      </c>
      <c r="L1250" t="str">
        <f>IF([2]Entry!$E$1253="","",[2]Entry!$E$1253)</f>
        <v/>
      </c>
      <c r="M1250" t="str">
        <f>IF([2]Entry!$G$1253="","",[2]Entry!$G$1253)</f>
        <v/>
      </c>
      <c r="N1250" t="str">
        <f>IF([2]Entry!$M$1253="","",[2]Entry!$M$1253)</f>
        <v/>
      </c>
      <c r="O1250" t="str">
        <f>IF([2]Entry!$N$1253="","",[2]Entry!$N$1253)</f>
        <v/>
      </c>
      <c r="P1250" t="str">
        <f>IF([2]Entry!$R$1253="","",[2]Entry!$R$1253)</f>
        <v/>
      </c>
    </row>
    <row r="1251" spans="10:16" x14ac:dyDescent="0.2">
      <c r="J1251" t="str">
        <f>IF([2]Entry!$C$1254="","",[2]Entry!$C$1254)</f>
        <v/>
      </c>
      <c r="K1251" t="str">
        <f>IF([2]Entry!$D$1254="","",[2]Entry!$D$1254)</f>
        <v/>
      </c>
      <c r="L1251" t="str">
        <f>IF([2]Entry!$E$1254="","",[2]Entry!$E$1254)</f>
        <v/>
      </c>
      <c r="M1251" t="str">
        <f>IF([2]Entry!$G$1254="","",[2]Entry!$G$1254)</f>
        <v/>
      </c>
      <c r="N1251" t="str">
        <f>IF([2]Entry!$M$1254="","",[2]Entry!$M$1254)</f>
        <v/>
      </c>
      <c r="O1251" t="str">
        <f>IF([2]Entry!$N$1254="","",[2]Entry!$N$1254)</f>
        <v/>
      </c>
      <c r="P1251" t="str">
        <f>IF([2]Entry!$R$1254="","",[2]Entry!$R$1254)</f>
        <v/>
      </c>
    </row>
    <row r="1252" spans="10:16" x14ac:dyDescent="0.2">
      <c r="J1252" t="str">
        <f>IF([2]Entry!$C$1255="","",[2]Entry!$C$1255)</f>
        <v/>
      </c>
      <c r="K1252" t="str">
        <f>IF([2]Entry!$D$1255="","",[2]Entry!$D$1255)</f>
        <v/>
      </c>
      <c r="L1252" t="str">
        <f>IF([2]Entry!$E$1255="","",[2]Entry!$E$1255)</f>
        <v/>
      </c>
      <c r="M1252" t="str">
        <f>IF([2]Entry!$G$1255="","",[2]Entry!$G$1255)</f>
        <v/>
      </c>
      <c r="N1252" t="str">
        <f>IF([2]Entry!$M$1255="","",[2]Entry!$M$1255)</f>
        <v/>
      </c>
      <c r="O1252" t="str">
        <f>IF([2]Entry!$N$1255="","",[2]Entry!$N$1255)</f>
        <v/>
      </c>
      <c r="P1252" t="str">
        <f>IF([2]Entry!$R$1255="","",[2]Entry!$R$1255)</f>
        <v/>
      </c>
    </row>
    <row r="1253" spans="10:16" x14ac:dyDescent="0.2">
      <c r="J1253" t="str">
        <f>IF([2]Entry!$C$1256="","",[2]Entry!$C$1256)</f>
        <v/>
      </c>
      <c r="K1253" t="str">
        <f>IF([2]Entry!$D$1256="","",[2]Entry!$D$1256)</f>
        <v/>
      </c>
      <c r="L1253" t="str">
        <f>IF([2]Entry!$E$1256="","",[2]Entry!$E$1256)</f>
        <v/>
      </c>
      <c r="M1253" t="str">
        <f>IF([2]Entry!$G$1256="","",[2]Entry!$G$1256)</f>
        <v/>
      </c>
      <c r="N1253" t="str">
        <f>IF([2]Entry!$M$1256="","",[2]Entry!$M$1256)</f>
        <v/>
      </c>
      <c r="O1253" t="str">
        <f>IF([2]Entry!$N$1256="","",[2]Entry!$N$1256)</f>
        <v/>
      </c>
      <c r="P1253" t="str">
        <f>IF([2]Entry!$R$1256="","",[2]Entry!$R$1256)</f>
        <v/>
      </c>
    </row>
    <row r="1254" spans="10:16" x14ac:dyDescent="0.2">
      <c r="J1254" t="str">
        <f>IF([2]Entry!$C$1257="","",[2]Entry!$C$1257)</f>
        <v/>
      </c>
      <c r="K1254" t="str">
        <f>IF([2]Entry!$D$1257="","",[2]Entry!$D$1257)</f>
        <v/>
      </c>
      <c r="L1254" t="str">
        <f>IF([2]Entry!$E$1257="","",[2]Entry!$E$1257)</f>
        <v/>
      </c>
      <c r="M1254" t="str">
        <f>IF([2]Entry!$G$1257="","",[2]Entry!$G$1257)</f>
        <v/>
      </c>
      <c r="N1254" t="str">
        <f>IF([2]Entry!$M$1257="","",[2]Entry!$M$1257)</f>
        <v/>
      </c>
      <c r="O1254" t="str">
        <f>IF([2]Entry!$N$1257="","",[2]Entry!$N$1257)</f>
        <v/>
      </c>
      <c r="P1254" t="str">
        <f>IF([2]Entry!$R$1257="","",[2]Entry!$R$1257)</f>
        <v/>
      </c>
    </row>
    <row r="1255" spans="10:16" x14ac:dyDescent="0.2">
      <c r="J1255" t="str">
        <f>IF([2]Entry!$C$1258="","",[2]Entry!$C$1258)</f>
        <v/>
      </c>
      <c r="K1255" t="str">
        <f>IF([2]Entry!$D$1258="","",[2]Entry!$D$1258)</f>
        <v/>
      </c>
      <c r="L1255" t="str">
        <f>IF([2]Entry!$E$1258="","",[2]Entry!$E$1258)</f>
        <v/>
      </c>
      <c r="M1255" t="str">
        <f>IF([2]Entry!$G$1258="","",[2]Entry!$G$1258)</f>
        <v/>
      </c>
      <c r="N1255" t="str">
        <f>IF([2]Entry!$M$1258="","",[2]Entry!$M$1258)</f>
        <v/>
      </c>
      <c r="O1255" t="str">
        <f>IF([2]Entry!$N$1258="","",[2]Entry!$N$1258)</f>
        <v/>
      </c>
      <c r="P1255" t="str">
        <f>IF([2]Entry!$R$1258="","",[2]Entry!$R$1258)</f>
        <v/>
      </c>
    </row>
    <row r="1256" spans="10:16" x14ac:dyDescent="0.2">
      <c r="J1256" t="str">
        <f>IF([2]Entry!$C$1259="","",[2]Entry!$C$1259)</f>
        <v/>
      </c>
      <c r="K1256" t="str">
        <f>IF([2]Entry!$D$1259="","",[2]Entry!$D$1259)</f>
        <v/>
      </c>
      <c r="L1256" t="str">
        <f>IF([2]Entry!$E$1259="","",[2]Entry!$E$1259)</f>
        <v/>
      </c>
      <c r="M1256" t="str">
        <f>IF([2]Entry!$G$1259="","",[2]Entry!$G$1259)</f>
        <v/>
      </c>
      <c r="N1256" t="str">
        <f>IF([2]Entry!$M$1259="","",[2]Entry!$M$1259)</f>
        <v/>
      </c>
      <c r="O1256" t="str">
        <f>IF([2]Entry!$N$1259="","",[2]Entry!$N$1259)</f>
        <v/>
      </c>
      <c r="P1256" t="str">
        <f>IF([2]Entry!$R$1259="","",[2]Entry!$R$1259)</f>
        <v/>
      </c>
    </row>
    <row r="1257" spans="10:16" x14ac:dyDescent="0.2">
      <c r="J1257" t="str">
        <f>IF([2]Entry!$C$1260="","",[2]Entry!$C$1260)</f>
        <v/>
      </c>
      <c r="K1257" t="str">
        <f>IF([2]Entry!$D$1260="","",[2]Entry!$D$1260)</f>
        <v/>
      </c>
      <c r="L1257" t="str">
        <f>IF([2]Entry!$E$1260="","",[2]Entry!$E$1260)</f>
        <v/>
      </c>
      <c r="M1257" t="str">
        <f>IF([2]Entry!$G$1260="","",[2]Entry!$G$1260)</f>
        <v/>
      </c>
      <c r="N1257" t="str">
        <f>IF([2]Entry!$M$1260="","",[2]Entry!$M$1260)</f>
        <v/>
      </c>
      <c r="O1257" t="str">
        <f>IF([2]Entry!$N$1260="","",[2]Entry!$N$1260)</f>
        <v/>
      </c>
      <c r="P1257" t="str">
        <f>IF([2]Entry!$R$1260="","",[2]Entry!$R$1260)</f>
        <v/>
      </c>
    </row>
    <row r="1258" spans="10:16" x14ac:dyDescent="0.2">
      <c r="J1258" t="str">
        <f>IF([2]Entry!$C$1261="","",[2]Entry!$C$1261)</f>
        <v/>
      </c>
      <c r="K1258" t="str">
        <f>IF([2]Entry!$D$1261="","",[2]Entry!$D$1261)</f>
        <v/>
      </c>
      <c r="L1258" t="str">
        <f>IF([2]Entry!$E$1261="","",[2]Entry!$E$1261)</f>
        <v/>
      </c>
      <c r="M1258" t="str">
        <f>IF([2]Entry!$G$1261="","",[2]Entry!$G$1261)</f>
        <v/>
      </c>
      <c r="N1258" t="str">
        <f>IF([2]Entry!$M$1261="","",[2]Entry!$M$1261)</f>
        <v/>
      </c>
      <c r="O1258" t="str">
        <f>IF([2]Entry!$N$1261="","",[2]Entry!$N$1261)</f>
        <v/>
      </c>
      <c r="P1258" t="str">
        <f>IF([2]Entry!$R$1261="","",[2]Entry!$R$1261)</f>
        <v/>
      </c>
    </row>
    <row r="1259" spans="10:16" x14ac:dyDescent="0.2">
      <c r="J1259" t="str">
        <f>IF([2]Entry!$C$1262="","",[2]Entry!$C$1262)</f>
        <v/>
      </c>
      <c r="K1259" t="str">
        <f>IF([2]Entry!$D$1262="","",[2]Entry!$D$1262)</f>
        <v/>
      </c>
      <c r="L1259" t="str">
        <f>IF([2]Entry!$E$1262="","",[2]Entry!$E$1262)</f>
        <v/>
      </c>
      <c r="M1259" t="str">
        <f>IF([2]Entry!$G$1262="","",[2]Entry!$G$1262)</f>
        <v/>
      </c>
      <c r="N1259" t="str">
        <f>IF([2]Entry!$M$1262="","",[2]Entry!$M$1262)</f>
        <v/>
      </c>
      <c r="O1259" t="str">
        <f>IF([2]Entry!$N$1262="","",[2]Entry!$N$1262)</f>
        <v/>
      </c>
      <c r="P1259" t="str">
        <f>IF([2]Entry!$R$1262="","",[2]Entry!$R$1262)</f>
        <v/>
      </c>
    </row>
    <row r="1260" spans="10:16" x14ac:dyDescent="0.2">
      <c r="J1260" t="str">
        <f>IF([2]Entry!$C$1263="","",[2]Entry!$C$1263)</f>
        <v/>
      </c>
      <c r="K1260" t="str">
        <f>IF([2]Entry!$D$1263="","",[2]Entry!$D$1263)</f>
        <v/>
      </c>
      <c r="L1260" t="str">
        <f>IF([2]Entry!$E$1263="","",[2]Entry!$E$1263)</f>
        <v/>
      </c>
      <c r="M1260" t="str">
        <f>IF([2]Entry!$G$1263="","",[2]Entry!$G$1263)</f>
        <v/>
      </c>
      <c r="N1260" t="str">
        <f>IF([2]Entry!$M$1263="","",[2]Entry!$M$1263)</f>
        <v/>
      </c>
      <c r="O1260" t="str">
        <f>IF([2]Entry!$N$1263="","",[2]Entry!$N$1263)</f>
        <v/>
      </c>
      <c r="P1260" t="str">
        <f>IF([2]Entry!$R$1263="","",[2]Entry!$R$1263)</f>
        <v/>
      </c>
    </row>
    <row r="1261" spans="10:16" x14ac:dyDescent="0.2">
      <c r="J1261" t="str">
        <f>IF([2]Entry!$C$1264="","",[2]Entry!$C$1264)</f>
        <v/>
      </c>
      <c r="K1261" t="str">
        <f>IF([2]Entry!$D$1264="","",[2]Entry!$D$1264)</f>
        <v/>
      </c>
      <c r="L1261" t="str">
        <f>IF([2]Entry!$E$1264="","",[2]Entry!$E$1264)</f>
        <v/>
      </c>
      <c r="M1261" t="str">
        <f>IF([2]Entry!$G$1264="","",[2]Entry!$G$1264)</f>
        <v/>
      </c>
      <c r="N1261" t="str">
        <f>IF([2]Entry!$M$1264="","",[2]Entry!$M$1264)</f>
        <v/>
      </c>
      <c r="O1261" t="str">
        <f>IF([2]Entry!$N$1264="","",[2]Entry!$N$1264)</f>
        <v/>
      </c>
      <c r="P1261" t="str">
        <f>IF([2]Entry!$R$1264="","",[2]Entry!$R$1264)</f>
        <v/>
      </c>
    </row>
    <row r="1262" spans="10:16" x14ac:dyDescent="0.2">
      <c r="J1262" t="str">
        <f>IF([2]Entry!$C$1265="","",[2]Entry!$C$1265)</f>
        <v/>
      </c>
      <c r="K1262" t="str">
        <f>IF([2]Entry!$D$1265="","",[2]Entry!$D$1265)</f>
        <v/>
      </c>
      <c r="L1262" t="str">
        <f>IF([2]Entry!$E$1265="","",[2]Entry!$E$1265)</f>
        <v/>
      </c>
      <c r="M1262" t="str">
        <f>IF([2]Entry!$G$1265="","",[2]Entry!$G$1265)</f>
        <v/>
      </c>
      <c r="N1262" t="str">
        <f>IF([2]Entry!$M$1265="","",[2]Entry!$M$1265)</f>
        <v/>
      </c>
      <c r="O1262" t="str">
        <f>IF([2]Entry!$N$1265="","",[2]Entry!$N$1265)</f>
        <v/>
      </c>
      <c r="P1262" t="str">
        <f>IF([2]Entry!$R$1265="","",[2]Entry!$R$1265)</f>
        <v/>
      </c>
    </row>
    <row r="1263" spans="10:16" x14ac:dyDescent="0.2">
      <c r="J1263" t="str">
        <f>IF([2]Entry!$C$1266="","",[2]Entry!$C$1266)</f>
        <v/>
      </c>
      <c r="K1263" t="str">
        <f>IF([2]Entry!$D$1266="","",[2]Entry!$D$1266)</f>
        <v/>
      </c>
      <c r="L1263" t="str">
        <f>IF([2]Entry!$E$1266="","",[2]Entry!$E$1266)</f>
        <v/>
      </c>
      <c r="M1263" t="str">
        <f>IF([2]Entry!$G$1266="","",[2]Entry!$G$1266)</f>
        <v/>
      </c>
      <c r="N1263" t="str">
        <f>IF([2]Entry!$M$1266="","",[2]Entry!$M$1266)</f>
        <v/>
      </c>
      <c r="O1263" t="str">
        <f>IF([2]Entry!$N$1266="","",[2]Entry!$N$1266)</f>
        <v/>
      </c>
      <c r="P1263" t="str">
        <f>IF([2]Entry!$R$1266="","",[2]Entry!$R$1266)</f>
        <v/>
      </c>
    </row>
    <row r="1264" spans="10:16" x14ac:dyDescent="0.2">
      <c r="J1264" t="str">
        <f>IF([2]Entry!$C$1267="","",[2]Entry!$C$1267)</f>
        <v/>
      </c>
      <c r="K1264" t="str">
        <f>IF([2]Entry!$D$1267="","",[2]Entry!$D$1267)</f>
        <v/>
      </c>
      <c r="L1264" t="str">
        <f>IF([2]Entry!$E$1267="","",[2]Entry!$E$1267)</f>
        <v/>
      </c>
      <c r="M1264" t="str">
        <f>IF([2]Entry!$G$1267="","",[2]Entry!$G$1267)</f>
        <v/>
      </c>
      <c r="N1264" t="str">
        <f>IF([2]Entry!$M$1267="","",[2]Entry!$M$1267)</f>
        <v/>
      </c>
      <c r="O1264" t="str">
        <f>IF([2]Entry!$N$1267="","",[2]Entry!$N$1267)</f>
        <v/>
      </c>
      <c r="P1264" t="str">
        <f>IF([2]Entry!$R$1267="","",[2]Entry!$R$1267)</f>
        <v/>
      </c>
    </row>
    <row r="1265" spans="10:16" x14ac:dyDescent="0.2">
      <c r="J1265" t="str">
        <f>IF([2]Entry!$C$1268="","",[2]Entry!$C$1268)</f>
        <v/>
      </c>
      <c r="K1265" t="str">
        <f>IF([2]Entry!$D$1268="","",[2]Entry!$D$1268)</f>
        <v/>
      </c>
      <c r="L1265" t="str">
        <f>IF([2]Entry!$E$1268="","",[2]Entry!$E$1268)</f>
        <v/>
      </c>
      <c r="M1265" t="str">
        <f>IF([2]Entry!$G$1268="","",[2]Entry!$G$1268)</f>
        <v/>
      </c>
      <c r="N1265" t="str">
        <f>IF([2]Entry!$M$1268="","",[2]Entry!$M$1268)</f>
        <v/>
      </c>
      <c r="O1265" t="str">
        <f>IF([2]Entry!$N$1268="","",[2]Entry!$N$1268)</f>
        <v/>
      </c>
      <c r="P1265" t="str">
        <f>IF([2]Entry!$R$1268="","",[2]Entry!$R$1268)</f>
        <v/>
      </c>
    </row>
    <row r="1266" spans="10:16" x14ac:dyDescent="0.2">
      <c r="J1266" t="str">
        <f>IF([2]Entry!$C$1269="","",[2]Entry!$C$1269)</f>
        <v/>
      </c>
      <c r="K1266" t="str">
        <f>IF([2]Entry!$D$1269="","",[2]Entry!$D$1269)</f>
        <v/>
      </c>
      <c r="L1266" t="str">
        <f>IF([2]Entry!$E$1269="","",[2]Entry!$E$1269)</f>
        <v/>
      </c>
      <c r="M1266" t="str">
        <f>IF([2]Entry!$G$1269="","",[2]Entry!$G$1269)</f>
        <v/>
      </c>
      <c r="N1266" t="str">
        <f>IF([2]Entry!$M$1269="","",[2]Entry!$M$1269)</f>
        <v/>
      </c>
      <c r="O1266" t="str">
        <f>IF([2]Entry!$N$1269="","",[2]Entry!$N$1269)</f>
        <v/>
      </c>
      <c r="P1266" t="str">
        <f>IF([2]Entry!$R$1269="","",[2]Entry!$R$1269)</f>
        <v/>
      </c>
    </row>
    <row r="1267" spans="10:16" x14ac:dyDescent="0.2">
      <c r="J1267" t="str">
        <f>IF([2]Entry!$C$1270="","",[2]Entry!$C$1270)</f>
        <v/>
      </c>
      <c r="K1267" t="str">
        <f>IF([2]Entry!$D$1270="","",[2]Entry!$D$1270)</f>
        <v/>
      </c>
      <c r="L1267" t="str">
        <f>IF([2]Entry!$E$1270="","",[2]Entry!$E$1270)</f>
        <v/>
      </c>
      <c r="M1267" t="str">
        <f>IF([2]Entry!$G$1270="","",[2]Entry!$G$1270)</f>
        <v/>
      </c>
      <c r="N1267" t="str">
        <f>IF([2]Entry!$M$1270="","",[2]Entry!$M$1270)</f>
        <v/>
      </c>
      <c r="O1267" t="str">
        <f>IF([2]Entry!$N$1270="","",[2]Entry!$N$1270)</f>
        <v/>
      </c>
      <c r="P1267" t="str">
        <f>IF([2]Entry!$R$1270="","",[2]Entry!$R$1270)</f>
        <v/>
      </c>
    </row>
    <row r="1268" spans="10:16" x14ac:dyDescent="0.2">
      <c r="J1268" t="str">
        <f>IF([2]Entry!$C$1271="","",[2]Entry!$C$1271)</f>
        <v/>
      </c>
      <c r="K1268" t="str">
        <f>IF([2]Entry!$D$1271="","",[2]Entry!$D$1271)</f>
        <v/>
      </c>
      <c r="L1268" t="str">
        <f>IF([2]Entry!$E$1271="","",[2]Entry!$E$1271)</f>
        <v/>
      </c>
      <c r="M1268" t="str">
        <f>IF([2]Entry!$G$1271="","",[2]Entry!$G$1271)</f>
        <v/>
      </c>
      <c r="N1268" t="str">
        <f>IF([2]Entry!$M$1271="","",[2]Entry!$M$1271)</f>
        <v/>
      </c>
      <c r="O1268" t="str">
        <f>IF([2]Entry!$N$1271="","",[2]Entry!$N$1271)</f>
        <v/>
      </c>
      <c r="P1268" t="str">
        <f>IF([2]Entry!$R$1271="","",[2]Entry!$R$1271)</f>
        <v/>
      </c>
    </row>
    <row r="1269" spans="10:16" x14ac:dyDescent="0.2">
      <c r="J1269" t="str">
        <f>IF([2]Entry!$C$1272="","",[2]Entry!$C$1272)</f>
        <v/>
      </c>
      <c r="K1269" t="str">
        <f>IF([2]Entry!$D$1272="","",[2]Entry!$D$1272)</f>
        <v/>
      </c>
      <c r="L1269" t="str">
        <f>IF([2]Entry!$E$1272="","",[2]Entry!$E$1272)</f>
        <v/>
      </c>
      <c r="M1269" t="str">
        <f>IF([2]Entry!$G$1272="","",[2]Entry!$G$1272)</f>
        <v/>
      </c>
      <c r="N1269" t="str">
        <f>IF([2]Entry!$M$1272="","",[2]Entry!$M$1272)</f>
        <v/>
      </c>
      <c r="O1269" t="str">
        <f>IF([2]Entry!$N$1272="","",[2]Entry!$N$1272)</f>
        <v/>
      </c>
      <c r="P1269" t="str">
        <f>IF([2]Entry!$R$1272="","",[2]Entry!$R$1272)</f>
        <v/>
      </c>
    </row>
    <row r="1270" spans="10:16" x14ac:dyDescent="0.2">
      <c r="J1270" t="str">
        <f>IF([2]Entry!$C$1273="","",[2]Entry!$C$1273)</f>
        <v/>
      </c>
      <c r="K1270" t="str">
        <f>IF([2]Entry!$D$1273="","",[2]Entry!$D$1273)</f>
        <v/>
      </c>
      <c r="L1270" t="str">
        <f>IF([2]Entry!$E$1273="","",[2]Entry!$E$1273)</f>
        <v/>
      </c>
      <c r="M1270" t="str">
        <f>IF([2]Entry!$G$1273="","",[2]Entry!$G$1273)</f>
        <v/>
      </c>
      <c r="N1270" t="str">
        <f>IF([2]Entry!$M$1273="","",[2]Entry!$M$1273)</f>
        <v/>
      </c>
      <c r="O1270" t="str">
        <f>IF([2]Entry!$N$1273="","",[2]Entry!$N$1273)</f>
        <v/>
      </c>
      <c r="P1270" t="str">
        <f>IF([2]Entry!$R$1273="","",[2]Entry!$R$1273)</f>
        <v/>
      </c>
    </row>
    <row r="1271" spans="10:16" x14ac:dyDescent="0.2">
      <c r="J1271" t="str">
        <f>IF([2]Entry!$C$1274="","",[2]Entry!$C$1274)</f>
        <v/>
      </c>
      <c r="K1271" t="str">
        <f>IF([2]Entry!$D$1274="","",[2]Entry!$D$1274)</f>
        <v/>
      </c>
      <c r="L1271" t="str">
        <f>IF([2]Entry!$E$1274="","",[2]Entry!$E$1274)</f>
        <v/>
      </c>
      <c r="M1271" t="str">
        <f>IF([2]Entry!$G$1274="","",[2]Entry!$G$1274)</f>
        <v/>
      </c>
      <c r="N1271" t="str">
        <f>IF([2]Entry!$M$1274="","",[2]Entry!$M$1274)</f>
        <v/>
      </c>
      <c r="O1271" t="str">
        <f>IF([2]Entry!$N$1274="","",[2]Entry!$N$1274)</f>
        <v/>
      </c>
      <c r="P1271" t="str">
        <f>IF([2]Entry!$R$1274="","",[2]Entry!$R$1274)</f>
        <v/>
      </c>
    </row>
    <row r="1272" spans="10:16" x14ac:dyDescent="0.2">
      <c r="J1272" t="str">
        <f>IF([2]Entry!$C$1275="","",[2]Entry!$C$1275)</f>
        <v/>
      </c>
      <c r="K1272" t="str">
        <f>IF([2]Entry!$D$1275="","",[2]Entry!$D$1275)</f>
        <v/>
      </c>
      <c r="L1272" t="str">
        <f>IF([2]Entry!$E$1275="","",[2]Entry!$E$1275)</f>
        <v/>
      </c>
      <c r="M1272" t="str">
        <f>IF([2]Entry!$G$1275="","",[2]Entry!$G$1275)</f>
        <v/>
      </c>
      <c r="N1272" t="str">
        <f>IF([2]Entry!$M$1275="","",[2]Entry!$M$1275)</f>
        <v/>
      </c>
      <c r="O1272" t="str">
        <f>IF([2]Entry!$N$1275="","",[2]Entry!$N$1275)</f>
        <v/>
      </c>
      <c r="P1272" t="str">
        <f>IF([2]Entry!$R$1275="","",[2]Entry!$R$1275)</f>
        <v/>
      </c>
    </row>
    <row r="1273" spans="10:16" x14ac:dyDescent="0.2">
      <c r="J1273" t="str">
        <f>IF([2]Entry!$C$1276="","",[2]Entry!$C$1276)</f>
        <v/>
      </c>
      <c r="K1273" t="str">
        <f>IF([2]Entry!$D$1276="","",[2]Entry!$D$1276)</f>
        <v/>
      </c>
      <c r="L1273" t="str">
        <f>IF([2]Entry!$E$1276="","",[2]Entry!$E$1276)</f>
        <v/>
      </c>
      <c r="M1273" t="str">
        <f>IF([2]Entry!$G$1276="","",[2]Entry!$G$1276)</f>
        <v/>
      </c>
      <c r="N1273" t="str">
        <f>IF([2]Entry!$M$1276="","",[2]Entry!$M$1276)</f>
        <v/>
      </c>
      <c r="O1273" t="str">
        <f>IF([2]Entry!$N$1276="","",[2]Entry!$N$1276)</f>
        <v/>
      </c>
      <c r="P1273" t="str">
        <f>IF([2]Entry!$R$1276="","",[2]Entry!$R$1276)</f>
        <v/>
      </c>
    </row>
    <row r="1274" spans="10:16" x14ac:dyDescent="0.2">
      <c r="J1274" t="str">
        <f>IF([2]Entry!$C$1277="","",[2]Entry!$C$1277)</f>
        <v/>
      </c>
      <c r="K1274" t="str">
        <f>IF([2]Entry!$D$1277="","",[2]Entry!$D$1277)</f>
        <v/>
      </c>
      <c r="L1274" t="str">
        <f>IF([2]Entry!$E$1277="","",[2]Entry!$E$1277)</f>
        <v/>
      </c>
      <c r="M1274" t="str">
        <f>IF([2]Entry!$G$1277="","",[2]Entry!$G$1277)</f>
        <v/>
      </c>
      <c r="N1274" t="str">
        <f>IF([2]Entry!$M$1277="","",[2]Entry!$M$1277)</f>
        <v/>
      </c>
      <c r="O1274" t="str">
        <f>IF([2]Entry!$N$1277="","",[2]Entry!$N$1277)</f>
        <v/>
      </c>
      <c r="P1274" t="str">
        <f>IF([2]Entry!$R$1277="","",[2]Entry!$R$1277)</f>
        <v/>
      </c>
    </row>
    <row r="1275" spans="10:16" x14ac:dyDescent="0.2">
      <c r="J1275" t="str">
        <f>IF([2]Entry!$C$1278="","",[2]Entry!$C$1278)</f>
        <v/>
      </c>
      <c r="K1275" t="str">
        <f>IF([2]Entry!$D$1278="","",[2]Entry!$D$1278)</f>
        <v/>
      </c>
      <c r="L1275" t="str">
        <f>IF([2]Entry!$E$1278="","",[2]Entry!$E$1278)</f>
        <v/>
      </c>
      <c r="M1275" t="str">
        <f>IF([2]Entry!$G$1278="","",[2]Entry!$G$1278)</f>
        <v/>
      </c>
      <c r="N1275" t="str">
        <f>IF([2]Entry!$M$1278="","",[2]Entry!$M$1278)</f>
        <v/>
      </c>
      <c r="O1275" t="str">
        <f>IF([2]Entry!$N$1278="","",[2]Entry!$N$1278)</f>
        <v/>
      </c>
      <c r="P1275" t="str">
        <f>IF([2]Entry!$R$1278="","",[2]Entry!$R$1278)</f>
        <v/>
      </c>
    </row>
    <row r="1276" spans="10:16" x14ac:dyDescent="0.2">
      <c r="J1276" t="str">
        <f>IF([2]Entry!$C$1279="","",[2]Entry!$C$1279)</f>
        <v/>
      </c>
      <c r="K1276" t="str">
        <f>IF([2]Entry!$D$1279="","",[2]Entry!$D$1279)</f>
        <v/>
      </c>
      <c r="L1276" t="str">
        <f>IF([2]Entry!$E$1279="","",[2]Entry!$E$1279)</f>
        <v/>
      </c>
      <c r="M1276" t="str">
        <f>IF([2]Entry!$G$1279="","",[2]Entry!$G$1279)</f>
        <v/>
      </c>
      <c r="N1276" t="str">
        <f>IF([2]Entry!$M$1279="","",[2]Entry!$M$1279)</f>
        <v/>
      </c>
      <c r="O1276" t="str">
        <f>IF([2]Entry!$N$1279="","",[2]Entry!$N$1279)</f>
        <v/>
      </c>
      <c r="P1276" t="str">
        <f>IF([2]Entry!$R$1279="","",[2]Entry!$R$1279)</f>
        <v/>
      </c>
    </row>
    <row r="1277" spans="10:16" x14ac:dyDescent="0.2">
      <c r="J1277" t="str">
        <f>IF([2]Entry!$C$1280="","",[2]Entry!$C$1280)</f>
        <v/>
      </c>
      <c r="K1277" t="str">
        <f>IF([2]Entry!$D$1280="","",[2]Entry!$D$1280)</f>
        <v/>
      </c>
      <c r="L1277" t="str">
        <f>IF([2]Entry!$E$1280="","",[2]Entry!$E$1280)</f>
        <v/>
      </c>
      <c r="M1277" t="str">
        <f>IF([2]Entry!$G$1280="","",[2]Entry!$G$1280)</f>
        <v/>
      </c>
      <c r="N1277" t="str">
        <f>IF([2]Entry!$M$1280="","",[2]Entry!$M$1280)</f>
        <v/>
      </c>
      <c r="O1277" t="str">
        <f>IF([2]Entry!$N$1280="","",[2]Entry!$N$1280)</f>
        <v/>
      </c>
      <c r="P1277" t="str">
        <f>IF([2]Entry!$R$1280="","",[2]Entry!$R$1280)</f>
        <v/>
      </c>
    </row>
    <row r="1278" spans="10:16" x14ac:dyDescent="0.2">
      <c r="J1278" t="str">
        <f>IF([2]Entry!$C$1281="","",[2]Entry!$C$1281)</f>
        <v/>
      </c>
      <c r="K1278" t="str">
        <f>IF([2]Entry!$D$1281="","",[2]Entry!$D$1281)</f>
        <v/>
      </c>
      <c r="L1278" t="str">
        <f>IF([2]Entry!$E$1281="","",[2]Entry!$E$1281)</f>
        <v/>
      </c>
      <c r="M1278" t="str">
        <f>IF([2]Entry!$G$1281="","",[2]Entry!$G$1281)</f>
        <v/>
      </c>
      <c r="N1278" t="str">
        <f>IF([2]Entry!$M$1281="","",[2]Entry!$M$1281)</f>
        <v/>
      </c>
      <c r="O1278" t="str">
        <f>IF([2]Entry!$N$1281="","",[2]Entry!$N$1281)</f>
        <v/>
      </c>
      <c r="P1278" t="str">
        <f>IF([2]Entry!$R$1281="","",[2]Entry!$R$1281)</f>
        <v/>
      </c>
    </row>
    <row r="1279" spans="10:16" x14ac:dyDescent="0.2">
      <c r="J1279" t="str">
        <f>IF([2]Entry!$C$1282="","",[2]Entry!$C$1282)</f>
        <v/>
      </c>
      <c r="K1279" t="str">
        <f>IF([2]Entry!$D$1282="","",[2]Entry!$D$1282)</f>
        <v/>
      </c>
      <c r="L1279" t="str">
        <f>IF([2]Entry!$E$1282="","",[2]Entry!$E$1282)</f>
        <v/>
      </c>
      <c r="M1279" t="str">
        <f>IF([2]Entry!$G$1282="","",[2]Entry!$G$1282)</f>
        <v/>
      </c>
      <c r="N1279" t="str">
        <f>IF([2]Entry!$M$1282="","",[2]Entry!$M$1282)</f>
        <v/>
      </c>
      <c r="O1279" t="str">
        <f>IF([2]Entry!$N$1282="","",[2]Entry!$N$1282)</f>
        <v/>
      </c>
      <c r="P1279" t="str">
        <f>IF([2]Entry!$R$1282="","",[2]Entry!$R$1282)</f>
        <v/>
      </c>
    </row>
    <row r="1280" spans="10:16" x14ac:dyDescent="0.2">
      <c r="J1280" t="str">
        <f>IF([2]Entry!$C$1283="","",[2]Entry!$C$1283)</f>
        <v/>
      </c>
      <c r="K1280" t="str">
        <f>IF([2]Entry!$D$1283="","",[2]Entry!$D$1283)</f>
        <v/>
      </c>
      <c r="L1280" t="str">
        <f>IF([2]Entry!$E$1283="","",[2]Entry!$E$1283)</f>
        <v/>
      </c>
      <c r="M1280" t="str">
        <f>IF([2]Entry!$G$1283="","",[2]Entry!$G$1283)</f>
        <v/>
      </c>
      <c r="N1280" t="str">
        <f>IF([2]Entry!$M$1283="","",[2]Entry!$M$1283)</f>
        <v/>
      </c>
      <c r="O1280" t="str">
        <f>IF([2]Entry!$N$1283="","",[2]Entry!$N$1283)</f>
        <v/>
      </c>
      <c r="P1280" t="str">
        <f>IF([2]Entry!$R$1283="","",[2]Entry!$R$1283)</f>
        <v/>
      </c>
    </row>
    <row r="1281" spans="10:16" x14ac:dyDescent="0.2">
      <c r="J1281" t="str">
        <f>IF([2]Entry!$C$1284="","",[2]Entry!$C$1284)</f>
        <v/>
      </c>
      <c r="K1281" t="str">
        <f>IF([2]Entry!$D$1284="","",[2]Entry!$D$1284)</f>
        <v/>
      </c>
      <c r="L1281" t="str">
        <f>IF([2]Entry!$E$1284="","",[2]Entry!$E$1284)</f>
        <v/>
      </c>
      <c r="M1281" t="str">
        <f>IF([2]Entry!$G$1284="","",[2]Entry!$G$1284)</f>
        <v/>
      </c>
      <c r="N1281" t="str">
        <f>IF([2]Entry!$M$1284="","",[2]Entry!$M$1284)</f>
        <v/>
      </c>
      <c r="O1281" t="str">
        <f>IF([2]Entry!$N$1284="","",[2]Entry!$N$1284)</f>
        <v/>
      </c>
      <c r="P1281" t="str">
        <f>IF([2]Entry!$R$1284="","",[2]Entry!$R$1284)</f>
        <v/>
      </c>
    </row>
    <row r="1282" spans="10:16" x14ac:dyDescent="0.2">
      <c r="J1282" t="str">
        <f>IF([2]Entry!$C$1285="","",[2]Entry!$C$1285)</f>
        <v/>
      </c>
      <c r="K1282" t="str">
        <f>IF([2]Entry!$D$1285="","",[2]Entry!$D$1285)</f>
        <v/>
      </c>
      <c r="L1282" t="str">
        <f>IF([2]Entry!$E$1285="","",[2]Entry!$E$1285)</f>
        <v/>
      </c>
      <c r="M1282" t="str">
        <f>IF([2]Entry!$G$1285="","",[2]Entry!$G$1285)</f>
        <v/>
      </c>
      <c r="N1282" t="str">
        <f>IF([2]Entry!$M$1285="","",[2]Entry!$M$1285)</f>
        <v/>
      </c>
      <c r="O1282" t="str">
        <f>IF([2]Entry!$N$1285="","",[2]Entry!$N$1285)</f>
        <v/>
      </c>
      <c r="P1282" t="str">
        <f>IF([2]Entry!$R$1285="","",[2]Entry!$R$1285)</f>
        <v/>
      </c>
    </row>
    <row r="1283" spans="10:16" x14ac:dyDescent="0.2">
      <c r="J1283" t="str">
        <f>IF([2]Entry!$C$1286="","",[2]Entry!$C$1286)</f>
        <v/>
      </c>
      <c r="K1283" t="str">
        <f>IF([2]Entry!$D$1286="","",[2]Entry!$D$1286)</f>
        <v/>
      </c>
      <c r="L1283" t="str">
        <f>IF([2]Entry!$E$1286="","",[2]Entry!$E$1286)</f>
        <v/>
      </c>
      <c r="M1283" t="str">
        <f>IF([2]Entry!$G$1286="","",[2]Entry!$G$1286)</f>
        <v/>
      </c>
      <c r="N1283" t="str">
        <f>IF([2]Entry!$M$1286="","",[2]Entry!$M$1286)</f>
        <v/>
      </c>
      <c r="O1283" t="str">
        <f>IF([2]Entry!$N$1286="","",[2]Entry!$N$1286)</f>
        <v/>
      </c>
      <c r="P1283" t="str">
        <f>IF([2]Entry!$R$1286="","",[2]Entry!$R$1286)</f>
        <v/>
      </c>
    </row>
    <row r="1284" spans="10:16" x14ac:dyDescent="0.2">
      <c r="J1284" t="str">
        <f>IF([2]Entry!$C$1287="","",[2]Entry!$C$1287)</f>
        <v/>
      </c>
      <c r="K1284" t="str">
        <f>IF([2]Entry!$D$1287="","",[2]Entry!$D$1287)</f>
        <v/>
      </c>
      <c r="L1284" t="str">
        <f>IF([2]Entry!$E$1287="","",[2]Entry!$E$1287)</f>
        <v/>
      </c>
      <c r="M1284" t="str">
        <f>IF([2]Entry!$G$1287="","",[2]Entry!$G$1287)</f>
        <v/>
      </c>
      <c r="N1284" t="str">
        <f>IF([2]Entry!$M$1287="","",[2]Entry!$M$1287)</f>
        <v/>
      </c>
      <c r="O1284" t="str">
        <f>IF([2]Entry!$N$1287="","",[2]Entry!$N$1287)</f>
        <v/>
      </c>
      <c r="P1284" t="str">
        <f>IF([2]Entry!$R$1287="","",[2]Entry!$R$1287)</f>
        <v/>
      </c>
    </row>
    <row r="1285" spans="10:16" x14ac:dyDescent="0.2">
      <c r="J1285" t="str">
        <f>IF([2]Entry!$C$1288="","",[2]Entry!$C$1288)</f>
        <v/>
      </c>
      <c r="K1285" t="str">
        <f>IF([2]Entry!$D$1288="","",[2]Entry!$D$1288)</f>
        <v/>
      </c>
      <c r="L1285" t="str">
        <f>IF([2]Entry!$E$1288="","",[2]Entry!$E$1288)</f>
        <v/>
      </c>
      <c r="M1285" t="str">
        <f>IF([2]Entry!$G$1288="","",[2]Entry!$G$1288)</f>
        <v/>
      </c>
      <c r="N1285" t="str">
        <f>IF([2]Entry!$M$1288="","",[2]Entry!$M$1288)</f>
        <v/>
      </c>
      <c r="O1285" t="str">
        <f>IF([2]Entry!$N$1288="","",[2]Entry!$N$1288)</f>
        <v/>
      </c>
      <c r="P1285" t="str">
        <f>IF([2]Entry!$R$1288="","",[2]Entry!$R$1288)</f>
        <v/>
      </c>
    </row>
    <row r="1286" spans="10:16" x14ac:dyDescent="0.2">
      <c r="J1286" t="str">
        <f>IF([2]Entry!$C$1289="","",[2]Entry!$C$1289)</f>
        <v/>
      </c>
      <c r="K1286" t="str">
        <f>IF([2]Entry!$D$1289="","",[2]Entry!$D$1289)</f>
        <v/>
      </c>
      <c r="L1286" t="str">
        <f>IF([2]Entry!$E$1289="","",[2]Entry!$E$1289)</f>
        <v/>
      </c>
      <c r="M1286" t="str">
        <f>IF([2]Entry!$G$1289="","",[2]Entry!$G$1289)</f>
        <v/>
      </c>
      <c r="N1286" t="str">
        <f>IF([2]Entry!$M$1289="","",[2]Entry!$M$1289)</f>
        <v/>
      </c>
      <c r="O1286" t="str">
        <f>IF([2]Entry!$N$1289="","",[2]Entry!$N$1289)</f>
        <v/>
      </c>
      <c r="P1286" t="str">
        <f>IF([2]Entry!$R$1289="","",[2]Entry!$R$1289)</f>
        <v/>
      </c>
    </row>
    <row r="1287" spans="10:16" x14ac:dyDescent="0.2">
      <c r="J1287" t="str">
        <f>IF([2]Entry!$C$1290="","",[2]Entry!$C$1290)</f>
        <v/>
      </c>
      <c r="K1287" t="str">
        <f>IF([2]Entry!$D$1290="","",[2]Entry!$D$1290)</f>
        <v/>
      </c>
      <c r="L1287" t="str">
        <f>IF([2]Entry!$E$1290="","",[2]Entry!$E$1290)</f>
        <v/>
      </c>
      <c r="M1287" t="str">
        <f>IF([2]Entry!$G$1290="","",[2]Entry!$G$1290)</f>
        <v/>
      </c>
      <c r="N1287" t="str">
        <f>IF([2]Entry!$M$1290="","",[2]Entry!$M$1290)</f>
        <v/>
      </c>
      <c r="O1287" t="str">
        <f>IF([2]Entry!$N$1290="","",[2]Entry!$N$1290)</f>
        <v/>
      </c>
      <c r="P1287" t="str">
        <f>IF([2]Entry!$R$1290="","",[2]Entry!$R$1290)</f>
        <v/>
      </c>
    </row>
    <row r="1288" spans="10:16" x14ac:dyDescent="0.2">
      <c r="J1288" t="str">
        <f>IF([2]Entry!$C$1291="","",[2]Entry!$C$1291)</f>
        <v/>
      </c>
      <c r="K1288" t="str">
        <f>IF([2]Entry!$D$1291="","",[2]Entry!$D$1291)</f>
        <v/>
      </c>
      <c r="L1288" t="str">
        <f>IF([2]Entry!$E$1291="","",[2]Entry!$E$1291)</f>
        <v/>
      </c>
      <c r="M1288" t="str">
        <f>IF([2]Entry!$G$1291="","",[2]Entry!$G$1291)</f>
        <v/>
      </c>
      <c r="N1288" t="str">
        <f>IF([2]Entry!$M$1291="","",[2]Entry!$M$1291)</f>
        <v/>
      </c>
      <c r="O1288" t="str">
        <f>IF([2]Entry!$N$1291="","",[2]Entry!$N$1291)</f>
        <v/>
      </c>
      <c r="P1288" t="str">
        <f>IF([2]Entry!$R$1291="","",[2]Entry!$R$1291)</f>
        <v/>
      </c>
    </row>
    <row r="1289" spans="10:16" x14ac:dyDescent="0.2">
      <c r="J1289" t="str">
        <f>IF([2]Entry!$C$1292="","",[2]Entry!$C$1292)</f>
        <v/>
      </c>
      <c r="K1289" t="str">
        <f>IF([2]Entry!$D$1292="","",[2]Entry!$D$1292)</f>
        <v/>
      </c>
      <c r="L1289" t="str">
        <f>IF([2]Entry!$E$1292="","",[2]Entry!$E$1292)</f>
        <v/>
      </c>
      <c r="M1289" t="str">
        <f>IF([2]Entry!$G$1292="","",[2]Entry!$G$1292)</f>
        <v/>
      </c>
      <c r="N1289" t="str">
        <f>IF([2]Entry!$M$1292="","",[2]Entry!$M$1292)</f>
        <v/>
      </c>
      <c r="O1289" t="str">
        <f>IF([2]Entry!$N$1292="","",[2]Entry!$N$1292)</f>
        <v/>
      </c>
      <c r="P1289" t="str">
        <f>IF([2]Entry!$R$1292="","",[2]Entry!$R$1292)</f>
        <v/>
      </c>
    </row>
    <row r="1290" spans="10:16" x14ac:dyDescent="0.2">
      <c r="J1290" t="str">
        <f>IF([2]Entry!$C$1293="","",[2]Entry!$C$1293)</f>
        <v/>
      </c>
      <c r="K1290" t="str">
        <f>IF([2]Entry!$D$1293="","",[2]Entry!$D$1293)</f>
        <v/>
      </c>
      <c r="L1290" t="str">
        <f>IF([2]Entry!$E$1293="","",[2]Entry!$E$1293)</f>
        <v/>
      </c>
      <c r="M1290" t="str">
        <f>IF([2]Entry!$G$1293="","",[2]Entry!$G$1293)</f>
        <v/>
      </c>
      <c r="N1290" t="str">
        <f>IF([2]Entry!$M$1293="","",[2]Entry!$M$1293)</f>
        <v/>
      </c>
      <c r="O1290" t="str">
        <f>IF([2]Entry!$N$1293="","",[2]Entry!$N$1293)</f>
        <v/>
      </c>
      <c r="P1290" t="str">
        <f>IF([2]Entry!$R$1293="","",[2]Entry!$R$1293)</f>
        <v/>
      </c>
    </row>
    <row r="1291" spans="10:16" x14ac:dyDescent="0.2">
      <c r="J1291" t="str">
        <f>IF([2]Entry!$C$1294="","",[2]Entry!$C$1294)</f>
        <v/>
      </c>
      <c r="K1291" t="str">
        <f>IF([2]Entry!$D$1294="","",[2]Entry!$D$1294)</f>
        <v/>
      </c>
      <c r="L1291" t="str">
        <f>IF([2]Entry!$E$1294="","",[2]Entry!$E$1294)</f>
        <v/>
      </c>
      <c r="M1291" t="str">
        <f>IF([2]Entry!$G$1294="","",[2]Entry!$G$1294)</f>
        <v/>
      </c>
      <c r="N1291" t="str">
        <f>IF([2]Entry!$M$1294="","",[2]Entry!$M$1294)</f>
        <v/>
      </c>
      <c r="O1291" t="str">
        <f>IF([2]Entry!$N$1294="","",[2]Entry!$N$1294)</f>
        <v/>
      </c>
      <c r="P1291" t="str">
        <f>IF([2]Entry!$R$1294="","",[2]Entry!$R$1294)</f>
        <v/>
      </c>
    </row>
    <row r="1292" spans="10:16" x14ac:dyDescent="0.2">
      <c r="J1292" t="str">
        <f>IF([2]Entry!$C$1295="","",[2]Entry!$C$1295)</f>
        <v/>
      </c>
      <c r="K1292" t="str">
        <f>IF([2]Entry!$D$1295="","",[2]Entry!$D$1295)</f>
        <v/>
      </c>
      <c r="L1292" t="str">
        <f>IF([2]Entry!$E$1295="","",[2]Entry!$E$1295)</f>
        <v/>
      </c>
      <c r="M1292" t="str">
        <f>IF([2]Entry!$G$1295="","",[2]Entry!$G$1295)</f>
        <v/>
      </c>
      <c r="N1292" t="str">
        <f>IF([2]Entry!$M$1295="","",[2]Entry!$M$1295)</f>
        <v/>
      </c>
      <c r="O1292" t="str">
        <f>IF([2]Entry!$N$1295="","",[2]Entry!$N$1295)</f>
        <v/>
      </c>
      <c r="P1292" t="str">
        <f>IF([2]Entry!$R$1295="","",[2]Entry!$R$1295)</f>
        <v/>
      </c>
    </row>
    <row r="1293" spans="10:16" x14ac:dyDescent="0.2">
      <c r="J1293" t="str">
        <f>IF([2]Entry!$C$1296="","",[2]Entry!$C$1296)</f>
        <v/>
      </c>
      <c r="K1293" t="str">
        <f>IF([2]Entry!$D$1296="","",[2]Entry!$D$1296)</f>
        <v/>
      </c>
      <c r="L1293" t="str">
        <f>IF([2]Entry!$E$1296="","",[2]Entry!$E$1296)</f>
        <v/>
      </c>
      <c r="M1293" t="str">
        <f>IF([2]Entry!$G$1296="","",[2]Entry!$G$1296)</f>
        <v/>
      </c>
      <c r="N1293" t="str">
        <f>IF([2]Entry!$M$1296="","",[2]Entry!$M$1296)</f>
        <v/>
      </c>
      <c r="O1293" t="str">
        <f>IF([2]Entry!$N$1296="","",[2]Entry!$N$1296)</f>
        <v/>
      </c>
      <c r="P1293" t="str">
        <f>IF([2]Entry!$R$1296="","",[2]Entry!$R$1296)</f>
        <v/>
      </c>
    </row>
    <row r="1294" spans="10:16" x14ac:dyDescent="0.2">
      <c r="J1294" t="str">
        <f>IF([2]Entry!$C$1297="","",[2]Entry!$C$1297)</f>
        <v/>
      </c>
      <c r="K1294" t="str">
        <f>IF([2]Entry!$D$1297="","",[2]Entry!$D$1297)</f>
        <v/>
      </c>
      <c r="L1294" t="str">
        <f>IF([2]Entry!$E$1297="","",[2]Entry!$E$1297)</f>
        <v/>
      </c>
      <c r="M1294" t="str">
        <f>IF([2]Entry!$G$1297="","",[2]Entry!$G$1297)</f>
        <v/>
      </c>
      <c r="N1294" t="str">
        <f>IF([2]Entry!$M$1297="","",[2]Entry!$M$1297)</f>
        <v/>
      </c>
      <c r="O1294" t="str">
        <f>IF([2]Entry!$N$1297="","",[2]Entry!$N$1297)</f>
        <v/>
      </c>
      <c r="P1294" t="str">
        <f>IF([2]Entry!$R$1297="","",[2]Entry!$R$1297)</f>
        <v/>
      </c>
    </row>
    <row r="1295" spans="10:16" x14ac:dyDescent="0.2">
      <c r="J1295" t="str">
        <f>IF([2]Entry!$C$1298="","",[2]Entry!$C$1298)</f>
        <v/>
      </c>
      <c r="K1295" t="str">
        <f>IF([2]Entry!$D$1298="","",[2]Entry!$D$1298)</f>
        <v/>
      </c>
      <c r="L1295" t="str">
        <f>IF([2]Entry!$E$1298="","",[2]Entry!$E$1298)</f>
        <v/>
      </c>
      <c r="M1295" t="str">
        <f>IF([2]Entry!$G$1298="","",[2]Entry!$G$1298)</f>
        <v/>
      </c>
      <c r="N1295" t="str">
        <f>IF([2]Entry!$M$1298="","",[2]Entry!$M$1298)</f>
        <v/>
      </c>
      <c r="O1295" t="str">
        <f>IF([2]Entry!$N$1298="","",[2]Entry!$N$1298)</f>
        <v/>
      </c>
      <c r="P1295" t="str">
        <f>IF([2]Entry!$R$1298="","",[2]Entry!$R$1298)</f>
        <v/>
      </c>
    </row>
    <row r="1296" spans="10:16" x14ac:dyDescent="0.2">
      <c r="J1296" t="str">
        <f>IF([2]Entry!$C$1299="","",[2]Entry!$C$1299)</f>
        <v/>
      </c>
      <c r="K1296" t="str">
        <f>IF([2]Entry!$D$1299="","",[2]Entry!$D$1299)</f>
        <v/>
      </c>
      <c r="L1296" t="str">
        <f>IF([2]Entry!$E$1299="","",[2]Entry!$E$1299)</f>
        <v/>
      </c>
      <c r="M1296" t="str">
        <f>IF([2]Entry!$G$1299="","",[2]Entry!$G$1299)</f>
        <v/>
      </c>
      <c r="N1296" t="str">
        <f>IF([2]Entry!$M$1299="","",[2]Entry!$M$1299)</f>
        <v/>
      </c>
      <c r="O1296" t="str">
        <f>IF([2]Entry!$N$1299="","",[2]Entry!$N$1299)</f>
        <v/>
      </c>
      <c r="P1296" t="str">
        <f>IF([2]Entry!$R$1299="","",[2]Entry!$R$1299)</f>
        <v/>
      </c>
    </row>
    <row r="1297" spans="10:16" x14ac:dyDescent="0.2">
      <c r="J1297" t="str">
        <f>IF([2]Entry!$C$1300="","",[2]Entry!$C$1300)</f>
        <v/>
      </c>
      <c r="K1297" t="str">
        <f>IF([2]Entry!$D$1300="","",[2]Entry!$D$1300)</f>
        <v/>
      </c>
      <c r="L1297" t="str">
        <f>IF([2]Entry!$E$1300="","",[2]Entry!$E$1300)</f>
        <v/>
      </c>
      <c r="M1297" t="str">
        <f>IF([2]Entry!$G$1300="","",[2]Entry!$G$1300)</f>
        <v/>
      </c>
      <c r="N1297" t="str">
        <f>IF([2]Entry!$M$1300="","",[2]Entry!$M$1300)</f>
        <v/>
      </c>
      <c r="O1297" t="str">
        <f>IF([2]Entry!$N$1300="","",[2]Entry!$N$1300)</f>
        <v/>
      </c>
      <c r="P1297" t="str">
        <f>IF([2]Entry!$R$1300="","",[2]Entry!$R$1300)</f>
        <v/>
      </c>
    </row>
    <row r="1298" spans="10:16" x14ac:dyDescent="0.2">
      <c r="J1298" t="str">
        <f>IF([2]Entry!$C$1301="","",[2]Entry!$C$1301)</f>
        <v/>
      </c>
      <c r="K1298" t="str">
        <f>IF([2]Entry!$D$1301="","",[2]Entry!$D$1301)</f>
        <v/>
      </c>
      <c r="L1298" t="str">
        <f>IF([2]Entry!$E$1301="","",[2]Entry!$E$1301)</f>
        <v/>
      </c>
      <c r="M1298" t="str">
        <f>IF([2]Entry!$G$1301="","",[2]Entry!$G$1301)</f>
        <v/>
      </c>
      <c r="N1298" t="str">
        <f>IF([2]Entry!$M$1301="","",[2]Entry!$M$1301)</f>
        <v/>
      </c>
      <c r="O1298" t="str">
        <f>IF([2]Entry!$N$1301="","",[2]Entry!$N$1301)</f>
        <v/>
      </c>
      <c r="P1298" t="str">
        <f>IF([2]Entry!$R$1301="","",[2]Entry!$R$1301)</f>
        <v/>
      </c>
    </row>
    <row r="1299" spans="10:16" x14ac:dyDescent="0.2">
      <c r="J1299" t="str">
        <f>IF([2]Entry!$C$1302="","",[2]Entry!$C$1302)</f>
        <v/>
      </c>
      <c r="K1299" t="str">
        <f>IF([2]Entry!$D$1302="","",[2]Entry!$D$1302)</f>
        <v/>
      </c>
      <c r="L1299" t="str">
        <f>IF([2]Entry!$E$1302="","",[2]Entry!$E$1302)</f>
        <v/>
      </c>
      <c r="M1299" t="str">
        <f>IF([2]Entry!$G$1302="","",[2]Entry!$G$1302)</f>
        <v/>
      </c>
      <c r="N1299" t="str">
        <f>IF([2]Entry!$M$1302="","",[2]Entry!$M$1302)</f>
        <v/>
      </c>
      <c r="O1299" t="str">
        <f>IF([2]Entry!$N$1302="","",[2]Entry!$N$1302)</f>
        <v/>
      </c>
      <c r="P1299" t="str">
        <f>IF([2]Entry!$R$1302="","",[2]Entry!$R$1302)</f>
        <v/>
      </c>
    </row>
    <row r="1300" spans="10:16" x14ac:dyDescent="0.2">
      <c r="J1300" t="str">
        <f>IF([2]Entry!$C$1303="","",[2]Entry!$C$1303)</f>
        <v/>
      </c>
      <c r="K1300" t="str">
        <f>IF([2]Entry!$D$1303="","",[2]Entry!$D$1303)</f>
        <v/>
      </c>
      <c r="L1300" t="str">
        <f>IF([2]Entry!$E$1303="","",[2]Entry!$E$1303)</f>
        <v/>
      </c>
      <c r="M1300" t="str">
        <f>IF([2]Entry!$G$1303="","",[2]Entry!$G$1303)</f>
        <v/>
      </c>
      <c r="N1300" t="str">
        <f>IF([2]Entry!$M$1303="","",[2]Entry!$M$1303)</f>
        <v/>
      </c>
      <c r="O1300" t="str">
        <f>IF([2]Entry!$N$1303="","",[2]Entry!$N$1303)</f>
        <v/>
      </c>
      <c r="P1300" t="str">
        <f>IF([2]Entry!$R$1303="","",[2]Entry!$R$1303)</f>
        <v/>
      </c>
    </row>
    <row r="1301" spans="10:16" x14ac:dyDescent="0.2">
      <c r="J1301" t="str">
        <f>IF([2]Entry!$C$1304="","",[2]Entry!$C$1304)</f>
        <v/>
      </c>
      <c r="K1301" t="str">
        <f>IF([2]Entry!$D$1304="","",[2]Entry!$D$1304)</f>
        <v/>
      </c>
      <c r="L1301" t="str">
        <f>IF([2]Entry!$E$1304="","",[2]Entry!$E$1304)</f>
        <v/>
      </c>
      <c r="M1301" t="str">
        <f>IF([2]Entry!$G$1304="","",[2]Entry!$G$1304)</f>
        <v/>
      </c>
      <c r="N1301" t="str">
        <f>IF([2]Entry!$M$1304="","",[2]Entry!$M$1304)</f>
        <v/>
      </c>
      <c r="O1301" t="str">
        <f>IF([2]Entry!$N$1304="","",[2]Entry!$N$1304)</f>
        <v/>
      </c>
      <c r="P1301" t="str">
        <f>IF([2]Entry!$R$1304="","",[2]Entry!$R$1304)</f>
        <v/>
      </c>
    </row>
    <row r="1302" spans="10:16" x14ac:dyDescent="0.2">
      <c r="J1302" t="str">
        <f>IF([2]Entry!$C$1305="","",[2]Entry!$C$1305)</f>
        <v/>
      </c>
      <c r="K1302" t="str">
        <f>IF([2]Entry!$D$1305="","",[2]Entry!$D$1305)</f>
        <v/>
      </c>
      <c r="L1302" t="str">
        <f>IF([2]Entry!$E$1305="","",[2]Entry!$E$1305)</f>
        <v/>
      </c>
      <c r="M1302" t="str">
        <f>IF([2]Entry!$G$1305="","",[2]Entry!$G$1305)</f>
        <v/>
      </c>
      <c r="N1302" t="str">
        <f>IF([2]Entry!$M$1305="","",[2]Entry!$M$1305)</f>
        <v/>
      </c>
      <c r="O1302" t="str">
        <f>IF([2]Entry!$N$1305="","",[2]Entry!$N$1305)</f>
        <v/>
      </c>
      <c r="P1302" t="str">
        <f>IF([2]Entry!$R$1305="","",[2]Entry!$R$1305)</f>
        <v/>
      </c>
    </row>
    <row r="1303" spans="10:16" x14ac:dyDescent="0.2">
      <c r="J1303" t="str">
        <f>IF([2]Entry!$C$1306="","",[2]Entry!$C$1306)</f>
        <v/>
      </c>
      <c r="K1303" t="str">
        <f>IF([2]Entry!$D$1306="","",[2]Entry!$D$1306)</f>
        <v/>
      </c>
      <c r="L1303" t="str">
        <f>IF([2]Entry!$E$1306="","",[2]Entry!$E$1306)</f>
        <v/>
      </c>
      <c r="M1303" t="str">
        <f>IF([2]Entry!$G$1306="","",[2]Entry!$G$1306)</f>
        <v/>
      </c>
      <c r="N1303" t="str">
        <f>IF([2]Entry!$M$1306="","",[2]Entry!$M$1306)</f>
        <v/>
      </c>
      <c r="O1303" t="str">
        <f>IF([2]Entry!$N$1306="","",[2]Entry!$N$1306)</f>
        <v/>
      </c>
      <c r="P1303" t="str">
        <f>IF([2]Entry!$R$1306="","",[2]Entry!$R$1306)</f>
        <v/>
      </c>
    </row>
    <row r="1304" spans="10:16" x14ac:dyDescent="0.2">
      <c r="J1304" t="str">
        <f>IF([2]Entry!$C$1307="","",[2]Entry!$C$1307)</f>
        <v/>
      </c>
      <c r="K1304" t="str">
        <f>IF([2]Entry!$D$1307="","",[2]Entry!$D$1307)</f>
        <v/>
      </c>
      <c r="L1304" t="str">
        <f>IF([2]Entry!$E$1307="","",[2]Entry!$E$1307)</f>
        <v/>
      </c>
      <c r="M1304" t="str">
        <f>IF([2]Entry!$G$1307="","",[2]Entry!$G$1307)</f>
        <v/>
      </c>
      <c r="N1304" t="str">
        <f>IF([2]Entry!$M$1307="","",[2]Entry!$M$1307)</f>
        <v/>
      </c>
      <c r="O1304" t="str">
        <f>IF([2]Entry!$N$1307="","",[2]Entry!$N$1307)</f>
        <v/>
      </c>
      <c r="P1304" t="str">
        <f>IF([2]Entry!$R$1307="","",[2]Entry!$R$1307)</f>
        <v/>
      </c>
    </row>
    <row r="1305" spans="10:16" x14ac:dyDescent="0.2">
      <c r="J1305" t="str">
        <f>IF([2]Entry!$C$1308="","",[2]Entry!$C$1308)</f>
        <v/>
      </c>
      <c r="K1305" t="str">
        <f>IF([2]Entry!$D$1308="","",[2]Entry!$D$1308)</f>
        <v/>
      </c>
      <c r="L1305" t="str">
        <f>IF([2]Entry!$E$1308="","",[2]Entry!$E$1308)</f>
        <v/>
      </c>
      <c r="M1305" t="str">
        <f>IF([2]Entry!$G$1308="","",[2]Entry!$G$1308)</f>
        <v/>
      </c>
      <c r="N1305" t="str">
        <f>IF([2]Entry!$M$1308="","",[2]Entry!$M$1308)</f>
        <v/>
      </c>
      <c r="O1305" t="str">
        <f>IF([2]Entry!$N$1308="","",[2]Entry!$N$1308)</f>
        <v/>
      </c>
      <c r="P1305" t="str">
        <f>IF([2]Entry!$R$1308="","",[2]Entry!$R$1308)</f>
        <v/>
      </c>
    </row>
    <row r="1306" spans="10:16" x14ac:dyDescent="0.2">
      <c r="J1306" t="str">
        <f>IF([2]Entry!$C$1309="","",[2]Entry!$C$1309)</f>
        <v/>
      </c>
      <c r="K1306" t="str">
        <f>IF([2]Entry!$D$1309="","",[2]Entry!$D$1309)</f>
        <v/>
      </c>
      <c r="L1306" t="str">
        <f>IF([2]Entry!$E$1309="","",[2]Entry!$E$1309)</f>
        <v/>
      </c>
      <c r="M1306" t="str">
        <f>IF([2]Entry!$G$1309="","",[2]Entry!$G$1309)</f>
        <v/>
      </c>
      <c r="N1306" t="str">
        <f>IF([2]Entry!$M$1309="","",[2]Entry!$M$1309)</f>
        <v/>
      </c>
      <c r="O1306" t="str">
        <f>IF([2]Entry!$N$1309="","",[2]Entry!$N$1309)</f>
        <v/>
      </c>
      <c r="P1306" t="str">
        <f>IF([2]Entry!$R$1309="","",[2]Entry!$R$1309)</f>
        <v/>
      </c>
    </row>
    <row r="1307" spans="10:16" x14ac:dyDescent="0.2">
      <c r="J1307" t="str">
        <f>IF([2]Entry!$C$1310="","",[2]Entry!$C$1310)</f>
        <v/>
      </c>
      <c r="K1307" t="str">
        <f>IF([2]Entry!$D$1310="","",[2]Entry!$D$1310)</f>
        <v/>
      </c>
      <c r="L1307" t="str">
        <f>IF([2]Entry!$E$1310="","",[2]Entry!$E$1310)</f>
        <v/>
      </c>
      <c r="M1307" t="str">
        <f>IF([2]Entry!$G$1310="","",[2]Entry!$G$1310)</f>
        <v/>
      </c>
      <c r="N1307" t="str">
        <f>IF([2]Entry!$M$1310="","",[2]Entry!$M$1310)</f>
        <v/>
      </c>
      <c r="O1307" t="str">
        <f>IF([2]Entry!$N$1310="","",[2]Entry!$N$1310)</f>
        <v/>
      </c>
      <c r="P1307" t="str">
        <f>IF([2]Entry!$R$1310="","",[2]Entry!$R$1310)</f>
        <v/>
      </c>
    </row>
    <row r="1308" spans="10:16" x14ac:dyDescent="0.2">
      <c r="J1308" t="str">
        <f>IF([2]Entry!$C$1311="","",[2]Entry!$C$1311)</f>
        <v/>
      </c>
      <c r="K1308" t="str">
        <f>IF([2]Entry!$D$1311="","",[2]Entry!$D$1311)</f>
        <v/>
      </c>
      <c r="L1308" t="str">
        <f>IF([2]Entry!$E$1311="","",[2]Entry!$E$1311)</f>
        <v/>
      </c>
      <c r="M1308" t="str">
        <f>IF([2]Entry!$G$1311="","",[2]Entry!$G$1311)</f>
        <v/>
      </c>
      <c r="N1308" t="str">
        <f>IF([2]Entry!$M$1311="","",[2]Entry!$M$1311)</f>
        <v/>
      </c>
      <c r="O1308" t="str">
        <f>IF([2]Entry!$N$1311="","",[2]Entry!$N$1311)</f>
        <v/>
      </c>
      <c r="P1308" t="str">
        <f>IF([2]Entry!$R$1311="","",[2]Entry!$R$1311)</f>
        <v/>
      </c>
    </row>
    <row r="1309" spans="10:16" x14ac:dyDescent="0.2">
      <c r="J1309" t="str">
        <f>IF([2]Entry!$C$1312="","",[2]Entry!$C$1312)</f>
        <v/>
      </c>
      <c r="K1309" t="str">
        <f>IF([2]Entry!$D$1312="","",[2]Entry!$D$1312)</f>
        <v/>
      </c>
      <c r="L1309" t="str">
        <f>IF([2]Entry!$E$1312="","",[2]Entry!$E$1312)</f>
        <v/>
      </c>
      <c r="M1309" t="str">
        <f>IF([2]Entry!$G$1312="","",[2]Entry!$G$1312)</f>
        <v/>
      </c>
      <c r="N1309" t="str">
        <f>IF([2]Entry!$M$1312="","",[2]Entry!$M$1312)</f>
        <v/>
      </c>
      <c r="O1309" t="str">
        <f>IF([2]Entry!$N$1312="","",[2]Entry!$N$1312)</f>
        <v/>
      </c>
      <c r="P1309" t="str">
        <f>IF([2]Entry!$R$1312="","",[2]Entry!$R$1312)</f>
        <v/>
      </c>
    </row>
    <row r="1310" spans="10:16" x14ac:dyDescent="0.2">
      <c r="J1310" t="str">
        <f>IF([2]Entry!$C$1313="","",[2]Entry!$C$1313)</f>
        <v/>
      </c>
      <c r="K1310" t="str">
        <f>IF([2]Entry!$D$1313="","",[2]Entry!$D$1313)</f>
        <v/>
      </c>
      <c r="L1310" t="str">
        <f>IF([2]Entry!$E$1313="","",[2]Entry!$E$1313)</f>
        <v/>
      </c>
      <c r="M1310" t="str">
        <f>IF([2]Entry!$G$1313="","",[2]Entry!$G$1313)</f>
        <v/>
      </c>
      <c r="N1310" t="str">
        <f>IF([2]Entry!$M$1313="","",[2]Entry!$M$1313)</f>
        <v/>
      </c>
      <c r="O1310" t="str">
        <f>IF([2]Entry!$N$1313="","",[2]Entry!$N$1313)</f>
        <v/>
      </c>
      <c r="P1310" t="str">
        <f>IF([2]Entry!$R$1313="","",[2]Entry!$R$1313)</f>
        <v/>
      </c>
    </row>
    <row r="1311" spans="10:16" x14ac:dyDescent="0.2">
      <c r="J1311" t="str">
        <f>IF([2]Entry!$C$1314="","",[2]Entry!$C$1314)</f>
        <v/>
      </c>
      <c r="K1311" t="str">
        <f>IF([2]Entry!$D$1314="","",[2]Entry!$D$1314)</f>
        <v/>
      </c>
      <c r="L1311" t="str">
        <f>IF([2]Entry!$E$1314="","",[2]Entry!$E$1314)</f>
        <v/>
      </c>
      <c r="M1311" t="str">
        <f>IF([2]Entry!$G$1314="","",[2]Entry!$G$1314)</f>
        <v/>
      </c>
      <c r="N1311" t="str">
        <f>IF([2]Entry!$M$1314="","",[2]Entry!$M$1314)</f>
        <v/>
      </c>
      <c r="O1311" t="str">
        <f>IF([2]Entry!$N$1314="","",[2]Entry!$N$1314)</f>
        <v/>
      </c>
      <c r="P1311" t="str">
        <f>IF([2]Entry!$R$1314="","",[2]Entry!$R$1314)</f>
        <v/>
      </c>
    </row>
    <row r="1312" spans="10:16" x14ac:dyDescent="0.2">
      <c r="J1312" t="str">
        <f>IF([2]Entry!$C$1315="","",[2]Entry!$C$1315)</f>
        <v/>
      </c>
      <c r="K1312" t="str">
        <f>IF([2]Entry!$D$1315="","",[2]Entry!$D$1315)</f>
        <v/>
      </c>
      <c r="L1312" t="str">
        <f>IF([2]Entry!$E$1315="","",[2]Entry!$E$1315)</f>
        <v/>
      </c>
      <c r="M1312" t="str">
        <f>IF([2]Entry!$G$1315="","",[2]Entry!$G$1315)</f>
        <v/>
      </c>
      <c r="N1312" t="str">
        <f>IF([2]Entry!$M$1315="","",[2]Entry!$M$1315)</f>
        <v/>
      </c>
      <c r="O1312" t="str">
        <f>IF([2]Entry!$N$1315="","",[2]Entry!$N$1315)</f>
        <v/>
      </c>
      <c r="P1312" t="str">
        <f>IF([2]Entry!$R$1315="","",[2]Entry!$R$1315)</f>
        <v/>
      </c>
    </row>
    <row r="1313" spans="10:16" x14ac:dyDescent="0.2">
      <c r="J1313" t="str">
        <f>IF([2]Entry!$C$1316="","",[2]Entry!$C$1316)</f>
        <v/>
      </c>
      <c r="K1313" t="str">
        <f>IF([2]Entry!$D$1316="","",[2]Entry!$D$1316)</f>
        <v/>
      </c>
      <c r="L1313" t="str">
        <f>IF([2]Entry!$E$1316="","",[2]Entry!$E$1316)</f>
        <v/>
      </c>
      <c r="M1313" t="str">
        <f>IF([2]Entry!$G$1316="","",[2]Entry!$G$1316)</f>
        <v/>
      </c>
      <c r="N1313" t="str">
        <f>IF([2]Entry!$M$1316="","",[2]Entry!$M$1316)</f>
        <v/>
      </c>
      <c r="O1313" t="str">
        <f>IF([2]Entry!$N$1316="","",[2]Entry!$N$1316)</f>
        <v/>
      </c>
      <c r="P1313" t="str">
        <f>IF([2]Entry!$R$1316="","",[2]Entry!$R$1316)</f>
        <v/>
      </c>
    </row>
    <row r="1314" spans="10:16" x14ac:dyDescent="0.2">
      <c r="J1314" t="str">
        <f>IF([2]Entry!$C$1317="","",[2]Entry!$C$1317)</f>
        <v/>
      </c>
      <c r="K1314" t="str">
        <f>IF([2]Entry!$D$1317="","",[2]Entry!$D$1317)</f>
        <v/>
      </c>
      <c r="L1314" t="str">
        <f>IF([2]Entry!$E$1317="","",[2]Entry!$E$1317)</f>
        <v/>
      </c>
      <c r="M1314" t="str">
        <f>IF([2]Entry!$G$1317="","",[2]Entry!$G$1317)</f>
        <v/>
      </c>
      <c r="N1314" t="str">
        <f>IF([2]Entry!$M$1317="","",[2]Entry!$M$1317)</f>
        <v/>
      </c>
      <c r="O1314" t="str">
        <f>IF([2]Entry!$N$1317="","",[2]Entry!$N$1317)</f>
        <v/>
      </c>
      <c r="P1314" t="str">
        <f>IF([2]Entry!$R$1317="","",[2]Entry!$R$1317)</f>
        <v/>
      </c>
    </row>
    <row r="1315" spans="10:16" x14ac:dyDescent="0.2">
      <c r="J1315" t="str">
        <f>IF([2]Entry!$C$1318="","",[2]Entry!$C$1318)</f>
        <v/>
      </c>
      <c r="K1315" t="str">
        <f>IF([2]Entry!$D$1318="","",[2]Entry!$D$1318)</f>
        <v/>
      </c>
      <c r="L1315" t="str">
        <f>IF([2]Entry!$E$1318="","",[2]Entry!$E$1318)</f>
        <v/>
      </c>
      <c r="M1315" t="str">
        <f>IF([2]Entry!$G$1318="","",[2]Entry!$G$1318)</f>
        <v/>
      </c>
      <c r="N1315" t="str">
        <f>IF([2]Entry!$M$1318="","",[2]Entry!$M$1318)</f>
        <v/>
      </c>
      <c r="O1315" t="str">
        <f>IF([2]Entry!$N$1318="","",[2]Entry!$N$1318)</f>
        <v/>
      </c>
      <c r="P1315" t="str">
        <f>IF([2]Entry!$R$1318="","",[2]Entry!$R$1318)</f>
        <v/>
      </c>
    </row>
    <row r="1316" spans="10:16" x14ac:dyDescent="0.2">
      <c r="J1316" t="str">
        <f>IF([2]Entry!$C$1319="","",[2]Entry!$C$1319)</f>
        <v/>
      </c>
      <c r="K1316" t="str">
        <f>IF([2]Entry!$D$1319="","",[2]Entry!$D$1319)</f>
        <v/>
      </c>
      <c r="L1316" t="str">
        <f>IF([2]Entry!$E$1319="","",[2]Entry!$E$1319)</f>
        <v/>
      </c>
      <c r="M1316" t="str">
        <f>IF([2]Entry!$G$1319="","",[2]Entry!$G$1319)</f>
        <v/>
      </c>
      <c r="N1316" t="str">
        <f>IF([2]Entry!$M$1319="","",[2]Entry!$M$1319)</f>
        <v/>
      </c>
      <c r="O1316" t="str">
        <f>IF([2]Entry!$N$1319="","",[2]Entry!$N$1319)</f>
        <v/>
      </c>
      <c r="P1316" t="str">
        <f>IF([2]Entry!$R$1319="","",[2]Entry!$R$1319)</f>
        <v/>
      </c>
    </row>
    <row r="1317" spans="10:16" x14ac:dyDescent="0.2">
      <c r="J1317" t="str">
        <f>IF([2]Entry!$C$1320="","",[2]Entry!$C$1320)</f>
        <v/>
      </c>
      <c r="K1317" t="str">
        <f>IF([2]Entry!$D$1320="","",[2]Entry!$D$1320)</f>
        <v/>
      </c>
      <c r="L1317" t="str">
        <f>IF([2]Entry!$E$1320="","",[2]Entry!$E$1320)</f>
        <v/>
      </c>
      <c r="M1317" t="str">
        <f>IF([2]Entry!$G$1320="","",[2]Entry!$G$1320)</f>
        <v/>
      </c>
      <c r="N1317" t="str">
        <f>IF([2]Entry!$M$1320="","",[2]Entry!$M$1320)</f>
        <v/>
      </c>
      <c r="O1317" t="str">
        <f>IF([2]Entry!$N$1320="","",[2]Entry!$N$1320)</f>
        <v/>
      </c>
      <c r="P1317" t="str">
        <f>IF([2]Entry!$R$1320="","",[2]Entry!$R$1320)</f>
        <v/>
      </c>
    </row>
    <row r="1318" spans="10:16" x14ac:dyDescent="0.2">
      <c r="J1318" t="str">
        <f>IF([2]Entry!$C$1321="","",[2]Entry!$C$1321)</f>
        <v/>
      </c>
      <c r="K1318" t="str">
        <f>IF([2]Entry!$D$1321="","",[2]Entry!$D$1321)</f>
        <v/>
      </c>
      <c r="L1318" t="str">
        <f>IF([2]Entry!$E$1321="","",[2]Entry!$E$1321)</f>
        <v/>
      </c>
      <c r="M1318" t="str">
        <f>IF([2]Entry!$G$1321="","",[2]Entry!$G$1321)</f>
        <v/>
      </c>
      <c r="N1318" t="str">
        <f>IF([2]Entry!$M$1321="","",[2]Entry!$M$1321)</f>
        <v/>
      </c>
      <c r="O1318" t="str">
        <f>IF([2]Entry!$N$1321="","",[2]Entry!$N$1321)</f>
        <v/>
      </c>
      <c r="P1318" t="str">
        <f>IF([2]Entry!$R$1321="","",[2]Entry!$R$1321)</f>
        <v/>
      </c>
    </row>
    <row r="1319" spans="10:16" x14ac:dyDescent="0.2">
      <c r="J1319" t="str">
        <f>IF([2]Entry!$C$1322="","",[2]Entry!$C$1322)</f>
        <v/>
      </c>
      <c r="K1319" t="str">
        <f>IF([2]Entry!$D$1322="","",[2]Entry!$D$1322)</f>
        <v/>
      </c>
      <c r="L1319" t="str">
        <f>IF([2]Entry!$E$1322="","",[2]Entry!$E$1322)</f>
        <v/>
      </c>
      <c r="M1319" t="str">
        <f>IF([2]Entry!$G$1322="","",[2]Entry!$G$1322)</f>
        <v/>
      </c>
      <c r="N1319" t="str">
        <f>IF([2]Entry!$M$1322="","",[2]Entry!$M$1322)</f>
        <v/>
      </c>
      <c r="O1319" t="str">
        <f>IF([2]Entry!$N$1322="","",[2]Entry!$N$1322)</f>
        <v/>
      </c>
      <c r="P1319" t="str">
        <f>IF([2]Entry!$R$1322="","",[2]Entry!$R$1322)</f>
        <v/>
      </c>
    </row>
    <row r="1320" spans="10:16" x14ac:dyDescent="0.2">
      <c r="J1320" t="str">
        <f>IF([2]Entry!$C$1323="","",[2]Entry!$C$1323)</f>
        <v/>
      </c>
      <c r="K1320" t="str">
        <f>IF([2]Entry!$D$1323="","",[2]Entry!$D$1323)</f>
        <v/>
      </c>
      <c r="L1320" t="str">
        <f>IF([2]Entry!$E$1323="","",[2]Entry!$E$1323)</f>
        <v/>
      </c>
      <c r="M1320" t="str">
        <f>IF([2]Entry!$G$1323="","",[2]Entry!$G$1323)</f>
        <v/>
      </c>
      <c r="N1320" t="str">
        <f>IF([2]Entry!$M$1323="","",[2]Entry!$M$1323)</f>
        <v/>
      </c>
      <c r="O1320" t="str">
        <f>IF([2]Entry!$N$1323="","",[2]Entry!$N$1323)</f>
        <v/>
      </c>
      <c r="P1320" t="str">
        <f>IF([2]Entry!$R$1323="","",[2]Entry!$R$1323)</f>
        <v/>
      </c>
    </row>
    <row r="1321" spans="10:16" x14ac:dyDescent="0.2">
      <c r="J1321" t="str">
        <f>IF([2]Entry!$C$1324="","",[2]Entry!$C$1324)</f>
        <v/>
      </c>
      <c r="K1321" t="str">
        <f>IF([2]Entry!$D$1324="","",[2]Entry!$D$1324)</f>
        <v/>
      </c>
      <c r="L1321" t="str">
        <f>IF([2]Entry!$E$1324="","",[2]Entry!$E$1324)</f>
        <v/>
      </c>
      <c r="M1321" t="str">
        <f>IF([2]Entry!$G$1324="","",[2]Entry!$G$1324)</f>
        <v/>
      </c>
      <c r="N1321" t="str">
        <f>IF([2]Entry!$M$1324="","",[2]Entry!$M$1324)</f>
        <v/>
      </c>
      <c r="O1321" t="str">
        <f>IF([2]Entry!$N$1324="","",[2]Entry!$N$1324)</f>
        <v/>
      </c>
      <c r="P1321" t="str">
        <f>IF([2]Entry!$R$1324="","",[2]Entry!$R$1324)</f>
        <v/>
      </c>
    </row>
    <row r="1322" spans="10:16" x14ac:dyDescent="0.2">
      <c r="J1322" t="str">
        <f>IF([2]Entry!$C$1325="","",[2]Entry!$C$1325)</f>
        <v/>
      </c>
      <c r="K1322" t="str">
        <f>IF([2]Entry!$D$1325="","",[2]Entry!$D$1325)</f>
        <v/>
      </c>
      <c r="L1322" t="str">
        <f>IF([2]Entry!$E$1325="","",[2]Entry!$E$1325)</f>
        <v/>
      </c>
      <c r="M1322" t="str">
        <f>IF([2]Entry!$G$1325="","",[2]Entry!$G$1325)</f>
        <v/>
      </c>
      <c r="N1322" t="str">
        <f>IF([2]Entry!$M$1325="","",[2]Entry!$M$1325)</f>
        <v/>
      </c>
      <c r="O1322" t="str">
        <f>IF([2]Entry!$N$1325="","",[2]Entry!$N$1325)</f>
        <v/>
      </c>
      <c r="P1322" t="str">
        <f>IF([2]Entry!$R$1325="","",[2]Entry!$R$1325)</f>
        <v/>
      </c>
    </row>
    <row r="1323" spans="10:16" x14ac:dyDescent="0.2">
      <c r="J1323" t="str">
        <f>IF([2]Entry!$C$1326="","",[2]Entry!$C$1326)</f>
        <v/>
      </c>
      <c r="K1323" t="str">
        <f>IF([2]Entry!$D$1326="","",[2]Entry!$D$1326)</f>
        <v/>
      </c>
      <c r="L1323" t="str">
        <f>IF([2]Entry!$E$1326="","",[2]Entry!$E$1326)</f>
        <v/>
      </c>
      <c r="M1323" t="str">
        <f>IF([2]Entry!$G$1326="","",[2]Entry!$G$1326)</f>
        <v/>
      </c>
      <c r="N1323" t="str">
        <f>IF([2]Entry!$M$1326="","",[2]Entry!$M$1326)</f>
        <v/>
      </c>
      <c r="O1323" t="str">
        <f>IF([2]Entry!$N$1326="","",[2]Entry!$N$1326)</f>
        <v/>
      </c>
      <c r="P1323" t="str">
        <f>IF([2]Entry!$R$1326="","",[2]Entry!$R$1326)</f>
        <v/>
      </c>
    </row>
    <row r="1324" spans="10:16" x14ac:dyDescent="0.2">
      <c r="J1324" t="str">
        <f>IF([2]Entry!$C$1327="","",[2]Entry!$C$1327)</f>
        <v/>
      </c>
      <c r="K1324" t="str">
        <f>IF([2]Entry!$D$1327="","",[2]Entry!$D$1327)</f>
        <v/>
      </c>
      <c r="L1324" t="str">
        <f>IF([2]Entry!$E$1327="","",[2]Entry!$E$1327)</f>
        <v/>
      </c>
      <c r="M1324" t="str">
        <f>IF([2]Entry!$G$1327="","",[2]Entry!$G$1327)</f>
        <v/>
      </c>
      <c r="N1324" t="str">
        <f>IF([2]Entry!$M$1327="","",[2]Entry!$M$1327)</f>
        <v/>
      </c>
      <c r="O1324" t="str">
        <f>IF([2]Entry!$N$1327="","",[2]Entry!$N$1327)</f>
        <v/>
      </c>
      <c r="P1324" t="str">
        <f>IF([2]Entry!$R$1327="","",[2]Entry!$R$1327)</f>
        <v/>
      </c>
    </row>
    <row r="1325" spans="10:16" x14ac:dyDescent="0.2">
      <c r="J1325" t="str">
        <f>IF([2]Entry!$C$1328="","",[2]Entry!$C$1328)</f>
        <v/>
      </c>
      <c r="K1325" t="str">
        <f>IF([2]Entry!$D$1328="","",[2]Entry!$D$1328)</f>
        <v/>
      </c>
      <c r="L1325" t="str">
        <f>IF([2]Entry!$E$1328="","",[2]Entry!$E$1328)</f>
        <v/>
      </c>
      <c r="M1325" t="str">
        <f>IF([2]Entry!$G$1328="","",[2]Entry!$G$1328)</f>
        <v/>
      </c>
      <c r="N1325" t="str">
        <f>IF([2]Entry!$M$1328="","",[2]Entry!$M$1328)</f>
        <v/>
      </c>
      <c r="O1325" t="str">
        <f>IF([2]Entry!$N$1328="","",[2]Entry!$N$1328)</f>
        <v/>
      </c>
      <c r="P1325" t="str">
        <f>IF([2]Entry!$R$1328="","",[2]Entry!$R$1328)</f>
        <v/>
      </c>
    </row>
    <row r="1326" spans="10:16" x14ac:dyDescent="0.2">
      <c r="J1326" t="str">
        <f>IF([2]Entry!$C$1329="","",[2]Entry!$C$1329)</f>
        <v/>
      </c>
      <c r="K1326" t="str">
        <f>IF([2]Entry!$D$1329="","",[2]Entry!$D$1329)</f>
        <v/>
      </c>
      <c r="L1326" t="str">
        <f>IF([2]Entry!$E$1329="","",[2]Entry!$E$1329)</f>
        <v/>
      </c>
      <c r="M1326" t="str">
        <f>IF([2]Entry!$G$1329="","",[2]Entry!$G$1329)</f>
        <v/>
      </c>
      <c r="N1326" t="str">
        <f>IF([2]Entry!$M$1329="","",[2]Entry!$M$1329)</f>
        <v/>
      </c>
      <c r="O1326" t="str">
        <f>IF([2]Entry!$N$1329="","",[2]Entry!$N$1329)</f>
        <v/>
      </c>
      <c r="P1326" t="str">
        <f>IF([2]Entry!$R$1329="","",[2]Entry!$R$1329)</f>
        <v/>
      </c>
    </row>
    <row r="1327" spans="10:16" x14ac:dyDescent="0.2">
      <c r="J1327" t="str">
        <f>IF([2]Entry!$C$1330="","",[2]Entry!$C$1330)</f>
        <v/>
      </c>
      <c r="K1327" t="str">
        <f>IF([2]Entry!$D$1330="","",[2]Entry!$D$1330)</f>
        <v/>
      </c>
      <c r="L1327" t="str">
        <f>IF([2]Entry!$E$1330="","",[2]Entry!$E$1330)</f>
        <v/>
      </c>
      <c r="M1327" t="str">
        <f>IF([2]Entry!$G$1330="","",[2]Entry!$G$1330)</f>
        <v/>
      </c>
      <c r="N1327" t="str">
        <f>IF([2]Entry!$M$1330="","",[2]Entry!$M$1330)</f>
        <v/>
      </c>
      <c r="O1327" t="str">
        <f>IF([2]Entry!$N$1330="","",[2]Entry!$N$1330)</f>
        <v/>
      </c>
      <c r="P1327" t="str">
        <f>IF([2]Entry!$R$1330="","",[2]Entry!$R$1330)</f>
        <v/>
      </c>
    </row>
    <row r="1328" spans="10:16" x14ac:dyDescent="0.2">
      <c r="J1328" t="str">
        <f>IF([2]Entry!$C$1331="","",[2]Entry!$C$1331)</f>
        <v/>
      </c>
      <c r="K1328" t="str">
        <f>IF([2]Entry!$D$1331="","",[2]Entry!$D$1331)</f>
        <v/>
      </c>
      <c r="L1328" t="str">
        <f>IF([2]Entry!$E$1331="","",[2]Entry!$E$1331)</f>
        <v/>
      </c>
      <c r="M1328" t="str">
        <f>IF([2]Entry!$G$1331="","",[2]Entry!$G$1331)</f>
        <v/>
      </c>
      <c r="N1328" t="str">
        <f>IF([2]Entry!$M$1331="","",[2]Entry!$M$1331)</f>
        <v/>
      </c>
      <c r="O1328" t="str">
        <f>IF([2]Entry!$N$1331="","",[2]Entry!$N$1331)</f>
        <v/>
      </c>
      <c r="P1328" t="str">
        <f>IF([2]Entry!$R$1331="","",[2]Entry!$R$1331)</f>
        <v/>
      </c>
    </row>
    <row r="1329" spans="10:16" x14ac:dyDescent="0.2">
      <c r="J1329" t="str">
        <f>IF([2]Entry!$C$1332="","",[2]Entry!$C$1332)</f>
        <v/>
      </c>
      <c r="K1329" t="str">
        <f>IF([2]Entry!$D$1332="","",[2]Entry!$D$1332)</f>
        <v/>
      </c>
      <c r="L1329" t="str">
        <f>IF([2]Entry!$E$1332="","",[2]Entry!$E$1332)</f>
        <v/>
      </c>
      <c r="M1329" t="str">
        <f>IF([2]Entry!$G$1332="","",[2]Entry!$G$1332)</f>
        <v/>
      </c>
      <c r="N1329" t="str">
        <f>IF([2]Entry!$M$1332="","",[2]Entry!$M$1332)</f>
        <v/>
      </c>
      <c r="O1329" t="str">
        <f>IF([2]Entry!$N$1332="","",[2]Entry!$N$1332)</f>
        <v/>
      </c>
      <c r="P1329" t="str">
        <f>IF([2]Entry!$R$1332="","",[2]Entry!$R$1332)</f>
        <v/>
      </c>
    </row>
    <row r="1330" spans="10:16" x14ac:dyDescent="0.2">
      <c r="J1330" t="str">
        <f>IF([2]Entry!$C$1333="","",[2]Entry!$C$1333)</f>
        <v/>
      </c>
      <c r="K1330" t="str">
        <f>IF([2]Entry!$D$1333="","",[2]Entry!$D$1333)</f>
        <v/>
      </c>
      <c r="L1330" t="str">
        <f>IF([2]Entry!$E$1333="","",[2]Entry!$E$1333)</f>
        <v/>
      </c>
      <c r="M1330" t="str">
        <f>IF([2]Entry!$G$1333="","",[2]Entry!$G$1333)</f>
        <v/>
      </c>
      <c r="N1330" t="str">
        <f>IF([2]Entry!$M$1333="","",[2]Entry!$M$1333)</f>
        <v/>
      </c>
      <c r="O1330" t="str">
        <f>IF([2]Entry!$N$1333="","",[2]Entry!$N$1333)</f>
        <v/>
      </c>
      <c r="P1330" t="str">
        <f>IF([2]Entry!$R$1333="","",[2]Entry!$R$1333)</f>
        <v/>
      </c>
    </row>
    <row r="1331" spans="10:16" x14ac:dyDescent="0.2">
      <c r="J1331" t="str">
        <f>IF([2]Entry!$C$1334="","",[2]Entry!$C$1334)</f>
        <v/>
      </c>
      <c r="K1331" t="str">
        <f>IF([2]Entry!$D$1334="","",[2]Entry!$D$1334)</f>
        <v/>
      </c>
      <c r="L1331" t="str">
        <f>IF([2]Entry!$E$1334="","",[2]Entry!$E$1334)</f>
        <v/>
      </c>
      <c r="M1331" t="str">
        <f>IF([2]Entry!$G$1334="","",[2]Entry!$G$1334)</f>
        <v/>
      </c>
      <c r="N1331" t="str">
        <f>IF([2]Entry!$M$1334="","",[2]Entry!$M$1334)</f>
        <v/>
      </c>
      <c r="O1331" t="str">
        <f>IF([2]Entry!$N$1334="","",[2]Entry!$N$1334)</f>
        <v/>
      </c>
      <c r="P1331" t="str">
        <f>IF([2]Entry!$R$1334="","",[2]Entry!$R$1334)</f>
        <v/>
      </c>
    </row>
    <row r="1332" spans="10:16" x14ac:dyDescent="0.2">
      <c r="J1332" t="str">
        <f>IF([2]Entry!$C$1335="","",[2]Entry!$C$1335)</f>
        <v/>
      </c>
      <c r="K1332" t="str">
        <f>IF([2]Entry!$D$1335="","",[2]Entry!$D$1335)</f>
        <v/>
      </c>
      <c r="L1332" t="str">
        <f>IF([2]Entry!$E$1335="","",[2]Entry!$E$1335)</f>
        <v/>
      </c>
      <c r="M1332" t="str">
        <f>IF([2]Entry!$G$1335="","",[2]Entry!$G$1335)</f>
        <v/>
      </c>
      <c r="N1332" t="str">
        <f>IF([2]Entry!$M$1335="","",[2]Entry!$M$1335)</f>
        <v/>
      </c>
      <c r="O1332" t="str">
        <f>IF([2]Entry!$N$1335="","",[2]Entry!$N$1335)</f>
        <v/>
      </c>
      <c r="P1332" t="str">
        <f>IF([2]Entry!$R$1335="","",[2]Entry!$R$1335)</f>
        <v/>
      </c>
    </row>
    <row r="1333" spans="10:16" x14ac:dyDescent="0.2">
      <c r="J1333" t="str">
        <f>IF([2]Entry!$C$1336="","",[2]Entry!$C$1336)</f>
        <v/>
      </c>
      <c r="K1333" t="str">
        <f>IF([2]Entry!$D$1336="","",[2]Entry!$D$1336)</f>
        <v/>
      </c>
      <c r="L1333" t="str">
        <f>IF([2]Entry!$E$1336="","",[2]Entry!$E$1336)</f>
        <v/>
      </c>
      <c r="M1333" t="str">
        <f>IF([2]Entry!$G$1336="","",[2]Entry!$G$1336)</f>
        <v/>
      </c>
      <c r="N1333" t="str">
        <f>IF([2]Entry!$M$1336="","",[2]Entry!$M$1336)</f>
        <v/>
      </c>
      <c r="O1333" t="str">
        <f>IF([2]Entry!$N$1336="","",[2]Entry!$N$1336)</f>
        <v/>
      </c>
      <c r="P1333" t="str">
        <f>IF([2]Entry!$R$1336="","",[2]Entry!$R$1336)</f>
        <v/>
      </c>
    </row>
    <row r="1334" spans="10:16" x14ac:dyDescent="0.2">
      <c r="J1334" t="str">
        <f>IF([2]Entry!$C$1337="","",[2]Entry!$C$1337)</f>
        <v/>
      </c>
      <c r="K1334" t="str">
        <f>IF([2]Entry!$D$1337="","",[2]Entry!$D$1337)</f>
        <v/>
      </c>
      <c r="L1334" t="str">
        <f>IF([2]Entry!$E$1337="","",[2]Entry!$E$1337)</f>
        <v/>
      </c>
      <c r="M1334" t="str">
        <f>IF([2]Entry!$G$1337="","",[2]Entry!$G$1337)</f>
        <v/>
      </c>
      <c r="N1334" t="str">
        <f>IF([2]Entry!$M$1337="","",[2]Entry!$M$1337)</f>
        <v/>
      </c>
      <c r="O1334" t="str">
        <f>IF([2]Entry!$N$1337="","",[2]Entry!$N$1337)</f>
        <v/>
      </c>
      <c r="P1334" t="str">
        <f>IF([2]Entry!$R$1337="","",[2]Entry!$R$1337)</f>
        <v/>
      </c>
    </row>
    <row r="1335" spans="10:16" x14ac:dyDescent="0.2">
      <c r="J1335" t="str">
        <f>IF([2]Entry!$C$1338="","",[2]Entry!$C$1338)</f>
        <v/>
      </c>
      <c r="K1335" t="str">
        <f>IF([2]Entry!$D$1338="","",[2]Entry!$D$1338)</f>
        <v/>
      </c>
      <c r="L1335" t="str">
        <f>IF([2]Entry!$E$1338="","",[2]Entry!$E$1338)</f>
        <v/>
      </c>
      <c r="M1335" t="str">
        <f>IF([2]Entry!$G$1338="","",[2]Entry!$G$1338)</f>
        <v/>
      </c>
      <c r="N1335" t="str">
        <f>IF([2]Entry!$M$1338="","",[2]Entry!$M$1338)</f>
        <v/>
      </c>
      <c r="O1335" t="str">
        <f>IF([2]Entry!$N$1338="","",[2]Entry!$N$1338)</f>
        <v/>
      </c>
      <c r="P1335" t="str">
        <f>IF([2]Entry!$R$1338="","",[2]Entry!$R$1338)</f>
        <v/>
      </c>
    </row>
    <row r="1336" spans="10:16" x14ac:dyDescent="0.2">
      <c r="J1336" t="str">
        <f>IF([2]Entry!$C$1339="","",[2]Entry!$C$1339)</f>
        <v/>
      </c>
      <c r="K1336" t="str">
        <f>IF([2]Entry!$D$1339="","",[2]Entry!$D$1339)</f>
        <v/>
      </c>
      <c r="L1336" t="str">
        <f>IF([2]Entry!$E$1339="","",[2]Entry!$E$1339)</f>
        <v/>
      </c>
      <c r="M1336" t="str">
        <f>IF([2]Entry!$G$1339="","",[2]Entry!$G$1339)</f>
        <v/>
      </c>
      <c r="N1336" t="str">
        <f>IF([2]Entry!$M$1339="","",[2]Entry!$M$1339)</f>
        <v/>
      </c>
      <c r="O1336" t="str">
        <f>IF([2]Entry!$N$1339="","",[2]Entry!$N$1339)</f>
        <v/>
      </c>
      <c r="P1336" t="str">
        <f>IF([2]Entry!$R$1339="","",[2]Entry!$R$1339)</f>
        <v/>
      </c>
    </row>
    <row r="1337" spans="10:16" x14ac:dyDescent="0.2">
      <c r="J1337" t="str">
        <f>IF([2]Entry!$C$1340="","",[2]Entry!$C$1340)</f>
        <v/>
      </c>
      <c r="K1337" t="str">
        <f>IF([2]Entry!$D$1340="","",[2]Entry!$D$1340)</f>
        <v/>
      </c>
      <c r="L1337" t="str">
        <f>IF([2]Entry!$E$1340="","",[2]Entry!$E$1340)</f>
        <v/>
      </c>
      <c r="M1337" t="str">
        <f>IF([2]Entry!$G$1340="","",[2]Entry!$G$1340)</f>
        <v/>
      </c>
      <c r="N1337" t="str">
        <f>IF([2]Entry!$M$1340="","",[2]Entry!$M$1340)</f>
        <v/>
      </c>
      <c r="O1337" t="str">
        <f>IF([2]Entry!$N$1340="","",[2]Entry!$N$1340)</f>
        <v/>
      </c>
      <c r="P1337" t="str">
        <f>IF([2]Entry!$R$1340="","",[2]Entry!$R$1340)</f>
        <v/>
      </c>
    </row>
    <row r="1338" spans="10:16" x14ac:dyDescent="0.2">
      <c r="J1338" t="str">
        <f>IF([2]Entry!$C$1341="","",[2]Entry!$C$1341)</f>
        <v/>
      </c>
      <c r="K1338" t="str">
        <f>IF([2]Entry!$D$1341="","",[2]Entry!$D$1341)</f>
        <v/>
      </c>
      <c r="L1338" t="str">
        <f>IF([2]Entry!$E$1341="","",[2]Entry!$E$1341)</f>
        <v/>
      </c>
      <c r="M1338" t="str">
        <f>IF([2]Entry!$G$1341="","",[2]Entry!$G$1341)</f>
        <v/>
      </c>
      <c r="N1338" t="str">
        <f>IF([2]Entry!$M$1341="","",[2]Entry!$M$1341)</f>
        <v/>
      </c>
      <c r="O1338" t="str">
        <f>IF([2]Entry!$N$1341="","",[2]Entry!$N$1341)</f>
        <v/>
      </c>
      <c r="P1338" t="str">
        <f>IF([2]Entry!$R$1341="","",[2]Entry!$R$1341)</f>
        <v/>
      </c>
    </row>
    <row r="1339" spans="10:16" x14ac:dyDescent="0.2">
      <c r="J1339" t="str">
        <f>IF([2]Entry!$C$1342="","",[2]Entry!$C$1342)</f>
        <v/>
      </c>
      <c r="K1339" t="str">
        <f>IF([2]Entry!$D$1342="","",[2]Entry!$D$1342)</f>
        <v/>
      </c>
      <c r="L1339" t="str">
        <f>IF([2]Entry!$E$1342="","",[2]Entry!$E$1342)</f>
        <v/>
      </c>
      <c r="M1339" t="str">
        <f>IF([2]Entry!$G$1342="","",[2]Entry!$G$1342)</f>
        <v/>
      </c>
      <c r="N1339" t="str">
        <f>IF([2]Entry!$M$1342="","",[2]Entry!$M$1342)</f>
        <v/>
      </c>
      <c r="O1339" t="str">
        <f>IF([2]Entry!$N$1342="","",[2]Entry!$N$1342)</f>
        <v/>
      </c>
      <c r="P1339" t="str">
        <f>IF([2]Entry!$R$1342="","",[2]Entry!$R$1342)</f>
        <v/>
      </c>
    </row>
    <row r="1340" spans="10:16" x14ac:dyDescent="0.2">
      <c r="J1340" t="str">
        <f>IF([2]Entry!$C$1343="","",[2]Entry!$C$1343)</f>
        <v/>
      </c>
      <c r="K1340" t="str">
        <f>IF([2]Entry!$D$1343="","",[2]Entry!$D$1343)</f>
        <v/>
      </c>
      <c r="L1340" t="str">
        <f>IF([2]Entry!$E$1343="","",[2]Entry!$E$1343)</f>
        <v/>
      </c>
      <c r="M1340" t="str">
        <f>IF([2]Entry!$G$1343="","",[2]Entry!$G$1343)</f>
        <v/>
      </c>
      <c r="N1340" t="str">
        <f>IF([2]Entry!$M$1343="","",[2]Entry!$M$1343)</f>
        <v/>
      </c>
      <c r="O1340" t="str">
        <f>IF([2]Entry!$N$1343="","",[2]Entry!$N$1343)</f>
        <v/>
      </c>
      <c r="P1340" t="str">
        <f>IF([2]Entry!$R$1343="","",[2]Entry!$R$1343)</f>
        <v/>
      </c>
    </row>
    <row r="1341" spans="10:16" x14ac:dyDescent="0.2">
      <c r="J1341" t="str">
        <f>IF([2]Entry!$C$1344="","",[2]Entry!$C$1344)</f>
        <v/>
      </c>
      <c r="K1341" t="str">
        <f>IF([2]Entry!$D$1344="","",[2]Entry!$D$1344)</f>
        <v/>
      </c>
      <c r="L1341" t="str">
        <f>IF([2]Entry!$E$1344="","",[2]Entry!$E$1344)</f>
        <v/>
      </c>
      <c r="M1341" t="str">
        <f>IF([2]Entry!$G$1344="","",[2]Entry!$G$1344)</f>
        <v/>
      </c>
      <c r="N1341" t="str">
        <f>IF([2]Entry!$M$1344="","",[2]Entry!$M$1344)</f>
        <v/>
      </c>
      <c r="O1341" t="str">
        <f>IF([2]Entry!$N$1344="","",[2]Entry!$N$1344)</f>
        <v/>
      </c>
      <c r="P1341" t="str">
        <f>IF([2]Entry!$R$1344="","",[2]Entry!$R$1344)</f>
        <v/>
      </c>
    </row>
    <row r="1342" spans="10:16" x14ac:dyDescent="0.2">
      <c r="J1342" t="str">
        <f>IF([2]Entry!$C$1345="","",[2]Entry!$C$1345)</f>
        <v/>
      </c>
      <c r="K1342" t="str">
        <f>IF([2]Entry!$D$1345="","",[2]Entry!$D$1345)</f>
        <v/>
      </c>
      <c r="L1342" t="str">
        <f>IF([2]Entry!$E$1345="","",[2]Entry!$E$1345)</f>
        <v/>
      </c>
      <c r="M1342" t="str">
        <f>IF([2]Entry!$G$1345="","",[2]Entry!$G$1345)</f>
        <v/>
      </c>
      <c r="N1342" t="str">
        <f>IF([2]Entry!$M$1345="","",[2]Entry!$M$1345)</f>
        <v/>
      </c>
      <c r="O1342" t="str">
        <f>IF([2]Entry!$N$1345="","",[2]Entry!$N$1345)</f>
        <v/>
      </c>
      <c r="P1342" t="str">
        <f>IF([2]Entry!$R$1345="","",[2]Entry!$R$1345)</f>
        <v/>
      </c>
    </row>
    <row r="1343" spans="10:16" x14ac:dyDescent="0.2">
      <c r="J1343" t="str">
        <f>IF([2]Entry!$C$1346="","",[2]Entry!$C$1346)</f>
        <v/>
      </c>
      <c r="K1343" t="str">
        <f>IF([2]Entry!$D$1346="","",[2]Entry!$D$1346)</f>
        <v/>
      </c>
      <c r="L1343" t="str">
        <f>IF([2]Entry!$E$1346="","",[2]Entry!$E$1346)</f>
        <v/>
      </c>
      <c r="M1343" t="str">
        <f>IF([2]Entry!$G$1346="","",[2]Entry!$G$1346)</f>
        <v/>
      </c>
      <c r="N1343" t="str">
        <f>IF([2]Entry!$M$1346="","",[2]Entry!$M$1346)</f>
        <v/>
      </c>
      <c r="O1343" t="str">
        <f>IF([2]Entry!$N$1346="","",[2]Entry!$N$1346)</f>
        <v/>
      </c>
      <c r="P1343" t="str">
        <f>IF([2]Entry!$R$1346="","",[2]Entry!$R$1346)</f>
        <v/>
      </c>
    </row>
    <row r="1344" spans="10:16" x14ac:dyDescent="0.2">
      <c r="J1344" t="str">
        <f>IF([2]Entry!$C$1347="","",[2]Entry!$C$1347)</f>
        <v/>
      </c>
      <c r="K1344" t="str">
        <f>IF([2]Entry!$D$1347="","",[2]Entry!$D$1347)</f>
        <v/>
      </c>
      <c r="L1344" t="str">
        <f>IF([2]Entry!$E$1347="","",[2]Entry!$E$1347)</f>
        <v/>
      </c>
      <c r="M1344" t="str">
        <f>IF([2]Entry!$G$1347="","",[2]Entry!$G$1347)</f>
        <v/>
      </c>
      <c r="N1344" t="str">
        <f>IF([2]Entry!$M$1347="","",[2]Entry!$M$1347)</f>
        <v/>
      </c>
      <c r="O1344" t="str">
        <f>IF([2]Entry!$N$1347="","",[2]Entry!$N$1347)</f>
        <v/>
      </c>
      <c r="P1344" t="str">
        <f>IF([2]Entry!$R$1347="","",[2]Entry!$R$1347)</f>
        <v/>
      </c>
    </row>
    <row r="1345" spans="10:16" x14ac:dyDescent="0.2">
      <c r="J1345" t="str">
        <f>IF([2]Entry!$C$1348="","",[2]Entry!$C$1348)</f>
        <v/>
      </c>
      <c r="K1345" t="str">
        <f>IF([2]Entry!$D$1348="","",[2]Entry!$D$1348)</f>
        <v/>
      </c>
      <c r="L1345" t="str">
        <f>IF([2]Entry!$E$1348="","",[2]Entry!$E$1348)</f>
        <v/>
      </c>
      <c r="M1345" t="str">
        <f>IF([2]Entry!$G$1348="","",[2]Entry!$G$1348)</f>
        <v/>
      </c>
      <c r="N1345" t="str">
        <f>IF([2]Entry!$M$1348="","",[2]Entry!$M$1348)</f>
        <v/>
      </c>
      <c r="O1345" t="str">
        <f>IF([2]Entry!$N$1348="","",[2]Entry!$N$1348)</f>
        <v/>
      </c>
      <c r="P1345" t="str">
        <f>IF([2]Entry!$R$1348="","",[2]Entry!$R$1348)</f>
        <v/>
      </c>
    </row>
    <row r="1346" spans="10:16" x14ac:dyDescent="0.2">
      <c r="J1346" t="str">
        <f>IF([2]Entry!$C$1349="","",[2]Entry!$C$1349)</f>
        <v/>
      </c>
      <c r="K1346" t="str">
        <f>IF([2]Entry!$D$1349="","",[2]Entry!$D$1349)</f>
        <v/>
      </c>
      <c r="L1346" t="str">
        <f>IF([2]Entry!$E$1349="","",[2]Entry!$E$1349)</f>
        <v/>
      </c>
      <c r="M1346" t="str">
        <f>IF([2]Entry!$G$1349="","",[2]Entry!$G$1349)</f>
        <v/>
      </c>
      <c r="N1346" t="str">
        <f>IF([2]Entry!$M$1349="","",[2]Entry!$M$1349)</f>
        <v/>
      </c>
      <c r="O1346" t="str">
        <f>IF([2]Entry!$N$1349="","",[2]Entry!$N$1349)</f>
        <v/>
      </c>
      <c r="P1346" t="str">
        <f>IF([2]Entry!$R$1349="","",[2]Entry!$R$1349)</f>
        <v/>
      </c>
    </row>
    <row r="1347" spans="10:16" x14ac:dyDescent="0.2">
      <c r="J1347" t="str">
        <f>IF([2]Entry!$C$1350="","",[2]Entry!$C$1350)</f>
        <v/>
      </c>
      <c r="K1347" t="str">
        <f>IF([2]Entry!$D$1350="","",[2]Entry!$D$1350)</f>
        <v/>
      </c>
      <c r="L1347" t="str">
        <f>IF([2]Entry!$E$1350="","",[2]Entry!$E$1350)</f>
        <v/>
      </c>
      <c r="M1347" t="str">
        <f>IF([2]Entry!$G$1350="","",[2]Entry!$G$1350)</f>
        <v/>
      </c>
      <c r="N1347" t="str">
        <f>IF([2]Entry!$M$1350="","",[2]Entry!$M$1350)</f>
        <v/>
      </c>
      <c r="O1347" t="str">
        <f>IF([2]Entry!$N$1350="","",[2]Entry!$N$1350)</f>
        <v/>
      </c>
      <c r="P1347" t="str">
        <f>IF([2]Entry!$R$1350="","",[2]Entry!$R$1350)</f>
        <v/>
      </c>
    </row>
    <row r="1348" spans="10:16" x14ac:dyDescent="0.2">
      <c r="J1348" t="str">
        <f>IF([2]Entry!$C$1351="","",[2]Entry!$C$1351)</f>
        <v/>
      </c>
      <c r="K1348" t="str">
        <f>IF([2]Entry!$D$1351="","",[2]Entry!$D$1351)</f>
        <v/>
      </c>
      <c r="L1348" t="str">
        <f>IF([2]Entry!$E$1351="","",[2]Entry!$E$1351)</f>
        <v/>
      </c>
      <c r="M1348" t="str">
        <f>IF([2]Entry!$G$1351="","",[2]Entry!$G$1351)</f>
        <v/>
      </c>
      <c r="N1348" t="str">
        <f>IF([2]Entry!$M$1351="","",[2]Entry!$M$1351)</f>
        <v/>
      </c>
      <c r="O1348" t="str">
        <f>IF([2]Entry!$N$1351="","",[2]Entry!$N$1351)</f>
        <v/>
      </c>
      <c r="P1348" t="str">
        <f>IF([2]Entry!$R$1351="","",[2]Entry!$R$1351)</f>
        <v/>
      </c>
    </row>
    <row r="1349" spans="10:16" x14ac:dyDescent="0.2">
      <c r="J1349" t="str">
        <f>IF([2]Entry!$C$1352="","",[2]Entry!$C$1352)</f>
        <v/>
      </c>
      <c r="K1349" t="str">
        <f>IF([2]Entry!$D$1352="","",[2]Entry!$D$1352)</f>
        <v/>
      </c>
      <c r="L1349" t="str">
        <f>IF([2]Entry!$E$1352="","",[2]Entry!$E$1352)</f>
        <v/>
      </c>
      <c r="M1349" t="str">
        <f>IF([2]Entry!$G$1352="","",[2]Entry!$G$1352)</f>
        <v/>
      </c>
      <c r="N1349" t="str">
        <f>IF([2]Entry!$M$1352="","",[2]Entry!$M$1352)</f>
        <v/>
      </c>
      <c r="O1349" t="str">
        <f>IF([2]Entry!$N$1352="","",[2]Entry!$N$1352)</f>
        <v/>
      </c>
      <c r="P1349" t="str">
        <f>IF([2]Entry!$R$1352="","",[2]Entry!$R$1352)</f>
        <v/>
      </c>
    </row>
    <row r="1350" spans="10:16" x14ac:dyDescent="0.2">
      <c r="J1350" t="str">
        <f>IF([2]Entry!$C$1353="","",[2]Entry!$C$1353)</f>
        <v/>
      </c>
      <c r="K1350" t="str">
        <f>IF([2]Entry!$D$1353="","",[2]Entry!$D$1353)</f>
        <v/>
      </c>
      <c r="L1350" t="str">
        <f>IF([2]Entry!$E$1353="","",[2]Entry!$E$1353)</f>
        <v/>
      </c>
      <c r="M1350" t="str">
        <f>IF([2]Entry!$G$1353="","",[2]Entry!$G$1353)</f>
        <v/>
      </c>
      <c r="N1350" t="str">
        <f>IF([2]Entry!$M$1353="","",[2]Entry!$M$1353)</f>
        <v/>
      </c>
      <c r="O1350" t="str">
        <f>IF([2]Entry!$N$1353="","",[2]Entry!$N$1353)</f>
        <v/>
      </c>
      <c r="P1350" t="str">
        <f>IF([2]Entry!$R$1353="","",[2]Entry!$R$1353)</f>
        <v/>
      </c>
    </row>
    <row r="1351" spans="10:16" x14ac:dyDescent="0.2">
      <c r="J1351" t="str">
        <f>IF([2]Entry!$C$1354="","",[2]Entry!$C$1354)</f>
        <v/>
      </c>
      <c r="K1351" t="str">
        <f>IF([2]Entry!$D$1354="","",[2]Entry!$D$1354)</f>
        <v/>
      </c>
      <c r="L1351" t="str">
        <f>IF([2]Entry!$E$1354="","",[2]Entry!$E$1354)</f>
        <v/>
      </c>
      <c r="M1351" t="str">
        <f>IF([2]Entry!$G$1354="","",[2]Entry!$G$1354)</f>
        <v/>
      </c>
      <c r="N1351" t="str">
        <f>IF([2]Entry!$M$1354="","",[2]Entry!$M$1354)</f>
        <v/>
      </c>
      <c r="O1351" t="str">
        <f>IF([2]Entry!$N$1354="","",[2]Entry!$N$1354)</f>
        <v/>
      </c>
      <c r="P1351" t="str">
        <f>IF([2]Entry!$R$1354="","",[2]Entry!$R$1354)</f>
        <v/>
      </c>
    </row>
    <row r="1352" spans="10:16" x14ac:dyDescent="0.2">
      <c r="J1352" t="str">
        <f>IF([2]Entry!$C$1355="","",[2]Entry!$C$1355)</f>
        <v/>
      </c>
      <c r="K1352" t="str">
        <f>IF([2]Entry!$D$1355="","",[2]Entry!$D$1355)</f>
        <v/>
      </c>
      <c r="L1352" t="str">
        <f>IF([2]Entry!$E$1355="","",[2]Entry!$E$1355)</f>
        <v/>
      </c>
      <c r="M1352" t="str">
        <f>IF([2]Entry!$G$1355="","",[2]Entry!$G$1355)</f>
        <v/>
      </c>
      <c r="N1352" t="str">
        <f>IF([2]Entry!$M$1355="","",[2]Entry!$M$1355)</f>
        <v/>
      </c>
      <c r="O1352" t="str">
        <f>IF([2]Entry!$N$1355="","",[2]Entry!$N$1355)</f>
        <v/>
      </c>
      <c r="P1352" t="str">
        <f>IF([2]Entry!$R$1355="","",[2]Entry!$R$1355)</f>
        <v/>
      </c>
    </row>
    <row r="1353" spans="10:16" x14ac:dyDescent="0.2">
      <c r="J1353" t="str">
        <f>IF([2]Entry!$C$1356="","",[2]Entry!$C$1356)</f>
        <v/>
      </c>
      <c r="K1353" t="str">
        <f>IF([2]Entry!$D$1356="","",[2]Entry!$D$1356)</f>
        <v/>
      </c>
      <c r="L1353" t="str">
        <f>IF([2]Entry!$E$1356="","",[2]Entry!$E$1356)</f>
        <v/>
      </c>
      <c r="M1353" t="str">
        <f>IF([2]Entry!$G$1356="","",[2]Entry!$G$1356)</f>
        <v/>
      </c>
      <c r="N1353" t="str">
        <f>IF([2]Entry!$M$1356="","",[2]Entry!$M$1356)</f>
        <v/>
      </c>
      <c r="O1353" t="str">
        <f>IF([2]Entry!$N$1356="","",[2]Entry!$N$1356)</f>
        <v/>
      </c>
      <c r="P1353" t="str">
        <f>IF([2]Entry!$R$1356="","",[2]Entry!$R$1356)</f>
        <v/>
      </c>
    </row>
    <row r="1354" spans="10:16" x14ac:dyDescent="0.2">
      <c r="J1354" t="str">
        <f>IF([2]Entry!$C$1357="","",[2]Entry!$C$1357)</f>
        <v/>
      </c>
      <c r="K1354" t="str">
        <f>IF([2]Entry!$D$1357="","",[2]Entry!$D$1357)</f>
        <v/>
      </c>
      <c r="L1354" t="str">
        <f>IF([2]Entry!$E$1357="","",[2]Entry!$E$1357)</f>
        <v/>
      </c>
      <c r="M1354" t="str">
        <f>IF([2]Entry!$G$1357="","",[2]Entry!$G$1357)</f>
        <v/>
      </c>
      <c r="N1354" t="str">
        <f>IF([2]Entry!$M$1357="","",[2]Entry!$M$1357)</f>
        <v/>
      </c>
      <c r="O1354" t="str">
        <f>IF([2]Entry!$N$1357="","",[2]Entry!$N$1357)</f>
        <v/>
      </c>
      <c r="P1354" t="str">
        <f>IF([2]Entry!$R$1357="","",[2]Entry!$R$1357)</f>
        <v/>
      </c>
    </row>
    <row r="1355" spans="10:16" x14ac:dyDescent="0.2">
      <c r="J1355" t="str">
        <f>IF([2]Entry!$C$1358="","",[2]Entry!$C$1358)</f>
        <v/>
      </c>
      <c r="K1355" t="str">
        <f>IF([2]Entry!$D$1358="","",[2]Entry!$D$1358)</f>
        <v/>
      </c>
      <c r="L1355" t="str">
        <f>IF([2]Entry!$E$1358="","",[2]Entry!$E$1358)</f>
        <v/>
      </c>
      <c r="M1355" t="str">
        <f>IF([2]Entry!$G$1358="","",[2]Entry!$G$1358)</f>
        <v/>
      </c>
      <c r="N1355" t="str">
        <f>IF([2]Entry!$M$1358="","",[2]Entry!$M$1358)</f>
        <v/>
      </c>
      <c r="O1355" t="str">
        <f>IF([2]Entry!$N$1358="","",[2]Entry!$N$1358)</f>
        <v/>
      </c>
      <c r="P1355" t="str">
        <f>IF([2]Entry!$R$1358="","",[2]Entry!$R$1358)</f>
        <v/>
      </c>
    </row>
    <row r="1356" spans="10:16" x14ac:dyDescent="0.2">
      <c r="J1356" t="str">
        <f>IF([2]Entry!$C$1359="","",[2]Entry!$C$1359)</f>
        <v/>
      </c>
      <c r="K1356" t="str">
        <f>IF([2]Entry!$D$1359="","",[2]Entry!$D$1359)</f>
        <v/>
      </c>
      <c r="L1356" t="str">
        <f>IF([2]Entry!$E$1359="","",[2]Entry!$E$1359)</f>
        <v/>
      </c>
      <c r="M1356" t="str">
        <f>IF([2]Entry!$G$1359="","",[2]Entry!$G$1359)</f>
        <v/>
      </c>
      <c r="N1356" t="str">
        <f>IF([2]Entry!$M$1359="","",[2]Entry!$M$1359)</f>
        <v/>
      </c>
      <c r="O1356" t="str">
        <f>IF([2]Entry!$N$1359="","",[2]Entry!$N$1359)</f>
        <v/>
      </c>
      <c r="P1356" t="str">
        <f>IF([2]Entry!$R$1359="","",[2]Entry!$R$1359)</f>
        <v/>
      </c>
    </row>
    <row r="1357" spans="10:16" x14ac:dyDescent="0.2">
      <c r="J1357" t="str">
        <f>IF([2]Entry!$C$1360="","",[2]Entry!$C$1360)</f>
        <v/>
      </c>
      <c r="K1357" t="str">
        <f>IF([2]Entry!$D$1360="","",[2]Entry!$D$1360)</f>
        <v/>
      </c>
      <c r="L1357" t="str">
        <f>IF([2]Entry!$E$1360="","",[2]Entry!$E$1360)</f>
        <v/>
      </c>
      <c r="M1357" t="str">
        <f>IF([2]Entry!$G$1360="","",[2]Entry!$G$1360)</f>
        <v/>
      </c>
      <c r="N1357" t="str">
        <f>IF([2]Entry!$M$1360="","",[2]Entry!$M$1360)</f>
        <v/>
      </c>
      <c r="O1357" t="str">
        <f>IF([2]Entry!$N$1360="","",[2]Entry!$N$1360)</f>
        <v/>
      </c>
      <c r="P1357" t="str">
        <f>IF([2]Entry!$R$1360="","",[2]Entry!$R$1360)</f>
        <v/>
      </c>
    </row>
    <row r="1358" spans="10:16" x14ac:dyDescent="0.2">
      <c r="J1358" t="str">
        <f>IF([2]Entry!$C$1361="","",[2]Entry!$C$1361)</f>
        <v/>
      </c>
      <c r="K1358" t="str">
        <f>IF([2]Entry!$D$1361="","",[2]Entry!$D$1361)</f>
        <v/>
      </c>
      <c r="L1358" t="str">
        <f>IF([2]Entry!$E$1361="","",[2]Entry!$E$1361)</f>
        <v/>
      </c>
      <c r="M1358" t="str">
        <f>IF([2]Entry!$G$1361="","",[2]Entry!$G$1361)</f>
        <v/>
      </c>
      <c r="N1358" t="str">
        <f>IF([2]Entry!$M$1361="","",[2]Entry!$M$1361)</f>
        <v/>
      </c>
      <c r="O1358" t="str">
        <f>IF([2]Entry!$N$1361="","",[2]Entry!$N$1361)</f>
        <v/>
      </c>
      <c r="P1358" t="str">
        <f>IF([2]Entry!$R$1361="","",[2]Entry!$R$1361)</f>
        <v/>
      </c>
    </row>
    <row r="1359" spans="10:16" x14ac:dyDescent="0.2">
      <c r="J1359" t="str">
        <f>IF([2]Entry!$C$1362="","",[2]Entry!$C$1362)</f>
        <v/>
      </c>
      <c r="K1359" t="str">
        <f>IF([2]Entry!$D$1362="","",[2]Entry!$D$1362)</f>
        <v/>
      </c>
      <c r="L1359" t="str">
        <f>IF([2]Entry!$E$1362="","",[2]Entry!$E$1362)</f>
        <v/>
      </c>
      <c r="M1359" t="str">
        <f>IF([2]Entry!$G$1362="","",[2]Entry!$G$1362)</f>
        <v/>
      </c>
      <c r="N1359" t="str">
        <f>IF([2]Entry!$M$1362="","",[2]Entry!$M$1362)</f>
        <v/>
      </c>
      <c r="O1359" t="str">
        <f>IF([2]Entry!$N$1362="","",[2]Entry!$N$1362)</f>
        <v/>
      </c>
      <c r="P1359" t="str">
        <f>IF([2]Entry!$R$1362="","",[2]Entry!$R$1362)</f>
        <v/>
      </c>
    </row>
    <row r="1360" spans="10:16" x14ac:dyDescent="0.2">
      <c r="J1360" t="str">
        <f>IF([2]Entry!$C$1363="","",[2]Entry!$C$1363)</f>
        <v/>
      </c>
      <c r="K1360" t="str">
        <f>IF([2]Entry!$D$1363="","",[2]Entry!$D$1363)</f>
        <v/>
      </c>
      <c r="L1360" t="str">
        <f>IF([2]Entry!$E$1363="","",[2]Entry!$E$1363)</f>
        <v/>
      </c>
      <c r="M1360" t="str">
        <f>IF([2]Entry!$G$1363="","",[2]Entry!$G$1363)</f>
        <v/>
      </c>
      <c r="N1360" t="str">
        <f>IF([2]Entry!$M$1363="","",[2]Entry!$M$1363)</f>
        <v/>
      </c>
      <c r="O1360" t="str">
        <f>IF([2]Entry!$N$1363="","",[2]Entry!$N$1363)</f>
        <v/>
      </c>
      <c r="P1360" t="str">
        <f>IF([2]Entry!$R$1363="","",[2]Entry!$R$1363)</f>
        <v/>
      </c>
    </row>
    <row r="1361" spans="10:16" x14ac:dyDescent="0.2">
      <c r="J1361" t="str">
        <f>IF([2]Entry!$C$1364="","",[2]Entry!$C$1364)</f>
        <v/>
      </c>
      <c r="K1361" t="str">
        <f>IF([2]Entry!$D$1364="","",[2]Entry!$D$1364)</f>
        <v/>
      </c>
      <c r="L1361" t="str">
        <f>IF([2]Entry!$E$1364="","",[2]Entry!$E$1364)</f>
        <v/>
      </c>
      <c r="M1361" t="str">
        <f>IF([2]Entry!$G$1364="","",[2]Entry!$G$1364)</f>
        <v/>
      </c>
      <c r="N1361" t="str">
        <f>IF([2]Entry!$M$1364="","",[2]Entry!$M$1364)</f>
        <v/>
      </c>
      <c r="O1361" t="str">
        <f>IF([2]Entry!$N$1364="","",[2]Entry!$N$1364)</f>
        <v/>
      </c>
      <c r="P1361" t="str">
        <f>IF([2]Entry!$R$1364="","",[2]Entry!$R$1364)</f>
        <v/>
      </c>
    </row>
    <row r="1362" spans="10:16" x14ac:dyDescent="0.2">
      <c r="J1362" t="str">
        <f>IF([2]Entry!$C$1365="","",[2]Entry!$C$1365)</f>
        <v/>
      </c>
      <c r="K1362" t="str">
        <f>IF([2]Entry!$D$1365="","",[2]Entry!$D$1365)</f>
        <v/>
      </c>
      <c r="L1362" t="str">
        <f>IF([2]Entry!$E$1365="","",[2]Entry!$E$1365)</f>
        <v/>
      </c>
      <c r="M1362" t="str">
        <f>IF([2]Entry!$G$1365="","",[2]Entry!$G$1365)</f>
        <v/>
      </c>
      <c r="N1362" t="str">
        <f>IF([2]Entry!$M$1365="","",[2]Entry!$M$1365)</f>
        <v/>
      </c>
      <c r="O1362" t="str">
        <f>IF([2]Entry!$N$1365="","",[2]Entry!$N$1365)</f>
        <v/>
      </c>
      <c r="P1362" t="str">
        <f>IF([2]Entry!$R$1365="","",[2]Entry!$R$1365)</f>
        <v/>
      </c>
    </row>
    <row r="1363" spans="10:16" x14ac:dyDescent="0.2">
      <c r="J1363" t="str">
        <f>IF([2]Entry!$C$1366="","",[2]Entry!$C$1366)</f>
        <v/>
      </c>
      <c r="K1363" t="str">
        <f>IF([2]Entry!$D$1366="","",[2]Entry!$D$1366)</f>
        <v/>
      </c>
      <c r="L1363" t="str">
        <f>IF([2]Entry!$E$1366="","",[2]Entry!$E$1366)</f>
        <v/>
      </c>
      <c r="M1363" t="str">
        <f>IF([2]Entry!$G$1366="","",[2]Entry!$G$1366)</f>
        <v/>
      </c>
      <c r="N1363" t="str">
        <f>IF([2]Entry!$M$1366="","",[2]Entry!$M$1366)</f>
        <v/>
      </c>
      <c r="O1363" t="str">
        <f>IF([2]Entry!$N$1366="","",[2]Entry!$N$1366)</f>
        <v/>
      </c>
      <c r="P1363" t="str">
        <f>IF([2]Entry!$R$1366="","",[2]Entry!$R$1366)</f>
        <v/>
      </c>
    </row>
    <row r="1364" spans="10:16" x14ac:dyDescent="0.2">
      <c r="J1364" t="str">
        <f>IF([2]Entry!$C$1367="","",[2]Entry!$C$1367)</f>
        <v/>
      </c>
      <c r="K1364" t="str">
        <f>IF([2]Entry!$D$1367="","",[2]Entry!$D$1367)</f>
        <v/>
      </c>
      <c r="L1364" t="str">
        <f>IF([2]Entry!$E$1367="","",[2]Entry!$E$1367)</f>
        <v/>
      </c>
      <c r="M1364" t="str">
        <f>IF([2]Entry!$G$1367="","",[2]Entry!$G$1367)</f>
        <v/>
      </c>
      <c r="N1364" t="str">
        <f>IF([2]Entry!$M$1367="","",[2]Entry!$M$1367)</f>
        <v/>
      </c>
      <c r="O1364" t="str">
        <f>IF([2]Entry!$N$1367="","",[2]Entry!$N$1367)</f>
        <v/>
      </c>
      <c r="P1364" t="str">
        <f>IF([2]Entry!$R$1367="","",[2]Entry!$R$1367)</f>
        <v/>
      </c>
    </row>
    <row r="1365" spans="10:16" x14ac:dyDescent="0.2">
      <c r="J1365" t="str">
        <f>IF([2]Entry!$C$1368="","",[2]Entry!$C$1368)</f>
        <v/>
      </c>
      <c r="K1365" t="str">
        <f>IF([2]Entry!$D$1368="","",[2]Entry!$D$1368)</f>
        <v/>
      </c>
      <c r="L1365" t="str">
        <f>IF([2]Entry!$E$1368="","",[2]Entry!$E$1368)</f>
        <v/>
      </c>
      <c r="M1365" t="str">
        <f>IF([2]Entry!$G$1368="","",[2]Entry!$G$1368)</f>
        <v/>
      </c>
      <c r="N1365" t="str">
        <f>IF([2]Entry!$M$1368="","",[2]Entry!$M$1368)</f>
        <v/>
      </c>
      <c r="O1365" t="str">
        <f>IF([2]Entry!$N$1368="","",[2]Entry!$N$1368)</f>
        <v/>
      </c>
      <c r="P1365" t="str">
        <f>IF([2]Entry!$R$1368="","",[2]Entry!$R$1368)</f>
        <v/>
      </c>
    </row>
    <row r="1366" spans="10:16" x14ac:dyDescent="0.2">
      <c r="J1366" t="str">
        <f>IF([2]Entry!$C$1369="","",[2]Entry!$C$1369)</f>
        <v/>
      </c>
      <c r="K1366" t="str">
        <f>IF([2]Entry!$D$1369="","",[2]Entry!$D$1369)</f>
        <v/>
      </c>
      <c r="L1366" t="str">
        <f>IF([2]Entry!$E$1369="","",[2]Entry!$E$1369)</f>
        <v/>
      </c>
      <c r="M1366" t="str">
        <f>IF([2]Entry!$G$1369="","",[2]Entry!$G$1369)</f>
        <v/>
      </c>
      <c r="N1366" t="str">
        <f>IF([2]Entry!$M$1369="","",[2]Entry!$M$1369)</f>
        <v/>
      </c>
      <c r="O1366" t="str">
        <f>IF([2]Entry!$N$1369="","",[2]Entry!$N$1369)</f>
        <v/>
      </c>
      <c r="P1366" t="str">
        <f>IF([2]Entry!$R$1369="","",[2]Entry!$R$1369)</f>
        <v/>
      </c>
    </row>
    <row r="1367" spans="10:16" x14ac:dyDescent="0.2">
      <c r="J1367" t="str">
        <f>IF([2]Entry!$C$1370="","",[2]Entry!$C$1370)</f>
        <v/>
      </c>
      <c r="K1367" t="str">
        <f>IF([2]Entry!$D$1370="","",[2]Entry!$D$1370)</f>
        <v/>
      </c>
      <c r="L1367" t="str">
        <f>IF([2]Entry!$E$1370="","",[2]Entry!$E$1370)</f>
        <v/>
      </c>
      <c r="M1367" t="str">
        <f>IF([2]Entry!$G$1370="","",[2]Entry!$G$1370)</f>
        <v/>
      </c>
      <c r="N1367" t="str">
        <f>IF([2]Entry!$M$1370="","",[2]Entry!$M$1370)</f>
        <v/>
      </c>
      <c r="O1367" t="str">
        <f>IF([2]Entry!$N$1370="","",[2]Entry!$N$1370)</f>
        <v/>
      </c>
      <c r="P1367" t="str">
        <f>IF([2]Entry!$R$1370="","",[2]Entry!$R$1370)</f>
        <v/>
      </c>
    </row>
    <row r="1368" spans="10:16" x14ac:dyDescent="0.2">
      <c r="J1368" t="str">
        <f>IF([2]Entry!$C$1371="","",[2]Entry!$C$1371)</f>
        <v/>
      </c>
      <c r="K1368" t="str">
        <f>IF([2]Entry!$D$1371="","",[2]Entry!$D$1371)</f>
        <v/>
      </c>
      <c r="L1368" t="str">
        <f>IF([2]Entry!$E$1371="","",[2]Entry!$E$1371)</f>
        <v/>
      </c>
      <c r="M1368" t="str">
        <f>IF([2]Entry!$G$1371="","",[2]Entry!$G$1371)</f>
        <v/>
      </c>
      <c r="N1368" t="str">
        <f>IF([2]Entry!$M$1371="","",[2]Entry!$M$1371)</f>
        <v/>
      </c>
      <c r="O1368" t="str">
        <f>IF([2]Entry!$N$1371="","",[2]Entry!$N$1371)</f>
        <v/>
      </c>
      <c r="P1368" t="str">
        <f>IF([2]Entry!$R$1371="","",[2]Entry!$R$1371)</f>
        <v/>
      </c>
    </row>
    <row r="1369" spans="10:16" x14ac:dyDescent="0.2">
      <c r="J1369" t="str">
        <f>IF([2]Entry!$C$1372="","",[2]Entry!$C$1372)</f>
        <v/>
      </c>
      <c r="K1369" t="str">
        <f>IF([2]Entry!$D$1372="","",[2]Entry!$D$1372)</f>
        <v/>
      </c>
      <c r="L1369" t="str">
        <f>IF([2]Entry!$E$1372="","",[2]Entry!$E$1372)</f>
        <v/>
      </c>
      <c r="M1369" t="str">
        <f>IF([2]Entry!$G$1372="","",[2]Entry!$G$1372)</f>
        <v/>
      </c>
      <c r="N1369" t="str">
        <f>IF([2]Entry!$M$1372="","",[2]Entry!$M$1372)</f>
        <v/>
      </c>
      <c r="O1369" t="str">
        <f>IF([2]Entry!$N$1372="","",[2]Entry!$N$1372)</f>
        <v/>
      </c>
      <c r="P1369" t="str">
        <f>IF([2]Entry!$R$1372="","",[2]Entry!$R$1372)</f>
        <v/>
      </c>
    </row>
    <row r="1370" spans="10:16" x14ac:dyDescent="0.2">
      <c r="J1370" t="str">
        <f>IF([2]Entry!$C$1373="","",[2]Entry!$C$1373)</f>
        <v/>
      </c>
      <c r="K1370" t="str">
        <f>IF([2]Entry!$D$1373="","",[2]Entry!$D$1373)</f>
        <v/>
      </c>
      <c r="L1370" t="str">
        <f>IF([2]Entry!$E$1373="","",[2]Entry!$E$1373)</f>
        <v/>
      </c>
      <c r="M1370" t="str">
        <f>IF([2]Entry!$G$1373="","",[2]Entry!$G$1373)</f>
        <v/>
      </c>
      <c r="N1370" t="str">
        <f>IF([2]Entry!$M$1373="","",[2]Entry!$M$1373)</f>
        <v/>
      </c>
      <c r="O1370" t="str">
        <f>IF([2]Entry!$N$1373="","",[2]Entry!$N$1373)</f>
        <v/>
      </c>
      <c r="P1370" t="str">
        <f>IF([2]Entry!$R$1373="","",[2]Entry!$R$1373)</f>
        <v/>
      </c>
    </row>
    <row r="1371" spans="10:16" x14ac:dyDescent="0.2">
      <c r="J1371" t="str">
        <f>IF([2]Entry!$C$1374="","",[2]Entry!$C$1374)</f>
        <v/>
      </c>
      <c r="K1371" t="str">
        <f>IF([2]Entry!$D$1374="","",[2]Entry!$D$1374)</f>
        <v/>
      </c>
      <c r="L1371" t="str">
        <f>IF([2]Entry!$E$1374="","",[2]Entry!$E$1374)</f>
        <v/>
      </c>
      <c r="M1371" t="str">
        <f>IF([2]Entry!$G$1374="","",[2]Entry!$G$1374)</f>
        <v/>
      </c>
      <c r="N1371" t="str">
        <f>IF([2]Entry!$M$1374="","",[2]Entry!$M$1374)</f>
        <v/>
      </c>
      <c r="O1371" t="str">
        <f>IF([2]Entry!$N$1374="","",[2]Entry!$N$1374)</f>
        <v/>
      </c>
      <c r="P1371" t="str">
        <f>IF([2]Entry!$R$1374="","",[2]Entry!$R$1374)</f>
        <v/>
      </c>
    </row>
    <row r="1372" spans="10:16" x14ac:dyDescent="0.2">
      <c r="J1372" t="str">
        <f>IF([2]Entry!$C$1375="","",[2]Entry!$C$1375)</f>
        <v/>
      </c>
      <c r="K1372" t="str">
        <f>IF([2]Entry!$D$1375="","",[2]Entry!$D$1375)</f>
        <v/>
      </c>
      <c r="L1372" t="str">
        <f>IF([2]Entry!$E$1375="","",[2]Entry!$E$1375)</f>
        <v/>
      </c>
      <c r="M1372" t="str">
        <f>IF([2]Entry!$G$1375="","",[2]Entry!$G$1375)</f>
        <v/>
      </c>
      <c r="N1372" t="str">
        <f>IF([2]Entry!$M$1375="","",[2]Entry!$M$1375)</f>
        <v/>
      </c>
      <c r="O1372" t="str">
        <f>IF([2]Entry!$N$1375="","",[2]Entry!$N$1375)</f>
        <v/>
      </c>
      <c r="P1372" t="str">
        <f>IF([2]Entry!$R$1375="","",[2]Entry!$R$1375)</f>
        <v/>
      </c>
    </row>
    <row r="1373" spans="10:16" x14ac:dyDescent="0.2">
      <c r="J1373" t="str">
        <f>IF([2]Entry!$C$1376="","",[2]Entry!$C$1376)</f>
        <v/>
      </c>
      <c r="K1373" t="str">
        <f>IF([2]Entry!$D$1376="","",[2]Entry!$D$1376)</f>
        <v/>
      </c>
      <c r="L1373" t="str">
        <f>IF([2]Entry!$E$1376="","",[2]Entry!$E$1376)</f>
        <v/>
      </c>
      <c r="M1373" t="str">
        <f>IF([2]Entry!$G$1376="","",[2]Entry!$G$1376)</f>
        <v/>
      </c>
      <c r="N1373" t="str">
        <f>IF([2]Entry!$M$1376="","",[2]Entry!$M$1376)</f>
        <v/>
      </c>
      <c r="O1373" t="str">
        <f>IF([2]Entry!$N$1376="","",[2]Entry!$N$1376)</f>
        <v/>
      </c>
      <c r="P1373" t="str">
        <f>IF([2]Entry!$R$1376="","",[2]Entry!$R$1376)</f>
        <v/>
      </c>
    </row>
    <row r="1374" spans="10:16" x14ac:dyDescent="0.2">
      <c r="J1374" t="str">
        <f>IF([2]Entry!$C$1377="","",[2]Entry!$C$1377)</f>
        <v/>
      </c>
      <c r="K1374" t="str">
        <f>IF([2]Entry!$D$1377="","",[2]Entry!$D$1377)</f>
        <v/>
      </c>
      <c r="L1374" t="str">
        <f>IF([2]Entry!$E$1377="","",[2]Entry!$E$1377)</f>
        <v/>
      </c>
      <c r="M1374" t="str">
        <f>IF([2]Entry!$G$1377="","",[2]Entry!$G$1377)</f>
        <v/>
      </c>
      <c r="N1374" t="str">
        <f>IF([2]Entry!$M$1377="","",[2]Entry!$M$1377)</f>
        <v/>
      </c>
      <c r="O1374" t="str">
        <f>IF([2]Entry!$N$1377="","",[2]Entry!$N$1377)</f>
        <v/>
      </c>
      <c r="P1374" t="str">
        <f>IF([2]Entry!$R$1377="","",[2]Entry!$R$1377)</f>
        <v/>
      </c>
    </row>
    <row r="1375" spans="10:16" x14ac:dyDescent="0.2">
      <c r="J1375" t="str">
        <f>IF([2]Entry!$C$1378="","",[2]Entry!$C$1378)</f>
        <v/>
      </c>
      <c r="K1375" t="str">
        <f>IF([2]Entry!$D$1378="","",[2]Entry!$D$1378)</f>
        <v/>
      </c>
      <c r="L1375" t="str">
        <f>IF([2]Entry!$E$1378="","",[2]Entry!$E$1378)</f>
        <v/>
      </c>
      <c r="M1375" t="str">
        <f>IF([2]Entry!$G$1378="","",[2]Entry!$G$1378)</f>
        <v/>
      </c>
      <c r="N1375" t="str">
        <f>IF([2]Entry!$M$1378="","",[2]Entry!$M$1378)</f>
        <v/>
      </c>
      <c r="O1375" t="str">
        <f>IF([2]Entry!$N$1378="","",[2]Entry!$N$1378)</f>
        <v/>
      </c>
      <c r="P1375" t="str">
        <f>IF([2]Entry!$R$1378="","",[2]Entry!$R$1378)</f>
        <v/>
      </c>
    </row>
    <row r="1376" spans="10:16" x14ac:dyDescent="0.2">
      <c r="J1376" t="str">
        <f>IF([2]Entry!$C$1379="","",[2]Entry!$C$1379)</f>
        <v/>
      </c>
      <c r="K1376" t="str">
        <f>IF([2]Entry!$D$1379="","",[2]Entry!$D$1379)</f>
        <v/>
      </c>
      <c r="L1376" t="str">
        <f>IF([2]Entry!$E$1379="","",[2]Entry!$E$1379)</f>
        <v/>
      </c>
      <c r="M1376" t="str">
        <f>IF([2]Entry!$G$1379="","",[2]Entry!$G$1379)</f>
        <v/>
      </c>
      <c r="N1376" t="str">
        <f>IF([2]Entry!$M$1379="","",[2]Entry!$M$1379)</f>
        <v/>
      </c>
      <c r="O1376" t="str">
        <f>IF([2]Entry!$N$1379="","",[2]Entry!$N$1379)</f>
        <v/>
      </c>
      <c r="P1376" t="str">
        <f>IF([2]Entry!$R$1379="","",[2]Entry!$R$1379)</f>
        <v/>
      </c>
    </row>
    <row r="1377" spans="10:16" x14ac:dyDescent="0.2">
      <c r="J1377" t="str">
        <f>IF([2]Entry!$C$1380="","",[2]Entry!$C$1380)</f>
        <v/>
      </c>
      <c r="K1377" t="str">
        <f>IF([2]Entry!$D$1380="","",[2]Entry!$D$1380)</f>
        <v/>
      </c>
      <c r="L1377" t="str">
        <f>IF([2]Entry!$E$1380="","",[2]Entry!$E$1380)</f>
        <v/>
      </c>
      <c r="M1377" t="str">
        <f>IF([2]Entry!$G$1380="","",[2]Entry!$G$1380)</f>
        <v/>
      </c>
      <c r="N1377" t="str">
        <f>IF([2]Entry!$M$1380="","",[2]Entry!$M$1380)</f>
        <v/>
      </c>
      <c r="O1377" t="str">
        <f>IF([2]Entry!$N$1380="","",[2]Entry!$N$1380)</f>
        <v/>
      </c>
      <c r="P1377" t="str">
        <f>IF([2]Entry!$R$1380="","",[2]Entry!$R$1380)</f>
        <v/>
      </c>
    </row>
    <row r="1378" spans="10:16" x14ac:dyDescent="0.2">
      <c r="J1378" t="str">
        <f>IF([2]Entry!$C$1381="","",[2]Entry!$C$1381)</f>
        <v/>
      </c>
      <c r="K1378" t="str">
        <f>IF([2]Entry!$D$1381="","",[2]Entry!$D$1381)</f>
        <v/>
      </c>
      <c r="L1378" t="str">
        <f>IF([2]Entry!$E$1381="","",[2]Entry!$E$1381)</f>
        <v/>
      </c>
      <c r="M1378" t="str">
        <f>IF([2]Entry!$G$1381="","",[2]Entry!$G$1381)</f>
        <v/>
      </c>
      <c r="N1378" t="str">
        <f>IF([2]Entry!$M$1381="","",[2]Entry!$M$1381)</f>
        <v/>
      </c>
      <c r="O1378" t="str">
        <f>IF([2]Entry!$N$1381="","",[2]Entry!$N$1381)</f>
        <v/>
      </c>
      <c r="P1378" t="str">
        <f>IF([2]Entry!$R$1381="","",[2]Entry!$R$1381)</f>
        <v/>
      </c>
    </row>
    <row r="1379" spans="10:16" x14ac:dyDescent="0.2">
      <c r="J1379" t="str">
        <f>IF([2]Entry!$C$1382="","",[2]Entry!$C$1382)</f>
        <v/>
      </c>
      <c r="K1379" t="str">
        <f>IF([2]Entry!$D$1382="","",[2]Entry!$D$1382)</f>
        <v/>
      </c>
      <c r="L1379" t="str">
        <f>IF([2]Entry!$E$1382="","",[2]Entry!$E$1382)</f>
        <v/>
      </c>
      <c r="M1379" t="str">
        <f>IF([2]Entry!$G$1382="","",[2]Entry!$G$1382)</f>
        <v/>
      </c>
      <c r="N1379" t="str">
        <f>IF([2]Entry!$M$1382="","",[2]Entry!$M$1382)</f>
        <v/>
      </c>
      <c r="O1379" t="str">
        <f>IF([2]Entry!$N$1382="","",[2]Entry!$N$1382)</f>
        <v/>
      </c>
      <c r="P1379" t="str">
        <f>IF([2]Entry!$R$1382="","",[2]Entry!$R$1382)</f>
        <v/>
      </c>
    </row>
    <row r="1380" spans="10:16" x14ac:dyDescent="0.2">
      <c r="J1380" t="str">
        <f>IF([2]Entry!$C$1383="","",[2]Entry!$C$1383)</f>
        <v/>
      </c>
      <c r="K1380" t="str">
        <f>IF([2]Entry!$D$1383="","",[2]Entry!$D$1383)</f>
        <v/>
      </c>
      <c r="L1380" t="str">
        <f>IF([2]Entry!$E$1383="","",[2]Entry!$E$1383)</f>
        <v/>
      </c>
      <c r="M1380" t="str">
        <f>IF([2]Entry!$G$1383="","",[2]Entry!$G$1383)</f>
        <v/>
      </c>
      <c r="N1380" t="str">
        <f>IF([2]Entry!$M$1383="","",[2]Entry!$M$1383)</f>
        <v/>
      </c>
      <c r="O1380" t="str">
        <f>IF([2]Entry!$N$1383="","",[2]Entry!$N$1383)</f>
        <v/>
      </c>
      <c r="P1380" t="str">
        <f>IF([2]Entry!$R$1383="","",[2]Entry!$R$1383)</f>
        <v/>
      </c>
    </row>
    <row r="1381" spans="10:16" x14ac:dyDescent="0.2">
      <c r="J1381" t="str">
        <f>IF([2]Entry!$C$1384="","",[2]Entry!$C$1384)</f>
        <v/>
      </c>
      <c r="K1381" t="str">
        <f>IF([2]Entry!$D$1384="","",[2]Entry!$D$1384)</f>
        <v/>
      </c>
      <c r="L1381" t="str">
        <f>IF([2]Entry!$E$1384="","",[2]Entry!$E$1384)</f>
        <v/>
      </c>
      <c r="M1381" t="str">
        <f>IF([2]Entry!$G$1384="","",[2]Entry!$G$1384)</f>
        <v/>
      </c>
      <c r="N1381" t="str">
        <f>IF([2]Entry!$M$1384="","",[2]Entry!$M$1384)</f>
        <v/>
      </c>
      <c r="O1381" t="str">
        <f>IF([2]Entry!$N$1384="","",[2]Entry!$N$1384)</f>
        <v/>
      </c>
      <c r="P1381" t="str">
        <f>IF([2]Entry!$R$1384="","",[2]Entry!$R$1384)</f>
        <v/>
      </c>
    </row>
    <row r="1382" spans="10:16" x14ac:dyDescent="0.2">
      <c r="J1382" t="str">
        <f>IF([2]Entry!$C$1385="","",[2]Entry!$C$1385)</f>
        <v/>
      </c>
      <c r="K1382" t="str">
        <f>IF([2]Entry!$D$1385="","",[2]Entry!$D$1385)</f>
        <v/>
      </c>
      <c r="L1382" t="str">
        <f>IF([2]Entry!$E$1385="","",[2]Entry!$E$1385)</f>
        <v/>
      </c>
      <c r="M1382" t="str">
        <f>IF([2]Entry!$G$1385="","",[2]Entry!$G$1385)</f>
        <v/>
      </c>
      <c r="N1382" t="str">
        <f>IF([2]Entry!$M$1385="","",[2]Entry!$M$1385)</f>
        <v/>
      </c>
      <c r="O1382" t="str">
        <f>IF([2]Entry!$N$1385="","",[2]Entry!$N$1385)</f>
        <v/>
      </c>
      <c r="P1382" t="str">
        <f>IF([2]Entry!$R$1385="","",[2]Entry!$R$1385)</f>
        <v/>
      </c>
    </row>
    <row r="1383" spans="10:16" x14ac:dyDescent="0.2">
      <c r="J1383" t="str">
        <f>IF([2]Entry!$C$1386="","",[2]Entry!$C$1386)</f>
        <v/>
      </c>
      <c r="K1383" t="str">
        <f>IF([2]Entry!$D$1386="","",[2]Entry!$D$1386)</f>
        <v/>
      </c>
      <c r="L1383" t="str">
        <f>IF([2]Entry!$E$1386="","",[2]Entry!$E$1386)</f>
        <v/>
      </c>
      <c r="M1383" t="str">
        <f>IF([2]Entry!$G$1386="","",[2]Entry!$G$1386)</f>
        <v/>
      </c>
      <c r="N1383" t="str">
        <f>IF([2]Entry!$M$1386="","",[2]Entry!$M$1386)</f>
        <v/>
      </c>
      <c r="O1383" t="str">
        <f>IF([2]Entry!$N$1386="","",[2]Entry!$N$1386)</f>
        <v/>
      </c>
      <c r="P1383" t="str">
        <f>IF([2]Entry!$R$1386="","",[2]Entry!$R$1386)</f>
        <v/>
      </c>
    </row>
    <row r="1384" spans="10:16" x14ac:dyDescent="0.2">
      <c r="J1384" t="str">
        <f>IF([2]Entry!$C$1387="","",[2]Entry!$C$1387)</f>
        <v/>
      </c>
      <c r="K1384" t="str">
        <f>IF([2]Entry!$D$1387="","",[2]Entry!$D$1387)</f>
        <v/>
      </c>
      <c r="L1384" t="str">
        <f>IF([2]Entry!$E$1387="","",[2]Entry!$E$1387)</f>
        <v/>
      </c>
      <c r="M1384" t="str">
        <f>IF([2]Entry!$G$1387="","",[2]Entry!$G$1387)</f>
        <v/>
      </c>
      <c r="N1384" t="str">
        <f>IF([2]Entry!$M$1387="","",[2]Entry!$M$1387)</f>
        <v/>
      </c>
      <c r="O1384" t="str">
        <f>IF([2]Entry!$N$1387="","",[2]Entry!$N$1387)</f>
        <v/>
      </c>
      <c r="P1384" t="str">
        <f>IF([2]Entry!$R$1387="","",[2]Entry!$R$1387)</f>
        <v/>
      </c>
    </row>
    <row r="1385" spans="10:16" x14ac:dyDescent="0.2">
      <c r="J1385" t="str">
        <f>IF([2]Entry!$C$1388="","",[2]Entry!$C$1388)</f>
        <v/>
      </c>
      <c r="K1385" t="str">
        <f>IF([2]Entry!$D$1388="","",[2]Entry!$D$1388)</f>
        <v/>
      </c>
      <c r="L1385" t="str">
        <f>IF([2]Entry!$E$1388="","",[2]Entry!$E$1388)</f>
        <v/>
      </c>
      <c r="M1385" t="str">
        <f>IF([2]Entry!$G$1388="","",[2]Entry!$G$1388)</f>
        <v/>
      </c>
      <c r="N1385" t="str">
        <f>IF([2]Entry!$M$1388="","",[2]Entry!$M$1388)</f>
        <v/>
      </c>
      <c r="O1385" t="str">
        <f>IF([2]Entry!$N$1388="","",[2]Entry!$N$1388)</f>
        <v/>
      </c>
      <c r="P1385" t="str">
        <f>IF([2]Entry!$R$1388="","",[2]Entry!$R$1388)</f>
        <v/>
      </c>
    </row>
    <row r="1386" spans="10:16" x14ac:dyDescent="0.2">
      <c r="J1386" t="str">
        <f>IF([2]Entry!$C$1389="","",[2]Entry!$C$1389)</f>
        <v/>
      </c>
      <c r="K1386" t="str">
        <f>IF([2]Entry!$D$1389="","",[2]Entry!$D$1389)</f>
        <v/>
      </c>
      <c r="L1386" t="str">
        <f>IF([2]Entry!$E$1389="","",[2]Entry!$E$1389)</f>
        <v/>
      </c>
      <c r="M1386" t="str">
        <f>IF([2]Entry!$G$1389="","",[2]Entry!$G$1389)</f>
        <v/>
      </c>
      <c r="N1386" t="str">
        <f>IF([2]Entry!$M$1389="","",[2]Entry!$M$1389)</f>
        <v/>
      </c>
      <c r="O1386" t="str">
        <f>IF([2]Entry!$N$1389="","",[2]Entry!$N$1389)</f>
        <v/>
      </c>
      <c r="P1386" t="str">
        <f>IF([2]Entry!$R$1389="","",[2]Entry!$R$1389)</f>
        <v/>
      </c>
    </row>
    <row r="1387" spans="10:16" x14ac:dyDescent="0.2">
      <c r="J1387" t="str">
        <f>IF([2]Entry!$C$1390="","",[2]Entry!$C$1390)</f>
        <v/>
      </c>
      <c r="K1387" t="str">
        <f>IF([2]Entry!$D$1390="","",[2]Entry!$D$1390)</f>
        <v/>
      </c>
      <c r="L1387" t="str">
        <f>IF([2]Entry!$E$1390="","",[2]Entry!$E$1390)</f>
        <v/>
      </c>
      <c r="M1387" t="str">
        <f>IF([2]Entry!$G$1390="","",[2]Entry!$G$1390)</f>
        <v/>
      </c>
      <c r="N1387" t="str">
        <f>IF([2]Entry!$M$1390="","",[2]Entry!$M$1390)</f>
        <v/>
      </c>
      <c r="O1387" t="str">
        <f>IF([2]Entry!$N$1390="","",[2]Entry!$N$1390)</f>
        <v/>
      </c>
      <c r="P1387" t="str">
        <f>IF([2]Entry!$R$1390="","",[2]Entry!$R$1390)</f>
        <v/>
      </c>
    </row>
    <row r="1388" spans="10:16" x14ac:dyDescent="0.2">
      <c r="J1388" t="str">
        <f>IF([2]Entry!$C$1391="","",[2]Entry!$C$1391)</f>
        <v/>
      </c>
      <c r="K1388" t="str">
        <f>IF([2]Entry!$D$1391="","",[2]Entry!$D$1391)</f>
        <v/>
      </c>
      <c r="L1388" t="str">
        <f>IF([2]Entry!$E$1391="","",[2]Entry!$E$1391)</f>
        <v/>
      </c>
      <c r="M1388" t="str">
        <f>IF([2]Entry!$G$1391="","",[2]Entry!$G$1391)</f>
        <v/>
      </c>
      <c r="N1388" t="str">
        <f>IF([2]Entry!$M$1391="","",[2]Entry!$M$1391)</f>
        <v/>
      </c>
      <c r="O1388" t="str">
        <f>IF([2]Entry!$N$1391="","",[2]Entry!$N$1391)</f>
        <v/>
      </c>
      <c r="P1388" t="str">
        <f>IF([2]Entry!$R$1391="","",[2]Entry!$R$1391)</f>
        <v/>
      </c>
    </row>
    <row r="1389" spans="10:16" x14ac:dyDescent="0.2">
      <c r="J1389" t="str">
        <f>IF([2]Entry!$C$1392="","",[2]Entry!$C$1392)</f>
        <v/>
      </c>
      <c r="K1389" t="str">
        <f>IF([2]Entry!$D$1392="","",[2]Entry!$D$1392)</f>
        <v/>
      </c>
      <c r="L1389" t="str">
        <f>IF([2]Entry!$E$1392="","",[2]Entry!$E$1392)</f>
        <v/>
      </c>
      <c r="M1389" t="str">
        <f>IF([2]Entry!$G$1392="","",[2]Entry!$G$1392)</f>
        <v/>
      </c>
      <c r="N1389" t="str">
        <f>IF([2]Entry!$M$1392="","",[2]Entry!$M$1392)</f>
        <v/>
      </c>
      <c r="O1389" t="str">
        <f>IF([2]Entry!$N$1392="","",[2]Entry!$N$1392)</f>
        <v/>
      </c>
      <c r="P1389" t="str">
        <f>IF([2]Entry!$R$1392="","",[2]Entry!$R$1392)</f>
        <v/>
      </c>
    </row>
    <row r="1390" spans="10:16" x14ac:dyDescent="0.2">
      <c r="J1390" t="str">
        <f>IF([2]Entry!$C$1393="","",[2]Entry!$C$1393)</f>
        <v/>
      </c>
      <c r="K1390" t="str">
        <f>IF([2]Entry!$D$1393="","",[2]Entry!$D$1393)</f>
        <v/>
      </c>
      <c r="L1390" t="str">
        <f>IF([2]Entry!$E$1393="","",[2]Entry!$E$1393)</f>
        <v/>
      </c>
      <c r="M1390" t="str">
        <f>IF([2]Entry!$G$1393="","",[2]Entry!$G$1393)</f>
        <v/>
      </c>
      <c r="N1390" t="str">
        <f>IF([2]Entry!$M$1393="","",[2]Entry!$M$1393)</f>
        <v/>
      </c>
      <c r="O1390" t="str">
        <f>IF([2]Entry!$N$1393="","",[2]Entry!$N$1393)</f>
        <v/>
      </c>
      <c r="P1390" t="str">
        <f>IF([2]Entry!$R$1393="","",[2]Entry!$R$1393)</f>
        <v/>
      </c>
    </row>
    <row r="1391" spans="10:16" x14ac:dyDescent="0.2">
      <c r="J1391" t="str">
        <f>IF([2]Entry!$C$1394="","",[2]Entry!$C$1394)</f>
        <v/>
      </c>
      <c r="K1391" t="str">
        <f>IF([2]Entry!$D$1394="","",[2]Entry!$D$1394)</f>
        <v/>
      </c>
      <c r="L1391" t="str">
        <f>IF([2]Entry!$E$1394="","",[2]Entry!$E$1394)</f>
        <v/>
      </c>
      <c r="M1391" t="str">
        <f>IF([2]Entry!$G$1394="","",[2]Entry!$G$1394)</f>
        <v/>
      </c>
      <c r="N1391" t="str">
        <f>IF([2]Entry!$M$1394="","",[2]Entry!$M$1394)</f>
        <v/>
      </c>
      <c r="O1391" t="str">
        <f>IF([2]Entry!$N$1394="","",[2]Entry!$N$1394)</f>
        <v/>
      </c>
      <c r="P1391" t="str">
        <f>IF([2]Entry!$R$1394="","",[2]Entry!$R$1394)</f>
        <v/>
      </c>
    </row>
    <row r="1392" spans="10:16" x14ac:dyDescent="0.2">
      <c r="J1392" t="str">
        <f>IF([2]Entry!$C$1395="","",[2]Entry!$C$1395)</f>
        <v/>
      </c>
      <c r="K1392" t="str">
        <f>IF([2]Entry!$D$1395="","",[2]Entry!$D$1395)</f>
        <v/>
      </c>
      <c r="L1392" t="str">
        <f>IF([2]Entry!$E$1395="","",[2]Entry!$E$1395)</f>
        <v/>
      </c>
      <c r="M1392" t="str">
        <f>IF([2]Entry!$G$1395="","",[2]Entry!$G$1395)</f>
        <v/>
      </c>
      <c r="N1392" t="str">
        <f>IF([2]Entry!$M$1395="","",[2]Entry!$M$1395)</f>
        <v/>
      </c>
      <c r="O1392" t="str">
        <f>IF([2]Entry!$N$1395="","",[2]Entry!$N$1395)</f>
        <v/>
      </c>
      <c r="P1392" t="str">
        <f>IF([2]Entry!$R$1395="","",[2]Entry!$R$1395)</f>
        <v/>
      </c>
    </row>
    <row r="1393" spans="10:16" x14ac:dyDescent="0.2">
      <c r="J1393" t="str">
        <f>IF([2]Entry!$C$1396="","",[2]Entry!$C$1396)</f>
        <v/>
      </c>
      <c r="K1393" t="str">
        <f>IF([2]Entry!$D$1396="","",[2]Entry!$D$1396)</f>
        <v/>
      </c>
      <c r="L1393" t="str">
        <f>IF([2]Entry!$E$1396="","",[2]Entry!$E$1396)</f>
        <v/>
      </c>
      <c r="M1393" t="str">
        <f>IF([2]Entry!$G$1396="","",[2]Entry!$G$1396)</f>
        <v/>
      </c>
      <c r="N1393" t="str">
        <f>IF([2]Entry!$M$1396="","",[2]Entry!$M$1396)</f>
        <v/>
      </c>
      <c r="O1393" t="str">
        <f>IF([2]Entry!$N$1396="","",[2]Entry!$N$1396)</f>
        <v/>
      </c>
      <c r="P1393" t="str">
        <f>IF([2]Entry!$R$1396="","",[2]Entry!$R$1396)</f>
        <v/>
      </c>
    </row>
    <row r="1394" spans="10:16" x14ac:dyDescent="0.2">
      <c r="J1394" t="str">
        <f>IF([2]Entry!$C$1397="","",[2]Entry!$C$1397)</f>
        <v/>
      </c>
      <c r="K1394" t="str">
        <f>IF([2]Entry!$D$1397="","",[2]Entry!$D$1397)</f>
        <v/>
      </c>
      <c r="L1394" t="str">
        <f>IF([2]Entry!$E$1397="","",[2]Entry!$E$1397)</f>
        <v/>
      </c>
      <c r="M1394" t="str">
        <f>IF([2]Entry!$G$1397="","",[2]Entry!$G$1397)</f>
        <v/>
      </c>
      <c r="N1394" t="str">
        <f>IF([2]Entry!$M$1397="","",[2]Entry!$M$1397)</f>
        <v/>
      </c>
      <c r="O1394" t="str">
        <f>IF([2]Entry!$N$1397="","",[2]Entry!$N$1397)</f>
        <v/>
      </c>
      <c r="P1394" t="str">
        <f>IF([2]Entry!$R$1397="","",[2]Entry!$R$1397)</f>
        <v/>
      </c>
    </row>
    <row r="1395" spans="10:16" x14ac:dyDescent="0.2">
      <c r="J1395" t="str">
        <f>IF([2]Entry!$C$1398="","",[2]Entry!$C$1398)</f>
        <v/>
      </c>
      <c r="K1395" t="str">
        <f>IF([2]Entry!$D$1398="","",[2]Entry!$D$1398)</f>
        <v/>
      </c>
      <c r="L1395" t="str">
        <f>IF([2]Entry!$E$1398="","",[2]Entry!$E$1398)</f>
        <v/>
      </c>
      <c r="M1395" t="str">
        <f>IF([2]Entry!$G$1398="","",[2]Entry!$G$1398)</f>
        <v/>
      </c>
      <c r="N1395" t="str">
        <f>IF([2]Entry!$M$1398="","",[2]Entry!$M$1398)</f>
        <v/>
      </c>
      <c r="O1395" t="str">
        <f>IF([2]Entry!$N$1398="","",[2]Entry!$N$1398)</f>
        <v/>
      </c>
      <c r="P1395" t="str">
        <f>IF([2]Entry!$R$1398="","",[2]Entry!$R$1398)</f>
        <v/>
      </c>
    </row>
    <row r="1396" spans="10:16" x14ac:dyDescent="0.2">
      <c r="J1396" t="str">
        <f>IF([2]Entry!$C$1399="","",[2]Entry!$C$1399)</f>
        <v/>
      </c>
      <c r="K1396" t="str">
        <f>IF([2]Entry!$D$1399="","",[2]Entry!$D$1399)</f>
        <v/>
      </c>
      <c r="L1396" t="str">
        <f>IF([2]Entry!$E$1399="","",[2]Entry!$E$1399)</f>
        <v/>
      </c>
      <c r="M1396" t="str">
        <f>IF([2]Entry!$G$1399="","",[2]Entry!$G$1399)</f>
        <v/>
      </c>
      <c r="N1396" t="str">
        <f>IF([2]Entry!$M$1399="","",[2]Entry!$M$1399)</f>
        <v/>
      </c>
      <c r="O1396" t="str">
        <f>IF([2]Entry!$N$1399="","",[2]Entry!$N$1399)</f>
        <v/>
      </c>
      <c r="P1396" t="str">
        <f>IF([2]Entry!$R$1399="","",[2]Entry!$R$1399)</f>
        <v/>
      </c>
    </row>
    <row r="1397" spans="10:16" x14ac:dyDescent="0.2">
      <c r="J1397" t="str">
        <f>IF([2]Entry!$C$1400="","",[2]Entry!$C$1400)</f>
        <v/>
      </c>
      <c r="K1397" t="str">
        <f>IF([2]Entry!$D$1400="","",[2]Entry!$D$1400)</f>
        <v/>
      </c>
      <c r="L1397" t="str">
        <f>IF([2]Entry!$E$1400="","",[2]Entry!$E$1400)</f>
        <v/>
      </c>
      <c r="M1397" t="str">
        <f>IF([2]Entry!$G$1400="","",[2]Entry!$G$1400)</f>
        <v/>
      </c>
      <c r="N1397" t="str">
        <f>IF([2]Entry!$M$1400="","",[2]Entry!$M$1400)</f>
        <v/>
      </c>
      <c r="O1397" t="str">
        <f>IF([2]Entry!$N$1400="","",[2]Entry!$N$1400)</f>
        <v/>
      </c>
      <c r="P1397" t="str">
        <f>IF([2]Entry!$R$1400="","",[2]Entry!$R$1400)</f>
        <v/>
      </c>
    </row>
    <row r="1398" spans="10:16" x14ac:dyDescent="0.2">
      <c r="J1398" t="str">
        <f>IF([2]Entry!$C$1401="","",[2]Entry!$C$1401)</f>
        <v/>
      </c>
      <c r="K1398" t="str">
        <f>IF([2]Entry!$D$1401="","",[2]Entry!$D$1401)</f>
        <v/>
      </c>
      <c r="L1398" t="str">
        <f>IF([2]Entry!$E$1401="","",[2]Entry!$E$1401)</f>
        <v/>
      </c>
      <c r="M1398" t="str">
        <f>IF([2]Entry!$G$1401="","",[2]Entry!$G$1401)</f>
        <v/>
      </c>
      <c r="N1398" t="str">
        <f>IF([2]Entry!$M$1401="","",[2]Entry!$M$1401)</f>
        <v/>
      </c>
      <c r="O1398" t="str">
        <f>IF([2]Entry!$N$1401="","",[2]Entry!$N$1401)</f>
        <v/>
      </c>
      <c r="P1398" t="str">
        <f>IF([2]Entry!$R$1401="","",[2]Entry!$R$1401)</f>
        <v/>
      </c>
    </row>
    <row r="1399" spans="10:16" x14ac:dyDescent="0.2">
      <c r="J1399" t="str">
        <f>IF([2]Entry!$C$1402="","",[2]Entry!$C$1402)</f>
        <v/>
      </c>
      <c r="K1399" t="str">
        <f>IF([2]Entry!$D$1402="","",[2]Entry!$D$1402)</f>
        <v/>
      </c>
      <c r="L1399" t="str">
        <f>IF([2]Entry!$E$1402="","",[2]Entry!$E$1402)</f>
        <v/>
      </c>
      <c r="M1399" t="str">
        <f>IF([2]Entry!$G$1402="","",[2]Entry!$G$1402)</f>
        <v/>
      </c>
      <c r="N1399" t="str">
        <f>IF([2]Entry!$M$1402="","",[2]Entry!$M$1402)</f>
        <v/>
      </c>
      <c r="O1399" t="str">
        <f>IF([2]Entry!$N$1402="","",[2]Entry!$N$1402)</f>
        <v/>
      </c>
      <c r="P1399" t="str">
        <f>IF([2]Entry!$R$1402="","",[2]Entry!$R$1402)</f>
        <v/>
      </c>
    </row>
    <row r="1400" spans="10:16" x14ac:dyDescent="0.2">
      <c r="J1400" t="str">
        <f>IF([2]Entry!$C$1403="","",[2]Entry!$C$1403)</f>
        <v/>
      </c>
      <c r="K1400" t="str">
        <f>IF([2]Entry!$D$1403="","",[2]Entry!$D$1403)</f>
        <v/>
      </c>
      <c r="L1400" t="str">
        <f>IF([2]Entry!$E$1403="","",[2]Entry!$E$1403)</f>
        <v/>
      </c>
      <c r="M1400" t="str">
        <f>IF([2]Entry!$G$1403="","",[2]Entry!$G$1403)</f>
        <v/>
      </c>
      <c r="N1400" t="str">
        <f>IF([2]Entry!$M$1403="","",[2]Entry!$M$1403)</f>
        <v/>
      </c>
      <c r="O1400" t="str">
        <f>IF([2]Entry!$N$1403="","",[2]Entry!$N$1403)</f>
        <v/>
      </c>
      <c r="P1400" t="str">
        <f>IF([2]Entry!$R$1403="","",[2]Entry!$R$1403)</f>
        <v/>
      </c>
    </row>
    <row r="1401" spans="10:16" x14ac:dyDescent="0.2">
      <c r="J1401" t="str">
        <f>IF([2]Entry!$C$1404="","",[2]Entry!$C$1404)</f>
        <v/>
      </c>
      <c r="K1401" t="str">
        <f>IF([2]Entry!$D$1404="","",[2]Entry!$D$1404)</f>
        <v/>
      </c>
      <c r="L1401" t="str">
        <f>IF([2]Entry!$E$1404="","",[2]Entry!$E$1404)</f>
        <v/>
      </c>
      <c r="M1401" t="str">
        <f>IF([2]Entry!$G$1404="","",[2]Entry!$G$1404)</f>
        <v/>
      </c>
      <c r="N1401" t="str">
        <f>IF([2]Entry!$M$1404="","",[2]Entry!$M$1404)</f>
        <v/>
      </c>
      <c r="O1401" t="str">
        <f>IF([2]Entry!$N$1404="","",[2]Entry!$N$1404)</f>
        <v/>
      </c>
      <c r="P1401" t="str">
        <f>IF([2]Entry!$R$1404="","",[2]Entry!$R$1404)</f>
        <v/>
      </c>
    </row>
    <row r="1402" spans="10:16" x14ac:dyDescent="0.2">
      <c r="J1402" t="str">
        <f>IF([2]Entry!$C$1405="","",[2]Entry!$C$1405)</f>
        <v/>
      </c>
      <c r="K1402" t="str">
        <f>IF([2]Entry!$D$1405="","",[2]Entry!$D$1405)</f>
        <v/>
      </c>
      <c r="L1402" t="str">
        <f>IF([2]Entry!$E$1405="","",[2]Entry!$E$1405)</f>
        <v/>
      </c>
      <c r="M1402" t="str">
        <f>IF([2]Entry!$G$1405="","",[2]Entry!$G$1405)</f>
        <v/>
      </c>
      <c r="N1402" t="str">
        <f>IF([2]Entry!$M$1405="","",[2]Entry!$M$1405)</f>
        <v/>
      </c>
      <c r="O1402" t="str">
        <f>IF([2]Entry!$N$1405="","",[2]Entry!$N$1405)</f>
        <v/>
      </c>
      <c r="P1402" t="str">
        <f>IF([2]Entry!$R$1405="","",[2]Entry!$R$1405)</f>
        <v/>
      </c>
    </row>
    <row r="1403" spans="10:16" x14ac:dyDescent="0.2">
      <c r="J1403" t="str">
        <f>IF([2]Entry!$C$1406="","",[2]Entry!$C$1406)</f>
        <v/>
      </c>
      <c r="K1403" t="str">
        <f>IF([2]Entry!$D$1406="","",[2]Entry!$D$1406)</f>
        <v/>
      </c>
      <c r="L1403" t="str">
        <f>IF([2]Entry!$E$1406="","",[2]Entry!$E$1406)</f>
        <v/>
      </c>
      <c r="M1403" t="str">
        <f>IF([2]Entry!$G$1406="","",[2]Entry!$G$1406)</f>
        <v/>
      </c>
      <c r="N1403" t="str">
        <f>IF([2]Entry!$M$1406="","",[2]Entry!$M$1406)</f>
        <v/>
      </c>
      <c r="O1403" t="str">
        <f>IF([2]Entry!$N$1406="","",[2]Entry!$N$1406)</f>
        <v/>
      </c>
      <c r="P1403" t="str">
        <f>IF([2]Entry!$R$1406="","",[2]Entry!$R$1406)</f>
        <v/>
      </c>
    </row>
    <row r="1404" spans="10:16" x14ac:dyDescent="0.2">
      <c r="J1404" t="str">
        <f>IF([2]Entry!$C$1407="","",[2]Entry!$C$1407)</f>
        <v/>
      </c>
      <c r="K1404" t="str">
        <f>IF([2]Entry!$D$1407="","",[2]Entry!$D$1407)</f>
        <v/>
      </c>
      <c r="L1404" t="str">
        <f>IF([2]Entry!$E$1407="","",[2]Entry!$E$1407)</f>
        <v/>
      </c>
      <c r="M1404" t="str">
        <f>IF([2]Entry!$G$1407="","",[2]Entry!$G$1407)</f>
        <v/>
      </c>
      <c r="N1404" t="str">
        <f>IF([2]Entry!$M$1407="","",[2]Entry!$M$1407)</f>
        <v/>
      </c>
      <c r="O1404" t="str">
        <f>IF([2]Entry!$N$1407="","",[2]Entry!$N$1407)</f>
        <v/>
      </c>
      <c r="P1404" t="str">
        <f>IF([2]Entry!$R$1407="","",[2]Entry!$R$1407)</f>
        <v/>
      </c>
    </row>
    <row r="1405" spans="10:16" x14ac:dyDescent="0.2">
      <c r="J1405" t="str">
        <f>IF([2]Entry!$C$1408="","",[2]Entry!$C$1408)</f>
        <v/>
      </c>
      <c r="K1405" t="str">
        <f>IF([2]Entry!$D$1408="","",[2]Entry!$D$1408)</f>
        <v/>
      </c>
      <c r="L1405" t="str">
        <f>IF([2]Entry!$E$1408="","",[2]Entry!$E$1408)</f>
        <v/>
      </c>
      <c r="M1405" t="str">
        <f>IF([2]Entry!$G$1408="","",[2]Entry!$G$1408)</f>
        <v/>
      </c>
      <c r="N1405" t="str">
        <f>IF([2]Entry!$M$1408="","",[2]Entry!$M$1408)</f>
        <v/>
      </c>
      <c r="O1405" t="str">
        <f>IF([2]Entry!$N$1408="","",[2]Entry!$N$1408)</f>
        <v/>
      </c>
      <c r="P1405" t="str">
        <f>IF([2]Entry!$R$1408="","",[2]Entry!$R$1408)</f>
        <v/>
      </c>
    </row>
    <row r="1406" spans="10:16" x14ac:dyDescent="0.2">
      <c r="J1406" t="str">
        <f>IF([2]Entry!$C$1409="","",[2]Entry!$C$1409)</f>
        <v/>
      </c>
      <c r="K1406" t="str">
        <f>IF([2]Entry!$D$1409="","",[2]Entry!$D$1409)</f>
        <v/>
      </c>
      <c r="L1406" t="str">
        <f>IF([2]Entry!$E$1409="","",[2]Entry!$E$1409)</f>
        <v/>
      </c>
      <c r="M1406" t="str">
        <f>IF([2]Entry!$G$1409="","",[2]Entry!$G$1409)</f>
        <v/>
      </c>
      <c r="N1406" t="str">
        <f>IF([2]Entry!$M$1409="","",[2]Entry!$M$1409)</f>
        <v/>
      </c>
      <c r="O1406" t="str">
        <f>IF([2]Entry!$N$1409="","",[2]Entry!$N$1409)</f>
        <v/>
      </c>
      <c r="P1406" t="str">
        <f>IF([2]Entry!$R$1409="","",[2]Entry!$R$1409)</f>
        <v/>
      </c>
    </row>
    <row r="1407" spans="10:16" x14ac:dyDescent="0.2">
      <c r="J1407" t="str">
        <f>IF([2]Entry!$C$1410="","",[2]Entry!$C$1410)</f>
        <v/>
      </c>
      <c r="K1407" t="str">
        <f>IF([2]Entry!$D$1410="","",[2]Entry!$D$1410)</f>
        <v/>
      </c>
      <c r="L1407" t="str">
        <f>IF([2]Entry!$E$1410="","",[2]Entry!$E$1410)</f>
        <v/>
      </c>
      <c r="M1407" t="str">
        <f>IF([2]Entry!$G$1410="","",[2]Entry!$G$1410)</f>
        <v/>
      </c>
      <c r="N1407" t="str">
        <f>IF([2]Entry!$M$1410="","",[2]Entry!$M$1410)</f>
        <v/>
      </c>
      <c r="O1407" t="str">
        <f>IF([2]Entry!$N$1410="","",[2]Entry!$N$1410)</f>
        <v/>
      </c>
      <c r="P1407" t="str">
        <f>IF([2]Entry!$R$1410="","",[2]Entry!$R$1410)</f>
        <v/>
      </c>
    </row>
    <row r="1408" spans="10:16" x14ac:dyDescent="0.2">
      <c r="J1408" t="str">
        <f>IF([2]Entry!$C$1411="","",[2]Entry!$C$1411)</f>
        <v/>
      </c>
      <c r="K1408" t="str">
        <f>IF([2]Entry!$D$1411="","",[2]Entry!$D$1411)</f>
        <v/>
      </c>
      <c r="L1408" t="str">
        <f>IF([2]Entry!$E$1411="","",[2]Entry!$E$1411)</f>
        <v/>
      </c>
      <c r="M1408" t="str">
        <f>IF([2]Entry!$G$1411="","",[2]Entry!$G$1411)</f>
        <v/>
      </c>
      <c r="N1408" t="str">
        <f>IF([2]Entry!$M$1411="","",[2]Entry!$M$1411)</f>
        <v/>
      </c>
      <c r="O1408" t="str">
        <f>IF([2]Entry!$N$1411="","",[2]Entry!$N$1411)</f>
        <v/>
      </c>
      <c r="P1408" t="str">
        <f>IF([2]Entry!$R$1411="","",[2]Entry!$R$1411)</f>
        <v/>
      </c>
    </row>
    <row r="1409" spans="10:16" x14ac:dyDescent="0.2">
      <c r="J1409" t="str">
        <f>IF([2]Entry!$C$1412="","",[2]Entry!$C$1412)</f>
        <v/>
      </c>
      <c r="K1409" t="str">
        <f>IF([2]Entry!$D$1412="","",[2]Entry!$D$1412)</f>
        <v/>
      </c>
      <c r="L1409" t="str">
        <f>IF([2]Entry!$E$1412="","",[2]Entry!$E$1412)</f>
        <v/>
      </c>
      <c r="M1409" t="str">
        <f>IF([2]Entry!$G$1412="","",[2]Entry!$G$1412)</f>
        <v/>
      </c>
      <c r="N1409" t="str">
        <f>IF([2]Entry!$M$1412="","",[2]Entry!$M$1412)</f>
        <v/>
      </c>
      <c r="O1409" t="str">
        <f>IF([2]Entry!$N$1412="","",[2]Entry!$N$1412)</f>
        <v/>
      </c>
      <c r="P1409" t="str">
        <f>IF([2]Entry!$R$1412="","",[2]Entry!$R$1412)</f>
        <v/>
      </c>
    </row>
    <row r="1410" spans="10:16" x14ac:dyDescent="0.2">
      <c r="J1410" t="str">
        <f>IF([2]Entry!$C$1413="","",[2]Entry!$C$1413)</f>
        <v/>
      </c>
      <c r="K1410" t="str">
        <f>IF([2]Entry!$D$1413="","",[2]Entry!$D$1413)</f>
        <v/>
      </c>
      <c r="L1410" t="str">
        <f>IF([2]Entry!$E$1413="","",[2]Entry!$E$1413)</f>
        <v/>
      </c>
      <c r="M1410" t="str">
        <f>IF([2]Entry!$G$1413="","",[2]Entry!$G$1413)</f>
        <v/>
      </c>
      <c r="N1410" t="str">
        <f>IF([2]Entry!$M$1413="","",[2]Entry!$M$1413)</f>
        <v/>
      </c>
      <c r="O1410" t="str">
        <f>IF([2]Entry!$N$1413="","",[2]Entry!$N$1413)</f>
        <v/>
      </c>
      <c r="P1410" t="str">
        <f>IF([2]Entry!$R$1413="","",[2]Entry!$R$1413)</f>
        <v/>
      </c>
    </row>
    <row r="1411" spans="10:16" x14ac:dyDescent="0.2">
      <c r="J1411" t="str">
        <f>IF([2]Entry!$C$1414="","",[2]Entry!$C$1414)</f>
        <v/>
      </c>
      <c r="K1411" t="str">
        <f>IF([2]Entry!$D$1414="","",[2]Entry!$D$1414)</f>
        <v/>
      </c>
      <c r="L1411" t="str">
        <f>IF([2]Entry!$E$1414="","",[2]Entry!$E$1414)</f>
        <v/>
      </c>
      <c r="M1411" t="str">
        <f>IF([2]Entry!$G$1414="","",[2]Entry!$G$1414)</f>
        <v/>
      </c>
      <c r="N1411" t="str">
        <f>IF([2]Entry!$M$1414="","",[2]Entry!$M$1414)</f>
        <v/>
      </c>
      <c r="O1411" t="str">
        <f>IF([2]Entry!$N$1414="","",[2]Entry!$N$1414)</f>
        <v/>
      </c>
      <c r="P1411" t="str">
        <f>IF([2]Entry!$R$1414="","",[2]Entry!$R$1414)</f>
        <v/>
      </c>
    </row>
    <row r="1412" spans="10:16" x14ac:dyDescent="0.2">
      <c r="J1412" t="str">
        <f>IF([2]Entry!$C$1415="","",[2]Entry!$C$1415)</f>
        <v/>
      </c>
      <c r="K1412" t="str">
        <f>IF([2]Entry!$D$1415="","",[2]Entry!$D$1415)</f>
        <v/>
      </c>
      <c r="L1412" t="str">
        <f>IF([2]Entry!$E$1415="","",[2]Entry!$E$1415)</f>
        <v/>
      </c>
      <c r="M1412" t="str">
        <f>IF([2]Entry!$G$1415="","",[2]Entry!$G$1415)</f>
        <v/>
      </c>
      <c r="N1412" t="str">
        <f>IF([2]Entry!$M$1415="","",[2]Entry!$M$1415)</f>
        <v/>
      </c>
      <c r="O1412" t="str">
        <f>IF([2]Entry!$N$1415="","",[2]Entry!$N$1415)</f>
        <v/>
      </c>
      <c r="P1412" t="str">
        <f>IF([2]Entry!$R$1415="","",[2]Entry!$R$1415)</f>
        <v/>
      </c>
    </row>
    <row r="1413" spans="10:16" x14ac:dyDescent="0.2">
      <c r="J1413" t="str">
        <f>IF([2]Entry!$C$1416="","",[2]Entry!$C$1416)</f>
        <v/>
      </c>
      <c r="K1413" t="str">
        <f>IF([2]Entry!$D$1416="","",[2]Entry!$D$1416)</f>
        <v/>
      </c>
      <c r="L1413" t="str">
        <f>IF([2]Entry!$E$1416="","",[2]Entry!$E$1416)</f>
        <v/>
      </c>
      <c r="M1413" t="str">
        <f>IF([2]Entry!$G$1416="","",[2]Entry!$G$1416)</f>
        <v/>
      </c>
      <c r="N1413" t="str">
        <f>IF([2]Entry!$M$1416="","",[2]Entry!$M$1416)</f>
        <v/>
      </c>
      <c r="O1413" t="str">
        <f>IF([2]Entry!$N$1416="","",[2]Entry!$N$1416)</f>
        <v/>
      </c>
      <c r="P1413" t="str">
        <f>IF([2]Entry!$R$1416="","",[2]Entry!$R$1416)</f>
        <v/>
      </c>
    </row>
    <row r="1414" spans="10:16" x14ac:dyDescent="0.2">
      <c r="J1414" t="str">
        <f>IF([2]Entry!$C$1417="","",[2]Entry!$C$1417)</f>
        <v/>
      </c>
      <c r="K1414" t="str">
        <f>IF([2]Entry!$D$1417="","",[2]Entry!$D$1417)</f>
        <v/>
      </c>
      <c r="L1414" t="str">
        <f>IF([2]Entry!$E$1417="","",[2]Entry!$E$1417)</f>
        <v/>
      </c>
      <c r="M1414" t="str">
        <f>IF([2]Entry!$G$1417="","",[2]Entry!$G$1417)</f>
        <v/>
      </c>
      <c r="N1414" t="str">
        <f>IF([2]Entry!$M$1417="","",[2]Entry!$M$1417)</f>
        <v/>
      </c>
      <c r="O1414" t="str">
        <f>IF([2]Entry!$N$1417="","",[2]Entry!$N$1417)</f>
        <v/>
      </c>
      <c r="P1414" t="str">
        <f>IF([2]Entry!$R$1417="","",[2]Entry!$R$1417)</f>
        <v/>
      </c>
    </row>
    <row r="1415" spans="10:16" x14ac:dyDescent="0.2">
      <c r="J1415" t="str">
        <f>IF([2]Entry!$C$1418="","",[2]Entry!$C$1418)</f>
        <v/>
      </c>
      <c r="K1415" t="str">
        <f>IF([2]Entry!$D$1418="","",[2]Entry!$D$1418)</f>
        <v/>
      </c>
      <c r="L1415" t="str">
        <f>IF([2]Entry!$E$1418="","",[2]Entry!$E$1418)</f>
        <v/>
      </c>
      <c r="M1415" t="str">
        <f>IF([2]Entry!$G$1418="","",[2]Entry!$G$1418)</f>
        <v/>
      </c>
      <c r="N1415" t="str">
        <f>IF([2]Entry!$M$1418="","",[2]Entry!$M$1418)</f>
        <v/>
      </c>
      <c r="O1415" t="str">
        <f>IF([2]Entry!$N$1418="","",[2]Entry!$N$1418)</f>
        <v/>
      </c>
      <c r="P1415" t="str">
        <f>IF([2]Entry!$R$1418="","",[2]Entry!$R$1418)</f>
        <v/>
      </c>
    </row>
    <row r="1416" spans="10:16" x14ac:dyDescent="0.2">
      <c r="J1416" t="str">
        <f>IF([2]Entry!$C$1419="","",[2]Entry!$C$1419)</f>
        <v/>
      </c>
      <c r="K1416" t="str">
        <f>IF([2]Entry!$D$1419="","",[2]Entry!$D$1419)</f>
        <v/>
      </c>
      <c r="L1416" t="str">
        <f>IF([2]Entry!$E$1419="","",[2]Entry!$E$1419)</f>
        <v/>
      </c>
      <c r="M1416" t="str">
        <f>IF([2]Entry!$G$1419="","",[2]Entry!$G$1419)</f>
        <v/>
      </c>
      <c r="N1416" t="str">
        <f>IF([2]Entry!$M$1419="","",[2]Entry!$M$1419)</f>
        <v/>
      </c>
      <c r="O1416" t="str">
        <f>IF([2]Entry!$N$1419="","",[2]Entry!$N$1419)</f>
        <v/>
      </c>
      <c r="P1416" t="str">
        <f>IF([2]Entry!$R$1419="","",[2]Entry!$R$1419)</f>
        <v/>
      </c>
    </row>
    <row r="1417" spans="10:16" x14ac:dyDescent="0.2">
      <c r="J1417" t="str">
        <f>IF([2]Entry!$C$1420="","",[2]Entry!$C$1420)</f>
        <v/>
      </c>
      <c r="K1417" t="str">
        <f>IF([2]Entry!$D$1420="","",[2]Entry!$D$1420)</f>
        <v/>
      </c>
      <c r="L1417" t="str">
        <f>IF([2]Entry!$E$1420="","",[2]Entry!$E$1420)</f>
        <v/>
      </c>
      <c r="M1417" t="str">
        <f>IF([2]Entry!$G$1420="","",[2]Entry!$G$1420)</f>
        <v/>
      </c>
      <c r="N1417" t="str">
        <f>IF([2]Entry!$M$1420="","",[2]Entry!$M$1420)</f>
        <v/>
      </c>
      <c r="O1417" t="str">
        <f>IF([2]Entry!$N$1420="","",[2]Entry!$N$1420)</f>
        <v/>
      </c>
      <c r="P1417" t="str">
        <f>IF([2]Entry!$R$1420="","",[2]Entry!$R$1420)</f>
        <v/>
      </c>
    </row>
    <row r="1418" spans="10:16" x14ac:dyDescent="0.2">
      <c r="J1418" t="str">
        <f>IF([2]Entry!$C$1421="","",[2]Entry!$C$1421)</f>
        <v/>
      </c>
      <c r="K1418" t="str">
        <f>IF([2]Entry!$D$1421="","",[2]Entry!$D$1421)</f>
        <v/>
      </c>
      <c r="L1418" t="str">
        <f>IF([2]Entry!$E$1421="","",[2]Entry!$E$1421)</f>
        <v/>
      </c>
      <c r="M1418" t="str">
        <f>IF([2]Entry!$G$1421="","",[2]Entry!$G$1421)</f>
        <v/>
      </c>
      <c r="N1418" t="str">
        <f>IF([2]Entry!$M$1421="","",[2]Entry!$M$1421)</f>
        <v/>
      </c>
      <c r="O1418" t="str">
        <f>IF([2]Entry!$N$1421="","",[2]Entry!$N$1421)</f>
        <v/>
      </c>
      <c r="P1418" t="str">
        <f>IF([2]Entry!$R$1421="","",[2]Entry!$R$1421)</f>
        <v/>
      </c>
    </row>
    <row r="1419" spans="10:16" x14ac:dyDescent="0.2">
      <c r="J1419" t="str">
        <f>IF([2]Entry!$C$1422="","",[2]Entry!$C$1422)</f>
        <v/>
      </c>
      <c r="K1419" t="str">
        <f>IF([2]Entry!$D$1422="","",[2]Entry!$D$1422)</f>
        <v/>
      </c>
      <c r="L1419" t="str">
        <f>IF([2]Entry!$E$1422="","",[2]Entry!$E$1422)</f>
        <v/>
      </c>
      <c r="M1419" t="str">
        <f>IF([2]Entry!$G$1422="","",[2]Entry!$G$1422)</f>
        <v/>
      </c>
      <c r="N1419" t="str">
        <f>IF([2]Entry!$M$1422="","",[2]Entry!$M$1422)</f>
        <v/>
      </c>
      <c r="O1419" t="str">
        <f>IF([2]Entry!$N$1422="","",[2]Entry!$N$1422)</f>
        <v/>
      </c>
      <c r="P1419" t="str">
        <f>IF([2]Entry!$R$1422="","",[2]Entry!$R$1422)</f>
        <v/>
      </c>
    </row>
    <row r="1420" spans="10:16" x14ac:dyDescent="0.2">
      <c r="J1420" t="str">
        <f>IF([2]Entry!$C$1423="","",[2]Entry!$C$1423)</f>
        <v/>
      </c>
      <c r="K1420" t="str">
        <f>IF([2]Entry!$D$1423="","",[2]Entry!$D$1423)</f>
        <v/>
      </c>
      <c r="L1420" t="str">
        <f>IF([2]Entry!$E$1423="","",[2]Entry!$E$1423)</f>
        <v/>
      </c>
      <c r="M1420" t="str">
        <f>IF([2]Entry!$G$1423="","",[2]Entry!$G$1423)</f>
        <v/>
      </c>
      <c r="N1420" t="str">
        <f>IF([2]Entry!$M$1423="","",[2]Entry!$M$1423)</f>
        <v/>
      </c>
      <c r="O1420" t="str">
        <f>IF([2]Entry!$N$1423="","",[2]Entry!$N$1423)</f>
        <v/>
      </c>
      <c r="P1420" t="str">
        <f>IF([2]Entry!$R$1423="","",[2]Entry!$R$1423)</f>
        <v/>
      </c>
    </row>
    <row r="1421" spans="10:16" x14ac:dyDescent="0.2">
      <c r="J1421" t="str">
        <f>IF([2]Entry!$C$1424="","",[2]Entry!$C$1424)</f>
        <v/>
      </c>
      <c r="K1421" t="str">
        <f>IF([2]Entry!$D$1424="","",[2]Entry!$D$1424)</f>
        <v/>
      </c>
      <c r="L1421" t="str">
        <f>IF([2]Entry!$E$1424="","",[2]Entry!$E$1424)</f>
        <v/>
      </c>
      <c r="M1421" t="str">
        <f>IF([2]Entry!$G$1424="","",[2]Entry!$G$1424)</f>
        <v/>
      </c>
      <c r="N1421" t="str">
        <f>IF([2]Entry!$M$1424="","",[2]Entry!$M$1424)</f>
        <v/>
      </c>
      <c r="O1421" t="str">
        <f>IF([2]Entry!$N$1424="","",[2]Entry!$N$1424)</f>
        <v/>
      </c>
      <c r="P1421" t="str">
        <f>IF([2]Entry!$R$1424="","",[2]Entry!$R$1424)</f>
        <v/>
      </c>
    </row>
    <row r="1422" spans="10:16" x14ac:dyDescent="0.2">
      <c r="J1422" t="str">
        <f>IF([2]Entry!$C$1425="","",[2]Entry!$C$1425)</f>
        <v/>
      </c>
      <c r="K1422" t="str">
        <f>IF([2]Entry!$D$1425="","",[2]Entry!$D$1425)</f>
        <v/>
      </c>
      <c r="L1422" t="str">
        <f>IF([2]Entry!$E$1425="","",[2]Entry!$E$1425)</f>
        <v/>
      </c>
      <c r="M1422" t="str">
        <f>IF([2]Entry!$G$1425="","",[2]Entry!$G$1425)</f>
        <v/>
      </c>
      <c r="N1422" t="str">
        <f>IF([2]Entry!$M$1425="","",[2]Entry!$M$1425)</f>
        <v/>
      </c>
      <c r="O1422" t="str">
        <f>IF([2]Entry!$N$1425="","",[2]Entry!$N$1425)</f>
        <v/>
      </c>
      <c r="P1422" t="str">
        <f>IF([2]Entry!$R$1425="","",[2]Entry!$R$1425)</f>
        <v/>
      </c>
    </row>
    <row r="1423" spans="10:16" x14ac:dyDescent="0.2">
      <c r="J1423" t="str">
        <f>IF([2]Entry!$C$1426="","",[2]Entry!$C$1426)</f>
        <v/>
      </c>
      <c r="K1423" t="str">
        <f>IF([2]Entry!$D$1426="","",[2]Entry!$D$1426)</f>
        <v/>
      </c>
      <c r="L1423" t="str">
        <f>IF([2]Entry!$E$1426="","",[2]Entry!$E$1426)</f>
        <v/>
      </c>
      <c r="M1423" t="str">
        <f>IF([2]Entry!$G$1426="","",[2]Entry!$G$1426)</f>
        <v/>
      </c>
      <c r="N1423" t="str">
        <f>IF([2]Entry!$M$1426="","",[2]Entry!$M$1426)</f>
        <v/>
      </c>
      <c r="O1423" t="str">
        <f>IF([2]Entry!$N$1426="","",[2]Entry!$N$1426)</f>
        <v/>
      </c>
      <c r="P1423" t="str">
        <f>IF([2]Entry!$R$1426="","",[2]Entry!$R$1426)</f>
        <v/>
      </c>
    </row>
    <row r="1424" spans="10:16" x14ac:dyDescent="0.2">
      <c r="J1424" t="str">
        <f>IF([2]Entry!$C$1427="","",[2]Entry!$C$1427)</f>
        <v/>
      </c>
      <c r="K1424" t="str">
        <f>IF([2]Entry!$D$1427="","",[2]Entry!$D$1427)</f>
        <v/>
      </c>
      <c r="L1424" t="str">
        <f>IF([2]Entry!$E$1427="","",[2]Entry!$E$1427)</f>
        <v/>
      </c>
      <c r="M1424" t="str">
        <f>IF([2]Entry!$G$1427="","",[2]Entry!$G$1427)</f>
        <v/>
      </c>
      <c r="N1424" t="str">
        <f>IF([2]Entry!$M$1427="","",[2]Entry!$M$1427)</f>
        <v/>
      </c>
      <c r="O1424" t="str">
        <f>IF([2]Entry!$N$1427="","",[2]Entry!$N$1427)</f>
        <v/>
      </c>
      <c r="P1424" t="str">
        <f>IF([2]Entry!$R$1427="","",[2]Entry!$R$1427)</f>
        <v/>
      </c>
    </row>
    <row r="1425" spans="10:16" x14ac:dyDescent="0.2">
      <c r="J1425" t="str">
        <f>IF([2]Entry!$C$1428="","",[2]Entry!$C$1428)</f>
        <v/>
      </c>
      <c r="K1425" t="str">
        <f>IF([2]Entry!$D$1428="","",[2]Entry!$D$1428)</f>
        <v/>
      </c>
      <c r="L1425" t="str">
        <f>IF([2]Entry!$E$1428="","",[2]Entry!$E$1428)</f>
        <v/>
      </c>
      <c r="M1425" t="str">
        <f>IF([2]Entry!$G$1428="","",[2]Entry!$G$1428)</f>
        <v/>
      </c>
      <c r="N1425" t="str">
        <f>IF([2]Entry!$M$1428="","",[2]Entry!$M$1428)</f>
        <v/>
      </c>
      <c r="O1425" t="str">
        <f>IF([2]Entry!$N$1428="","",[2]Entry!$N$1428)</f>
        <v/>
      </c>
      <c r="P1425" t="str">
        <f>IF([2]Entry!$R$1428="","",[2]Entry!$R$1428)</f>
        <v/>
      </c>
    </row>
    <row r="1426" spans="10:16" x14ac:dyDescent="0.2">
      <c r="J1426" t="str">
        <f>IF([2]Entry!$C$1429="","",[2]Entry!$C$1429)</f>
        <v/>
      </c>
      <c r="K1426" t="str">
        <f>IF([2]Entry!$D$1429="","",[2]Entry!$D$1429)</f>
        <v/>
      </c>
      <c r="L1426" t="str">
        <f>IF([2]Entry!$E$1429="","",[2]Entry!$E$1429)</f>
        <v/>
      </c>
      <c r="M1426" t="str">
        <f>IF([2]Entry!$G$1429="","",[2]Entry!$G$1429)</f>
        <v/>
      </c>
      <c r="N1426" t="str">
        <f>IF([2]Entry!$M$1429="","",[2]Entry!$M$1429)</f>
        <v/>
      </c>
      <c r="O1426" t="str">
        <f>IF([2]Entry!$N$1429="","",[2]Entry!$N$1429)</f>
        <v/>
      </c>
      <c r="P1426" t="str">
        <f>IF([2]Entry!$R$1429="","",[2]Entry!$R$1429)</f>
        <v/>
      </c>
    </row>
    <row r="1427" spans="10:16" x14ac:dyDescent="0.2">
      <c r="J1427" t="str">
        <f>IF([2]Entry!$C$1430="","",[2]Entry!$C$1430)</f>
        <v/>
      </c>
      <c r="K1427" t="str">
        <f>IF([2]Entry!$D$1430="","",[2]Entry!$D$1430)</f>
        <v/>
      </c>
      <c r="L1427" t="str">
        <f>IF([2]Entry!$E$1430="","",[2]Entry!$E$1430)</f>
        <v/>
      </c>
      <c r="M1427" t="str">
        <f>IF([2]Entry!$G$1430="","",[2]Entry!$G$1430)</f>
        <v/>
      </c>
      <c r="N1427" t="str">
        <f>IF([2]Entry!$M$1430="","",[2]Entry!$M$1430)</f>
        <v/>
      </c>
      <c r="O1427" t="str">
        <f>IF([2]Entry!$N$1430="","",[2]Entry!$N$1430)</f>
        <v/>
      </c>
      <c r="P1427" t="str">
        <f>IF([2]Entry!$R$1430="","",[2]Entry!$R$1430)</f>
        <v/>
      </c>
    </row>
    <row r="1428" spans="10:16" x14ac:dyDescent="0.2">
      <c r="J1428" t="str">
        <f>IF([2]Entry!$C$1431="","",[2]Entry!$C$1431)</f>
        <v/>
      </c>
      <c r="K1428" t="str">
        <f>IF([2]Entry!$D$1431="","",[2]Entry!$D$1431)</f>
        <v/>
      </c>
      <c r="L1428" t="str">
        <f>IF([2]Entry!$E$1431="","",[2]Entry!$E$1431)</f>
        <v/>
      </c>
      <c r="M1428" t="str">
        <f>IF([2]Entry!$G$1431="","",[2]Entry!$G$1431)</f>
        <v/>
      </c>
      <c r="N1428" t="str">
        <f>IF([2]Entry!$M$1431="","",[2]Entry!$M$1431)</f>
        <v/>
      </c>
      <c r="O1428" t="str">
        <f>IF([2]Entry!$N$1431="","",[2]Entry!$N$1431)</f>
        <v/>
      </c>
      <c r="P1428" t="str">
        <f>IF([2]Entry!$R$1431="","",[2]Entry!$R$1431)</f>
        <v/>
      </c>
    </row>
    <row r="1429" spans="10:16" x14ac:dyDescent="0.2">
      <c r="J1429" t="str">
        <f>IF([2]Entry!$C$1432="","",[2]Entry!$C$1432)</f>
        <v/>
      </c>
      <c r="K1429" t="str">
        <f>IF([2]Entry!$D$1432="","",[2]Entry!$D$1432)</f>
        <v/>
      </c>
      <c r="L1429" t="str">
        <f>IF([2]Entry!$E$1432="","",[2]Entry!$E$1432)</f>
        <v/>
      </c>
      <c r="M1429" t="str">
        <f>IF([2]Entry!$G$1432="","",[2]Entry!$G$1432)</f>
        <v/>
      </c>
      <c r="N1429" t="str">
        <f>IF([2]Entry!$M$1432="","",[2]Entry!$M$1432)</f>
        <v/>
      </c>
      <c r="O1429" t="str">
        <f>IF([2]Entry!$N$1432="","",[2]Entry!$N$1432)</f>
        <v/>
      </c>
      <c r="P1429" t="str">
        <f>IF([2]Entry!$R$1432="","",[2]Entry!$R$1432)</f>
        <v/>
      </c>
    </row>
    <row r="1430" spans="10:16" x14ac:dyDescent="0.2">
      <c r="J1430" t="str">
        <f>IF([2]Entry!$C$1433="","",[2]Entry!$C$1433)</f>
        <v/>
      </c>
      <c r="K1430" t="str">
        <f>IF([2]Entry!$D$1433="","",[2]Entry!$D$1433)</f>
        <v/>
      </c>
      <c r="L1430" t="str">
        <f>IF([2]Entry!$E$1433="","",[2]Entry!$E$1433)</f>
        <v/>
      </c>
      <c r="M1430" t="str">
        <f>IF([2]Entry!$G$1433="","",[2]Entry!$G$1433)</f>
        <v/>
      </c>
      <c r="N1430" t="str">
        <f>IF([2]Entry!$M$1433="","",[2]Entry!$M$1433)</f>
        <v/>
      </c>
      <c r="O1430" t="str">
        <f>IF([2]Entry!$N$1433="","",[2]Entry!$N$1433)</f>
        <v/>
      </c>
      <c r="P1430" t="str">
        <f>IF([2]Entry!$R$1433="","",[2]Entry!$R$1433)</f>
        <v/>
      </c>
    </row>
    <row r="1431" spans="10:16" x14ac:dyDescent="0.2">
      <c r="J1431" t="str">
        <f>IF([2]Entry!$C$1434="","",[2]Entry!$C$1434)</f>
        <v/>
      </c>
      <c r="K1431" t="str">
        <f>IF([2]Entry!$D$1434="","",[2]Entry!$D$1434)</f>
        <v/>
      </c>
      <c r="L1431" t="str">
        <f>IF([2]Entry!$E$1434="","",[2]Entry!$E$1434)</f>
        <v/>
      </c>
      <c r="M1431" t="str">
        <f>IF([2]Entry!$G$1434="","",[2]Entry!$G$1434)</f>
        <v/>
      </c>
      <c r="N1431" t="str">
        <f>IF([2]Entry!$M$1434="","",[2]Entry!$M$1434)</f>
        <v/>
      </c>
      <c r="O1431" t="str">
        <f>IF([2]Entry!$N$1434="","",[2]Entry!$N$1434)</f>
        <v/>
      </c>
      <c r="P1431" t="str">
        <f>IF([2]Entry!$R$1434="","",[2]Entry!$R$1434)</f>
        <v/>
      </c>
    </row>
    <row r="1432" spans="10:16" x14ac:dyDescent="0.2">
      <c r="J1432" t="str">
        <f>IF([2]Entry!$C$1435="","",[2]Entry!$C$1435)</f>
        <v/>
      </c>
      <c r="K1432" t="str">
        <f>IF([2]Entry!$D$1435="","",[2]Entry!$D$1435)</f>
        <v/>
      </c>
      <c r="L1432" t="str">
        <f>IF([2]Entry!$E$1435="","",[2]Entry!$E$1435)</f>
        <v/>
      </c>
      <c r="M1432" t="str">
        <f>IF([2]Entry!$G$1435="","",[2]Entry!$G$1435)</f>
        <v/>
      </c>
      <c r="N1432" t="str">
        <f>IF([2]Entry!$M$1435="","",[2]Entry!$M$1435)</f>
        <v/>
      </c>
      <c r="O1432" t="str">
        <f>IF([2]Entry!$N$1435="","",[2]Entry!$N$1435)</f>
        <v/>
      </c>
      <c r="P1432" t="str">
        <f>IF([2]Entry!$R$1435="","",[2]Entry!$R$1435)</f>
        <v/>
      </c>
    </row>
    <row r="1433" spans="10:16" x14ac:dyDescent="0.2">
      <c r="J1433" t="str">
        <f>IF([2]Entry!$C$1436="","",[2]Entry!$C$1436)</f>
        <v/>
      </c>
      <c r="K1433" t="str">
        <f>IF([2]Entry!$D$1436="","",[2]Entry!$D$1436)</f>
        <v/>
      </c>
      <c r="L1433" t="str">
        <f>IF([2]Entry!$E$1436="","",[2]Entry!$E$1436)</f>
        <v/>
      </c>
      <c r="M1433" t="str">
        <f>IF([2]Entry!$G$1436="","",[2]Entry!$G$1436)</f>
        <v/>
      </c>
      <c r="N1433" t="str">
        <f>IF([2]Entry!$M$1436="","",[2]Entry!$M$1436)</f>
        <v/>
      </c>
      <c r="O1433" t="str">
        <f>IF([2]Entry!$N$1436="","",[2]Entry!$N$1436)</f>
        <v/>
      </c>
      <c r="P1433" t="str">
        <f>IF([2]Entry!$R$1436="","",[2]Entry!$R$1436)</f>
        <v/>
      </c>
    </row>
    <row r="1434" spans="10:16" x14ac:dyDescent="0.2">
      <c r="J1434" t="str">
        <f>IF([2]Entry!$C$1437="","",[2]Entry!$C$1437)</f>
        <v/>
      </c>
      <c r="K1434" t="str">
        <f>IF([2]Entry!$D$1437="","",[2]Entry!$D$1437)</f>
        <v/>
      </c>
      <c r="L1434" t="str">
        <f>IF([2]Entry!$E$1437="","",[2]Entry!$E$1437)</f>
        <v/>
      </c>
      <c r="M1434" t="str">
        <f>IF([2]Entry!$G$1437="","",[2]Entry!$G$1437)</f>
        <v/>
      </c>
      <c r="N1434" t="str">
        <f>IF([2]Entry!$M$1437="","",[2]Entry!$M$1437)</f>
        <v/>
      </c>
      <c r="O1434" t="str">
        <f>IF([2]Entry!$N$1437="","",[2]Entry!$N$1437)</f>
        <v/>
      </c>
      <c r="P1434" t="str">
        <f>IF([2]Entry!$R$1437="","",[2]Entry!$R$1437)</f>
        <v/>
      </c>
    </row>
    <row r="1435" spans="10:16" x14ac:dyDescent="0.2">
      <c r="J1435" t="str">
        <f>IF([2]Entry!$C$1438="","",[2]Entry!$C$1438)</f>
        <v/>
      </c>
      <c r="K1435" t="str">
        <f>IF([2]Entry!$D$1438="","",[2]Entry!$D$1438)</f>
        <v/>
      </c>
      <c r="L1435" t="str">
        <f>IF([2]Entry!$E$1438="","",[2]Entry!$E$1438)</f>
        <v/>
      </c>
      <c r="M1435" t="str">
        <f>IF([2]Entry!$G$1438="","",[2]Entry!$G$1438)</f>
        <v/>
      </c>
      <c r="N1435" t="str">
        <f>IF([2]Entry!$M$1438="","",[2]Entry!$M$1438)</f>
        <v/>
      </c>
      <c r="O1435" t="str">
        <f>IF([2]Entry!$N$1438="","",[2]Entry!$N$1438)</f>
        <v/>
      </c>
      <c r="P1435" t="str">
        <f>IF([2]Entry!$R$1438="","",[2]Entry!$R$1438)</f>
        <v/>
      </c>
    </row>
    <row r="1436" spans="10:16" x14ac:dyDescent="0.2">
      <c r="J1436" t="str">
        <f>IF([2]Entry!$C$1439="","",[2]Entry!$C$1439)</f>
        <v/>
      </c>
      <c r="K1436" t="str">
        <f>IF([2]Entry!$D$1439="","",[2]Entry!$D$1439)</f>
        <v/>
      </c>
      <c r="L1436" t="str">
        <f>IF([2]Entry!$E$1439="","",[2]Entry!$E$1439)</f>
        <v/>
      </c>
      <c r="M1436" t="str">
        <f>IF([2]Entry!$G$1439="","",[2]Entry!$G$1439)</f>
        <v/>
      </c>
      <c r="N1436" t="str">
        <f>IF([2]Entry!$M$1439="","",[2]Entry!$M$1439)</f>
        <v/>
      </c>
      <c r="O1436" t="str">
        <f>IF([2]Entry!$N$1439="","",[2]Entry!$N$1439)</f>
        <v/>
      </c>
      <c r="P1436" t="str">
        <f>IF([2]Entry!$R$1439="","",[2]Entry!$R$1439)</f>
        <v/>
      </c>
    </row>
    <row r="1437" spans="10:16" x14ac:dyDescent="0.2">
      <c r="J1437" t="str">
        <f>IF([2]Entry!$C$1440="","",[2]Entry!$C$1440)</f>
        <v/>
      </c>
      <c r="K1437" t="str">
        <f>IF([2]Entry!$D$1440="","",[2]Entry!$D$1440)</f>
        <v/>
      </c>
      <c r="L1437" t="str">
        <f>IF([2]Entry!$E$1440="","",[2]Entry!$E$1440)</f>
        <v/>
      </c>
      <c r="M1437" t="str">
        <f>IF([2]Entry!$G$1440="","",[2]Entry!$G$1440)</f>
        <v/>
      </c>
      <c r="N1437" t="str">
        <f>IF([2]Entry!$M$1440="","",[2]Entry!$M$1440)</f>
        <v/>
      </c>
      <c r="O1437" t="str">
        <f>IF([2]Entry!$N$1440="","",[2]Entry!$N$1440)</f>
        <v/>
      </c>
      <c r="P1437" t="str">
        <f>IF([2]Entry!$R$1440="","",[2]Entry!$R$1440)</f>
        <v/>
      </c>
    </row>
    <row r="1438" spans="10:16" x14ac:dyDescent="0.2">
      <c r="J1438" t="str">
        <f>IF([2]Entry!$C$1441="","",[2]Entry!$C$1441)</f>
        <v/>
      </c>
      <c r="K1438" t="str">
        <f>IF([2]Entry!$D$1441="","",[2]Entry!$D$1441)</f>
        <v/>
      </c>
      <c r="L1438" t="str">
        <f>IF([2]Entry!$E$1441="","",[2]Entry!$E$1441)</f>
        <v/>
      </c>
      <c r="M1438" t="str">
        <f>IF([2]Entry!$G$1441="","",[2]Entry!$G$1441)</f>
        <v/>
      </c>
      <c r="N1438" t="str">
        <f>IF([2]Entry!$M$1441="","",[2]Entry!$M$1441)</f>
        <v/>
      </c>
      <c r="O1438" t="str">
        <f>IF([2]Entry!$N$1441="","",[2]Entry!$N$1441)</f>
        <v/>
      </c>
      <c r="P1438" t="str">
        <f>IF([2]Entry!$R$1441="","",[2]Entry!$R$1441)</f>
        <v/>
      </c>
    </row>
    <row r="1439" spans="10:16" x14ac:dyDescent="0.2">
      <c r="J1439" t="str">
        <f>IF([2]Entry!$C$1442="","",[2]Entry!$C$1442)</f>
        <v/>
      </c>
      <c r="K1439" t="str">
        <f>IF([2]Entry!$D$1442="","",[2]Entry!$D$1442)</f>
        <v/>
      </c>
      <c r="L1439" t="str">
        <f>IF([2]Entry!$E$1442="","",[2]Entry!$E$1442)</f>
        <v/>
      </c>
      <c r="M1439" t="str">
        <f>IF([2]Entry!$G$1442="","",[2]Entry!$G$1442)</f>
        <v/>
      </c>
      <c r="N1439" t="str">
        <f>IF([2]Entry!$M$1442="","",[2]Entry!$M$1442)</f>
        <v/>
      </c>
      <c r="O1439" t="str">
        <f>IF([2]Entry!$N$1442="","",[2]Entry!$N$1442)</f>
        <v/>
      </c>
      <c r="P1439" t="str">
        <f>IF([2]Entry!$R$1442="","",[2]Entry!$R$1442)</f>
        <v/>
      </c>
    </row>
    <row r="1440" spans="10:16" x14ac:dyDescent="0.2">
      <c r="J1440" t="str">
        <f>IF([2]Entry!$C$1443="","",[2]Entry!$C$1443)</f>
        <v/>
      </c>
      <c r="K1440" t="str">
        <f>IF([2]Entry!$D$1443="","",[2]Entry!$D$1443)</f>
        <v/>
      </c>
      <c r="L1440" t="str">
        <f>IF([2]Entry!$E$1443="","",[2]Entry!$E$1443)</f>
        <v/>
      </c>
      <c r="M1440" t="str">
        <f>IF([2]Entry!$G$1443="","",[2]Entry!$G$1443)</f>
        <v/>
      </c>
      <c r="N1440" t="str">
        <f>IF([2]Entry!$M$1443="","",[2]Entry!$M$1443)</f>
        <v/>
      </c>
      <c r="O1440" t="str">
        <f>IF([2]Entry!$N$1443="","",[2]Entry!$N$1443)</f>
        <v/>
      </c>
      <c r="P1440" t="str">
        <f>IF([2]Entry!$R$1443="","",[2]Entry!$R$1443)</f>
        <v/>
      </c>
    </row>
    <row r="1441" spans="10:16" x14ac:dyDescent="0.2">
      <c r="J1441" t="str">
        <f>IF([2]Entry!$C$1444="","",[2]Entry!$C$1444)</f>
        <v/>
      </c>
      <c r="K1441" t="str">
        <f>IF([2]Entry!$D$1444="","",[2]Entry!$D$1444)</f>
        <v/>
      </c>
      <c r="L1441" t="str">
        <f>IF([2]Entry!$E$1444="","",[2]Entry!$E$1444)</f>
        <v/>
      </c>
      <c r="M1441" t="str">
        <f>IF([2]Entry!$G$1444="","",[2]Entry!$G$1444)</f>
        <v/>
      </c>
      <c r="N1441" t="str">
        <f>IF([2]Entry!$M$1444="","",[2]Entry!$M$1444)</f>
        <v/>
      </c>
      <c r="O1441" t="str">
        <f>IF([2]Entry!$N$1444="","",[2]Entry!$N$1444)</f>
        <v/>
      </c>
      <c r="P1441" t="str">
        <f>IF([2]Entry!$R$1444="","",[2]Entry!$R$1444)</f>
        <v/>
      </c>
    </row>
    <row r="1442" spans="10:16" x14ac:dyDescent="0.2">
      <c r="J1442" t="str">
        <f>IF([2]Entry!$C$1445="","",[2]Entry!$C$1445)</f>
        <v/>
      </c>
      <c r="K1442" t="str">
        <f>IF([2]Entry!$D$1445="","",[2]Entry!$D$1445)</f>
        <v/>
      </c>
      <c r="L1442" t="str">
        <f>IF([2]Entry!$E$1445="","",[2]Entry!$E$1445)</f>
        <v/>
      </c>
      <c r="M1442" t="str">
        <f>IF([2]Entry!$G$1445="","",[2]Entry!$G$1445)</f>
        <v/>
      </c>
      <c r="N1442" t="str">
        <f>IF([2]Entry!$M$1445="","",[2]Entry!$M$1445)</f>
        <v/>
      </c>
      <c r="O1442" t="str">
        <f>IF([2]Entry!$N$1445="","",[2]Entry!$N$1445)</f>
        <v/>
      </c>
      <c r="P1442" t="str">
        <f>IF([2]Entry!$R$1445="","",[2]Entry!$R$1445)</f>
        <v/>
      </c>
    </row>
    <row r="1443" spans="10:16" x14ac:dyDescent="0.2">
      <c r="J1443" t="str">
        <f>IF([2]Entry!$C$1446="","",[2]Entry!$C$1446)</f>
        <v/>
      </c>
      <c r="K1443" t="str">
        <f>IF([2]Entry!$D$1446="","",[2]Entry!$D$1446)</f>
        <v/>
      </c>
      <c r="L1443" t="str">
        <f>IF([2]Entry!$E$1446="","",[2]Entry!$E$1446)</f>
        <v/>
      </c>
      <c r="M1443" t="str">
        <f>IF([2]Entry!$G$1446="","",[2]Entry!$G$1446)</f>
        <v/>
      </c>
      <c r="N1443" t="str">
        <f>IF([2]Entry!$M$1446="","",[2]Entry!$M$1446)</f>
        <v/>
      </c>
      <c r="O1443" t="str">
        <f>IF([2]Entry!$N$1446="","",[2]Entry!$N$1446)</f>
        <v/>
      </c>
      <c r="P1443" t="str">
        <f>IF([2]Entry!$R$1446="","",[2]Entry!$R$1446)</f>
        <v/>
      </c>
    </row>
    <row r="1444" spans="10:16" x14ac:dyDescent="0.2">
      <c r="J1444" t="str">
        <f>IF([2]Entry!$C$1447="","",[2]Entry!$C$1447)</f>
        <v/>
      </c>
      <c r="K1444" t="str">
        <f>IF([2]Entry!$D$1447="","",[2]Entry!$D$1447)</f>
        <v/>
      </c>
      <c r="L1444" t="str">
        <f>IF([2]Entry!$E$1447="","",[2]Entry!$E$1447)</f>
        <v/>
      </c>
      <c r="M1444" t="str">
        <f>IF([2]Entry!$G$1447="","",[2]Entry!$G$1447)</f>
        <v/>
      </c>
      <c r="N1444" t="str">
        <f>IF([2]Entry!$M$1447="","",[2]Entry!$M$1447)</f>
        <v/>
      </c>
      <c r="O1444" t="str">
        <f>IF([2]Entry!$N$1447="","",[2]Entry!$N$1447)</f>
        <v/>
      </c>
      <c r="P1444" t="str">
        <f>IF([2]Entry!$R$1447="","",[2]Entry!$R$1447)</f>
        <v/>
      </c>
    </row>
    <row r="1445" spans="10:16" x14ac:dyDescent="0.2">
      <c r="J1445" t="str">
        <f>IF([2]Entry!$C$1448="","",[2]Entry!$C$1448)</f>
        <v/>
      </c>
      <c r="K1445" t="str">
        <f>IF([2]Entry!$D$1448="","",[2]Entry!$D$1448)</f>
        <v/>
      </c>
      <c r="L1445" t="str">
        <f>IF([2]Entry!$E$1448="","",[2]Entry!$E$1448)</f>
        <v/>
      </c>
      <c r="M1445" t="str">
        <f>IF([2]Entry!$G$1448="","",[2]Entry!$G$1448)</f>
        <v/>
      </c>
      <c r="N1445" t="str">
        <f>IF([2]Entry!$M$1448="","",[2]Entry!$M$1448)</f>
        <v/>
      </c>
      <c r="O1445" t="str">
        <f>IF([2]Entry!$N$1448="","",[2]Entry!$N$1448)</f>
        <v/>
      </c>
      <c r="P1445" t="str">
        <f>IF([2]Entry!$R$1448="","",[2]Entry!$R$1448)</f>
        <v/>
      </c>
    </row>
    <row r="1446" spans="10:16" x14ac:dyDescent="0.2">
      <c r="J1446" t="str">
        <f>IF([2]Entry!$C$1449="","",[2]Entry!$C$1449)</f>
        <v/>
      </c>
      <c r="K1446" t="str">
        <f>IF([2]Entry!$D$1449="","",[2]Entry!$D$1449)</f>
        <v/>
      </c>
      <c r="L1446" t="str">
        <f>IF([2]Entry!$E$1449="","",[2]Entry!$E$1449)</f>
        <v/>
      </c>
      <c r="M1446" t="str">
        <f>IF([2]Entry!$G$1449="","",[2]Entry!$G$1449)</f>
        <v/>
      </c>
      <c r="N1446" t="str">
        <f>IF([2]Entry!$M$1449="","",[2]Entry!$M$1449)</f>
        <v/>
      </c>
      <c r="O1446" t="str">
        <f>IF([2]Entry!$N$1449="","",[2]Entry!$N$1449)</f>
        <v/>
      </c>
      <c r="P1446" t="str">
        <f>IF([2]Entry!$R$1449="","",[2]Entry!$R$1449)</f>
        <v/>
      </c>
    </row>
    <row r="1447" spans="10:16" x14ac:dyDescent="0.2">
      <c r="J1447" t="str">
        <f>IF([2]Entry!$C$1450="","",[2]Entry!$C$1450)</f>
        <v/>
      </c>
      <c r="K1447" t="str">
        <f>IF([2]Entry!$D$1450="","",[2]Entry!$D$1450)</f>
        <v/>
      </c>
      <c r="L1447" t="str">
        <f>IF([2]Entry!$E$1450="","",[2]Entry!$E$1450)</f>
        <v/>
      </c>
      <c r="M1447" t="str">
        <f>IF([2]Entry!$G$1450="","",[2]Entry!$G$1450)</f>
        <v/>
      </c>
      <c r="N1447" t="str">
        <f>IF([2]Entry!$M$1450="","",[2]Entry!$M$1450)</f>
        <v/>
      </c>
      <c r="O1447" t="str">
        <f>IF([2]Entry!$N$1450="","",[2]Entry!$N$1450)</f>
        <v/>
      </c>
      <c r="P1447" t="str">
        <f>IF([2]Entry!$R$1450="","",[2]Entry!$R$1450)</f>
        <v/>
      </c>
    </row>
    <row r="1448" spans="10:16" x14ac:dyDescent="0.2">
      <c r="J1448" t="str">
        <f>IF([2]Entry!$C$1451="","",[2]Entry!$C$1451)</f>
        <v/>
      </c>
      <c r="K1448" t="str">
        <f>IF([2]Entry!$D$1451="","",[2]Entry!$D$1451)</f>
        <v/>
      </c>
      <c r="L1448" t="str">
        <f>IF([2]Entry!$E$1451="","",[2]Entry!$E$1451)</f>
        <v/>
      </c>
      <c r="M1448" t="str">
        <f>IF([2]Entry!$G$1451="","",[2]Entry!$G$1451)</f>
        <v/>
      </c>
      <c r="N1448" t="str">
        <f>IF([2]Entry!$M$1451="","",[2]Entry!$M$1451)</f>
        <v/>
      </c>
      <c r="O1448" t="str">
        <f>IF([2]Entry!$N$1451="","",[2]Entry!$N$1451)</f>
        <v/>
      </c>
      <c r="P1448" t="str">
        <f>IF([2]Entry!$R$1451="","",[2]Entry!$R$1451)</f>
        <v/>
      </c>
    </row>
    <row r="1449" spans="10:16" x14ac:dyDescent="0.2">
      <c r="J1449" t="str">
        <f>IF([2]Entry!$C$1452="","",[2]Entry!$C$1452)</f>
        <v/>
      </c>
      <c r="K1449" t="str">
        <f>IF([2]Entry!$D$1452="","",[2]Entry!$D$1452)</f>
        <v/>
      </c>
      <c r="L1449" t="str">
        <f>IF([2]Entry!$E$1452="","",[2]Entry!$E$1452)</f>
        <v/>
      </c>
      <c r="M1449" t="str">
        <f>IF([2]Entry!$G$1452="","",[2]Entry!$G$1452)</f>
        <v/>
      </c>
      <c r="N1449" t="str">
        <f>IF([2]Entry!$M$1452="","",[2]Entry!$M$1452)</f>
        <v/>
      </c>
      <c r="O1449" t="str">
        <f>IF([2]Entry!$N$1452="","",[2]Entry!$N$1452)</f>
        <v/>
      </c>
      <c r="P1449" t="str">
        <f>IF([2]Entry!$R$1452="","",[2]Entry!$R$1452)</f>
        <v/>
      </c>
    </row>
    <row r="1450" spans="10:16" x14ac:dyDescent="0.2">
      <c r="J1450" t="str">
        <f>IF([2]Entry!$C$1453="","",[2]Entry!$C$1453)</f>
        <v/>
      </c>
      <c r="K1450" t="str">
        <f>IF([2]Entry!$D$1453="","",[2]Entry!$D$1453)</f>
        <v/>
      </c>
      <c r="L1450" t="str">
        <f>IF([2]Entry!$E$1453="","",[2]Entry!$E$1453)</f>
        <v/>
      </c>
      <c r="M1450" t="str">
        <f>IF([2]Entry!$G$1453="","",[2]Entry!$G$1453)</f>
        <v/>
      </c>
      <c r="N1450" t="str">
        <f>IF([2]Entry!$M$1453="","",[2]Entry!$M$1453)</f>
        <v/>
      </c>
      <c r="O1450" t="str">
        <f>IF([2]Entry!$N$1453="","",[2]Entry!$N$1453)</f>
        <v/>
      </c>
      <c r="P1450" t="str">
        <f>IF([2]Entry!$R$1453="","",[2]Entry!$R$1453)</f>
        <v/>
      </c>
    </row>
    <row r="1451" spans="10:16" x14ac:dyDescent="0.2">
      <c r="J1451" t="str">
        <f>IF([2]Entry!$C$1454="","",[2]Entry!$C$1454)</f>
        <v/>
      </c>
      <c r="K1451" t="str">
        <f>IF([2]Entry!$D$1454="","",[2]Entry!$D$1454)</f>
        <v/>
      </c>
      <c r="L1451" t="str">
        <f>IF([2]Entry!$E$1454="","",[2]Entry!$E$1454)</f>
        <v/>
      </c>
      <c r="M1451" t="str">
        <f>IF([2]Entry!$G$1454="","",[2]Entry!$G$1454)</f>
        <v/>
      </c>
      <c r="N1451" t="str">
        <f>IF([2]Entry!$M$1454="","",[2]Entry!$M$1454)</f>
        <v/>
      </c>
      <c r="O1451" t="str">
        <f>IF([2]Entry!$N$1454="","",[2]Entry!$N$1454)</f>
        <v/>
      </c>
      <c r="P1451" t="str">
        <f>IF([2]Entry!$R$1454="","",[2]Entry!$R$1454)</f>
        <v/>
      </c>
    </row>
    <row r="1452" spans="10:16" x14ac:dyDescent="0.2">
      <c r="J1452" t="str">
        <f>IF([2]Entry!$C$1455="","",[2]Entry!$C$1455)</f>
        <v/>
      </c>
      <c r="K1452" t="str">
        <f>IF([2]Entry!$D$1455="","",[2]Entry!$D$1455)</f>
        <v/>
      </c>
      <c r="L1452" t="str">
        <f>IF([2]Entry!$E$1455="","",[2]Entry!$E$1455)</f>
        <v/>
      </c>
      <c r="M1452" t="str">
        <f>IF([2]Entry!$G$1455="","",[2]Entry!$G$1455)</f>
        <v/>
      </c>
      <c r="N1452" t="str">
        <f>IF([2]Entry!$M$1455="","",[2]Entry!$M$1455)</f>
        <v/>
      </c>
      <c r="O1452" t="str">
        <f>IF([2]Entry!$N$1455="","",[2]Entry!$N$1455)</f>
        <v/>
      </c>
      <c r="P1452" t="str">
        <f>IF([2]Entry!$R$1455="","",[2]Entry!$R$1455)</f>
        <v/>
      </c>
    </row>
    <row r="1453" spans="10:16" x14ac:dyDescent="0.2">
      <c r="J1453" t="str">
        <f>IF([2]Entry!$C$1456="","",[2]Entry!$C$1456)</f>
        <v/>
      </c>
      <c r="K1453" t="str">
        <f>IF([2]Entry!$D$1456="","",[2]Entry!$D$1456)</f>
        <v/>
      </c>
      <c r="L1453" t="str">
        <f>IF([2]Entry!$E$1456="","",[2]Entry!$E$1456)</f>
        <v/>
      </c>
      <c r="M1453" t="str">
        <f>IF([2]Entry!$G$1456="","",[2]Entry!$G$1456)</f>
        <v/>
      </c>
      <c r="N1453" t="str">
        <f>IF([2]Entry!$M$1456="","",[2]Entry!$M$1456)</f>
        <v/>
      </c>
      <c r="O1453" t="str">
        <f>IF([2]Entry!$N$1456="","",[2]Entry!$N$1456)</f>
        <v/>
      </c>
      <c r="P1453" t="str">
        <f>IF([2]Entry!$R$1456="","",[2]Entry!$R$1456)</f>
        <v/>
      </c>
    </row>
    <row r="1454" spans="10:16" x14ac:dyDescent="0.2">
      <c r="J1454" t="str">
        <f>IF([2]Entry!$C$1457="","",[2]Entry!$C$1457)</f>
        <v/>
      </c>
      <c r="K1454" t="str">
        <f>IF([2]Entry!$D$1457="","",[2]Entry!$D$1457)</f>
        <v/>
      </c>
      <c r="L1454" t="str">
        <f>IF([2]Entry!$E$1457="","",[2]Entry!$E$1457)</f>
        <v/>
      </c>
      <c r="M1454" t="str">
        <f>IF([2]Entry!$G$1457="","",[2]Entry!$G$1457)</f>
        <v/>
      </c>
      <c r="N1454" t="str">
        <f>IF([2]Entry!$M$1457="","",[2]Entry!$M$1457)</f>
        <v/>
      </c>
      <c r="O1454" t="str">
        <f>IF([2]Entry!$N$1457="","",[2]Entry!$N$1457)</f>
        <v/>
      </c>
      <c r="P1454" t="str">
        <f>IF([2]Entry!$R$1457="","",[2]Entry!$R$1457)</f>
        <v/>
      </c>
    </row>
    <row r="1455" spans="10:16" x14ac:dyDescent="0.2">
      <c r="J1455" t="str">
        <f>IF([2]Entry!$C$1458="","",[2]Entry!$C$1458)</f>
        <v/>
      </c>
      <c r="K1455" t="str">
        <f>IF([2]Entry!$D$1458="","",[2]Entry!$D$1458)</f>
        <v/>
      </c>
      <c r="L1455" t="str">
        <f>IF([2]Entry!$E$1458="","",[2]Entry!$E$1458)</f>
        <v/>
      </c>
      <c r="M1455" t="str">
        <f>IF([2]Entry!$G$1458="","",[2]Entry!$G$1458)</f>
        <v/>
      </c>
      <c r="N1455" t="str">
        <f>IF([2]Entry!$M$1458="","",[2]Entry!$M$1458)</f>
        <v/>
      </c>
      <c r="O1455" t="str">
        <f>IF([2]Entry!$N$1458="","",[2]Entry!$N$1458)</f>
        <v/>
      </c>
      <c r="P1455" t="str">
        <f>IF([2]Entry!$R$1458="","",[2]Entry!$R$1458)</f>
        <v/>
      </c>
    </row>
    <row r="1456" spans="10:16" x14ac:dyDescent="0.2">
      <c r="J1456" t="str">
        <f>IF([2]Entry!$C$1459="","",[2]Entry!$C$1459)</f>
        <v/>
      </c>
      <c r="K1456" t="str">
        <f>IF([2]Entry!$D$1459="","",[2]Entry!$D$1459)</f>
        <v/>
      </c>
      <c r="L1456" t="str">
        <f>IF([2]Entry!$E$1459="","",[2]Entry!$E$1459)</f>
        <v/>
      </c>
      <c r="M1456" t="str">
        <f>IF([2]Entry!$G$1459="","",[2]Entry!$G$1459)</f>
        <v/>
      </c>
      <c r="N1456" t="str">
        <f>IF([2]Entry!$M$1459="","",[2]Entry!$M$1459)</f>
        <v/>
      </c>
      <c r="O1456" t="str">
        <f>IF([2]Entry!$N$1459="","",[2]Entry!$N$1459)</f>
        <v/>
      </c>
      <c r="P1456" t="str">
        <f>IF([2]Entry!$R$1459="","",[2]Entry!$R$1459)</f>
        <v/>
      </c>
    </row>
    <row r="1457" spans="10:16" x14ac:dyDescent="0.2">
      <c r="J1457" t="str">
        <f>IF([2]Entry!$C$1460="","",[2]Entry!$C$1460)</f>
        <v/>
      </c>
      <c r="K1457" t="str">
        <f>IF([2]Entry!$D$1460="","",[2]Entry!$D$1460)</f>
        <v/>
      </c>
      <c r="L1457" t="str">
        <f>IF([2]Entry!$E$1460="","",[2]Entry!$E$1460)</f>
        <v/>
      </c>
      <c r="M1457" t="str">
        <f>IF([2]Entry!$G$1460="","",[2]Entry!$G$1460)</f>
        <v/>
      </c>
      <c r="N1457" t="str">
        <f>IF([2]Entry!$M$1460="","",[2]Entry!$M$1460)</f>
        <v/>
      </c>
      <c r="O1457" t="str">
        <f>IF([2]Entry!$N$1460="","",[2]Entry!$N$1460)</f>
        <v/>
      </c>
      <c r="P1457" t="str">
        <f>IF([2]Entry!$R$1460="","",[2]Entry!$R$1460)</f>
        <v/>
      </c>
    </row>
    <row r="1458" spans="10:16" x14ac:dyDescent="0.2">
      <c r="J1458" t="str">
        <f>IF([2]Entry!$C$1461="","",[2]Entry!$C$1461)</f>
        <v/>
      </c>
      <c r="K1458" t="str">
        <f>IF([2]Entry!$D$1461="","",[2]Entry!$D$1461)</f>
        <v/>
      </c>
      <c r="L1458" t="str">
        <f>IF([2]Entry!$E$1461="","",[2]Entry!$E$1461)</f>
        <v/>
      </c>
      <c r="M1458" t="str">
        <f>IF([2]Entry!$G$1461="","",[2]Entry!$G$1461)</f>
        <v/>
      </c>
      <c r="N1458" t="str">
        <f>IF([2]Entry!$M$1461="","",[2]Entry!$M$1461)</f>
        <v/>
      </c>
      <c r="O1458" t="str">
        <f>IF([2]Entry!$N$1461="","",[2]Entry!$N$1461)</f>
        <v/>
      </c>
      <c r="P1458" t="str">
        <f>IF([2]Entry!$R$1461="","",[2]Entry!$R$1461)</f>
        <v/>
      </c>
    </row>
    <row r="1459" spans="10:16" x14ac:dyDescent="0.2">
      <c r="J1459" t="str">
        <f>IF([2]Entry!$C$1462="","",[2]Entry!$C$1462)</f>
        <v/>
      </c>
      <c r="K1459" t="str">
        <f>IF([2]Entry!$D$1462="","",[2]Entry!$D$1462)</f>
        <v/>
      </c>
      <c r="L1459" t="str">
        <f>IF([2]Entry!$E$1462="","",[2]Entry!$E$1462)</f>
        <v/>
      </c>
      <c r="M1459" t="str">
        <f>IF([2]Entry!$G$1462="","",[2]Entry!$G$1462)</f>
        <v/>
      </c>
      <c r="N1459" t="str">
        <f>IF([2]Entry!$M$1462="","",[2]Entry!$M$1462)</f>
        <v/>
      </c>
      <c r="O1459" t="str">
        <f>IF([2]Entry!$N$1462="","",[2]Entry!$N$1462)</f>
        <v/>
      </c>
      <c r="P1459" t="str">
        <f>IF([2]Entry!$R$1462="","",[2]Entry!$R$1462)</f>
        <v/>
      </c>
    </row>
    <row r="1460" spans="10:16" x14ac:dyDescent="0.2">
      <c r="J1460" t="str">
        <f>IF([2]Entry!$C$1463="","",[2]Entry!$C$1463)</f>
        <v/>
      </c>
      <c r="K1460" t="str">
        <f>IF([2]Entry!$D$1463="","",[2]Entry!$D$1463)</f>
        <v/>
      </c>
      <c r="L1460" t="str">
        <f>IF([2]Entry!$E$1463="","",[2]Entry!$E$1463)</f>
        <v/>
      </c>
      <c r="M1460" t="str">
        <f>IF([2]Entry!$G$1463="","",[2]Entry!$G$1463)</f>
        <v/>
      </c>
      <c r="N1460" t="str">
        <f>IF([2]Entry!$M$1463="","",[2]Entry!$M$1463)</f>
        <v/>
      </c>
      <c r="O1460" t="str">
        <f>IF([2]Entry!$N$1463="","",[2]Entry!$N$1463)</f>
        <v/>
      </c>
      <c r="P1460" t="str">
        <f>IF([2]Entry!$R$1463="","",[2]Entry!$R$1463)</f>
        <v/>
      </c>
    </row>
    <row r="1461" spans="10:16" x14ac:dyDescent="0.2">
      <c r="J1461" t="str">
        <f>IF([2]Entry!$C$1464="","",[2]Entry!$C$1464)</f>
        <v/>
      </c>
      <c r="K1461" t="str">
        <f>IF([2]Entry!$D$1464="","",[2]Entry!$D$1464)</f>
        <v/>
      </c>
      <c r="L1461" t="str">
        <f>IF([2]Entry!$E$1464="","",[2]Entry!$E$1464)</f>
        <v/>
      </c>
      <c r="M1461" t="str">
        <f>IF([2]Entry!$G$1464="","",[2]Entry!$G$1464)</f>
        <v/>
      </c>
      <c r="N1461" t="str">
        <f>IF([2]Entry!$M$1464="","",[2]Entry!$M$1464)</f>
        <v/>
      </c>
      <c r="O1461" t="str">
        <f>IF([2]Entry!$N$1464="","",[2]Entry!$N$1464)</f>
        <v/>
      </c>
      <c r="P1461" t="str">
        <f>IF([2]Entry!$R$1464="","",[2]Entry!$R$1464)</f>
        <v/>
      </c>
    </row>
    <row r="1462" spans="10:16" x14ac:dyDescent="0.2">
      <c r="J1462" t="str">
        <f>IF([2]Entry!$C$1465="","",[2]Entry!$C$1465)</f>
        <v/>
      </c>
      <c r="K1462" t="str">
        <f>IF([2]Entry!$D$1465="","",[2]Entry!$D$1465)</f>
        <v/>
      </c>
      <c r="L1462" t="str">
        <f>IF([2]Entry!$E$1465="","",[2]Entry!$E$1465)</f>
        <v/>
      </c>
      <c r="M1462" t="str">
        <f>IF([2]Entry!$G$1465="","",[2]Entry!$G$1465)</f>
        <v/>
      </c>
      <c r="N1462" t="str">
        <f>IF([2]Entry!$M$1465="","",[2]Entry!$M$1465)</f>
        <v/>
      </c>
      <c r="O1462" t="str">
        <f>IF([2]Entry!$N$1465="","",[2]Entry!$N$1465)</f>
        <v/>
      </c>
      <c r="P1462" t="str">
        <f>IF([2]Entry!$R$1465="","",[2]Entry!$R$1465)</f>
        <v/>
      </c>
    </row>
    <row r="1463" spans="10:16" x14ac:dyDescent="0.2">
      <c r="J1463" t="str">
        <f>IF([2]Entry!$C$1466="","",[2]Entry!$C$1466)</f>
        <v/>
      </c>
      <c r="K1463" t="str">
        <f>IF([2]Entry!$D$1466="","",[2]Entry!$D$1466)</f>
        <v/>
      </c>
      <c r="L1463" t="str">
        <f>IF([2]Entry!$E$1466="","",[2]Entry!$E$1466)</f>
        <v/>
      </c>
      <c r="M1463" t="str">
        <f>IF([2]Entry!$G$1466="","",[2]Entry!$G$1466)</f>
        <v/>
      </c>
      <c r="N1463" t="str">
        <f>IF([2]Entry!$M$1466="","",[2]Entry!$M$1466)</f>
        <v/>
      </c>
      <c r="O1463" t="str">
        <f>IF([2]Entry!$N$1466="","",[2]Entry!$N$1466)</f>
        <v/>
      </c>
      <c r="P1463" t="str">
        <f>IF([2]Entry!$R$1466="","",[2]Entry!$R$1466)</f>
        <v/>
      </c>
    </row>
    <row r="1464" spans="10:16" x14ac:dyDescent="0.2">
      <c r="J1464" t="str">
        <f>IF([2]Entry!$C$1467="","",[2]Entry!$C$1467)</f>
        <v/>
      </c>
      <c r="K1464" t="str">
        <f>IF([2]Entry!$D$1467="","",[2]Entry!$D$1467)</f>
        <v/>
      </c>
      <c r="L1464" t="str">
        <f>IF([2]Entry!$E$1467="","",[2]Entry!$E$1467)</f>
        <v/>
      </c>
      <c r="M1464" t="str">
        <f>IF([2]Entry!$G$1467="","",[2]Entry!$G$1467)</f>
        <v/>
      </c>
      <c r="N1464" t="str">
        <f>IF([2]Entry!$M$1467="","",[2]Entry!$M$1467)</f>
        <v/>
      </c>
      <c r="O1464" t="str">
        <f>IF([2]Entry!$N$1467="","",[2]Entry!$N$1467)</f>
        <v/>
      </c>
      <c r="P1464" t="str">
        <f>IF([2]Entry!$R$1467="","",[2]Entry!$R$1467)</f>
        <v/>
      </c>
    </row>
    <row r="1465" spans="10:16" x14ac:dyDescent="0.2">
      <c r="J1465" t="str">
        <f>IF([2]Entry!$C$1468="","",[2]Entry!$C$1468)</f>
        <v/>
      </c>
      <c r="K1465" t="str">
        <f>IF([2]Entry!$D$1468="","",[2]Entry!$D$1468)</f>
        <v/>
      </c>
      <c r="L1465" t="str">
        <f>IF([2]Entry!$E$1468="","",[2]Entry!$E$1468)</f>
        <v/>
      </c>
      <c r="M1465" t="str">
        <f>IF([2]Entry!$G$1468="","",[2]Entry!$G$1468)</f>
        <v/>
      </c>
      <c r="N1465" t="str">
        <f>IF([2]Entry!$M$1468="","",[2]Entry!$M$1468)</f>
        <v/>
      </c>
      <c r="O1465" t="str">
        <f>IF([2]Entry!$N$1468="","",[2]Entry!$N$1468)</f>
        <v/>
      </c>
      <c r="P1465" t="str">
        <f>IF([2]Entry!$R$1468="","",[2]Entry!$R$1468)</f>
        <v/>
      </c>
    </row>
    <row r="1466" spans="10:16" x14ac:dyDescent="0.2">
      <c r="J1466" t="str">
        <f>IF([2]Entry!$C$1469="","",[2]Entry!$C$1469)</f>
        <v/>
      </c>
      <c r="K1466" t="str">
        <f>IF([2]Entry!$D$1469="","",[2]Entry!$D$1469)</f>
        <v/>
      </c>
      <c r="L1466" t="str">
        <f>IF([2]Entry!$E$1469="","",[2]Entry!$E$1469)</f>
        <v/>
      </c>
      <c r="M1466" t="str">
        <f>IF([2]Entry!$G$1469="","",[2]Entry!$G$1469)</f>
        <v/>
      </c>
      <c r="N1466" t="str">
        <f>IF([2]Entry!$M$1469="","",[2]Entry!$M$1469)</f>
        <v/>
      </c>
      <c r="O1466" t="str">
        <f>IF([2]Entry!$N$1469="","",[2]Entry!$N$1469)</f>
        <v/>
      </c>
      <c r="P1466" t="str">
        <f>IF([2]Entry!$R$1469="","",[2]Entry!$R$1469)</f>
        <v/>
      </c>
    </row>
    <row r="1467" spans="10:16" x14ac:dyDescent="0.2">
      <c r="J1467" t="str">
        <f>IF([2]Entry!$C$1470="","",[2]Entry!$C$1470)</f>
        <v/>
      </c>
      <c r="K1467" t="str">
        <f>IF([2]Entry!$D$1470="","",[2]Entry!$D$1470)</f>
        <v/>
      </c>
      <c r="L1467" t="str">
        <f>IF([2]Entry!$E$1470="","",[2]Entry!$E$1470)</f>
        <v/>
      </c>
      <c r="M1467" t="str">
        <f>IF([2]Entry!$G$1470="","",[2]Entry!$G$1470)</f>
        <v/>
      </c>
      <c r="N1467" t="str">
        <f>IF([2]Entry!$M$1470="","",[2]Entry!$M$1470)</f>
        <v/>
      </c>
      <c r="O1467" t="str">
        <f>IF([2]Entry!$N$1470="","",[2]Entry!$N$1470)</f>
        <v/>
      </c>
      <c r="P1467" t="str">
        <f>IF([2]Entry!$R$1470="","",[2]Entry!$R$1470)</f>
        <v/>
      </c>
    </row>
    <row r="1468" spans="10:16" x14ac:dyDescent="0.2">
      <c r="J1468" t="str">
        <f>IF([2]Entry!$C$1471="","",[2]Entry!$C$1471)</f>
        <v/>
      </c>
      <c r="K1468" t="str">
        <f>IF([2]Entry!$D$1471="","",[2]Entry!$D$1471)</f>
        <v/>
      </c>
      <c r="L1468" t="str">
        <f>IF([2]Entry!$E$1471="","",[2]Entry!$E$1471)</f>
        <v/>
      </c>
      <c r="M1468" t="str">
        <f>IF([2]Entry!$G$1471="","",[2]Entry!$G$1471)</f>
        <v/>
      </c>
      <c r="N1468" t="str">
        <f>IF([2]Entry!$M$1471="","",[2]Entry!$M$1471)</f>
        <v/>
      </c>
      <c r="O1468" t="str">
        <f>IF([2]Entry!$N$1471="","",[2]Entry!$N$1471)</f>
        <v/>
      </c>
      <c r="P1468" t="str">
        <f>IF([2]Entry!$R$1471="","",[2]Entry!$R$1471)</f>
        <v/>
      </c>
    </row>
    <row r="1469" spans="10:16" x14ac:dyDescent="0.2">
      <c r="J1469" t="str">
        <f>IF([2]Entry!$C$1472="","",[2]Entry!$C$1472)</f>
        <v/>
      </c>
      <c r="K1469" t="str">
        <f>IF([2]Entry!$D$1472="","",[2]Entry!$D$1472)</f>
        <v/>
      </c>
      <c r="L1469" t="str">
        <f>IF([2]Entry!$E$1472="","",[2]Entry!$E$1472)</f>
        <v/>
      </c>
      <c r="M1469" t="str">
        <f>IF([2]Entry!$G$1472="","",[2]Entry!$G$1472)</f>
        <v/>
      </c>
      <c r="N1469" t="str">
        <f>IF([2]Entry!$M$1472="","",[2]Entry!$M$1472)</f>
        <v/>
      </c>
      <c r="O1469" t="str">
        <f>IF([2]Entry!$N$1472="","",[2]Entry!$N$1472)</f>
        <v/>
      </c>
      <c r="P1469" t="str">
        <f>IF([2]Entry!$R$1472="","",[2]Entry!$R$1472)</f>
        <v/>
      </c>
    </row>
    <row r="1470" spans="10:16" x14ac:dyDescent="0.2">
      <c r="J1470" t="str">
        <f>IF([2]Entry!$C$1473="","",[2]Entry!$C$1473)</f>
        <v/>
      </c>
      <c r="K1470" t="str">
        <f>IF([2]Entry!$D$1473="","",[2]Entry!$D$1473)</f>
        <v/>
      </c>
      <c r="L1470" t="str">
        <f>IF([2]Entry!$E$1473="","",[2]Entry!$E$1473)</f>
        <v/>
      </c>
      <c r="M1470" t="str">
        <f>IF([2]Entry!$G$1473="","",[2]Entry!$G$1473)</f>
        <v/>
      </c>
      <c r="N1470" t="str">
        <f>IF([2]Entry!$M$1473="","",[2]Entry!$M$1473)</f>
        <v/>
      </c>
      <c r="O1470" t="str">
        <f>IF([2]Entry!$N$1473="","",[2]Entry!$N$1473)</f>
        <v/>
      </c>
      <c r="P1470" t="str">
        <f>IF([2]Entry!$R$1473="","",[2]Entry!$R$1473)</f>
        <v/>
      </c>
    </row>
    <row r="1471" spans="10:16" x14ac:dyDescent="0.2">
      <c r="J1471" t="str">
        <f>IF([2]Entry!$C$1474="","",[2]Entry!$C$1474)</f>
        <v/>
      </c>
      <c r="K1471" t="str">
        <f>IF([2]Entry!$D$1474="","",[2]Entry!$D$1474)</f>
        <v/>
      </c>
      <c r="L1471" t="str">
        <f>IF([2]Entry!$E$1474="","",[2]Entry!$E$1474)</f>
        <v/>
      </c>
      <c r="M1471" t="str">
        <f>IF([2]Entry!$G$1474="","",[2]Entry!$G$1474)</f>
        <v/>
      </c>
      <c r="N1471" t="str">
        <f>IF([2]Entry!$M$1474="","",[2]Entry!$M$1474)</f>
        <v/>
      </c>
      <c r="O1471" t="str">
        <f>IF([2]Entry!$N$1474="","",[2]Entry!$N$1474)</f>
        <v/>
      </c>
      <c r="P1471" t="str">
        <f>IF([2]Entry!$R$1474="","",[2]Entry!$R$1474)</f>
        <v/>
      </c>
    </row>
    <row r="1472" spans="10:16" x14ac:dyDescent="0.2">
      <c r="J1472" t="str">
        <f>IF([2]Entry!$C$1475="","",[2]Entry!$C$1475)</f>
        <v/>
      </c>
      <c r="K1472" t="str">
        <f>IF([2]Entry!$D$1475="","",[2]Entry!$D$1475)</f>
        <v/>
      </c>
      <c r="L1472" t="str">
        <f>IF([2]Entry!$E$1475="","",[2]Entry!$E$1475)</f>
        <v/>
      </c>
      <c r="M1472" t="str">
        <f>IF([2]Entry!$G$1475="","",[2]Entry!$G$1475)</f>
        <v/>
      </c>
      <c r="N1472" t="str">
        <f>IF([2]Entry!$M$1475="","",[2]Entry!$M$1475)</f>
        <v/>
      </c>
      <c r="O1472" t="str">
        <f>IF([2]Entry!$N$1475="","",[2]Entry!$N$1475)</f>
        <v/>
      </c>
      <c r="P1472" t="str">
        <f>IF([2]Entry!$R$1475="","",[2]Entry!$R$1475)</f>
        <v/>
      </c>
    </row>
    <row r="1473" spans="10:16" x14ac:dyDescent="0.2">
      <c r="J1473" t="str">
        <f>IF([2]Entry!$C$1476="","",[2]Entry!$C$1476)</f>
        <v/>
      </c>
      <c r="K1473" t="str">
        <f>IF([2]Entry!$D$1476="","",[2]Entry!$D$1476)</f>
        <v/>
      </c>
      <c r="L1473" t="str">
        <f>IF([2]Entry!$E$1476="","",[2]Entry!$E$1476)</f>
        <v/>
      </c>
      <c r="M1473" t="str">
        <f>IF([2]Entry!$G$1476="","",[2]Entry!$G$1476)</f>
        <v/>
      </c>
      <c r="N1473" t="str">
        <f>IF([2]Entry!$M$1476="","",[2]Entry!$M$1476)</f>
        <v/>
      </c>
      <c r="O1473" t="str">
        <f>IF([2]Entry!$N$1476="","",[2]Entry!$N$1476)</f>
        <v/>
      </c>
      <c r="P1473" t="str">
        <f>IF([2]Entry!$R$1476="","",[2]Entry!$R$1476)</f>
        <v/>
      </c>
    </row>
    <row r="1474" spans="10:16" x14ac:dyDescent="0.2">
      <c r="J1474" t="str">
        <f>IF([2]Entry!$C$1477="","",[2]Entry!$C$1477)</f>
        <v/>
      </c>
      <c r="K1474" t="str">
        <f>IF([2]Entry!$D$1477="","",[2]Entry!$D$1477)</f>
        <v/>
      </c>
      <c r="L1474" t="str">
        <f>IF([2]Entry!$E$1477="","",[2]Entry!$E$1477)</f>
        <v/>
      </c>
      <c r="M1474" t="str">
        <f>IF([2]Entry!$G$1477="","",[2]Entry!$G$1477)</f>
        <v/>
      </c>
      <c r="N1474" t="str">
        <f>IF([2]Entry!$M$1477="","",[2]Entry!$M$1477)</f>
        <v/>
      </c>
      <c r="O1474" t="str">
        <f>IF([2]Entry!$N$1477="","",[2]Entry!$N$1477)</f>
        <v/>
      </c>
      <c r="P1474" t="str">
        <f>IF([2]Entry!$R$1477="","",[2]Entry!$R$1477)</f>
        <v/>
      </c>
    </row>
    <row r="1475" spans="10:16" x14ac:dyDescent="0.2">
      <c r="J1475" t="str">
        <f>IF([2]Entry!$C$1478="","",[2]Entry!$C$1478)</f>
        <v/>
      </c>
      <c r="K1475" t="str">
        <f>IF([2]Entry!$D$1478="","",[2]Entry!$D$1478)</f>
        <v/>
      </c>
      <c r="L1475" t="str">
        <f>IF([2]Entry!$E$1478="","",[2]Entry!$E$1478)</f>
        <v/>
      </c>
      <c r="M1475" t="str">
        <f>IF([2]Entry!$G$1478="","",[2]Entry!$G$1478)</f>
        <v/>
      </c>
      <c r="N1475" t="str">
        <f>IF([2]Entry!$M$1478="","",[2]Entry!$M$1478)</f>
        <v/>
      </c>
      <c r="O1475" t="str">
        <f>IF([2]Entry!$N$1478="","",[2]Entry!$N$1478)</f>
        <v/>
      </c>
      <c r="P1475" t="str">
        <f>IF([2]Entry!$R$1478="","",[2]Entry!$R$1478)</f>
        <v/>
      </c>
    </row>
    <row r="1476" spans="10:16" x14ac:dyDescent="0.2">
      <c r="J1476" t="str">
        <f>IF([2]Entry!$C$1479="","",[2]Entry!$C$1479)</f>
        <v/>
      </c>
      <c r="K1476" t="str">
        <f>IF([2]Entry!$D$1479="","",[2]Entry!$D$1479)</f>
        <v/>
      </c>
      <c r="L1476" t="str">
        <f>IF([2]Entry!$E$1479="","",[2]Entry!$E$1479)</f>
        <v/>
      </c>
      <c r="M1476" t="str">
        <f>IF([2]Entry!$G$1479="","",[2]Entry!$G$1479)</f>
        <v/>
      </c>
      <c r="N1476" t="str">
        <f>IF([2]Entry!$M$1479="","",[2]Entry!$M$1479)</f>
        <v/>
      </c>
      <c r="O1476" t="str">
        <f>IF([2]Entry!$N$1479="","",[2]Entry!$N$1479)</f>
        <v/>
      </c>
      <c r="P1476" t="str">
        <f>IF([2]Entry!$R$1479="","",[2]Entry!$R$1479)</f>
        <v/>
      </c>
    </row>
    <row r="1477" spans="10:16" x14ac:dyDescent="0.2">
      <c r="J1477" t="str">
        <f>IF([2]Entry!$C$1480="","",[2]Entry!$C$1480)</f>
        <v/>
      </c>
      <c r="K1477" t="str">
        <f>IF([2]Entry!$D$1480="","",[2]Entry!$D$1480)</f>
        <v/>
      </c>
      <c r="L1477" t="str">
        <f>IF([2]Entry!$E$1480="","",[2]Entry!$E$1480)</f>
        <v/>
      </c>
      <c r="M1477" t="str">
        <f>IF([2]Entry!$G$1480="","",[2]Entry!$G$1480)</f>
        <v/>
      </c>
      <c r="N1477" t="str">
        <f>IF([2]Entry!$M$1480="","",[2]Entry!$M$1480)</f>
        <v/>
      </c>
      <c r="O1477" t="str">
        <f>IF([2]Entry!$N$1480="","",[2]Entry!$N$1480)</f>
        <v/>
      </c>
      <c r="P1477" t="str">
        <f>IF([2]Entry!$R$1480="","",[2]Entry!$R$1480)</f>
        <v/>
      </c>
    </row>
    <row r="1478" spans="10:16" x14ac:dyDescent="0.2">
      <c r="J1478" t="str">
        <f>IF([2]Entry!$C$1481="","",[2]Entry!$C$1481)</f>
        <v/>
      </c>
      <c r="K1478" t="str">
        <f>IF([2]Entry!$D$1481="","",[2]Entry!$D$1481)</f>
        <v/>
      </c>
      <c r="L1478" t="str">
        <f>IF([2]Entry!$E$1481="","",[2]Entry!$E$1481)</f>
        <v/>
      </c>
      <c r="M1478" t="str">
        <f>IF([2]Entry!$G$1481="","",[2]Entry!$G$1481)</f>
        <v/>
      </c>
      <c r="N1478" t="str">
        <f>IF([2]Entry!$M$1481="","",[2]Entry!$M$1481)</f>
        <v/>
      </c>
      <c r="O1478" t="str">
        <f>IF([2]Entry!$N$1481="","",[2]Entry!$N$1481)</f>
        <v/>
      </c>
      <c r="P1478" t="str">
        <f>IF([2]Entry!$R$1481="","",[2]Entry!$R$1481)</f>
        <v/>
      </c>
    </row>
    <row r="1479" spans="10:16" x14ac:dyDescent="0.2">
      <c r="J1479" t="str">
        <f>IF([2]Entry!$C$1482="","",[2]Entry!$C$1482)</f>
        <v/>
      </c>
      <c r="K1479" t="str">
        <f>IF([2]Entry!$D$1482="","",[2]Entry!$D$1482)</f>
        <v/>
      </c>
      <c r="L1479" t="str">
        <f>IF([2]Entry!$E$1482="","",[2]Entry!$E$1482)</f>
        <v/>
      </c>
      <c r="M1479" t="str">
        <f>IF([2]Entry!$G$1482="","",[2]Entry!$G$1482)</f>
        <v/>
      </c>
      <c r="N1479" t="str">
        <f>IF([2]Entry!$M$1482="","",[2]Entry!$M$1482)</f>
        <v/>
      </c>
      <c r="O1479" t="str">
        <f>IF([2]Entry!$N$1482="","",[2]Entry!$N$1482)</f>
        <v/>
      </c>
      <c r="P1479" t="str">
        <f>IF([2]Entry!$R$1482="","",[2]Entry!$R$1482)</f>
        <v/>
      </c>
    </row>
    <row r="1480" spans="10:16" x14ac:dyDescent="0.2">
      <c r="J1480" t="str">
        <f>IF([2]Entry!$C$1483="","",[2]Entry!$C$1483)</f>
        <v/>
      </c>
      <c r="K1480" t="str">
        <f>IF([2]Entry!$D$1483="","",[2]Entry!$D$1483)</f>
        <v/>
      </c>
      <c r="L1480" t="str">
        <f>IF([2]Entry!$E$1483="","",[2]Entry!$E$1483)</f>
        <v/>
      </c>
      <c r="M1480" t="str">
        <f>IF([2]Entry!$G$1483="","",[2]Entry!$G$1483)</f>
        <v/>
      </c>
      <c r="N1480" t="str">
        <f>IF([2]Entry!$M$1483="","",[2]Entry!$M$1483)</f>
        <v/>
      </c>
      <c r="O1480" t="str">
        <f>IF([2]Entry!$N$1483="","",[2]Entry!$N$1483)</f>
        <v/>
      </c>
      <c r="P1480" t="str">
        <f>IF([2]Entry!$R$1483="","",[2]Entry!$R$1483)</f>
        <v/>
      </c>
    </row>
    <row r="1481" spans="10:16" x14ac:dyDescent="0.2">
      <c r="J1481" t="str">
        <f>IF([2]Entry!$C$1484="","",[2]Entry!$C$1484)</f>
        <v/>
      </c>
      <c r="K1481" t="str">
        <f>IF([2]Entry!$D$1484="","",[2]Entry!$D$1484)</f>
        <v/>
      </c>
      <c r="L1481" t="str">
        <f>IF([2]Entry!$E$1484="","",[2]Entry!$E$1484)</f>
        <v/>
      </c>
      <c r="M1481" t="str">
        <f>IF([2]Entry!$G$1484="","",[2]Entry!$G$1484)</f>
        <v/>
      </c>
      <c r="N1481" t="str">
        <f>IF([2]Entry!$M$1484="","",[2]Entry!$M$1484)</f>
        <v/>
      </c>
      <c r="O1481" t="str">
        <f>IF([2]Entry!$N$1484="","",[2]Entry!$N$1484)</f>
        <v/>
      </c>
      <c r="P1481" t="str">
        <f>IF([2]Entry!$R$1484="","",[2]Entry!$R$1484)</f>
        <v/>
      </c>
    </row>
    <row r="1482" spans="10:16" x14ac:dyDescent="0.2">
      <c r="J1482" t="str">
        <f>IF([2]Entry!$C$1485="","",[2]Entry!$C$1485)</f>
        <v/>
      </c>
      <c r="K1482" t="str">
        <f>IF([2]Entry!$D$1485="","",[2]Entry!$D$1485)</f>
        <v/>
      </c>
      <c r="L1482" t="str">
        <f>IF([2]Entry!$E$1485="","",[2]Entry!$E$1485)</f>
        <v/>
      </c>
      <c r="M1482" t="str">
        <f>IF([2]Entry!$G$1485="","",[2]Entry!$G$1485)</f>
        <v/>
      </c>
      <c r="N1482" t="str">
        <f>IF([2]Entry!$M$1485="","",[2]Entry!$M$1485)</f>
        <v/>
      </c>
      <c r="O1482" t="str">
        <f>IF([2]Entry!$N$1485="","",[2]Entry!$N$1485)</f>
        <v/>
      </c>
      <c r="P1482" t="str">
        <f>IF([2]Entry!$R$1485="","",[2]Entry!$R$1485)</f>
        <v/>
      </c>
    </row>
    <row r="1483" spans="10:16" x14ac:dyDescent="0.2">
      <c r="J1483" t="str">
        <f>IF([2]Entry!$C$1486="","",[2]Entry!$C$1486)</f>
        <v/>
      </c>
      <c r="K1483" t="str">
        <f>IF([2]Entry!$D$1486="","",[2]Entry!$D$1486)</f>
        <v/>
      </c>
      <c r="L1483" t="str">
        <f>IF([2]Entry!$E$1486="","",[2]Entry!$E$1486)</f>
        <v/>
      </c>
      <c r="M1483" t="str">
        <f>IF([2]Entry!$G$1486="","",[2]Entry!$G$1486)</f>
        <v/>
      </c>
      <c r="N1483" t="str">
        <f>IF([2]Entry!$M$1486="","",[2]Entry!$M$1486)</f>
        <v/>
      </c>
      <c r="O1483" t="str">
        <f>IF([2]Entry!$N$1486="","",[2]Entry!$N$1486)</f>
        <v/>
      </c>
      <c r="P1483" t="str">
        <f>IF([2]Entry!$R$1486="","",[2]Entry!$R$1486)</f>
        <v/>
      </c>
    </row>
    <row r="1484" spans="10:16" x14ac:dyDescent="0.2">
      <c r="J1484" t="str">
        <f>IF([2]Entry!$C$1487="","",[2]Entry!$C$1487)</f>
        <v/>
      </c>
      <c r="K1484" t="str">
        <f>IF([2]Entry!$D$1487="","",[2]Entry!$D$1487)</f>
        <v/>
      </c>
      <c r="L1484" t="str">
        <f>IF([2]Entry!$E$1487="","",[2]Entry!$E$1487)</f>
        <v/>
      </c>
      <c r="M1484" t="str">
        <f>IF([2]Entry!$G$1487="","",[2]Entry!$G$1487)</f>
        <v/>
      </c>
      <c r="N1484" t="str">
        <f>IF([2]Entry!$M$1487="","",[2]Entry!$M$1487)</f>
        <v/>
      </c>
      <c r="O1484" t="str">
        <f>IF([2]Entry!$N$1487="","",[2]Entry!$N$1487)</f>
        <v/>
      </c>
      <c r="P1484" t="str">
        <f>IF([2]Entry!$R$1487="","",[2]Entry!$R$1487)</f>
        <v/>
      </c>
    </row>
    <row r="1485" spans="10:16" x14ac:dyDescent="0.2">
      <c r="J1485" t="str">
        <f>IF([2]Entry!$C$1488="","",[2]Entry!$C$1488)</f>
        <v/>
      </c>
      <c r="K1485" t="str">
        <f>IF([2]Entry!$D$1488="","",[2]Entry!$D$1488)</f>
        <v/>
      </c>
      <c r="L1485" t="str">
        <f>IF([2]Entry!$E$1488="","",[2]Entry!$E$1488)</f>
        <v/>
      </c>
      <c r="M1485" t="str">
        <f>IF([2]Entry!$G$1488="","",[2]Entry!$G$1488)</f>
        <v/>
      </c>
      <c r="N1485" t="str">
        <f>IF([2]Entry!$M$1488="","",[2]Entry!$M$1488)</f>
        <v/>
      </c>
      <c r="O1485" t="str">
        <f>IF([2]Entry!$N$1488="","",[2]Entry!$N$1488)</f>
        <v/>
      </c>
      <c r="P1485" t="str">
        <f>IF([2]Entry!$R$1488="","",[2]Entry!$R$1488)</f>
        <v/>
      </c>
    </row>
    <row r="1486" spans="10:16" x14ac:dyDescent="0.2">
      <c r="J1486" t="str">
        <f>IF([2]Entry!$C$1489="","",[2]Entry!$C$1489)</f>
        <v/>
      </c>
      <c r="K1486" t="str">
        <f>IF([2]Entry!$D$1489="","",[2]Entry!$D$1489)</f>
        <v/>
      </c>
      <c r="L1486" t="str">
        <f>IF([2]Entry!$E$1489="","",[2]Entry!$E$1489)</f>
        <v/>
      </c>
      <c r="M1486" t="str">
        <f>IF([2]Entry!$G$1489="","",[2]Entry!$G$1489)</f>
        <v/>
      </c>
      <c r="N1486" t="str">
        <f>IF([2]Entry!$M$1489="","",[2]Entry!$M$1489)</f>
        <v/>
      </c>
      <c r="O1486" t="str">
        <f>IF([2]Entry!$N$1489="","",[2]Entry!$N$1489)</f>
        <v/>
      </c>
      <c r="P1486" t="str">
        <f>IF([2]Entry!$R$1489="","",[2]Entry!$R$1489)</f>
        <v/>
      </c>
    </row>
    <row r="1487" spans="10:16" x14ac:dyDescent="0.2">
      <c r="J1487" t="str">
        <f>IF([2]Entry!$C$1490="","",[2]Entry!$C$1490)</f>
        <v/>
      </c>
      <c r="K1487" t="str">
        <f>IF([2]Entry!$D$1490="","",[2]Entry!$D$1490)</f>
        <v/>
      </c>
      <c r="L1487" t="str">
        <f>IF([2]Entry!$E$1490="","",[2]Entry!$E$1490)</f>
        <v/>
      </c>
      <c r="M1487" t="str">
        <f>IF([2]Entry!$G$1490="","",[2]Entry!$G$1490)</f>
        <v/>
      </c>
      <c r="N1487" t="str">
        <f>IF([2]Entry!$M$1490="","",[2]Entry!$M$1490)</f>
        <v/>
      </c>
      <c r="O1487" t="str">
        <f>IF([2]Entry!$N$1490="","",[2]Entry!$N$1490)</f>
        <v/>
      </c>
      <c r="P1487" t="str">
        <f>IF([2]Entry!$R$1490="","",[2]Entry!$R$1490)</f>
        <v/>
      </c>
    </row>
    <row r="1488" spans="10:16" x14ac:dyDescent="0.2">
      <c r="J1488" t="str">
        <f>IF([2]Entry!$C$1491="","",[2]Entry!$C$1491)</f>
        <v/>
      </c>
      <c r="K1488" t="str">
        <f>IF([2]Entry!$D$1491="","",[2]Entry!$D$1491)</f>
        <v/>
      </c>
      <c r="L1488" t="str">
        <f>IF([2]Entry!$E$1491="","",[2]Entry!$E$1491)</f>
        <v/>
      </c>
      <c r="M1488" t="str">
        <f>IF([2]Entry!$G$1491="","",[2]Entry!$G$1491)</f>
        <v/>
      </c>
      <c r="N1488" t="str">
        <f>IF([2]Entry!$M$1491="","",[2]Entry!$M$1491)</f>
        <v/>
      </c>
      <c r="O1488" t="str">
        <f>IF([2]Entry!$N$1491="","",[2]Entry!$N$1491)</f>
        <v/>
      </c>
      <c r="P1488" t="str">
        <f>IF([2]Entry!$R$1491="","",[2]Entry!$R$1491)</f>
        <v/>
      </c>
    </row>
    <row r="1489" spans="10:16" x14ac:dyDescent="0.2">
      <c r="J1489" t="str">
        <f>IF([2]Entry!$C$1492="","",[2]Entry!$C$1492)</f>
        <v/>
      </c>
      <c r="K1489" t="str">
        <f>IF([2]Entry!$D$1492="","",[2]Entry!$D$1492)</f>
        <v/>
      </c>
      <c r="L1489" t="str">
        <f>IF([2]Entry!$E$1492="","",[2]Entry!$E$1492)</f>
        <v/>
      </c>
      <c r="M1489" t="str">
        <f>IF([2]Entry!$G$1492="","",[2]Entry!$G$1492)</f>
        <v/>
      </c>
      <c r="N1489" t="str">
        <f>IF([2]Entry!$M$1492="","",[2]Entry!$M$1492)</f>
        <v/>
      </c>
      <c r="O1489" t="str">
        <f>IF([2]Entry!$N$1492="","",[2]Entry!$N$1492)</f>
        <v/>
      </c>
      <c r="P1489" t="str">
        <f>IF([2]Entry!$R$1492="","",[2]Entry!$R$1492)</f>
        <v/>
      </c>
    </row>
    <row r="1490" spans="10:16" x14ac:dyDescent="0.2">
      <c r="J1490" t="str">
        <f>IF([2]Entry!$C$1493="","",[2]Entry!$C$1493)</f>
        <v/>
      </c>
      <c r="K1490" t="str">
        <f>IF([2]Entry!$D$1493="","",[2]Entry!$D$1493)</f>
        <v/>
      </c>
      <c r="L1490" t="str">
        <f>IF([2]Entry!$E$1493="","",[2]Entry!$E$1493)</f>
        <v/>
      </c>
      <c r="M1490" t="str">
        <f>IF([2]Entry!$G$1493="","",[2]Entry!$G$1493)</f>
        <v/>
      </c>
      <c r="N1490" t="str">
        <f>IF([2]Entry!$M$1493="","",[2]Entry!$M$1493)</f>
        <v/>
      </c>
      <c r="O1490" t="str">
        <f>IF([2]Entry!$N$1493="","",[2]Entry!$N$1493)</f>
        <v/>
      </c>
      <c r="P1490" t="str">
        <f>IF([2]Entry!$R$1493="","",[2]Entry!$R$1493)</f>
        <v/>
      </c>
    </row>
    <row r="1491" spans="10:16" x14ac:dyDescent="0.2">
      <c r="J1491" t="str">
        <f>IF([2]Entry!$C$1494="","",[2]Entry!$C$1494)</f>
        <v/>
      </c>
      <c r="K1491" t="str">
        <f>IF([2]Entry!$D$1494="","",[2]Entry!$D$1494)</f>
        <v/>
      </c>
      <c r="L1491" t="str">
        <f>IF([2]Entry!$E$1494="","",[2]Entry!$E$1494)</f>
        <v/>
      </c>
      <c r="M1491" t="str">
        <f>IF([2]Entry!$G$1494="","",[2]Entry!$G$1494)</f>
        <v/>
      </c>
      <c r="N1491" t="str">
        <f>IF([2]Entry!$M$1494="","",[2]Entry!$M$1494)</f>
        <v/>
      </c>
      <c r="O1491" t="str">
        <f>IF([2]Entry!$N$1494="","",[2]Entry!$N$1494)</f>
        <v/>
      </c>
      <c r="P1491" t="str">
        <f>IF([2]Entry!$R$1494="","",[2]Entry!$R$1494)</f>
        <v/>
      </c>
    </row>
    <row r="1492" spans="10:16" x14ac:dyDescent="0.2">
      <c r="J1492" t="str">
        <f>IF([2]Entry!$C$1495="","",[2]Entry!$C$1495)</f>
        <v/>
      </c>
      <c r="K1492" t="str">
        <f>IF([2]Entry!$D$1495="","",[2]Entry!$D$1495)</f>
        <v/>
      </c>
      <c r="L1492" t="str">
        <f>IF([2]Entry!$E$1495="","",[2]Entry!$E$1495)</f>
        <v/>
      </c>
      <c r="M1492" t="str">
        <f>IF([2]Entry!$G$1495="","",[2]Entry!$G$1495)</f>
        <v/>
      </c>
      <c r="N1492" t="str">
        <f>IF([2]Entry!$M$1495="","",[2]Entry!$M$1495)</f>
        <v/>
      </c>
      <c r="O1492" t="str">
        <f>IF([2]Entry!$N$1495="","",[2]Entry!$N$1495)</f>
        <v/>
      </c>
      <c r="P1492" t="str">
        <f>IF([2]Entry!$R$1495="","",[2]Entry!$R$1495)</f>
        <v/>
      </c>
    </row>
    <row r="1493" spans="10:16" x14ac:dyDescent="0.2">
      <c r="J1493" t="str">
        <f>IF([2]Entry!$C$1496="","",[2]Entry!$C$1496)</f>
        <v/>
      </c>
      <c r="K1493" t="str">
        <f>IF([2]Entry!$D$1496="","",[2]Entry!$D$1496)</f>
        <v/>
      </c>
      <c r="L1493" t="str">
        <f>IF([2]Entry!$E$1496="","",[2]Entry!$E$1496)</f>
        <v/>
      </c>
      <c r="M1493" t="str">
        <f>IF([2]Entry!$G$1496="","",[2]Entry!$G$1496)</f>
        <v/>
      </c>
      <c r="N1493" t="str">
        <f>IF([2]Entry!$M$1496="","",[2]Entry!$M$1496)</f>
        <v/>
      </c>
      <c r="O1493" t="str">
        <f>IF([2]Entry!$N$1496="","",[2]Entry!$N$1496)</f>
        <v/>
      </c>
      <c r="P1493" t="str">
        <f>IF([2]Entry!$R$1496="","",[2]Entry!$R$1496)</f>
        <v/>
      </c>
    </row>
    <row r="1494" spans="10:16" x14ac:dyDescent="0.2">
      <c r="J1494" t="str">
        <f>IF([2]Entry!$C$1497="","",[2]Entry!$C$1497)</f>
        <v/>
      </c>
      <c r="K1494" t="str">
        <f>IF([2]Entry!$D$1497="","",[2]Entry!$D$1497)</f>
        <v/>
      </c>
      <c r="L1494" t="str">
        <f>IF([2]Entry!$E$1497="","",[2]Entry!$E$1497)</f>
        <v/>
      </c>
      <c r="M1494" t="str">
        <f>IF([2]Entry!$G$1497="","",[2]Entry!$G$1497)</f>
        <v/>
      </c>
      <c r="N1494" t="str">
        <f>IF([2]Entry!$M$1497="","",[2]Entry!$M$1497)</f>
        <v/>
      </c>
      <c r="O1494" t="str">
        <f>IF([2]Entry!$N$1497="","",[2]Entry!$N$1497)</f>
        <v/>
      </c>
      <c r="P1494" t="str">
        <f>IF([2]Entry!$R$1497="","",[2]Entry!$R$1497)</f>
        <v/>
      </c>
    </row>
    <row r="1495" spans="10:16" x14ac:dyDescent="0.2">
      <c r="J1495" t="str">
        <f>IF([2]Entry!$C$1498="","",[2]Entry!$C$1498)</f>
        <v/>
      </c>
      <c r="K1495" t="str">
        <f>IF([2]Entry!$D$1498="","",[2]Entry!$D$1498)</f>
        <v/>
      </c>
      <c r="L1495" t="str">
        <f>IF([2]Entry!$E$1498="","",[2]Entry!$E$1498)</f>
        <v/>
      </c>
      <c r="M1495" t="str">
        <f>IF([2]Entry!$G$1498="","",[2]Entry!$G$1498)</f>
        <v/>
      </c>
      <c r="N1495" t="str">
        <f>IF([2]Entry!$M$1498="","",[2]Entry!$M$1498)</f>
        <v/>
      </c>
      <c r="O1495" t="str">
        <f>IF([2]Entry!$N$1498="","",[2]Entry!$N$1498)</f>
        <v/>
      </c>
      <c r="P1495" t="str">
        <f>IF([2]Entry!$R$1498="","",[2]Entry!$R$1498)</f>
        <v/>
      </c>
    </row>
    <row r="1496" spans="10:16" x14ac:dyDescent="0.2">
      <c r="J1496" t="str">
        <f>IF([2]Entry!$C$1499="","",[2]Entry!$C$1499)</f>
        <v/>
      </c>
      <c r="K1496" t="str">
        <f>IF([2]Entry!$D$1499="","",[2]Entry!$D$1499)</f>
        <v/>
      </c>
      <c r="L1496" t="str">
        <f>IF([2]Entry!$E$1499="","",[2]Entry!$E$1499)</f>
        <v/>
      </c>
      <c r="M1496" t="str">
        <f>IF([2]Entry!$G$1499="","",[2]Entry!$G$1499)</f>
        <v/>
      </c>
      <c r="N1496" t="str">
        <f>IF([2]Entry!$M$1499="","",[2]Entry!$M$1499)</f>
        <v/>
      </c>
      <c r="O1496" t="str">
        <f>IF([2]Entry!$N$1499="","",[2]Entry!$N$1499)</f>
        <v/>
      </c>
      <c r="P1496" t="str">
        <f>IF([2]Entry!$R$1499="","",[2]Entry!$R$1499)</f>
        <v/>
      </c>
    </row>
    <row r="1497" spans="10:16" x14ac:dyDescent="0.2">
      <c r="J1497" t="str">
        <f>IF([2]Entry!$C$1500="","",[2]Entry!$C$1500)</f>
        <v/>
      </c>
      <c r="K1497" t="str">
        <f>IF([2]Entry!$D$1500="","",[2]Entry!$D$1500)</f>
        <v/>
      </c>
      <c r="L1497" t="str">
        <f>IF([2]Entry!$E$1500="","",[2]Entry!$E$1500)</f>
        <v/>
      </c>
      <c r="M1497" t="str">
        <f>IF([2]Entry!$G$1500="","",[2]Entry!$G$1500)</f>
        <v/>
      </c>
      <c r="N1497" t="str">
        <f>IF([2]Entry!$M$1500="","",[2]Entry!$M$1500)</f>
        <v/>
      </c>
      <c r="O1497" t="str">
        <f>IF([2]Entry!$N$1500="","",[2]Entry!$N$1500)</f>
        <v/>
      </c>
      <c r="P1497" t="str">
        <f>IF([2]Entry!$R$1500="","",[2]Entry!$R$1500)</f>
        <v/>
      </c>
    </row>
    <row r="1498" spans="10:16" x14ac:dyDescent="0.2">
      <c r="J1498" t="str">
        <f>IF([2]Entry!$C$1501="","",[2]Entry!$C$1501)</f>
        <v/>
      </c>
      <c r="K1498" t="str">
        <f>IF([2]Entry!$D$1501="","",[2]Entry!$D$1501)</f>
        <v/>
      </c>
      <c r="L1498" t="str">
        <f>IF([2]Entry!$E$1501="","",[2]Entry!$E$1501)</f>
        <v/>
      </c>
      <c r="M1498" t="str">
        <f>IF([2]Entry!$G$1501="","",[2]Entry!$G$1501)</f>
        <v/>
      </c>
      <c r="N1498" t="str">
        <f>IF([2]Entry!$M$1501="","",[2]Entry!$M$1501)</f>
        <v/>
      </c>
      <c r="O1498" t="str">
        <f>IF([2]Entry!$N$1501="","",[2]Entry!$N$1501)</f>
        <v/>
      </c>
      <c r="P1498" t="str">
        <f>IF([2]Entry!$R$1501="","",[2]Entry!$R$1501)</f>
        <v/>
      </c>
    </row>
    <row r="1499" spans="10:16" x14ac:dyDescent="0.2">
      <c r="J1499" t="str">
        <f>IF([2]Entry!$C$1502="","",[2]Entry!$C$1502)</f>
        <v/>
      </c>
      <c r="K1499" t="str">
        <f>IF([2]Entry!$D$1502="","",[2]Entry!$D$1502)</f>
        <v/>
      </c>
      <c r="L1499" t="str">
        <f>IF([2]Entry!$E$1502="","",[2]Entry!$E$1502)</f>
        <v/>
      </c>
      <c r="M1499" t="str">
        <f>IF([2]Entry!$G$1502="","",[2]Entry!$G$1502)</f>
        <v/>
      </c>
      <c r="N1499" t="str">
        <f>IF([2]Entry!$M$1502="","",[2]Entry!$M$1502)</f>
        <v/>
      </c>
      <c r="O1499" t="str">
        <f>IF([2]Entry!$N$1502="","",[2]Entry!$N$1502)</f>
        <v/>
      </c>
      <c r="P1499" t="str">
        <f>IF([2]Entry!$R$1502="","",[2]Entry!$R$1502)</f>
        <v/>
      </c>
    </row>
    <row r="1500" spans="10:16" x14ac:dyDescent="0.2">
      <c r="J1500" t="str">
        <f>IF([2]Entry!$C$1503="","",[2]Entry!$C$1503)</f>
        <v/>
      </c>
      <c r="K1500" t="str">
        <f>IF([2]Entry!$D$1503="","",[2]Entry!$D$1503)</f>
        <v/>
      </c>
      <c r="L1500" t="str">
        <f>IF([2]Entry!$E$1503="","",[2]Entry!$E$1503)</f>
        <v/>
      </c>
      <c r="M1500" t="str">
        <f>IF([2]Entry!$G$1503="","",[2]Entry!$G$1503)</f>
        <v/>
      </c>
      <c r="N1500" t="str">
        <f>IF([2]Entry!$M$1503="","",[2]Entry!$M$1503)</f>
        <v/>
      </c>
      <c r="O1500" t="str">
        <f>IF([2]Entry!$N$1503="","",[2]Entry!$N$1503)</f>
        <v/>
      </c>
      <c r="P1500" t="str">
        <f>IF([2]Entry!$R$1503="","",[2]Entry!$R$1503)</f>
        <v/>
      </c>
    </row>
    <row r="1501" spans="10:16" x14ac:dyDescent="0.2">
      <c r="J1501" t="str">
        <f>IF([2]Entry!$C$1504="","",[2]Entry!$C$1504)</f>
        <v/>
      </c>
      <c r="K1501" t="str">
        <f>IF([2]Entry!$D$1504="","",[2]Entry!$D$1504)</f>
        <v/>
      </c>
      <c r="L1501" t="str">
        <f>IF([2]Entry!$E$1504="","",[2]Entry!$E$1504)</f>
        <v/>
      </c>
      <c r="M1501" t="str">
        <f>IF([2]Entry!$G$1504="","",[2]Entry!$G$1504)</f>
        <v/>
      </c>
      <c r="N1501" t="str">
        <f>IF([2]Entry!$M$1504="","",[2]Entry!$M$1504)</f>
        <v/>
      </c>
      <c r="O1501" t="str">
        <f>IF([2]Entry!$N$1504="","",[2]Entry!$N$1504)</f>
        <v/>
      </c>
      <c r="P1501" t="str">
        <f>IF([2]Entry!$R$1504="","",[2]Entry!$R$1504)</f>
        <v/>
      </c>
    </row>
    <row r="1502" spans="10:16" x14ac:dyDescent="0.2">
      <c r="J1502" t="str">
        <f>IF([2]Entry!$C$1505="","",[2]Entry!$C$1505)</f>
        <v/>
      </c>
      <c r="K1502" t="str">
        <f>IF([2]Entry!$D$1505="","",[2]Entry!$D$1505)</f>
        <v/>
      </c>
      <c r="L1502" t="str">
        <f>IF([2]Entry!$E$1505="","",[2]Entry!$E$1505)</f>
        <v/>
      </c>
      <c r="M1502" t="str">
        <f>IF([2]Entry!$G$1505="","",[2]Entry!$G$1505)</f>
        <v/>
      </c>
      <c r="N1502" t="str">
        <f>IF([2]Entry!$M$1505="","",[2]Entry!$M$1505)</f>
        <v/>
      </c>
      <c r="O1502" t="str">
        <f>IF([2]Entry!$N$1505="","",[2]Entry!$N$1505)</f>
        <v/>
      </c>
      <c r="P1502" t="str">
        <f>IF([2]Entry!$R$1505="","",[2]Entry!$R$1505)</f>
        <v/>
      </c>
    </row>
    <row r="1503" spans="10:16" x14ac:dyDescent="0.2">
      <c r="J1503" t="str">
        <f>IF([2]Entry!$C$1506="","",[2]Entry!$C$1506)</f>
        <v/>
      </c>
      <c r="K1503" t="str">
        <f>IF([2]Entry!$D$1506="","",[2]Entry!$D$1506)</f>
        <v/>
      </c>
      <c r="L1503" t="str">
        <f>IF([2]Entry!$E$1506="","",[2]Entry!$E$1506)</f>
        <v/>
      </c>
      <c r="M1503" t="str">
        <f>IF([2]Entry!$G$1506="","",[2]Entry!$G$1506)</f>
        <v/>
      </c>
      <c r="N1503" t="str">
        <f>IF([2]Entry!$M$1506="","",[2]Entry!$M$1506)</f>
        <v/>
      </c>
      <c r="O1503" t="str">
        <f>IF([2]Entry!$N$1506="","",[2]Entry!$N$1506)</f>
        <v/>
      </c>
      <c r="P1503" t="str">
        <f>IF([2]Entry!$R$1506="","",[2]Entry!$R$1506)</f>
        <v/>
      </c>
    </row>
    <row r="1504" spans="10:16" x14ac:dyDescent="0.2">
      <c r="J1504" t="str">
        <f>IF([2]Entry!$C$1507="","",[2]Entry!$C$1507)</f>
        <v/>
      </c>
      <c r="K1504" t="str">
        <f>IF([2]Entry!$D$1507="","",[2]Entry!$D$1507)</f>
        <v/>
      </c>
      <c r="L1504" t="str">
        <f>IF([2]Entry!$E$1507="","",[2]Entry!$E$1507)</f>
        <v/>
      </c>
      <c r="M1504" t="str">
        <f>IF([2]Entry!$G$1507="","",[2]Entry!$G$1507)</f>
        <v/>
      </c>
      <c r="N1504" t="str">
        <f>IF([2]Entry!$M$1507="","",[2]Entry!$M$1507)</f>
        <v/>
      </c>
      <c r="O1504" t="str">
        <f>IF([2]Entry!$N$1507="","",[2]Entry!$N$1507)</f>
        <v/>
      </c>
      <c r="P1504" t="str">
        <f>IF([2]Entry!$R$1507="","",[2]Entry!$R$1507)</f>
        <v/>
      </c>
    </row>
    <row r="1505" spans="10:16" x14ac:dyDescent="0.2">
      <c r="J1505" t="str">
        <f>IF([2]Entry!$C$1508="","",[2]Entry!$C$1508)</f>
        <v/>
      </c>
      <c r="K1505" t="str">
        <f>IF([2]Entry!$D$1508="","",[2]Entry!$D$1508)</f>
        <v/>
      </c>
      <c r="L1505" t="str">
        <f>IF([2]Entry!$E$1508="","",[2]Entry!$E$1508)</f>
        <v/>
      </c>
      <c r="M1505" t="str">
        <f>IF([2]Entry!$G$1508="","",[2]Entry!$G$1508)</f>
        <v/>
      </c>
      <c r="N1505" t="str">
        <f>IF([2]Entry!$M$1508="","",[2]Entry!$M$1508)</f>
        <v/>
      </c>
      <c r="O1505" t="str">
        <f>IF([2]Entry!$N$1508="","",[2]Entry!$N$1508)</f>
        <v/>
      </c>
      <c r="P1505" t="str">
        <f>IF([2]Entry!$R$1508="","",[2]Entry!$R$1508)</f>
        <v/>
      </c>
    </row>
    <row r="1506" spans="10:16" x14ac:dyDescent="0.2">
      <c r="J1506" t="str">
        <f>IF([2]Entry!$C$1509="","",[2]Entry!$C$1509)</f>
        <v/>
      </c>
      <c r="K1506" t="str">
        <f>IF([2]Entry!$D$1509="","",[2]Entry!$D$1509)</f>
        <v/>
      </c>
      <c r="L1506" t="str">
        <f>IF([2]Entry!$E$1509="","",[2]Entry!$E$1509)</f>
        <v/>
      </c>
      <c r="M1506" t="str">
        <f>IF([2]Entry!$G$1509="","",[2]Entry!$G$1509)</f>
        <v/>
      </c>
      <c r="N1506" t="str">
        <f>IF([2]Entry!$M$1509="","",[2]Entry!$M$1509)</f>
        <v/>
      </c>
      <c r="O1506" t="str">
        <f>IF([2]Entry!$N$1509="","",[2]Entry!$N$1509)</f>
        <v/>
      </c>
      <c r="P1506" t="str">
        <f>IF([2]Entry!$R$1509="","",[2]Entry!$R$1509)</f>
        <v/>
      </c>
    </row>
    <row r="1507" spans="10:16" x14ac:dyDescent="0.2">
      <c r="J1507" t="str">
        <f>IF([2]Entry!$C$1510="","",[2]Entry!$C$1510)</f>
        <v/>
      </c>
      <c r="K1507" t="str">
        <f>IF([2]Entry!$D$1510="","",[2]Entry!$D$1510)</f>
        <v/>
      </c>
      <c r="L1507" t="str">
        <f>IF([2]Entry!$E$1510="","",[2]Entry!$E$1510)</f>
        <v/>
      </c>
      <c r="M1507" t="str">
        <f>IF([2]Entry!$G$1510="","",[2]Entry!$G$1510)</f>
        <v/>
      </c>
      <c r="N1507" t="str">
        <f>IF([2]Entry!$M$1510="","",[2]Entry!$M$1510)</f>
        <v/>
      </c>
      <c r="O1507" t="str">
        <f>IF([2]Entry!$N$1510="","",[2]Entry!$N$1510)</f>
        <v/>
      </c>
      <c r="P1507" t="str">
        <f>IF([2]Entry!$R$1510="","",[2]Entry!$R$1510)</f>
        <v/>
      </c>
    </row>
    <row r="1508" spans="10:16" x14ac:dyDescent="0.2">
      <c r="J1508" t="str">
        <f>IF([2]Entry!$C$1511="","",[2]Entry!$C$1511)</f>
        <v/>
      </c>
      <c r="K1508" t="str">
        <f>IF([2]Entry!$D$1511="","",[2]Entry!$D$1511)</f>
        <v/>
      </c>
      <c r="L1508" t="str">
        <f>IF([2]Entry!$E$1511="","",[2]Entry!$E$1511)</f>
        <v/>
      </c>
      <c r="M1508" t="str">
        <f>IF([2]Entry!$G$1511="","",[2]Entry!$G$1511)</f>
        <v/>
      </c>
      <c r="N1508" t="str">
        <f>IF([2]Entry!$M$1511="","",[2]Entry!$M$1511)</f>
        <v/>
      </c>
      <c r="O1508" t="str">
        <f>IF([2]Entry!$N$1511="","",[2]Entry!$N$1511)</f>
        <v/>
      </c>
      <c r="P1508" t="str">
        <f>IF([2]Entry!$R$1511="","",[2]Entry!$R$1511)</f>
        <v/>
      </c>
    </row>
    <row r="1509" spans="10:16" x14ac:dyDescent="0.2">
      <c r="J1509" t="str">
        <f>IF([2]Entry!$C$1512="","",[2]Entry!$C$1512)</f>
        <v/>
      </c>
      <c r="K1509" t="str">
        <f>IF([2]Entry!$D$1512="","",[2]Entry!$D$1512)</f>
        <v/>
      </c>
      <c r="L1509" t="str">
        <f>IF([2]Entry!$E$1512="","",[2]Entry!$E$1512)</f>
        <v/>
      </c>
      <c r="M1509" t="str">
        <f>IF([2]Entry!$G$1512="","",[2]Entry!$G$1512)</f>
        <v/>
      </c>
      <c r="N1509" t="str">
        <f>IF([2]Entry!$M$1512="","",[2]Entry!$M$1512)</f>
        <v/>
      </c>
      <c r="O1509" t="str">
        <f>IF([2]Entry!$N$1512="","",[2]Entry!$N$1512)</f>
        <v/>
      </c>
      <c r="P1509" t="str">
        <f>IF([2]Entry!$R$1512="","",[2]Entry!$R$1512)</f>
        <v/>
      </c>
    </row>
    <row r="1510" spans="10:16" x14ac:dyDescent="0.2">
      <c r="J1510" t="str">
        <f>IF([2]Entry!$C$1513="","",[2]Entry!$C$1513)</f>
        <v/>
      </c>
      <c r="K1510" t="str">
        <f>IF([2]Entry!$D$1513="","",[2]Entry!$D$1513)</f>
        <v/>
      </c>
      <c r="L1510" t="str">
        <f>IF([2]Entry!$E$1513="","",[2]Entry!$E$1513)</f>
        <v/>
      </c>
      <c r="M1510" t="str">
        <f>IF([2]Entry!$G$1513="","",[2]Entry!$G$1513)</f>
        <v/>
      </c>
      <c r="N1510" t="str">
        <f>IF([2]Entry!$M$1513="","",[2]Entry!$M$1513)</f>
        <v/>
      </c>
      <c r="O1510" t="str">
        <f>IF([2]Entry!$N$1513="","",[2]Entry!$N$1513)</f>
        <v/>
      </c>
      <c r="P1510" t="str">
        <f>IF([2]Entry!$R$1513="","",[2]Entry!$R$1513)</f>
        <v/>
      </c>
    </row>
    <row r="1511" spans="10:16" x14ac:dyDescent="0.2">
      <c r="J1511" t="str">
        <f>IF([2]Entry!$C$1514="","",[2]Entry!$C$1514)</f>
        <v/>
      </c>
      <c r="K1511" t="str">
        <f>IF([2]Entry!$D$1514="","",[2]Entry!$D$1514)</f>
        <v/>
      </c>
      <c r="L1511" t="str">
        <f>IF([2]Entry!$E$1514="","",[2]Entry!$E$1514)</f>
        <v/>
      </c>
      <c r="M1511" t="str">
        <f>IF([2]Entry!$G$1514="","",[2]Entry!$G$1514)</f>
        <v/>
      </c>
      <c r="N1511" t="str">
        <f>IF([2]Entry!$M$1514="","",[2]Entry!$M$1514)</f>
        <v/>
      </c>
      <c r="O1511" t="str">
        <f>IF([2]Entry!$N$1514="","",[2]Entry!$N$1514)</f>
        <v/>
      </c>
      <c r="P1511" t="str">
        <f>IF([2]Entry!$R$1514="","",[2]Entry!$R$1514)</f>
        <v/>
      </c>
    </row>
    <row r="1512" spans="10:16" x14ac:dyDescent="0.2">
      <c r="J1512" t="str">
        <f>IF([2]Entry!$C$1515="","",[2]Entry!$C$1515)</f>
        <v/>
      </c>
      <c r="K1512" t="str">
        <f>IF([2]Entry!$D$1515="","",[2]Entry!$D$1515)</f>
        <v/>
      </c>
      <c r="L1512" t="str">
        <f>IF([2]Entry!$E$1515="","",[2]Entry!$E$1515)</f>
        <v/>
      </c>
      <c r="M1512" t="str">
        <f>IF([2]Entry!$G$1515="","",[2]Entry!$G$1515)</f>
        <v/>
      </c>
      <c r="N1512" t="str">
        <f>IF([2]Entry!$M$1515="","",[2]Entry!$M$1515)</f>
        <v/>
      </c>
      <c r="O1512" t="str">
        <f>IF([2]Entry!$N$1515="","",[2]Entry!$N$1515)</f>
        <v/>
      </c>
      <c r="P1512" t="str">
        <f>IF([2]Entry!$R$1515="","",[2]Entry!$R$1515)</f>
        <v/>
      </c>
    </row>
    <row r="1513" spans="10:16" x14ac:dyDescent="0.2">
      <c r="J1513" t="str">
        <f>IF([2]Entry!$C$1516="","",[2]Entry!$C$1516)</f>
        <v/>
      </c>
      <c r="K1513" t="str">
        <f>IF([2]Entry!$D$1516="","",[2]Entry!$D$1516)</f>
        <v/>
      </c>
      <c r="L1513" t="str">
        <f>IF([2]Entry!$E$1516="","",[2]Entry!$E$1516)</f>
        <v/>
      </c>
      <c r="M1513" t="str">
        <f>IF([2]Entry!$G$1516="","",[2]Entry!$G$1516)</f>
        <v/>
      </c>
      <c r="N1513" t="str">
        <f>IF([2]Entry!$M$1516="","",[2]Entry!$M$1516)</f>
        <v/>
      </c>
      <c r="O1513" t="str">
        <f>IF([2]Entry!$N$1516="","",[2]Entry!$N$1516)</f>
        <v/>
      </c>
      <c r="P1513" t="str">
        <f>IF([2]Entry!$R$1516="","",[2]Entry!$R$1516)</f>
        <v/>
      </c>
    </row>
    <row r="1514" spans="10:16" x14ac:dyDescent="0.2">
      <c r="J1514" t="str">
        <f>IF([2]Entry!$C$1517="","",[2]Entry!$C$1517)</f>
        <v/>
      </c>
      <c r="K1514" t="str">
        <f>IF([2]Entry!$D$1517="","",[2]Entry!$D$1517)</f>
        <v/>
      </c>
      <c r="L1514" t="str">
        <f>IF([2]Entry!$E$1517="","",[2]Entry!$E$1517)</f>
        <v/>
      </c>
      <c r="M1514" t="str">
        <f>IF([2]Entry!$G$1517="","",[2]Entry!$G$1517)</f>
        <v/>
      </c>
      <c r="N1514" t="str">
        <f>IF([2]Entry!$M$1517="","",[2]Entry!$M$1517)</f>
        <v/>
      </c>
      <c r="O1514" t="str">
        <f>IF([2]Entry!$N$1517="","",[2]Entry!$N$1517)</f>
        <v/>
      </c>
      <c r="P1514" t="str">
        <f>IF([2]Entry!$R$1517="","",[2]Entry!$R$1517)</f>
        <v/>
      </c>
    </row>
    <row r="1515" spans="10:16" x14ac:dyDescent="0.2">
      <c r="J1515" t="str">
        <f>IF([2]Entry!$C$1518="","",[2]Entry!$C$1518)</f>
        <v/>
      </c>
      <c r="K1515" t="str">
        <f>IF([2]Entry!$D$1518="","",[2]Entry!$D$1518)</f>
        <v/>
      </c>
      <c r="L1515" t="str">
        <f>IF([2]Entry!$E$1518="","",[2]Entry!$E$1518)</f>
        <v/>
      </c>
      <c r="M1515" t="str">
        <f>IF([2]Entry!$G$1518="","",[2]Entry!$G$1518)</f>
        <v/>
      </c>
      <c r="N1515" t="str">
        <f>IF([2]Entry!$M$1518="","",[2]Entry!$M$1518)</f>
        <v/>
      </c>
      <c r="O1515" t="str">
        <f>IF([2]Entry!$N$1518="","",[2]Entry!$N$1518)</f>
        <v/>
      </c>
      <c r="P1515" t="str">
        <f>IF([2]Entry!$R$1518="","",[2]Entry!$R$1518)</f>
        <v/>
      </c>
    </row>
    <row r="1516" spans="10:16" x14ac:dyDescent="0.2">
      <c r="J1516" t="str">
        <f>IF([2]Entry!$C$1519="","",[2]Entry!$C$1519)</f>
        <v/>
      </c>
      <c r="K1516" t="str">
        <f>IF([2]Entry!$D$1519="","",[2]Entry!$D$1519)</f>
        <v/>
      </c>
      <c r="L1516" t="str">
        <f>IF([2]Entry!$E$1519="","",[2]Entry!$E$1519)</f>
        <v/>
      </c>
      <c r="M1516" t="str">
        <f>IF([2]Entry!$G$1519="","",[2]Entry!$G$1519)</f>
        <v/>
      </c>
      <c r="N1516" t="str">
        <f>IF([2]Entry!$M$1519="","",[2]Entry!$M$1519)</f>
        <v/>
      </c>
      <c r="O1516" t="str">
        <f>IF([2]Entry!$N$1519="","",[2]Entry!$N$1519)</f>
        <v/>
      </c>
      <c r="P1516" t="str">
        <f>IF([2]Entry!$R$1519="","",[2]Entry!$R$1519)</f>
        <v/>
      </c>
    </row>
    <row r="1517" spans="10:16" x14ac:dyDescent="0.2">
      <c r="J1517" t="str">
        <f>IF([2]Entry!$C$1520="","",[2]Entry!$C$1520)</f>
        <v/>
      </c>
      <c r="K1517" t="str">
        <f>IF([2]Entry!$D$1520="","",[2]Entry!$D$1520)</f>
        <v/>
      </c>
      <c r="L1517" t="str">
        <f>IF([2]Entry!$E$1520="","",[2]Entry!$E$1520)</f>
        <v/>
      </c>
      <c r="M1517" t="str">
        <f>IF([2]Entry!$G$1520="","",[2]Entry!$G$1520)</f>
        <v/>
      </c>
      <c r="N1517" t="str">
        <f>IF([2]Entry!$M$1520="","",[2]Entry!$M$1520)</f>
        <v/>
      </c>
      <c r="O1517" t="str">
        <f>IF([2]Entry!$N$1520="","",[2]Entry!$N$1520)</f>
        <v/>
      </c>
      <c r="P1517" t="str">
        <f>IF([2]Entry!$R$1520="","",[2]Entry!$R$1520)</f>
        <v/>
      </c>
    </row>
    <row r="1518" spans="10:16" x14ac:dyDescent="0.2">
      <c r="J1518" t="str">
        <f>IF([2]Entry!$C$1521="","",[2]Entry!$C$1521)</f>
        <v/>
      </c>
      <c r="K1518" t="str">
        <f>IF([2]Entry!$D$1521="","",[2]Entry!$D$1521)</f>
        <v/>
      </c>
      <c r="L1518" t="str">
        <f>IF([2]Entry!$E$1521="","",[2]Entry!$E$1521)</f>
        <v/>
      </c>
      <c r="M1518" t="str">
        <f>IF([2]Entry!$G$1521="","",[2]Entry!$G$1521)</f>
        <v/>
      </c>
      <c r="N1518" t="str">
        <f>IF([2]Entry!$M$1521="","",[2]Entry!$M$1521)</f>
        <v/>
      </c>
      <c r="O1518" t="str">
        <f>IF([2]Entry!$N$1521="","",[2]Entry!$N$1521)</f>
        <v/>
      </c>
      <c r="P1518" t="str">
        <f>IF([2]Entry!$R$1521="","",[2]Entry!$R$1521)</f>
        <v/>
      </c>
    </row>
    <row r="1519" spans="10:16" x14ac:dyDescent="0.2">
      <c r="J1519" t="str">
        <f>IF([2]Entry!$C$1522="","",[2]Entry!$C$1522)</f>
        <v/>
      </c>
      <c r="K1519" t="str">
        <f>IF([2]Entry!$D$1522="","",[2]Entry!$D$1522)</f>
        <v/>
      </c>
      <c r="L1519" t="str">
        <f>IF([2]Entry!$E$1522="","",[2]Entry!$E$1522)</f>
        <v/>
      </c>
      <c r="M1519" t="str">
        <f>IF([2]Entry!$G$1522="","",[2]Entry!$G$1522)</f>
        <v/>
      </c>
      <c r="N1519" t="str">
        <f>IF([2]Entry!$M$1522="","",[2]Entry!$M$1522)</f>
        <v/>
      </c>
      <c r="O1519" t="str">
        <f>IF([2]Entry!$N$1522="","",[2]Entry!$N$1522)</f>
        <v/>
      </c>
      <c r="P1519" t="str">
        <f>IF([2]Entry!$R$1522="","",[2]Entry!$R$1522)</f>
        <v/>
      </c>
    </row>
    <row r="1520" spans="10:16" x14ac:dyDescent="0.2">
      <c r="J1520" t="str">
        <f>IF([2]Entry!$C$1523="","",[2]Entry!$C$1523)</f>
        <v/>
      </c>
      <c r="K1520" t="str">
        <f>IF([2]Entry!$D$1523="","",[2]Entry!$D$1523)</f>
        <v/>
      </c>
      <c r="L1520" t="str">
        <f>IF([2]Entry!$E$1523="","",[2]Entry!$E$1523)</f>
        <v/>
      </c>
      <c r="M1520" t="str">
        <f>IF([2]Entry!$G$1523="","",[2]Entry!$G$1523)</f>
        <v/>
      </c>
      <c r="N1520" t="str">
        <f>IF([2]Entry!$M$1523="","",[2]Entry!$M$1523)</f>
        <v/>
      </c>
      <c r="O1520" t="str">
        <f>IF([2]Entry!$N$1523="","",[2]Entry!$N$1523)</f>
        <v/>
      </c>
      <c r="P1520" t="str">
        <f>IF([2]Entry!$R$1523="","",[2]Entry!$R$1523)</f>
        <v/>
      </c>
    </row>
    <row r="1521" spans="10:16" x14ac:dyDescent="0.2">
      <c r="J1521" t="str">
        <f>IF([2]Entry!$C$1524="","",[2]Entry!$C$1524)</f>
        <v/>
      </c>
      <c r="K1521" t="str">
        <f>IF([2]Entry!$D$1524="","",[2]Entry!$D$1524)</f>
        <v/>
      </c>
      <c r="L1521" t="str">
        <f>IF([2]Entry!$E$1524="","",[2]Entry!$E$1524)</f>
        <v/>
      </c>
      <c r="M1521" t="str">
        <f>IF([2]Entry!$G$1524="","",[2]Entry!$G$1524)</f>
        <v/>
      </c>
      <c r="N1521" t="str">
        <f>IF([2]Entry!$M$1524="","",[2]Entry!$M$1524)</f>
        <v/>
      </c>
      <c r="O1521" t="str">
        <f>IF([2]Entry!$N$1524="","",[2]Entry!$N$1524)</f>
        <v/>
      </c>
      <c r="P1521" t="str">
        <f>IF([2]Entry!$R$1524="","",[2]Entry!$R$1524)</f>
        <v/>
      </c>
    </row>
    <row r="1522" spans="10:16" x14ac:dyDescent="0.2">
      <c r="J1522" t="str">
        <f>IF([2]Entry!$C$1525="","",[2]Entry!$C$1525)</f>
        <v/>
      </c>
      <c r="K1522" t="str">
        <f>IF([2]Entry!$D$1525="","",[2]Entry!$D$1525)</f>
        <v/>
      </c>
      <c r="L1522" t="str">
        <f>IF([2]Entry!$E$1525="","",[2]Entry!$E$1525)</f>
        <v/>
      </c>
      <c r="M1522" t="str">
        <f>IF([2]Entry!$G$1525="","",[2]Entry!$G$1525)</f>
        <v/>
      </c>
      <c r="N1522" t="str">
        <f>IF([2]Entry!$M$1525="","",[2]Entry!$M$1525)</f>
        <v/>
      </c>
      <c r="O1522" t="str">
        <f>IF([2]Entry!$N$1525="","",[2]Entry!$N$1525)</f>
        <v/>
      </c>
      <c r="P1522" t="str">
        <f>IF([2]Entry!$R$1525="","",[2]Entry!$R$1525)</f>
        <v/>
      </c>
    </row>
    <row r="1523" spans="10:16" x14ac:dyDescent="0.2">
      <c r="J1523" t="str">
        <f>IF([2]Entry!$C$1526="","",[2]Entry!$C$1526)</f>
        <v/>
      </c>
      <c r="K1523" t="str">
        <f>IF([2]Entry!$D$1526="","",[2]Entry!$D$1526)</f>
        <v/>
      </c>
      <c r="L1523" t="str">
        <f>IF([2]Entry!$E$1526="","",[2]Entry!$E$1526)</f>
        <v/>
      </c>
      <c r="M1523" t="str">
        <f>IF([2]Entry!$G$1526="","",[2]Entry!$G$1526)</f>
        <v/>
      </c>
      <c r="N1523" t="str">
        <f>IF([2]Entry!$M$1526="","",[2]Entry!$M$1526)</f>
        <v/>
      </c>
      <c r="O1523" t="str">
        <f>IF([2]Entry!$N$1526="","",[2]Entry!$N$1526)</f>
        <v/>
      </c>
      <c r="P1523" t="str">
        <f>IF([2]Entry!$R$1526="","",[2]Entry!$R$1526)</f>
        <v/>
      </c>
    </row>
    <row r="1524" spans="10:16" x14ac:dyDescent="0.2">
      <c r="J1524" t="str">
        <f>IF([2]Entry!$C$1527="","",[2]Entry!$C$1527)</f>
        <v/>
      </c>
      <c r="K1524" t="str">
        <f>IF([2]Entry!$D$1527="","",[2]Entry!$D$1527)</f>
        <v/>
      </c>
      <c r="L1524" t="str">
        <f>IF([2]Entry!$E$1527="","",[2]Entry!$E$1527)</f>
        <v/>
      </c>
      <c r="M1524" t="str">
        <f>IF([2]Entry!$G$1527="","",[2]Entry!$G$1527)</f>
        <v/>
      </c>
      <c r="N1524" t="str">
        <f>IF([2]Entry!$M$1527="","",[2]Entry!$M$1527)</f>
        <v/>
      </c>
      <c r="O1524" t="str">
        <f>IF([2]Entry!$N$1527="","",[2]Entry!$N$1527)</f>
        <v/>
      </c>
      <c r="P1524" t="str">
        <f>IF([2]Entry!$R$1527="","",[2]Entry!$R$1527)</f>
        <v/>
      </c>
    </row>
    <row r="1525" spans="10:16" x14ac:dyDescent="0.2">
      <c r="J1525" t="str">
        <f>IF([2]Entry!$C$1528="","",[2]Entry!$C$1528)</f>
        <v/>
      </c>
      <c r="K1525" t="str">
        <f>IF([2]Entry!$D$1528="","",[2]Entry!$D$1528)</f>
        <v/>
      </c>
      <c r="L1525" t="str">
        <f>IF([2]Entry!$E$1528="","",[2]Entry!$E$1528)</f>
        <v/>
      </c>
      <c r="M1525" t="str">
        <f>IF([2]Entry!$G$1528="","",[2]Entry!$G$1528)</f>
        <v/>
      </c>
      <c r="N1525" t="str">
        <f>IF([2]Entry!$M$1528="","",[2]Entry!$M$1528)</f>
        <v/>
      </c>
      <c r="O1525" t="str">
        <f>IF([2]Entry!$N$1528="","",[2]Entry!$N$1528)</f>
        <v/>
      </c>
      <c r="P1525" t="str">
        <f>IF([2]Entry!$R$1528="","",[2]Entry!$R$1528)</f>
        <v/>
      </c>
    </row>
    <row r="1526" spans="10:16" x14ac:dyDescent="0.2">
      <c r="J1526" t="str">
        <f>IF([2]Entry!$C$1529="","",[2]Entry!$C$1529)</f>
        <v/>
      </c>
      <c r="K1526" t="str">
        <f>IF([2]Entry!$D$1529="","",[2]Entry!$D$1529)</f>
        <v/>
      </c>
      <c r="L1526" t="str">
        <f>IF([2]Entry!$E$1529="","",[2]Entry!$E$1529)</f>
        <v/>
      </c>
      <c r="M1526" t="str">
        <f>IF([2]Entry!$G$1529="","",[2]Entry!$G$1529)</f>
        <v/>
      </c>
      <c r="N1526" t="str">
        <f>IF([2]Entry!$M$1529="","",[2]Entry!$M$1529)</f>
        <v/>
      </c>
      <c r="O1526" t="str">
        <f>IF([2]Entry!$N$1529="","",[2]Entry!$N$1529)</f>
        <v/>
      </c>
      <c r="P1526" t="str">
        <f>IF([2]Entry!$R$1529="","",[2]Entry!$R$1529)</f>
        <v/>
      </c>
    </row>
    <row r="1527" spans="10:16" x14ac:dyDescent="0.2">
      <c r="J1527" t="str">
        <f>IF([2]Entry!$C$1530="","",[2]Entry!$C$1530)</f>
        <v/>
      </c>
      <c r="K1527" t="str">
        <f>IF([2]Entry!$D$1530="","",[2]Entry!$D$1530)</f>
        <v/>
      </c>
      <c r="L1527" t="str">
        <f>IF([2]Entry!$E$1530="","",[2]Entry!$E$1530)</f>
        <v/>
      </c>
      <c r="M1527" t="str">
        <f>IF([2]Entry!$G$1530="","",[2]Entry!$G$1530)</f>
        <v/>
      </c>
      <c r="N1527" t="str">
        <f>IF([2]Entry!$M$1530="","",[2]Entry!$M$1530)</f>
        <v/>
      </c>
      <c r="O1527" t="str">
        <f>IF([2]Entry!$N$1530="","",[2]Entry!$N$1530)</f>
        <v/>
      </c>
      <c r="P1527" t="str">
        <f>IF([2]Entry!$R$1530="","",[2]Entry!$R$1530)</f>
        <v/>
      </c>
    </row>
    <row r="1528" spans="10:16" x14ac:dyDescent="0.2">
      <c r="J1528" t="str">
        <f>IF([2]Entry!$C$1531="","",[2]Entry!$C$1531)</f>
        <v/>
      </c>
      <c r="K1528" t="str">
        <f>IF([2]Entry!$D$1531="","",[2]Entry!$D$1531)</f>
        <v/>
      </c>
      <c r="L1528" t="str">
        <f>IF([2]Entry!$E$1531="","",[2]Entry!$E$1531)</f>
        <v/>
      </c>
      <c r="M1528" t="str">
        <f>IF([2]Entry!$G$1531="","",[2]Entry!$G$1531)</f>
        <v/>
      </c>
      <c r="N1528" t="str">
        <f>IF([2]Entry!$M$1531="","",[2]Entry!$M$1531)</f>
        <v/>
      </c>
      <c r="O1528" t="str">
        <f>IF([2]Entry!$N$1531="","",[2]Entry!$N$1531)</f>
        <v/>
      </c>
      <c r="P1528" t="str">
        <f>IF([2]Entry!$R$1531="","",[2]Entry!$R$1531)</f>
        <v/>
      </c>
    </row>
    <row r="1529" spans="10:16" x14ac:dyDescent="0.2">
      <c r="J1529" t="str">
        <f>IF([2]Entry!$C$1532="","",[2]Entry!$C$1532)</f>
        <v/>
      </c>
      <c r="K1529" t="str">
        <f>IF([2]Entry!$D$1532="","",[2]Entry!$D$1532)</f>
        <v/>
      </c>
      <c r="L1529" t="str">
        <f>IF([2]Entry!$E$1532="","",[2]Entry!$E$1532)</f>
        <v/>
      </c>
      <c r="M1529" t="str">
        <f>IF([2]Entry!$G$1532="","",[2]Entry!$G$1532)</f>
        <v/>
      </c>
      <c r="N1529" t="str">
        <f>IF([2]Entry!$M$1532="","",[2]Entry!$M$1532)</f>
        <v/>
      </c>
      <c r="O1529" t="str">
        <f>IF([2]Entry!$N$1532="","",[2]Entry!$N$1532)</f>
        <v/>
      </c>
      <c r="P1529" t="str">
        <f>IF([2]Entry!$R$1532="","",[2]Entry!$R$1532)</f>
        <v/>
      </c>
    </row>
    <row r="1530" spans="10:16" x14ac:dyDescent="0.2">
      <c r="J1530" t="str">
        <f>IF([2]Entry!$C$1533="","",[2]Entry!$C$1533)</f>
        <v/>
      </c>
      <c r="K1530" t="str">
        <f>IF([2]Entry!$D$1533="","",[2]Entry!$D$1533)</f>
        <v/>
      </c>
      <c r="L1530" t="str">
        <f>IF([2]Entry!$E$1533="","",[2]Entry!$E$1533)</f>
        <v/>
      </c>
      <c r="M1530" t="str">
        <f>IF([2]Entry!$G$1533="","",[2]Entry!$G$1533)</f>
        <v/>
      </c>
      <c r="N1530" t="str">
        <f>IF([2]Entry!$M$1533="","",[2]Entry!$M$1533)</f>
        <v/>
      </c>
      <c r="O1530" t="str">
        <f>IF([2]Entry!$N$1533="","",[2]Entry!$N$1533)</f>
        <v/>
      </c>
      <c r="P1530" t="str">
        <f>IF([2]Entry!$R$1533="","",[2]Entry!$R$1533)</f>
        <v/>
      </c>
    </row>
    <row r="1531" spans="10:16" x14ac:dyDescent="0.2">
      <c r="J1531" t="str">
        <f>IF([2]Entry!$C$1534="","",[2]Entry!$C$1534)</f>
        <v/>
      </c>
      <c r="K1531" t="str">
        <f>IF([2]Entry!$D$1534="","",[2]Entry!$D$1534)</f>
        <v/>
      </c>
      <c r="L1531" t="str">
        <f>IF([2]Entry!$E$1534="","",[2]Entry!$E$1534)</f>
        <v/>
      </c>
      <c r="M1531" t="str">
        <f>IF([2]Entry!$G$1534="","",[2]Entry!$G$1534)</f>
        <v/>
      </c>
      <c r="N1531" t="str">
        <f>IF([2]Entry!$M$1534="","",[2]Entry!$M$1534)</f>
        <v/>
      </c>
      <c r="O1531" t="str">
        <f>IF([2]Entry!$N$1534="","",[2]Entry!$N$1534)</f>
        <v/>
      </c>
      <c r="P1531" t="str">
        <f>IF([2]Entry!$R$1534="","",[2]Entry!$R$1534)</f>
        <v/>
      </c>
    </row>
    <row r="1532" spans="10:16" x14ac:dyDescent="0.2">
      <c r="J1532" t="str">
        <f>IF([2]Entry!$C$1535="","",[2]Entry!$C$1535)</f>
        <v/>
      </c>
      <c r="K1532" t="str">
        <f>IF([2]Entry!$D$1535="","",[2]Entry!$D$1535)</f>
        <v/>
      </c>
      <c r="L1532" t="str">
        <f>IF([2]Entry!$E$1535="","",[2]Entry!$E$1535)</f>
        <v/>
      </c>
      <c r="M1532" t="str">
        <f>IF([2]Entry!$G$1535="","",[2]Entry!$G$1535)</f>
        <v/>
      </c>
      <c r="N1532" t="str">
        <f>IF([2]Entry!$M$1535="","",[2]Entry!$M$1535)</f>
        <v/>
      </c>
      <c r="O1532" t="str">
        <f>IF([2]Entry!$N$1535="","",[2]Entry!$N$1535)</f>
        <v/>
      </c>
      <c r="P1532" t="str">
        <f>IF([2]Entry!$R$1535="","",[2]Entry!$R$1535)</f>
        <v/>
      </c>
    </row>
    <row r="1533" spans="10:16" x14ac:dyDescent="0.2">
      <c r="J1533" t="str">
        <f>IF([2]Entry!$C$1536="","",[2]Entry!$C$1536)</f>
        <v/>
      </c>
      <c r="K1533" t="str">
        <f>IF([2]Entry!$D$1536="","",[2]Entry!$D$1536)</f>
        <v/>
      </c>
      <c r="L1533" t="str">
        <f>IF([2]Entry!$E$1536="","",[2]Entry!$E$1536)</f>
        <v/>
      </c>
      <c r="M1533" t="str">
        <f>IF([2]Entry!$G$1536="","",[2]Entry!$G$1536)</f>
        <v/>
      </c>
      <c r="N1533" t="str">
        <f>IF([2]Entry!$M$1536="","",[2]Entry!$M$1536)</f>
        <v/>
      </c>
      <c r="O1533" t="str">
        <f>IF([2]Entry!$N$1536="","",[2]Entry!$N$1536)</f>
        <v/>
      </c>
      <c r="P1533" t="str">
        <f>IF([2]Entry!$R$1536="","",[2]Entry!$R$1536)</f>
        <v/>
      </c>
    </row>
    <row r="1534" spans="10:16" x14ac:dyDescent="0.2">
      <c r="J1534" t="str">
        <f>IF([2]Entry!$C$1537="","",[2]Entry!$C$1537)</f>
        <v/>
      </c>
      <c r="K1534" t="str">
        <f>IF([2]Entry!$D$1537="","",[2]Entry!$D$1537)</f>
        <v/>
      </c>
      <c r="L1534" t="str">
        <f>IF([2]Entry!$E$1537="","",[2]Entry!$E$1537)</f>
        <v/>
      </c>
      <c r="M1534" t="str">
        <f>IF([2]Entry!$G$1537="","",[2]Entry!$G$1537)</f>
        <v/>
      </c>
      <c r="N1534" t="str">
        <f>IF([2]Entry!$M$1537="","",[2]Entry!$M$1537)</f>
        <v/>
      </c>
      <c r="O1534" t="str">
        <f>IF([2]Entry!$N$1537="","",[2]Entry!$N$1537)</f>
        <v/>
      </c>
      <c r="P1534" t="str">
        <f>IF([2]Entry!$R$1537="","",[2]Entry!$R$1537)</f>
        <v/>
      </c>
    </row>
    <row r="1535" spans="10:16" x14ac:dyDescent="0.2">
      <c r="J1535" t="str">
        <f>IF([2]Entry!$C$1538="","",[2]Entry!$C$1538)</f>
        <v/>
      </c>
      <c r="K1535" t="str">
        <f>IF([2]Entry!$D$1538="","",[2]Entry!$D$1538)</f>
        <v/>
      </c>
      <c r="L1535" t="str">
        <f>IF([2]Entry!$E$1538="","",[2]Entry!$E$1538)</f>
        <v/>
      </c>
      <c r="M1535" t="str">
        <f>IF([2]Entry!$G$1538="","",[2]Entry!$G$1538)</f>
        <v/>
      </c>
      <c r="N1535" t="str">
        <f>IF([2]Entry!$M$1538="","",[2]Entry!$M$1538)</f>
        <v/>
      </c>
      <c r="O1535" t="str">
        <f>IF([2]Entry!$N$1538="","",[2]Entry!$N$1538)</f>
        <v/>
      </c>
      <c r="P1535" t="str">
        <f>IF([2]Entry!$R$1538="","",[2]Entry!$R$1538)</f>
        <v/>
      </c>
    </row>
    <row r="1536" spans="10:16" x14ac:dyDescent="0.2">
      <c r="J1536" t="str">
        <f>IF([2]Entry!$C$1539="","",[2]Entry!$C$1539)</f>
        <v/>
      </c>
      <c r="K1536" t="str">
        <f>IF([2]Entry!$D$1539="","",[2]Entry!$D$1539)</f>
        <v/>
      </c>
      <c r="L1536" t="str">
        <f>IF([2]Entry!$E$1539="","",[2]Entry!$E$1539)</f>
        <v/>
      </c>
      <c r="M1536" t="str">
        <f>IF([2]Entry!$G$1539="","",[2]Entry!$G$1539)</f>
        <v/>
      </c>
      <c r="N1536" t="str">
        <f>IF([2]Entry!$M$1539="","",[2]Entry!$M$1539)</f>
        <v/>
      </c>
      <c r="O1536" t="str">
        <f>IF([2]Entry!$N$1539="","",[2]Entry!$N$1539)</f>
        <v/>
      </c>
      <c r="P1536" t="str">
        <f>IF([2]Entry!$R$1539="","",[2]Entry!$R$1539)</f>
        <v/>
      </c>
    </row>
    <row r="1537" spans="10:16" x14ac:dyDescent="0.2">
      <c r="J1537" t="str">
        <f>IF([2]Entry!$C$1540="","",[2]Entry!$C$1540)</f>
        <v/>
      </c>
      <c r="K1537" t="str">
        <f>IF([2]Entry!$D$1540="","",[2]Entry!$D$1540)</f>
        <v/>
      </c>
      <c r="L1537" t="str">
        <f>IF([2]Entry!$E$1540="","",[2]Entry!$E$1540)</f>
        <v/>
      </c>
      <c r="M1537" t="str">
        <f>IF([2]Entry!$G$1540="","",[2]Entry!$G$1540)</f>
        <v/>
      </c>
      <c r="N1537" t="str">
        <f>IF([2]Entry!$M$1540="","",[2]Entry!$M$1540)</f>
        <v/>
      </c>
      <c r="O1537" t="str">
        <f>IF([2]Entry!$N$1540="","",[2]Entry!$N$1540)</f>
        <v/>
      </c>
      <c r="P1537" t="str">
        <f>IF([2]Entry!$R$1540="","",[2]Entry!$R$1540)</f>
        <v/>
      </c>
    </row>
    <row r="1538" spans="10:16" x14ac:dyDescent="0.2">
      <c r="J1538" t="str">
        <f>IF([2]Entry!$C$1541="","",[2]Entry!$C$1541)</f>
        <v/>
      </c>
      <c r="K1538" t="str">
        <f>IF([2]Entry!$D$1541="","",[2]Entry!$D$1541)</f>
        <v/>
      </c>
      <c r="L1538" t="str">
        <f>IF([2]Entry!$E$1541="","",[2]Entry!$E$1541)</f>
        <v/>
      </c>
      <c r="M1538" t="str">
        <f>IF([2]Entry!$G$1541="","",[2]Entry!$G$1541)</f>
        <v/>
      </c>
      <c r="N1538" t="str">
        <f>IF([2]Entry!$M$1541="","",[2]Entry!$M$1541)</f>
        <v/>
      </c>
      <c r="O1538" t="str">
        <f>IF([2]Entry!$N$1541="","",[2]Entry!$N$1541)</f>
        <v/>
      </c>
      <c r="P1538" t="str">
        <f>IF([2]Entry!$R$1541="","",[2]Entry!$R$1541)</f>
        <v/>
      </c>
    </row>
    <row r="1539" spans="10:16" x14ac:dyDescent="0.2">
      <c r="J1539" t="str">
        <f>IF([2]Entry!$C$1542="","",[2]Entry!$C$1542)</f>
        <v/>
      </c>
      <c r="K1539" t="str">
        <f>IF([2]Entry!$D$1542="","",[2]Entry!$D$1542)</f>
        <v/>
      </c>
      <c r="L1539" t="str">
        <f>IF([2]Entry!$E$1542="","",[2]Entry!$E$1542)</f>
        <v/>
      </c>
      <c r="M1539" t="str">
        <f>IF([2]Entry!$G$1542="","",[2]Entry!$G$1542)</f>
        <v/>
      </c>
      <c r="N1539" t="str">
        <f>IF([2]Entry!$M$1542="","",[2]Entry!$M$1542)</f>
        <v/>
      </c>
      <c r="O1539" t="str">
        <f>IF([2]Entry!$N$1542="","",[2]Entry!$N$1542)</f>
        <v/>
      </c>
      <c r="P1539" t="str">
        <f>IF([2]Entry!$R$1542="","",[2]Entry!$R$1542)</f>
        <v/>
      </c>
    </row>
    <row r="1540" spans="10:16" x14ac:dyDescent="0.2">
      <c r="J1540" t="str">
        <f>IF([2]Entry!$C$1543="","",[2]Entry!$C$1543)</f>
        <v/>
      </c>
      <c r="K1540" t="str">
        <f>IF([2]Entry!$D$1543="","",[2]Entry!$D$1543)</f>
        <v/>
      </c>
      <c r="L1540" t="str">
        <f>IF([2]Entry!$E$1543="","",[2]Entry!$E$1543)</f>
        <v/>
      </c>
      <c r="M1540" t="str">
        <f>IF([2]Entry!$G$1543="","",[2]Entry!$G$1543)</f>
        <v/>
      </c>
      <c r="N1540" t="str">
        <f>IF([2]Entry!$M$1543="","",[2]Entry!$M$1543)</f>
        <v/>
      </c>
      <c r="O1540" t="str">
        <f>IF([2]Entry!$N$1543="","",[2]Entry!$N$1543)</f>
        <v/>
      </c>
      <c r="P1540" t="str">
        <f>IF([2]Entry!$R$1543="","",[2]Entry!$R$1543)</f>
        <v/>
      </c>
    </row>
    <row r="1541" spans="10:16" x14ac:dyDescent="0.2">
      <c r="J1541" t="str">
        <f>IF([2]Entry!$C$1544="","",[2]Entry!$C$1544)</f>
        <v/>
      </c>
      <c r="K1541" t="str">
        <f>IF([2]Entry!$D$1544="","",[2]Entry!$D$1544)</f>
        <v/>
      </c>
      <c r="L1541" t="str">
        <f>IF([2]Entry!$E$1544="","",[2]Entry!$E$1544)</f>
        <v/>
      </c>
      <c r="M1541" t="str">
        <f>IF([2]Entry!$G$1544="","",[2]Entry!$G$1544)</f>
        <v/>
      </c>
      <c r="N1541" t="str">
        <f>IF([2]Entry!$M$1544="","",[2]Entry!$M$1544)</f>
        <v/>
      </c>
      <c r="O1541" t="str">
        <f>IF([2]Entry!$N$1544="","",[2]Entry!$N$1544)</f>
        <v/>
      </c>
      <c r="P1541" t="str">
        <f>IF([2]Entry!$R$1544="","",[2]Entry!$R$1544)</f>
        <v/>
      </c>
    </row>
    <row r="1542" spans="10:16" x14ac:dyDescent="0.2">
      <c r="J1542" t="str">
        <f>IF([2]Entry!$C$1545="","",[2]Entry!$C$1545)</f>
        <v/>
      </c>
      <c r="K1542" t="str">
        <f>IF([2]Entry!$D$1545="","",[2]Entry!$D$1545)</f>
        <v/>
      </c>
      <c r="L1542" t="str">
        <f>IF([2]Entry!$E$1545="","",[2]Entry!$E$1545)</f>
        <v/>
      </c>
      <c r="M1542" t="str">
        <f>IF([2]Entry!$G$1545="","",[2]Entry!$G$1545)</f>
        <v/>
      </c>
      <c r="N1542" t="str">
        <f>IF([2]Entry!$M$1545="","",[2]Entry!$M$1545)</f>
        <v/>
      </c>
      <c r="O1542" t="str">
        <f>IF([2]Entry!$N$1545="","",[2]Entry!$N$1545)</f>
        <v/>
      </c>
      <c r="P1542" t="str">
        <f>IF([2]Entry!$R$1545="","",[2]Entry!$R$1545)</f>
        <v/>
      </c>
    </row>
    <row r="1543" spans="10:16" x14ac:dyDescent="0.2">
      <c r="J1543" t="str">
        <f>IF([2]Entry!$C$1546="","",[2]Entry!$C$1546)</f>
        <v/>
      </c>
      <c r="K1543" t="str">
        <f>IF([2]Entry!$D$1546="","",[2]Entry!$D$1546)</f>
        <v/>
      </c>
      <c r="L1543" t="str">
        <f>IF([2]Entry!$E$1546="","",[2]Entry!$E$1546)</f>
        <v/>
      </c>
      <c r="M1543" t="str">
        <f>IF([2]Entry!$G$1546="","",[2]Entry!$G$1546)</f>
        <v/>
      </c>
      <c r="N1543" t="str">
        <f>IF([2]Entry!$M$1546="","",[2]Entry!$M$1546)</f>
        <v/>
      </c>
      <c r="O1543" t="str">
        <f>IF([2]Entry!$N$1546="","",[2]Entry!$N$1546)</f>
        <v/>
      </c>
      <c r="P1543" t="str">
        <f>IF([2]Entry!$R$1546="","",[2]Entry!$R$1546)</f>
        <v/>
      </c>
    </row>
    <row r="1544" spans="10:16" x14ac:dyDescent="0.2">
      <c r="J1544" t="str">
        <f>IF([2]Entry!$C$1547="","",[2]Entry!$C$1547)</f>
        <v/>
      </c>
      <c r="K1544" t="str">
        <f>IF([2]Entry!$D$1547="","",[2]Entry!$D$1547)</f>
        <v/>
      </c>
      <c r="L1544" t="str">
        <f>IF([2]Entry!$E$1547="","",[2]Entry!$E$1547)</f>
        <v/>
      </c>
      <c r="M1544" t="str">
        <f>IF([2]Entry!$G$1547="","",[2]Entry!$G$1547)</f>
        <v/>
      </c>
      <c r="N1544" t="str">
        <f>IF([2]Entry!$M$1547="","",[2]Entry!$M$1547)</f>
        <v/>
      </c>
      <c r="O1544" t="str">
        <f>IF([2]Entry!$N$1547="","",[2]Entry!$N$1547)</f>
        <v/>
      </c>
      <c r="P1544" t="str">
        <f>IF([2]Entry!$R$1547="","",[2]Entry!$R$1547)</f>
        <v/>
      </c>
    </row>
    <row r="1545" spans="10:16" x14ac:dyDescent="0.2">
      <c r="J1545" t="str">
        <f>IF([2]Entry!$C$1548="","",[2]Entry!$C$1548)</f>
        <v/>
      </c>
      <c r="K1545" t="str">
        <f>IF([2]Entry!$D$1548="","",[2]Entry!$D$1548)</f>
        <v/>
      </c>
      <c r="L1545" t="str">
        <f>IF([2]Entry!$E$1548="","",[2]Entry!$E$1548)</f>
        <v/>
      </c>
      <c r="M1545" t="str">
        <f>IF([2]Entry!$G$1548="","",[2]Entry!$G$1548)</f>
        <v/>
      </c>
      <c r="N1545" t="str">
        <f>IF([2]Entry!$M$1548="","",[2]Entry!$M$1548)</f>
        <v/>
      </c>
      <c r="O1545" t="str">
        <f>IF([2]Entry!$N$1548="","",[2]Entry!$N$1548)</f>
        <v/>
      </c>
      <c r="P1545" t="str">
        <f>IF([2]Entry!$R$1548="","",[2]Entry!$R$1548)</f>
        <v/>
      </c>
    </row>
    <row r="1546" spans="10:16" x14ac:dyDescent="0.2">
      <c r="J1546" t="str">
        <f>IF([2]Entry!$C$1549="","",[2]Entry!$C$1549)</f>
        <v/>
      </c>
      <c r="K1546" t="str">
        <f>IF([2]Entry!$D$1549="","",[2]Entry!$D$1549)</f>
        <v/>
      </c>
      <c r="L1546" t="str">
        <f>IF([2]Entry!$E$1549="","",[2]Entry!$E$1549)</f>
        <v/>
      </c>
      <c r="M1546" t="str">
        <f>IF([2]Entry!$G$1549="","",[2]Entry!$G$1549)</f>
        <v/>
      </c>
      <c r="N1546" t="str">
        <f>IF([2]Entry!$M$1549="","",[2]Entry!$M$1549)</f>
        <v/>
      </c>
      <c r="O1546" t="str">
        <f>IF([2]Entry!$N$1549="","",[2]Entry!$N$1549)</f>
        <v/>
      </c>
      <c r="P1546" t="str">
        <f>IF([2]Entry!$R$1549="","",[2]Entry!$R$1549)</f>
        <v/>
      </c>
    </row>
    <row r="1547" spans="10:16" x14ac:dyDescent="0.2">
      <c r="J1547" t="str">
        <f>IF([2]Entry!$C$1550="","",[2]Entry!$C$1550)</f>
        <v/>
      </c>
      <c r="K1547" t="str">
        <f>IF([2]Entry!$D$1550="","",[2]Entry!$D$1550)</f>
        <v/>
      </c>
      <c r="L1547" t="str">
        <f>IF([2]Entry!$E$1550="","",[2]Entry!$E$1550)</f>
        <v/>
      </c>
      <c r="M1547" t="str">
        <f>IF([2]Entry!$G$1550="","",[2]Entry!$G$1550)</f>
        <v/>
      </c>
      <c r="N1547" t="str">
        <f>IF([2]Entry!$M$1550="","",[2]Entry!$M$1550)</f>
        <v/>
      </c>
      <c r="O1547" t="str">
        <f>IF([2]Entry!$N$1550="","",[2]Entry!$N$1550)</f>
        <v/>
      </c>
      <c r="P1547" t="str">
        <f>IF([2]Entry!$R$1550="","",[2]Entry!$R$1550)</f>
        <v/>
      </c>
    </row>
    <row r="1548" spans="10:16" x14ac:dyDescent="0.2">
      <c r="J1548" t="str">
        <f>IF([2]Entry!$C$1551="","",[2]Entry!$C$1551)</f>
        <v/>
      </c>
      <c r="K1548" t="str">
        <f>IF([2]Entry!$D$1551="","",[2]Entry!$D$1551)</f>
        <v/>
      </c>
      <c r="L1548" t="str">
        <f>IF([2]Entry!$E$1551="","",[2]Entry!$E$1551)</f>
        <v/>
      </c>
      <c r="M1548" t="str">
        <f>IF([2]Entry!$G$1551="","",[2]Entry!$G$1551)</f>
        <v/>
      </c>
      <c r="N1548" t="str">
        <f>IF([2]Entry!$M$1551="","",[2]Entry!$M$1551)</f>
        <v/>
      </c>
      <c r="O1548" t="str">
        <f>IF([2]Entry!$N$1551="","",[2]Entry!$N$1551)</f>
        <v/>
      </c>
      <c r="P1548" t="str">
        <f>IF([2]Entry!$R$1551="","",[2]Entry!$R$1551)</f>
        <v/>
      </c>
    </row>
    <row r="1549" spans="10:16" x14ac:dyDescent="0.2">
      <c r="J1549" t="str">
        <f>IF([2]Entry!$C$1552="","",[2]Entry!$C$1552)</f>
        <v/>
      </c>
      <c r="K1549" t="str">
        <f>IF([2]Entry!$D$1552="","",[2]Entry!$D$1552)</f>
        <v/>
      </c>
      <c r="L1549" t="str">
        <f>IF([2]Entry!$E$1552="","",[2]Entry!$E$1552)</f>
        <v/>
      </c>
      <c r="M1549" t="str">
        <f>IF([2]Entry!$G$1552="","",[2]Entry!$G$1552)</f>
        <v/>
      </c>
      <c r="N1549" t="str">
        <f>IF([2]Entry!$M$1552="","",[2]Entry!$M$1552)</f>
        <v/>
      </c>
      <c r="O1549" t="str">
        <f>IF([2]Entry!$N$1552="","",[2]Entry!$N$1552)</f>
        <v/>
      </c>
      <c r="P1549" t="str">
        <f>IF([2]Entry!$R$1552="","",[2]Entry!$R$1552)</f>
        <v/>
      </c>
    </row>
    <row r="1550" spans="10:16" x14ac:dyDescent="0.2">
      <c r="J1550" t="str">
        <f>IF([2]Entry!$C$1553="","",[2]Entry!$C$1553)</f>
        <v/>
      </c>
      <c r="K1550" t="str">
        <f>IF([2]Entry!$D$1553="","",[2]Entry!$D$1553)</f>
        <v/>
      </c>
      <c r="L1550" t="str">
        <f>IF([2]Entry!$E$1553="","",[2]Entry!$E$1553)</f>
        <v/>
      </c>
      <c r="M1550" t="str">
        <f>IF([2]Entry!$G$1553="","",[2]Entry!$G$1553)</f>
        <v/>
      </c>
      <c r="N1550" t="str">
        <f>IF([2]Entry!$M$1553="","",[2]Entry!$M$1553)</f>
        <v/>
      </c>
      <c r="O1550" t="str">
        <f>IF([2]Entry!$N$1553="","",[2]Entry!$N$1553)</f>
        <v/>
      </c>
      <c r="P1550" t="str">
        <f>IF([2]Entry!$R$1553="","",[2]Entry!$R$1553)</f>
        <v/>
      </c>
    </row>
    <row r="1551" spans="10:16" x14ac:dyDescent="0.2">
      <c r="J1551" t="str">
        <f>IF([2]Entry!$C$1554="","",[2]Entry!$C$1554)</f>
        <v/>
      </c>
      <c r="K1551" t="str">
        <f>IF([2]Entry!$D$1554="","",[2]Entry!$D$1554)</f>
        <v/>
      </c>
      <c r="L1551" t="str">
        <f>IF([2]Entry!$E$1554="","",[2]Entry!$E$1554)</f>
        <v/>
      </c>
      <c r="M1551" t="str">
        <f>IF([2]Entry!$G$1554="","",[2]Entry!$G$1554)</f>
        <v/>
      </c>
      <c r="N1551" t="str">
        <f>IF([2]Entry!$M$1554="","",[2]Entry!$M$1554)</f>
        <v/>
      </c>
      <c r="O1551" t="str">
        <f>IF([2]Entry!$N$1554="","",[2]Entry!$N$1554)</f>
        <v/>
      </c>
      <c r="P1551" t="str">
        <f>IF([2]Entry!$R$1554="","",[2]Entry!$R$1554)</f>
        <v/>
      </c>
    </row>
    <row r="1552" spans="10:16" x14ac:dyDescent="0.2">
      <c r="J1552" t="str">
        <f>IF([2]Entry!$C$1555="","",[2]Entry!$C$1555)</f>
        <v/>
      </c>
      <c r="K1552" t="str">
        <f>IF([2]Entry!$D$1555="","",[2]Entry!$D$1555)</f>
        <v/>
      </c>
      <c r="L1552" t="str">
        <f>IF([2]Entry!$E$1555="","",[2]Entry!$E$1555)</f>
        <v/>
      </c>
      <c r="M1552" t="str">
        <f>IF([2]Entry!$G$1555="","",[2]Entry!$G$1555)</f>
        <v/>
      </c>
      <c r="N1552" t="str">
        <f>IF([2]Entry!$M$1555="","",[2]Entry!$M$1555)</f>
        <v/>
      </c>
      <c r="O1552" t="str">
        <f>IF([2]Entry!$N$1555="","",[2]Entry!$N$1555)</f>
        <v/>
      </c>
      <c r="P1552" t="str">
        <f>IF([2]Entry!$R$1555="","",[2]Entry!$R$1555)</f>
        <v/>
      </c>
    </row>
    <row r="1553" spans="10:16" x14ac:dyDescent="0.2">
      <c r="J1553" t="str">
        <f>IF([2]Entry!$C$1556="","",[2]Entry!$C$1556)</f>
        <v/>
      </c>
      <c r="K1553" t="str">
        <f>IF([2]Entry!$D$1556="","",[2]Entry!$D$1556)</f>
        <v/>
      </c>
      <c r="L1553" t="str">
        <f>IF([2]Entry!$E$1556="","",[2]Entry!$E$1556)</f>
        <v/>
      </c>
      <c r="M1553" t="str">
        <f>IF([2]Entry!$G$1556="","",[2]Entry!$G$1556)</f>
        <v/>
      </c>
      <c r="N1553" t="str">
        <f>IF([2]Entry!$M$1556="","",[2]Entry!$M$1556)</f>
        <v/>
      </c>
      <c r="O1553" t="str">
        <f>IF([2]Entry!$N$1556="","",[2]Entry!$N$1556)</f>
        <v/>
      </c>
      <c r="P1553" t="str">
        <f>IF([2]Entry!$R$1556="","",[2]Entry!$R$1556)</f>
        <v/>
      </c>
    </row>
    <row r="1554" spans="10:16" x14ac:dyDescent="0.2">
      <c r="J1554" t="str">
        <f>IF([2]Entry!$C$1557="","",[2]Entry!$C$1557)</f>
        <v/>
      </c>
      <c r="K1554" t="str">
        <f>IF([2]Entry!$D$1557="","",[2]Entry!$D$1557)</f>
        <v/>
      </c>
      <c r="L1554" t="str">
        <f>IF([2]Entry!$E$1557="","",[2]Entry!$E$1557)</f>
        <v/>
      </c>
      <c r="M1554" t="str">
        <f>IF([2]Entry!$G$1557="","",[2]Entry!$G$1557)</f>
        <v/>
      </c>
      <c r="N1554" t="str">
        <f>IF([2]Entry!$M$1557="","",[2]Entry!$M$1557)</f>
        <v/>
      </c>
      <c r="O1554" t="str">
        <f>IF([2]Entry!$N$1557="","",[2]Entry!$N$1557)</f>
        <v/>
      </c>
      <c r="P1554" t="str">
        <f>IF([2]Entry!$R$1557="","",[2]Entry!$R$1557)</f>
        <v/>
      </c>
    </row>
    <row r="1555" spans="10:16" x14ac:dyDescent="0.2">
      <c r="J1555" t="str">
        <f>IF([2]Entry!$C$1558="","",[2]Entry!$C$1558)</f>
        <v/>
      </c>
      <c r="K1555" t="str">
        <f>IF([2]Entry!$D$1558="","",[2]Entry!$D$1558)</f>
        <v/>
      </c>
      <c r="L1555" t="str">
        <f>IF([2]Entry!$E$1558="","",[2]Entry!$E$1558)</f>
        <v/>
      </c>
      <c r="M1555" t="str">
        <f>IF([2]Entry!$G$1558="","",[2]Entry!$G$1558)</f>
        <v/>
      </c>
      <c r="N1555" t="str">
        <f>IF([2]Entry!$M$1558="","",[2]Entry!$M$1558)</f>
        <v/>
      </c>
      <c r="O1555" t="str">
        <f>IF([2]Entry!$N$1558="","",[2]Entry!$N$1558)</f>
        <v/>
      </c>
      <c r="P1555" t="str">
        <f>IF([2]Entry!$R$1558="","",[2]Entry!$R$1558)</f>
        <v/>
      </c>
    </row>
    <row r="1556" spans="10:16" x14ac:dyDescent="0.2">
      <c r="J1556" t="str">
        <f>IF([2]Entry!$C$1559="","",[2]Entry!$C$1559)</f>
        <v/>
      </c>
      <c r="K1556" t="str">
        <f>IF([2]Entry!$D$1559="","",[2]Entry!$D$1559)</f>
        <v/>
      </c>
      <c r="L1556" t="str">
        <f>IF([2]Entry!$E$1559="","",[2]Entry!$E$1559)</f>
        <v/>
      </c>
      <c r="M1556" t="str">
        <f>IF([2]Entry!$G$1559="","",[2]Entry!$G$1559)</f>
        <v/>
      </c>
      <c r="N1556" t="str">
        <f>IF([2]Entry!$M$1559="","",[2]Entry!$M$1559)</f>
        <v/>
      </c>
      <c r="O1556" t="str">
        <f>IF([2]Entry!$N$1559="","",[2]Entry!$N$1559)</f>
        <v/>
      </c>
      <c r="P1556" t="str">
        <f>IF([2]Entry!$R$1559="","",[2]Entry!$R$1559)</f>
        <v/>
      </c>
    </row>
    <row r="1557" spans="10:16" x14ac:dyDescent="0.2">
      <c r="J1557" t="str">
        <f>IF([2]Entry!$C$1560="","",[2]Entry!$C$1560)</f>
        <v/>
      </c>
      <c r="K1557" t="str">
        <f>IF([2]Entry!$D$1560="","",[2]Entry!$D$1560)</f>
        <v/>
      </c>
      <c r="L1557" t="str">
        <f>IF([2]Entry!$E$1560="","",[2]Entry!$E$1560)</f>
        <v/>
      </c>
      <c r="M1557" t="str">
        <f>IF([2]Entry!$G$1560="","",[2]Entry!$G$1560)</f>
        <v/>
      </c>
      <c r="N1557" t="str">
        <f>IF([2]Entry!$M$1560="","",[2]Entry!$M$1560)</f>
        <v/>
      </c>
      <c r="O1557" t="str">
        <f>IF([2]Entry!$N$1560="","",[2]Entry!$N$1560)</f>
        <v/>
      </c>
      <c r="P1557" t="str">
        <f>IF([2]Entry!$R$1560="","",[2]Entry!$R$1560)</f>
        <v/>
      </c>
    </row>
    <row r="1558" spans="10:16" x14ac:dyDescent="0.2">
      <c r="J1558" t="str">
        <f>IF([2]Entry!$C$1561="","",[2]Entry!$C$1561)</f>
        <v/>
      </c>
      <c r="K1558" t="str">
        <f>IF([2]Entry!$D$1561="","",[2]Entry!$D$1561)</f>
        <v/>
      </c>
      <c r="L1558" t="str">
        <f>IF([2]Entry!$E$1561="","",[2]Entry!$E$1561)</f>
        <v/>
      </c>
      <c r="M1558" t="str">
        <f>IF([2]Entry!$G$1561="","",[2]Entry!$G$1561)</f>
        <v/>
      </c>
      <c r="N1558" t="str">
        <f>IF([2]Entry!$M$1561="","",[2]Entry!$M$1561)</f>
        <v/>
      </c>
      <c r="O1558" t="str">
        <f>IF([2]Entry!$N$1561="","",[2]Entry!$N$1561)</f>
        <v/>
      </c>
      <c r="P1558" t="str">
        <f>IF([2]Entry!$R$1561="","",[2]Entry!$R$1561)</f>
        <v/>
      </c>
    </row>
    <row r="1559" spans="10:16" x14ac:dyDescent="0.2">
      <c r="J1559" t="str">
        <f>IF([2]Entry!$C$1562="","",[2]Entry!$C$1562)</f>
        <v/>
      </c>
      <c r="K1559" t="str">
        <f>IF([2]Entry!$D$1562="","",[2]Entry!$D$1562)</f>
        <v/>
      </c>
      <c r="L1559" t="str">
        <f>IF([2]Entry!$E$1562="","",[2]Entry!$E$1562)</f>
        <v/>
      </c>
      <c r="M1559" t="str">
        <f>IF([2]Entry!$G$1562="","",[2]Entry!$G$1562)</f>
        <v/>
      </c>
      <c r="N1559" t="str">
        <f>IF([2]Entry!$M$1562="","",[2]Entry!$M$1562)</f>
        <v/>
      </c>
      <c r="O1559" t="str">
        <f>IF([2]Entry!$N$1562="","",[2]Entry!$N$1562)</f>
        <v/>
      </c>
      <c r="P1559" t="str">
        <f>IF([2]Entry!$R$1562="","",[2]Entry!$R$1562)</f>
        <v/>
      </c>
    </row>
    <row r="1560" spans="10:16" x14ac:dyDescent="0.2">
      <c r="J1560" t="str">
        <f>IF([2]Entry!$C$1563="","",[2]Entry!$C$1563)</f>
        <v/>
      </c>
      <c r="K1560" t="str">
        <f>IF([2]Entry!$D$1563="","",[2]Entry!$D$1563)</f>
        <v/>
      </c>
      <c r="L1560" t="str">
        <f>IF([2]Entry!$E$1563="","",[2]Entry!$E$1563)</f>
        <v/>
      </c>
      <c r="M1560" t="str">
        <f>IF([2]Entry!$G$1563="","",[2]Entry!$G$1563)</f>
        <v/>
      </c>
      <c r="N1560" t="str">
        <f>IF([2]Entry!$M$1563="","",[2]Entry!$M$1563)</f>
        <v/>
      </c>
      <c r="O1560" t="str">
        <f>IF([2]Entry!$N$1563="","",[2]Entry!$N$1563)</f>
        <v/>
      </c>
      <c r="P1560" t="str">
        <f>IF([2]Entry!$R$1563="","",[2]Entry!$R$1563)</f>
        <v/>
      </c>
    </row>
    <row r="1561" spans="10:16" x14ac:dyDescent="0.2">
      <c r="J1561" t="str">
        <f>IF([2]Entry!$C$1564="","",[2]Entry!$C$1564)</f>
        <v/>
      </c>
      <c r="K1561" t="str">
        <f>IF([2]Entry!$D$1564="","",[2]Entry!$D$1564)</f>
        <v/>
      </c>
      <c r="L1561" t="str">
        <f>IF([2]Entry!$E$1564="","",[2]Entry!$E$1564)</f>
        <v/>
      </c>
      <c r="M1561" t="str">
        <f>IF([2]Entry!$G$1564="","",[2]Entry!$G$1564)</f>
        <v/>
      </c>
      <c r="N1561" t="str">
        <f>IF([2]Entry!$M$1564="","",[2]Entry!$M$1564)</f>
        <v/>
      </c>
      <c r="O1561" t="str">
        <f>IF([2]Entry!$N$1564="","",[2]Entry!$N$1564)</f>
        <v/>
      </c>
      <c r="P1561" t="str">
        <f>IF([2]Entry!$R$1564="","",[2]Entry!$R$1564)</f>
        <v/>
      </c>
    </row>
    <row r="1562" spans="10:16" x14ac:dyDescent="0.2">
      <c r="J1562" t="str">
        <f>IF([2]Entry!$C$1565="","",[2]Entry!$C$1565)</f>
        <v/>
      </c>
      <c r="K1562" t="str">
        <f>IF([2]Entry!$D$1565="","",[2]Entry!$D$1565)</f>
        <v/>
      </c>
      <c r="L1562" t="str">
        <f>IF([2]Entry!$E$1565="","",[2]Entry!$E$1565)</f>
        <v/>
      </c>
      <c r="M1562" t="str">
        <f>IF([2]Entry!$G$1565="","",[2]Entry!$G$1565)</f>
        <v/>
      </c>
      <c r="N1562" t="str">
        <f>IF([2]Entry!$M$1565="","",[2]Entry!$M$1565)</f>
        <v/>
      </c>
      <c r="O1562" t="str">
        <f>IF([2]Entry!$N$1565="","",[2]Entry!$N$1565)</f>
        <v/>
      </c>
      <c r="P1562" t="str">
        <f>IF([2]Entry!$R$1565="","",[2]Entry!$R$1565)</f>
        <v/>
      </c>
    </row>
    <row r="1563" spans="10:16" x14ac:dyDescent="0.2">
      <c r="J1563" t="str">
        <f>IF([2]Entry!$C$1566="","",[2]Entry!$C$1566)</f>
        <v/>
      </c>
      <c r="K1563" t="str">
        <f>IF([2]Entry!$D$1566="","",[2]Entry!$D$1566)</f>
        <v/>
      </c>
      <c r="L1563" t="str">
        <f>IF([2]Entry!$E$1566="","",[2]Entry!$E$1566)</f>
        <v/>
      </c>
      <c r="M1563" t="str">
        <f>IF([2]Entry!$G$1566="","",[2]Entry!$G$1566)</f>
        <v/>
      </c>
      <c r="N1563" t="str">
        <f>IF([2]Entry!$M$1566="","",[2]Entry!$M$1566)</f>
        <v/>
      </c>
      <c r="O1563" t="str">
        <f>IF([2]Entry!$N$1566="","",[2]Entry!$N$1566)</f>
        <v/>
      </c>
      <c r="P1563" t="str">
        <f>IF([2]Entry!$R$1566="","",[2]Entry!$R$1566)</f>
        <v/>
      </c>
    </row>
    <row r="1564" spans="10:16" x14ac:dyDescent="0.2">
      <c r="J1564" t="str">
        <f>IF([2]Entry!$C$1567="","",[2]Entry!$C$1567)</f>
        <v/>
      </c>
      <c r="K1564" t="str">
        <f>IF([2]Entry!$D$1567="","",[2]Entry!$D$1567)</f>
        <v/>
      </c>
      <c r="L1564" t="str">
        <f>IF([2]Entry!$E$1567="","",[2]Entry!$E$1567)</f>
        <v/>
      </c>
      <c r="M1564" t="str">
        <f>IF([2]Entry!$G$1567="","",[2]Entry!$G$1567)</f>
        <v/>
      </c>
      <c r="N1564" t="str">
        <f>IF([2]Entry!$M$1567="","",[2]Entry!$M$1567)</f>
        <v/>
      </c>
      <c r="O1564" t="str">
        <f>IF([2]Entry!$N$1567="","",[2]Entry!$N$1567)</f>
        <v/>
      </c>
      <c r="P1564" t="str">
        <f>IF([2]Entry!$R$1567="","",[2]Entry!$R$1567)</f>
        <v/>
      </c>
    </row>
    <row r="1565" spans="10:16" x14ac:dyDescent="0.2">
      <c r="J1565" t="str">
        <f>IF([2]Entry!$C$1568="","",[2]Entry!$C$1568)</f>
        <v/>
      </c>
      <c r="K1565" t="str">
        <f>IF([2]Entry!$D$1568="","",[2]Entry!$D$1568)</f>
        <v/>
      </c>
      <c r="L1565" t="str">
        <f>IF([2]Entry!$E$1568="","",[2]Entry!$E$1568)</f>
        <v/>
      </c>
      <c r="M1565" t="str">
        <f>IF([2]Entry!$G$1568="","",[2]Entry!$G$1568)</f>
        <v/>
      </c>
      <c r="N1565" t="str">
        <f>IF([2]Entry!$M$1568="","",[2]Entry!$M$1568)</f>
        <v/>
      </c>
      <c r="O1565" t="str">
        <f>IF([2]Entry!$N$1568="","",[2]Entry!$N$1568)</f>
        <v/>
      </c>
      <c r="P1565" t="str">
        <f>IF([2]Entry!$R$1568="","",[2]Entry!$R$1568)</f>
        <v/>
      </c>
    </row>
    <row r="1566" spans="10:16" x14ac:dyDescent="0.2">
      <c r="J1566" t="str">
        <f>IF([2]Entry!$C$1569="","",[2]Entry!$C$1569)</f>
        <v/>
      </c>
      <c r="K1566" t="str">
        <f>IF([2]Entry!$D$1569="","",[2]Entry!$D$1569)</f>
        <v/>
      </c>
      <c r="L1566" t="str">
        <f>IF([2]Entry!$E$1569="","",[2]Entry!$E$1569)</f>
        <v/>
      </c>
      <c r="M1566" t="str">
        <f>IF([2]Entry!$G$1569="","",[2]Entry!$G$1569)</f>
        <v/>
      </c>
      <c r="N1566" t="str">
        <f>IF([2]Entry!$M$1569="","",[2]Entry!$M$1569)</f>
        <v/>
      </c>
      <c r="O1566" t="str">
        <f>IF([2]Entry!$N$1569="","",[2]Entry!$N$1569)</f>
        <v/>
      </c>
      <c r="P1566" t="str">
        <f>IF([2]Entry!$R$1569="","",[2]Entry!$R$1569)</f>
        <v/>
      </c>
    </row>
    <row r="1567" spans="10:16" x14ac:dyDescent="0.2">
      <c r="J1567" t="str">
        <f>IF([2]Entry!$C$1570="","",[2]Entry!$C$1570)</f>
        <v/>
      </c>
      <c r="K1567" t="str">
        <f>IF([2]Entry!$D$1570="","",[2]Entry!$D$1570)</f>
        <v/>
      </c>
      <c r="L1567" t="str">
        <f>IF([2]Entry!$E$1570="","",[2]Entry!$E$1570)</f>
        <v/>
      </c>
      <c r="M1567" t="str">
        <f>IF([2]Entry!$G$1570="","",[2]Entry!$G$1570)</f>
        <v/>
      </c>
      <c r="N1567" t="str">
        <f>IF([2]Entry!$M$1570="","",[2]Entry!$M$1570)</f>
        <v/>
      </c>
      <c r="O1567" t="str">
        <f>IF([2]Entry!$N$1570="","",[2]Entry!$N$1570)</f>
        <v/>
      </c>
      <c r="P1567" t="str">
        <f>IF([2]Entry!$R$1570="","",[2]Entry!$R$1570)</f>
        <v/>
      </c>
    </row>
    <row r="1568" spans="10:16" x14ac:dyDescent="0.2">
      <c r="J1568" t="str">
        <f>IF([2]Entry!$C$1571="","",[2]Entry!$C$1571)</f>
        <v/>
      </c>
      <c r="K1568" t="str">
        <f>IF([2]Entry!$D$1571="","",[2]Entry!$D$1571)</f>
        <v/>
      </c>
      <c r="L1568" t="str">
        <f>IF([2]Entry!$E$1571="","",[2]Entry!$E$1571)</f>
        <v/>
      </c>
      <c r="M1568" t="str">
        <f>IF([2]Entry!$G$1571="","",[2]Entry!$G$1571)</f>
        <v/>
      </c>
      <c r="N1568" t="str">
        <f>IF([2]Entry!$M$1571="","",[2]Entry!$M$1571)</f>
        <v/>
      </c>
      <c r="O1568" t="str">
        <f>IF([2]Entry!$N$1571="","",[2]Entry!$N$1571)</f>
        <v/>
      </c>
      <c r="P1568" t="str">
        <f>IF([2]Entry!$R$1571="","",[2]Entry!$R$1571)</f>
        <v/>
      </c>
    </row>
    <row r="1569" spans="10:16" x14ac:dyDescent="0.2">
      <c r="J1569" t="str">
        <f>IF([2]Entry!$C$1572="","",[2]Entry!$C$1572)</f>
        <v/>
      </c>
      <c r="K1569" t="str">
        <f>IF([2]Entry!$D$1572="","",[2]Entry!$D$1572)</f>
        <v/>
      </c>
      <c r="L1569" t="str">
        <f>IF([2]Entry!$E$1572="","",[2]Entry!$E$1572)</f>
        <v/>
      </c>
      <c r="M1569" t="str">
        <f>IF([2]Entry!$G$1572="","",[2]Entry!$G$1572)</f>
        <v/>
      </c>
      <c r="N1569" t="str">
        <f>IF([2]Entry!$M$1572="","",[2]Entry!$M$1572)</f>
        <v/>
      </c>
      <c r="O1569" t="str">
        <f>IF([2]Entry!$N$1572="","",[2]Entry!$N$1572)</f>
        <v/>
      </c>
      <c r="P1569" t="str">
        <f>IF([2]Entry!$R$1572="","",[2]Entry!$R$1572)</f>
        <v/>
      </c>
    </row>
    <row r="1570" spans="10:16" x14ac:dyDescent="0.2">
      <c r="J1570" t="str">
        <f>IF([2]Entry!$C$1573="","",[2]Entry!$C$1573)</f>
        <v/>
      </c>
      <c r="K1570" t="str">
        <f>IF([2]Entry!$D$1573="","",[2]Entry!$D$1573)</f>
        <v/>
      </c>
      <c r="L1570" t="str">
        <f>IF([2]Entry!$E$1573="","",[2]Entry!$E$1573)</f>
        <v/>
      </c>
      <c r="M1570" t="str">
        <f>IF([2]Entry!$G$1573="","",[2]Entry!$G$1573)</f>
        <v/>
      </c>
      <c r="N1570" t="str">
        <f>IF([2]Entry!$M$1573="","",[2]Entry!$M$1573)</f>
        <v/>
      </c>
      <c r="O1570" t="str">
        <f>IF([2]Entry!$N$1573="","",[2]Entry!$N$1573)</f>
        <v/>
      </c>
      <c r="P1570" t="str">
        <f>IF([2]Entry!$R$1573="","",[2]Entry!$R$1573)</f>
        <v/>
      </c>
    </row>
    <row r="1571" spans="10:16" x14ac:dyDescent="0.2">
      <c r="J1571" t="str">
        <f>IF([2]Entry!$C$1574="","",[2]Entry!$C$1574)</f>
        <v/>
      </c>
      <c r="K1571" t="str">
        <f>IF([2]Entry!$D$1574="","",[2]Entry!$D$1574)</f>
        <v/>
      </c>
      <c r="L1571" t="str">
        <f>IF([2]Entry!$E$1574="","",[2]Entry!$E$1574)</f>
        <v/>
      </c>
      <c r="M1571" t="str">
        <f>IF([2]Entry!$G$1574="","",[2]Entry!$G$1574)</f>
        <v/>
      </c>
      <c r="N1571" t="str">
        <f>IF([2]Entry!$M$1574="","",[2]Entry!$M$1574)</f>
        <v/>
      </c>
      <c r="O1571" t="str">
        <f>IF([2]Entry!$N$1574="","",[2]Entry!$N$1574)</f>
        <v/>
      </c>
      <c r="P1571" t="str">
        <f>IF([2]Entry!$R$1574="","",[2]Entry!$R$1574)</f>
        <v/>
      </c>
    </row>
    <row r="1572" spans="10:16" x14ac:dyDescent="0.2">
      <c r="J1572" t="str">
        <f>IF([2]Entry!$C$1575="","",[2]Entry!$C$1575)</f>
        <v/>
      </c>
      <c r="K1572" t="str">
        <f>IF([2]Entry!$D$1575="","",[2]Entry!$D$1575)</f>
        <v/>
      </c>
      <c r="L1572" t="str">
        <f>IF([2]Entry!$E$1575="","",[2]Entry!$E$1575)</f>
        <v/>
      </c>
      <c r="M1572" t="str">
        <f>IF([2]Entry!$G$1575="","",[2]Entry!$G$1575)</f>
        <v/>
      </c>
      <c r="N1572" t="str">
        <f>IF([2]Entry!$M$1575="","",[2]Entry!$M$1575)</f>
        <v/>
      </c>
      <c r="O1572" t="str">
        <f>IF([2]Entry!$N$1575="","",[2]Entry!$N$1575)</f>
        <v/>
      </c>
      <c r="P1572" t="str">
        <f>IF([2]Entry!$R$1575="","",[2]Entry!$R$1575)</f>
        <v/>
      </c>
    </row>
    <row r="1573" spans="10:16" x14ac:dyDescent="0.2">
      <c r="J1573" t="str">
        <f>IF([2]Entry!$C$1576="","",[2]Entry!$C$1576)</f>
        <v/>
      </c>
      <c r="K1573" t="str">
        <f>IF([2]Entry!$D$1576="","",[2]Entry!$D$1576)</f>
        <v/>
      </c>
      <c r="L1573" t="str">
        <f>IF([2]Entry!$E$1576="","",[2]Entry!$E$1576)</f>
        <v/>
      </c>
      <c r="M1573" t="str">
        <f>IF([2]Entry!$G$1576="","",[2]Entry!$G$1576)</f>
        <v/>
      </c>
      <c r="N1573" t="str">
        <f>IF([2]Entry!$M$1576="","",[2]Entry!$M$1576)</f>
        <v/>
      </c>
      <c r="O1573" t="str">
        <f>IF([2]Entry!$N$1576="","",[2]Entry!$N$1576)</f>
        <v/>
      </c>
      <c r="P1573" t="str">
        <f>IF([2]Entry!$R$1576="","",[2]Entry!$R$1576)</f>
        <v/>
      </c>
    </row>
    <row r="1574" spans="10:16" x14ac:dyDescent="0.2">
      <c r="J1574" t="str">
        <f>IF([2]Entry!$C$1577="","",[2]Entry!$C$1577)</f>
        <v/>
      </c>
      <c r="K1574" t="str">
        <f>IF([2]Entry!$D$1577="","",[2]Entry!$D$1577)</f>
        <v/>
      </c>
      <c r="L1574" t="str">
        <f>IF([2]Entry!$E$1577="","",[2]Entry!$E$1577)</f>
        <v/>
      </c>
      <c r="M1574" t="str">
        <f>IF([2]Entry!$G$1577="","",[2]Entry!$G$1577)</f>
        <v/>
      </c>
      <c r="N1574" t="str">
        <f>IF([2]Entry!$M$1577="","",[2]Entry!$M$1577)</f>
        <v/>
      </c>
      <c r="O1574" t="str">
        <f>IF([2]Entry!$N$1577="","",[2]Entry!$N$1577)</f>
        <v/>
      </c>
      <c r="P1574" t="str">
        <f>IF([2]Entry!$R$1577="","",[2]Entry!$R$1577)</f>
        <v/>
      </c>
    </row>
    <row r="1575" spans="10:16" x14ac:dyDescent="0.2">
      <c r="J1575" t="str">
        <f>IF([2]Entry!$C$1578="","",[2]Entry!$C$1578)</f>
        <v/>
      </c>
      <c r="K1575" t="str">
        <f>IF([2]Entry!$D$1578="","",[2]Entry!$D$1578)</f>
        <v/>
      </c>
      <c r="L1575" t="str">
        <f>IF([2]Entry!$E$1578="","",[2]Entry!$E$1578)</f>
        <v/>
      </c>
      <c r="M1575" t="str">
        <f>IF([2]Entry!$G$1578="","",[2]Entry!$G$1578)</f>
        <v/>
      </c>
      <c r="N1575" t="str">
        <f>IF([2]Entry!$M$1578="","",[2]Entry!$M$1578)</f>
        <v/>
      </c>
      <c r="O1575" t="str">
        <f>IF([2]Entry!$N$1578="","",[2]Entry!$N$1578)</f>
        <v/>
      </c>
      <c r="P1575" t="str">
        <f>IF([2]Entry!$R$1578="","",[2]Entry!$R$1578)</f>
        <v/>
      </c>
    </row>
    <row r="1576" spans="10:16" x14ac:dyDescent="0.2">
      <c r="J1576" t="str">
        <f>IF([2]Entry!$C$1579="","",[2]Entry!$C$1579)</f>
        <v/>
      </c>
      <c r="K1576" t="str">
        <f>IF([2]Entry!$D$1579="","",[2]Entry!$D$1579)</f>
        <v/>
      </c>
      <c r="L1576" t="str">
        <f>IF([2]Entry!$E$1579="","",[2]Entry!$E$1579)</f>
        <v/>
      </c>
      <c r="M1576" t="str">
        <f>IF([2]Entry!$G$1579="","",[2]Entry!$G$1579)</f>
        <v/>
      </c>
      <c r="N1576" t="str">
        <f>IF([2]Entry!$M$1579="","",[2]Entry!$M$1579)</f>
        <v/>
      </c>
      <c r="O1576" t="str">
        <f>IF([2]Entry!$N$1579="","",[2]Entry!$N$1579)</f>
        <v/>
      </c>
      <c r="P1576" t="str">
        <f>IF([2]Entry!$R$1579="","",[2]Entry!$R$1579)</f>
        <v/>
      </c>
    </row>
    <row r="1577" spans="10:16" x14ac:dyDescent="0.2">
      <c r="J1577" t="str">
        <f>IF([2]Entry!$C$1580="","",[2]Entry!$C$1580)</f>
        <v/>
      </c>
      <c r="K1577" t="str">
        <f>IF([2]Entry!$D$1580="","",[2]Entry!$D$1580)</f>
        <v/>
      </c>
      <c r="L1577" t="str">
        <f>IF([2]Entry!$E$1580="","",[2]Entry!$E$1580)</f>
        <v/>
      </c>
      <c r="M1577" t="str">
        <f>IF([2]Entry!$G$1580="","",[2]Entry!$G$1580)</f>
        <v/>
      </c>
      <c r="N1577" t="str">
        <f>IF([2]Entry!$M$1580="","",[2]Entry!$M$1580)</f>
        <v/>
      </c>
      <c r="O1577" t="str">
        <f>IF([2]Entry!$N$1580="","",[2]Entry!$N$1580)</f>
        <v/>
      </c>
      <c r="P1577" t="str">
        <f>IF([2]Entry!$R$1580="","",[2]Entry!$R$1580)</f>
        <v/>
      </c>
    </row>
    <row r="1578" spans="10:16" x14ac:dyDescent="0.2">
      <c r="J1578" t="str">
        <f>IF([2]Entry!$C$1581="","",[2]Entry!$C$1581)</f>
        <v/>
      </c>
      <c r="K1578" t="str">
        <f>IF([2]Entry!$D$1581="","",[2]Entry!$D$1581)</f>
        <v/>
      </c>
      <c r="L1578" t="str">
        <f>IF([2]Entry!$E$1581="","",[2]Entry!$E$1581)</f>
        <v/>
      </c>
      <c r="M1578" t="str">
        <f>IF([2]Entry!$G$1581="","",[2]Entry!$G$1581)</f>
        <v/>
      </c>
      <c r="N1578" t="str">
        <f>IF([2]Entry!$M$1581="","",[2]Entry!$M$1581)</f>
        <v/>
      </c>
      <c r="O1578" t="str">
        <f>IF([2]Entry!$N$1581="","",[2]Entry!$N$1581)</f>
        <v/>
      </c>
      <c r="P1578" t="str">
        <f>IF([2]Entry!$R$1581="","",[2]Entry!$R$1581)</f>
        <v/>
      </c>
    </row>
    <row r="1579" spans="10:16" x14ac:dyDescent="0.2">
      <c r="J1579" t="str">
        <f>IF([2]Entry!$C$1582="","",[2]Entry!$C$1582)</f>
        <v/>
      </c>
      <c r="K1579" t="str">
        <f>IF([2]Entry!$D$1582="","",[2]Entry!$D$1582)</f>
        <v/>
      </c>
      <c r="L1579" t="str">
        <f>IF([2]Entry!$E$1582="","",[2]Entry!$E$1582)</f>
        <v/>
      </c>
      <c r="M1579" t="str">
        <f>IF([2]Entry!$G$1582="","",[2]Entry!$G$1582)</f>
        <v/>
      </c>
      <c r="N1579" t="str">
        <f>IF([2]Entry!$M$1582="","",[2]Entry!$M$1582)</f>
        <v/>
      </c>
      <c r="O1579" t="str">
        <f>IF([2]Entry!$N$1582="","",[2]Entry!$N$1582)</f>
        <v/>
      </c>
      <c r="P1579" t="str">
        <f>IF([2]Entry!$R$1582="","",[2]Entry!$R$1582)</f>
        <v/>
      </c>
    </row>
    <row r="1580" spans="10:16" x14ac:dyDescent="0.2">
      <c r="J1580" t="str">
        <f>IF([2]Entry!$C$1583="","",[2]Entry!$C$1583)</f>
        <v/>
      </c>
      <c r="K1580" t="str">
        <f>IF([2]Entry!$D$1583="","",[2]Entry!$D$1583)</f>
        <v/>
      </c>
      <c r="L1580" t="str">
        <f>IF([2]Entry!$E$1583="","",[2]Entry!$E$1583)</f>
        <v/>
      </c>
      <c r="M1580" t="str">
        <f>IF([2]Entry!$G$1583="","",[2]Entry!$G$1583)</f>
        <v/>
      </c>
      <c r="N1580" t="str">
        <f>IF([2]Entry!$M$1583="","",[2]Entry!$M$1583)</f>
        <v/>
      </c>
      <c r="O1580" t="str">
        <f>IF([2]Entry!$N$1583="","",[2]Entry!$N$1583)</f>
        <v/>
      </c>
      <c r="P1580" t="str">
        <f>IF([2]Entry!$R$1583="","",[2]Entry!$R$1583)</f>
        <v/>
      </c>
    </row>
    <row r="1581" spans="10:16" x14ac:dyDescent="0.2">
      <c r="J1581" t="str">
        <f>IF([2]Entry!$C$1584="","",[2]Entry!$C$1584)</f>
        <v/>
      </c>
      <c r="K1581" t="str">
        <f>IF([2]Entry!$D$1584="","",[2]Entry!$D$1584)</f>
        <v/>
      </c>
      <c r="L1581" t="str">
        <f>IF([2]Entry!$E$1584="","",[2]Entry!$E$1584)</f>
        <v/>
      </c>
      <c r="M1581" t="str">
        <f>IF([2]Entry!$G$1584="","",[2]Entry!$G$1584)</f>
        <v/>
      </c>
      <c r="N1581" t="str">
        <f>IF([2]Entry!$M$1584="","",[2]Entry!$M$1584)</f>
        <v/>
      </c>
      <c r="O1581" t="str">
        <f>IF([2]Entry!$N$1584="","",[2]Entry!$N$1584)</f>
        <v/>
      </c>
      <c r="P1581" t="str">
        <f>IF([2]Entry!$R$1584="","",[2]Entry!$R$1584)</f>
        <v/>
      </c>
    </row>
    <row r="1582" spans="10:16" x14ac:dyDescent="0.2">
      <c r="J1582" t="str">
        <f>IF([2]Entry!$C$1585="","",[2]Entry!$C$1585)</f>
        <v/>
      </c>
      <c r="K1582" t="str">
        <f>IF([2]Entry!$D$1585="","",[2]Entry!$D$1585)</f>
        <v/>
      </c>
      <c r="L1582" t="str">
        <f>IF([2]Entry!$E$1585="","",[2]Entry!$E$1585)</f>
        <v/>
      </c>
      <c r="M1582" t="str">
        <f>IF([2]Entry!$G$1585="","",[2]Entry!$G$1585)</f>
        <v/>
      </c>
      <c r="N1582" t="str">
        <f>IF([2]Entry!$M$1585="","",[2]Entry!$M$1585)</f>
        <v/>
      </c>
      <c r="O1582" t="str">
        <f>IF([2]Entry!$N$1585="","",[2]Entry!$N$1585)</f>
        <v/>
      </c>
      <c r="P1582" t="str">
        <f>IF([2]Entry!$R$1585="","",[2]Entry!$R$1585)</f>
        <v/>
      </c>
    </row>
    <row r="1583" spans="10:16" x14ac:dyDescent="0.2">
      <c r="J1583" t="str">
        <f>IF([2]Entry!$C$1586="","",[2]Entry!$C$1586)</f>
        <v/>
      </c>
      <c r="K1583" t="str">
        <f>IF([2]Entry!$D$1586="","",[2]Entry!$D$1586)</f>
        <v/>
      </c>
      <c r="L1583" t="str">
        <f>IF([2]Entry!$E$1586="","",[2]Entry!$E$1586)</f>
        <v/>
      </c>
      <c r="M1583" t="str">
        <f>IF([2]Entry!$G$1586="","",[2]Entry!$G$1586)</f>
        <v/>
      </c>
      <c r="N1583" t="str">
        <f>IF([2]Entry!$M$1586="","",[2]Entry!$M$1586)</f>
        <v/>
      </c>
      <c r="O1583" t="str">
        <f>IF([2]Entry!$N$1586="","",[2]Entry!$N$1586)</f>
        <v/>
      </c>
      <c r="P1583" t="str">
        <f>IF([2]Entry!$R$1586="","",[2]Entry!$R$1586)</f>
        <v/>
      </c>
    </row>
    <row r="1584" spans="10:16" x14ac:dyDescent="0.2">
      <c r="J1584" t="str">
        <f>IF([2]Entry!$C$1587="","",[2]Entry!$C$1587)</f>
        <v/>
      </c>
      <c r="K1584" t="str">
        <f>IF([2]Entry!$D$1587="","",[2]Entry!$D$1587)</f>
        <v/>
      </c>
      <c r="L1584" t="str">
        <f>IF([2]Entry!$E$1587="","",[2]Entry!$E$1587)</f>
        <v/>
      </c>
      <c r="M1584" t="str">
        <f>IF([2]Entry!$G$1587="","",[2]Entry!$G$1587)</f>
        <v/>
      </c>
      <c r="N1584" t="str">
        <f>IF([2]Entry!$M$1587="","",[2]Entry!$M$1587)</f>
        <v/>
      </c>
      <c r="O1584" t="str">
        <f>IF([2]Entry!$N$1587="","",[2]Entry!$N$1587)</f>
        <v/>
      </c>
      <c r="P1584" t="str">
        <f>IF([2]Entry!$R$1587="","",[2]Entry!$R$1587)</f>
        <v/>
      </c>
    </row>
    <row r="1585" spans="10:16" x14ac:dyDescent="0.2">
      <c r="J1585" t="str">
        <f>IF([2]Entry!$C$1588="","",[2]Entry!$C$1588)</f>
        <v/>
      </c>
      <c r="K1585" t="str">
        <f>IF([2]Entry!$D$1588="","",[2]Entry!$D$1588)</f>
        <v/>
      </c>
      <c r="L1585" t="str">
        <f>IF([2]Entry!$E$1588="","",[2]Entry!$E$1588)</f>
        <v/>
      </c>
      <c r="M1585" t="str">
        <f>IF([2]Entry!$G$1588="","",[2]Entry!$G$1588)</f>
        <v/>
      </c>
      <c r="N1585" t="str">
        <f>IF([2]Entry!$M$1588="","",[2]Entry!$M$1588)</f>
        <v/>
      </c>
      <c r="O1585" t="str">
        <f>IF([2]Entry!$N$1588="","",[2]Entry!$N$1588)</f>
        <v/>
      </c>
      <c r="P1585" t="str">
        <f>IF([2]Entry!$R$1588="","",[2]Entry!$R$1588)</f>
        <v/>
      </c>
    </row>
    <row r="1586" spans="10:16" x14ac:dyDescent="0.2">
      <c r="J1586" t="str">
        <f>IF([2]Entry!$C$1589="","",[2]Entry!$C$1589)</f>
        <v/>
      </c>
      <c r="K1586" t="str">
        <f>IF([2]Entry!$D$1589="","",[2]Entry!$D$1589)</f>
        <v/>
      </c>
      <c r="L1586" t="str">
        <f>IF([2]Entry!$E$1589="","",[2]Entry!$E$1589)</f>
        <v/>
      </c>
      <c r="M1586" t="str">
        <f>IF([2]Entry!$G$1589="","",[2]Entry!$G$1589)</f>
        <v/>
      </c>
      <c r="N1586" t="str">
        <f>IF([2]Entry!$M$1589="","",[2]Entry!$M$1589)</f>
        <v/>
      </c>
      <c r="O1586" t="str">
        <f>IF([2]Entry!$N$1589="","",[2]Entry!$N$1589)</f>
        <v/>
      </c>
      <c r="P1586" t="str">
        <f>IF([2]Entry!$R$1589="","",[2]Entry!$R$1589)</f>
        <v/>
      </c>
    </row>
    <row r="1587" spans="10:16" x14ac:dyDescent="0.2">
      <c r="J1587" t="str">
        <f>IF([2]Entry!$C$1590="","",[2]Entry!$C$1590)</f>
        <v/>
      </c>
      <c r="K1587" t="str">
        <f>IF([2]Entry!$D$1590="","",[2]Entry!$D$1590)</f>
        <v/>
      </c>
      <c r="L1587" t="str">
        <f>IF([2]Entry!$E$1590="","",[2]Entry!$E$1590)</f>
        <v/>
      </c>
      <c r="M1587" t="str">
        <f>IF([2]Entry!$G$1590="","",[2]Entry!$G$1590)</f>
        <v/>
      </c>
      <c r="N1587" t="str">
        <f>IF([2]Entry!$M$1590="","",[2]Entry!$M$1590)</f>
        <v/>
      </c>
      <c r="O1587" t="str">
        <f>IF([2]Entry!$N$1590="","",[2]Entry!$N$1590)</f>
        <v/>
      </c>
      <c r="P1587" t="str">
        <f>IF([2]Entry!$R$1590="","",[2]Entry!$R$1590)</f>
        <v/>
      </c>
    </row>
    <row r="1588" spans="10:16" x14ac:dyDescent="0.2">
      <c r="J1588" t="str">
        <f>IF([2]Entry!$C$1591="","",[2]Entry!$C$1591)</f>
        <v/>
      </c>
      <c r="K1588" t="str">
        <f>IF([2]Entry!$D$1591="","",[2]Entry!$D$1591)</f>
        <v/>
      </c>
      <c r="L1588" t="str">
        <f>IF([2]Entry!$E$1591="","",[2]Entry!$E$1591)</f>
        <v/>
      </c>
      <c r="M1588" t="str">
        <f>IF([2]Entry!$G$1591="","",[2]Entry!$G$1591)</f>
        <v/>
      </c>
      <c r="N1588" t="str">
        <f>IF([2]Entry!$M$1591="","",[2]Entry!$M$1591)</f>
        <v/>
      </c>
      <c r="O1588" t="str">
        <f>IF([2]Entry!$N$1591="","",[2]Entry!$N$1591)</f>
        <v/>
      </c>
      <c r="P1588" t="str">
        <f>IF([2]Entry!$R$1591="","",[2]Entry!$R$1591)</f>
        <v/>
      </c>
    </row>
    <row r="1589" spans="10:16" x14ac:dyDescent="0.2">
      <c r="J1589" t="str">
        <f>IF([2]Entry!$C$1592="","",[2]Entry!$C$1592)</f>
        <v/>
      </c>
      <c r="K1589" t="str">
        <f>IF([2]Entry!$D$1592="","",[2]Entry!$D$1592)</f>
        <v/>
      </c>
      <c r="L1589" t="str">
        <f>IF([2]Entry!$E$1592="","",[2]Entry!$E$1592)</f>
        <v/>
      </c>
      <c r="M1589" t="str">
        <f>IF([2]Entry!$G$1592="","",[2]Entry!$G$1592)</f>
        <v/>
      </c>
      <c r="N1589" t="str">
        <f>IF([2]Entry!$M$1592="","",[2]Entry!$M$1592)</f>
        <v/>
      </c>
      <c r="O1589" t="str">
        <f>IF([2]Entry!$N$1592="","",[2]Entry!$N$1592)</f>
        <v/>
      </c>
      <c r="P1589" t="str">
        <f>IF([2]Entry!$R$1592="","",[2]Entry!$R$1592)</f>
        <v/>
      </c>
    </row>
    <row r="1590" spans="10:16" x14ac:dyDescent="0.2">
      <c r="J1590" t="str">
        <f>IF([2]Entry!$C$1593="","",[2]Entry!$C$1593)</f>
        <v/>
      </c>
      <c r="K1590" t="str">
        <f>IF([2]Entry!$D$1593="","",[2]Entry!$D$1593)</f>
        <v/>
      </c>
      <c r="L1590" t="str">
        <f>IF([2]Entry!$E$1593="","",[2]Entry!$E$1593)</f>
        <v/>
      </c>
      <c r="M1590" t="str">
        <f>IF([2]Entry!$G$1593="","",[2]Entry!$G$1593)</f>
        <v/>
      </c>
      <c r="N1590" t="str">
        <f>IF([2]Entry!$M$1593="","",[2]Entry!$M$1593)</f>
        <v/>
      </c>
      <c r="O1590" t="str">
        <f>IF([2]Entry!$N$1593="","",[2]Entry!$N$1593)</f>
        <v/>
      </c>
      <c r="P1590" t="str">
        <f>IF([2]Entry!$R$1593="","",[2]Entry!$R$1593)</f>
        <v/>
      </c>
    </row>
    <row r="1591" spans="10:16" x14ac:dyDescent="0.2">
      <c r="J1591" t="str">
        <f>IF([2]Entry!$C$1594="","",[2]Entry!$C$1594)</f>
        <v/>
      </c>
      <c r="K1591" t="str">
        <f>IF([2]Entry!$D$1594="","",[2]Entry!$D$1594)</f>
        <v/>
      </c>
      <c r="L1591" t="str">
        <f>IF([2]Entry!$E$1594="","",[2]Entry!$E$1594)</f>
        <v/>
      </c>
      <c r="M1591" t="str">
        <f>IF([2]Entry!$G$1594="","",[2]Entry!$G$1594)</f>
        <v/>
      </c>
      <c r="N1591" t="str">
        <f>IF([2]Entry!$M$1594="","",[2]Entry!$M$1594)</f>
        <v/>
      </c>
      <c r="O1591" t="str">
        <f>IF([2]Entry!$N$1594="","",[2]Entry!$N$1594)</f>
        <v/>
      </c>
      <c r="P1591" t="str">
        <f>IF([2]Entry!$R$1594="","",[2]Entry!$R$1594)</f>
        <v/>
      </c>
    </row>
    <row r="1592" spans="10:16" x14ac:dyDescent="0.2">
      <c r="J1592" t="str">
        <f>IF([2]Entry!$C$1595="","",[2]Entry!$C$1595)</f>
        <v/>
      </c>
      <c r="K1592" t="str">
        <f>IF([2]Entry!$D$1595="","",[2]Entry!$D$1595)</f>
        <v/>
      </c>
      <c r="L1592" t="str">
        <f>IF([2]Entry!$E$1595="","",[2]Entry!$E$1595)</f>
        <v/>
      </c>
      <c r="M1592" t="str">
        <f>IF([2]Entry!$G$1595="","",[2]Entry!$G$1595)</f>
        <v/>
      </c>
      <c r="N1592" t="str">
        <f>IF([2]Entry!$M$1595="","",[2]Entry!$M$1595)</f>
        <v/>
      </c>
      <c r="O1592" t="str">
        <f>IF([2]Entry!$N$1595="","",[2]Entry!$N$1595)</f>
        <v/>
      </c>
      <c r="P1592" t="str">
        <f>IF([2]Entry!$R$1595="","",[2]Entry!$R$1595)</f>
        <v/>
      </c>
    </row>
    <row r="1593" spans="10:16" x14ac:dyDescent="0.2">
      <c r="J1593" t="str">
        <f>IF([2]Entry!$C$1596="","",[2]Entry!$C$1596)</f>
        <v/>
      </c>
      <c r="K1593" t="str">
        <f>IF([2]Entry!$D$1596="","",[2]Entry!$D$1596)</f>
        <v/>
      </c>
      <c r="L1593" t="str">
        <f>IF([2]Entry!$E$1596="","",[2]Entry!$E$1596)</f>
        <v/>
      </c>
      <c r="M1593" t="str">
        <f>IF([2]Entry!$G$1596="","",[2]Entry!$G$1596)</f>
        <v/>
      </c>
      <c r="N1593" t="str">
        <f>IF([2]Entry!$M$1596="","",[2]Entry!$M$1596)</f>
        <v/>
      </c>
      <c r="O1593" t="str">
        <f>IF([2]Entry!$N$1596="","",[2]Entry!$N$1596)</f>
        <v/>
      </c>
      <c r="P1593" t="str">
        <f>IF([2]Entry!$R$1596="","",[2]Entry!$R$1596)</f>
        <v/>
      </c>
    </row>
    <row r="1594" spans="10:16" x14ac:dyDescent="0.2">
      <c r="J1594" t="str">
        <f>IF([2]Entry!$C$1597="","",[2]Entry!$C$1597)</f>
        <v/>
      </c>
      <c r="K1594" t="str">
        <f>IF([2]Entry!$D$1597="","",[2]Entry!$D$1597)</f>
        <v/>
      </c>
      <c r="L1594" t="str">
        <f>IF([2]Entry!$E$1597="","",[2]Entry!$E$1597)</f>
        <v/>
      </c>
      <c r="M1594" t="str">
        <f>IF([2]Entry!$G$1597="","",[2]Entry!$G$1597)</f>
        <v/>
      </c>
      <c r="N1594" t="str">
        <f>IF([2]Entry!$M$1597="","",[2]Entry!$M$1597)</f>
        <v/>
      </c>
      <c r="O1594" t="str">
        <f>IF([2]Entry!$N$1597="","",[2]Entry!$N$1597)</f>
        <v/>
      </c>
      <c r="P1594" t="str">
        <f>IF([2]Entry!$R$1597="","",[2]Entry!$R$1597)</f>
        <v/>
      </c>
    </row>
    <row r="1595" spans="10:16" x14ac:dyDescent="0.2">
      <c r="J1595" t="str">
        <f>IF([2]Entry!$C$1598="","",[2]Entry!$C$1598)</f>
        <v/>
      </c>
      <c r="K1595" t="str">
        <f>IF([2]Entry!$D$1598="","",[2]Entry!$D$1598)</f>
        <v/>
      </c>
      <c r="L1595" t="str">
        <f>IF([2]Entry!$E$1598="","",[2]Entry!$E$1598)</f>
        <v/>
      </c>
      <c r="M1595" t="str">
        <f>IF([2]Entry!$G$1598="","",[2]Entry!$G$1598)</f>
        <v/>
      </c>
      <c r="N1595" t="str">
        <f>IF([2]Entry!$M$1598="","",[2]Entry!$M$1598)</f>
        <v/>
      </c>
      <c r="O1595" t="str">
        <f>IF([2]Entry!$N$1598="","",[2]Entry!$N$1598)</f>
        <v/>
      </c>
      <c r="P1595" t="str">
        <f>IF([2]Entry!$R$1598="","",[2]Entry!$R$1598)</f>
        <v/>
      </c>
    </row>
    <row r="1596" spans="10:16" x14ac:dyDescent="0.2">
      <c r="J1596" t="str">
        <f>IF([2]Entry!$C$1599="","",[2]Entry!$C$1599)</f>
        <v/>
      </c>
      <c r="K1596" t="str">
        <f>IF([2]Entry!$D$1599="","",[2]Entry!$D$1599)</f>
        <v/>
      </c>
      <c r="L1596" t="str">
        <f>IF([2]Entry!$E$1599="","",[2]Entry!$E$1599)</f>
        <v/>
      </c>
      <c r="M1596" t="str">
        <f>IF([2]Entry!$G$1599="","",[2]Entry!$G$1599)</f>
        <v/>
      </c>
      <c r="N1596" t="str">
        <f>IF([2]Entry!$M$1599="","",[2]Entry!$M$1599)</f>
        <v/>
      </c>
      <c r="O1596" t="str">
        <f>IF([2]Entry!$N$1599="","",[2]Entry!$N$1599)</f>
        <v/>
      </c>
      <c r="P1596" t="str">
        <f>IF([2]Entry!$R$1599="","",[2]Entry!$R$1599)</f>
        <v/>
      </c>
    </row>
    <row r="1597" spans="10:16" x14ac:dyDescent="0.2">
      <c r="J1597" t="str">
        <f>IF([2]Entry!$C$1600="","",[2]Entry!$C$1600)</f>
        <v/>
      </c>
      <c r="K1597" t="str">
        <f>IF([2]Entry!$D$1600="","",[2]Entry!$D$1600)</f>
        <v/>
      </c>
      <c r="L1597" t="str">
        <f>IF([2]Entry!$E$1600="","",[2]Entry!$E$1600)</f>
        <v/>
      </c>
      <c r="M1597" t="str">
        <f>IF([2]Entry!$G$1600="","",[2]Entry!$G$1600)</f>
        <v/>
      </c>
      <c r="N1597" t="str">
        <f>IF([2]Entry!$M$1600="","",[2]Entry!$M$1600)</f>
        <v/>
      </c>
      <c r="O1597" t="str">
        <f>IF([2]Entry!$N$1600="","",[2]Entry!$N$1600)</f>
        <v/>
      </c>
      <c r="P1597" t="str">
        <f>IF([2]Entry!$R$1600="","",[2]Entry!$R$1600)</f>
        <v/>
      </c>
    </row>
    <row r="1598" spans="10:16" x14ac:dyDescent="0.2">
      <c r="J1598" t="str">
        <f>IF([2]Entry!$C$1601="","",[2]Entry!$C$1601)</f>
        <v/>
      </c>
      <c r="K1598" t="str">
        <f>IF([2]Entry!$D$1601="","",[2]Entry!$D$1601)</f>
        <v/>
      </c>
      <c r="L1598" t="str">
        <f>IF([2]Entry!$E$1601="","",[2]Entry!$E$1601)</f>
        <v/>
      </c>
      <c r="M1598" t="str">
        <f>IF([2]Entry!$G$1601="","",[2]Entry!$G$1601)</f>
        <v/>
      </c>
      <c r="N1598" t="str">
        <f>IF([2]Entry!$M$1601="","",[2]Entry!$M$1601)</f>
        <v/>
      </c>
      <c r="O1598" t="str">
        <f>IF([2]Entry!$N$1601="","",[2]Entry!$N$1601)</f>
        <v/>
      </c>
      <c r="P1598" t="str">
        <f>IF([2]Entry!$R$1601="","",[2]Entry!$R$1601)</f>
        <v/>
      </c>
    </row>
    <row r="1599" spans="10:16" x14ac:dyDescent="0.2">
      <c r="J1599" t="str">
        <f>IF([2]Entry!$C$1602="","",[2]Entry!$C$1602)</f>
        <v/>
      </c>
      <c r="K1599" t="str">
        <f>IF([2]Entry!$D$1602="","",[2]Entry!$D$1602)</f>
        <v/>
      </c>
      <c r="L1599" t="str">
        <f>IF([2]Entry!$E$1602="","",[2]Entry!$E$1602)</f>
        <v/>
      </c>
      <c r="M1599" t="str">
        <f>IF([2]Entry!$G$1602="","",[2]Entry!$G$1602)</f>
        <v/>
      </c>
      <c r="N1599" t="str">
        <f>IF([2]Entry!$M$1602="","",[2]Entry!$M$1602)</f>
        <v/>
      </c>
      <c r="O1599" t="str">
        <f>IF([2]Entry!$N$1602="","",[2]Entry!$N$1602)</f>
        <v/>
      </c>
      <c r="P1599" t="str">
        <f>IF([2]Entry!$R$1602="","",[2]Entry!$R$1602)</f>
        <v/>
      </c>
    </row>
    <row r="1600" spans="10:16" x14ac:dyDescent="0.2">
      <c r="J1600" t="str">
        <f>IF([2]Entry!$C$1603="","",[2]Entry!$C$1603)</f>
        <v/>
      </c>
      <c r="K1600" t="str">
        <f>IF([2]Entry!$D$1603="","",[2]Entry!$D$1603)</f>
        <v/>
      </c>
      <c r="L1600" t="str">
        <f>IF([2]Entry!$E$1603="","",[2]Entry!$E$1603)</f>
        <v/>
      </c>
      <c r="M1600" t="str">
        <f>IF([2]Entry!$G$1603="","",[2]Entry!$G$1603)</f>
        <v/>
      </c>
      <c r="N1600" t="str">
        <f>IF([2]Entry!$M$1603="","",[2]Entry!$M$1603)</f>
        <v/>
      </c>
      <c r="O1600" t="str">
        <f>IF([2]Entry!$N$1603="","",[2]Entry!$N$1603)</f>
        <v/>
      </c>
      <c r="P1600" t="str">
        <f>IF([2]Entry!$R$1603="","",[2]Entry!$R$1603)</f>
        <v/>
      </c>
    </row>
    <row r="1601" spans="10:16" x14ac:dyDescent="0.2">
      <c r="J1601" t="str">
        <f>IF([2]Entry!$C$1604="","",[2]Entry!$C$1604)</f>
        <v/>
      </c>
      <c r="K1601" t="str">
        <f>IF([2]Entry!$D$1604="","",[2]Entry!$D$1604)</f>
        <v/>
      </c>
      <c r="L1601" t="str">
        <f>IF([2]Entry!$E$1604="","",[2]Entry!$E$1604)</f>
        <v/>
      </c>
      <c r="M1601" t="str">
        <f>IF([2]Entry!$G$1604="","",[2]Entry!$G$1604)</f>
        <v/>
      </c>
      <c r="N1601" t="str">
        <f>IF([2]Entry!$M$1604="","",[2]Entry!$M$1604)</f>
        <v/>
      </c>
      <c r="O1601" t="str">
        <f>IF([2]Entry!$N$1604="","",[2]Entry!$N$1604)</f>
        <v/>
      </c>
      <c r="P1601" t="str">
        <f>IF([2]Entry!$R$1604="","",[2]Entry!$R$1604)</f>
        <v/>
      </c>
    </row>
    <row r="1602" spans="10:16" x14ac:dyDescent="0.2">
      <c r="J1602" t="str">
        <f>IF([2]Entry!$C$1605="","",[2]Entry!$C$1605)</f>
        <v/>
      </c>
      <c r="K1602" t="str">
        <f>IF([2]Entry!$D$1605="","",[2]Entry!$D$1605)</f>
        <v/>
      </c>
      <c r="L1602" t="str">
        <f>IF([2]Entry!$E$1605="","",[2]Entry!$E$1605)</f>
        <v/>
      </c>
      <c r="M1602" t="str">
        <f>IF([2]Entry!$G$1605="","",[2]Entry!$G$1605)</f>
        <v/>
      </c>
      <c r="N1602" t="str">
        <f>IF([2]Entry!$M$1605="","",[2]Entry!$M$1605)</f>
        <v/>
      </c>
      <c r="O1602" t="str">
        <f>IF([2]Entry!$N$1605="","",[2]Entry!$N$1605)</f>
        <v/>
      </c>
      <c r="P1602" t="str">
        <f>IF([2]Entry!$R$1605="","",[2]Entry!$R$1605)</f>
        <v/>
      </c>
    </row>
    <row r="1603" spans="10:16" x14ac:dyDescent="0.2">
      <c r="J1603" t="str">
        <f>IF([2]Entry!$C$1606="","",[2]Entry!$C$1606)</f>
        <v/>
      </c>
      <c r="K1603" t="str">
        <f>IF([2]Entry!$D$1606="","",[2]Entry!$D$1606)</f>
        <v/>
      </c>
      <c r="L1603" t="str">
        <f>IF([2]Entry!$E$1606="","",[2]Entry!$E$1606)</f>
        <v/>
      </c>
      <c r="M1603" t="str">
        <f>IF([2]Entry!$G$1606="","",[2]Entry!$G$1606)</f>
        <v/>
      </c>
      <c r="N1603" t="str">
        <f>IF([2]Entry!$M$1606="","",[2]Entry!$M$1606)</f>
        <v/>
      </c>
      <c r="O1603" t="str">
        <f>IF([2]Entry!$N$1606="","",[2]Entry!$N$1606)</f>
        <v/>
      </c>
      <c r="P1603" t="str">
        <f>IF([2]Entry!$R$1606="","",[2]Entry!$R$1606)</f>
        <v/>
      </c>
    </row>
    <row r="1604" spans="10:16" x14ac:dyDescent="0.2">
      <c r="J1604" t="str">
        <f>IF([2]Entry!$C$1607="","",[2]Entry!$C$1607)</f>
        <v/>
      </c>
      <c r="K1604" t="str">
        <f>IF([2]Entry!$D$1607="","",[2]Entry!$D$1607)</f>
        <v/>
      </c>
      <c r="L1604" t="str">
        <f>IF([2]Entry!$E$1607="","",[2]Entry!$E$1607)</f>
        <v/>
      </c>
      <c r="M1604" t="str">
        <f>IF([2]Entry!$G$1607="","",[2]Entry!$G$1607)</f>
        <v/>
      </c>
      <c r="N1604" t="str">
        <f>IF([2]Entry!$M$1607="","",[2]Entry!$M$1607)</f>
        <v/>
      </c>
      <c r="O1604" t="str">
        <f>IF([2]Entry!$N$1607="","",[2]Entry!$N$1607)</f>
        <v/>
      </c>
      <c r="P1604" t="str">
        <f>IF([2]Entry!$R$1607="","",[2]Entry!$R$1607)</f>
        <v/>
      </c>
    </row>
    <row r="1605" spans="10:16" x14ac:dyDescent="0.2">
      <c r="J1605" t="str">
        <f>IF([2]Entry!$C$1608="","",[2]Entry!$C$1608)</f>
        <v/>
      </c>
      <c r="K1605" t="str">
        <f>IF([2]Entry!$D$1608="","",[2]Entry!$D$1608)</f>
        <v/>
      </c>
      <c r="L1605" t="str">
        <f>IF([2]Entry!$E$1608="","",[2]Entry!$E$1608)</f>
        <v/>
      </c>
      <c r="M1605" t="str">
        <f>IF([2]Entry!$G$1608="","",[2]Entry!$G$1608)</f>
        <v/>
      </c>
      <c r="N1605" t="str">
        <f>IF([2]Entry!$M$1608="","",[2]Entry!$M$1608)</f>
        <v/>
      </c>
      <c r="O1605" t="str">
        <f>IF([2]Entry!$N$1608="","",[2]Entry!$N$1608)</f>
        <v/>
      </c>
      <c r="P1605" t="str">
        <f>IF([2]Entry!$R$1608="","",[2]Entry!$R$1608)</f>
        <v/>
      </c>
    </row>
    <row r="1606" spans="10:16" x14ac:dyDescent="0.2">
      <c r="J1606" t="str">
        <f>IF([2]Entry!$C$1609="","",[2]Entry!$C$1609)</f>
        <v/>
      </c>
      <c r="K1606" t="str">
        <f>IF([2]Entry!$D$1609="","",[2]Entry!$D$1609)</f>
        <v/>
      </c>
      <c r="L1606" t="str">
        <f>IF([2]Entry!$E$1609="","",[2]Entry!$E$1609)</f>
        <v/>
      </c>
      <c r="M1606" t="str">
        <f>IF([2]Entry!$G$1609="","",[2]Entry!$G$1609)</f>
        <v/>
      </c>
      <c r="N1606" t="str">
        <f>IF([2]Entry!$M$1609="","",[2]Entry!$M$1609)</f>
        <v/>
      </c>
      <c r="O1606" t="str">
        <f>IF([2]Entry!$N$1609="","",[2]Entry!$N$1609)</f>
        <v/>
      </c>
      <c r="P1606" t="str">
        <f>IF([2]Entry!$R$1609="","",[2]Entry!$R$1609)</f>
        <v/>
      </c>
    </row>
    <row r="1607" spans="10:16" x14ac:dyDescent="0.2">
      <c r="J1607" t="str">
        <f>IF([2]Entry!$C$1610="","",[2]Entry!$C$1610)</f>
        <v/>
      </c>
      <c r="K1607" t="str">
        <f>IF([2]Entry!$D$1610="","",[2]Entry!$D$1610)</f>
        <v/>
      </c>
      <c r="L1607" t="str">
        <f>IF([2]Entry!$E$1610="","",[2]Entry!$E$1610)</f>
        <v/>
      </c>
      <c r="M1607" t="str">
        <f>IF([2]Entry!$G$1610="","",[2]Entry!$G$1610)</f>
        <v/>
      </c>
      <c r="N1607" t="str">
        <f>IF([2]Entry!$M$1610="","",[2]Entry!$M$1610)</f>
        <v/>
      </c>
      <c r="O1607" t="str">
        <f>IF([2]Entry!$N$1610="","",[2]Entry!$N$1610)</f>
        <v/>
      </c>
      <c r="P1607" t="str">
        <f>IF([2]Entry!$R$1610="","",[2]Entry!$R$1610)</f>
        <v/>
      </c>
    </row>
    <row r="1608" spans="10:16" x14ac:dyDescent="0.2">
      <c r="J1608" t="str">
        <f>IF([2]Entry!$C$1611="","",[2]Entry!$C$1611)</f>
        <v/>
      </c>
      <c r="K1608" t="str">
        <f>IF([2]Entry!$D$1611="","",[2]Entry!$D$1611)</f>
        <v/>
      </c>
      <c r="L1608" t="str">
        <f>IF([2]Entry!$E$1611="","",[2]Entry!$E$1611)</f>
        <v/>
      </c>
      <c r="M1608" t="str">
        <f>IF([2]Entry!$G$1611="","",[2]Entry!$G$1611)</f>
        <v/>
      </c>
      <c r="N1608" t="str">
        <f>IF([2]Entry!$M$1611="","",[2]Entry!$M$1611)</f>
        <v/>
      </c>
      <c r="O1608" t="str">
        <f>IF([2]Entry!$N$1611="","",[2]Entry!$N$1611)</f>
        <v/>
      </c>
      <c r="P1608" t="str">
        <f>IF([2]Entry!$R$1611="","",[2]Entry!$R$1611)</f>
        <v/>
      </c>
    </row>
    <row r="1609" spans="10:16" x14ac:dyDescent="0.2">
      <c r="J1609" t="str">
        <f>IF([2]Entry!$C$1612="","",[2]Entry!$C$1612)</f>
        <v/>
      </c>
      <c r="K1609" t="str">
        <f>IF([2]Entry!$D$1612="","",[2]Entry!$D$1612)</f>
        <v/>
      </c>
      <c r="L1609" t="str">
        <f>IF([2]Entry!$E$1612="","",[2]Entry!$E$1612)</f>
        <v/>
      </c>
      <c r="M1609" t="str">
        <f>IF([2]Entry!$G$1612="","",[2]Entry!$G$1612)</f>
        <v/>
      </c>
      <c r="N1609" t="str">
        <f>IF([2]Entry!$M$1612="","",[2]Entry!$M$1612)</f>
        <v/>
      </c>
      <c r="O1609" t="str">
        <f>IF([2]Entry!$N$1612="","",[2]Entry!$N$1612)</f>
        <v/>
      </c>
      <c r="P1609" t="str">
        <f>IF([2]Entry!$R$1612="","",[2]Entry!$R$1612)</f>
        <v/>
      </c>
    </row>
    <row r="1610" spans="10:16" x14ac:dyDescent="0.2">
      <c r="J1610" t="str">
        <f>IF([2]Entry!$C$1613="","",[2]Entry!$C$1613)</f>
        <v/>
      </c>
      <c r="K1610" t="str">
        <f>IF([2]Entry!$D$1613="","",[2]Entry!$D$1613)</f>
        <v/>
      </c>
      <c r="L1610" t="str">
        <f>IF([2]Entry!$E$1613="","",[2]Entry!$E$1613)</f>
        <v/>
      </c>
      <c r="M1610" t="str">
        <f>IF([2]Entry!$G$1613="","",[2]Entry!$G$1613)</f>
        <v/>
      </c>
      <c r="N1610" t="str">
        <f>IF([2]Entry!$M$1613="","",[2]Entry!$M$1613)</f>
        <v/>
      </c>
      <c r="O1610" t="str">
        <f>IF([2]Entry!$N$1613="","",[2]Entry!$N$1613)</f>
        <v/>
      </c>
      <c r="P1610" t="str">
        <f>IF([2]Entry!$R$1613="","",[2]Entry!$R$1613)</f>
        <v/>
      </c>
    </row>
    <row r="1611" spans="10:16" x14ac:dyDescent="0.2">
      <c r="J1611" t="str">
        <f>IF([2]Entry!$C$1614="","",[2]Entry!$C$1614)</f>
        <v/>
      </c>
      <c r="K1611" t="str">
        <f>IF([2]Entry!$D$1614="","",[2]Entry!$D$1614)</f>
        <v/>
      </c>
      <c r="L1611" t="str">
        <f>IF([2]Entry!$E$1614="","",[2]Entry!$E$1614)</f>
        <v/>
      </c>
      <c r="M1611" t="str">
        <f>IF([2]Entry!$G$1614="","",[2]Entry!$G$1614)</f>
        <v/>
      </c>
      <c r="N1611" t="str">
        <f>IF([2]Entry!$M$1614="","",[2]Entry!$M$1614)</f>
        <v/>
      </c>
      <c r="O1611" t="str">
        <f>IF([2]Entry!$N$1614="","",[2]Entry!$N$1614)</f>
        <v/>
      </c>
      <c r="P1611" t="str">
        <f>IF([2]Entry!$R$1614="","",[2]Entry!$R$1614)</f>
        <v/>
      </c>
    </row>
    <row r="1612" spans="10:16" x14ac:dyDescent="0.2">
      <c r="J1612" t="str">
        <f>IF([2]Entry!$C$1615="","",[2]Entry!$C$1615)</f>
        <v/>
      </c>
      <c r="K1612" t="str">
        <f>IF([2]Entry!$D$1615="","",[2]Entry!$D$1615)</f>
        <v/>
      </c>
      <c r="L1612" t="str">
        <f>IF([2]Entry!$E$1615="","",[2]Entry!$E$1615)</f>
        <v/>
      </c>
      <c r="M1612" t="str">
        <f>IF([2]Entry!$G$1615="","",[2]Entry!$G$1615)</f>
        <v/>
      </c>
      <c r="N1612" t="str">
        <f>IF([2]Entry!$M$1615="","",[2]Entry!$M$1615)</f>
        <v/>
      </c>
      <c r="O1612" t="str">
        <f>IF([2]Entry!$N$1615="","",[2]Entry!$N$1615)</f>
        <v/>
      </c>
      <c r="P1612" t="str">
        <f>IF([2]Entry!$R$1615="","",[2]Entry!$R$1615)</f>
        <v/>
      </c>
    </row>
    <row r="1613" spans="10:16" x14ac:dyDescent="0.2">
      <c r="J1613" t="str">
        <f>IF([2]Entry!$C$1616="","",[2]Entry!$C$1616)</f>
        <v/>
      </c>
      <c r="K1613" t="str">
        <f>IF([2]Entry!$D$1616="","",[2]Entry!$D$1616)</f>
        <v/>
      </c>
      <c r="L1613" t="str">
        <f>IF([2]Entry!$E$1616="","",[2]Entry!$E$1616)</f>
        <v/>
      </c>
      <c r="M1613" t="str">
        <f>IF([2]Entry!$G$1616="","",[2]Entry!$G$1616)</f>
        <v/>
      </c>
      <c r="N1613" t="str">
        <f>IF([2]Entry!$M$1616="","",[2]Entry!$M$1616)</f>
        <v/>
      </c>
      <c r="O1613" t="str">
        <f>IF([2]Entry!$N$1616="","",[2]Entry!$N$1616)</f>
        <v/>
      </c>
      <c r="P1613" t="str">
        <f>IF([2]Entry!$R$1616="","",[2]Entry!$R$1616)</f>
        <v/>
      </c>
    </row>
    <row r="1614" spans="10:16" x14ac:dyDescent="0.2">
      <c r="J1614" t="str">
        <f>IF([2]Entry!$C$1617="","",[2]Entry!$C$1617)</f>
        <v/>
      </c>
      <c r="K1614" t="str">
        <f>IF([2]Entry!$D$1617="","",[2]Entry!$D$1617)</f>
        <v/>
      </c>
      <c r="L1614" t="str">
        <f>IF([2]Entry!$E$1617="","",[2]Entry!$E$1617)</f>
        <v/>
      </c>
      <c r="M1614" t="str">
        <f>IF([2]Entry!$G$1617="","",[2]Entry!$G$1617)</f>
        <v/>
      </c>
      <c r="N1614" t="str">
        <f>IF([2]Entry!$M$1617="","",[2]Entry!$M$1617)</f>
        <v/>
      </c>
      <c r="O1614" t="str">
        <f>IF([2]Entry!$N$1617="","",[2]Entry!$N$1617)</f>
        <v/>
      </c>
      <c r="P1614" t="str">
        <f>IF([2]Entry!$R$1617="","",[2]Entry!$R$1617)</f>
        <v/>
      </c>
    </row>
    <row r="1615" spans="10:16" x14ac:dyDescent="0.2">
      <c r="J1615" t="str">
        <f>IF([2]Entry!$C$1618="","",[2]Entry!$C$1618)</f>
        <v/>
      </c>
      <c r="K1615" t="str">
        <f>IF([2]Entry!$D$1618="","",[2]Entry!$D$1618)</f>
        <v/>
      </c>
      <c r="L1615" t="str">
        <f>IF([2]Entry!$E$1618="","",[2]Entry!$E$1618)</f>
        <v/>
      </c>
      <c r="M1615" t="str">
        <f>IF([2]Entry!$G$1618="","",[2]Entry!$G$1618)</f>
        <v/>
      </c>
      <c r="N1615" t="str">
        <f>IF([2]Entry!$M$1618="","",[2]Entry!$M$1618)</f>
        <v/>
      </c>
      <c r="O1615" t="str">
        <f>IF([2]Entry!$N$1618="","",[2]Entry!$N$1618)</f>
        <v/>
      </c>
      <c r="P1615" t="str">
        <f>IF([2]Entry!$R$1618="","",[2]Entry!$R$1618)</f>
        <v/>
      </c>
    </row>
    <row r="1616" spans="10:16" x14ac:dyDescent="0.2">
      <c r="J1616" t="str">
        <f>IF([2]Entry!$C$1619="","",[2]Entry!$C$1619)</f>
        <v/>
      </c>
      <c r="K1616" t="str">
        <f>IF([2]Entry!$D$1619="","",[2]Entry!$D$1619)</f>
        <v/>
      </c>
      <c r="L1616" t="str">
        <f>IF([2]Entry!$E$1619="","",[2]Entry!$E$1619)</f>
        <v/>
      </c>
      <c r="M1616" t="str">
        <f>IF([2]Entry!$G$1619="","",[2]Entry!$G$1619)</f>
        <v/>
      </c>
      <c r="N1616" t="str">
        <f>IF([2]Entry!$M$1619="","",[2]Entry!$M$1619)</f>
        <v/>
      </c>
      <c r="O1616" t="str">
        <f>IF([2]Entry!$N$1619="","",[2]Entry!$N$1619)</f>
        <v/>
      </c>
      <c r="P1616" t="str">
        <f>IF([2]Entry!$R$1619="","",[2]Entry!$R$1619)</f>
        <v/>
      </c>
    </row>
    <row r="1617" spans="10:16" x14ac:dyDescent="0.2">
      <c r="J1617" t="str">
        <f>IF([2]Entry!$C$1620="","",[2]Entry!$C$1620)</f>
        <v/>
      </c>
      <c r="K1617" t="str">
        <f>IF([2]Entry!$D$1620="","",[2]Entry!$D$1620)</f>
        <v/>
      </c>
      <c r="L1617" t="str">
        <f>IF([2]Entry!$E$1620="","",[2]Entry!$E$1620)</f>
        <v/>
      </c>
      <c r="M1617" t="str">
        <f>IF([2]Entry!$G$1620="","",[2]Entry!$G$1620)</f>
        <v/>
      </c>
      <c r="N1617" t="str">
        <f>IF([2]Entry!$M$1620="","",[2]Entry!$M$1620)</f>
        <v/>
      </c>
      <c r="O1617" t="str">
        <f>IF([2]Entry!$N$1620="","",[2]Entry!$N$1620)</f>
        <v/>
      </c>
      <c r="P1617" t="str">
        <f>IF([2]Entry!$R$1620="","",[2]Entry!$R$1620)</f>
        <v/>
      </c>
    </row>
    <row r="1618" spans="10:16" x14ac:dyDescent="0.2">
      <c r="J1618" t="str">
        <f>IF([2]Entry!$C$1621="","",[2]Entry!$C$1621)</f>
        <v/>
      </c>
      <c r="K1618" t="str">
        <f>IF([2]Entry!$D$1621="","",[2]Entry!$D$1621)</f>
        <v/>
      </c>
      <c r="L1618" t="str">
        <f>IF([2]Entry!$E$1621="","",[2]Entry!$E$1621)</f>
        <v/>
      </c>
      <c r="M1618" t="str">
        <f>IF([2]Entry!$G$1621="","",[2]Entry!$G$1621)</f>
        <v/>
      </c>
      <c r="N1618" t="str">
        <f>IF([2]Entry!$M$1621="","",[2]Entry!$M$1621)</f>
        <v/>
      </c>
      <c r="O1618" t="str">
        <f>IF([2]Entry!$N$1621="","",[2]Entry!$N$1621)</f>
        <v/>
      </c>
      <c r="P1618" t="str">
        <f>IF([2]Entry!$R$1621="","",[2]Entry!$R$1621)</f>
        <v/>
      </c>
    </row>
    <row r="1619" spans="10:16" x14ac:dyDescent="0.2">
      <c r="J1619" t="str">
        <f>IF([2]Entry!$C$1622="","",[2]Entry!$C$1622)</f>
        <v/>
      </c>
      <c r="K1619" t="str">
        <f>IF([2]Entry!$D$1622="","",[2]Entry!$D$1622)</f>
        <v/>
      </c>
      <c r="L1619" t="str">
        <f>IF([2]Entry!$E$1622="","",[2]Entry!$E$1622)</f>
        <v/>
      </c>
      <c r="M1619" t="str">
        <f>IF([2]Entry!$G$1622="","",[2]Entry!$G$1622)</f>
        <v/>
      </c>
      <c r="N1619" t="str">
        <f>IF([2]Entry!$M$1622="","",[2]Entry!$M$1622)</f>
        <v/>
      </c>
      <c r="O1619" t="str">
        <f>IF([2]Entry!$N$1622="","",[2]Entry!$N$1622)</f>
        <v/>
      </c>
      <c r="P1619" t="str">
        <f>IF([2]Entry!$R$1622="","",[2]Entry!$R$1622)</f>
        <v/>
      </c>
    </row>
    <row r="1620" spans="10:16" x14ac:dyDescent="0.2">
      <c r="J1620" t="str">
        <f>IF([2]Entry!$C$1623="","",[2]Entry!$C$1623)</f>
        <v/>
      </c>
      <c r="K1620" t="str">
        <f>IF([2]Entry!$D$1623="","",[2]Entry!$D$1623)</f>
        <v/>
      </c>
      <c r="L1620" t="str">
        <f>IF([2]Entry!$E$1623="","",[2]Entry!$E$1623)</f>
        <v/>
      </c>
      <c r="M1620" t="str">
        <f>IF([2]Entry!$G$1623="","",[2]Entry!$G$1623)</f>
        <v/>
      </c>
      <c r="N1620" t="str">
        <f>IF([2]Entry!$M$1623="","",[2]Entry!$M$1623)</f>
        <v/>
      </c>
      <c r="O1620" t="str">
        <f>IF([2]Entry!$N$1623="","",[2]Entry!$N$1623)</f>
        <v/>
      </c>
      <c r="P1620" t="str">
        <f>IF([2]Entry!$R$1623="","",[2]Entry!$R$1623)</f>
        <v/>
      </c>
    </row>
    <row r="1621" spans="10:16" x14ac:dyDescent="0.2">
      <c r="J1621" t="str">
        <f>IF([2]Entry!$C$1624="","",[2]Entry!$C$1624)</f>
        <v/>
      </c>
      <c r="K1621" t="str">
        <f>IF([2]Entry!$D$1624="","",[2]Entry!$D$1624)</f>
        <v/>
      </c>
      <c r="L1621" t="str">
        <f>IF([2]Entry!$E$1624="","",[2]Entry!$E$1624)</f>
        <v/>
      </c>
      <c r="M1621" t="str">
        <f>IF([2]Entry!$G$1624="","",[2]Entry!$G$1624)</f>
        <v/>
      </c>
      <c r="N1621" t="str">
        <f>IF([2]Entry!$M$1624="","",[2]Entry!$M$1624)</f>
        <v/>
      </c>
      <c r="O1621" t="str">
        <f>IF([2]Entry!$N$1624="","",[2]Entry!$N$1624)</f>
        <v/>
      </c>
      <c r="P1621" t="str">
        <f>IF([2]Entry!$R$1624="","",[2]Entry!$R$1624)</f>
        <v/>
      </c>
    </row>
    <row r="1622" spans="10:16" x14ac:dyDescent="0.2">
      <c r="J1622" t="str">
        <f>IF([2]Entry!$C$1625="","",[2]Entry!$C$1625)</f>
        <v/>
      </c>
      <c r="K1622" t="str">
        <f>IF([2]Entry!$D$1625="","",[2]Entry!$D$1625)</f>
        <v/>
      </c>
      <c r="L1622" t="str">
        <f>IF([2]Entry!$E$1625="","",[2]Entry!$E$1625)</f>
        <v/>
      </c>
      <c r="M1622" t="str">
        <f>IF([2]Entry!$G$1625="","",[2]Entry!$G$1625)</f>
        <v/>
      </c>
      <c r="N1622" t="str">
        <f>IF([2]Entry!$M$1625="","",[2]Entry!$M$1625)</f>
        <v/>
      </c>
      <c r="O1622" t="str">
        <f>IF([2]Entry!$N$1625="","",[2]Entry!$N$1625)</f>
        <v/>
      </c>
      <c r="P1622" t="str">
        <f>IF([2]Entry!$R$1625="","",[2]Entry!$R$1625)</f>
        <v/>
      </c>
    </row>
    <row r="1623" spans="10:16" x14ac:dyDescent="0.2">
      <c r="J1623" t="str">
        <f>IF([2]Entry!$C$1626="","",[2]Entry!$C$1626)</f>
        <v/>
      </c>
      <c r="K1623" t="str">
        <f>IF([2]Entry!$D$1626="","",[2]Entry!$D$1626)</f>
        <v/>
      </c>
      <c r="L1623" t="str">
        <f>IF([2]Entry!$E$1626="","",[2]Entry!$E$1626)</f>
        <v/>
      </c>
      <c r="M1623" t="str">
        <f>IF([2]Entry!$G$1626="","",[2]Entry!$G$1626)</f>
        <v/>
      </c>
      <c r="N1623" t="str">
        <f>IF([2]Entry!$M$1626="","",[2]Entry!$M$1626)</f>
        <v/>
      </c>
      <c r="O1623" t="str">
        <f>IF([2]Entry!$N$1626="","",[2]Entry!$N$1626)</f>
        <v/>
      </c>
      <c r="P1623" t="str">
        <f>IF([2]Entry!$R$1626="","",[2]Entry!$R$1626)</f>
        <v/>
      </c>
    </row>
    <row r="1624" spans="10:16" x14ac:dyDescent="0.2">
      <c r="J1624" t="str">
        <f>IF([2]Entry!$C$1627="","",[2]Entry!$C$1627)</f>
        <v/>
      </c>
      <c r="K1624" t="str">
        <f>IF([2]Entry!$D$1627="","",[2]Entry!$D$1627)</f>
        <v/>
      </c>
      <c r="L1624" t="str">
        <f>IF([2]Entry!$E$1627="","",[2]Entry!$E$1627)</f>
        <v/>
      </c>
      <c r="M1624" t="str">
        <f>IF([2]Entry!$G$1627="","",[2]Entry!$G$1627)</f>
        <v/>
      </c>
      <c r="N1624" t="str">
        <f>IF([2]Entry!$M$1627="","",[2]Entry!$M$1627)</f>
        <v/>
      </c>
      <c r="O1624" t="str">
        <f>IF([2]Entry!$N$1627="","",[2]Entry!$N$1627)</f>
        <v/>
      </c>
      <c r="P1624" t="str">
        <f>IF([2]Entry!$R$1627="","",[2]Entry!$R$1627)</f>
        <v/>
      </c>
    </row>
    <row r="1625" spans="10:16" x14ac:dyDescent="0.2">
      <c r="J1625" t="str">
        <f>IF([2]Entry!$C$1628="","",[2]Entry!$C$1628)</f>
        <v/>
      </c>
      <c r="K1625" t="str">
        <f>IF([2]Entry!$D$1628="","",[2]Entry!$D$1628)</f>
        <v/>
      </c>
      <c r="L1625" t="str">
        <f>IF([2]Entry!$E$1628="","",[2]Entry!$E$1628)</f>
        <v/>
      </c>
      <c r="M1625" t="str">
        <f>IF([2]Entry!$G$1628="","",[2]Entry!$G$1628)</f>
        <v/>
      </c>
      <c r="N1625" t="str">
        <f>IF([2]Entry!$M$1628="","",[2]Entry!$M$1628)</f>
        <v/>
      </c>
      <c r="O1625" t="str">
        <f>IF([2]Entry!$N$1628="","",[2]Entry!$N$1628)</f>
        <v/>
      </c>
      <c r="P1625" t="str">
        <f>IF([2]Entry!$R$1628="","",[2]Entry!$R$1628)</f>
        <v/>
      </c>
    </row>
    <row r="1626" spans="10:16" x14ac:dyDescent="0.2">
      <c r="J1626" t="str">
        <f>IF([2]Entry!$C$1629="","",[2]Entry!$C$1629)</f>
        <v/>
      </c>
      <c r="K1626" t="str">
        <f>IF([2]Entry!$D$1629="","",[2]Entry!$D$1629)</f>
        <v/>
      </c>
      <c r="L1626" t="str">
        <f>IF([2]Entry!$E$1629="","",[2]Entry!$E$1629)</f>
        <v/>
      </c>
      <c r="M1626" t="str">
        <f>IF([2]Entry!$G$1629="","",[2]Entry!$G$1629)</f>
        <v/>
      </c>
      <c r="N1626" t="str">
        <f>IF([2]Entry!$M$1629="","",[2]Entry!$M$1629)</f>
        <v/>
      </c>
      <c r="O1626" t="str">
        <f>IF([2]Entry!$N$1629="","",[2]Entry!$N$1629)</f>
        <v/>
      </c>
      <c r="P1626" t="str">
        <f>IF([2]Entry!$R$1629="","",[2]Entry!$R$1629)</f>
        <v/>
      </c>
    </row>
    <row r="1627" spans="10:16" x14ac:dyDescent="0.2">
      <c r="J1627" t="str">
        <f>IF([2]Entry!$C$1630="","",[2]Entry!$C$1630)</f>
        <v/>
      </c>
      <c r="K1627" t="str">
        <f>IF([2]Entry!$D$1630="","",[2]Entry!$D$1630)</f>
        <v/>
      </c>
      <c r="L1627" t="str">
        <f>IF([2]Entry!$E$1630="","",[2]Entry!$E$1630)</f>
        <v/>
      </c>
      <c r="M1627" t="str">
        <f>IF([2]Entry!$G$1630="","",[2]Entry!$G$1630)</f>
        <v/>
      </c>
      <c r="N1627" t="str">
        <f>IF([2]Entry!$M$1630="","",[2]Entry!$M$1630)</f>
        <v/>
      </c>
      <c r="O1627" t="str">
        <f>IF([2]Entry!$N$1630="","",[2]Entry!$N$1630)</f>
        <v/>
      </c>
      <c r="P1627" t="str">
        <f>IF([2]Entry!$R$1630="","",[2]Entry!$R$1630)</f>
        <v/>
      </c>
    </row>
    <row r="1628" spans="10:16" x14ac:dyDescent="0.2">
      <c r="J1628" t="str">
        <f>IF([2]Entry!$C$1631="","",[2]Entry!$C$1631)</f>
        <v/>
      </c>
      <c r="K1628" t="str">
        <f>IF([2]Entry!$D$1631="","",[2]Entry!$D$1631)</f>
        <v/>
      </c>
      <c r="L1628" t="str">
        <f>IF([2]Entry!$E$1631="","",[2]Entry!$E$1631)</f>
        <v/>
      </c>
      <c r="M1628" t="str">
        <f>IF([2]Entry!$G$1631="","",[2]Entry!$G$1631)</f>
        <v/>
      </c>
      <c r="N1628" t="str">
        <f>IF([2]Entry!$M$1631="","",[2]Entry!$M$1631)</f>
        <v/>
      </c>
      <c r="O1628" t="str">
        <f>IF([2]Entry!$N$1631="","",[2]Entry!$N$1631)</f>
        <v/>
      </c>
      <c r="P1628" t="str">
        <f>IF([2]Entry!$R$1631="","",[2]Entry!$R$1631)</f>
        <v/>
      </c>
    </row>
    <row r="1629" spans="10:16" x14ac:dyDescent="0.2">
      <c r="J1629" t="str">
        <f>IF([2]Entry!$C$1632="","",[2]Entry!$C$1632)</f>
        <v/>
      </c>
      <c r="K1629" t="str">
        <f>IF([2]Entry!$D$1632="","",[2]Entry!$D$1632)</f>
        <v/>
      </c>
      <c r="L1629" t="str">
        <f>IF([2]Entry!$E$1632="","",[2]Entry!$E$1632)</f>
        <v/>
      </c>
      <c r="M1629" t="str">
        <f>IF([2]Entry!$G$1632="","",[2]Entry!$G$1632)</f>
        <v/>
      </c>
      <c r="N1629" t="str">
        <f>IF([2]Entry!$M$1632="","",[2]Entry!$M$1632)</f>
        <v/>
      </c>
      <c r="O1629" t="str">
        <f>IF([2]Entry!$N$1632="","",[2]Entry!$N$1632)</f>
        <v/>
      </c>
      <c r="P1629" t="str">
        <f>IF([2]Entry!$R$1632="","",[2]Entry!$R$1632)</f>
        <v/>
      </c>
    </row>
    <row r="1630" spans="10:16" x14ac:dyDescent="0.2">
      <c r="J1630" t="str">
        <f>IF([2]Entry!$C$1633="","",[2]Entry!$C$1633)</f>
        <v/>
      </c>
      <c r="K1630" t="str">
        <f>IF([2]Entry!$D$1633="","",[2]Entry!$D$1633)</f>
        <v/>
      </c>
      <c r="L1630" t="str">
        <f>IF([2]Entry!$E$1633="","",[2]Entry!$E$1633)</f>
        <v/>
      </c>
      <c r="M1630" t="str">
        <f>IF([2]Entry!$G$1633="","",[2]Entry!$G$1633)</f>
        <v/>
      </c>
      <c r="N1630" t="str">
        <f>IF([2]Entry!$M$1633="","",[2]Entry!$M$1633)</f>
        <v/>
      </c>
      <c r="O1630" t="str">
        <f>IF([2]Entry!$N$1633="","",[2]Entry!$N$1633)</f>
        <v/>
      </c>
      <c r="P1630" t="str">
        <f>IF([2]Entry!$R$1633="","",[2]Entry!$R$1633)</f>
        <v/>
      </c>
    </row>
    <row r="1631" spans="10:16" x14ac:dyDescent="0.2">
      <c r="J1631" t="str">
        <f>IF([2]Entry!$C$1634="","",[2]Entry!$C$1634)</f>
        <v/>
      </c>
      <c r="K1631" t="str">
        <f>IF([2]Entry!$D$1634="","",[2]Entry!$D$1634)</f>
        <v/>
      </c>
      <c r="L1631" t="str">
        <f>IF([2]Entry!$E$1634="","",[2]Entry!$E$1634)</f>
        <v/>
      </c>
      <c r="M1631" t="str">
        <f>IF([2]Entry!$G$1634="","",[2]Entry!$G$1634)</f>
        <v/>
      </c>
      <c r="N1631" t="str">
        <f>IF([2]Entry!$M$1634="","",[2]Entry!$M$1634)</f>
        <v/>
      </c>
      <c r="O1631" t="str">
        <f>IF([2]Entry!$N$1634="","",[2]Entry!$N$1634)</f>
        <v/>
      </c>
      <c r="P1631" t="str">
        <f>IF([2]Entry!$R$1634="","",[2]Entry!$R$1634)</f>
        <v/>
      </c>
    </row>
    <row r="1632" spans="10:16" x14ac:dyDescent="0.2">
      <c r="J1632" t="str">
        <f>IF([2]Entry!$C$1635="","",[2]Entry!$C$1635)</f>
        <v/>
      </c>
      <c r="K1632" t="str">
        <f>IF([2]Entry!$D$1635="","",[2]Entry!$D$1635)</f>
        <v/>
      </c>
      <c r="L1632" t="str">
        <f>IF([2]Entry!$E$1635="","",[2]Entry!$E$1635)</f>
        <v/>
      </c>
      <c r="M1632" t="str">
        <f>IF([2]Entry!$G$1635="","",[2]Entry!$G$1635)</f>
        <v/>
      </c>
      <c r="N1632" t="str">
        <f>IF([2]Entry!$M$1635="","",[2]Entry!$M$1635)</f>
        <v/>
      </c>
      <c r="O1632" t="str">
        <f>IF([2]Entry!$N$1635="","",[2]Entry!$N$1635)</f>
        <v/>
      </c>
      <c r="P1632" t="str">
        <f>IF([2]Entry!$R$1635="","",[2]Entry!$R$1635)</f>
        <v/>
      </c>
    </row>
    <row r="1633" spans="10:16" x14ac:dyDescent="0.2">
      <c r="J1633" t="str">
        <f>IF([2]Entry!$C$1636="","",[2]Entry!$C$1636)</f>
        <v/>
      </c>
      <c r="K1633" t="str">
        <f>IF([2]Entry!$D$1636="","",[2]Entry!$D$1636)</f>
        <v/>
      </c>
      <c r="L1633" t="str">
        <f>IF([2]Entry!$E$1636="","",[2]Entry!$E$1636)</f>
        <v/>
      </c>
      <c r="M1633" t="str">
        <f>IF([2]Entry!$G$1636="","",[2]Entry!$G$1636)</f>
        <v/>
      </c>
      <c r="N1633" t="str">
        <f>IF([2]Entry!$M$1636="","",[2]Entry!$M$1636)</f>
        <v/>
      </c>
      <c r="O1633" t="str">
        <f>IF([2]Entry!$N$1636="","",[2]Entry!$N$1636)</f>
        <v/>
      </c>
      <c r="P1633" t="str">
        <f>IF([2]Entry!$R$1636="","",[2]Entry!$R$1636)</f>
        <v/>
      </c>
    </row>
    <row r="1634" spans="10:16" x14ac:dyDescent="0.2">
      <c r="J1634" t="str">
        <f>IF([2]Entry!$C$1637="","",[2]Entry!$C$1637)</f>
        <v/>
      </c>
      <c r="K1634" t="str">
        <f>IF([2]Entry!$D$1637="","",[2]Entry!$D$1637)</f>
        <v/>
      </c>
      <c r="L1634" t="str">
        <f>IF([2]Entry!$E$1637="","",[2]Entry!$E$1637)</f>
        <v/>
      </c>
      <c r="M1634" t="str">
        <f>IF([2]Entry!$G$1637="","",[2]Entry!$G$1637)</f>
        <v/>
      </c>
      <c r="N1634" t="str">
        <f>IF([2]Entry!$M$1637="","",[2]Entry!$M$1637)</f>
        <v/>
      </c>
      <c r="O1634" t="str">
        <f>IF([2]Entry!$N$1637="","",[2]Entry!$N$1637)</f>
        <v/>
      </c>
      <c r="P1634" t="str">
        <f>IF([2]Entry!$R$1637="","",[2]Entry!$R$1637)</f>
        <v/>
      </c>
    </row>
    <row r="1635" spans="10:16" x14ac:dyDescent="0.2">
      <c r="J1635" t="str">
        <f>IF([2]Entry!$C$1638="","",[2]Entry!$C$1638)</f>
        <v/>
      </c>
      <c r="K1635" t="str">
        <f>IF([2]Entry!$D$1638="","",[2]Entry!$D$1638)</f>
        <v/>
      </c>
      <c r="L1635" t="str">
        <f>IF([2]Entry!$E$1638="","",[2]Entry!$E$1638)</f>
        <v/>
      </c>
      <c r="M1635" t="str">
        <f>IF([2]Entry!$G$1638="","",[2]Entry!$G$1638)</f>
        <v/>
      </c>
      <c r="N1635" t="str">
        <f>IF([2]Entry!$M$1638="","",[2]Entry!$M$1638)</f>
        <v/>
      </c>
      <c r="O1635" t="str">
        <f>IF([2]Entry!$N$1638="","",[2]Entry!$N$1638)</f>
        <v/>
      </c>
      <c r="P1635" t="str">
        <f>IF([2]Entry!$R$1638="","",[2]Entry!$R$1638)</f>
        <v/>
      </c>
    </row>
    <row r="1636" spans="10:16" x14ac:dyDescent="0.2">
      <c r="J1636" t="str">
        <f>IF([2]Entry!$C$1639="","",[2]Entry!$C$1639)</f>
        <v/>
      </c>
      <c r="K1636" t="str">
        <f>IF([2]Entry!$D$1639="","",[2]Entry!$D$1639)</f>
        <v/>
      </c>
      <c r="L1636" t="str">
        <f>IF([2]Entry!$E$1639="","",[2]Entry!$E$1639)</f>
        <v/>
      </c>
      <c r="M1636" t="str">
        <f>IF([2]Entry!$G$1639="","",[2]Entry!$G$1639)</f>
        <v/>
      </c>
      <c r="N1636" t="str">
        <f>IF([2]Entry!$M$1639="","",[2]Entry!$M$1639)</f>
        <v/>
      </c>
      <c r="O1636" t="str">
        <f>IF([2]Entry!$N$1639="","",[2]Entry!$N$1639)</f>
        <v/>
      </c>
      <c r="P1636" t="str">
        <f>IF([2]Entry!$R$1639="","",[2]Entry!$R$1639)</f>
        <v/>
      </c>
    </row>
    <row r="1637" spans="10:16" x14ac:dyDescent="0.2">
      <c r="J1637" t="str">
        <f>IF([2]Entry!$C$1640="","",[2]Entry!$C$1640)</f>
        <v/>
      </c>
      <c r="K1637" t="str">
        <f>IF([2]Entry!$D$1640="","",[2]Entry!$D$1640)</f>
        <v/>
      </c>
      <c r="L1637" t="str">
        <f>IF([2]Entry!$E$1640="","",[2]Entry!$E$1640)</f>
        <v/>
      </c>
      <c r="M1637" t="str">
        <f>IF([2]Entry!$G$1640="","",[2]Entry!$G$1640)</f>
        <v/>
      </c>
      <c r="N1637" t="str">
        <f>IF([2]Entry!$M$1640="","",[2]Entry!$M$1640)</f>
        <v/>
      </c>
      <c r="O1637" t="str">
        <f>IF([2]Entry!$N$1640="","",[2]Entry!$N$1640)</f>
        <v/>
      </c>
      <c r="P1637" t="str">
        <f>IF([2]Entry!$R$1640="","",[2]Entry!$R$1640)</f>
        <v/>
      </c>
    </row>
    <row r="1638" spans="10:16" x14ac:dyDescent="0.2">
      <c r="J1638" t="str">
        <f>IF([2]Entry!$C$1641="","",[2]Entry!$C$1641)</f>
        <v/>
      </c>
      <c r="K1638" t="str">
        <f>IF([2]Entry!$D$1641="","",[2]Entry!$D$1641)</f>
        <v/>
      </c>
      <c r="L1638" t="str">
        <f>IF([2]Entry!$E$1641="","",[2]Entry!$E$1641)</f>
        <v/>
      </c>
      <c r="M1638" t="str">
        <f>IF([2]Entry!$G$1641="","",[2]Entry!$G$1641)</f>
        <v/>
      </c>
      <c r="N1638" t="str">
        <f>IF([2]Entry!$M$1641="","",[2]Entry!$M$1641)</f>
        <v/>
      </c>
      <c r="O1638" t="str">
        <f>IF([2]Entry!$N$1641="","",[2]Entry!$N$1641)</f>
        <v/>
      </c>
      <c r="P1638" t="str">
        <f>IF([2]Entry!$R$1641="","",[2]Entry!$R$1641)</f>
        <v/>
      </c>
    </row>
    <row r="1639" spans="10:16" x14ac:dyDescent="0.2">
      <c r="J1639" t="str">
        <f>IF([2]Entry!$C$1642="","",[2]Entry!$C$1642)</f>
        <v/>
      </c>
      <c r="K1639" t="str">
        <f>IF([2]Entry!$D$1642="","",[2]Entry!$D$1642)</f>
        <v/>
      </c>
      <c r="L1639" t="str">
        <f>IF([2]Entry!$E$1642="","",[2]Entry!$E$1642)</f>
        <v/>
      </c>
      <c r="M1639" t="str">
        <f>IF([2]Entry!$G$1642="","",[2]Entry!$G$1642)</f>
        <v/>
      </c>
      <c r="N1639" t="str">
        <f>IF([2]Entry!$M$1642="","",[2]Entry!$M$1642)</f>
        <v/>
      </c>
      <c r="O1639" t="str">
        <f>IF([2]Entry!$N$1642="","",[2]Entry!$N$1642)</f>
        <v/>
      </c>
      <c r="P1639" t="str">
        <f>IF([2]Entry!$R$1642="","",[2]Entry!$R$1642)</f>
        <v/>
      </c>
    </row>
    <row r="1640" spans="10:16" x14ac:dyDescent="0.2">
      <c r="J1640" t="str">
        <f>IF([2]Entry!$C$1643="","",[2]Entry!$C$1643)</f>
        <v/>
      </c>
      <c r="K1640" t="str">
        <f>IF([2]Entry!$D$1643="","",[2]Entry!$D$1643)</f>
        <v/>
      </c>
      <c r="L1640" t="str">
        <f>IF([2]Entry!$E$1643="","",[2]Entry!$E$1643)</f>
        <v/>
      </c>
      <c r="M1640" t="str">
        <f>IF([2]Entry!$G$1643="","",[2]Entry!$G$1643)</f>
        <v/>
      </c>
      <c r="N1640" t="str">
        <f>IF([2]Entry!$M$1643="","",[2]Entry!$M$1643)</f>
        <v/>
      </c>
      <c r="O1640" t="str">
        <f>IF([2]Entry!$N$1643="","",[2]Entry!$N$1643)</f>
        <v/>
      </c>
      <c r="P1640" t="str">
        <f>IF([2]Entry!$R$1643="","",[2]Entry!$R$1643)</f>
        <v/>
      </c>
    </row>
    <row r="1641" spans="10:16" x14ac:dyDescent="0.2">
      <c r="J1641" t="str">
        <f>IF([2]Entry!$C$1644="","",[2]Entry!$C$1644)</f>
        <v/>
      </c>
      <c r="K1641" t="str">
        <f>IF([2]Entry!$D$1644="","",[2]Entry!$D$1644)</f>
        <v/>
      </c>
      <c r="L1641" t="str">
        <f>IF([2]Entry!$E$1644="","",[2]Entry!$E$1644)</f>
        <v/>
      </c>
      <c r="M1641" t="str">
        <f>IF([2]Entry!$G$1644="","",[2]Entry!$G$1644)</f>
        <v/>
      </c>
      <c r="N1641" t="str">
        <f>IF([2]Entry!$M$1644="","",[2]Entry!$M$1644)</f>
        <v/>
      </c>
      <c r="O1641" t="str">
        <f>IF([2]Entry!$N$1644="","",[2]Entry!$N$1644)</f>
        <v/>
      </c>
      <c r="P1641" t="str">
        <f>IF([2]Entry!$R$1644="","",[2]Entry!$R$1644)</f>
        <v/>
      </c>
    </row>
    <row r="1642" spans="10:16" x14ac:dyDescent="0.2">
      <c r="J1642" t="str">
        <f>IF([2]Entry!$C$1645="","",[2]Entry!$C$1645)</f>
        <v/>
      </c>
      <c r="K1642" t="str">
        <f>IF([2]Entry!$D$1645="","",[2]Entry!$D$1645)</f>
        <v/>
      </c>
      <c r="L1642" t="str">
        <f>IF([2]Entry!$E$1645="","",[2]Entry!$E$1645)</f>
        <v/>
      </c>
      <c r="M1642" t="str">
        <f>IF([2]Entry!$G$1645="","",[2]Entry!$G$1645)</f>
        <v/>
      </c>
      <c r="N1642" t="str">
        <f>IF([2]Entry!$M$1645="","",[2]Entry!$M$1645)</f>
        <v/>
      </c>
      <c r="O1642" t="str">
        <f>IF([2]Entry!$N$1645="","",[2]Entry!$N$1645)</f>
        <v/>
      </c>
      <c r="P1642" t="str">
        <f>IF([2]Entry!$R$1645="","",[2]Entry!$R$1645)</f>
        <v/>
      </c>
    </row>
    <row r="1643" spans="10:16" x14ac:dyDescent="0.2">
      <c r="J1643" t="str">
        <f>IF([2]Entry!$C$1646="","",[2]Entry!$C$1646)</f>
        <v/>
      </c>
      <c r="K1643" t="str">
        <f>IF([2]Entry!$D$1646="","",[2]Entry!$D$1646)</f>
        <v/>
      </c>
      <c r="L1643" t="str">
        <f>IF([2]Entry!$E$1646="","",[2]Entry!$E$1646)</f>
        <v/>
      </c>
      <c r="M1643" t="str">
        <f>IF([2]Entry!$G$1646="","",[2]Entry!$G$1646)</f>
        <v/>
      </c>
      <c r="N1643" t="str">
        <f>IF([2]Entry!$M$1646="","",[2]Entry!$M$1646)</f>
        <v/>
      </c>
      <c r="O1643" t="str">
        <f>IF([2]Entry!$N$1646="","",[2]Entry!$N$1646)</f>
        <v/>
      </c>
      <c r="P1643" t="str">
        <f>IF([2]Entry!$R$1646="","",[2]Entry!$R$1646)</f>
        <v/>
      </c>
    </row>
    <row r="1644" spans="10:16" x14ac:dyDescent="0.2">
      <c r="J1644" t="str">
        <f>IF([2]Entry!$C$1647="","",[2]Entry!$C$1647)</f>
        <v/>
      </c>
      <c r="K1644" t="str">
        <f>IF([2]Entry!$D$1647="","",[2]Entry!$D$1647)</f>
        <v/>
      </c>
      <c r="L1644" t="str">
        <f>IF([2]Entry!$E$1647="","",[2]Entry!$E$1647)</f>
        <v/>
      </c>
      <c r="M1644" t="str">
        <f>IF([2]Entry!$G$1647="","",[2]Entry!$G$1647)</f>
        <v/>
      </c>
      <c r="N1644" t="str">
        <f>IF([2]Entry!$M$1647="","",[2]Entry!$M$1647)</f>
        <v/>
      </c>
      <c r="O1644" t="str">
        <f>IF([2]Entry!$N$1647="","",[2]Entry!$N$1647)</f>
        <v/>
      </c>
      <c r="P1644" t="str">
        <f>IF([2]Entry!$R$1647="","",[2]Entry!$R$1647)</f>
        <v/>
      </c>
    </row>
    <row r="1645" spans="10:16" x14ac:dyDescent="0.2">
      <c r="J1645" t="str">
        <f>IF([2]Entry!$C$1648="","",[2]Entry!$C$1648)</f>
        <v/>
      </c>
      <c r="K1645" t="str">
        <f>IF([2]Entry!$D$1648="","",[2]Entry!$D$1648)</f>
        <v/>
      </c>
      <c r="L1645" t="str">
        <f>IF([2]Entry!$E$1648="","",[2]Entry!$E$1648)</f>
        <v/>
      </c>
      <c r="M1645" t="str">
        <f>IF([2]Entry!$G$1648="","",[2]Entry!$G$1648)</f>
        <v/>
      </c>
      <c r="N1645" t="str">
        <f>IF([2]Entry!$M$1648="","",[2]Entry!$M$1648)</f>
        <v/>
      </c>
      <c r="O1645" t="str">
        <f>IF([2]Entry!$N$1648="","",[2]Entry!$N$1648)</f>
        <v/>
      </c>
      <c r="P1645" t="str">
        <f>IF([2]Entry!$R$1648="","",[2]Entry!$R$1648)</f>
        <v/>
      </c>
    </row>
    <row r="1646" spans="10:16" x14ac:dyDescent="0.2">
      <c r="J1646" t="str">
        <f>IF([2]Entry!$C$1649="","",[2]Entry!$C$1649)</f>
        <v/>
      </c>
      <c r="K1646" t="str">
        <f>IF([2]Entry!$D$1649="","",[2]Entry!$D$1649)</f>
        <v/>
      </c>
      <c r="L1646" t="str">
        <f>IF([2]Entry!$E$1649="","",[2]Entry!$E$1649)</f>
        <v/>
      </c>
      <c r="M1646" t="str">
        <f>IF([2]Entry!$G$1649="","",[2]Entry!$G$1649)</f>
        <v/>
      </c>
      <c r="N1646" t="str">
        <f>IF([2]Entry!$M$1649="","",[2]Entry!$M$1649)</f>
        <v/>
      </c>
      <c r="O1646" t="str">
        <f>IF([2]Entry!$N$1649="","",[2]Entry!$N$1649)</f>
        <v/>
      </c>
      <c r="P1646" t="str">
        <f>IF([2]Entry!$R$1649="","",[2]Entry!$R$1649)</f>
        <v/>
      </c>
    </row>
    <row r="1647" spans="10:16" x14ac:dyDescent="0.2">
      <c r="J1647" t="str">
        <f>IF([2]Entry!$C$1650="","",[2]Entry!$C$1650)</f>
        <v/>
      </c>
      <c r="K1647" t="str">
        <f>IF([2]Entry!$D$1650="","",[2]Entry!$D$1650)</f>
        <v/>
      </c>
      <c r="L1647" t="str">
        <f>IF([2]Entry!$E$1650="","",[2]Entry!$E$1650)</f>
        <v/>
      </c>
      <c r="M1647" t="str">
        <f>IF([2]Entry!$G$1650="","",[2]Entry!$G$1650)</f>
        <v/>
      </c>
      <c r="N1647" t="str">
        <f>IF([2]Entry!$M$1650="","",[2]Entry!$M$1650)</f>
        <v/>
      </c>
      <c r="O1647" t="str">
        <f>IF([2]Entry!$N$1650="","",[2]Entry!$N$1650)</f>
        <v/>
      </c>
      <c r="P1647" t="str">
        <f>IF([2]Entry!$R$1650="","",[2]Entry!$R$1650)</f>
        <v/>
      </c>
    </row>
    <row r="1648" spans="10:16" x14ac:dyDescent="0.2">
      <c r="J1648" t="str">
        <f>IF([2]Entry!$C$1651="","",[2]Entry!$C$1651)</f>
        <v/>
      </c>
      <c r="K1648" t="str">
        <f>IF([2]Entry!$D$1651="","",[2]Entry!$D$1651)</f>
        <v/>
      </c>
      <c r="L1648" t="str">
        <f>IF([2]Entry!$E$1651="","",[2]Entry!$E$1651)</f>
        <v/>
      </c>
      <c r="M1648" t="str">
        <f>IF([2]Entry!$G$1651="","",[2]Entry!$G$1651)</f>
        <v/>
      </c>
      <c r="N1648" t="str">
        <f>IF([2]Entry!$M$1651="","",[2]Entry!$M$1651)</f>
        <v/>
      </c>
      <c r="O1648" t="str">
        <f>IF([2]Entry!$N$1651="","",[2]Entry!$N$1651)</f>
        <v/>
      </c>
      <c r="P1648" t="str">
        <f>IF([2]Entry!$R$1651="","",[2]Entry!$R$1651)</f>
        <v/>
      </c>
    </row>
    <row r="1649" spans="10:16" x14ac:dyDescent="0.2">
      <c r="J1649" t="str">
        <f>IF([2]Entry!$C$1652="","",[2]Entry!$C$1652)</f>
        <v/>
      </c>
      <c r="K1649" t="str">
        <f>IF([2]Entry!$D$1652="","",[2]Entry!$D$1652)</f>
        <v/>
      </c>
      <c r="L1649" t="str">
        <f>IF([2]Entry!$E$1652="","",[2]Entry!$E$1652)</f>
        <v/>
      </c>
      <c r="M1649" t="str">
        <f>IF([2]Entry!$G$1652="","",[2]Entry!$G$1652)</f>
        <v/>
      </c>
      <c r="N1649" t="str">
        <f>IF([2]Entry!$M$1652="","",[2]Entry!$M$1652)</f>
        <v/>
      </c>
      <c r="O1649" t="str">
        <f>IF([2]Entry!$N$1652="","",[2]Entry!$N$1652)</f>
        <v/>
      </c>
      <c r="P1649" t="str">
        <f>IF([2]Entry!$R$1652="","",[2]Entry!$R$1652)</f>
        <v/>
      </c>
    </row>
    <row r="1650" spans="10:16" x14ac:dyDescent="0.2">
      <c r="J1650" t="str">
        <f>IF([2]Entry!$C$1653="","",[2]Entry!$C$1653)</f>
        <v/>
      </c>
      <c r="K1650" t="str">
        <f>IF([2]Entry!$D$1653="","",[2]Entry!$D$1653)</f>
        <v/>
      </c>
      <c r="L1650" t="str">
        <f>IF([2]Entry!$E$1653="","",[2]Entry!$E$1653)</f>
        <v/>
      </c>
      <c r="M1650" t="str">
        <f>IF([2]Entry!$G$1653="","",[2]Entry!$G$1653)</f>
        <v/>
      </c>
      <c r="N1650" t="str">
        <f>IF([2]Entry!$M$1653="","",[2]Entry!$M$1653)</f>
        <v/>
      </c>
      <c r="O1650" t="str">
        <f>IF([2]Entry!$N$1653="","",[2]Entry!$N$1653)</f>
        <v/>
      </c>
      <c r="P1650" t="str">
        <f>IF([2]Entry!$R$1653="","",[2]Entry!$R$1653)</f>
        <v/>
      </c>
    </row>
    <row r="1651" spans="10:16" x14ac:dyDescent="0.2">
      <c r="J1651" t="str">
        <f>IF([2]Entry!$C$1654="","",[2]Entry!$C$1654)</f>
        <v/>
      </c>
      <c r="K1651" t="str">
        <f>IF([2]Entry!$D$1654="","",[2]Entry!$D$1654)</f>
        <v/>
      </c>
      <c r="L1651" t="str">
        <f>IF([2]Entry!$E$1654="","",[2]Entry!$E$1654)</f>
        <v/>
      </c>
      <c r="M1651" t="str">
        <f>IF([2]Entry!$G$1654="","",[2]Entry!$G$1654)</f>
        <v/>
      </c>
      <c r="N1651" t="str">
        <f>IF([2]Entry!$M$1654="","",[2]Entry!$M$1654)</f>
        <v/>
      </c>
      <c r="O1651" t="str">
        <f>IF([2]Entry!$N$1654="","",[2]Entry!$N$1654)</f>
        <v/>
      </c>
      <c r="P1651" t="str">
        <f>IF([2]Entry!$R$1654="","",[2]Entry!$R$1654)</f>
        <v/>
      </c>
    </row>
    <row r="1652" spans="10:16" x14ac:dyDescent="0.2">
      <c r="J1652" t="str">
        <f>IF([2]Entry!$C$1655="","",[2]Entry!$C$1655)</f>
        <v/>
      </c>
      <c r="K1652" t="str">
        <f>IF([2]Entry!$D$1655="","",[2]Entry!$D$1655)</f>
        <v/>
      </c>
      <c r="L1652" t="str">
        <f>IF([2]Entry!$E$1655="","",[2]Entry!$E$1655)</f>
        <v/>
      </c>
      <c r="M1652" t="str">
        <f>IF([2]Entry!$G$1655="","",[2]Entry!$G$1655)</f>
        <v/>
      </c>
      <c r="N1652" t="str">
        <f>IF([2]Entry!$M$1655="","",[2]Entry!$M$1655)</f>
        <v/>
      </c>
      <c r="O1652" t="str">
        <f>IF([2]Entry!$N$1655="","",[2]Entry!$N$1655)</f>
        <v/>
      </c>
      <c r="P1652" t="str">
        <f>IF([2]Entry!$R$1655="","",[2]Entry!$R$1655)</f>
        <v/>
      </c>
    </row>
    <row r="1653" spans="10:16" x14ac:dyDescent="0.2">
      <c r="J1653" t="str">
        <f>IF([2]Entry!$C$1656="","",[2]Entry!$C$1656)</f>
        <v/>
      </c>
      <c r="K1653" t="str">
        <f>IF([2]Entry!$D$1656="","",[2]Entry!$D$1656)</f>
        <v/>
      </c>
      <c r="L1653" t="str">
        <f>IF([2]Entry!$E$1656="","",[2]Entry!$E$1656)</f>
        <v/>
      </c>
      <c r="M1653" t="str">
        <f>IF([2]Entry!$G$1656="","",[2]Entry!$G$1656)</f>
        <v/>
      </c>
      <c r="N1653" t="str">
        <f>IF([2]Entry!$M$1656="","",[2]Entry!$M$1656)</f>
        <v/>
      </c>
      <c r="O1653" t="str">
        <f>IF([2]Entry!$N$1656="","",[2]Entry!$N$1656)</f>
        <v/>
      </c>
      <c r="P1653" t="str">
        <f>IF([2]Entry!$R$1656="","",[2]Entry!$R$1656)</f>
        <v/>
      </c>
    </row>
    <row r="1654" spans="10:16" x14ac:dyDescent="0.2">
      <c r="J1654" t="str">
        <f>IF([2]Entry!$C$1657="","",[2]Entry!$C$1657)</f>
        <v/>
      </c>
      <c r="K1654" t="str">
        <f>IF([2]Entry!$D$1657="","",[2]Entry!$D$1657)</f>
        <v/>
      </c>
      <c r="L1654" t="str">
        <f>IF([2]Entry!$E$1657="","",[2]Entry!$E$1657)</f>
        <v/>
      </c>
      <c r="M1654" t="str">
        <f>IF([2]Entry!$G$1657="","",[2]Entry!$G$1657)</f>
        <v/>
      </c>
      <c r="N1654" t="str">
        <f>IF([2]Entry!$M$1657="","",[2]Entry!$M$1657)</f>
        <v/>
      </c>
      <c r="O1654" t="str">
        <f>IF([2]Entry!$N$1657="","",[2]Entry!$N$1657)</f>
        <v/>
      </c>
      <c r="P1654" t="str">
        <f>IF([2]Entry!$R$1657="","",[2]Entry!$R$1657)</f>
        <v/>
      </c>
    </row>
    <row r="1655" spans="10:16" x14ac:dyDescent="0.2">
      <c r="J1655" t="str">
        <f>IF([2]Entry!$C$1658="","",[2]Entry!$C$1658)</f>
        <v/>
      </c>
      <c r="K1655" t="str">
        <f>IF([2]Entry!$D$1658="","",[2]Entry!$D$1658)</f>
        <v/>
      </c>
      <c r="L1655" t="str">
        <f>IF([2]Entry!$E$1658="","",[2]Entry!$E$1658)</f>
        <v/>
      </c>
      <c r="M1655" t="str">
        <f>IF([2]Entry!$G$1658="","",[2]Entry!$G$1658)</f>
        <v/>
      </c>
      <c r="N1655" t="str">
        <f>IF([2]Entry!$M$1658="","",[2]Entry!$M$1658)</f>
        <v/>
      </c>
      <c r="O1655" t="str">
        <f>IF([2]Entry!$N$1658="","",[2]Entry!$N$1658)</f>
        <v/>
      </c>
      <c r="P1655" t="str">
        <f>IF([2]Entry!$R$1658="","",[2]Entry!$R$1658)</f>
        <v/>
      </c>
    </row>
    <row r="1656" spans="10:16" x14ac:dyDescent="0.2">
      <c r="J1656" t="str">
        <f>IF([2]Entry!$C$1659="","",[2]Entry!$C$1659)</f>
        <v/>
      </c>
      <c r="K1656" t="str">
        <f>IF([2]Entry!$D$1659="","",[2]Entry!$D$1659)</f>
        <v/>
      </c>
      <c r="L1656" t="str">
        <f>IF([2]Entry!$E$1659="","",[2]Entry!$E$1659)</f>
        <v/>
      </c>
      <c r="M1656" t="str">
        <f>IF([2]Entry!$G$1659="","",[2]Entry!$G$1659)</f>
        <v/>
      </c>
      <c r="N1656" t="str">
        <f>IF([2]Entry!$M$1659="","",[2]Entry!$M$1659)</f>
        <v/>
      </c>
      <c r="O1656" t="str">
        <f>IF([2]Entry!$N$1659="","",[2]Entry!$N$1659)</f>
        <v/>
      </c>
      <c r="P1656" t="str">
        <f>IF([2]Entry!$R$1659="","",[2]Entry!$R$1659)</f>
        <v/>
      </c>
    </row>
    <row r="1657" spans="10:16" x14ac:dyDescent="0.2">
      <c r="J1657" t="str">
        <f>IF([2]Entry!$C$1660="","",[2]Entry!$C$1660)</f>
        <v/>
      </c>
      <c r="K1657" t="str">
        <f>IF([2]Entry!$D$1660="","",[2]Entry!$D$1660)</f>
        <v/>
      </c>
      <c r="L1657" t="str">
        <f>IF([2]Entry!$E$1660="","",[2]Entry!$E$1660)</f>
        <v/>
      </c>
      <c r="M1657" t="str">
        <f>IF([2]Entry!$G$1660="","",[2]Entry!$G$1660)</f>
        <v/>
      </c>
      <c r="N1657" t="str">
        <f>IF([2]Entry!$M$1660="","",[2]Entry!$M$1660)</f>
        <v/>
      </c>
      <c r="O1657" t="str">
        <f>IF([2]Entry!$N$1660="","",[2]Entry!$N$1660)</f>
        <v/>
      </c>
      <c r="P1657" t="str">
        <f>IF([2]Entry!$R$1660="","",[2]Entry!$R$1660)</f>
        <v/>
      </c>
    </row>
    <row r="1658" spans="10:16" x14ac:dyDescent="0.2">
      <c r="J1658" t="str">
        <f>IF([2]Entry!$C$1661="","",[2]Entry!$C$1661)</f>
        <v/>
      </c>
      <c r="K1658" t="str">
        <f>IF([2]Entry!$D$1661="","",[2]Entry!$D$1661)</f>
        <v/>
      </c>
      <c r="L1658" t="str">
        <f>IF([2]Entry!$E$1661="","",[2]Entry!$E$1661)</f>
        <v/>
      </c>
      <c r="M1658" t="str">
        <f>IF([2]Entry!$G$1661="","",[2]Entry!$G$1661)</f>
        <v/>
      </c>
      <c r="N1658" t="str">
        <f>IF([2]Entry!$M$1661="","",[2]Entry!$M$1661)</f>
        <v/>
      </c>
      <c r="O1658" t="str">
        <f>IF([2]Entry!$N$1661="","",[2]Entry!$N$1661)</f>
        <v/>
      </c>
      <c r="P1658" t="str">
        <f>IF([2]Entry!$R$1661="","",[2]Entry!$R$1661)</f>
        <v/>
      </c>
    </row>
    <row r="1659" spans="10:16" x14ac:dyDescent="0.2">
      <c r="J1659" t="str">
        <f>IF([2]Entry!$C$1662="","",[2]Entry!$C$1662)</f>
        <v/>
      </c>
      <c r="K1659" t="str">
        <f>IF([2]Entry!$D$1662="","",[2]Entry!$D$1662)</f>
        <v/>
      </c>
      <c r="L1659" t="str">
        <f>IF([2]Entry!$E$1662="","",[2]Entry!$E$1662)</f>
        <v/>
      </c>
      <c r="M1659" t="str">
        <f>IF([2]Entry!$G$1662="","",[2]Entry!$G$1662)</f>
        <v/>
      </c>
      <c r="N1659" t="str">
        <f>IF([2]Entry!$M$1662="","",[2]Entry!$M$1662)</f>
        <v/>
      </c>
      <c r="O1659" t="str">
        <f>IF([2]Entry!$N$1662="","",[2]Entry!$N$1662)</f>
        <v/>
      </c>
      <c r="P1659" t="str">
        <f>IF([2]Entry!$R$1662="","",[2]Entry!$R$1662)</f>
        <v/>
      </c>
    </row>
    <row r="1660" spans="10:16" x14ac:dyDescent="0.2">
      <c r="J1660" t="str">
        <f>IF([2]Entry!$C$1663="","",[2]Entry!$C$1663)</f>
        <v/>
      </c>
      <c r="K1660" t="str">
        <f>IF([2]Entry!$D$1663="","",[2]Entry!$D$1663)</f>
        <v/>
      </c>
      <c r="L1660" t="str">
        <f>IF([2]Entry!$E$1663="","",[2]Entry!$E$1663)</f>
        <v/>
      </c>
      <c r="M1660" t="str">
        <f>IF([2]Entry!$G$1663="","",[2]Entry!$G$1663)</f>
        <v/>
      </c>
      <c r="N1660" t="str">
        <f>IF([2]Entry!$M$1663="","",[2]Entry!$M$1663)</f>
        <v/>
      </c>
      <c r="O1660" t="str">
        <f>IF([2]Entry!$N$1663="","",[2]Entry!$N$1663)</f>
        <v/>
      </c>
      <c r="P1660" t="str">
        <f>IF([2]Entry!$R$1663="","",[2]Entry!$R$1663)</f>
        <v/>
      </c>
    </row>
    <row r="1661" spans="10:16" x14ac:dyDescent="0.2">
      <c r="J1661" t="str">
        <f>IF([2]Entry!$C$1664="","",[2]Entry!$C$1664)</f>
        <v/>
      </c>
      <c r="K1661" t="str">
        <f>IF([2]Entry!$D$1664="","",[2]Entry!$D$1664)</f>
        <v/>
      </c>
      <c r="L1661" t="str">
        <f>IF([2]Entry!$E$1664="","",[2]Entry!$E$1664)</f>
        <v/>
      </c>
      <c r="M1661" t="str">
        <f>IF([2]Entry!$G$1664="","",[2]Entry!$G$1664)</f>
        <v/>
      </c>
      <c r="N1661" t="str">
        <f>IF([2]Entry!$M$1664="","",[2]Entry!$M$1664)</f>
        <v/>
      </c>
      <c r="O1661" t="str">
        <f>IF([2]Entry!$N$1664="","",[2]Entry!$N$1664)</f>
        <v/>
      </c>
      <c r="P1661" t="str">
        <f>IF([2]Entry!$R$1664="","",[2]Entry!$R$1664)</f>
        <v/>
      </c>
    </row>
    <row r="1662" spans="10:16" x14ac:dyDescent="0.2">
      <c r="J1662" t="str">
        <f>IF([2]Entry!$C$1665="","",[2]Entry!$C$1665)</f>
        <v/>
      </c>
      <c r="K1662" t="str">
        <f>IF([2]Entry!$D$1665="","",[2]Entry!$D$1665)</f>
        <v/>
      </c>
      <c r="L1662" t="str">
        <f>IF([2]Entry!$E$1665="","",[2]Entry!$E$1665)</f>
        <v/>
      </c>
      <c r="M1662" t="str">
        <f>IF([2]Entry!$G$1665="","",[2]Entry!$G$1665)</f>
        <v/>
      </c>
      <c r="N1662" t="str">
        <f>IF([2]Entry!$M$1665="","",[2]Entry!$M$1665)</f>
        <v/>
      </c>
      <c r="O1662" t="str">
        <f>IF([2]Entry!$N$1665="","",[2]Entry!$N$1665)</f>
        <v/>
      </c>
      <c r="P1662" t="str">
        <f>IF([2]Entry!$R$1665="","",[2]Entry!$R$1665)</f>
        <v/>
      </c>
    </row>
    <row r="1663" spans="10:16" x14ac:dyDescent="0.2">
      <c r="J1663" t="str">
        <f>IF([2]Entry!$C$1666="","",[2]Entry!$C$1666)</f>
        <v/>
      </c>
      <c r="K1663" t="str">
        <f>IF([2]Entry!$D$1666="","",[2]Entry!$D$1666)</f>
        <v/>
      </c>
      <c r="L1663" t="str">
        <f>IF([2]Entry!$E$1666="","",[2]Entry!$E$1666)</f>
        <v/>
      </c>
      <c r="M1663" t="str">
        <f>IF([2]Entry!$G$1666="","",[2]Entry!$G$1666)</f>
        <v/>
      </c>
      <c r="N1663" t="str">
        <f>IF([2]Entry!$M$1666="","",[2]Entry!$M$1666)</f>
        <v/>
      </c>
      <c r="O1663" t="str">
        <f>IF([2]Entry!$N$1666="","",[2]Entry!$N$1666)</f>
        <v/>
      </c>
      <c r="P1663" t="str">
        <f>IF([2]Entry!$R$1666="","",[2]Entry!$R$1666)</f>
        <v/>
      </c>
    </row>
    <row r="1664" spans="10:16" x14ac:dyDescent="0.2">
      <c r="J1664" t="str">
        <f>IF([2]Entry!$C$1667="","",[2]Entry!$C$1667)</f>
        <v/>
      </c>
      <c r="K1664" t="str">
        <f>IF([2]Entry!$D$1667="","",[2]Entry!$D$1667)</f>
        <v/>
      </c>
      <c r="L1664" t="str">
        <f>IF([2]Entry!$E$1667="","",[2]Entry!$E$1667)</f>
        <v/>
      </c>
      <c r="M1664" t="str">
        <f>IF([2]Entry!$G$1667="","",[2]Entry!$G$1667)</f>
        <v/>
      </c>
      <c r="N1664" t="str">
        <f>IF([2]Entry!$M$1667="","",[2]Entry!$M$1667)</f>
        <v/>
      </c>
      <c r="O1664" t="str">
        <f>IF([2]Entry!$N$1667="","",[2]Entry!$N$1667)</f>
        <v/>
      </c>
      <c r="P1664" t="str">
        <f>IF([2]Entry!$R$1667="","",[2]Entry!$R$1667)</f>
        <v/>
      </c>
    </row>
    <row r="1665" spans="10:16" x14ac:dyDescent="0.2">
      <c r="J1665" t="str">
        <f>IF([2]Entry!$C$1668="","",[2]Entry!$C$1668)</f>
        <v/>
      </c>
      <c r="K1665" t="str">
        <f>IF([2]Entry!$D$1668="","",[2]Entry!$D$1668)</f>
        <v/>
      </c>
      <c r="L1665" t="str">
        <f>IF([2]Entry!$E$1668="","",[2]Entry!$E$1668)</f>
        <v/>
      </c>
      <c r="M1665" t="str">
        <f>IF([2]Entry!$G$1668="","",[2]Entry!$G$1668)</f>
        <v/>
      </c>
      <c r="N1665" t="str">
        <f>IF([2]Entry!$M$1668="","",[2]Entry!$M$1668)</f>
        <v/>
      </c>
      <c r="O1665" t="str">
        <f>IF([2]Entry!$N$1668="","",[2]Entry!$N$1668)</f>
        <v/>
      </c>
      <c r="P1665" t="str">
        <f>IF([2]Entry!$R$1668="","",[2]Entry!$R$1668)</f>
        <v/>
      </c>
    </row>
    <row r="1666" spans="10:16" x14ac:dyDescent="0.2">
      <c r="J1666" t="str">
        <f>IF([2]Entry!$C$1669="","",[2]Entry!$C$1669)</f>
        <v/>
      </c>
      <c r="K1666" t="str">
        <f>IF([2]Entry!$D$1669="","",[2]Entry!$D$1669)</f>
        <v/>
      </c>
      <c r="L1666" t="str">
        <f>IF([2]Entry!$E$1669="","",[2]Entry!$E$1669)</f>
        <v/>
      </c>
      <c r="M1666" t="str">
        <f>IF([2]Entry!$G$1669="","",[2]Entry!$G$1669)</f>
        <v/>
      </c>
      <c r="N1666" t="str">
        <f>IF([2]Entry!$M$1669="","",[2]Entry!$M$1669)</f>
        <v/>
      </c>
      <c r="O1666" t="str">
        <f>IF([2]Entry!$N$1669="","",[2]Entry!$N$1669)</f>
        <v/>
      </c>
      <c r="P1666" t="str">
        <f>IF([2]Entry!$R$1669="","",[2]Entry!$R$1669)</f>
        <v/>
      </c>
    </row>
    <row r="1667" spans="10:16" x14ac:dyDescent="0.2">
      <c r="J1667" t="str">
        <f>IF([2]Entry!$C$1670="","",[2]Entry!$C$1670)</f>
        <v/>
      </c>
      <c r="K1667" t="str">
        <f>IF([2]Entry!$D$1670="","",[2]Entry!$D$1670)</f>
        <v/>
      </c>
      <c r="L1667" t="str">
        <f>IF([2]Entry!$E$1670="","",[2]Entry!$E$1670)</f>
        <v/>
      </c>
      <c r="M1667" t="str">
        <f>IF([2]Entry!$G$1670="","",[2]Entry!$G$1670)</f>
        <v/>
      </c>
      <c r="N1667" t="str">
        <f>IF([2]Entry!$M$1670="","",[2]Entry!$M$1670)</f>
        <v/>
      </c>
      <c r="O1667" t="str">
        <f>IF([2]Entry!$N$1670="","",[2]Entry!$N$1670)</f>
        <v/>
      </c>
      <c r="P1667" t="str">
        <f>IF([2]Entry!$R$1670="","",[2]Entry!$R$1670)</f>
        <v/>
      </c>
    </row>
    <row r="1668" spans="10:16" x14ac:dyDescent="0.2">
      <c r="J1668" t="str">
        <f>IF([2]Entry!$C$1671="","",[2]Entry!$C$1671)</f>
        <v/>
      </c>
      <c r="K1668" t="str">
        <f>IF([2]Entry!$D$1671="","",[2]Entry!$D$1671)</f>
        <v/>
      </c>
      <c r="L1668" t="str">
        <f>IF([2]Entry!$E$1671="","",[2]Entry!$E$1671)</f>
        <v/>
      </c>
      <c r="M1668" t="str">
        <f>IF([2]Entry!$G$1671="","",[2]Entry!$G$1671)</f>
        <v/>
      </c>
      <c r="N1668" t="str">
        <f>IF([2]Entry!$M$1671="","",[2]Entry!$M$1671)</f>
        <v/>
      </c>
      <c r="O1668" t="str">
        <f>IF([2]Entry!$N$1671="","",[2]Entry!$N$1671)</f>
        <v/>
      </c>
      <c r="P1668" t="str">
        <f>IF([2]Entry!$R$1671="","",[2]Entry!$R$1671)</f>
        <v/>
      </c>
    </row>
    <row r="1669" spans="10:16" x14ac:dyDescent="0.2">
      <c r="J1669" t="str">
        <f>IF([2]Entry!$C$1672="","",[2]Entry!$C$1672)</f>
        <v/>
      </c>
      <c r="K1669" t="str">
        <f>IF([2]Entry!$D$1672="","",[2]Entry!$D$1672)</f>
        <v/>
      </c>
      <c r="L1669" t="str">
        <f>IF([2]Entry!$E$1672="","",[2]Entry!$E$1672)</f>
        <v/>
      </c>
      <c r="M1669" t="str">
        <f>IF([2]Entry!$G$1672="","",[2]Entry!$G$1672)</f>
        <v/>
      </c>
      <c r="N1669" t="str">
        <f>IF([2]Entry!$M$1672="","",[2]Entry!$M$1672)</f>
        <v/>
      </c>
      <c r="O1669" t="str">
        <f>IF([2]Entry!$N$1672="","",[2]Entry!$N$1672)</f>
        <v/>
      </c>
      <c r="P1669" t="str">
        <f>IF([2]Entry!$R$1672="","",[2]Entry!$R$1672)</f>
        <v/>
      </c>
    </row>
    <row r="1670" spans="10:16" x14ac:dyDescent="0.2">
      <c r="J1670" t="str">
        <f>IF([2]Entry!$C$1673="","",[2]Entry!$C$1673)</f>
        <v/>
      </c>
      <c r="K1670" t="str">
        <f>IF([2]Entry!$D$1673="","",[2]Entry!$D$1673)</f>
        <v/>
      </c>
      <c r="L1670" t="str">
        <f>IF([2]Entry!$E$1673="","",[2]Entry!$E$1673)</f>
        <v/>
      </c>
      <c r="M1670" t="str">
        <f>IF([2]Entry!$G$1673="","",[2]Entry!$G$1673)</f>
        <v/>
      </c>
      <c r="N1670" t="str">
        <f>IF([2]Entry!$M$1673="","",[2]Entry!$M$1673)</f>
        <v/>
      </c>
      <c r="O1670" t="str">
        <f>IF([2]Entry!$N$1673="","",[2]Entry!$N$1673)</f>
        <v/>
      </c>
      <c r="P1670" t="str">
        <f>IF([2]Entry!$R$1673="","",[2]Entry!$R$1673)</f>
        <v/>
      </c>
    </row>
    <row r="1671" spans="10:16" x14ac:dyDescent="0.2">
      <c r="J1671" t="str">
        <f>IF([2]Entry!$C$1674="","",[2]Entry!$C$1674)</f>
        <v/>
      </c>
      <c r="K1671" t="str">
        <f>IF([2]Entry!$D$1674="","",[2]Entry!$D$1674)</f>
        <v/>
      </c>
      <c r="L1671" t="str">
        <f>IF([2]Entry!$E$1674="","",[2]Entry!$E$1674)</f>
        <v/>
      </c>
      <c r="M1671" t="str">
        <f>IF([2]Entry!$G$1674="","",[2]Entry!$G$1674)</f>
        <v/>
      </c>
      <c r="N1671" t="str">
        <f>IF([2]Entry!$M$1674="","",[2]Entry!$M$1674)</f>
        <v/>
      </c>
      <c r="O1671" t="str">
        <f>IF([2]Entry!$N$1674="","",[2]Entry!$N$1674)</f>
        <v/>
      </c>
      <c r="P1671" t="str">
        <f>IF([2]Entry!$R$1674="","",[2]Entry!$R$1674)</f>
        <v/>
      </c>
    </row>
    <row r="1672" spans="10:16" x14ac:dyDescent="0.2">
      <c r="J1672" t="str">
        <f>IF([2]Entry!$C$1675="","",[2]Entry!$C$1675)</f>
        <v/>
      </c>
      <c r="K1672" t="str">
        <f>IF([2]Entry!$D$1675="","",[2]Entry!$D$1675)</f>
        <v/>
      </c>
      <c r="L1672" t="str">
        <f>IF([2]Entry!$E$1675="","",[2]Entry!$E$1675)</f>
        <v/>
      </c>
      <c r="M1672" t="str">
        <f>IF([2]Entry!$G$1675="","",[2]Entry!$G$1675)</f>
        <v/>
      </c>
      <c r="N1672" t="str">
        <f>IF([2]Entry!$M$1675="","",[2]Entry!$M$1675)</f>
        <v/>
      </c>
      <c r="O1672" t="str">
        <f>IF([2]Entry!$N$1675="","",[2]Entry!$N$1675)</f>
        <v/>
      </c>
      <c r="P1672" t="str">
        <f>IF([2]Entry!$R$1675="","",[2]Entry!$R$1675)</f>
        <v/>
      </c>
    </row>
    <row r="1673" spans="10:16" x14ac:dyDescent="0.2">
      <c r="J1673" t="str">
        <f>IF([2]Entry!$C$1676="","",[2]Entry!$C$1676)</f>
        <v/>
      </c>
      <c r="K1673" t="str">
        <f>IF([2]Entry!$D$1676="","",[2]Entry!$D$1676)</f>
        <v/>
      </c>
      <c r="L1673" t="str">
        <f>IF([2]Entry!$E$1676="","",[2]Entry!$E$1676)</f>
        <v/>
      </c>
      <c r="M1673" t="str">
        <f>IF([2]Entry!$G$1676="","",[2]Entry!$G$1676)</f>
        <v/>
      </c>
      <c r="N1673" t="str">
        <f>IF([2]Entry!$M$1676="","",[2]Entry!$M$1676)</f>
        <v/>
      </c>
      <c r="O1673" t="str">
        <f>IF([2]Entry!$N$1676="","",[2]Entry!$N$1676)</f>
        <v/>
      </c>
      <c r="P1673" t="str">
        <f>IF([2]Entry!$R$1676="","",[2]Entry!$R$1676)</f>
        <v/>
      </c>
    </row>
    <row r="1674" spans="10:16" x14ac:dyDescent="0.2">
      <c r="J1674" t="str">
        <f>IF([2]Entry!$C$1677="","",[2]Entry!$C$1677)</f>
        <v/>
      </c>
      <c r="K1674" t="str">
        <f>IF([2]Entry!$D$1677="","",[2]Entry!$D$1677)</f>
        <v/>
      </c>
      <c r="L1674" t="str">
        <f>IF([2]Entry!$E$1677="","",[2]Entry!$E$1677)</f>
        <v/>
      </c>
      <c r="M1674" t="str">
        <f>IF([2]Entry!$G$1677="","",[2]Entry!$G$1677)</f>
        <v/>
      </c>
      <c r="N1674" t="str">
        <f>IF([2]Entry!$M$1677="","",[2]Entry!$M$1677)</f>
        <v/>
      </c>
      <c r="O1674" t="str">
        <f>IF([2]Entry!$N$1677="","",[2]Entry!$N$1677)</f>
        <v/>
      </c>
      <c r="P1674" t="str">
        <f>IF([2]Entry!$R$1677="","",[2]Entry!$R$1677)</f>
        <v/>
      </c>
    </row>
    <row r="1675" spans="10:16" x14ac:dyDescent="0.2">
      <c r="J1675" t="str">
        <f>IF([2]Entry!$C$1678="","",[2]Entry!$C$1678)</f>
        <v/>
      </c>
      <c r="K1675" t="str">
        <f>IF([2]Entry!$D$1678="","",[2]Entry!$D$1678)</f>
        <v/>
      </c>
      <c r="L1675" t="str">
        <f>IF([2]Entry!$E$1678="","",[2]Entry!$E$1678)</f>
        <v/>
      </c>
      <c r="M1675" t="str">
        <f>IF([2]Entry!$G$1678="","",[2]Entry!$G$1678)</f>
        <v/>
      </c>
      <c r="N1675" t="str">
        <f>IF([2]Entry!$M$1678="","",[2]Entry!$M$1678)</f>
        <v/>
      </c>
      <c r="O1675" t="str">
        <f>IF([2]Entry!$N$1678="","",[2]Entry!$N$1678)</f>
        <v/>
      </c>
      <c r="P1675" t="str">
        <f>IF([2]Entry!$R$1678="","",[2]Entry!$R$1678)</f>
        <v/>
      </c>
    </row>
    <row r="1676" spans="10:16" x14ac:dyDescent="0.2">
      <c r="J1676" t="str">
        <f>IF([2]Entry!$C$1679="","",[2]Entry!$C$1679)</f>
        <v/>
      </c>
      <c r="K1676" t="str">
        <f>IF([2]Entry!$D$1679="","",[2]Entry!$D$1679)</f>
        <v/>
      </c>
      <c r="L1676" t="str">
        <f>IF([2]Entry!$E$1679="","",[2]Entry!$E$1679)</f>
        <v/>
      </c>
      <c r="M1676" t="str">
        <f>IF([2]Entry!$G$1679="","",[2]Entry!$G$1679)</f>
        <v/>
      </c>
      <c r="N1676" t="str">
        <f>IF([2]Entry!$M$1679="","",[2]Entry!$M$1679)</f>
        <v/>
      </c>
      <c r="O1676" t="str">
        <f>IF([2]Entry!$N$1679="","",[2]Entry!$N$1679)</f>
        <v/>
      </c>
      <c r="P1676" t="str">
        <f>IF([2]Entry!$R$1679="","",[2]Entry!$R$1679)</f>
        <v/>
      </c>
    </row>
    <row r="1677" spans="10:16" x14ac:dyDescent="0.2">
      <c r="J1677" t="str">
        <f>IF([2]Entry!$C$1680="","",[2]Entry!$C$1680)</f>
        <v/>
      </c>
      <c r="K1677" t="str">
        <f>IF([2]Entry!$D$1680="","",[2]Entry!$D$1680)</f>
        <v/>
      </c>
      <c r="L1677" t="str">
        <f>IF([2]Entry!$E$1680="","",[2]Entry!$E$1680)</f>
        <v/>
      </c>
      <c r="M1677" t="str">
        <f>IF([2]Entry!$G$1680="","",[2]Entry!$G$1680)</f>
        <v/>
      </c>
      <c r="N1677" t="str">
        <f>IF([2]Entry!$M$1680="","",[2]Entry!$M$1680)</f>
        <v/>
      </c>
      <c r="O1677" t="str">
        <f>IF([2]Entry!$N$1680="","",[2]Entry!$N$1680)</f>
        <v/>
      </c>
      <c r="P1677" t="str">
        <f>IF([2]Entry!$R$1680="","",[2]Entry!$R$1680)</f>
        <v/>
      </c>
    </row>
    <row r="1678" spans="10:16" x14ac:dyDescent="0.2">
      <c r="J1678" t="str">
        <f>IF([2]Entry!$C$1681="","",[2]Entry!$C$1681)</f>
        <v/>
      </c>
      <c r="K1678" t="str">
        <f>IF([2]Entry!$D$1681="","",[2]Entry!$D$1681)</f>
        <v/>
      </c>
      <c r="L1678" t="str">
        <f>IF([2]Entry!$E$1681="","",[2]Entry!$E$1681)</f>
        <v/>
      </c>
      <c r="M1678" t="str">
        <f>IF([2]Entry!$G$1681="","",[2]Entry!$G$1681)</f>
        <v/>
      </c>
      <c r="N1678" t="str">
        <f>IF([2]Entry!$M$1681="","",[2]Entry!$M$1681)</f>
        <v/>
      </c>
      <c r="O1678" t="str">
        <f>IF([2]Entry!$N$1681="","",[2]Entry!$N$1681)</f>
        <v/>
      </c>
      <c r="P1678" t="str">
        <f>IF([2]Entry!$R$1681="","",[2]Entry!$R$1681)</f>
        <v/>
      </c>
    </row>
    <row r="1679" spans="10:16" x14ac:dyDescent="0.2">
      <c r="J1679" t="str">
        <f>IF([2]Entry!$C$1682="","",[2]Entry!$C$1682)</f>
        <v/>
      </c>
      <c r="K1679" t="str">
        <f>IF([2]Entry!$D$1682="","",[2]Entry!$D$1682)</f>
        <v/>
      </c>
      <c r="L1679" t="str">
        <f>IF([2]Entry!$E$1682="","",[2]Entry!$E$1682)</f>
        <v/>
      </c>
      <c r="M1679" t="str">
        <f>IF([2]Entry!$G$1682="","",[2]Entry!$G$1682)</f>
        <v/>
      </c>
      <c r="N1679" t="str">
        <f>IF([2]Entry!$M$1682="","",[2]Entry!$M$1682)</f>
        <v/>
      </c>
      <c r="O1679" t="str">
        <f>IF([2]Entry!$N$1682="","",[2]Entry!$N$1682)</f>
        <v/>
      </c>
      <c r="P1679" t="str">
        <f>IF([2]Entry!$R$1682="","",[2]Entry!$R$1682)</f>
        <v/>
      </c>
    </row>
    <row r="1680" spans="10:16" x14ac:dyDescent="0.2">
      <c r="J1680" t="str">
        <f>IF([2]Entry!$C$1683="","",[2]Entry!$C$1683)</f>
        <v/>
      </c>
      <c r="K1680" t="str">
        <f>IF([2]Entry!$D$1683="","",[2]Entry!$D$1683)</f>
        <v/>
      </c>
      <c r="L1680" t="str">
        <f>IF([2]Entry!$E$1683="","",[2]Entry!$E$1683)</f>
        <v/>
      </c>
      <c r="M1680" t="str">
        <f>IF([2]Entry!$G$1683="","",[2]Entry!$G$1683)</f>
        <v/>
      </c>
      <c r="N1680" t="str">
        <f>IF([2]Entry!$M$1683="","",[2]Entry!$M$1683)</f>
        <v/>
      </c>
      <c r="O1680" t="str">
        <f>IF([2]Entry!$N$1683="","",[2]Entry!$N$1683)</f>
        <v/>
      </c>
      <c r="P1680" t="str">
        <f>IF([2]Entry!$R$1683="","",[2]Entry!$R$1683)</f>
        <v/>
      </c>
    </row>
    <row r="1681" spans="10:16" x14ac:dyDescent="0.2">
      <c r="J1681" t="str">
        <f>IF([2]Entry!$C$1684="","",[2]Entry!$C$1684)</f>
        <v/>
      </c>
      <c r="K1681" t="str">
        <f>IF([2]Entry!$D$1684="","",[2]Entry!$D$1684)</f>
        <v/>
      </c>
      <c r="L1681" t="str">
        <f>IF([2]Entry!$E$1684="","",[2]Entry!$E$1684)</f>
        <v/>
      </c>
      <c r="M1681" t="str">
        <f>IF([2]Entry!$G$1684="","",[2]Entry!$G$1684)</f>
        <v/>
      </c>
      <c r="N1681" t="str">
        <f>IF([2]Entry!$M$1684="","",[2]Entry!$M$1684)</f>
        <v/>
      </c>
      <c r="O1681" t="str">
        <f>IF([2]Entry!$N$1684="","",[2]Entry!$N$1684)</f>
        <v/>
      </c>
      <c r="P1681" t="str">
        <f>IF([2]Entry!$R$1684="","",[2]Entry!$R$1684)</f>
        <v/>
      </c>
    </row>
    <row r="1682" spans="10:16" x14ac:dyDescent="0.2">
      <c r="J1682" t="str">
        <f>IF([2]Entry!$C$1685="","",[2]Entry!$C$1685)</f>
        <v/>
      </c>
      <c r="K1682" t="str">
        <f>IF([2]Entry!$D$1685="","",[2]Entry!$D$1685)</f>
        <v/>
      </c>
      <c r="L1682" t="str">
        <f>IF([2]Entry!$E$1685="","",[2]Entry!$E$1685)</f>
        <v/>
      </c>
      <c r="M1682" t="str">
        <f>IF([2]Entry!$G$1685="","",[2]Entry!$G$1685)</f>
        <v/>
      </c>
      <c r="N1682" t="str">
        <f>IF([2]Entry!$M$1685="","",[2]Entry!$M$1685)</f>
        <v/>
      </c>
      <c r="O1682" t="str">
        <f>IF([2]Entry!$N$1685="","",[2]Entry!$N$1685)</f>
        <v/>
      </c>
      <c r="P1682" t="str">
        <f>IF([2]Entry!$R$1685="","",[2]Entry!$R$1685)</f>
        <v/>
      </c>
    </row>
    <row r="1683" spans="10:16" x14ac:dyDescent="0.2">
      <c r="J1683" t="str">
        <f>IF([2]Entry!$C$1686="","",[2]Entry!$C$1686)</f>
        <v/>
      </c>
      <c r="K1683" t="str">
        <f>IF([2]Entry!$D$1686="","",[2]Entry!$D$1686)</f>
        <v/>
      </c>
      <c r="L1683" t="str">
        <f>IF([2]Entry!$E$1686="","",[2]Entry!$E$1686)</f>
        <v/>
      </c>
      <c r="M1683" t="str">
        <f>IF([2]Entry!$G$1686="","",[2]Entry!$G$1686)</f>
        <v/>
      </c>
      <c r="N1683" t="str">
        <f>IF([2]Entry!$M$1686="","",[2]Entry!$M$1686)</f>
        <v/>
      </c>
      <c r="O1683" t="str">
        <f>IF([2]Entry!$N$1686="","",[2]Entry!$N$1686)</f>
        <v/>
      </c>
      <c r="P1683" t="str">
        <f>IF([2]Entry!$R$1686="","",[2]Entry!$R$1686)</f>
        <v/>
      </c>
    </row>
    <row r="1684" spans="10:16" x14ac:dyDescent="0.2">
      <c r="J1684" t="str">
        <f>IF([2]Entry!$C$1687="","",[2]Entry!$C$1687)</f>
        <v/>
      </c>
      <c r="K1684" t="str">
        <f>IF([2]Entry!$D$1687="","",[2]Entry!$D$1687)</f>
        <v/>
      </c>
      <c r="L1684" t="str">
        <f>IF([2]Entry!$E$1687="","",[2]Entry!$E$1687)</f>
        <v/>
      </c>
      <c r="M1684" t="str">
        <f>IF([2]Entry!$G$1687="","",[2]Entry!$G$1687)</f>
        <v/>
      </c>
      <c r="N1684" t="str">
        <f>IF([2]Entry!$M$1687="","",[2]Entry!$M$1687)</f>
        <v/>
      </c>
      <c r="O1684" t="str">
        <f>IF([2]Entry!$N$1687="","",[2]Entry!$N$1687)</f>
        <v/>
      </c>
      <c r="P1684" t="str">
        <f>IF([2]Entry!$R$1687="","",[2]Entry!$R$1687)</f>
        <v/>
      </c>
    </row>
    <row r="1685" spans="10:16" x14ac:dyDescent="0.2">
      <c r="J1685" t="str">
        <f>IF([2]Entry!$C$1688="","",[2]Entry!$C$1688)</f>
        <v/>
      </c>
      <c r="K1685" t="str">
        <f>IF([2]Entry!$D$1688="","",[2]Entry!$D$1688)</f>
        <v/>
      </c>
      <c r="L1685" t="str">
        <f>IF([2]Entry!$E$1688="","",[2]Entry!$E$1688)</f>
        <v/>
      </c>
      <c r="M1685" t="str">
        <f>IF([2]Entry!$G$1688="","",[2]Entry!$G$1688)</f>
        <v/>
      </c>
      <c r="N1685" t="str">
        <f>IF([2]Entry!$M$1688="","",[2]Entry!$M$1688)</f>
        <v/>
      </c>
      <c r="O1685" t="str">
        <f>IF([2]Entry!$N$1688="","",[2]Entry!$N$1688)</f>
        <v/>
      </c>
      <c r="P1685" t="str">
        <f>IF([2]Entry!$R$1688="","",[2]Entry!$R$1688)</f>
        <v/>
      </c>
    </row>
    <row r="1686" spans="10:16" x14ac:dyDescent="0.2">
      <c r="J1686" t="str">
        <f>IF([2]Entry!$C$1689="","",[2]Entry!$C$1689)</f>
        <v/>
      </c>
      <c r="K1686" t="str">
        <f>IF([2]Entry!$D$1689="","",[2]Entry!$D$1689)</f>
        <v/>
      </c>
      <c r="L1686" t="str">
        <f>IF([2]Entry!$E$1689="","",[2]Entry!$E$1689)</f>
        <v/>
      </c>
      <c r="M1686" t="str">
        <f>IF([2]Entry!$G$1689="","",[2]Entry!$G$1689)</f>
        <v/>
      </c>
      <c r="N1686" t="str">
        <f>IF([2]Entry!$M$1689="","",[2]Entry!$M$1689)</f>
        <v/>
      </c>
      <c r="O1686" t="str">
        <f>IF([2]Entry!$N$1689="","",[2]Entry!$N$1689)</f>
        <v/>
      </c>
      <c r="P1686" t="str">
        <f>IF([2]Entry!$R$1689="","",[2]Entry!$R$1689)</f>
        <v/>
      </c>
    </row>
    <row r="1687" spans="10:16" x14ac:dyDescent="0.2">
      <c r="J1687" t="str">
        <f>IF([2]Entry!$C$1690="","",[2]Entry!$C$1690)</f>
        <v/>
      </c>
      <c r="K1687" t="str">
        <f>IF([2]Entry!$D$1690="","",[2]Entry!$D$1690)</f>
        <v/>
      </c>
      <c r="L1687" t="str">
        <f>IF([2]Entry!$E$1690="","",[2]Entry!$E$1690)</f>
        <v/>
      </c>
      <c r="M1687" t="str">
        <f>IF([2]Entry!$G$1690="","",[2]Entry!$G$1690)</f>
        <v/>
      </c>
      <c r="N1687" t="str">
        <f>IF([2]Entry!$M$1690="","",[2]Entry!$M$1690)</f>
        <v/>
      </c>
      <c r="O1687" t="str">
        <f>IF([2]Entry!$N$1690="","",[2]Entry!$N$1690)</f>
        <v/>
      </c>
      <c r="P1687" t="str">
        <f>IF([2]Entry!$R$1690="","",[2]Entry!$R$1690)</f>
        <v/>
      </c>
    </row>
    <row r="1688" spans="10:16" x14ac:dyDescent="0.2">
      <c r="J1688" t="str">
        <f>IF([2]Entry!$C$1691="","",[2]Entry!$C$1691)</f>
        <v/>
      </c>
      <c r="K1688" t="str">
        <f>IF([2]Entry!$D$1691="","",[2]Entry!$D$1691)</f>
        <v/>
      </c>
      <c r="L1688" t="str">
        <f>IF([2]Entry!$E$1691="","",[2]Entry!$E$1691)</f>
        <v/>
      </c>
      <c r="M1688" t="str">
        <f>IF([2]Entry!$G$1691="","",[2]Entry!$G$1691)</f>
        <v/>
      </c>
      <c r="N1688" t="str">
        <f>IF([2]Entry!$M$1691="","",[2]Entry!$M$1691)</f>
        <v/>
      </c>
      <c r="O1688" t="str">
        <f>IF([2]Entry!$N$1691="","",[2]Entry!$N$1691)</f>
        <v/>
      </c>
      <c r="P1688" t="str">
        <f>IF([2]Entry!$R$1691="","",[2]Entry!$R$1691)</f>
        <v/>
      </c>
    </row>
    <row r="1689" spans="10:16" x14ac:dyDescent="0.2">
      <c r="J1689" t="str">
        <f>IF([2]Entry!$C$1692="","",[2]Entry!$C$1692)</f>
        <v/>
      </c>
      <c r="K1689" t="str">
        <f>IF([2]Entry!$D$1692="","",[2]Entry!$D$1692)</f>
        <v/>
      </c>
      <c r="L1689" t="str">
        <f>IF([2]Entry!$E$1692="","",[2]Entry!$E$1692)</f>
        <v/>
      </c>
      <c r="M1689" t="str">
        <f>IF([2]Entry!$G$1692="","",[2]Entry!$G$1692)</f>
        <v/>
      </c>
      <c r="N1689" t="str">
        <f>IF([2]Entry!$M$1692="","",[2]Entry!$M$1692)</f>
        <v/>
      </c>
      <c r="O1689" t="str">
        <f>IF([2]Entry!$N$1692="","",[2]Entry!$N$1692)</f>
        <v/>
      </c>
      <c r="P1689" t="str">
        <f>IF([2]Entry!$R$1692="","",[2]Entry!$R$1692)</f>
        <v/>
      </c>
    </row>
    <row r="1690" spans="10:16" x14ac:dyDescent="0.2">
      <c r="J1690" t="str">
        <f>IF([2]Entry!$C$1693="","",[2]Entry!$C$1693)</f>
        <v/>
      </c>
      <c r="K1690" t="str">
        <f>IF([2]Entry!$D$1693="","",[2]Entry!$D$1693)</f>
        <v/>
      </c>
      <c r="L1690" t="str">
        <f>IF([2]Entry!$E$1693="","",[2]Entry!$E$1693)</f>
        <v/>
      </c>
      <c r="M1690" t="str">
        <f>IF([2]Entry!$G$1693="","",[2]Entry!$G$1693)</f>
        <v/>
      </c>
      <c r="N1690" t="str">
        <f>IF([2]Entry!$M$1693="","",[2]Entry!$M$1693)</f>
        <v/>
      </c>
      <c r="O1690" t="str">
        <f>IF([2]Entry!$N$1693="","",[2]Entry!$N$1693)</f>
        <v/>
      </c>
      <c r="P1690" t="str">
        <f>IF([2]Entry!$R$1693="","",[2]Entry!$R$1693)</f>
        <v/>
      </c>
    </row>
    <row r="1691" spans="10:16" x14ac:dyDescent="0.2">
      <c r="J1691" t="str">
        <f>IF([2]Entry!$C$1694="","",[2]Entry!$C$1694)</f>
        <v/>
      </c>
      <c r="K1691" t="str">
        <f>IF([2]Entry!$D$1694="","",[2]Entry!$D$1694)</f>
        <v/>
      </c>
      <c r="L1691" t="str">
        <f>IF([2]Entry!$E$1694="","",[2]Entry!$E$1694)</f>
        <v/>
      </c>
      <c r="M1691" t="str">
        <f>IF([2]Entry!$G$1694="","",[2]Entry!$G$1694)</f>
        <v/>
      </c>
      <c r="N1691" t="str">
        <f>IF([2]Entry!$M$1694="","",[2]Entry!$M$1694)</f>
        <v/>
      </c>
      <c r="O1691" t="str">
        <f>IF([2]Entry!$N$1694="","",[2]Entry!$N$1694)</f>
        <v/>
      </c>
      <c r="P1691" t="str">
        <f>IF([2]Entry!$R$1694="","",[2]Entry!$R$1694)</f>
        <v/>
      </c>
    </row>
    <row r="1692" spans="10:16" x14ac:dyDescent="0.2">
      <c r="J1692" t="str">
        <f>IF([2]Entry!$C$1695="","",[2]Entry!$C$1695)</f>
        <v/>
      </c>
      <c r="K1692" t="str">
        <f>IF([2]Entry!$D$1695="","",[2]Entry!$D$1695)</f>
        <v/>
      </c>
      <c r="L1692" t="str">
        <f>IF([2]Entry!$E$1695="","",[2]Entry!$E$1695)</f>
        <v/>
      </c>
      <c r="M1692" t="str">
        <f>IF([2]Entry!$G$1695="","",[2]Entry!$G$1695)</f>
        <v/>
      </c>
      <c r="N1692" t="str">
        <f>IF([2]Entry!$M$1695="","",[2]Entry!$M$1695)</f>
        <v/>
      </c>
      <c r="O1692" t="str">
        <f>IF([2]Entry!$N$1695="","",[2]Entry!$N$1695)</f>
        <v/>
      </c>
      <c r="P1692" t="str">
        <f>IF([2]Entry!$R$1695="","",[2]Entry!$R$1695)</f>
        <v/>
      </c>
    </row>
    <row r="1693" spans="10:16" x14ac:dyDescent="0.2">
      <c r="J1693" t="str">
        <f>IF([2]Entry!$C$1696="","",[2]Entry!$C$1696)</f>
        <v/>
      </c>
      <c r="K1693" t="str">
        <f>IF([2]Entry!$D$1696="","",[2]Entry!$D$1696)</f>
        <v/>
      </c>
      <c r="L1693" t="str">
        <f>IF([2]Entry!$E$1696="","",[2]Entry!$E$1696)</f>
        <v/>
      </c>
      <c r="M1693" t="str">
        <f>IF([2]Entry!$G$1696="","",[2]Entry!$G$1696)</f>
        <v/>
      </c>
      <c r="N1693" t="str">
        <f>IF([2]Entry!$M$1696="","",[2]Entry!$M$1696)</f>
        <v/>
      </c>
      <c r="O1693" t="str">
        <f>IF([2]Entry!$N$1696="","",[2]Entry!$N$1696)</f>
        <v/>
      </c>
      <c r="P1693" t="str">
        <f>IF([2]Entry!$R$1696="","",[2]Entry!$R$1696)</f>
        <v/>
      </c>
    </row>
    <row r="1694" spans="10:16" x14ac:dyDescent="0.2">
      <c r="J1694" t="str">
        <f>IF([2]Entry!$C$1697="","",[2]Entry!$C$1697)</f>
        <v/>
      </c>
      <c r="K1694" t="str">
        <f>IF([2]Entry!$D$1697="","",[2]Entry!$D$1697)</f>
        <v/>
      </c>
      <c r="L1694" t="str">
        <f>IF([2]Entry!$E$1697="","",[2]Entry!$E$1697)</f>
        <v/>
      </c>
      <c r="M1694" t="str">
        <f>IF([2]Entry!$G$1697="","",[2]Entry!$G$1697)</f>
        <v/>
      </c>
      <c r="N1694" t="str">
        <f>IF([2]Entry!$M$1697="","",[2]Entry!$M$1697)</f>
        <v/>
      </c>
      <c r="O1694" t="str">
        <f>IF([2]Entry!$N$1697="","",[2]Entry!$N$1697)</f>
        <v/>
      </c>
      <c r="P1694" t="str">
        <f>IF([2]Entry!$R$1697="","",[2]Entry!$R$1697)</f>
        <v/>
      </c>
    </row>
    <row r="1695" spans="10:16" x14ac:dyDescent="0.2">
      <c r="J1695" t="str">
        <f>IF([2]Entry!$C$1698="","",[2]Entry!$C$1698)</f>
        <v/>
      </c>
      <c r="K1695" t="str">
        <f>IF([2]Entry!$D$1698="","",[2]Entry!$D$1698)</f>
        <v/>
      </c>
      <c r="L1695" t="str">
        <f>IF([2]Entry!$E$1698="","",[2]Entry!$E$1698)</f>
        <v/>
      </c>
      <c r="M1695" t="str">
        <f>IF([2]Entry!$G$1698="","",[2]Entry!$G$1698)</f>
        <v/>
      </c>
      <c r="N1695" t="str">
        <f>IF([2]Entry!$M$1698="","",[2]Entry!$M$1698)</f>
        <v/>
      </c>
      <c r="O1695" t="str">
        <f>IF([2]Entry!$N$1698="","",[2]Entry!$N$1698)</f>
        <v/>
      </c>
      <c r="P1695" t="str">
        <f>IF([2]Entry!$R$1698="","",[2]Entry!$R$1698)</f>
        <v/>
      </c>
    </row>
    <row r="1696" spans="10:16" x14ac:dyDescent="0.2">
      <c r="J1696" t="str">
        <f>IF([2]Entry!$C$1699="","",[2]Entry!$C$1699)</f>
        <v/>
      </c>
      <c r="K1696" t="str">
        <f>IF([2]Entry!$D$1699="","",[2]Entry!$D$1699)</f>
        <v/>
      </c>
      <c r="L1696" t="str">
        <f>IF([2]Entry!$E$1699="","",[2]Entry!$E$1699)</f>
        <v/>
      </c>
      <c r="M1696" t="str">
        <f>IF([2]Entry!$G$1699="","",[2]Entry!$G$1699)</f>
        <v/>
      </c>
      <c r="N1696" t="str">
        <f>IF([2]Entry!$M$1699="","",[2]Entry!$M$1699)</f>
        <v/>
      </c>
      <c r="O1696" t="str">
        <f>IF([2]Entry!$N$1699="","",[2]Entry!$N$1699)</f>
        <v/>
      </c>
      <c r="P1696" t="str">
        <f>IF([2]Entry!$R$1699="","",[2]Entry!$R$1699)</f>
        <v/>
      </c>
    </row>
    <row r="1697" spans="10:16" x14ac:dyDescent="0.2">
      <c r="J1697" t="str">
        <f>IF([2]Entry!$C$1700="","",[2]Entry!$C$1700)</f>
        <v/>
      </c>
      <c r="K1697" t="str">
        <f>IF([2]Entry!$D$1700="","",[2]Entry!$D$1700)</f>
        <v/>
      </c>
      <c r="L1697" t="str">
        <f>IF([2]Entry!$E$1700="","",[2]Entry!$E$1700)</f>
        <v/>
      </c>
      <c r="M1697" t="str">
        <f>IF([2]Entry!$G$1700="","",[2]Entry!$G$1700)</f>
        <v/>
      </c>
      <c r="N1697" t="str">
        <f>IF([2]Entry!$M$1700="","",[2]Entry!$M$1700)</f>
        <v/>
      </c>
      <c r="O1697" t="str">
        <f>IF([2]Entry!$N$1700="","",[2]Entry!$N$1700)</f>
        <v/>
      </c>
      <c r="P1697" t="str">
        <f>IF([2]Entry!$R$1700="","",[2]Entry!$R$1700)</f>
        <v/>
      </c>
    </row>
    <row r="1698" spans="10:16" x14ac:dyDescent="0.2">
      <c r="J1698" t="str">
        <f>IF([2]Entry!$C$1701="","",[2]Entry!$C$1701)</f>
        <v/>
      </c>
      <c r="K1698" t="str">
        <f>IF([2]Entry!$D$1701="","",[2]Entry!$D$1701)</f>
        <v/>
      </c>
      <c r="L1698" t="str">
        <f>IF([2]Entry!$E$1701="","",[2]Entry!$E$1701)</f>
        <v/>
      </c>
      <c r="M1698" t="str">
        <f>IF([2]Entry!$G$1701="","",[2]Entry!$G$1701)</f>
        <v/>
      </c>
      <c r="N1698" t="str">
        <f>IF([2]Entry!$M$1701="","",[2]Entry!$M$1701)</f>
        <v/>
      </c>
      <c r="O1698" t="str">
        <f>IF([2]Entry!$N$1701="","",[2]Entry!$N$1701)</f>
        <v/>
      </c>
      <c r="P1698" t="str">
        <f>IF([2]Entry!$R$1701="","",[2]Entry!$R$1701)</f>
        <v/>
      </c>
    </row>
    <row r="1699" spans="10:16" x14ac:dyDescent="0.2">
      <c r="J1699" t="str">
        <f>IF([2]Entry!$C$1702="","",[2]Entry!$C$1702)</f>
        <v/>
      </c>
      <c r="K1699" t="str">
        <f>IF([2]Entry!$D$1702="","",[2]Entry!$D$1702)</f>
        <v/>
      </c>
      <c r="L1699" t="str">
        <f>IF([2]Entry!$E$1702="","",[2]Entry!$E$1702)</f>
        <v/>
      </c>
      <c r="M1699" t="str">
        <f>IF([2]Entry!$G$1702="","",[2]Entry!$G$1702)</f>
        <v/>
      </c>
      <c r="N1699" t="str">
        <f>IF([2]Entry!$M$1702="","",[2]Entry!$M$1702)</f>
        <v/>
      </c>
      <c r="O1699" t="str">
        <f>IF([2]Entry!$N$1702="","",[2]Entry!$N$1702)</f>
        <v/>
      </c>
      <c r="P1699" t="str">
        <f>IF([2]Entry!$R$1702="","",[2]Entry!$R$1702)</f>
        <v/>
      </c>
    </row>
    <row r="1700" spans="10:16" x14ac:dyDescent="0.2">
      <c r="J1700" t="str">
        <f>IF([2]Entry!$C$1703="","",[2]Entry!$C$1703)</f>
        <v/>
      </c>
      <c r="K1700" t="str">
        <f>IF([2]Entry!$D$1703="","",[2]Entry!$D$1703)</f>
        <v/>
      </c>
      <c r="L1700" t="str">
        <f>IF([2]Entry!$E$1703="","",[2]Entry!$E$1703)</f>
        <v/>
      </c>
      <c r="M1700" t="str">
        <f>IF([2]Entry!$G$1703="","",[2]Entry!$G$1703)</f>
        <v/>
      </c>
      <c r="N1700" t="str">
        <f>IF([2]Entry!$M$1703="","",[2]Entry!$M$1703)</f>
        <v/>
      </c>
      <c r="O1700" t="str">
        <f>IF([2]Entry!$N$1703="","",[2]Entry!$N$1703)</f>
        <v/>
      </c>
      <c r="P1700" t="str">
        <f>IF([2]Entry!$R$1703="","",[2]Entry!$R$1703)</f>
        <v/>
      </c>
    </row>
    <row r="1701" spans="10:16" x14ac:dyDescent="0.2">
      <c r="J1701" t="str">
        <f>IF([2]Entry!$C$1704="","",[2]Entry!$C$1704)</f>
        <v/>
      </c>
      <c r="K1701" t="str">
        <f>IF([2]Entry!$D$1704="","",[2]Entry!$D$1704)</f>
        <v/>
      </c>
      <c r="L1701" t="str">
        <f>IF([2]Entry!$E$1704="","",[2]Entry!$E$1704)</f>
        <v/>
      </c>
      <c r="M1701" t="str">
        <f>IF([2]Entry!$G$1704="","",[2]Entry!$G$1704)</f>
        <v/>
      </c>
      <c r="N1701" t="str">
        <f>IF([2]Entry!$M$1704="","",[2]Entry!$M$1704)</f>
        <v/>
      </c>
      <c r="O1701" t="str">
        <f>IF([2]Entry!$N$1704="","",[2]Entry!$N$1704)</f>
        <v/>
      </c>
      <c r="P1701" t="str">
        <f>IF([2]Entry!$R$1704="","",[2]Entry!$R$1704)</f>
        <v/>
      </c>
    </row>
    <row r="1702" spans="10:16" x14ac:dyDescent="0.2">
      <c r="J1702" t="str">
        <f>IF([2]Entry!$C$1705="","",[2]Entry!$C$1705)</f>
        <v/>
      </c>
      <c r="K1702" t="str">
        <f>IF([2]Entry!$D$1705="","",[2]Entry!$D$1705)</f>
        <v/>
      </c>
      <c r="L1702" t="str">
        <f>IF([2]Entry!$E$1705="","",[2]Entry!$E$1705)</f>
        <v/>
      </c>
      <c r="M1702" t="str">
        <f>IF([2]Entry!$G$1705="","",[2]Entry!$G$1705)</f>
        <v/>
      </c>
      <c r="N1702" t="str">
        <f>IF([2]Entry!$M$1705="","",[2]Entry!$M$1705)</f>
        <v/>
      </c>
      <c r="O1702" t="str">
        <f>IF([2]Entry!$N$1705="","",[2]Entry!$N$1705)</f>
        <v/>
      </c>
      <c r="P1702" t="str">
        <f>IF([2]Entry!$R$1705="","",[2]Entry!$R$1705)</f>
        <v/>
      </c>
    </row>
    <row r="1703" spans="10:16" x14ac:dyDescent="0.2">
      <c r="J1703" t="str">
        <f>IF([2]Entry!$C$1706="","",[2]Entry!$C$1706)</f>
        <v/>
      </c>
      <c r="K1703" t="str">
        <f>IF([2]Entry!$D$1706="","",[2]Entry!$D$1706)</f>
        <v/>
      </c>
      <c r="L1703" t="str">
        <f>IF([2]Entry!$E$1706="","",[2]Entry!$E$1706)</f>
        <v/>
      </c>
      <c r="M1703" t="str">
        <f>IF([2]Entry!$G$1706="","",[2]Entry!$G$1706)</f>
        <v/>
      </c>
      <c r="N1703" t="str">
        <f>IF([2]Entry!$M$1706="","",[2]Entry!$M$1706)</f>
        <v/>
      </c>
      <c r="O1703" t="str">
        <f>IF([2]Entry!$N$1706="","",[2]Entry!$N$1706)</f>
        <v/>
      </c>
      <c r="P1703" t="str">
        <f>IF([2]Entry!$R$1706="","",[2]Entry!$R$1706)</f>
        <v/>
      </c>
    </row>
    <row r="1704" spans="10:16" x14ac:dyDescent="0.2">
      <c r="J1704" t="str">
        <f>IF([2]Entry!$C$1707="","",[2]Entry!$C$1707)</f>
        <v/>
      </c>
      <c r="K1704" t="str">
        <f>IF([2]Entry!$D$1707="","",[2]Entry!$D$1707)</f>
        <v/>
      </c>
      <c r="L1704" t="str">
        <f>IF([2]Entry!$E$1707="","",[2]Entry!$E$1707)</f>
        <v/>
      </c>
      <c r="M1704" t="str">
        <f>IF([2]Entry!$G$1707="","",[2]Entry!$G$1707)</f>
        <v/>
      </c>
      <c r="N1704" t="str">
        <f>IF([2]Entry!$M$1707="","",[2]Entry!$M$1707)</f>
        <v/>
      </c>
      <c r="O1704" t="str">
        <f>IF([2]Entry!$N$1707="","",[2]Entry!$N$1707)</f>
        <v/>
      </c>
      <c r="P1704" t="str">
        <f>IF([2]Entry!$R$1707="","",[2]Entry!$R$1707)</f>
        <v/>
      </c>
    </row>
    <row r="1705" spans="10:16" x14ac:dyDescent="0.2">
      <c r="J1705" t="str">
        <f>IF([2]Entry!$C$1708="","",[2]Entry!$C$1708)</f>
        <v/>
      </c>
      <c r="K1705" t="str">
        <f>IF([2]Entry!$D$1708="","",[2]Entry!$D$1708)</f>
        <v/>
      </c>
      <c r="L1705" t="str">
        <f>IF([2]Entry!$E$1708="","",[2]Entry!$E$1708)</f>
        <v/>
      </c>
      <c r="M1705" t="str">
        <f>IF([2]Entry!$G$1708="","",[2]Entry!$G$1708)</f>
        <v/>
      </c>
      <c r="N1705" t="str">
        <f>IF([2]Entry!$M$1708="","",[2]Entry!$M$1708)</f>
        <v/>
      </c>
      <c r="O1705" t="str">
        <f>IF([2]Entry!$N$1708="","",[2]Entry!$N$1708)</f>
        <v/>
      </c>
      <c r="P1705" t="str">
        <f>IF([2]Entry!$R$1708="","",[2]Entry!$R$1708)</f>
        <v/>
      </c>
    </row>
    <row r="1706" spans="10:16" x14ac:dyDescent="0.2">
      <c r="J1706" t="str">
        <f>IF([2]Entry!$C$1709="","",[2]Entry!$C$1709)</f>
        <v/>
      </c>
      <c r="K1706" t="str">
        <f>IF([2]Entry!$D$1709="","",[2]Entry!$D$1709)</f>
        <v/>
      </c>
      <c r="L1706" t="str">
        <f>IF([2]Entry!$E$1709="","",[2]Entry!$E$1709)</f>
        <v/>
      </c>
      <c r="M1706" t="str">
        <f>IF([2]Entry!$G$1709="","",[2]Entry!$G$1709)</f>
        <v/>
      </c>
      <c r="N1706" t="str">
        <f>IF([2]Entry!$M$1709="","",[2]Entry!$M$1709)</f>
        <v/>
      </c>
      <c r="O1706" t="str">
        <f>IF([2]Entry!$N$1709="","",[2]Entry!$N$1709)</f>
        <v/>
      </c>
      <c r="P1706" t="str">
        <f>IF([2]Entry!$R$1709="","",[2]Entry!$R$1709)</f>
        <v/>
      </c>
    </row>
    <row r="1707" spans="10:16" x14ac:dyDescent="0.2">
      <c r="J1707" t="str">
        <f>IF([2]Entry!$C$1710="","",[2]Entry!$C$1710)</f>
        <v/>
      </c>
      <c r="K1707" t="str">
        <f>IF([2]Entry!$D$1710="","",[2]Entry!$D$1710)</f>
        <v/>
      </c>
      <c r="L1707" t="str">
        <f>IF([2]Entry!$E$1710="","",[2]Entry!$E$1710)</f>
        <v/>
      </c>
      <c r="M1707" t="str">
        <f>IF([2]Entry!$G$1710="","",[2]Entry!$G$1710)</f>
        <v/>
      </c>
      <c r="N1707" t="str">
        <f>IF([2]Entry!$M$1710="","",[2]Entry!$M$1710)</f>
        <v/>
      </c>
      <c r="O1707" t="str">
        <f>IF([2]Entry!$N$1710="","",[2]Entry!$N$1710)</f>
        <v/>
      </c>
      <c r="P1707" t="str">
        <f>IF([2]Entry!$R$1710="","",[2]Entry!$R$1710)</f>
        <v/>
      </c>
    </row>
    <row r="1708" spans="10:16" x14ac:dyDescent="0.2">
      <c r="J1708" t="str">
        <f>IF([2]Entry!$C$1711="","",[2]Entry!$C$1711)</f>
        <v/>
      </c>
      <c r="K1708" t="str">
        <f>IF([2]Entry!$D$1711="","",[2]Entry!$D$1711)</f>
        <v/>
      </c>
      <c r="L1708" t="str">
        <f>IF([2]Entry!$E$1711="","",[2]Entry!$E$1711)</f>
        <v/>
      </c>
      <c r="M1708" t="str">
        <f>IF([2]Entry!$G$1711="","",[2]Entry!$G$1711)</f>
        <v/>
      </c>
      <c r="N1708" t="str">
        <f>IF([2]Entry!$M$1711="","",[2]Entry!$M$1711)</f>
        <v/>
      </c>
      <c r="O1708" t="str">
        <f>IF([2]Entry!$N$1711="","",[2]Entry!$N$1711)</f>
        <v/>
      </c>
      <c r="P1708" t="str">
        <f>IF([2]Entry!$R$1711="","",[2]Entry!$R$1711)</f>
        <v/>
      </c>
    </row>
    <row r="1709" spans="10:16" x14ac:dyDescent="0.2">
      <c r="J1709" t="str">
        <f>IF([2]Entry!$C$1712="","",[2]Entry!$C$1712)</f>
        <v/>
      </c>
      <c r="K1709" t="str">
        <f>IF([2]Entry!$D$1712="","",[2]Entry!$D$1712)</f>
        <v/>
      </c>
      <c r="L1709" t="str">
        <f>IF([2]Entry!$E$1712="","",[2]Entry!$E$1712)</f>
        <v/>
      </c>
      <c r="M1709" t="str">
        <f>IF([2]Entry!$G$1712="","",[2]Entry!$G$1712)</f>
        <v/>
      </c>
      <c r="N1709" t="str">
        <f>IF([2]Entry!$M$1712="","",[2]Entry!$M$1712)</f>
        <v/>
      </c>
      <c r="O1709" t="str">
        <f>IF([2]Entry!$N$1712="","",[2]Entry!$N$1712)</f>
        <v/>
      </c>
      <c r="P1709" t="str">
        <f>IF([2]Entry!$R$1712="","",[2]Entry!$R$1712)</f>
        <v/>
      </c>
    </row>
    <row r="1710" spans="10:16" x14ac:dyDescent="0.2">
      <c r="J1710" t="str">
        <f>IF([2]Entry!$C$1713="","",[2]Entry!$C$1713)</f>
        <v/>
      </c>
      <c r="K1710" t="str">
        <f>IF([2]Entry!$D$1713="","",[2]Entry!$D$1713)</f>
        <v/>
      </c>
      <c r="L1710" t="str">
        <f>IF([2]Entry!$E$1713="","",[2]Entry!$E$1713)</f>
        <v/>
      </c>
      <c r="M1710" t="str">
        <f>IF([2]Entry!$G$1713="","",[2]Entry!$G$1713)</f>
        <v/>
      </c>
      <c r="N1710" t="str">
        <f>IF([2]Entry!$M$1713="","",[2]Entry!$M$1713)</f>
        <v/>
      </c>
      <c r="O1710" t="str">
        <f>IF([2]Entry!$N$1713="","",[2]Entry!$N$1713)</f>
        <v/>
      </c>
      <c r="P1710" t="str">
        <f>IF([2]Entry!$R$1713="","",[2]Entry!$R$1713)</f>
        <v/>
      </c>
    </row>
    <row r="1711" spans="10:16" x14ac:dyDescent="0.2">
      <c r="J1711" t="str">
        <f>IF([2]Entry!$C$1714="","",[2]Entry!$C$1714)</f>
        <v/>
      </c>
      <c r="K1711" t="str">
        <f>IF([2]Entry!$D$1714="","",[2]Entry!$D$1714)</f>
        <v/>
      </c>
      <c r="L1711" t="str">
        <f>IF([2]Entry!$E$1714="","",[2]Entry!$E$1714)</f>
        <v/>
      </c>
      <c r="M1711" t="str">
        <f>IF([2]Entry!$G$1714="","",[2]Entry!$G$1714)</f>
        <v/>
      </c>
      <c r="N1711" t="str">
        <f>IF([2]Entry!$M$1714="","",[2]Entry!$M$1714)</f>
        <v/>
      </c>
      <c r="O1711" t="str">
        <f>IF([2]Entry!$N$1714="","",[2]Entry!$N$1714)</f>
        <v/>
      </c>
      <c r="P1711" t="str">
        <f>IF([2]Entry!$R$1714="","",[2]Entry!$R$1714)</f>
        <v/>
      </c>
    </row>
    <row r="1712" spans="10:16" x14ac:dyDescent="0.2">
      <c r="J1712" t="str">
        <f>IF([2]Entry!$C$1715="","",[2]Entry!$C$1715)</f>
        <v/>
      </c>
      <c r="K1712" t="str">
        <f>IF([2]Entry!$D$1715="","",[2]Entry!$D$1715)</f>
        <v/>
      </c>
      <c r="L1712" t="str">
        <f>IF([2]Entry!$E$1715="","",[2]Entry!$E$1715)</f>
        <v/>
      </c>
      <c r="M1712" t="str">
        <f>IF([2]Entry!$G$1715="","",[2]Entry!$G$1715)</f>
        <v/>
      </c>
      <c r="N1712" t="str">
        <f>IF([2]Entry!$M$1715="","",[2]Entry!$M$1715)</f>
        <v/>
      </c>
      <c r="O1712" t="str">
        <f>IF([2]Entry!$N$1715="","",[2]Entry!$N$1715)</f>
        <v/>
      </c>
      <c r="P1712" t="str">
        <f>IF([2]Entry!$R$1715="","",[2]Entry!$R$1715)</f>
        <v/>
      </c>
    </row>
    <row r="1713" spans="10:16" x14ac:dyDescent="0.2">
      <c r="J1713" t="str">
        <f>IF([2]Entry!$C$1716="","",[2]Entry!$C$1716)</f>
        <v/>
      </c>
      <c r="K1713" t="str">
        <f>IF([2]Entry!$D$1716="","",[2]Entry!$D$1716)</f>
        <v/>
      </c>
      <c r="L1713" t="str">
        <f>IF([2]Entry!$E$1716="","",[2]Entry!$E$1716)</f>
        <v/>
      </c>
      <c r="M1713" t="str">
        <f>IF([2]Entry!$G$1716="","",[2]Entry!$G$1716)</f>
        <v/>
      </c>
      <c r="N1713" t="str">
        <f>IF([2]Entry!$M$1716="","",[2]Entry!$M$1716)</f>
        <v/>
      </c>
      <c r="O1713" t="str">
        <f>IF([2]Entry!$N$1716="","",[2]Entry!$N$1716)</f>
        <v/>
      </c>
      <c r="P1713" t="str">
        <f>IF([2]Entry!$R$1716="","",[2]Entry!$R$1716)</f>
        <v/>
      </c>
    </row>
    <row r="1714" spans="10:16" x14ac:dyDescent="0.2">
      <c r="J1714" t="str">
        <f>IF([2]Entry!$C$1717="","",[2]Entry!$C$1717)</f>
        <v/>
      </c>
      <c r="K1714" t="str">
        <f>IF([2]Entry!$D$1717="","",[2]Entry!$D$1717)</f>
        <v/>
      </c>
      <c r="L1714" t="str">
        <f>IF([2]Entry!$E$1717="","",[2]Entry!$E$1717)</f>
        <v/>
      </c>
      <c r="M1714" t="str">
        <f>IF([2]Entry!$G$1717="","",[2]Entry!$G$1717)</f>
        <v/>
      </c>
      <c r="N1714" t="str">
        <f>IF([2]Entry!$M$1717="","",[2]Entry!$M$1717)</f>
        <v/>
      </c>
      <c r="O1714" t="str">
        <f>IF([2]Entry!$N$1717="","",[2]Entry!$N$1717)</f>
        <v/>
      </c>
      <c r="P1714" t="str">
        <f>IF([2]Entry!$R$1717="","",[2]Entry!$R$1717)</f>
        <v/>
      </c>
    </row>
    <row r="1715" spans="10:16" x14ac:dyDescent="0.2">
      <c r="J1715" t="str">
        <f>IF([2]Entry!$C$1718="","",[2]Entry!$C$1718)</f>
        <v/>
      </c>
      <c r="K1715" t="str">
        <f>IF([2]Entry!$D$1718="","",[2]Entry!$D$1718)</f>
        <v/>
      </c>
      <c r="L1715" t="str">
        <f>IF([2]Entry!$E$1718="","",[2]Entry!$E$1718)</f>
        <v/>
      </c>
      <c r="M1715" t="str">
        <f>IF([2]Entry!$G$1718="","",[2]Entry!$G$1718)</f>
        <v/>
      </c>
      <c r="N1715" t="str">
        <f>IF([2]Entry!$M$1718="","",[2]Entry!$M$1718)</f>
        <v/>
      </c>
      <c r="O1715" t="str">
        <f>IF([2]Entry!$N$1718="","",[2]Entry!$N$1718)</f>
        <v/>
      </c>
      <c r="P1715" t="str">
        <f>IF([2]Entry!$R$1718="","",[2]Entry!$R$1718)</f>
        <v/>
      </c>
    </row>
    <row r="1716" spans="10:16" x14ac:dyDescent="0.2">
      <c r="J1716" t="str">
        <f>IF([2]Entry!$C$1719="","",[2]Entry!$C$1719)</f>
        <v/>
      </c>
      <c r="K1716" t="str">
        <f>IF([2]Entry!$D$1719="","",[2]Entry!$D$1719)</f>
        <v/>
      </c>
      <c r="L1716" t="str">
        <f>IF([2]Entry!$E$1719="","",[2]Entry!$E$1719)</f>
        <v/>
      </c>
      <c r="M1716" t="str">
        <f>IF([2]Entry!$G$1719="","",[2]Entry!$G$1719)</f>
        <v/>
      </c>
      <c r="N1716" t="str">
        <f>IF([2]Entry!$M$1719="","",[2]Entry!$M$1719)</f>
        <v/>
      </c>
      <c r="O1716" t="str">
        <f>IF([2]Entry!$N$1719="","",[2]Entry!$N$1719)</f>
        <v/>
      </c>
      <c r="P1716" t="str">
        <f>IF([2]Entry!$R$1719="","",[2]Entry!$R$1719)</f>
        <v/>
      </c>
    </row>
    <row r="1717" spans="10:16" x14ac:dyDescent="0.2">
      <c r="J1717" t="str">
        <f>IF([2]Entry!$C$1720="","",[2]Entry!$C$1720)</f>
        <v/>
      </c>
      <c r="K1717" t="str">
        <f>IF([2]Entry!$D$1720="","",[2]Entry!$D$1720)</f>
        <v/>
      </c>
      <c r="L1717" t="str">
        <f>IF([2]Entry!$E$1720="","",[2]Entry!$E$1720)</f>
        <v/>
      </c>
      <c r="M1717" t="str">
        <f>IF([2]Entry!$G$1720="","",[2]Entry!$G$1720)</f>
        <v/>
      </c>
      <c r="N1717" t="str">
        <f>IF([2]Entry!$M$1720="","",[2]Entry!$M$1720)</f>
        <v/>
      </c>
      <c r="O1717" t="str">
        <f>IF([2]Entry!$N$1720="","",[2]Entry!$N$1720)</f>
        <v/>
      </c>
      <c r="P1717" t="str">
        <f>IF([2]Entry!$R$1720="","",[2]Entry!$R$1720)</f>
        <v/>
      </c>
    </row>
    <row r="1718" spans="10:16" x14ac:dyDescent="0.2">
      <c r="J1718" t="str">
        <f>IF([2]Entry!$C$1721="","",[2]Entry!$C$1721)</f>
        <v/>
      </c>
      <c r="K1718" t="str">
        <f>IF([2]Entry!$D$1721="","",[2]Entry!$D$1721)</f>
        <v/>
      </c>
      <c r="L1718" t="str">
        <f>IF([2]Entry!$E$1721="","",[2]Entry!$E$1721)</f>
        <v/>
      </c>
      <c r="M1718" t="str">
        <f>IF([2]Entry!$G$1721="","",[2]Entry!$G$1721)</f>
        <v/>
      </c>
      <c r="N1718" t="str">
        <f>IF([2]Entry!$M$1721="","",[2]Entry!$M$1721)</f>
        <v/>
      </c>
      <c r="O1718" t="str">
        <f>IF([2]Entry!$N$1721="","",[2]Entry!$N$1721)</f>
        <v/>
      </c>
      <c r="P1718" t="str">
        <f>IF([2]Entry!$R$1721="","",[2]Entry!$R$1721)</f>
        <v/>
      </c>
    </row>
    <row r="1719" spans="10:16" x14ac:dyDescent="0.2">
      <c r="J1719" t="str">
        <f>IF([2]Entry!$C$1722="","",[2]Entry!$C$1722)</f>
        <v/>
      </c>
      <c r="K1719" t="str">
        <f>IF([2]Entry!$D$1722="","",[2]Entry!$D$1722)</f>
        <v/>
      </c>
      <c r="L1719" t="str">
        <f>IF([2]Entry!$E$1722="","",[2]Entry!$E$1722)</f>
        <v/>
      </c>
      <c r="M1719" t="str">
        <f>IF([2]Entry!$G$1722="","",[2]Entry!$G$1722)</f>
        <v/>
      </c>
      <c r="N1719" t="str">
        <f>IF([2]Entry!$M$1722="","",[2]Entry!$M$1722)</f>
        <v/>
      </c>
      <c r="O1719" t="str">
        <f>IF([2]Entry!$N$1722="","",[2]Entry!$N$1722)</f>
        <v/>
      </c>
      <c r="P1719" t="str">
        <f>IF([2]Entry!$R$1722="","",[2]Entry!$R$1722)</f>
        <v/>
      </c>
    </row>
    <row r="1720" spans="10:16" x14ac:dyDescent="0.2">
      <c r="J1720" t="str">
        <f>IF([2]Entry!$C$1723="","",[2]Entry!$C$1723)</f>
        <v/>
      </c>
      <c r="K1720" t="str">
        <f>IF([2]Entry!$D$1723="","",[2]Entry!$D$1723)</f>
        <v/>
      </c>
      <c r="L1720" t="str">
        <f>IF([2]Entry!$E$1723="","",[2]Entry!$E$1723)</f>
        <v/>
      </c>
      <c r="M1720" t="str">
        <f>IF([2]Entry!$G$1723="","",[2]Entry!$G$1723)</f>
        <v/>
      </c>
      <c r="N1720" t="str">
        <f>IF([2]Entry!$M$1723="","",[2]Entry!$M$1723)</f>
        <v/>
      </c>
      <c r="O1720" t="str">
        <f>IF([2]Entry!$N$1723="","",[2]Entry!$N$1723)</f>
        <v/>
      </c>
      <c r="P1720" t="str">
        <f>IF([2]Entry!$R$1723="","",[2]Entry!$R$1723)</f>
        <v/>
      </c>
    </row>
    <row r="1721" spans="10:16" x14ac:dyDescent="0.2">
      <c r="J1721" t="str">
        <f>IF([2]Entry!$C$1724="","",[2]Entry!$C$1724)</f>
        <v/>
      </c>
      <c r="K1721" t="str">
        <f>IF([2]Entry!$D$1724="","",[2]Entry!$D$1724)</f>
        <v/>
      </c>
      <c r="L1721" t="str">
        <f>IF([2]Entry!$E$1724="","",[2]Entry!$E$1724)</f>
        <v/>
      </c>
      <c r="M1721" t="str">
        <f>IF([2]Entry!$G$1724="","",[2]Entry!$G$1724)</f>
        <v/>
      </c>
      <c r="N1721" t="str">
        <f>IF([2]Entry!$M$1724="","",[2]Entry!$M$1724)</f>
        <v/>
      </c>
      <c r="O1721" t="str">
        <f>IF([2]Entry!$N$1724="","",[2]Entry!$N$1724)</f>
        <v/>
      </c>
      <c r="P1721" t="str">
        <f>IF([2]Entry!$R$1724="","",[2]Entry!$R$1724)</f>
        <v/>
      </c>
    </row>
    <row r="1722" spans="10:16" x14ac:dyDescent="0.2">
      <c r="J1722" t="str">
        <f>IF([2]Entry!$C$1725="","",[2]Entry!$C$1725)</f>
        <v/>
      </c>
      <c r="K1722" t="str">
        <f>IF([2]Entry!$D$1725="","",[2]Entry!$D$1725)</f>
        <v/>
      </c>
      <c r="L1722" t="str">
        <f>IF([2]Entry!$E$1725="","",[2]Entry!$E$1725)</f>
        <v/>
      </c>
      <c r="M1722" t="str">
        <f>IF([2]Entry!$G$1725="","",[2]Entry!$G$1725)</f>
        <v/>
      </c>
      <c r="N1722" t="str">
        <f>IF([2]Entry!$M$1725="","",[2]Entry!$M$1725)</f>
        <v/>
      </c>
      <c r="O1722" t="str">
        <f>IF([2]Entry!$N$1725="","",[2]Entry!$N$1725)</f>
        <v/>
      </c>
      <c r="P1722" t="str">
        <f>IF([2]Entry!$R$1725="","",[2]Entry!$R$1725)</f>
        <v/>
      </c>
    </row>
    <row r="1723" spans="10:16" x14ac:dyDescent="0.2">
      <c r="J1723" t="str">
        <f>IF([2]Entry!$C$1726="","",[2]Entry!$C$1726)</f>
        <v/>
      </c>
      <c r="K1723" t="str">
        <f>IF([2]Entry!$D$1726="","",[2]Entry!$D$1726)</f>
        <v/>
      </c>
      <c r="L1723" t="str">
        <f>IF([2]Entry!$E$1726="","",[2]Entry!$E$1726)</f>
        <v/>
      </c>
      <c r="M1723" t="str">
        <f>IF([2]Entry!$G$1726="","",[2]Entry!$G$1726)</f>
        <v/>
      </c>
      <c r="N1723" t="str">
        <f>IF([2]Entry!$M$1726="","",[2]Entry!$M$1726)</f>
        <v/>
      </c>
      <c r="O1723" t="str">
        <f>IF([2]Entry!$N$1726="","",[2]Entry!$N$1726)</f>
        <v/>
      </c>
      <c r="P1723" t="str">
        <f>IF([2]Entry!$R$1726="","",[2]Entry!$R$1726)</f>
        <v/>
      </c>
    </row>
    <row r="1724" spans="10:16" x14ac:dyDescent="0.2">
      <c r="J1724" t="str">
        <f>IF([2]Entry!$C$1727="","",[2]Entry!$C$1727)</f>
        <v/>
      </c>
      <c r="K1724" t="str">
        <f>IF([2]Entry!$D$1727="","",[2]Entry!$D$1727)</f>
        <v/>
      </c>
      <c r="L1724" t="str">
        <f>IF([2]Entry!$E$1727="","",[2]Entry!$E$1727)</f>
        <v/>
      </c>
      <c r="M1724" t="str">
        <f>IF([2]Entry!$G$1727="","",[2]Entry!$G$1727)</f>
        <v/>
      </c>
      <c r="N1724" t="str">
        <f>IF([2]Entry!$M$1727="","",[2]Entry!$M$1727)</f>
        <v/>
      </c>
      <c r="O1724" t="str">
        <f>IF([2]Entry!$N$1727="","",[2]Entry!$N$1727)</f>
        <v/>
      </c>
      <c r="P1724" t="str">
        <f>IF([2]Entry!$R$1727="","",[2]Entry!$R$1727)</f>
        <v/>
      </c>
    </row>
    <row r="1725" spans="10:16" x14ac:dyDescent="0.2">
      <c r="J1725" t="str">
        <f>IF([2]Entry!$C$1728="","",[2]Entry!$C$1728)</f>
        <v/>
      </c>
      <c r="K1725" t="str">
        <f>IF([2]Entry!$D$1728="","",[2]Entry!$D$1728)</f>
        <v/>
      </c>
      <c r="L1725" t="str">
        <f>IF([2]Entry!$E$1728="","",[2]Entry!$E$1728)</f>
        <v/>
      </c>
      <c r="M1725" t="str">
        <f>IF([2]Entry!$G$1728="","",[2]Entry!$G$1728)</f>
        <v/>
      </c>
      <c r="N1725" t="str">
        <f>IF([2]Entry!$M$1728="","",[2]Entry!$M$1728)</f>
        <v/>
      </c>
      <c r="O1725" t="str">
        <f>IF([2]Entry!$N$1728="","",[2]Entry!$N$1728)</f>
        <v/>
      </c>
      <c r="P1725" t="str">
        <f>IF([2]Entry!$R$1728="","",[2]Entry!$R$1728)</f>
        <v/>
      </c>
    </row>
    <row r="1726" spans="10:16" x14ac:dyDescent="0.2">
      <c r="J1726" t="str">
        <f>IF([2]Entry!$C$1729="","",[2]Entry!$C$1729)</f>
        <v/>
      </c>
      <c r="K1726" t="str">
        <f>IF([2]Entry!$D$1729="","",[2]Entry!$D$1729)</f>
        <v/>
      </c>
      <c r="L1726" t="str">
        <f>IF([2]Entry!$E$1729="","",[2]Entry!$E$1729)</f>
        <v/>
      </c>
      <c r="M1726" t="str">
        <f>IF([2]Entry!$G$1729="","",[2]Entry!$G$1729)</f>
        <v/>
      </c>
      <c r="N1726" t="str">
        <f>IF([2]Entry!$M$1729="","",[2]Entry!$M$1729)</f>
        <v/>
      </c>
      <c r="O1726" t="str">
        <f>IF([2]Entry!$N$1729="","",[2]Entry!$N$1729)</f>
        <v/>
      </c>
      <c r="P1726" t="str">
        <f>IF([2]Entry!$R$1729="","",[2]Entry!$R$1729)</f>
        <v/>
      </c>
    </row>
    <row r="1727" spans="10:16" x14ac:dyDescent="0.2">
      <c r="J1727" t="str">
        <f>IF([2]Entry!$C$1730="","",[2]Entry!$C$1730)</f>
        <v/>
      </c>
      <c r="K1727" t="str">
        <f>IF([2]Entry!$D$1730="","",[2]Entry!$D$1730)</f>
        <v/>
      </c>
      <c r="L1727" t="str">
        <f>IF([2]Entry!$E$1730="","",[2]Entry!$E$1730)</f>
        <v/>
      </c>
      <c r="M1727" t="str">
        <f>IF([2]Entry!$G$1730="","",[2]Entry!$G$1730)</f>
        <v/>
      </c>
      <c r="N1727" t="str">
        <f>IF([2]Entry!$M$1730="","",[2]Entry!$M$1730)</f>
        <v/>
      </c>
      <c r="O1727" t="str">
        <f>IF([2]Entry!$N$1730="","",[2]Entry!$N$1730)</f>
        <v/>
      </c>
      <c r="P1727" t="str">
        <f>IF([2]Entry!$R$1730="","",[2]Entry!$R$1730)</f>
        <v/>
      </c>
    </row>
    <row r="1728" spans="10:16" x14ac:dyDescent="0.2">
      <c r="J1728" t="str">
        <f>IF([2]Entry!$C$1731="","",[2]Entry!$C$1731)</f>
        <v/>
      </c>
      <c r="K1728" t="str">
        <f>IF([2]Entry!$D$1731="","",[2]Entry!$D$1731)</f>
        <v/>
      </c>
      <c r="L1728" t="str">
        <f>IF([2]Entry!$E$1731="","",[2]Entry!$E$1731)</f>
        <v/>
      </c>
      <c r="M1728" t="str">
        <f>IF([2]Entry!$G$1731="","",[2]Entry!$G$1731)</f>
        <v/>
      </c>
      <c r="N1728" t="str">
        <f>IF([2]Entry!$M$1731="","",[2]Entry!$M$1731)</f>
        <v/>
      </c>
      <c r="O1728" t="str">
        <f>IF([2]Entry!$N$1731="","",[2]Entry!$N$1731)</f>
        <v/>
      </c>
      <c r="P1728" t="str">
        <f>IF([2]Entry!$R$1731="","",[2]Entry!$R$1731)</f>
        <v/>
      </c>
    </row>
    <row r="1729" spans="10:16" x14ac:dyDescent="0.2">
      <c r="J1729" t="str">
        <f>IF([2]Entry!$C$1732="","",[2]Entry!$C$1732)</f>
        <v/>
      </c>
      <c r="K1729" t="str">
        <f>IF([2]Entry!$D$1732="","",[2]Entry!$D$1732)</f>
        <v/>
      </c>
      <c r="L1729" t="str">
        <f>IF([2]Entry!$E$1732="","",[2]Entry!$E$1732)</f>
        <v/>
      </c>
      <c r="M1729" t="str">
        <f>IF([2]Entry!$G$1732="","",[2]Entry!$G$1732)</f>
        <v/>
      </c>
      <c r="N1729" t="str">
        <f>IF([2]Entry!$M$1732="","",[2]Entry!$M$1732)</f>
        <v/>
      </c>
      <c r="O1729" t="str">
        <f>IF([2]Entry!$N$1732="","",[2]Entry!$N$1732)</f>
        <v/>
      </c>
      <c r="P1729" t="str">
        <f>IF([2]Entry!$R$1732="","",[2]Entry!$R$1732)</f>
        <v/>
      </c>
    </row>
    <row r="1730" spans="10:16" x14ac:dyDescent="0.2">
      <c r="J1730" t="str">
        <f>IF([2]Entry!$C$1733="","",[2]Entry!$C$1733)</f>
        <v/>
      </c>
      <c r="K1730" t="str">
        <f>IF([2]Entry!$D$1733="","",[2]Entry!$D$1733)</f>
        <v/>
      </c>
      <c r="L1730" t="str">
        <f>IF([2]Entry!$E$1733="","",[2]Entry!$E$1733)</f>
        <v/>
      </c>
      <c r="M1730" t="str">
        <f>IF([2]Entry!$G$1733="","",[2]Entry!$G$1733)</f>
        <v/>
      </c>
      <c r="N1730" t="str">
        <f>IF([2]Entry!$M$1733="","",[2]Entry!$M$1733)</f>
        <v/>
      </c>
      <c r="O1730" t="str">
        <f>IF([2]Entry!$N$1733="","",[2]Entry!$N$1733)</f>
        <v/>
      </c>
      <c r="P1730" t="str">
        <f>IF([2]Entry!$R$1733="","",[2]Entry!$R$1733)</f>
        <v/>
      </c>
    </row>
    <row r="1731" spans="10:16" x14ac:dyDescent="0.2">
      <c r="J1731" t="str">
        <f>IF([2]Entry!$C$1734="","",[2]Entry!$C$1734)</f>
        <v/>
      </c>
      <c r="K1731" t="str">
        <f>IF([2]Entry!$D$1734="","",[2]Entry!$D$1734)</f>
        <v/>
      </c>
      <c r="L1731" t="str">
        <f>IF([2]Entry!$E$1734="","",[2]Entry!$E$1734)</f>
        <v/>
      </c>
      <c r="M1731" t="str">
        <f>IF([2]Entry!$G$1734="","",[2]Entry!$G$1734)</f>
        <v/>
      </c>
      <c r="N1731" t="str">
        <f>IF([2]Entry!$M$1734="","",[2]Entry!$M$1734)</f>
        <v/>
      </c>
      <c r="O1731" t="str">
        <f>IF([2]Entry!$N$1734="","",[2]Entry!$N$1734)</f>
        <v/>
      </c>
      <c r="P1731" t="str">
        <f>IF([2]Entry!$R$1734="","",[2]Entry!$R$1734)</f>
        <v/>
      </c>
    </row>
    <row r="1732" spans="10:16" x14ac:dyDescent="0.2">
      <c r="J1732" t="str">
        <f>IF([2]Entry!$C$1735="","",[2]Entry!$C$1735)</f>
        <v/>
      </c>
      <c r="K1732" t="str">
        <f>IF([2]Entry!$D$1735="","",[2]Entry!$D$1735)</f>
        <v/>
      </c>
      <c r="L1732" t="str">
        <f>IF([2]Entry!$E$1735="","",[2]Entry!$E$1735)</f>
        <v/>
      </c>
      <c r="M1732" t="str">
        <f>IF([2]Entry!$G$1735="","",[2]Entry!$G$1735)</f>
        <v/>
      </c>
      <c r="N1732" t="str">
        <f>IF([2]Entry!$M$1735="","",[2]Entry!$M$1735)</f>
        <v/>
      </c>
      <c r="O1732" t="str">
        <f>IF([2]Entry!$N$1735="","",[2]Entry!$N$1735)</f>
        <v/>
      </c>
      <c r="P1732" t="str">
        <f>IF([2]Entry!$R$1735="","",[2]Entry!$R$1735)</f>
        <v/>
      </c>
    </row>
    <row r="1733" spans="10:16" x14ac:dyDescent="0.2">
      <c r="J1733" t="str">
        <f>IF([2]Entry!$C$1736="","",[2]Entry!$C$1736)</f>
        <v/>
      </c>
      <c r="K1733" t="str">
        <f>IF([2]Entry!$D$1736="","",[2]Entry!$D$1736)</f>
        <v/>
      </c>
      <c r="L1733" t="str">
        <f>IF([2]Entry!$E$1736="","",[2]Entry!$E$1736)</f>
        <v/>
      </c>
      <c r="M1733" t="str">
        <f>IF([2]Entry!$G$1736="","",[2]Entry!$G$1736)</f>
        <v/>
      </c>
      <c r="N1733" t="str">
        <f>IF([2]Entry!$M$1736="","",[2]Entry!$M$1736)</f>
        <v/>
      </c>
      <c r="O1733" t="str">
        <f>IF([2]Entry!$N$1736="","",[2]Entry!$N$1736)</f>
        <v/>
      </c>
      <c r="P1733" t="str">
        <f>IF([2]Entry!$R$1736="","",[2]Entry!$R$1736)</f>
        <v/>
      </c>
    </row>
    <row r="1734" spans="10:16" x14ac:dyDescent="0.2">
      <c r="J1734" t="str">
        <f>IF([2]Entry!$C$1737="","",[2]Entry!$C$1737)</f>
        <v/>
      </c>
      <c r="K1734" t="str">
        <f>IF([2]Entry!$D$1737="","",[2]Entry!$D$1737)</f>
        <v/>
      </c>
      <c r="L1734" t="str">
        <f>IF([2]Entry!$E$1737="","",[2]Entry!$E$1737)</f>
        <v/>
      </c>
      <c r="M1734" t="str">
        <f>IF([2]Entry!$G$1737="","",[2]Entry!$G$1737)</f>
        <v/>
      </c>
      <c r="N1734" t="str">
        <f>IF([2]Entry!$M$1737="","",[2]Entry!$M$1737)</f>
        <v/>
      </c>
      <c r="O1734" t="str">
        <f>IF([2]Entry!$N$1737="","",[2]Entry!$N$1737)</f>
        <v/>
      </c>
      <c r="P1734" t="str">
        <f>IF([2]Entry!$R$1737="","",[2]Entry!$R$1737)</f>
        <v/>
      </c>
    </row>
    <row r="1735" spans="10:16" x14ac:dyDescent="0.2">
      <c r="J1735" t="str">
        <f>IF([2]Entry!$C$1738="","",[2]Entry!$C$1738)</f>
        <v/>
      </c>
      <c r="K1735" t="str">
        <f>IF([2]Entry!$D$1738="","",[2]Entry!$D$1738)</f>
        <v/>
      </c>
      <c r="L1735" t="str">
        <f>IF([2]Entry!$E$1738="","",[2]Entry!$E$1738)</f>
        <v/>
      </c>
      <c r="M1735" t="str">
        <f>IF([2]Entry!$G$1738="","",[2]Entry!$G$1738)</f>
        <v/>
      </c>
      <c r="N1735" t="str">
        <f>IF([2]Entry!$M$1738="","",[2]Entry!$M$1738)</f>
        <v/>
      </c>
      <c r="O1735" t="str">
        <f>IF([2]Entry!$N$1738="","",[2]Entry!$N$1738)</f>
        <v/>
      </c>
      <c r="P1735" t="str">
        <f>IF([2]Entry!$R$1738="","",[2]Entry!$R$1738)</f>
        <v/>
      </c>
    </row>
    <row r="1736" spans="10:16" x14ac:dyDescent="0.2">
      <c r="J1736" t="str">
        <f>IF([2]Entry!$C$1739="","",[2]Entry!$C$1739)</f>
        <v/>
      </c>
      <c r="K1736" t="str">
        <f>IF([2]Entry!$D$1739="","",[2]Entry!$D$1739)</f>
        <v/>
      </c>
      <c r="L1736" t="str">
        <f>IF([2]Entry!$E$1739="","",[2]Entry!$E$1739)</f>
        <v/>
      </c>
      <c r="M1736" t="str">
        <f>IF([2]Entry!$G$1739="","",[2]Entry!$G$1739)</f>
        <v/>
      </c>
      <c r="N1736" t="str">
        <f>IF([2]Entry!$M$1739="","",[2]Entry!$M$1739)</f>
        <v/>
      </c>
      <c r="O1736" t="str">
        <f>IF([2]Entry!$N$1739="","",[2]Entry!$N$1739)</f>
        <v/>
      </c>
      <c r="P1736" t="str">
        <f>IF([2]Entry!$R$1739="","",[2]Entry!$R$1739)</f>
        <v/>
      </c>
    </row>
    <row r="1737" spans="10:16" x14ac:dyDescent="0.2">
      <c r="J1737" t="str">
        <f>IF([2]Entry!$C$1740="","",[2]Entry!$C$1740)</f>
        <v/>
      </c>
      <c r="K1737" t="str">
        <f>IF([2]Entry!$D$1740="","",[2]Entry!$D$1740)</f>
        <v/>
      </c>
      <c r="L1737" t="str">
        <f>IF([2]Entry!$E$1740="","",[2]Entry!$E$1740)</f>
        <v/>
      </c>
      <c r="M1737" t="str">
        <f>IF([2]Entry!$G$1740="","",[2]Entry!$G$1740)</f>
        <v/>
      </c>
      <c r="N1737" t="str">
        <f>IF([2]Entry!$M$1740="","",[2]Entry!$M$1740)</f>
        <v/>
      </c>
      <c r="O1737" t="str">
        <f>IF([2]Entry!$N$1740="","",[2]Entry!$N$1740)</f>
        <v/>
      </c>
      <c r="P1737" t="str">
        <f>IF([2]Entry!$R$1740="","",[2]Entry!$R$1740)</f>
        <v/>
      </c>
    </row>
    <row r="1738" spans="10:16" x14ac:dyDescent="0.2">
      <c r="J1738" t="str">
        <f>IF([2]Entry!$C$1741="","",[2]Entry!$C$1741)</f>
        <v/>
      </c>
      <c r="K1738" t="str">
        <f>IF([2]Entry!$D$1741="","",[2]Entry!$D$1741)</f>
        <v/>
      </c>
      <c r="L1738" t="str">
        <f>IF([2]Entry!$E$1741="","",[2]Entry!$E$1741)</f>
        <v/>
      </c>
      <c r="M1738" t="str">
        <f>IF([2]Entry!$G$1741="","",[2]Entry!$G$1741)</f>
        <v/>
      </c>
      <c r="N1738" t="str">
        <f>IF([2]Entry!$M$1741="","",[2]Entry!$M$1741)</f>
        <v/>
      </c>
      <c r="O1738" t="str">
        <f>IF([2]Entry!$N$1741="","",[2]Entry!$N$1741)</f>
        <v/>
      </c>
      <c r="P1738" t="str">
        <f>IF([2]Entry!$R$1741="","",[2]Entry!$R$1741)</f>
        <v/>
      </c>
    </row>
    <row r="1739" spans="10:16" x14ac:dyDescent="0.2">
      <c r="J1739" t="str">
        <f>IF([2]Entry!$C$1742="","",[2]Entry!$C$1742)</f>
        <v/>
      </c>
      <c r="K1739" t="str">
        <f>IF([2]Entry!$D$1742="","",[2]Entry!$D$1742)</f>
        <v/>
      </c>
      <c r="L1739" t="str">
        <f>IF([2]Entry!$E$1742="","",[2]Entry!$E$1742)</f>
        <v/>
      </c>
      <c r="M1739" t="str">
        <f>IF([2]Entry!$G$1742="","",[2]Entry!$G$1742)</f>
        <v/>
      </c>
      <c r="N1739" t="str">
        <f>IF([2]Entry!$M$1742="","",[2]Entry!$M$1742)</f>
        <v/>
      </c>
      <c r="O1739" t="str">
        <f>IF([2]Entry!$N$1742="","",[2]Entry!$N$1742)</f>
        <v/>
      </c>
      <c r="P1739" t="str">
        <f>IF([2]Entry!$R$1742="","",[2]Entry!$R$1742)</f>
        <v/>
      </c>
    </row>
    <row r="1740" spans="10:16" x14ac:dyDescent="0.2">
      <c r="J1740" t="str">
        <f>IF([2]Entry!$C$1743="","",[2]Entry!$C$1743)</f>
        <v/>
      </c>
      <c r="K1740" t="str">
        <f>IF([2]Entry!$D$1743="","",[2]Entry!$D$1743)</f>
        <v/>
      </c>
      <c r="L1740" t="str">
        <f>IF([2]Entry!$E$1743="","",[2]Entry!$E$1743)</f>
        <v/>
      </c>
      <c r="M1740" t="str">
        <f>IF([2]Entry!$G$1743="","",[2]Entry!$G$1743)</f>
        <v/>
      </c>
      <c r="N1740" t="str">
        <f>IF([2]Entry!$M$1743="","",[2]Entry!$M$1743)</f>
        <v/>
      </c>
      <c r="O1740" t="str">
        <f>IF([2]Entry!$N$1743="","",[2]Entry!$N$1743)</f>
        <v/>
      </c>
      <c r="P1740" t="str">
        <f>IF([2]Entry!$R$1743="","",[2]Entry!$R$1743)</f>
        <v/>
      </c>
    </row>
    <row r="1741" spans="10:16" x14ac:dyDescent="0.2">
      <c r="J1741" t="str">
        <f>IF([2]Entry!$C$1744="","",[2]Entry!$C$1744)</f>
        <v/>
      </c>
      <c r="K1741" t="str">
        <f>IF([2]Entry!$D$1744="","",[2]Entry!$D$1744)</f>
        <v/>
      </c>
      <c r="L1741" t="str">
        <f>IF([2]Entry!$E$1744="","",[2]Entry!$E$1744)</f>
        <v/>
      </c>
      <c r="M1741" t="str">
        <f>IF([2]Entry!$G$1744="","",[2]Entry!$G$1744)</f>
        <v/>
      </c>
      <c r="N1741" t="str">
        <f>IF([2]Entry!$M$1744="","",[2]Entry!$M$1744)</f>
        <v/>
      </c>
      <c r="O1741" t="str">
        <f>IF([2]Entry!$N$1744="","",[2]Entry!$N$1744)</f>
        <v/>
      </c>
      <c r="P1741" t="str">
        <f>IF([2]Entry!$R$1744="","",[2]Entry!$R$1744)</f>
        <v/>
      </c>
    </row>
    <row r="1742" spans="10:16" x14ac:dyDescent="0.2">
      <c r="J1742" t="str">
        <f>IF([2]Entry!$C$1745="","",[2]Entry!$C$1745)</f>
        <v/>
      </c>
      <c r="K1742" t="str">
        <f>IF([2]Entry!$D$1745="","",[2]Entry!$D$1745)</f>
        <v/>
      </c>
      <c r="L1742" t="str">
        <f>IF([2]Entry!$E$1745="","",[2]Entry!$E$1745)</f>
        <v/>
      </c>
      <c r="M1742" t="str">
        <f>IF([2]Entry!$G$1745="","",[2]Entry!$G$1745)</f>
        <v/>
      </c>
      <c r="N1742" t="str">
        <f>IF([2]Entry!$M$1745="","",[2]Entry!$M$1745)</f>
        <v/>
      </c>
      <c r="O1742" t="str">
        <f>IF([2]Entry!$N$1745="","",[2]Entry!$N$1745)</f>
        <v/>
      </c>
      <c r="P1742" t="str">
        <f>IF([2]Entry!$R$1745="","",[2]Entry!$R$1745)</f>
        <v/>
      </c>
    </row>
    <row r="1743" spans="10:16" x14ac:dyDescent="0.2">
      <c r="J1743" t="str">
        <f>IF([2]Entry!$C$1746="","",[2]Entry!$C$1746)</f>
        <v/>
      </c>
      <c r="K1743" t="str">
        <f>IF([2]Entry!$D$1746="","",[2]Entry!$D$1746)</f>
        <v/>
      </c>
      <c r="L1743" t="str">
        <f>IF([2]Entry!$E$1746="","",[2]Entry!$E$1746)</f>
        <v/>
      </c>
      <c r="M1743" t="str">
        <f>IF([2]Entry!$G$1746="","",[2]Entry!$G$1746)</f>
        <v/>
      </c>
      <c r="N1743" t="str">
        <f>IF([2]Entry!$M$1746="","",[2]Entry!$M$1746)</f>
        <v/>
      </c>
      <c r="O1743" t="str">
        <f>IF([2]Entry!$N$1746="","",[2]Entry!$N$1746)</f>
        <v/>
      </c>
      <c r="P1743" t="str">
        <f>IF([2]Entry!$R$1746="","",[2]Entry!$R$1746)</f>
        <v/>
      </c>
    </row>
    <row r="1744" spans="10:16" x14ac:dyDescent="0.2">
      <c r="J1744" t="str">
        <f>IF([2]Entry!$C$1747="","",[2]Entry!$C$1747)</f>
        <v/>
      </c>
      <c r="K1744" t="str">
        <f>IF([2]Entry!$D$1747="","",[2]Entry!$D$1747)</f>
        <v/>
      </c>
      <c r="L1744" t="str">
        <f>IF([2]Entry!$E$1747="","",[2]Entry!$E$1747)</f>
        <v/>
      </c>
      <c r="M1744" t="str">
        <f>IF([2]Entry!$G$1747="","",[2]Entry!$G$1747)</f>
        <v/>
      </c>
      <c r="N1744" t="str">
        <f>IF([2]Entry!$M$1747="","",[2]Entry!$M$1747)</f>
        <v/>
      </c>
      <c r="O1744" t="str">
        <f>IF([2]Entry!$N$1747="","",[2]Entry!$N$1747)</f>
        <v/>
      </c>
      <c r="P1744" t="str">
        <f>IF([2]Entry!$R$1747="","",[2]Entry!$R$1747)</f>
        <v/>
      </c>
    </row>
    <row r="1745" spans="10:16" x14ac:dyDescent="0.2">
      <c r="J1745" t="str">
        <f>IF([2]Entry!$C$1748="","",[2]Entry!$C$1748)</f>
        <v/>
      </c>
      <c r="K1745" t="str">
        <f>IF([2]Entry!$D$1748="","",[2]Entry!$D$1748)</f>
        <v/>
      </c>
      <c r="L1745" t="str">
        <f>IF([2]Entry!$E$1748="","",[2]Entry!$E$1748)</f>
        <v/>
      </c>
      <c r="M1745" t="str">
        <f>IF([2]Entry!$G$1748="","",[2]Entry!$G$1748)</f>
        <v/>
      </c>
      <c r="N1745" t="str">
        <f>IF([2]Entry!$M$1748="","",[2]Entry!$M$1748)</f>
        <v/>
      </c>
      <c r="O1745" t="str">
        <f>IF([2]Entry!$N$1748="","",[2]Entry!$N$1748)</f>
        <v/>
      </c>
      <c r="P1745" t="str">
        <f>IF([2]Entry!$R$1748="","",[2]Entry!$R$1748)</f>
        <v/>
      </c>
    </row>
    <row r="1746" spans="10:16" x14ac:dyDescent="0.2">
      <c r="J1746" t="str">
        <f>IF([2]Entry!$C$1749="","",[2]Entry!$C$1749)</f>
        <v/>
      </c>
      <c r="K1746" t="str">
        <f>IF([2]Entry!$D$1749="","",[2]Entry!$D$1749)</f>
        <v/>
      </c>
      <c r="L1746" t="str">
        <f>IF([2]Entry!$E$1749="","",[2]Entry!$E$1749)</f>
        <v/>
      </c>
      <c r="M1746" t="str">
        <f>IF([2]Entry!$G$1749="","",[2]Entry!$G$1749)</f>
        <v/>
      </c>
      <c r="N1746" t="str">
        <f>IF([2]Entry!$M$1749="","",[2]Entry!$M$1749)</f>
        <v/>
      </c>
      <c r="O1746" t="str">
        <f>IF([2]Entry!$N$1749="","",[2]Entry!$N$1749)</f>
        <v/>
      </c>
      <c r="P1746" t="str">
        <f>IF([2]Entry!$R$1749="","",[2]Entry!$R$1749)</f>
        <v/>
      </c>
    </row>
    <row r="1747" spans="10:16" x14ac:dyDescent="0.2">
      <c r="J1747" t="str">
        <f>IF([2]Entry!$C$1750="","",[2]Entry!$C$1750)</f>
        <v/>
      </c>
      <c r="K1747" t="str">
        <f>IF([2]Entry!$D$1750="","",[2]Entry!$D$1750)</f>
        <v/>
      </c>
      <c r="L1747" t="str">
        <f>IF([2]Entry!$E$1750="","",[2]Entry!$E$1750)</f>
        <v/>
      </c>
      <c r="M1747" t="str">
        <f>IF([2]Entry!$G$1750="","",[2]Entry!$G$1750)</f>
        <v/>
      </c>
      <c r="N1747" t="str">
        <f>IF([2]Entry!$M$1750="","",[2]Entry!$M$1750)</f>
        <v/>
      </c>
      <c r="O1747" t="str">
        <f>IF([2]Entry!$N$1750="","",[2]Entry!$N$1750)</f>
        <v/>
      </c>
      <c r="P1747" t="str">
        <f>IF([2]Entry!$R$1750="","",[2]Entry!$R$1750)</f>
        <v/>
      </c>
    </row>
    <row r="1748" spans="10:16" x14ac:dyDescent="0.2">
      <c r="J1748" t="str">
        <f>IF([2]Entry!$C$1751="","",[2]Entry!$C$1751)</f>
        <v/>
      </c>
      <c r="K1748" t="str">
        <f>IF([2]Entry!$D$1751="","",[2]Entry!$D$1751)</f>
        <v/>
      </c>
      <c r="L1748" t="str">
        <f>IF([2]Entry!$E$1751="","",[2]Entry!$E$1751)</f>
        <v/>
      </c>
      <c r="M1748" t="str">
        <f>IF([2]Entry!$G$1751="","",[2]Entry!$G$1751)</f>
        <v/>
      </c>
      <c r="N1748" t="str">
        <f>IF([2]Entry!$M$1751="","",[2]Entry!$M$1751)</f>
        <v/>
      </c>
      <c r="O1748" t="str">
        <f>IF([2]Entry!$N$1751="","",[2]Entry!$N$1751)</f>
        <v/>
      </c>
      <c r="P1748" t="str">
        <f>IF([2]Entry!$R$1751="","",[2]Entry!$R$1751)</f>
        <v/>
      </c>
    </row>
    <row r="1749" spans="10:16" x14ac:dyDescent="0.2">
      <c r="J1749" t="str">
        <f>IF([2]Entry!$C$1752="","",[2]Entry!$C$1752)</f>
        <v/>
      </c>
      <c r="K1749" t="str">
        <f>IF([2]Entry!$D$1752="","",[2]Entry!$D$1752)</f>
        <v/>
      </c>
      <c r="L1749" t="str">
        <f>IF([2]Entry!$E$1752="","",[2]Entry!$E$1752)</f>
        <v/>
      </c>
      <c r="M1749" t="str">
        <f>IF([2]Entry!$G$1752="","",[2]Entry!$G$1752)</f>
        <v/>
      </c>
      <c r="N1749" t="str">
        <f>IF([2]Entry!$M$1752="","",[2]Entry!$M$1752)</f>
        <v/>
      </c>
      <c r="O1749" t="str">
        <f>IF([2]Entry!$N$1752="","",[2]Entry!$N$1752)</f>
        <v/>
      </c>
      <c r="P1749" t="str">
        <f>IF([2]Entry!$R$1752="","",[2]Entry!$R$1752)</f>
        <v/>
      </c>
    </row>
    <row r="1750" spans="10:16" x14ac:dyDescent="0.2">
      <c r="J1750" t="str">
        <f>IF([2]Entry!$C$1753="","",[2]Entry!$C$1753)</f>
        <v/>
      </c>
      <c r="K1750" t="str">
        <f>IF([2]Entry!$D$1753="","",[2]Entry!$D$1753)</f>
        <v/>
      </c>
      <c r="L1750" t="str">
        <f>IF([2]Entry!$E$1753="","",[2]Entry!$E$1753)</f>
        <v/>
      </c>
      <c r="M1750" t="str">
        <f>IF([2]Entry!$G$1753="","",[2]Entry!$G$1753)</f>
        <v/>
      </c>
      <c r="N1750" t="str">
        <f>IF([2]Entry!$M$1753="","",[2]Entry!$M$1753)</f>
        <v/>
      </c>
      <c r="O1750" t="str">
        <f>IF([2]Entry!$N$1753="","",[2]Entry!$N$1753)</f>
        <v/>
      </c>
      <c r="P1750" t="str">
        <f>IF([2]Entry!$R$1753="","",[2]Entry!$R$1753)</f>
        <v/>
      </c>
    </row>
    <row r="1751" spans="10:16" x14ac:dyDescent="0.2">
      <c r="J1751" t="str">
        <f>IF([2]Entry!$C$1754="","",[2]Entry!$C$1754)</f>
        <v/>
      </c>
      <c r="K1751" t="str">
        <f>IF([2]Entry!$D$1754="","",[2]Entry!$D$1754)</f>
        <v/>
      </c>
      <c r="L1751" t="str">
        <f>IF([2]Entry!$E$1754="","",[2]Entry!$E$1754)</f>
        <v/>
      </c>
      <c r="M1751" t="str">
        <f>IF([2]Entry!$G$1754="","",[2]Entry!$G$1754)</f>
        <v/>
      </c>
      <c r="N1751" t="str">
        <f>IF([2]Entry!$M$1754="","",[2]Entry!$M$1754)</f>
        <v/>
      </c>
      <c r="O1751" t="str">
        <f>IF([2]Entry!$N$1754="","",[2]Entry!$N$1754)</f>
        <v/>
      </c>
      <c r="P1751" t="str">
        <f>IF([2]Entry!$R$1754="","",[2]Entry!$R$1754)</f>
        <v/>
      </c>
    </row>
    <row r="1752" spans="10:16" x14ac:dyDescent="0.2">
      <c r="J1752" t="str">
        <f>IF([2]Entry!$C$1755="","",[2]Entry!$C$1755)</f>
        <v/>
      </c>
      <c r="K1752" t="str">
        <f>IF([2]Entry!$D$1755="","",[2]Entry!$D$1755)</f>
        <v/>
      </c>
      <c r="L1752" t="str">
        <f>IF([2]Entry!$E$1755="","",[2]Entry!$E$1755)</f>
        <v/>
      </c>
      <c r="M1752" t="str">
        <f>IF([2]Entry!$G$1755="","",[2]Entry!$G$1755)</f>
        <v/>
      </c>
      <c r="N1752" t="str">
        <f>IF([2]Entry!$M$1755="","",[2]Entry!$M$1755)</f>
        <v/>
      </c>
      <c r="O1752" t="str">
        <f>IF([2]Entry!$N$1755="","",[2]Entry!$N$1755)</f>
        <v/>
      </c>
      <c r="P1752" t="str">
        <f>IF([2]Entry!$R$1755="","",[2]Entry!$R$1755)</f>
        <v/>
      </c>
    </row>
    <row r="1753" spans="10:16" x14ac:dyDescent="0.2">
      <c r="J1753" t="str">
        <f>IF([2]Entry!$C$1756="","",[2]Entry!$C$1756)</f>
        <v/>
      </c>
      <c r="K1753" t="str">
        <f>IF([2]Entry!$D$1756="","",[2]Entry!$D$1756)</f>
        <v/>
      </c>
      <c r="L1753" t="str">
        <f>IF([2]Entry!$E$1756="","",[2]Entry!$E$1756)</f>
        <v/>
      </c>
      <c r="M1753" t="str">
        <f>IF([2]Entry!$G$1756="","",[2]Entry!$G$1756)</f>
        <v/>
      </c>
      <c r="N1753" t="str">
        <f>IF([2]Entry!$M$1756="","",[2]Entry!$M$1756)</f>
        <v/>
      </c>
      <c r="O1753" t="str">
        <f>IF([2]Entry!$N$1756="","",[2]Entry!$N$1756)</f>
        <v/>
      </c>
      <c r="P1753" t="str">
        <f>IF([2]Entry!$R$1756="","",[2]Entry!$R$1756)</f>
        <v/>
      </c>
    </row>
    <row r="1754" spans="10:16" x14ac:dyDescent="0.2">
      <c r="J1754" t="str">
        <f>IF([2]Entry!$C$1757="","",[2]Entry!$C$1757)</f>
        <v/>
      </c>
      <c r="K1754" t="str">
        <f>IF([2]Entry!$D$1757="","",[2]Entry!$D$1757)</f>
        <v/>
      </c>
      <c r="L1754" t="str">
        <f>IF([2]Entry!$E$1757="","",[2]Entry!$E$1757)</f>
        <v/>
      </c>
      <c r="M1754" t="str">
        <f>IF([2]Entry!$G$1757="","",[2]Entry!$G$1757)</f>
        <v/>
      </c>
      <c r="N1754" t="str">
        <f>IF([2]Entry!$M$1757="","",[2]Entry!$M$1757)</f>
        <v/>
      </c>
      <c r="O1754" t="str">
        <f>IF([2]Entry!$N$1757="","",[2]Entry!$N$1757)</f>
        <v/>
      </c>
      <c r="P1754" t="str">
        <f>IF([2]Entry!$R$1757="","",[2]Entry!$R$1757)</f>
        <v/>
      </c>
    </row>
    <row r="1755" spans="10:16" x14ac:dyDescent="0.2">
      <c r="J1755" t="str">
        <f>IF([2]Entry!$C$1758="","",[2]Entry!$C$1758)</f>
        <v/>
      </c>
      <c r="K1755" t="str">
        <f>IF([2]Entry!$D$1758="","",[2]Entry!$D$1758)</f>
        <v/>
      </c>
      <c r="L1755" t="str">
        <f>IF([2]Entry!$E$1758="","",[2]Entry!$E$1758)</f>
        <v/>
      </c>
      <c r="M1755" t="str">
        <f>IF([2]Entry!$G$1758="","",[2]Entry!$G$1758)</f>
        <v/>
      </c>
      <c r="N1755" t="str">
        <f>IF([2]Entry!$M$1758="","",[2]Entry!$M$1758)</f>
        <v/>
      </c>
      <c r="O1755" t="str">
        <f>IF([2]Entry!$N$1758="","",[2]Entry!$N$1758)</f>
        <v/>
      </c>
      <c r="P1755" t="str">
        <f>IF([2]Entry!$R$1758="","",[2]Entry!$R$1758)</f>
        <v/>
      </c>
    </row>
    <row r="1756" spans="10:16" x14ac:dyDescent="0.2">
      <c r="J1756" t="str">
        <f>IF([2]Entry!$C$1759="","",[2]Entry!$C$1759)</f>
        <v/>
      </c>
      <c r="K1756" t="str">
        <f>IF([2]Entry!$D$1759="","",[2]Entry!$D$1759)</f>
        <v/>
      </c>
      <c r="L1756" t="str">
        <f>IF([2]Entry!$E$1759="","",[2]Entry!$E$1759)</f>
        <v/>
      </c>
      <c r="M1756" t="str">
        <f>IF([2]Entry!$G$1759="","",[2]Entry!$G$1759)</f>
        <v/>
      </c>
      <c r="N1756" t="str">
        <f>IF([2]Entry!$M$1759="","",[2]Entry!$M$1759)</f>
        <v/>
      </c>
      <c r="O1756" t="str">
        <f>IF([2]Entry!$N$1759="","",[2]Entry!$N$1759)</f>
        <v/>
      </c>
      <c r="P1756" t="str">
        <f>IF([2]Entry!$R$1759="","",[2]Entry!$R$1759)</f>
        <v/>
      </c>
    </row>
    <row r="1757" spans="10:16" x14ac:dyDescent="0.2">
      <c r="J1757" t="str">
        <f>IF([2]Entry!$C$1760="","",[2]Entry!$C$1760)</f>
        <v/>
      </c>
      <c r="K1757" t="str">
        <f>IF([2]Entry!$D$1760="","",[2]Entry!$D$1760)</f>
        <v/>
      </c>
      <c r="L1757" t="str">
        <f>IF([2]Entry!$E$1760="","",[2]Entry!$E$1760)</f>
        <v/>
      </c>
      <c r="M1757" t="str">
        <f>IF([2]Entry!$G$1760="","",[2]Entry!$G$1760)</f>
        <v/>
      </c>
      <c r="N1757" t="str">
        <f>IF([2]Entry!$M$1760="","",[2]Entry!$M$1760)</f>
        <v/>
      </c>
      <c r="O1757" t="str">
        <f>IF([2]Entry!$N$1760="","",[2]Entry!$N$1760)</f>
        <v/>
      </c>
      <c r="P1757" t="str">
        <f>IF([2]Entry!$R$1760="","",[2]Entry!$R$1760)</f>
        <v/>
      </c>
    </row>
    <row r="1758" spans="10:16" x14ac:dyDescent="0.2">
      <c r="J1758" t="str">
        <f>IF([2]Entry!$C$1761="","",[2]Entry!$C$1761)</f>
        <v/>
      </c>
      <c r="K1758" t="str">
        <f>IF([2]Entry!$D$1761="","",[2]Entry!$D$1761)</f>
        <v/>
      </c>
      <c r="L1758" t="str">
        <f>IF([2]Entry!$E$1761="","",[2]Entry!$E$1761)</f>
        <v/>
      </c>
      <c r="M1758" t="str">
        <f>IF([2]Entry!$G$1761="","",[2]Entry!$G$1761)</f>
        <v/>
      </c>
      <c r="N1758" t="str">
        <f>IF([2]Entry!$M$1761="","",[2]Entry!$M$1761)</f>
        <v/>
      </c>
      <c r="O1758" t="str">
        <f>IF([2]Entry!$N$1761="","",[2]Entry!$N$1761)</f>
        <v/>
      </c>
      <c r="P1758" t="str">
        <f>IF([2]Entry!$R$1761="","",[2]Entry!$R$1761)</f>
        <v/>
      </c>
    </row>
    <row r="1759" spans="10:16" x14ac:dyDescent="0.2">
      <c r="J1759" t="str">
        <f>IF([2]Entry!$C$1762="","",[2]Entry!$C$1762)</f>
        <v/>
      </c>
      <c r="K1759" t="str">
        <f>IF([2]Entry!$D$1762="","",[2]Entry!$D$1762)</f>
        <v/>
      </c>
      <c r="L1759" t="str">
        <f>IF([2]Entry!$E$1762="","",[2]Entry!$E$1762)</f>
        <v/>
      </c>
      <c r="M1759" t="str">
        <f>IF([2]Entry!$G$1762="","",[2]Entry!$G$1762)</f>
        <v/>
      </c>
      <c r="N1759" t="str">
        <f>IF([2]Entry!$M$1762="","",[2]Entry!$M$1762)</f>
        <v/>
      </c>
      <c r="O1759" t="str">
        <f>IF([2]Entry!$N$1762="","",[2]Entry!$N$1762)</f>
        <v/>
      </c>
      <c r="P1759" t="str">
        <f>IF([2]Entry!$R$1762="","",[2]Entry!$R$1762)</f>
        <v/>
      </c>
    </row>
    <row r="1760" spans="10:16" x14ac:dyDescent="0.2">
      <c r="J1760" t="str">
        <f>IF([2]Entry!$C$1763="","",[2]Entry!$C$1763)</f>
        <v/>
      </c>
      <c r="K1760" t="str">
        <f>IF([2]Entry!$D$1763="","",[2]Entry!$D$1763)</f>
        <v/>
      </c>
      <c r="L1760" t="str">
        <f>IF([2]Entry!$E$1763="","",[2]Entry!$E$1763)</f>
        <v/>
      </c>
      <c r="M1760" t="str">
        <f>IF([2]Entry!$G$1763="","",[2]Entry!$G$1763)</f>
        <v/>
      </c>
      <c r="N1760" t="str">
        <f>IF([2]Entry!$M$1763="","",[2]Entry!$M$1763)</f>
        <v/>
      </c>
      <c r="O1760" t="str">
        <f>IF([2]Entry!$N$1763="","",[2]Entry!$N$1763)</f>
        <v/>
      </c>
      <c r="P1760" t="str">
        <f>IF([2]Entry!$R$1763="","",[2]Entry!$R$1763)</f>
        <v/>
      </c>
    </row>
    <row r="1761" spans="10:16" x14ac:dyDescent="0.2">
      <c r="J1761" t="str">
        <f>IF([2]Entry!$C$1764="","",[2]Entry!$C$1764)</f>
        <v/>
      </c>
      <c r="K1761" t="str">
        <f>IF([2]Entry!$D$1764="","",[2]Entry!$D$1764)</f>
        <v/>
      </c>
      <c r="L1761" t="str">
        <f>IF([2]Entry!$E$1764="","",[2]Entry!$E$1764)</f>
        <v/>
      </c>
      <c r="M1761" t="str">
        <f>IF([2]Entry!$G$1764="","",[2]Entry!$G$1764)</f>
        <v/>
      </c>
      <c r="N1761" t="str">
        <f>IF([2]Entry!$M$1764="","",[2]Entry!$M$1764)</f>
        <v/>
      </c>
      <c r="O1761" t="str">
        <f>IF([2]Entry!$N$1764="","",[2]Entry!$N$1764)</f>
        <v/>
      </c>
      <c r="P1761" t="str">
        <f>IF([2]Entry!$R$1764="","",[2]Entry!$R$1764)</f>
        <v/>
      </c>
    </row>
    <row r="1762" spans="10:16" x14ac:dyDescent="0.2">
      <c r="J1762" t="str">
        <f>IF([2]Entry!$C$1765="","",[2]Entry!$C$1765)</f>
        <v/>
      </c>
      <c r="K1762" t="str">
        <f>IF([2]Entry!$D$1765="","",[2]Entry!$D$1765)</f>
        <v/>
      </c>
      <c r="L1762" t="str">
        <f>IF([2]Entry!$E$1765="","",[2]Entry!$E$1765)</f>
        <v/>
      </c>
      <c r="M1762" t="str">
        <f>IF([2]Entry!$G$1765="","",[2]Entry!$G$1765)</f>
        <v/>
      </c>
      <c r="N1762" t="str">
        <f>IF([2]Entry!$M$1765="","",[2]Entry!$M$1765)</f>
        <v/>
      </c>
      <c r="O1762" t="str">
        <f>IF([2]Entry!$N$1765="","",[2]Entry!$N$1765)</f>
        <v/>
      </c>
      <c r="P1762" t="str">
        <f>IF([2]Entry!$R$1765="","",[2]Entry!$R$1765)</f>
        <v/>
      </c>
    </row>
    <row r="1763" spans="10:16" x14ac:dyDescent="0.2">
      <c r="J1763" t="str">
        <f>IF([2]Entry!$C$1766="","",[2]Entry!$C$1766)</f>
        <v/>
      </c>
      <c r="K1763" t="str">
        <f>IF([2]Entry!$D$1766="","",[2]Entry!$D$1766)</f>
        <v/>
      </c>
      <c r="L1763" t="str">
        <f>IF([2]Entry!$E$1766="","",[2]Entry!$E$1766)</f>
        <v/>
      </c>
      <c r="M1763" t="str">
        <f>IF([2]Entry!$G$1766="","",[2]Entry!$G$1766)</f>
        <v/>
      </c>
      <c r="N1763" t="str">
        <f>IF([2]Entry!$M$1766="","",[2]Entry!$M$1766)</f>
        <v/>
      </c>
      <c r="O1763" t="str">
        <f>IF([2]Entry!$N$1766="","",[2]Entry!$N$1766)</f>
        <v/>
      </c>
      <c r="P1763" t="str">
        <f>IF([2]Entry!$R$1766="","",[2]Entry!$R$1766)</f>
        <v/>
      </c>
    </row>
    <row r="1764" spans="10:16" x14ac:dyDescent="0.2">
      <c r="J1764" t="str">
        <f>IF([2]Entry!$C$1767="","",[2]Entry!$C$1767)</f>
        <v/>
      </c>
      <c r="K1764" t="str">
        <f>IF([2]Entry!$D$1767="","",[2]Entry!$D$1767)</f>
        <v/>
      </c>
      <c r="L1764" t="str">
        <f>IF([2]Entry!$E$1767="","",[2]Entry!$E$1767)</f>
        <v/>
      </c>
      <c r="M1764" t="str">
        <f>IF([2]Entry!$G$1767="","",[2]Entry!$G$1767)</f>
        <v/>
      </c>
      <c r="N1764" t="str">
        <f>IF([2]Entry!$M$1767="","",[2]Entry!$M$1767)</f>
        <v/>
      </c>
      <c r="O1764" t="str">
        <f>IF([2]Entry!$N$1767="","",[2]Entry!$N$1767)</f>
        <v/>
      </c>
      <c r="P1764" t="str">
        <f>IF([2]Entry!$R$1767="","",[2]Entry!$R$1767)</f>
        <v/>
      </c>
    </row>
    <row r="1765" spans="10:16" x14ac:dyDescent="0.2">
      <c r="J1765" t="str">
        <f>IF([2]Entry!$C$1768="","",[2]Entry!$C$1768)</f>
        <v/>
      </c>
      <c r="K1765" t="str">
        <f>IF([2]Entry!$D$1768="","",[2]Entry!$D$1768)</f>
        <v/>
      </c>
      <c r="L1765" t="str">
        <f>IF([2]Entry!$E$1768="","",[2]Entry!$E$1768)</f>
        <v/>
      </c>
      <c r="M1765" t="str">
        <f>IF([2]Entry!$G$1768="","",[2]Entry!$G$1768)</f>
        <v/>
      </c>
      <c r="N1765" t="str">
        <f>IF([2]Entry!$M$1768="","",[2]Entry!$M$1768)</f>
        <v/>
      </c>
      <c r="O1765" t="str">
        <f>IF([2]Entry!$N$1768="","",[2]Entry!$N$1768)</f>
        <v/>
      </c>
      <c r="P1765" t="str">
        <f>IF([2]Entry!$R$1768="","",[2]Entry!$R$1768)</f>
        <v/>
      </c>
    </row>
    <row r="1766" spans="10:16" x14ac:dyDescent="0.2">
      <c r="J1766" t="str">
        <f>IF([2]Entry!$C$1769="","",[2]Entry!$C$1769)</f>
        <v/>
      </c>
      <c r="K1766" t="str">
        <f>IF([2]Entry!$D$1769="","",[2]Entry!$D$1769)</f>
        <v/>
      </c>
      <c r="L1766" t="str">
        <f>IF([2]Entry!$E$1769="","",[2]Entry!$E$1769)</f>
        <v/>
      </c>
      <c r="M1766" t="str">
        <f>IF([2]Entry!$G$1769="","",[2]Entry!$G$1769)</f>
        <v/>
      </c>
      <c r="N1766" t="str">
        <f>IF([2]Entry!$M$1769="","",[2]Entry!$M$1769)</f>
        <v/>
      </c>
      <c r="O1766" t="str">
        <f>IF([2]Entry!$N$1769="","",[2]Entry!$N$1769)</f>
        <v/>
      </c>
      <c r="P1766" t="str">
        <f>IF([2]Entry!$R$1769="","",[2]Entry!$R$1769)</f>
        <v/>
      </c>
    </row>
    <row r="1767" spans="10:16" x14ac:dyDescent="0.2">
      <c r="J1767" t="str">
        <f>IF([2]Entry!$C$1770="","",[2]Entry!$C$1770)</f>
        <v/>
      </c>
      <c r="K1767" t="str">
        <f>IF([2]Entry!$D$1770="","",[2]Entry!$D$1770)</f>
        <v/>
      </c>
      <c r="L1767" t="str">
        <f>IF([2]Entry!$E$1770="","",[2]Entry!$E$1770)</f>
        <v/>
      </c>
      <c r="M1767" t="str">
        <f>IF([2]Entry!$G$1770="","",[2]Entry!$G$1770)</f>
        <v/>
      </c>
      <c r="N1767" t="str">
        <f>IF([2]Entry!$M$1770="","",[2]Entry!$M$1770)</f>
        <v/>
      </c>
      <c r="O1767" t="str">
        <f>IF([2]Entry!$N$1770="","",[2]Entry!$N$1770)</f>
        <v/>
      </c>
      <c r="P1767" t="str">
        <f>IF([2]Entry!$R$1770="","",[2]Entry!$R$1770)</f>
        <v/>
      </c>
    </row>
    <row r="1768" spans="10:16" x14ac:dyDescent="0.2">
      <c r="J1768" t="str">
        <f>IF([2]Entry!$C$1771="","",[2]Entry!$C$1771)</f>
        <v/>
      </c>
      <c r="K1768" t="str">
        <f>IF([2]Entry!$D$1771="","",[2]Entry!$D$1771)</f>
        <v/>
      </c>
      <c r="L1768" t="str">
        <f>IF([2]Entry!$E$1771="","",[2]Entry!$E$1771)</f>
        <v/>
      </c>
      <c r="M1768" t="str">
        <f>IF([2]Entry!$G$1771="","",[2]Entry!$G$1771)</f>
        <v/>
      </c>
      <c r="N1768" t="str">
        <f>IF([2]Entry!$M$1771="","",[2]Entry!$M$1771)</f>
        <v/>
      </c>
      <c r="O1768" t="str">
        <f>IF([2]Entry!$N$1771="","",[2]Entry!$N$1771)</f>
        <v/>
      </c>
      <c r="P1768" t="str">
        <f>IF([2]Entry!$R$1771="","",[2]Entry!$R$1771)</f>
        <v/>
      </c>
    </row>
    <row r="1769" spans="10:16" x14ac:dyDescent="0.2">
      <c r="J1769" t="str">
        <f>IF([2]Entry!$C$1772="","",[2]Entry!$C$1772)</f>
        <v/>
      </c>
      <c r="K1769" t="str">
        <f>IF([2]Entry!$D$1772="","",[2]Entry!$D$1772)</f>
        <v/>
      </c>
      <c r="L1769" t="str">
        <f>IF([2]Entry!$E$1772="","",[2]Entry!$E$1772)</f>
        <v/>
      </c>
      <c r="M1769" t="str">
        <f>IF([2]Entry!$G$1772="","",[2]Entry!$G$1772)</f>
        <v/>
      </c>
      <c r="N1769" t="str">
        <f>IF([2]Entry!$M$1772="","",[2]Entry!$M$1772)</f>
        <v/>
      </c>
      <c r="O1769" t="str">
        <f>IF([2]Entry!$N$1772="","",[2]Entry!$N$1772)</f>
        <v/>
      </c>
      <c r="P1769" t="str">
        <f>IF([2]Entry!$R$1772="","",[2]Entry!$R$1772)</f>
        <v/>
      </c>
    </row>
    <row r="1770" spans="10:16" x14ac:dyDescent="0.2">
      <c r="J1770" t="str">
        <f>IF([2]Entry!$C$1773="","",[2]Entry!$C$1773)</f>
        <v/>
      </c>
      <c r="K1770" t="str">
        <f>IF([2]Entry!$D$1773="","",[2]Entry!$D$1773)</f>
        <v/>
      </c>
      <c r="L1770" t="str">
        <f>IF([2]Entry!$E$1773="","",[2]Entry!$E$1773)</f>
        <v/>
      </c>
      <c r="M1770" t="str">
        <f>IF([2]Entry!$G$1773="","",[2]Entry!$G$1773)</f>
        <v/>
      </c>
      <c r="N1770" t="str">
        <f>IF([2]Entry!$M$1773="","",[2]Entry!$M$1773)</f>
        <v/>
      </c>
      <c r="O1770" t="str">
        <f>IF([2]Entry!$N$1773="","",[2]Entry!$N$1773)</f>
        <v/>
      </c>
      <c r="P1770" t="str">
        <f>IF([2]Entry!$R$1773="","",[2]Entry!$R$1773)</f>
        <v/>
      </c>
    </row>
    <row r="1771" spans="10:16" x14ac:dyDescent="0.2">
      <c r="J1771" t="str">
        <f>IF([2]Entry!$C$1774="","",[2]Entry!$C$1774)</f>
        <v/>
      </c>
      <c r="K1771" t="str">
        <f>IF([2]Entry!$D$1774="","",[2]Entry!$D$1774)</f>
        <v/>
      </c>
      <c r="L1771" t="str">
        <f>IF([2]Entry!$E$1774="","",[2]Entry!$E$1774)</f>
        <v/>
      </c>
      <c r="M1771" t="str">
        <f>IF([2]Entry!$G$1774="","",[2]Entry!$G$1774)</f>
        <v/>
      </c>
      <c r="N1771" t="str">
        <f>IF([2]Entry!$M$1774="","",[2]Entry!$M$1774)</f>
        <v/>
      </c>
      <c r="O1771" t="str">
        <f>IF([2]Entry!$N$1774="","",[2]Entry!$N$1774)</f>
        <v/>
      </c>
      <c r="P1771" t="str">
        <f>IF([2]Entry!$R$1774="","",[2]Entry!$R$1774)</f>
        <v/>
      </c>
    </row>
    <row r="1772" spans="10:16" x14ac:dyDescent="0.2">
      <c r="J1772" t="str">
        <f>IF([2]Entry!$C$1775="","",[2]Entry!$C$1775)</f>
        <v/>
      </c>
      <c r="K1772" t="str">
        <f>IF([2]Entry!$D$1775="","",[2]Entry!$D$1775)</f>
        <v/>
      </c>
      <c r="L1772" t="str">
        <f>IF([2]Entry!$E$1775="","",[2]Entry!$E$1775)</f>
        <v/>
      </c>
      <c r="M1772" t="str">
        <f>IF([2]Entry!$G$1775="","",[2]Entry!$G$1775)</f>
        <v/>
      </c>
      <c r="N1772" t="str">
        <f>IF([2]Entry!$M$1775="","",[2]Entry!$M$1775)</f>
        <v/>
      </c>
      <c r="O1772" t="str">
        <f>IF([2]Entry!$N$1775="","",[2]Entry!$N$1775)</f>
        <v/>
      </c>
      <c r="P1772" t="str">
        <f>IF([2]Entry!$R$1775="","",[2]Entry!$R$1775)</f>
        <v/>
      </c>
    </row>
    <row r="1773" spans="10:16" x14ac:dyDescent="0.2">
      <c r="J1773" t="str">
        <f>IF([2]Entry!$C$1776="","",[2]Entry!$C$1776)</f>
        <v/>
      </c>
      <c r="K1773" t="str">
        <f>IF([2]Entry!$D$1776="","",[2]Entry!$D$1776)</f>
        <v/>
      </c>
      <c r="L1773" t="str">
        <f>IF([2]Entry!$E$1776="","",[2]Entry!$E$1776)</f>
        <v/>
      </c>
      <c r="M1773" t="str">
        <f>IF([2]Entry!$G$1776="","",[2]Entry!$G$1776)</f>
        <v/>
      </c>
      <c r="N1773" t="str">
        <f>IF([2]Entry!$M$1776="","",[2]Entry!$M$1776)</f>
        <v/>
      </c>
      <c r="O1773" t="str">
        <f>IF([2]Entry!$N$1776="","",[2]Entry!$N$1776)</f>
        <v/>
      </c>
      <c r="P1773" t="str">
        <f>IF([2]Entry!$R$1776="","",[2]Entry!$R$1776)</f>
        <v/>
      </c>
    </row>
    <row r="1774" spans="10:16" x14ac:dyDescent="0.2">
      <c r="J1774" t="str">
        <f>IF([2]Entry!$C$1777="","",[2]Entry!$C$1777)</f>
        <v/>
      </c>
      <c r="K1774" t="str">
        <f>IF([2]Entry!$D$1777="","",[2]Entry!$D$1777)</f>
        <v/>
      </c>
      <c r="L1774" t="str">
        <f>IF([2]Entry!$E$1777="","",[2]Entry!$E$1777)</f>
        <v/>
      </c>
      <c r="M1774" t="str">
        <f>IF([2]Entry!$G$1777="","",[2]Entry!$G$1777)</f>
        <v/>
      </c>
      <c r="N1774" t="str">
        <f>IF([2]Entry!$M$1777="","",[2]Entry!$M$1777)</f>
        <v/>
      </c>
      <c r="O1774" t="str">
        <f>IF([2]Entry!$N$1777="","",[2]Entry!$N$1777)</f>
        <v/>
      </c>
      <c r="P1774" t="str">
        <f>IF([2]Entry!$R$1777="","",[2]Entry!$R$1777)</f>
        <v/>
      </c>
    </row>
    <row r="1775" spans="10:16" x14ac:dyDescent="0.2">
      <c r="J1775" t="str">
        <f>IF([2]Entry!$C$1778="","",[2]Entry!$C$1778)</f>
        <v/>
      </c>
      <c r="K1775" t="str">
        <f>IF([2]Entry!$D$1778="","",[2]Entry!$D$1778)</f>
        <v/>
      </c>
      <c r="L1775" t="str">
        <f>IF([2]Entry!$E$1778="","",[2]Entry!$E$1778)</f>
        <v/>
      </c>
      <c r="M1775" t="str">
        <f>IF([2]Entry!$G$1778="","",[2]Entry!$G$1778)</f>
        <v/>
      </c>
      <c r="N1775" t="str">
        <f>IF([2]Entry!$M$1778="","",[2]Entry!$M$1778)</f>
        <v/>
      </c>
      <c r="O1775" t="str">
        <f>IF([2]Entry!$N$1778="","",[2]Entry!$N$1778)</f>
        <v/>
      </c>
      <c r="P1775" t="str">
        <f>IF([2]Entry!$R$1778="","",[2]Entry!$R$1778)</f>
        <v/>
      </c>
    </row>
    <row r="1776" spans="10:16" x14ac:dyDescent="0.2">
      <c r="J1776" t="str">
        <f>IF([2]Entry!$C$1779="","",[2]Entry!$C$1779)</f>
        <v/>
      </c>
      <c r="K1776" t="str">
        <f>IF([2]Entry!$D$1779="","",[2]Entry!$D$1779)</f>
        <v/>
      </c>
      <c r="L1776" t="str">
        <f>IF([2]Entry!$E$1779="","",[2]Entry!$E$1779)</f>
        <v/>
      </c>
      <c r="M1776" t="str">
        <f>IF([2]Entry!$G$1779="","",[2]Entry!$G$1779)</f>
        <v/>
      </c>
      <c r="N1776" t="str">
        <f>IF([2]Entry!$M$1779="","",[2]Entry!$M$1779)</f>
        <v/>
      </c>
      <c r="O1776" t="str">
        <f>IF([2]Entry!$N$1779="","",[2]Entry!$N$1779)</f>
        <v/>
      </c>
      <c r="P1776" t="str">
        <f>IF([2]Entry!$R$1779="","",[2]Entry!$R$1779)</f>
        <v/>
      </c>
    </row>
    <row r="1777" spans="10:16" x14ac:dyDescent="0.2">
      <c r="J1777" t="str">
        <f>IF([2]Entry!$C$1780="","",[2]Entry!$C$1780)</f>
        <v/>
      </c>
      <c r="K1777" t="str">
        <f>IF([2]Entry!$D$1780="","",[2]Entry!$D$1780)</f>
        <v/>
      </c>
      <c r="L1777" t="str">
        <f>IF([2]Entry!$E$1780="","",[2]Entry!$E$1780)</f>
        <v/>
      </c>
      <c r="M1777" t="str">
        <f>IF([2]Entry!$G$1780="","",[2]Entry!$G$1780)</f>
        <v/>
      </c>
      <c r="N1777" t="str">
        <f>IF([2]Entry!$M$1780="","",[2]Entry!$M$1780)</f>
        <v/>
      </c>
      <c r="O1777" t="str">
        <f>IF([2]Entry!$N$1780="","",[2]Entry!$N$1780)</f>
        <v/>
      </c>
      <c r="P1777" t="str">
        <f>IF([2]Entry!$R$1780="","",[2]Entry!$R$1780)</f>
        <v/>
      </c>
    </row>
    <row r="1778" spans="10:16" x14ac:dyDescent="0.2">
      <c r="J1778" t="str">
        <f>IF([2]Entry!$C$1781="","",[2]Entry!$C$1781)</f>
        <v/>
      </c>
      <c r="K1778" t="str">
        <f>IF([2]Entry!$D$1781="","",[2]Entry!$D$1781)</f>
        <v/>
      </c>
      <c r="L1778" t="str">
        <f>IF([2]Entry!$E$1781="","",[2]Entry!$E$1781)</f>
        <v/>
      </c>
      <c r="M1778" t="str">
        <f>IF([2]Entry!$G$1781="","",[2]Entry!$G$1781)</f>
        <v/>
      </c>
      <c r="N1778" t="str">
        <f>IF([2]Entry!$M$1781="","",[2]Entry!$M$1781)</f>
        <v/>
      </c>
      <c r="O1778" t="str">
        <f>IF([2]Entry!$N$1781="","",[2]Entry!$N$1781)</f>
        <v/>
      </c>
      <c r="P1778" t="str">
        <f>IF([2]Entry!$R$1781="","",[2]Entry!$R$1781)</f>
        <v/>
      </c>
    </row>
    <row r="1779" spans="10:16" x14ac:dyDescent="0.2">
      <c r="J1779" t="str">
        <f>IF([2]Entry!$C$1782="","",[2]Entry!$C$1782)</f>
        <v/>
      </c>
      <c r="K1779" t="str">
        <f>IF([2]Entry!$D$1782="","",[2]Entry!$D$1782)</f>
        <v/>
      </c>
      <c r="L1779" t="str">
        <f>IF([2]Entry!$E$1782="","",[2]Entry!$E$1782)</f>
        <v/>
      </c>
      <c r="M1779" t="str">
        <f>IF([2]Entry!$G$1782="","",[2]Entry!$G$1782)</f>
        <v/>
      </c>
      <c r="N1779" t="str">
        <f>IF([2]Entry!$M$1782="","",[2]Entry!$M$1782)</f>
        <v/>
      </c>
      <c r="O1779" t="str">
        <f>IF([2]Entry!$N$1782="","",[2]Entry!$N$1782)</f>
        <v/>
      </c>
      <c r="P1779" t="str">
        <f>IF([2]Entry!$R$1782="","",[2]Entry!$R$1782)</f>
        <v/>
      </c>
    </row>
    <row r="1780" spans="10:16" x14ac:dyDescent="0.2">
      <c r="J1780" t="str">
        <f>IF([2]Entry!$C$1783="","",[2]Entry!$C$1783)</f>
        <v/>
      </c>
      <c r="K1780" t="str">
        <f>IF([2]Entry!$D$1783="","",[2]Entry!$D$1783)</f>
        <v/>
      </c>
      <c r="L1780" t="str">
        <f>IF([2]Entry!$E$1783="","",[2]Entry!$E$1783)</f>
        <v/>
      </c>
      <c r="M1780" t="str">
        <f>IF([2]Entry!$G$1783="","",[2]Entry!$G$1783)</f>
        <v/>
      </c>
      <c r="N1780" t="str">
        <f>IF([2]Entry!$M$1783="","",[2]Entry!$M$1783)</f>
        <v/>
      </c>
      <c r="O1780" t="str">
        <f>IF([2]Entry!$N$1783="","",[2]Entry!$N$1783)</f>
        <v/>
      </c>
      <c r="P1780" t="str">
        <f>IF([2]Entry!$R$1783="","",[2]Entry!$R$1783)</f>
        <v/>
      </c>
    </row>
    <row r="1781" spans="10:16" x14ac:dyDescent="0.2">
      <c r="J1781" t="str">
        <f>IF([2]Entry!$C$1784="","",[2]Entry!$C$1784)</f>
        <v/>
      </c>
      <c r="K1781" t="str">
        <f>IF([2]Entry!$D$1784="","",[2]Entry!$D$1784)</f>
        <v/>
      </c>
      <c r="L1781" t="str">
        <f>IF([2]Entry!$E$1784="","",[2]Entry!$E$1784)</f>
        <v/>
      </c>
      <c r="M1781" t="str">
        <f>IF([2]Entry!$G$1784="","",[2]Entry!$G$1784)</f>
        <v/>
      </c>
      <c r="N1781" t="str">
        <f>IF([2]Entry!$M$1784="","",[2]Entry!$M$1784)</f>
        <v/>
      </c>
      <c r="O1781" t="str">
        <f>IF([2]Entry!$N$1784="","",[2]Entry!$N$1784)</f>
        <v/>
      </c>
      <c r="P1781" t="str">
        <f>IF([2]Entry!$R$1784="","",[2]Entry!$R$1784)</f>
        <v/>
      </c>
    </row>
    <row r="1782" spans="10:16" x14ac:dyDescent="0.2">
      <c r="J1782" t="str">
        <f>IF([2]Entry!$C$1785="","",[2]Entry!$C$1785)</f>
        <v/>
      </c>
      <c r="K1782" t="str">
        <f>IF([2]Entry!$D$1785="","",[2]Entry!$D$1785)</f>
        <v/>
      </c>
      <c r="L1782" t="str">
        <f>IF([2]Entry!$E$1785="","",[2]Entry!$E$1785)</f>
        <v/>
      </c>
      <c r="M1782" t="str">
        <f>IF([2]Entry!$G$1785="","",[2]Entry!$G$1785)</f>
        <v/>
      </c>
      <c r="N1782" t="str">
        <f>IF([2]Entry!$M$1785="","",[2]Entry!$M$1785)</f>
        <v/>
      </c>
      <c r="O1782" t="str">
        <f>IF([2]Entry!$N$1785="","",[2]Entry!$N$1785)</f>
        <v/>
      </c>
      <c r="P1782" t="str">
        <f>IF([2]Entry!$R$1785="","",[2]Entry!$R$1785)</f>
        <v/>
      </c>
    </row>
    <row r="1783" spans="10:16" x14ac:dyDescent="0.2">
      <c r="J1783" t="str">
        <f>IF([2]Entry!$C$1786="","",[2]Entry!$C$1786)</f>
        <v/>
      </c>
      <c r="K1783" t="str">
        <f>IF([2]Entry!$D$1786="","",[2]Entry!$D$1786)</f>
        <v/>
      </c>
      <c r="L1783" t="str">
        <f>IF([2]Entry!$E$1786="","",[2]Entry!$E$1786)</f>
        <v/>
      </c>
      <c r="M1783" t="str">
        <f>IF([2]Entry!$G$1786="","",[2]Entry!$G$1786)</f>
        <v/>
      </c>
      <c r="N1783" t="str">
        <f>IF([2]Entry!$M$1786="","",[2]Entry!$M$1786)</f>
        <v/>
      </c>
      <c r="O1783" t="str">
        <f>IF([2]Entry!$N$1786="","",[2]Entry!$N$1786)</f>
        <v/>
      </c>
      <c r="P1783" t="str">
        <f>IF([2]Entry!$R$1786="","",[2]Entry!$R$1786)</f>
        <v/>
      </c>
    </row>
    <row r="1784" spans="10:16" x14ac:dyDescent="0.2">
      <c r="J1784" t="str">
        <f>IF([2]Entry!$C$1787="","",[2]Entry!$C$1787)</f>
        <v/>
      </c>
      <c r="K1784" t="str">
        <f>IF([2]Entry!$D$1787="","",[2]Entry!$D$1787)</f>
        <v/>
      </c>
      <c r="L1784" t="str">
        <f>IF([2]Entry!$E$1787="","",[2]Entry!$E$1787)</f>
        <v/>
      </c>
      <c r="M1784" t="str">
        <f>IF([2]Entry!$G$1787="","",[2]Entry!$G$1787)</f>
        <v/>
      </c>
      <c r="N1784" t="str">
        <f>IF([2]Entry!$M$1787="","",[2]Entry!$M$1787)</f>
        <v/>
      </c>
      <c r="O1784" t="str">
        <f>IF([2]Entry!$N$1787="","",[2]Entry!$N$1787)</f>
        <v/>
      </c>
      <c r="P1784" t="str">
        <f>IF([2]Entry!$R$1787="","",[2]Entry!$R$1787)</f>
        <v/>
      </c>
    </row>
    <row r="1785" spans="10:16" x14ac:dyDescent="0.2">
      <c r="J1785" t="str">
        <f>IF([2]Entry!$C$1788="","",[2]Entry!$C$1788)</f>
        <v/>
      </c>
      <c r="K1785" t="str">
        <f>IF([2]Entry!$D$1788="","",[2]Entry!$D$1788)</f>
        <v/>
      </c>
      <c r="L1785" t="str">
        <f>IF([2]Entry!$E$1788="","",[2]Entry!$E$1788)</f>
        <v/>
      </c>
      <c r="M1785" t="str">
        <f>IF([2]Entry!$G$1788="","",[2]Entry!$G$1788)</f>
        <v/>
      </c>
      <c r="N1785" t="str">
        <f>IF([2]Entry!$M$1788="","",[2]Entry!$M$1788)</f>
        <v/>
      </c>
      <c r="O1785" t="str">
        <f>IF([2]Entry!$N$1788="","",[2]Entry!$N$1788)</f>
        <v/>
      </c>
      <c r="P1785" t="str">
        <f>IF([2]Entry!$R$1788="","",[2]Entry!$R$1788)</f>
        <v/>
      </c>
    </row>
    <row r="1786" spans="10:16" x14ac:dyDescent="0.2">
      <c r="J1786" t="str">
        <f>IF([2]Entry!$C$1789="","",[2]Entry!$C$1789)</f>
        <v/>
      </c>
      <c r="K1786" t="str">
        <f>IF([2]Entry!$D$1789="","",[2]Entry!$D$1789)</f>
        <v/>
      </c>
      <c r="L1786" t="str">
        <f>IF([2]Entry!$E$1789="","",[2]Entry!$E$1789)</f>
        <v/>
      </c>
      <c r="M1786" t="str">
        <f>IF([2]Entry!$G$1789="","",[2]Entry!$G$1789)</f>
        <v/>
      </c>
      <c r="N1786" t="str">
        <f>IF([2]Entry!$M$1789="","",[2]Entry!$M$1789)</f>
        <v/>
      </c>
      <c r="O1786" t="str">
        <f>IF([2]Entry!$N$1789="","",[2]Entry!$N$1789)</f>
        <v/>
      </c>
      <c r="P1786" t="str">
        <f>IF([2]Entry!$R$1789="","",[2]Entry!$R$1789)</f>
        <v/>
      </c>
    </row>
    <row r="1787" spans="10:16" x14ac:dyDescent="0.2">
      <c r="J1787" t="str">
        <f>IF([2]Entry!$C$1790="","",[2]Entry!$C$1790)</f>
        <v/>
      </c>
      <c r="K1787" t="str">
        <f>IF([2]Entry!$D$1790="","",[2]Entry!$D$1790)</f>
        <v/>
      </c>
      <c r="L1787" t="str">
        <f>IF([2]Entry!$E$1790="","",[2]Entry!$E$1790)</f>
        <v/>
      </c>
      <c r="M1787" t="str">
        <f>IF([2]Entry!$G$1790="","",[2]Entry!$G$1790)</f>
        <v/>
      </c>
      <c r="N1787" t="str">
        <f>IF([2]Entry!$M$1790="","",[2]Entry!$M$1790)</f>
        <v/>
      </c>
      <c r="O1787" t="str">
        <f>IF([2]Entry!$N$1790="","",[2]Entry!$N$1790)</f>
        <v/>
      </c>
      <c r="P1787" t="str">
        <f>IF([2]Entry!$R$1790="","",[2]Entry!$R$1790)</f>
        <v/>
      </c>
    </row>
    <row r="1788" spans="10:16" x14ac:dyDescent="0.2">
      <c r="J1788" t="str">
        <f>IF([2]Entry!$C$1791="","",[2]Entry!$C$1791)</f>
        <v/>
      </c>
      <c r="K1788" t="str">
        <f>IF([2]Entry!$D$1791="","",[2]Entry!$D$1791)</f>
        <v/>
      </c>
      <c r="L1788" t="str">
        <f>IF([2]Entry!$E$1791="","",[2]Entry!$E$1791)</f>
        <v/>
      </c>
      <c r="M1788" t="str">
        <f>IF([2]Entry!$G$1791="","",[2]Entry!$G$1791)</f>
        <v/>
      </c>
      <c r="N1788" t="str">
        <f>IF([2]Entry!$M$1791="","",[2]Entry!$M$1791)</f>
        <v/>
      </c>
      <c r="O1788" t="str">
        <f>IF([2]Entry!$N$1791="","",[2]Entry!$N$1791)</f>
        <v/>
      </c>
      <c r="P1788" t="str">
        <f>IF([2]Entry!$R$1791="","",[2]Entry!$R$1791)</f>
        <v/>
      </c>
    </row>
    <row r="1789" spans="10:16" x14ac:dyDescent="0.2">
      <c r="J1789" t="str">
        <f>IF([2]Entry!$C$1792="","",[2]Entry!$C$1792)</f>
        <v/>
      </c>
      <c r="K1789" t="str">
        <f>IF([2]Entry!$D$1792="","",[2]Entry!$D$1792)</f>
        <v/>
      </c>
      <c r="L1789" t="str">
        <f>IF([2]Entry!$E$1792="","",[2]Entry!$E$1792)</f>
        <v/>
      </c>
      <c r="M1789" t="str">
        <f>IF([2]Entry!$G$1792="","",[2]Entry!$G$1792)</f>
        <v/>
      </c>
      <c r="N1789" t="str">
        <f>IF([2]Entry!$M$1792="","",[2]Entry!$M$1792)</f>
        <v/>
      </c>
      <c r="O1789" t="str">
        <f>IF([2]Entry!$N$1792="","",[2]Entry!$N$1792)</f>
        <v/>
      </c>
      <c r="P1789" t="str">
        <f>IF([2]Entry!$R$1792="","",[2]Entry!$R$1792)</f>
        <v/>
      </c>
    </row>
    <row r="1790" spans="10:16" x14ac:dyDescent="0.2">
      <c r="J1790" t="str">
        <f>IF([2]Entry!$C$1793="","",[2]Entry!$C$1793)</f>
        <v/>
      </c>
      <c r="K1790" t="str">
        <f>IF([2]Entry!$D$1793="","",[2]Entry!$D$1793)</f>
        <v/>
      </c>
      <c r="L1790" t="str">
        <f>IF([2]Entry!$E$1793="","",[2]Entry!$E$1793)</f>
        <v/>
      </c>
      <c r="M1790" t="str">
        <f>IF([2]Entry!$G$1793="","",[2]Entry!$G$1793)</f>
        <v/>
      </c>
      <c r="N1790" t="str">
        <f>IF([2]Entry!$M$1793="","",[2]Entry!$M$1793)</f>
        <v/>
      </c>
      <c r="O1790" t="str">
        <f>IF([2]Entry!$N$1793="","",[2]Entry!$N$1793)</f>
        <v/>
      </c>
      <c r="P1790" t="str">
        <f>IF([2]Entry!$R$1793="","",[2]Entry!$R$1793)</f>
        <v/>
      </c>
    </row>
    <row r="1791" spans="10:16" x14ac:dyDescent="0.2">
      <c r="J1791" t="str">
        <f>IF([2]Entry!$C$1794="","",[2]Entry!$C$1794)</f>
        <v/>
      </c>
      <c r="K1791" t="str">
        <f>IF([2]Entry!$D$1794="","",[2]Entry!$D$1794)</f>
        <v/>
      </c>
      <c r="L1791" t="str">
        <f>IF([2]Entry!$E$1794="","",[2]Entry!$E$1794)</f>
        <v/>
      </c>
      <c r="M1791" t="str">
        <f>IF([2]Entry!$G$1794="","",[2]Entry!$G$1794)</f>
        <v/>
      </c>
      <c r="N1791" t="str">
        <f>IF([2]Entry!$M$1794="","",[2]Entry!$M$1794)</f>
        <v/>
      </c>
      <c r="O1791" t="str">
        <f>IF([2]Entry!$N$1794="","",[2]Entry!$N$1794)</f>
        <v/>
      </c>
      <c r="P1791" t="str">
        <f>IF([2]Entry!$R$1794="","",[2]Entry!$R$1794)</f>
        <v/>
      </c>
    </row>
    <row r="1792" spans="10:16" x14ac:dyDescent="0.2">
      <c r="J1792" t="str">
        <f>IF([2]Entry!$C$1795="","",[2]Entry!$C$1795)</f>
        <v/>
      </c>
      <c r="K1792" t="str">
        <f>IF([2]Entry!$D$1795="","",[2]Entry!$D$1795)</f>
        <v/>
      </c>
      <c r="L1792" t="str">
        <f>IF([2]Entry!$E$1795="","",[2]Entry!$E$1795)</f>
        <v/>
      </c>
      <c r="M1792" t="str">
        <f>IF([2]Entry!$G$1795="","",[2]Entry!$G$1795)</f>
        <v/>
      </c>
      <c r="N1792" t="str">
        <f>IF([2]Entry!$M$1795="","",[2]Entry!$M$1795)</f>
        <v/>
      </c>
      <c r="O1792" t="str">
        <f>IF([2]Entry!$N$1795="","",[2]Entry!$N$1795)</f>
        <v/>
      </c>
      <c r="P1792" t="str">
        <f>IF([2]Entry!$R$1795="","",[2]Entry!$R$1795)</f>
        <v/>
      </c>
    </row>
    <row r="1793" spans="10:16" x14ac:dyDescent="0.2">
      <c r="J1793" t="str">
        <f>IF([2]Entry!$C$1796="","",[2]Entry!$C$1796)</f>
        <v/>
      </c>
      <c r="K1793" t="str">
        <f>IF([2]Entry!$D$1796="","",[2]Entry!$D$1796)</f>
        <v/>
      </c>
      <c r="L1793" t="str">
        <f>IF([2]Entry!$E$1796="","",[2]Entry!$E$1796)</f>
        <v/>
      </c>
      <c r="M1793" t="str">
        <f>IF([2]Entry!$G$1796="","",[2]Entry!$G$1796)</f>
        <v/>
      </c>
      <c r="N1793" t="str">
        <f>IF([2]Entry!$M$1796="","",[2]Entry!$M$1796)</f>
        <v/>
      </c>
      <c r="O1793" t="str">
        <f>IF([2]Entry!$N$1796="","",[2]Entry!$N$1796)</f>
        <v/>
      </c>
      <c r="P1793" t="str">
        <f>IF([2]Entry!$R$1796="","",[2]Entry!$R$1796)</f>
        <v/>
      </c>
    </row>
    <row r="1794" spans="10:16" x14ac:dyDescent="0.2">
      <c r="J1794" t="str">
        <f>IF([2]Entry!$C$1797="","",[2]Entry!$C$1797)</f>
        <v/>
      </c>
      <c r="K1794" t="str">
        <f>IF([2]Entry!$D$1797="","",[2]Entry!$D$1797)</f>
        <v/>
      </c>
      <c r="L1794" t="str">
        <f>IF([2]Entry!$E$1797="","",[2]Entry!$E$1797)</f>
        <v/>
      </c>
      <c r="M1794" t="str">
        <f>IF([2]Entry!$G$1797="","",[2]Entry!$G$1797)</f>
        <v/>
      </c>
      <c r="N1794" t="str">
        <f>IF([2]Entry!$M$1797="","",[2]Entry!$M$1797)</f>
        <v/>
      </c>
      <c r="O1794" t="str">
        <f>IF([2]Entry!$N$1797="","",[2]Entry!$N$1797)</f>
        <v/>
      </c>
      <c r="P1794" t="str">
        <f>IF([2]Entry!$R$1797="","",[2]Entry!$R$1797)</f>
        <v/>
      </c>
    </row>
    <row r="1795" spans="10:16" x14ac:dyDescent="0.2">
      <c r="J1795" t="str">
        <f>IF([2]Entry!$C$1798="","",[2]Entry!$C$1798)</f>
        <v/>
      </c>
      <c r="K1795" t="str">
        <f>IF([2]Entry!$D$1798="","",[2]Entry!$D$1798)</f>
        <v/>
      </c>
      <c r="L1795" t="str">
        <f>IF([2]Entry!$E$1798="","",[2]Entry!$E$1798)</f>
        <v/>
      </c>
      <c r="M1795" t="str">
        <f>IF([2]Entry!$G$1798="","",[2]Entry!$G$1798)</f>
        <v/>
      </c>
      <c r="N1795" t="str">
        <f>IF([2]Entry!$M$1798="","",[2]Entry!$M$1798)</f>
        <v/>
      </c>
      <c r="O1795" t="str">
        <f>IF([2]Entry!$N$1798="","",[2]Entry!$N$1798)</f>
        <v/>
      </c>
      <c r="P1795" t="str">
        <f>IF([2]Entry!$R$1798="","",[2]Entry!$R$1798)</f>
        <v/>
      </c>
    </row>
    <row r="1796" spans="10:16" x14ac:dyDescent="0.2">
      <c r="J1796" t="str">
        <f>IF([2]Entry!$C$1799="","",[2]Entry!$C$1799)</f>
        <v/>
      </c>
      <c r="K1796" t="str">
        <f>IF([2]Entry!$D$1799="","",[2]Entry!$D$1799)</f>
        <v/>
      </c>
      <c r="L1796" t="str">
        <f>IF([2]Entry!$E$1799="","",[2]Entry!$E$1799)</f>
        <v/>
      </c>
      <c r="M1796" t="str">
        <f>IF([2]Entry!$G$1799="","",[2]Entry!$G$1799)</f>
        <v/>
      </c>
      <c r="N1796" t="str">
        <f>IF([2]Entry!$M$1799="","",[2]Entry!$M$1799)</f>
        <v/>
      </c>
      <c r="O1796" t="str">
        <f>IF([2]Entry!$N$1799="","",[2]Entry!$N$1799)</f>
        <v/>
      </c>
      <c r="P1796" t="str">
        <f>IF([2]Entry!$R$1799="","",[2]Entry!$R$1799)</f>
        <v/>
      </c>
    </row>
    <row r="1797" spans="10:16" x14ac:dyDescent="0.2">
      <c r="J1797" t="str">
        <f>IF([2]Entry!$C$1800="","",[2]Entry!$C$1800)</f>
        <v/>
      </c>
      <c r="K1797" t="str">
        <f>IF([2]Entry!$D$1800="","",[2]Entry!$D$1800)</f>
        <v/>
      </c>
      <c r="L1797" t="str">
        <f>IF([2]Entry!$E$1800="","",[2]Entry!$E$1800)</f>
        <v/>
      </c>
      <c r="M1797" t="str">
        <f>IF([2]Entry!$G$1800="","",[2]Entry!$G$1800)</f>
        <v/>
      </c>
      <c r="N1797" t="str">
        <f>IF([2]Entry!$M$1800="","",[2]Entry!$M$1800)</f>
        <v/>
      </c>
      <c r="O1797" t="str">
        <f>IF([2]Entry!$N$1800="","",[2]Entry!$N$1800)</f>
        <v/>
      </c>
      <c r="P1797" t="str">
        <f>IF([2]Entry!$R$1800="","",[2]Entry!$R$1800)</f>
        <v/>
      </c>
    </row>
    <row r="1798" spans="10:16" x14ac:dyDescent="0.2">
      <c r="J1798" t="str">
        <f>IF([2]Entry!$C$1801="","",[2]Entry!$C$1801)</f>
        <v/>
      </c>
      <c r="K1798" t="str">
        <f>IF([2]Entry!$D$1801="","",[2]Entry!$D$1801)</f>
        <v/>
      </c>
      <c r="L1798" t="str">
        <f>IF([2]Entry!$E$1801="","",[2]Entry!$E$1801)</f>
        <v/>
      </c>
      <c r="M1798" t="str">
        <f>IF([2]Entry!$G$1801="","",[2]Entry!$G$1801)</f>
        <v/>
      </c>
      <c r="N1798" t="str">
        <f>IF([2]Entry!$M$1801="","",[2]Entry!$M$1801)</f>
        <v/>
      </c>
      <c r="O1798" t="str">
        <f>IF([2]Entry!$N$1801="","",[2]Entry!$N$1801)</f>
        <v/>
      </c>
      <c r="P1798" t="str">
        <f>IF([2]Entry!$R$1801="","",[2]Entry!$R$1801)</f>
        <v/>
      </c>
    </row>
    <row r="1799" spans="10:16" x14ac:dyDescent="0.2">
      <c r="J1799" t="str">
        <f>IF([2]Entry!$C$1802="","",[2]Entry!$C$1802)</f>
        <v/>
      </c>
      <c r="K1799" t="str">
        <f>IF([2]Entry!$D$1802="","",[2]Entry!$D$1802)</f>
        <v/>
      </c>
      <c r="L1799" t="str">
        <f>IF([2]Entry!$E$1802="","",[2]Entry!$E$1802)</f>
        <v/>
      </c>
      <c r="M1799" t="str">
        <f>IF([2]Entry!$G$1802="","",[2]Entry!$G$1802)</f>
        <v/>
      </c>
      <c r="N1799" t="str">
        <f>IF([2]Entry!$M$1802="","",[2]Entry!$M$1802)</f>
        <v/>
      </c>
      <c r="O1799" t="str">
        <f>IF([2]Entry!$N$1802="","",[2]Entry!$N$1802)</f>
        <v/>
      </c>
      <c r="P1799" t="str">
        <f>IF([2]Entry!$R$1802="","",[2]Entry!$R$1802)</f>
        <v/>
      </c>
    </row>
    <row r="1800" spans="10:16" x14ac:dyDescent="0.2">
      <c r="J1800" t="str">
        <f>IF([2]Entry!$C$1803="","",[2]Entry!$C$1803)</f>
        <v/>
      </c>
      <c r="K1800" t="str">
        <f>IF([2]Entry!$D$1803="","",[2]Entry!$D$1803)</f>
        <v/>
      </c>
      <c r="L1800" t="str">
        <f>IF([2]Entry!$E$1803="","",[2]Entry!$E$1803)</f>
        <v/>
      </c>
      <c r="M1800" t="str">
        <f>IF([2]Entry!$G$1803="","",[2]Entry!$G$1803)</f>
        <v/>
      </c>
      <c r="N1800" t="str">
        <f>IF([2]Entry!$M$1803="","",[2]Entry!$M$1803)</f>
        <v/>
      </c>
      <c r="O1800" t="str">
        <f>IF([2]Entry!$N$1803="","",[2]Entry!$N$1803)</f>
        <v/>
      </c>
      <c r="P1800" t="str">
        <f>IF([2]Entry!$R$1803="","",[2]Entry!$R$1803)</f>
        <v/>
      </c>
    </row>
    <row r="1801" spans="10:16" x14ac:dyDescent="0.2">
      <c r="J1801" t="str">
        <f>IF([2]Entry!$C$1804="","",[2]Entry!$C$1804)</f>
        <v/>
      </c>
      <c r="K1801" t="str">
        <f>IF([2]Entry!$D$1804="","",[2]Entry!$D$1804)</f>
        <v/>
      </c>
      <c r="L1801" t="str">
        <f>IF([2]Entry!$E$1804="","",[2]Entry!$E$1804)</f>
        <v/>
      </c>
      <c r="M1801" t="str">
        <f>IF([2]Entry!$G$1804="","",[2]Entry!$G$1804)</f>
        <v/>
      </c>
      <c r="N1801" t="str">
        <f>IF([2]Entry!$M$1804="","",[2]Entry!$M$1804)</f>
        <v/>
      </c>
      <c r="O1801" t="str">
        <f>IF([2]Entry!$N$1804="","",[2]Entry!$N$1804)</f>
        <v/>
      </c>
      <c r="P1801" t="str">
        <f>IF([2]Entry!$R$1804="","",[2]Entry!$R$1804)</f>
        <v/>
      </c>
    </row>
    <row r="1802" spans="10:16" x14ac:dyDescent="0.2">
      <c r="J1802" t="str">
        <f>IF([2]Entry!$C$1805="","",[2]Entry!$C$1805)</f>
        <v/>
      </c>
      <c r="K1802" t="str">
        <f>IF([2]Entry!$D$1805="","",[2]Entry!$D$1805)</f>
        <v/>
      </c>
      <c r="L1802" t="str">
        <f>IF([2]Entry!$E$1805="","",[2]Entry!$E$1805)</f>
        <v/>
      </c>
      <c r="M1802" t="str">
        <f>IF([2]Entry!$G$1805="","",[2]Entry!$G$1805)</f>
        <v/>
      </c>
      <c r="N1802" t="str">
        <f>IF([2]Entry!$M$1805="","",[2]Entry!$M$1805)</f>
        <v/>
      </c>
      <c r="O1802" t="str">
        <f>IF([2]Entry!$N$1805="","",[2]Entry!$N$1805)</f>
        <v/>
      </c>
      <c r="P1802" t="str">
        <f>IF([2]Entry!$R$1805="","",[2]Entry!$R$1805)</f>
        <v/>
      </c>
    </row>
    <row r="1803" spans="10:16" x14ac:dyDescent="0.2">
      <c r="J1803" t="str">
        <f>IF([2]Entry!$C$1806="","",[2]Entry!$C$1806)</f>
        <v/>
      </c>
      <c r="K1803" t="str">
        <f>IF([2]Entry!$D$1806="","",[2]Entry!$D$1806)</f>
        <v/>
      </c>
      <c r="L1803" t="str">
        <f>IF([2]Entry!$E$1806="","",[2]Entry!$E$1806)</f>
        <v/>
      </c>
      <c r="M1803" t="str">
        <f>IF([2]Entry!$G$1806="","",[2]Entry!$G$1806)</f>
        <v/>
      </c>
      <c r="N1803" t="str">
        <f>IF([2]Entry!$M$1806="","",[2]Entry!$M$1806)</f>
        <v/>
      </c>
      <c r="O1803" t="str">
        <f>IF([2]Entry!$N$1806="","",[2]Entry!$N$1806)</f>
        <v/>
      </c>
      <c r="P1803" t="str">
        <f>IF([2]Entry!$R$1806="","",[2]Entry!$R$1806)</f>
        <v/>
      </c>
    </row>
    <row r="1804" spans="10:16" x14ac:dyDescent="0.2">
      <c r="J1804" t="str">
        <f>IF([2]Entry!$C$1807="","",[2]Entry!$C$1807)</f>
        <v/>
      </c>
      <c r="K1804" t="str">
        <f>IF([2]Entry!$D$1807="","",[2]Entry!$D$1807)</f>
        <v/>
      </c>
      <c r="L1804" t="str">
        <f>IF([2]Entry!$E$1807="","",[2]Entry!$E$1807)</f>
        <v/>
      </c>
      <c r="M1804" t="str">
        <f>IF([2]Entry!$G$1807="","",[2]Entry!$G$1807)</f>
        <v/>
      </c>
      <c r="N1804" t="str">
        <f>IF([2]Entry!$M$1807="","",[2]Entry!$M$1807)</f>
        <v/>
      </c>
      <c r="O1804" t="str">
        <f>IF([2]Entry!$N$1807="","",[2]Entry!$N$1807)</f>
        <v/>
      </c>
      <c r="P1804" t="str">
        <f>IF([2]Entry!$R$1807="","",[2]Entry!$R$1807)</f>
        <v/>
      </c>
    </row>
    <row r="1805" spans="10:16" x14ac:dyDescent="0.2">
      <c r="J1805" t="str">
        <f>IF([2]Entry!$C$1808="","",[2]Entry!$C$1808)</f>
        <v/>
      </c>
      <c r="K1805" t="str">
        <f>IF([2]Entry!$D$1808="","",[2]Entry!$D$1808)</f>
        <v/>
      </c>
      <c r="L1805" t="str">
        <f>IF([2]Entry!$E$1808="","",[2]Entry!$E$1808)</f>
        <v/>
      </c>
      <c r="M1805" t="str">
        <f>IF([2]Entry!$G$1808="","",[2]Entry!$G$1808)</f>
        <v/>
      </c>
      <c r="N1805" t="str">
        <f>IF([2]Entry!$M$1808="","",[2]Entry!$M$1808)</f>
        <v/>
      </c>
      <c r="O1805" t="str">
        <f>IF([2]Entry!$N$1808="","",[2]Entry!$N$1808)</f>
        <v/>
      </c>
      <c r="P1805" t="str">
        <f>IF([2]Entry!$R$1808="","",[2]Entry!$R$1808)</f>
        <v/>
      </c>
    </row>
    <row r="1806" spans="10:16" x14ac:dyDescent="0.2">
      <c r="J1806" t="str">
        <f>IF([2]Entry!$C$1809="","",[2]Entry!$C$1809)</f>
        <v/>
      </c>
      <c r="K1806" t="str">
        <f>IF([2]Entry!$D$1809="","",[2]Entry!$D$1809)</f>
        <v/>
      </c>
      <c r="L1806" t="str">
        <f>IF([2]Entry!$E$1809="","",[2]Entry!$E$1809)</f>
        <v/>
      </c>
      <c r="M1806" t="str">
        <f>IF([2]Entry!$G$1809="","",[2]Entry!$G$1809)</f>
        <v/>
      </c>
      <c r="N1806" t="str">
        <f>IF([2]Entry!$M$1809="","",[2]Entry!$M$1809)</f>
        <v/>
      </c>
      <c r="O1806" t="str">
        <f>IF([2]Entry!$N$1809="","",[2]Entry!$N$1809)</f>
        <v/>
      </c>
      <c r="P1806" t="str">
        <f>IF([2]Entry!$R$1809="","",[2]Entry!$R$1809)</f>
        <v/>
      </c>
    </row>
    <row r="1807" spans="10:16" x14ac:dyDescent="0.2">
      <c r="J1807" t="str">
        <f>IF([2]Entry!$C$1810="","",[2]Entry!$C$1810)</f>
        <v/>
      </c>
      <c r="K1807" t="str">
        <f>IF([2]Entry!$D$1810="","",[2]Entry!$D$1810)</f>
        <v/>
      </c>
      <c r="L1807" t="str">
        <f>IF([2]Entry!$E$1810="","",[2]Entry!$E$1810)</f>
        <v/>
      </c>
      <c r="M1807" t="str">
        <f>IF([2]Entry!$G$1810="","",[2]Entry!$G$1810)</f>
        <v/>
      </c>
      <c r="N1807" t="str">
        <f>IF([2]Entry!$M$1810="","",[2]Entry!$M$1810)</f>
        <v/>
      </c>
      <c r="O1807" t="str">
        <f>IF([2]Entry!$N$1810="","",[2]Entry!$N$1810)</f>
        <v/>
      </c>
      <c r="P1807" t="str">
        <f>IF([2]Entry!$R$1810="","",[2]Entry!$R$1810)</f>
        <v/>
      </c>
    </row>
    <row r="1808" spans="10:16" x14ac:dyDescent="0.2">
      <c r="J1808" t="str">
        <f>IF([2]Entry!$C$1811="","",[2]Entry!$C$1811)</f>
        <v/>
      </c>
      <c r="K1808" t="str">
        <f>IF([2]Entry!$D$1811="","",[2]Entry!$D$1811)</f>
        <v/>
      </c>
      <c r="L1808" t="str">
        <f>IF([2]Entry!$E$1811="","",[2]Entry!$E$1811)</f>
        <v/>
      </c>
      <c r="M1808" t="str">
        <f>IF([2]Entry!$G$1811="","",[2]Entry!$G$1811)</f>
        <v/>
      </c>
      <c r="N1808" t="str">
        <f>IF([2]Entry!$M$1811="","",[2]Entry!$M$1811)</f>
        <v/>
      </c>
      <c r="O1808" t="str">
        <f>IF([2]Entry!$N$1811="","",[2]Entry!$N$1811)</f>
        <v/>
      </c>
      <c r="P1808" t="str">
        <f>IF([2]Entry!$R$1811="","",[2]Entry!$R$1811)</f>
        <v/>
      </c>
    </row>
    <row r="1809" spans="10:16" x14ac:dyDescent="0.2">
      <c r="J1809" t="str">
        <f>IF([2]Entry!$C$1812="","",[2]Entry!$C$1812)</f>
        <v/>
      </c>
      <c r="K1809" t="str">
        <f>IF([2]Entry!$D$1812="","",[2]Entry!$D$1812)</f>
        <v/>
      </c>
      <c r="L1809" t="str">
        <f>IF([2]Entry!$E$1812="","",[2]Entry!$E$1812)</f>
        <v/>
      </c>
      <c r="M1809" t="str">
        <f>IF([2]Entry!$G$1812="","",[2]Entry!$G$1812)</f>
        <v/>
      </c>
      <c r="N1809" t="str">
        <f>IF([2]Entry!$M$1812="","",[2]Entry!$M$1812)</f>
        <v/>
      </c>
      <c r="O1809" t="str">
        <f>IF([2]Entry!$N$1812="","",[2]Entry!$N$1812)</f>
        <v/>
      </c>
      <c r="P1809" t="str">
        <f>IF([2]Entry!$R$1812="","",[2]Entry!$R$1812)</f>
        <v/>
      </c>
    </row>
    <row r="1810" spans="10:16" x14ac:dyDescent="0.2">
      <c r="J1810" t="str">
        <f>IF([2]Entry!$C$1813="","",[2]Entry!$C$1813)</f>
        <v/>
      </c>
      <c r="K1810" t="str">
        <f>IF([2]Entry!$D$1813="","",[2]Entry!$D$1813)</f>
        <v/>
      </c>
      <c r="L1810" t="str">
        <f>IF([2]Entry!$E$1813="","",[2]Entry!$E$1813)</f>
        <v/>
      </c>
      <c r="M1810" t="str">
        <f>IF([2]Entry!$G$1813="","",[2]Entry!$G$1813)</f>
        <v/>
      </c>
      <c r="N1810" t="str">
        <f>IF([2]Entry!$M$1813="","",[2]Entry!$M$1813)</f>
        <v/>
      </c>
      <c r="O1810" t="str">
        <f>IF([2]Entry!$N$1813="","",[2]Entry!$N$1813)</f>
        <v/>
      </c>
      <c r="P1810" t="str">
        <f>IF([2]Entry!$R$1813="","",[2]Entry!$R$1813)</f>
        <v/>
      </c>
    </row>
    <row r="1811" spans="10:16" x14ac:dyDescent="0.2">
      <c r="J1811" t="str">
        <f>IF([2]Entry!$C$1814="","",[2]Entry!$C$1814)</f>
        <v/>
      </c>
      <c r="K1811" t="str">
        <f>IF([2]Entry!$D$1814="","",[2]Entry!$D$1814)</f>
        <v/>
      </c>
      <c r="L1811" t="str">
        <f>IF([2]Entry!$E$1814="","",[2]Entry!$E$1814)</f>
        <v/>
      </c>
      <c r="M1811" t="str">
        <f>IF([2]Entry!$G$1814="","",[2]Entry!$G$1814)</f>
        <v/>
      </c>
      <c r="N1811" t="str">
        <f>IF([2]Entry!$M$1814="","",[2]Entry!$M$1814)</f>
        <v/>
      </c>
      <c r="O1811" t="str">
        <f>IF([2]Entry!$N$1814="","",[2]Entry!$N$1814)</f>
        <v/>
      </c>
      <c r="P1811" t="str">
        <f>IF([2]Entry!$R$1814="","",[2]Entry!$R$1814)</f>
        <v/>
      </c>
    </row>
    <row r="1812" spans="10:16" x14ac:dyDescent="0.2">
      <c r="J1812" t="str">
        <f>IF([2]Entry!$C$1815="","",[2]Entry!$C$1815)</f>
        <v/>
      </c>
      <c r="K1812" t="str">
        <f>IF([2]Entry!$D$1815="","",[2]Entry!$D$1815)</f>
        <v/>
      </c>
      <c r="L1812" t="str">
        <f>IF([2]Entry!$E$1815="","",[2]Entry!$E$1815)</f>
        <v/>
      </c>
      <c r="M1812" t="str">
        <f>IF([2]Entry!$G$1815="","",[2]Entry!$G$1815)</f>
        <v/>
      </c>
      <c r="N1812" t="str">
        <f>IF([2]Entry!$M$1815="","",[2]Entry!$M$1815)</f>
        <v/>
      </c>
      <c r="O1812" t="str">
        <f>IF([2]Entry!$N$1815="","",[2]Entry!$N$1815)</f>
        <v/>
      </c>
      <c r="P1812" t="str">
        <f>IF([2]Entry!$R$1815="","",[2]Entry!$R$1815)</f>
        <v/>
      </c>
    </row>
    <row r="1813" spans="10:16" x14ac:dyDescent="0.2">
      <c r="J1813" t="str">
        <f>IF([2]Entry!$C$1816="","",[2]Entry!$C$1816)</f>
        <v/>
      </c>
      <c r="K1813" t="str">
        <f>IF([2]Entry!$D$1816="","",[2]Entry!$D$1816)</f>
        <v/>
      </c>
      <c r="L1813" t="str">
        <f>IF([2]Entry!$E$1816="","",[2]Entry!$E$1816)</f>
        <v/>
      </c>
      <c r="M1813" t="str">
        <f>IF([2]Entry!$G$1816="","",[2]Entry!$G$1816)</f>
        <v/>
      </c>
      <c r="N1813" t="str">
        <f>IF([2]Entry!$M$1816="","",[2]Entry!$M$1816)</f>
        <v/>
      </c>
      <c r="O1813" t="str">
        <f>IF([2]Entry!$N$1816="","",[2]Entry!$N$1816)</f>
        <v/>
      </c>
      <c r="P1813" t="str">
        <f>IF([2]Entry!$R$1816="","",[2]Entry!$R$1816)</f>
        <v/>
      </c>
    </row>
    <row r="1814" spans="10:16" x14ac:dyDescent="0.2">
      <c r="J1814" t="str">
        <f>IF([2]Entry!$C$1817="","",[2]Entry!$C$1817)</f>
        <v/>
      </c>
      <c r="K1814" t="str">
        <f>IF([2]Entry!$D$1817="","",[2]Entry!$D$1817)</f>
        <v/>
      </c>
      <c r="L1814" t="str">
        <f>IF([2]Entry!$E$1817="","",[2]Entry!$E$1817)</f>
        <v/>
      </c>
      <c r="M1814" t="str">
        <f>IF([2]Entry!$G$1817="","",[2]Entry!$G$1817)</f>
        <v/>
      </c>
      <c r="N1814" t="str">
        <f>IF([2]Entry!$M$1817="","",[2]Entry!$M$1817)</f>
        <v/>
      </c>
      <c r="O1814" t="str">
        <f>IF([2]Entry!$N$1817="","",[2]Entry!$N$1817)</f>
        <v/>
      </c>
      <c r="P1814" t="str">
        <f>IF([2]Entry!$R$1817="","",[2]Entry!$R$1817)</f>
        <v/>
      </c>
    </row>
    <row r="1815" spans="10:16" x14ac:dyDescent="0.2">
      <c r="J1815" t="str">
        <f>IF([2]Entry!$C$1818="","",[2]Entry!$C$1818)</f>
        <v/>
      </c>
      <c r="K1815" t="str">
        <f>IF([2]Entry!$D$1818="","",[2]Entry!$D$1818)</f>
        <v/>
      </c>
      <c r="L1815" t="str">
        <f>IF([2]Entry!$E$1818="","",[2]Entry!$E$1818)</f>
        <v/>
      </c>
      <c r="M1815" t="str">
        <f>IF([2]Entry!$G$1818="","",[2]Entry!$G$1818)</f>
        <v/>
      </c>
      <c r="N1815" t="str">
        <f>IF([2]Entry!$M$1818="","",[2]Entry!$M$1818)</f>
        <v/>
      </c>
      <c r="O1815" t="str">
        <f>IF([2]Entry!$N$1818="","",[2]Entry!$N$1818)</f>
        <v/>
      </c>
      <c r="P1815" t="str">
        <f>IF([2]Entry!$R$1818="","",[2]Entry!$R$1818)</f>
        <v/>
      </c>
    </row>
    <row r="1816" spans="10:16" x14ac:dyDescent="0.2">
      <c r="J1816" t="str">
        <f>IF([2]Entry!$C$1819="","",[2]Entry!$C$1819)</f>
        <v/>
      </c>
      <c r="K1816" t="str">
        <f>IF([2]Entry!$D$1819="","",[2]Entry!$D$1819)</f>
        <v/>
      </c>
      <c r="L1816" t="str">
        <f>IF([2]Entry!$E$1819="","",[2]Entry!$E$1819)</f>
        <v/>
      </c>
      <c r="M1816" t="str">
        <f>IF([2]Entry!$G$1819="","",[2]Entry!$G$1819)</f>
        <v/>
      </c>
      <c r="N1816" t="str">
        <f>IF([2]Entry!$M$1819="","",[2]Entry!$M$1819)</f>
        <v/>
      </c>
      <c r="O1816" t="str">
        <f>IF([2]Entry!$N$1819="","",[2]Entry!$N$1819)</f>
        <v/>
      </c>
      <c r="P1816" t="str">
        <f>IF([2]Entry!$R$1819="","",[2]Entry!$R$1819)</f>
        <v/>
      </c>
    </row>
    <row r="1817" spans="10:16" x14ac:dyDescent="0.2">
      <c r="J1817" t="str">
        <f>IF([2]Entry!$C$1820="","",[2]Entry!$C$1820)</f>
        <v/>
      </c>
      <c r="K1817" t="str">
        <f>IF([2]Entry!$D$1820="","",[2]Entry!$D$1820)</f>
        <v/>
      </c>
      <c r="L1817" t="str">
        <f>IF([2]Entry!$E$1820="","",[2]Entry!$E$1820)</f>
        <v/>
      </c>
      <c r="M1817" t="str">
        <f>IF([2]Entry!$G$1820="","",[2]Entry!$G$1820)</f>
        <v/>
      </c>
      <c r="N1817" t="str">
        <f>IF([2]Entry!$M$1820="","",[2]Entry!$M$1820)</f>
        <v/>
      </c>
      <c r="O1817" t="str">
        <f>IF([2]Entry!$N$1820="","",[2]Entry!$N$1820)</f>
        <v/>
      </c>
      <c r="P1817" t="str">
        <f>IF([2]Entry!$R$1820="","",[2]Entry!$R$1820)</f>
        <v/>
      </c>
    </row>
    <row r="1818" spans="10:16" x14ac:dyDescent="0.2">
      <c r="J1818" t="str">
        <f>IF([2]Entry!$C$1821="","",[2]Entry!$C$1821)</f>
        <v/>
      </c>
      <c r="K1818" t="str">
        <f>IF([2]Entry!$D$1821="","",[2]Entry!$D$1821)</f>
        <v/>
      </c>
      <c r="L1818" t="str">
        <f>IF([2]Entry!$E$1821="","",[2]Entry!$E$1821)</f>
        <v/>
      </c>
      <c r="M1818" t="str">
        <f>IF([2]Entry!$G$1821="","",[2]Entry!$G$1821)</f>
        <v/>
      </c>
      <c r="N1818" t="str">
        <f>IF([2]Entry!$M$1821="","",[2]Entry!$M$1821)</f>
        <v/>
      </c>
      <c r="O1818" t="str">
        <f>IF([2]Entry!$N$1821="","",[2]Entry!$N$1821)</f>
        <v/>
      </c>
      <c r="P1818" t="str">
        <f>IF([2]Entry!$R$1821="","",[2]Entry!$R$1821)</f>
        <v/>
      </c>
    </row>
    <row r="1819" spans="10:16" x14ac:dyDescent="0.2">
      <c r="J1819" t="str">
        <f>IF([2]Entry!$C$1822="","",[2]Entry!$C$1822)</f>
        <v/>
      </c>
      <c r="K1819" t="str">
        <f>IF([2]Entry!$D$1822="","",[2]Entry!$D$1822)</f>
        <v/>
      </c>
      <c r="L1819" t="str">
        <f>IF([2]Entry!$E$1822="","",[2]Entry!$E$1822)</f>
        <v/>
      </c>
      <c r="M1819" t="str">
        <f>IF([2]Entry!$G$1822="","",[2]Entry!$G$1822)</f>
        <v/>
      </c>
      <c r="N1819" t="str">
        <f>IF([2]Entry!$M$1822="","",[2]Entry!$M$1822)</f>
        <v/>
      </c>
      <c r="O1819" t="str">
        <f>IF([2]Entry!$N$1822="","",[2]Entry!$N$1822)</f>
        <v/>
      </c>
      <c r="P1819" t="str">
        <f>IF([2]Entry!$R$1822="","",[2]Entry!$R$1822)</f>
        <v/>
      </c>
    </row>
    <row r="1820" spans="10:16" x14ac:dyDescent="0.2">
      <c r="J1820" t="str">
        <f>IF([2]Entry!$C$1823="","",[2]Entry!$C$1823)</f>
        <v/>
      </c>
      <c r="K1820" t="str">
        <f>IF([2]Entry!$D$1823="","",[2]Entry!$D$1823)</f>
        <v/>
      </c>
      <c r="L1820" t="str">
        <f>IF([2]Entry!$E$1823="","",[2]Entry!$E$1823)</f>
        <v/>
      </c>
      <c r="M1820" t="str">
        <f>IF([2]Entry!$G$1823="","",[2]Entry!$G$1823)</f>
        <v/>
      </c>
      <c r="N1820" t="str">
        <f>IF([2]Entry!$M$1823="","",[2]Entry!$M$1823)</f>
        <v/>
      </c>
      <c r="O1820" t="str">
        <f>IF([2]Entry!$N$1823="","",[2]Entry!$N$1823)</f>
        <v/>
      </c>
      <c r="P1820" t="str">
        <f>IF([2]Entry!$R$1823="","",[2]Entry!$R$1823)</f>
        <v/>
      </c>
    </row>
    <row r="1821" spans="10:16" x14ac:dyDescent="0.2">
      <c r="J1821" t="str">
        <f>IF([2]Entry!$C$1824="","",[2]Entry!$C$1824)</f>
        <v/>
      </c>
      <c r="K1821" t="str">
        <f>IF([2]Entry!$D$1824="","",[2]Entry!$D$1824)</f>
        <v/>
      </c>
      <c r="L1821" t="str">
        <f>IF([2]Entry!$E$1824="","",[2]Entry!$E$1824)</f>
        <v/>
      </c>
      <c r="M1821" t="str">
        <f>IF([2]Entry!$G$1824="","",[2]Entry!$G$1824)</f>
        <v/>
      </c>
      <c r="N1821" t="str">
        <f>IF([2]Entry!$M$1824="","",[2]Entry!$M$1824)</f>
        <v/>
      </c>
      <c r="O1821" t="str">
        <f>IF([2]Entry!$N$1824="","",[2]Entry!$N$1824)</f>
        <v/>
      </c>
      <c r="P1821" t="str">
        <f>IF([2]Entry!$R$1824="","",[2]Entry!$R$1824)</f>
        <v/>
      </c>
    </row>
    <row r="1822" spans="10:16" x14ac:dyDescent="0.2">
      <c r="J1822" t="str">
        <f>IF([2]Entry!$C$1825="","",[2]Entry!$C$1825)</f>
        <v/>
      </c>
      <c r="K1822" t="str">
        <f>IF([2]Entry!$D$1825="","",[2]Entry!$D$1825)</f>
        <v/>
      </c>
      <c r="L1822" t="str">
        <f>IF([2]Entry!$E$1825="","",[2]Entry!$E$1825)</f>
        <v/>
      </c>
      <c r="M1822" t="str">
        <f>IF([2]Entry!$G$1825="","",[2]Entry!$G$1825)</f>
        <v/>
      </c>
      <c r="N1822" t="str">
        <f>IF([2]Entry!$M$1825="","",[2]Entry!$M$1825)</f>
        <v/>
      </c>
      <c r="O1822" t="str">
        <f>IF([2]Entry!$N$1825="","",[2]Entry!$N$1825)</f>
        <v/>
      </c>
      <c r="P1822" t="str">
        <f>IF([2]Entry!$R$1825="","",[2]Entry!$R$1825)</f>
        <v/>
      </c>
    </row>
    <row r="1823" spans="10:16" x14ac:dyDescent="0.2">
      <c r="J1823" t="str">
        <f>IF([2]Entry!$C$1826="","",[2]Entry!$C$1826)</f>
        <v/>
      </c>
      <c r="K1823" t="str">
        <f>IF([2]Entry!$D$1826="","",[2]Entry!$D$1826)</f>
        <v/>
      </c>
      <c r="L1823" t="str">
        <f>IF([2]Entry!$E$1826="","",[2]Entry!$E$1826)</f>
        <v/>
      </c>
      <c r="M1823" t="str">
        <f>IF([2]Entry!$G$1826="","",[2]Entry!$G$1826)</f>
        <v/>
      </c>
      <c r="N1823" t="str">
        <f>IF([2]Entry!$M$1826="","",[2]Entry!$M$1826)</f>
        <v/>
      </c>
      <c r="O1823" t="str">
        <f>IF([2]Entry!$N$1826="","",[2]Entry!$N$1826)</f>
        <v/>
      </c>
      <c r="P1823" t="str">
        <f>IF([2]Entry!$R$1826="","",[2]Entry!$R$1826)</f>
        <v/>
      </c>
    </row>
    <row r="1824" spans="10:16" x14ac:dyDescent="0.2">
      <c r="J1824" t="str">
        <f>IF([2]Entry!$C$1827="","",[2]Entry!$C$1827)</f>
        <v/>
      </c>
      <c r="K1824" t="str">
        <f>IF([2]Entry!$D$1827="","",[2]Entry!$D$1827)</f>
        <v/>
      </c>
      <c r="L1824" t="str">
        <f>IF([2]Entry!$E$1827="","",[2]Entry!$E$1827)</f>
        <v/>
      </c>
      <c r="M1824" t="str">
        <f>IF([2]Entry!$G$1827="","",[2]Entry!$G$1827)</f>
        <v/>
      </c>
      <c r="N1824" t="str">
        <f>IF([2]Entry!$M$1827="","",[2]Entry!$M$1827)</f>
        <v/>
      </c>
      <c r="O1824" t="str">
        <f>IF([2]Entry!$N$1827="","",[2]Entry!$N$1827)</f>
        <v/>
      </c>
      <c r="P1824" t="str">
        <f>IF([2]Entry!$R$1827="","",[2]Entry!$R$1827)</f>
        <v/>
      </c>
    </row>
    <row r="1825" spans="10:16" x14ac:dyDescent="0.2">
      <c r="J1825" t="str">
        <f>IF([2]Entry!$C$1828="","",[2]Entry!$C$1828)</f>
        <v/>
      </c>
      <c r="K1825" t="str">
        <f>IF([2]Entry!$D$1828="","",[2]Entry!$D$1828)</f>
        <v/>
      </c>
      <c r="L1825" t="str">
        <f>IF([2]Entry!$E$1828="","",[2]Entry!$E$1828)</f>
        <v/>
      </c>
      <c r="M1825" t="str">
        <f>IF([2]Entry!$G$1828="","",[2]Entry!$G$1828)</f>
        <v/>
      </c>
      <c r="N1825" t="str">
        <f>IF([2]Entry!$M$1828="","",[2]Entry!$M$1828)</f>
        <v/>
      </c>
      <c r="O1825" t="str">
        <f>IF([2]Entry!$N$1828="","",[2]Entry!$N$1828)</f>
        <v/>
      </c>
      <c r="P1825" t="str">
        <f>IF([2]Entry!$R$1828="","",[2]Entry!$R$1828)</f>
        <v/>
      </c>
    </row>
    <row r="1826" spans="10:16" x14ac:dyDescent="0.2">
      <c r="J1826" t="str">
        <f>IF([2]Entry!$C$1829="","",[2]Entry!$C$1829)</f>
        <v/>
      </c>
      <c r="K1826" t="str">
        <f>IF([2]Entry!$D$1829="","",[2]Entry!$D$1829)</f>
        <v/>
      </c>
      <c r="L1826" t="str">
        <f>IF([2]Entry!$E$1829="","",[2]Entry!$E$1829)</f>
        <v/>
      </c>
      <c r="M1826" t="str">
        <f>IF([2]Entry!$G$1829="","",[2]Entry!$G$1829)</f>
        <v/>
      </c>
      <c r="N1826" t="str">
        <f>IF([2]Entry!$M$1829="","",[2]Entry!$M$1829)</f>
        <v/>
      </c>
      <c r="O1826" t="str">
        <f>IF([2]Entry!$N$1829="","",[2]Entry!$N$1829)</f>
        <v/>
      </c>
      <c r="P1826" t="str">
        <f>IF([2]Entry!$R$1829="","",[2]Entry!$R$1829)</f>
        <v/>
      </c>
    </row>
    <row r="1827" spans="10:16" x14ac:dyDescent="0.2">
      <c r="J1827" t="str">
        <f>IF([2]Entry!$C$1830="","",[2]Entry!$C$1830)</f>
        <v/>
      </c>
      <c r="K1827" t="str">
        <f>IF([2]Entry!$D$1830="","",[2]Entry!$D$1830)</f>
        <v/>
      </c>
      <c r="L1827" t="str">
        <f>IF([2]Entry!$E$1830="","",[2]Entry!$E$1830)</f>
        <v/>
      </c>
      <c r="M1827" t="str">
        <f>IF([2]Entry!$G$1830="","",[2]Entry!$G$1830)</f>
        <v/>
      </c>
      <c r="N1827" t="str">
        <f>IF([2]Entry!$M$1830="","",[2]Entry!$M$1830)</f>
        <v/>
      </c>
      <c r="O1827" t="str">
        <f>IF([2]Entry!$N$1830="","",[2]Entry!$N$1830)</f>
        <v/>
      </c>
      <c r="P1827" t="str">
        <f>IF([2]Entry!$R$1830="","",[2]Entry!$R$1830)</f>
        <v/>
      </c>
    </row>
    <row r="1828" spans="10:16" x14ac:dyDescent="0.2">
      <c r="J1828" t="str">
        <f>IF([2]Entry!$C$1831="","",[2]Entry!$C$1831)</f>
        <v/>
      </c>
      <c r="K1828" t="str">
        <f>IF([2]Entry!$D$1831="","",[2]Entry!$D$1831)</f>
        <v/>
      </c>
      <c r="L1828" t="str">
        <f>IF([2]Entry!$E$1831="","",[2]Entry!$E$1831)</f>
        <v/>
      </c>
      <c r="M1828" t="str">
        <f>IF([2]Entry!$G$1831="","",[2]Entry!$G$1831)</f>
        <v/>
      </c>
      <c r="N1828" t="str">
        <f>IF([2]Entry!$M$1831="","",[2]Entry!$M$1831)</f>
        <v/>
      </c>
      <c r="O1828" t="str">
        <f>IF([2]Entry!$N$1831="","",[2]Entry!$N$1831)</f>
        <v/>
      </c>
      <c r="P1828" t="str">
        <f>IF([2]Entry!$R$1831="","",[2]Entry!$R$1831)</f>
        <v/>
      </c>
    </row>
    <row r="1829" spans="10:16" x14ac:dyDescent="0.2">
      <c r="J1829" t="str">
        <f>IF([2]Entry!$C$1832="","",[2]Entry!$C$1832)</f>
        <v/>
      </c>
      <c r="K1829" t="str">
        <f>IF([2]Entry!$D$1832="","",[2]Entry!$D$1832)</f>
        <v/>
      </c>
      <c r="L1829" t="str">
        <f>IF([2]Entry!$E$1832="","",[2]Entry!$E$1832)</f>
        <v/>
      </c>
      <c r="M1829" t="str">
        <f>IF([2]Entry!$G$1832="","",[2]Entry!$G$1832)</f>
        <v/>
      </c>
      <c r="N1829" t="str">
        <f>IF([2]Entry!$M$1832="","",[2]Entry!$M$1832)</f>
        <v/>
      </c>
      <c r="O1829" t="str">
        <f>IF([2]Entry!$N$1832="","",[2]Entry!$N$1832)</f>
        <v/>
      </c>
      <c r="P1829" t="str">
        <f>IF([2]Entry!$R$1832="","",[2]Entry!$R$1832)</f>
        <v/>
      </c>
    </row>
    <row r="1830" spans="10:16" x14ac:dyDescent="0.2">
      <c r="J1830" t="str">
        <f>IF([2]Entry!$C$1833="","",[2]Entry!$C$1833)</f>
        <v/>
      </c>
      <c r="K1830" t="str">
        <f>IF([2]Entry!$D$1833="","",[2]Entry!$D$1833)</f>
        <v/>
      </c>
      <c r="L1830" t="str">
        <f>IF([2]Entry!$E$1833="","",[2]Entry!$E$1833)</f>
        <v/>
      </c>
      <c r="M1830" t="str">
        <f>IF([2]Entry!$G$1833="","",[2]Entry!$G$1833)</f>
        <v/>
      </c>
      <c r="N1830" t="str">
        <f>IF([2]Entry!$M$1833="","",[2]Entry!$M$1833)</f>
        <v/>
      </c>
      <c r="O1830" t="str">
        <f>IF([2]Entry!$N$1833="","",[2]Entry!$N$1833)</f>
        <v/>
      </c>
      <c r="P1830" t="str">
        <f>IF([2]Entry!$R$1833="","",[2]Entry!$R$1833)</f>
        <v/>
      </c>
    </row>
    <row r="1831" spans="10:16" x14ac:dyDescent="0.2">
      <c r="J1831" t="str">
        <f>IF([2]Entry!$C$1834="","",[2]Entry!$C$1834)</f>
        <v/>
      </c>
      <c r="K1831" t="str">
        <f>IF([2]Entry!$D$1834="","",[2]Entry!$D$1834)</f>
        <v/>
      </c>
      <c r="L1831" t="str">
        <f>IF([2]Entry!$E$1834="","",[2]Entry!$E$1834)</f>
        <v/>
      </c>
      <c r="M1831" t="str">
        <f>IF([2]Entry!$G$1834="","",[2]Entry!$G$1834)</f>
        <v/>
      </c>
      <c r="N1831" t="str">
        <f>IF([2]Entry!$M$1834="","",[2]Entry!$M$1834)</f>
        <v/>
      </c>
      <c r="O1831" t="str">
        <f>IF([2]Entry!$N$1834="","",[2]Entry!$N$1834)</f>
        <v/>
      </c>
      <c r="P1831" t="str">
        <f>IF([2]Entry!$R$1834="","",[2]Entry!$R$1834)</f>
        <v/>
      </c>
    </row>
    <row r="1832" spans="10:16" x14ac:dyDescent="0.2">
      <c r="J1832" t="str">
        <f>IF([2]Entry!$C$1835="","",[2]Entry!$C$1835)</f>
        <v/>
      </c>
      <c r="K1832" t="str">
        <f>IF([2]Entry!$D$1835="","",[2]Entry!$D$1835)</f>
        <v/>
      </c>
      <c r="L1832" t="str">
        <f>IF([2]Entry!$E$1835="","",[2]Entry!$E$1835)</f>
        <v/>
      </c>
      <c r="M1832" t="str">
        <f>IF([2]Entry!$G$1835="","",[2]Entry!$G$1835)</f>
        <v/>
      </c>
      <c r="N1832" t="str">
        <f>IF([2]Entry!$M$1835="","",[2]Entry!$M$1835)</f>
        <v/>
      </c>
      <c r="O1832" t="str">
        <f>IF([2]Entry!$N$1835="","",[2]Entry!$N$1835)</f>
        <v/>
      </c>
      <c r="P1832" t="str">
        <f>IF([2]Entry!$R$1835="","",[2]Entry!$R$1835)</f>
        <v/>
      </c>
    </row>
    <row r="1833" spans="10:16" x14ac:dyDescent="0.2">
      <c r="J1833" t="str">
        <f>IF([2]Entry!$C$1836="","",[2]Entry!$C$1836)</f>
        <v/>
      </c>
      <c r="K1833" t="str">
        <f>IF([2]Entry!$D$1836="","",[2]Entry!$D$1836)</f>
        <v/>
      </c>
      <c r="L1833" t="str">
        <f>IF([2]Entry!$E$1836="","",[2]Entry!$E$1836)</f>
        <v/>
      </c>
      <c r="M1833" t="str">
        <f>IF([2]Entry!$G$1836="","",[2]Entry!$G$1836)</f>
        <v/>
      </c>
      <c r="N1833" t="str">
        <f>IF([2]Entry!$M$1836="","",[2]Entry!$M$1836)</f>
        <v/>
      </c>
      <c r="O1833" t="str">
        <f>IF([2]Entry!$N$1836="","",[2]Entry!$N$1836)</f>
        <v/>
      </c>
      <c r="P1833" t="str">
        <f>IF([2]Entry!$R$1836="","",[2]Entry!$R$1836)</f>
        <v/>
      </c>
    </row>
    <row r="1834" spans="10:16" x14ac:dyDescent="0.2">
      <c r="J1834" t="str">
        <f>IF([2]Entry!$C$1837="","",[2]Entry!$C$1837)</f>
        <v/>
      </c>
      <c r="K1834" t="str">
        <f>IF([2]Entry!$D$1837="","",[2]Entry!$D$1837)</f>
        <v/>
      </c>
      <c r="L1834" t="str">
        <f>IF([2]Entry!$E$1837="","",[2]Entry!$E$1837)</f>
        <v/>
      </c>
      <c r="M1834" t="str">
        <f>IF([2]Entry!$G$1837="","",[2]Entry!$G$1837)</f>
        <v/>
      </c>
      <c r="N1834" t="str">
        <f>IF([2]Entry!$M$1837="","",[2]Entry!$M$1837)</f>
        <v/>
      </c>
      <c r="O1834" t="str">
        <f>IF([2]Entry!$N$1837="","",[2]Entry!$N$1837)</f>
        <v/>
      </c>
      <c r="P1834" t="str">
        <f>IF([2]Entry!$R$1837="","",[2]Entry!$R$1837)</f>
        <v/>
      </c>
    </row>
    <row r="1835" spans="10:16" x14ac:dyDescent="0.2">
      <c r="J1835" t="str">
        <f>IF([2]Entry!$C$1838="","",[2]Entry!$C$1838)</f>
        <v/>
      </c>
      <c r="K1835" t="str">
        <f>IF([2]Entry!$D$1838="","",[2]Entry!$D$1838)</f>
        <v/>
      </c>
      <c r="L1835" t="str">
        <f>IF([2]Entry!$E$1838="","",[2]Entry!$E$1838)</f>
        <v/>
      </c>
      <c r="M1835" t="str">
        <f>IF([2]Entry!$G$1838="","",[2]Entry!$G$1838)</f>
        <v/>
      </c>
      <c r="N1835" t="str">
        <f>IF([2]Entry!$M$1838="","",[2]Entry!$M$1838)</f>
        <v/>
      </c>
      <c r="O1835" t="str">
        <f>IF([2]Entry!$N$1838="","",[2]Entry!$N$1838)</f>
        <v/>
      </c>
      <c r="P1835" t="str">
        <f>IF([2]Entry!$R$1838="","",[2]Entry!$R$1838)</f>
        <v/>
      </c>
    </row>
    <row r="1836" spans="10:16" x14ac:dyDescent="0.2">
      <c r="J1836" t="str">
        <f>IF([2]Entry!$C$1839="","",[2]Entry!$C$1839)</f>
        <v/>
      </c>
      <c r="K1836" t="str">
        <f>IF([2]Entry!$D$1839="","",[2]Entry!$D$1839)</f>
        <v/>
      </c>
      <c r="L1836" t="str">
        <f>IF([2]Entry!$E$1839="","",[2]Entry!$E$1839)</f>
        <v/>
      </c>
      <c r="M1836" t="str">
        <f>IF([2]Entry!$G$1839="","",[2]Entry!$G$1839)</f>
        <v/>
      </c>
      <c r="N1836" t="str">
        <f>IF([2]Entry!$M$1839="","",[2]Entry!$M$1839)</f>
        <v/>
      </c>
      <c r="O1836" t="str">
        <f>IF([2]Entry!$N$1839="","",[2]Entry!$N$1839)</f>
        <v/>
      </c>
      <c r="P1836" t="str">
        <f>IF([2]Entry!$R$1839="","",[2]Entry!$R$1839)</f>
        <v/>
      </c>
    </row>
    <row r="1837" spans="10:16" x14ac:dyDescent="0.2">
      <c r="J1837" t="str">
        <f>IF([2]Entry!$C$1840="","",[2]Entry!$C$1840)</f>
        <v/>
      </c>
      <c r="K1837" t="str">
        <f>IF([2]Entry!$D$1840="","",[2]Entry!$D$1840)</f>
        <v/>
      </c>
      <c r="L1837" t="str">
        <f>IF([2]Entry!$E$1840="","",[2]Entry!$E$1840)</f>
        <v/>
      </c>
      <c r="M1837" t="str">
        <f>IF([2]Entry!$G$1840="","",[2]Entry!$G$1840)</f>
        <v/>
      </c>
      <c r="N1837" t="str">
        <f>IF([2]Entry!$M$1840="","",[2]Entry!$M$1840)</f>
        <v/>
      </c>
      <c r="O1837" t="str">
        <f>IF([2]Entry!$N$1840="","",[2]Entry!$N$1840)</f>
        <v/>
      </c>
      <c r="P1837" t="str">
        <f>IF([2]Entry!$R$1840="","",[2]Entry!$R$1840)</f>
        <v/>
      </c>
    </row>
    <row r="1838" spans="10:16" x14ac:dyDescent="0.2">
      <c r="J1838" t="str">
        <f>IF([2]Entry!$C$1841="","",[2]Entry!$C$1841)</f>
        <v/>
      </c>
      <c r="K1838" t="str">
        <f>IF([2]Entry!$D$1841="","",[2]Entry!$D$1841)</f>
        <v/>
      </c>
      <c r="L1838" t="str">
        <f>IF([2]Entry!$E$1841="","",[2]Entry!$E$1841)</f>
        <v/>
      </c>
      <c r="M1838" t="str">
        <f>IF([2]Entry!$G$1841="","",[2]Entry!$G$1841)</f>
        <v/>
      </c>
      <c r="N1838" t="str">
        <f>IF([2]Entry!$M$1841="","",[2]Entry!$M$1841)</f>
        <v/>
      </c>
      <c r="O1838" t="str">
        <f>IF([2]Entry!$N$1841="","",[2]Entry!$N$1841)</f>
        <v/>
      </c>
      <c r="P1838" t="str">
        <f>IF([2]Entry!$R$1841="","",[2]Entry!$R$1841)</f>
        <v/>
      </c>
    </row>
    <row r="1839" spans="10:16" x14ac:dyDescent="0.2">
      <c r="J1839" t="str">
        <f>IF([2]Entry!$C$1842="","",[2]Entry!$C$1842)</f>
        <v/>
      </c>
      <c r="K1839" t="str">
        <f>IF([2]Entry!$D$1842="","",[2]Entry!$D$1842)</f>
        <v/>
      </c>
      <c r="L1839" t="str">
        <f>IF([2]Entry!$E$1842="","",[2]Entry!$E$1842)</f>
        <v/>
      </c>
      <c r="M1839" t="str">
        <f>IF([2]Entry!$G$1842="","",[2]Entry!$G$1842)</f>
        <v/>
      </c>
      <c r="N1839" t="str">
        <f>IF([2]Entry!$M$1842="","",[2]Entry!$M$1842)</f>
        <v/>
      </c>
      <c r="O1839" t="str">
        <f>IF([2]Entry!$N$1842="","",[2]Entry!$N$1842)</f>
        <v/>
      </c>
      <c r="P1839" t="str">
        <f>IF([2]Entry!$R$1842="","",[2]Entry!$R$1842)</f>
        <v/>
      </c>
    </row>
    <row r="1840" spans="10:16" x14ac:dyDescent="0.2">
      <c r="J1840" t="str">
        <f>IF([2]Entry!$C$1843="","",[2]Entry!$C$1843)</f>
        <v/>
      </c>
      <c r="K1840" t="str">
        <f>IF([2]Entry!$D$1843="","",[2]Entry!$D$1843)</f>
        <v/>
      </c>
      <c r="L1840" t="str">
        <f>IF([2]Entry!$E$1843="","",[2]Entry!$E$1843)</f>
        <v/>
      </c>
      <c r="M1840" t="str">
        <f>IF([2]Entry!$G$1843="","",[2]Entry!$G$1843)</f>
        <v/>
      </c>
      <c r="N1840" t="str">
        <f>IF([2]Entry!$M$1843="","",[2]Entry!$M$1843)</f>
        <v/>
      </c>
      <c r="O1840" t="str">
        <f>IF([2]Entry!$N$1843="","",[2]Entry!$N$1843)</f>
        <v/>
      </c>
      <c r="P1840" t="str">
        <f>IF([2]Entry!$R$1843="","",[2]Entry!$R$1843)</f>
        <v/>
      </c>
    </row>
    <row r="1841" spans="10:16" x14ac:dyDescent="0.2">
      <c r="J1841" t="str">
        <f>IF([2]Entry!$C$1844="","",[2]Entry!$C$1844)</f>
        <v/>
      </c>
      <c r="K1841" t="str">
        <f>IF([2]Entry!$D$1844="","",[2]Entry!$D$1844)</f>
        <v/>
      </c>
      <c r="L1841" t="str">
        <f>IF([2]Entry!$E$1844="","",[2]Entry!$E$1844)</f>
        <v/>
      </c>
      <c r="M1841" t="str">
        <f>IF([2]Entry!$G$1844="","",[2]Entry!$G$1844)</f>
        <v/>
      </c>
      <c r="N1841" t="str">
        <f>IF([2]Entry!$M$1844="","",[2]Entry!$M$1844)</f>
        <v/>
      </c>
      <c r="O1841" t="str">
        <f>IF([2]Entry!$N$1844="","",[2]Entry!$N$1844)</f>
        <v/>
      </c>
      <c r="P1841" t="str">
        <f>IF([2]Entry!$R$1844="","",[2]Entry!$R$1844)</f>
        <v/>
      </c>
    </row>
    <row r="1842" spans="10:16" x14ac:dyDescent="0.2">
      <c r="J1842" t="str">
        <f>IF([2]Entry!$C$1845="","",[2]Entry!$C$1845)</f>
        <v/>
      </c>
      <c r="K1842" t="str">
        <f>IF([2]Entry!$D$1845="","",[2]Entry!$D$1845)</f>
        <v/>
      </c>
      <c r="L1842" t="str">
        <f>IF([2]Entry!$E$1845="","",[2]Entry!$E$1845)</f>
        <v/>
      </c>
      <c r="M1842" t="str">
        <f>IF([2]Entry!$G$1845="","",[2]Entry!$G$1845)</f>
        <v/>
      </c>
      <c r="N1842" t="str">
        <f>IF([2]Entry!$M$1845="","",[2]Entry!$M$1845)</f>
        <v/>
      </c>
      <c r="O1842" t="str">
        <f>IF([2]Entry!$N$1845="","",[2]Entry!$N$1845)</f>
        <v/>
      </c>
      <c r="P1842" t="str">
        <f>IF([2]Entry!$R$1845="","",[2]Entry!$R$1845)</f>
        <v/>
      </c>
    </row>
    <row r="1843" spans="10:16" x14ac:dyDescent="0.2">
      <c r="J1843" t="str">
        <f>IF([2]Entry!$C$1846="","",[2]Entry!$C$1846)</f>
        <v/>
      </c>
      <c r="K1843" t="str">
        <f>IF([2]Entry!$D$1846="","",[2]Entry!$D$1846)</f>
        <v/>
      </c>
      <c r="L1843" t="str">
        <f>IF([2]Entry!$E$1846="","",[2]Entry!$E$1846)</f>
        <v/>
      </c>
      <c r="M1843" t="str">
        <f>IF([2]Entry!$G$1846="","",[2]Entry!$G$1846)</f>
        <v/>
      </c>
      <c r="N1843" t="str">
        <f>IF([2]Entry!$M$1846="","",[2]Entry!$M$1846)</f>
        <v/>
      </c>
      <c r="O1843" t="str">
        <f>IF([2]Entry!$N$1846="","",[2]Entry!$N$1846)</f>
        <v/>
      </c>
      <c r="P1843" t="str">
        <f>IF([2]Entry!$R$1846="","",[2]Entry!$R$1846)</f>
        <v/>
      </c>
    </row>
    <row r="1844" spans="10:16" x14ac:dyDescent="0.2">
      <c r="J1844" t="str">
        <f>IF([2]Entry!$C$1847="","",[2]Entry!$C$1847)</f>
        <v/>
      </c>
      <c r="K1844" t="str">
        <f>IF([2]Entry!$D$1847="","",[2]Entry!$D$1847)</f>
        <v/>
      </c>
      <c r="L1844" t="str">
        <f>IF([2]Entry!$E$1847="","",[2]Entry!$E$1847)</f>
        <v/>
      </c>
      <c r="M1844" t="str">
        <f>IF([2]Entry!$G$1847="","",[2]Entry!$G$1847)</f>
        <v/>
      </c>
      <c r="N1844" t="str">
        <f>IF([2]Entry!$M$1847="","",[2]Entry!$M$1847)</f>
        <v/>
      </c>
      <c r="O1844" t="str">
        <f>IF([2]Entry!$N$1847="","",[2]Entry!$N$1847)</f>
        <v/>
      </c>
      <c r="P1844" t="str">
        <f>IF([2]Entry!$R$1847="","",[2]Entry!$R$1847)</f>
        <v/>
      </c>
    </row>
    <row r="1845" spans="10:16" x14ac:dyDescent="0.2">
      <c r="J1845" t="str">
        <f>IF([2]Entry!$C$1848="","",[2]Entry!$C$1848)</f>
        <v/>
      </c>
      <c r="K1845" t="str">
        <f>IF([2]Entry!$D$1848="","",[2]Entry!$D$1848)</f>
        <v/>
      </c>
      <c r="L1845" t="str">
        <f>IF([2]Entry!$E$1848="","",[2]Entry!$E$1848)</f>
        <v/>
      </c>
      <c r="M1845" t="str">
        <f>IF([2]Entry!$G$1848="","",[2]Entry!$G$1848)</f>
        <v/>
      </c>
      <c r="N1845" t="str">
        <f>IF([2]Entry!$M$1848="","",[2]Entry!$M$1848)</f>
        <v/>
      </c>
      <c r="O1845" t="str">
        <f>IF([2]Entry!$N$1848="","",[2]Entry!$N$1848)</f>
        <v/>
      </c>
      <c r="P1845" t="str">
        <f>IF([2]Entry!$R$1848="","",[2]Entry!$R$1848)</f>
        <v/>
      </c>
    </row>
    <row r="1846" spans="10:16" x14ac:dyDescent="0.2">
      <c r="J1846" t="str">
        <f>IF([2]Entry!$C$1849="","",[2]Entry!$C$1849)</f>
        <v/>
      </c>
      <c r="K1846" t="str">
        <f>IF([2]Entry!$D$1849="","",[2]Entry!$D$1849)</f>
        <v/>
      </c>
      <c r="L1846" t="str">
        <f>IF([2]Entry!$E$1849="","",[2]Entry!$E$1849)</f>
        <v/>
      </c>
      <c r="M1846" t="str">
        <f>IF([2]Entry!$G$1849="","",[2]Entry!$G$1849)</f>
        <v/>
      </c>
      <c r="N1846" t="str">
        <f>IF([2]Entry!$M$1849="","",[2]Entry!$M$1849)</f>
        <v/>
      </c>
      <c r="O1846" t="str">
        <f>IF([2]Entry!$N$1849="","",[2]Entry!$N$1849)</f>
        <v/>
      </c>
      <c r="P1846" t="str">
        <f>IF([2]Entry!$R$1849="","",[2]Entry!$R$1849)</f>
        <v/>
      </c>
    </row>
    <row r="1847" spans="10:16" x14ac:dyDescent="0.2">
      <c r="J1847" t="str">
        <f>IF([2]Entry!$C$1850="","",[2]Entry!$C$1850)</f>
        <v/>
      </c>
      <c r="K1847" t="str">
        <f>IF([2]Entry!$D$1850="","",[2]Entry!$D$1850)</f>
        <v/>
      </c>
      <c r="L1847" t="str">
        <f>IF([2]Entry!$E$1850="","",[2]Entry!$E$1850)</f>
        <v/>
      </c>
      <c r="M1847" t="str">
        <f>IF([2]Entry!$G$1850="","",[2]Entry!$G$1850)</f>
        <v/>
      </c>
      <c r="N1847" t="str">
        <f>IF([2]Entry!$M$1850="","",[2]Entry!$M$1850)</f>
        <v/>
      </c>
      <c r="O1847" t="str">
        <f>IF([2]Entry!$N$1850="","",[2]Entry!$N$1850)</f>
        <v/>
      </c>
      <c r="P1847" t="str">
        <f>IF([2]Entry!$R$1850="","",[2]Entry!$R$1850)</f>
        <v/>
      </c>
    </row>
    <row r="1848" spans="10:16" x14ac:dyDescent="0.2">
      <c r="J1848" t="str">
        <f>IF([2]Entry!$C$1851="","",[2]Entry!$C$1851)</f>
        <v/>
      </c>
      <c r="K1848" t="str">
        <f>IF([2]Entry!$D$1851="","",[2]Entry!$D$1851)</f>
        <v/>
      </c>
      <c r="L1848" t="str">
        <f>IF([2]Entry!$E$1851="","",[2]Entry!$E$1851)</f>
        <v/>
      </c>
      <c r="M1848" t="str">
        <f>IF([2]Entry!$G$1851="","",[2]Entry!$G$1851)</f>
        <v/>
      </c>
      <c r="N1848" t="str">
        <f>IF([2]Entry!$M$1851="","",[2]Entry!$M$1851)</f>
        <v/>
      </c>
      <c r="O1848" t="str">
        <f>IF([2]Entry!$N$1851="","",[2]Entry!$N$1851)</f>
        <v/>
      </c>
      <c r="P1848" t="str">
        <f>IF([2]Entry!$R$1851="","",[2]Entry!$R$1851)</f>
        <v/>
      </c>
    </row>
    <row r="1849" spans="10:16" x14ac:dyDescent="0.2">
      <c r="J1849" t="str">
        <f>IF([2]Entry!$C$1852="","",[2]Entry!$C$1852)</f>
        <v/>
      </c>
      <c r="K1849" t="str">
        <f>IF([2]Entry!$D$1852="","",[2]Entry!$D$1852)</f>
        <v/>
      </c>
      <c r="L1849" t="str">
        <f>IF([2]Entry!$E$1852="","",[2]Entry!$E$1852)</f>
        <v/>
      </c>
      <c r="M1849" t="str">
        <f>IF([2]Entry!$G$1852="","",[2]Entry!$G$1852)</f>
        <v/>
      </c>
      <c r="N1849" t="str">
        <f>IF([2]Entry!$M$1852="","",[2]Entry!$M$1852)</f>
        <v/>
      </c>
      <c r="O1849" t="str">
        <f>IF([2]Entry!$N$1852="","",[2]Entry!$N$1852)</f>
        <v/>
      </c>
      <c r="P1849" t="str">
        <f>IF([2]Entry!$R$1852="","",[2]Entry!$R$1852)</f>
        <v/>
      </c>
    </row>
    <row r="1850" spans="10:16" x14ac:dyDescent="0.2">
      <c r="J1850" t="str">
        <f>IF([2]Entry!$C$1853="","",[2]Entry!$C$1853)</f>
        <v/>
      </c>
      <c r="K1850" t="str">
        <f>IF([2]Entry!$D$1853="","",[2]Entry!$D$1853)</f>
        <v/>
      </c>
      <c r="L1850" t="str">
        <f>IF([2]Entry!$E$1853="","",[2]Entry!$E$1853)</f>
        <v/>
      </c>
      <c r="M1850" t="str">
        <f>IF([2]Entry!$G$1853="","",[2]Entry!$G$1853)</f>
        <v/>
      </c>
      <c r="N1850" t="str">
        <f>IF([2]Entry!$M$1853="","",[2]Entry!$M$1853)</f>
        <v/>
      </c>
      <c r="O1850" t="str">
        <f>IF([2]Entry!$N$1853="","",[2]Entry!$N$1853)</f>
        <v/>
      </c>
      <c r="P1850" t="str">
        <f>IF([2]Entry!$R$1853="","",[2]Entry!$R$1853)</f>
        <v/>
      </c>
    </row>
    <row r="1851" spans="10:16" x14ac:dyDescent="0.2">
      <c r="J1851" t="str">
        <f>IF([2]Entry!$C$1854="","",[2]Entry!$C$1854)</f>
        <v/>
      </c>
      <c r="K1851" t="str">
        <f>IF([2]Entry!$D$1854="","",[2]Entry!$D$1854)</f>
        <v/>
      </c>
      <c r="L1851" t="str">
        <f>IF([2]Entry!$E$1854="","",[2]Entry!$E$1854)</f>
        <v/>
      </c>
      <c r="M1851" t="str">
        <f>IF([2]Entry!$G$1854="","",[2]Entry!$G$1854)</f>
        <v/>
      </c>
      <c r="N1851" t="str">
        <f>IF([2]Entry!$M$1854="","",[2]Entry!$M$1854)</f>
        <v/>
      </c>
      <c r="O1851" t="str">
        <f>IF([2]Entry!$N$1854="","",[2]Entry!$N$1854)</f>
        <v/>
      </c>
      <c r="P1851" t="str">
        <f>IF([2]Entry!$R$1854="","",[2]Entry!$R$1854)</f>
        <v/>
      </c>
    </row>
    <row r="1852" spans="10:16" x14ac:dyDescent="0.2">
      <c r="J1852" t="str">
        <f>IF([2]Entry!$C$1855="","",[2]Entry!$C$1855)</f>
        <v/>
      </c>
      <c r="K1852" t="str">
        <f>IF([2]Entry!$D$1855="","",[2]Entry!$D$1855)</f>
        <v/>
      </c>
      <c r="L1852" t="str">
        <f>IF([2]Entry!$E$1855="","",[2]Entry!$E$1855)</f>
        <v/>
      </c>
      <c r="M1852" t="str">
        <f>IF([2]Entry!$G$1855="","",[2]Entry!$G$1855)</f>
        <v/>
      </c>
      <c r="N1852" t="str">
        <f>IF([2]Entry!$M$1855="","",[2]Entry!$M$1855)</f>
        <v/>
      </c>
      <c r="O1852" t="str">
        <f>IF([2]Entry!$N$1855="","",[2]Entry!$N$1855)</f>
        <v/>
      </c>
      <c r="P1852" t="str">
        <f>IF([2]Entry!$R$1855="","",[2]Entry!$R$1855)</f>
        <v/>
      </c>
    </row>
    <row r="1853" spans="10:16" x14ac:dyDescent="0.2">
      <c r="J1853" t="str">
        <f>IF([2]Entry!$C$1856="","",[2]Entry!$C$1856)</f>
        <v/>
      </c>
      <c r="K1853" t="str">
        <f>IF([2]Entry!$D$1856="","",[2]Entry!$D$1856)</f>
        <v/>
      </c>
      <c r="L1853" t="str">
        <f>IF([2]Entry!$E$1856="","",[2]Entry!$E$1856)</f>
        <v/>
      </c>
      <c r="M1853" t="str">
        <f>IF([2]Entry!$G$1856="","",[2]Entry!$G$1856)</f>
        <v/>
      </c>
      <c r="N1853" t="str">
        <f>IF([2]Entry!$M$1856="","",[2]Entry!$M$1856)</f>
        <v/>
      </c>
      <c r="O1853" t="str">
        <f>IF([2]Entry!$N$1856="","",[2]Entry!$N$1856)</f>
        <v/>
      </c>
      <c r="P1853" t="str">
        <f>IF([2]Entry!$R$1856="","",[2]Entry!$R$1856)</f>
        <v/>
      </c>
    </row>
    <row r="1854" spans="10:16" x14ac:dyDescent="0.2">
      <c r="J1854" t="str">
        <f>IF([2]Entry!$C$1857="","",[2]Entry!$C$1857)</f>
        <v/>
      </c>
      <c r="K1854" t="str">
        <f>IF([2]Entry!$D$1857="","",[2]Entry!$D$1857)</f>
        <v/>
      </c>
      <c r="L1854" t="str">
        <f>IF([2]Entry!$E$1857="","",[2]Entry!$E$1857)</f>
        <v/>
      </c>
      <c r="M1854" t="str">
        <f>IF([2]Entry!$G$1857="","",[2]Entry!$G$1857)</f>
        <v/>
      </c>
      <c r="N1854" t="str">
        <f>IF([2]Entry!$M$1857="","",[2]Entry!$M$1857)</f>
        <v/>
      </c>
      <c r="O1854" t="str">
        <f>IF([2]Entry!$N$1857="","",[2]Entry!$N$1857)</f>
        <v/>
      </c>
      <c r="P1854" t="str">
        <f>IF([2]Entry!$R$1857="","",[2]Entry!$R$1857)</f>
        <v/>
      </c>
    </row>
    <row r="1855" spans="10:16" x14ac:dyDescent="0.2">
      <c r="J1855" t="str">
        <f>IF([2]Entry!$C$1858="","",[2]Entry!$C$1858)</f>
        <v/>
      </c>
      <c r="K1855" t="str">
        <f>IF([2]Entry!$D$1858="","",[2]Entry!$D$1858)</f>
        <v/>
      </c>
      <c r="L1855" t="str">
        <f>IF([2]Entry!$E$1858="","",[2]Entry!$E$1858)</f>
        <v/>
      </c>
      <c r="M1855" t="str">
        <f>IF([2]Entry!$G$1858="","",[2]Entry!$G$1858)</f>
        <v/>
      </c>
      <c r="N1855" t="str">
        <f>IF([2]Entry!$M$1858="","",[2]Entry!$M$1858)</f>
        <v/>
      </c>
      <c r="O1855" t="str">
        <f>IF([2]Entry!$N$1858="","",[2]Entry!$N$1858)</f>
        <v/>
      </c>
      <c r="P1855" t="str">
        <f>IF([2]Entry!$R$1858="","",[2]Entry!$R$1858)</f>
        <v/>
      </c>
    </row>
    <row r="1856" spans="10:16" x14ac:dyDescent="0.2">
      <c r="J1856" t="str">
        <f>IF([2]Entry!$C$1859="","",[2]Entry!$C$1859)</f>
        <v/>
      </c>
      <c r="K1856" t="str">
        <f>IF([2]Entry!$D$1859="","",[2]Entry!$D$1859)</f>
        <v/>
      </c>
      <c r="L1856" t="str">
        <f>IF([2]Entry!$E$1859="","",[2]Entry!$E$1859)</f>
        <v/>
      </c>
      <c r="M1856" t="str">
        <f>IF([2]Entry!$G$1859="","",[2]Entry!$G$1859)</f>
        <v/>
      </c>
      <c r="N1856" t="str">
        <f>IF([2]Entry!$M$1859="","",[2]Entry!$M$1859)</f>
        <v/>
      </c>
      <c r="O1856" t="str">
        <f>IF([2]Entry!$N$1859="","",[2]Entry!$N$1859)</f>
        <v/>
      </c>
      <c r="P1856" t="str">
        <f>IF([2]Entry!$R$1859="","",[2]Entry!$R$1859)</f>
        <v/>
      </c>
    </row>
    <row r="1857" spans="10:16" x14ac:dyDescent="0.2">
      <c r="J1857" t="str">
        <f>IF([2]Entry!$C$1860="","",[2]Entry!$C$1860)</f>
        <v/>
      </c>
      <c r="K1857" t="str">
        <f>IF([2]Entry!$D$1860="","",[2]Entry!$D$1860)</f>
        <v/>
      </c>
      <c r="L1857" t="str">
        <f>IF([2]Entry!$E$1860="","",[2]Entry!$E$1860)</f>
        <v/>
      </c>
      <c r="M1857" t="str">
        <f>IF([2]Entry!$G$1860="","",[2]Entry!$G$1860)</f>
        <v/>
      </c>
      <c r="N1857" t="str">
        <f>IF([2]Entry!$M$1860="","",[2]Entry!$M$1860)</f>
        <v/>
      </c>
      <c r="O1857" t="str">
        <f>IF([2]Entry!$N$1860="","",[2]Entry!$N$1860)</f>
        <v/>
      </c>
      <c r="P1857" t="str">
        <f>IF([2]Entry!$R$1860="","",[2]Entry!$R$1860)</f>
        <v/>
      </c>
    </row>
    <row r="1858" spans="10:16" x14ac:dyDescent="0.2">
      <c r="J1858" t="str">
        <f>IF([2]Entry!$C$1861="","",[2]Entry!$C$1861)</f>
        <v/>
      </c>
      <c r="K1858" t="str">
        <f>IF([2]Entry!$D$1861="","",[2]Entry!$D$1861)</f>
        <v/>
      </c>
      <c r="L1858" t="str">
        <f>IF([2]Entry!$E$1861="","",[2]Entry!$E$1861)</f>
        <v/>
      </c>
      <c r="M1858" t="str">
        <f>IF([2]Entry!$G$1861="","",[2]Entry!$G$1861)</f>
        <v/>
      </c>
      <c r="N1858" t="str">
        <f>IF([2]Entry!$M$1861="","",[2]Entry!$M$1861)</f>
        <v/>
      </c>
      <c r="O1858" t="str">
        <f>IF([2]Entry!$N$1861="","",[2]Entry!$N$1861)</f>
        <v/>
      </c>
      <c r="P1858" t="str">
        <f>IF([2]Entry!$R$1861="","",[2]Entry!$R$1861)</f>
        <v/>
      </c>
    </row>
    <row r="1859" spans="10:16" x14ac:dyDescent="0.2">
      <c r="J1859" t="str">
        <f>IF([2]Entry!$C$1862="","",[2]Entry!$C$1862)</f>
        <v/>
      </c>
      <c r="K1859" t="str">
        <f>IF([2]Entry!$D$1862="","",[2]Entry!$D$1862)</f>
        <v/>
      </c>
      <c r="L1859" t="str">
        <f>IF([2]Entry!$E$1862="","",[2]Entry!$E$1862)</f>
        <v/>
      </c>
      <c r="M1859" t="str">
        <f>IF([2]Entry!$G$1862="","",[2]Entry!$G$1862)</f>
        <v/>
      </c>
      <c r="N1859" t="str">
        <f>IF([2]Entry!$M$1862="","",[2]Entry!$M$1862)</f>
        <v/>
      </c>
      <c r="O1859" t="str">
        <f>IF([2]Entry!$N$1862="","",[2]Entry!$N$1862)</f>
        <v/>
      </c>
      <c r="P1859" t="str">
        <f>IF([2]Entry!$R$1862="","",[2]Entry!$R$1862)</f>
        <v/>
      </c>
    </row>
    <row r="1860" spans="10:16" x14ac:dyDescent="0.2">
      <c r="J1860" t="str">
        <f>IF([2]Entry!$C$1863="","",[2]Entry!$C$1863)</f>
        <v/>
      </c>
      <c r="K1860" t="str">
        <f>IF([2]Entry!$D$1863="","",[2]Entry!$D$1863)</f>
        <v/>
      </c>
      <c r="L1860" t="str">
        <f>IF([2]Entry!$E$1863="","",[2]Entry!$E$1863)</f>
        <v/>
      </c>
      <c r="M1860" t="str">
        <f>IF([2]Entry!$G$1863="","",[2]Entry!$G$1863)</f>
        <v/>
      </c>
      <c r="N1860" t="str">
        <f>IF([2]Entry!$M$1863="","",[2]Entry!$M$1863)</f>
        <v/>
      </c>
      <c r="O1860" t="str">
        <f>IF([2]Entry!$N$1863="","",[2]Entry!$N$1863)</f>
        <v/>
      </c>
      <c r="P1860" t="str">
        <f>IF([2]Entry!$R$1863="","",[2]Entry!$R$1863)</f>
        <v/>
      </c>
    </row>
    <row r="1861" spans="10:16" x14ac:dyDescent="0.2">
      <c r="J1861" t="str">
        <f>IF([2]Entry!$C$1864="","",[2]Entry!$C$1864)</f>
        <v/>
      </c>
      <c r="K1861" t="str">
        <f>IF([2]Entry!$D$1864="","",[2]Entry!$D$1864)</f>
        <v/>
      </c>
      <c r="L1861" t="str">
        <f>IF([2]Entry!$E$1864="","",[2]Entry!$E$1864)</f>
        <v/>
      </c>
      <c r="M1861" t="str">
        <f>IF([2]Entry!$G$1864="","",[2]Entry!$G$1864)</f>
        <v/>
      </c>
      <c r="N1861" t="str">
        <f>IF([2]Entry!$M$1864="","",[2]Entry!$M$1864)</f>
        <v/>
      </c>
      <c r="O1861" t="str">
        <f>IF([2]Entry!$N$1864="","",[2]Entry!$N$1864)</f>
        <v/>
      </c>
      <c r="P1861" t="str">
        <f>IF([2]Entry!$R$1864="","",[2]Entry!$R$1864)</f>
        <v/>
      </c>
    </row>
    <row r="1862" spans="10:16" x14ac:dyDescent="0.2">
      <c r="J1862" t="str">
        <f>IF([2]Entry!$C$1865="","",[2]Entry!$C$1865)</f>
        <v/>
      </c>
      <c r="K1862" t="str">
        <f>IF([2]Entry!$D$1865="","",[2]Entry!$D$1865)</f>
        <v/>
      </c>
      <c r="L1862" t="str">
        <f>IF([2]Entry!$E$1865="","",[2]Entry!$E$1865)</f>
        <v/>
      </c>
      <c r="M1862" t="str">
        <f>IF([2]Entry!$G$1865="","",[2]Entry!$G$1865)</f>
        <v/>
      </c>
      <c r="N1862" t="str">
        <f>IF([2]Entry!$M$1865="","",[2]Entry!$M$1865)</f>
        <v/>
      </c>
      <c r="O1862" t="str">
        <f>IF([2]Entry!$N$1865="","",[2]Entry!$N$1865)</f>
        <v/>
      </c>
      <c r="P1862" t="str">
        <f>IF([2]Entry!$R$1865="","",[2]Entry!$R$1865)</f>
        <v/>
      </c>
    </row>
    <row r="1863" spans="10:16" x14ac:dyDescent="0.2">
      <c r="J1863" t="str">
        <f>IF([2]Entry!$C$1866="","",[2]Entry!$C$1866)</f>
        <v/>
      </c>
      <c r="K1863" t="str">
        <f>IF([2]Entry!$D$1866="","",[2]Entry!$D$1866)</f>
        <v/>
      </c>
      <c r="L1863" t="str">
        <f>IF([2]Entry!$E$1866="","",[2]Entry!$E$1866)</f>
        <v/>
      </c>
      <c r="M1863" t="str">
        <f>IF([2]Entry!$G$1866="","",[2]Entry!$G$1866)</f>
        <v/>
      </c>
      <c r="N1863" t="str">
        <f>IF([2]Entry!$M$1866="","",[2]Entry!$M$1866)</f>
        <v/>
      </c>
      <c r="O1863" t="str">
        <f>IF([2]Entry!$N$1866="","",[2]Entry!$N$1866)</f>
        <v/>
      </c>
      <c r="P1863" t="str">
        <f>IF([2]Entry!$R$1866="","",[2]Entry!$R$1866)</f>
        <v/>
      </c>
    </row>
    <row r="1864" spans="10:16" x14ac:dyDescent="0.2">
      <c r="J1864" t="str">
        <f>IF([2]Entry!$C$1867="","",[2]Entry!$C$1867)</f>
        <v/>
      </c>
      <c r="K1864" t="str">
        <f>IF([2]Entry!$D$1867="","",[2]Entry!$D$1867)</f>
        <v/>
      </c>
      <c r="L1864" t="str">
        <f>IF([2]Entry!$E$1867="","",[2]Entry!$E$1867)</f>
        <v/>
      </c>
      <c r="M1864" t="str">
        <f>IF([2]Entry!$G$1867="","",[2]Entry!$G$1867)</f>
        <v/>
      </c>
      <c r="N1864" t="str">
        <f>IF([2]Entry!$M$1867="","",[2]Entry!$M$1867)</f>
        <v/>
      </c>
      <c r="O1864" t="str">
        <f>IF([2]Entry!$N$1867="","",[2]Entry!$N$1867)</f>
        <v/>
      </c>
      <c r="P1864" t="str">
        <f>IF([2]Entry!$R$1867="","",[2]Entry!$R$1867)</f>
        <v/>
      </c>
    </row>
    <row r="1865" spans="10:16" x14ac:dyDescent="0.2">
      <c r="J1865" t="str">
        <f>IF([2]Entry!$C$1868="","",[2]Entry!$C$1868)</f>
        <v/>
      </c>
      <c r="K1865" t="str">
        <f>IF([2]Entry!$D$1868="","",[2]Entry!$D$1868)</f>
        <v/>
      </c>
      <c r="L1865" t="str">
        <f>IF([2]Entry!$E$1868="","",[2]Entry!$E$1868)</f>
        <v/>
      </c>
      <c r="M1865" t="str">
        <f>IF([2]Entry!$G$1868="","",[2]Entry!$G$1868)</f>
        <v/>
      </c>
      <c r="N1865" t="str">
        <f>IF([2]Entry!$M$1868="","",[2]Entry!$M$1868)</f>
        <v/>
      </c>
      <c r="O1865" t="str">
        <f>IF([2]Entry!$N$1868="","",[2]Entry!$N$1868)</f>
        <v/>
      </c>
      <c r="P1865" t="str">
        <f>IF([2]Entry!$R$1868="","",[2]Entry!$R$1868)</f>
        <v/>
      </c>
    </row>
    <row r="1866" spans="10:16" x14ac:dyDescent="0.2">
      <c r="J1866" t="str">
        <f>IF([2]Entry!$C$1869="","",[2]Entry!$C$1869)</f>
        <v/>
      </c>
      <c r="K1866" t="str">
        <f>IF([2]Entry!$D$1869="","",[2]Entry!$D$1869)</f>
        <v/>
      </c>
      <c r="L1866" t="str">
        <f>IF([2]Entry!$E$1869="","",[2]Entry!$E$1869)</f>
        <v/>
      </c>
      <c r="M1866" t="str">
        <f>IF([2]Entry!$G$1869="","",[2]Entry!$G$1869)</f>
        <v/>
      </c>
      <c r="N1866" t="str">
        <f>IF([2]Entry!$M$1869="","",[2]Entry!$M$1869)</f>
        <v/>
      </c>
      <c r="O1866" t="str">
        <f>IF([2]Entry!$N$1869="","",[2]Entry!$N$1869)</f>
        <v/>
      </c>
      <c r="P1866" t="str">
        <f>IF([2]Entry!$R$1869="","",[2]Entry!$R$1869)</f>
        <v/>
      </c>
    </row>
    <row r="1867" spans="10:16" x14ac:dyDescent="0.2">
      <c r="J1867" t="str">
        <f>IF([2]Entry!$C$1870="","",[2]Entry!$C$1870)</f>
        <v/>
      </c>
      <c r="K1867" t="str">
        <f>IF([2]Entry!$D$1870="","",[2]Entry!$D$1870)</f>
        <v/>
      </c>
      <c r="L1867" t="str">
        <f>IF([2]Entry!$E$1870="","",[2]Entry!$E$1870)</f>
        <v/>
      </c>
      <c r="M1867" t="str">
        <f>IF([2]Entry!$G$1870="","",[2]Entry!$G$1870)</f>
        <v/>
      </c>
      <c r="N1867" t="str">
        <f>IF([2]Entry!$M$1870="","",[2]Entry!$M$1870)</f>
        <v/>
      </c>
      <c r="O1867" t="str">
        <f>IF([2]Entry!$N$1870="","",[2]Entry!$N$1870)</f>
        <v/>
      </c>
      <c r="P1867" t="str">
        <f>IF([2]Entry!$R$1870="","",[2]Entry!$R$1870)</f>
        <v/>
      </c>
    </row>
    <row r="1868" spans="10:16" x14ac:dyDescent="0.2">
      <c r="J1868" t="str">
        <f>IF([2]Entry!$C$1871="","",[2]Entry!$C$1871)</f>
        <v/>
      </c>
      <c r="K1868" t="str">
        <f>IF([2]Entry!$D$1871="","",[2]Entry!$D$1871)</f>
        <v/>
      </c>
      <c r="L1868" t="str">
        <f>IF([2]Entry!$E$1871="","",[2]Entry!$E$1871)</f>
        <v/>
      </c>
      <c r="M1868" t="str">
        <f>IF([2]Entry!$G$1871="","",[2]Entry!$G$1871)</f>
        <v/>
      </c>
      <c r="N1868" t="str">
        <f>IF([2]Entry!$M$1871="","",[2]Entry!$M$1871)</f>
        <v/>
      </c>
      <c r="O1868" t="str">
        <f>IF([2]Entry!$N$1871="","",[2]Entry!$N$1871)</f>
        <v/>
      </c>
      <c r="P1868" t="str">
        <f>IF([2]Entry!$R$1871="","",[2]Entry!$R$1871)</f>
        <v/>
      </c>
    </row>
    <row r="1869" spans="10:16" x14ac:dyDescent="0.2">
      <c r="J1869" t="str">
        <f>IF([2]Entry!$C$1872="","",[2]Entry!$C$1872)</f>
        <v/>
      </c>
      <c r="K1869" t="str">
        <f>IF([2]Entry!$D$1872="","",[2]Entry!$D$1872)</f>
        <v/>
      </c>
      <c r="L1869" t="str">
        <f>IF([2]Entry!$E$1872="","",[2]Entry!$E$1872)</f>
        <v/>
      </c>
      <c r="M1869" t="str">
        <f>IF([2]Entry!$G$1872="","",[2]Entry!$G$1872)</f>
        <v/>
      </c>
      <c r="N1869" t="str">
        <f>IF([2]Entry!$M$1872="","",[2]Entry!$M$1872)</f>
        <v/>
      </c>
      <c r="O1869" t="str">
        <f>IF([2]Entry!$N$1872="","",[2]Entry!$N$1872)</f>
        <v/>
      </c>
      <c r="P1869" t="str">
        <f>IF([2]Entry!$R$1872="","",[2]Entry!$R$1872)</f>
        <v/>
      </c>
    </row>
    <row r="1870" spans="10:16" x14ac:dyDescent="0.2">
      <c r="J1870" t="str">
        <f>IF([2]Entry!$C$1873="","",[2]Entry!$C$1873)</f>
        <v/>
      </c>
      <c r="K1870" t="str">
        <f>IF([2]Entry!$D$1873="","",[2]Entry!$D$1873)</f>
        <v/>
      </c>
      <c r="L1870" t="str">
        <f>IF([2]Entry!$E$1873="","",[2]Entry!$E$1873)</f>
        <v/>
      </c>
      <c r="M1870" t="str">
        <f>IF([2]Entry!$G$1873="","",[2]Entry!$G$1873)</f>
        <v/>
      </c>
      <c r="N1870" t="str">
        <f>IF([2]Entry!$M$1873="","",[2]Entry!$M$1873)</f>
        <v/>
      </c>
      <c r="O1870" t="str">
        <f>IF([2]Entry!$N$1873="","",[2]Entry!$N$1873)</f>
        <v/>
      </c>
      <c r="P1870" t="str">
        <f>IF([2]Entry!$R$1873="","",[2]Entry!$R$1873)</f>
        <v/>
      </c>
    </row>
    <row r="1871" spans="10:16" x14ac:dyDescent="0.2">
      <c r="J1871" t="str">
        <f>IF([2]Entry!$C$1874="","",[2]Entry!$C$1874)</f>
        <v/>
      </c>
      <c r="K1871" t="str">
        <f>IF([2]Entry!$D$1874="","",[2]Entry!$D$1874)</f>
        <v/>
      </c>
      <c r="L1871" t="str">
        <f>IF([2]Entry!$E$1874="","",[2]Entry!$E$1874)</f>
        <v/>
      </c>
      <c r="M1871" t="str">
        <f>IF([2]Entry!$G$1874="","",[2]Entry!$G$1874)</f>
        <v/>
      </c>
      <c r="N1871" t="str">
        <f>IF([2]Entry!$M$1874="","",[2]Entry!$M$1874)</f>
        <v/>
      </c>
      <c r="O1871" t="str">
        <f>IF([2]Entry!$N$1874="","",[2]Entry!$N$1874)</f>
        <v/>
      </c>
      <c r="P1871" t="str">
        <f>IF([2]Entry!$R$1874="","",[2]Entry!$R$1874)</f>
        <v/>
      </c>
    </row>
    <row r="1872" spans="10:16" x14ac:dyDescent="0.2">
      <c r="J1872" t="str">
        <f>IF([2]Entry!$C$1875="","",[2]Entry!$C$1875)</f>
        <v/>
      </c>
      <c r="K1872" t="str">
        <f>IF([2]Entry!$D$1875="","",[2]Entry!$D$1875)</f>
        <v/>
      </c>
      <c r="L1872" t="str">
        <f>IF([2]Entry!$E$1875="","",[2]Entry!$E$1875)</f>
        <v/>
      </c>
      <c r="M1872" t="str">
        <f>IF([2]Entry!$G$1875="","",[2]Entry!$G$1875)</f>
        <v/>
      </c>
      <c r="N1872" t="str">
        <f>IF([2]Entry!$M$1875="","",[2]Entry!$M$1875)</f>
        <v/>
      </c>
      <c r="O1872" t="str">
        <f>IF([2]Entry!$N$1875="","",[2]Entry!$N$1875)</f>
        <v/>
      </c>
      <c r="P1872" t="str">
        <f>IF([2]Entry!$R$1875="","",[2]Entry!$R$1875)</f>
        <v/>
      </c>
    </row>
    <row r="1873" spans="10:16" x14ac:dyDescent="0.2">
      <c r="J1873" t="str">
        <f>IF([2]Entry!$C$1876="","",[2]Entry!$C$1876)</f>
        <v/>
      </c>
      <c r="K1873" t="str">
        <f>IF([2]Entry!$D$1876="","",[2]Entry!$D$1876)</f>
        <v/>
      </c>
      <c r="L1873" t="str">
        <f>IF([2]Entry!$E$1876="","",[2]Entry!$E$1876)</f>
        <v/>
      </c>
      <c r="M1873" t="str">
        <f>IF([2]Entry!$G$1876="","",[2]Entry!$G$1876)</f>
        <v/>
      </c>
      <c r="N1873" t="str">
        <f>IF([2]Entry!$M$1876="","",[2]Entry!$M$1876)</f>
        <v/>
      </c>
      <c r="O1873" t="str">
        <f>IF([2]Entry!$N$1876="","",[2]Entry!$N$1876)</f>
        <v/>
      </c>
      <c r="P1873" t="str">
        <f>IF([2]Entry!$R$1876="","",[2]Entry!$R$1876)</f>
        <v/>
      </c>
    </row>
    <row r="1874" spans="10:16" x14ac:dyDescent="0.2">
      <c r="J1874" t="str">
        <f>IF([2]Entry!$C$1877="","",[2]Entry!$C$1877)</f>
        <v/>
      </c>
      <c r="K1874" t="str">
        <f>IF([2]Entry!$D$1877="","",[2]Entry!$D$1877)</f>
        <v/>
      </c>
      <c r="L1874" t="str">
        <f>IF([2]Entry!$E$1877="","",[2]Entry!$E$1877)</f>
        <v/>
      </c>
      <c r="M1874" t="str">
        <f>IF([2]Entry!$G$1877="","",[2]Entry!$G$1877)</f>
        <v/>
      </c>
      <c r="N1874" t="str">
        <f>IF([2]Entry!$M$1877="","",[2]Entry!$M$1877)</f>
        <v/>
      </c>
      <c r="O1874" t="str">
        <f>IF([2]Entry!$N$1877="","",[2]Entry!$N$1877)</f>
        <v/>
      </c>
      <c r="P1874" t="str">
        <f>IF([2]Entry!$R$1877="","",[2]Entry!$R$1877)</f>
        <v/>
      </c>
    </row>
    <row r="1875" spans="10:16" x14ac:dyDescent="0.2">
      <c r="J1875" t="str">
        <f>IF([2]Entry!$C$1878="","",[2]Entry!$C$1878)</f>
        <v/>
      </c>
      <c r="K1875" t="str">
        <f>IF([2]Entry!$D$1878="","",[2]Entry!$D$1878)</f>
        <v/>
      </c>
      <c r="L1875" t="str">
        <f>IF([2]Entry!$E$1878="","",[2]Entry!$E$1878)</f>
        <v/>
      </c>
      <c r="M1875" t="str">
        <f>IF([2]Entry!$G$1878="","",[2]Entry!$G$1878)</f>
        <v/>
      </c>
      <c r="N1875" t="str">
        <f>IF([2]Entry!$M$1878="","",[2]Entry!$M$1878)</f>
        <v/>
      </c>
      <c r="O1875" t="str">
        <f>IF([2]Entry!$N$1878="","",[2]Entry!$N$1878)</f>
        <v/>
      </c>
      <c r="P1875" t="str">
        <f>IF([2]Entry!$R$1878="","",[2]Entry!$R$1878)</f>
        <v/>
      </c>
    </row>
    <row r="1876" spans="10:16" x14ac:dyDescent="0.2">
      <c r="J1876" t="str">
        <f>IF([2]Entry!$C$1879="","",[2]Entry!$C$1879)</f>
        <v/>
      </c>
      <c r="K1876" t="str">
        <f>IF([2]Entry!$D$1879="","",[2]Entry!$D$1879)</f>
        <v/>
      </c>
      <c r="L1876" t="str">
        <f>IF([2]Entry!$E$1879="","",[2]Entry!$E$1879)</f>
        <v/>
      </c>
      <c r="M1876" t="str">
        <f>IF([2]Entry!$G$1879="","",[2]Entry!$G$1879)</f>
        <v/>
      </c>
      <c r="N1876" t="str">
        <f>IF([2]Entry!$M$1879="","",[2]Entry!$M$1879)</f>
        <v/>
      </c>
      <c r="O1876" t="str">
        <f>IF([2]Entry!$N$1879="","",[2]Entry!$N$1879)</f>
        <v/>
      </c>
      <c r="P1876" t="str">
        <f>IF([2]Entry!$R$1879="","",[2]Entry!$R$1879)</f>
        <v/>
      </c>
    </row>
    <row r="1877" spans="10:16" x14ac:dyDescent="0.2">
      <c r="J1877" t="str">
        <f>IF([2]Entry!$C$1880="","",[2]Entry!$C$1880)</f>
        <v/>
      </c>
      <c r="K1877" t="str">
        <f>IF([2]Entry!$D$1880="","",[2]Entry!$D$1880)</f>
        <v/>
      </c>
      <c r="L1877" t="str">
        <f>IF([2]Entry!$E$1880="","",[2]Entry!$E$1880)</f>
        <v/>
      </c>
      <c r="M1877" t="str">
        <f>IF([2]Entry!$G$1880="","",[2]Entry!$G$1880)</f>
        <v/>
      </c>
      <c r="N1877" t="str">
        <f>IF([2]Entry!$M$1880="","",[2]Entry!$M$1880)</f>
        <v/>
      </c>
      <c r="O1877" t="str">
        <f>IF([2]Entry!$N$1880="","",[2]Entry!$N$1880)</f>
        <v/>
      </c>
      <c r="P1877" t="str">
        <f>IF([2]Entry!$R$1880="","",[2]Entry!$R$1880)</f>
        <v/>
      </c>
    </row>
    <row r="1878" spans="10:16" x14ac:dyDescent="0.2">
      <c r="J1878" t="str">
        <f>IF([2]Entry!$C$1881="","",[2]Entry!$C$1881)</f>
        <v/>
      </c>
      <c r="K1878" t="str">
        <f>IF([2]Entry!$D$1881="","",[2]Entry!$D$1881)</f>
        <v/>
      </c>
      <c r="L1878" t="str">
        <f>IF([2]Entry!$E$1881="","",[2]Entry!$E$1881)</f>
        <v/>
      </c>
      <c r="M1878" t="str">
        <f>IF([2]Entry!$G$1881="","",[2]Entry!$G$1881)</f>
        <v/>
      </c>
      <c r="N1878" t="str">
        <f>IF([2]Entry!$M$1881="","",[2]Entry!$M$1881)</f>
        <v/>
      </c>
      <c r="O1878" t="str">
        <f>IF([2]Entry!$N$1881="","",[2]Entry!$N$1881)</f>
        <v/>
      </c>
      <c r="P1878" t="str">
        <f>IF([2]Entry!$R$1881="","",[2]Entry!$R$1881)</f>
        <v/>
      </c>
    </row>
    <row r="1879" spans="10:16" x14ac:dyDescent="0.2">
      <c r="J1879" t="str">
        <f>IF([2]Entry!$C$1882="","",[2]Entry!$C$1882)</f>
        <v/>
      </c>
      <c r="K1879" t="str">
        <f>IF([2]Entry!$D$1882="","",[2]Entry!$D$1882)</f>
        <v/>
      </c>
      <c r="L1879" t="str">
        <f>IF([2]Entry!$E$1882="","",[2]Entry!$E$1882)</f>
        <v/>
      </c>
      <c r="M1879" t="str">
        <f>IF([2]Entry!$G$1882="","",[2]Entry!$G$1882)</f>
        <v/>
      </c>
      <c r="N1879" t="str">
        <f>IF([2]Entry!$M$1882="","",[2]Entry!$M$1882)</f>
        <v/>
      </c>
      <c r="O1879" t="str">
        <f>IF([2]Entry!$N$1882="","",[2]Entry!$N$1882)</f>
        <v/>
      </c>
      <c r="P1879" t="str">
        <f>IF([2]Entry!$R$1882="","",[2]Entry!$R$1882)</f>
        <v/>
      </c>
    </row>
    <row r="1880" spans="10:16" x14ac:dyDescent="0.2">
      <c r="J1880" t="str">
        <f>IF([2]Entry!$C$1883="","",[2]Entry!$C$1883)</f>
        <v/>
      </c>
      <c r="K1880" t="str">
        <f>IF([2]Entry!$D$1883="","",[2]Entry!$D$1883)</f>
        <v/>
      </c>
      <c r="L1880" t="str">
        <f>IF([2]Entry!$E$1883="","",[2]Entry!$E$1883)</f>
        <v/>
      </c>
      <c r="M1880" t="str">
        <f>IF([2]Entry!$G$1883="","",[2]Entry!$G$1883)</f>
        <v/>
      </c>
      <c r="N1880" t="str">
        <f>IF([2]Entry!$M$1883="","",[2]Entry!$M$1883)</f>
        <v/>
      </c>
      <c r="O1880" t="str">
        <f>IF([2]Entry!$N$1883="","",[2]Entry!$N$1883)</f>
        <v/>
      </c>
      <c r="P1880" t="str">
        <f>IF([2]Entry!$R$1883="","",[2]Entry!$R$1883)</f>
        <v/>
      </c>
    </row>
    <row r="1881" spans="10:16" x14ac:dyDescent="0.2">
      <c r="J1881" t="str">
        <f>IF([2]Entry!$C$1884="","",[2]Entry!$C$1884)</f>
        <v/>
      </c>
      <c r="K1881" t="str">
        <f>IF([2]Entry!$D$1884="","",[2]Entry!$D$1884)</f>
        <v/>
      </c>
      <c r="L1881" t="str">
        <f>IF([2]Entry!$E$1884="","",[2]Entry!$E$1884)</f>
        <v/>
      </c>
      <c r="M1881" t="str">
        <f>IF([2]Entry!$G$1884="","",[2]Entry!$G$1884)</f>
        <v/>
      </c>
      <c r="N1881" t="str">
        <f>IF([2]Entry!$M$1884="","",[2]Entry!$M$1884)</f>
        <v/>
      </c>
      <c r="O1881" t="str">
        <f>IF([2]Entry!$N$1884="","",[2]Entry!$N$1884)</f>
        <v/>
      </c>
      <c r="P1881" t="str">
        <f>IF([2]Entry!$R$1884="","",[2]Entry!$R$1884)</f>
        <v/>
      </c>
    </row>
    <row r="1882" spans="10:16" x14ac:dyDescent="0.2">
      <c r="J1882" t="str">
        <f>IF([2]Entry!$C$1885="","",[2]Entry!$C$1885)</f>
        <v/>
      </c>
      <c r="K1882" t="str">
        <f>IF([2]Entry!$D$1885="","",[2]Entry!$D$1885)</f>
        <v/>
      </c>
      <c r="L1882" t="str">
        <f>IF([2]Entry!$E$1885="","",[2]Entry!$E$1885)</f>
        <v/>
      </c>
      <c r="M1882" t="str">
        <f>IF([2]Entry!$G$1885="","",[2]Entry!$G$1885)</f>
        <v/>
      </c>
      <c r="N1882" t="str">
        <f>IF([2]Entry!$M$1885="","",[2]Entry!$M$1885)</f>
        <v/>
      </c>
      <c r="O1882" t="str">
        <f>IF([2]Entry!$N$1885="","",[2]Entry!$N$1885)</f>
        <v/>
      </c>
      <c r="P1882" t="str">
        <f>IF([2]Entry!$R$1885="","",[2]Entry!$R$1885)</f>
        <v/>
      </c>
    </row>
    <row r="1883" spans="10:16" x14ac:dyDescent="0.2">
      <c r="J1883" t="str">
        <f>IF([2]Entry!$C$1886="","",[2]Entry!$C$1886)</f>
        <v/>
      </c>
      <c r="K1883" t="str">
        <f>IF([2]Entry!$D$1886="","",[2]Entry!$D$1886)</f>
        <v/>
      </c>
      <c r="L1883" t="str">
        <f>IF([2]Entry!$E$1886="","",[2]Entry!$E$1886)</f>
        <v/>
      </c>
      <c r="M1883" t="str">
        <f>IF([2]Entry!$G$1886="","",[2]Entry!$G$1886)</f>
        <v/>
      </c>
      <c r="N1883" t="str">
        <f>IF([2]Entry!$M$1886="","",[2]Entry!$M$1886)</f>
        <v/>
      </c>
      <c r="O1883" t="str">
        <f>IF([2]Entry!$N$1886="","",[2]Entry!$N$1886)</f>
        <v/>
      </c>
      <c r="P1883" t="str">
        <f>IF([2]Entry!$R$1886="","",[2]Entry!$R$1886)</f>
        <v/>
      </c>
    </row>
    <row r="1884" spans="10:16" x14ac:dyDescent="0.2">
      <c r="J1884" t="str">
        <f>IF([2]Entry!$C$1887="","",[2]Entry!$C$1887)</f>
        <v/>
      </c>
      <c r="K1884" t="str">
        <f>IF([2]Entry!$D$1887="","",[2]Entry!$D$1887)</f>
        <v/>
      </c>
      <c r="L1884" t="str">
        <f>IF([2]Entry!$E$1887="","",[2]Entry!$E$1887)</f>
        <v/>
      </c>
      <c r="M1884" t="str">
        <f>IF([2]Entry!$G$1887="","",[2]Entry!$G$1887)</f>
        <v/>
      </c>
      <c r="N1884" t="str">
        <f>IF([2]Entry!$M$1887="","",[2]Entry!$M$1887)</f>
        <v/>
      </c>
      <c r="O1884" t="str">
        <f>IF([2]Entry!$N$1887="","",[2]Entry!$N$1887)</f>
        <v/>
      </c>
      <c r="P1884" t="str">
        <f>IF([2]Entry!$R$1887="","",[2]Entry!$R$1887)</f>
        <v/>
      </c>
    </row>
    <row r="1885" spans="10:16" x14ac:dyDescent="0.2">
      <c r="J1885" t="str">
        <f>IF([2]Entry!$C$1888="","",[2]Entry!$C$1888)</f>
        <v/>
      </c>
      <c r="K1885" t="str">
        <f>IF([2]Entry!$D$1888="","",[2]Entry!$D$1888)</f>
        <v/>
      </c>
      <c r="L1885" t="str">
        <f>IF([2]Entry!$E$1888="","",[2]Entry!$E$1888)</f>
        <v/>
      </c>
      <c r="M1885" t="str">
        <f>IF([2]Entry!$G$1888="","",[2]Entry!$G$1888)</f>
        <v/>
      </c>
      <c r="N1885" t="str">
        <f>IF([2]Entry!$M$1888="","",[2]Entry!$M$1888)</f>
        <v/>
      </c>
      <c r="O1885" t="str">
        <f>IF([2]Entry!$N$1888="","",[2]Entry!$N$1888)</f>
        <v/>
      </c>
      <c r="P1885" t="str">
        <f>IF([2]Entry!$R$1888="","",[2]Entry!$R$1888)</f>
        <v/>
      </c>
    </row>
    <row r="1886" spans="10:16" x14ac:dyDescent="0.2">
      <c r="J1886" t="str">
        <f>IF([2]Entry!$C$1889="","",[2]Entry!$C$1889)</f>
        <v/>
      </c>
      <c r="K1886" t="str">
        <f>IF([2]Entry!$D$1889="","",[2]Entry!$D$1889)</f>
        <v/>
      </c>
      <c r="L1886" t="str">
        <f>IF([2]Entry!$E$1889="","",[2]Entry!$E$1889)</f>
        <v/>
      </c>
      <c r="M1886" t="str">
        <f>IF([2]Entry!$G$1889="","",[2]Entry!$G$1889)</f>
        <v/>
      </c>
      <c r="N1886" t="str">
        <f>IF([2]Entry!$M$1889="","",[2]Entry!$M$1889)</f>
        <v/>
      </c>
      <c r="O1886" t="str">
        <f>IF([2]Entry!$N$1889="","",[2]Entry!$N$1889)</f>
        <v/>
      </c>
      <c r="P1886" t="str">
        <f>IF([2]Entry!$R$1889="","",[2]Entry!$R$1889)</f>
        <v/>
      </c>
    </row>
    <row r="1887" spans="10:16" x14ac:dyDescent="0.2">
      <c r="J1887" t="str">
        <f>IF([2]Entry!$C$1890="","",[2]Entry!$C$1890)</f>
        <v/>
      </c>
      <c r="K1887" t="str">
        <f>IF([2]Entry!$D$1890="","",[2]Entry!$D$1890)</f>
        <v/>
      </c>
      <c r="L1887" t="str">
        <f>IF([2]Entry!$E$1890="","",[2]Entry!$E$1890)</f>
        <v/>
      </c>
      <c r="M1887" t="str">
        <f>IF([2]Entry!$G$1890="","",[2]Entry!$G$1890)</f>
        <v/>
      </c>
      <c r="N1887" t="str">
        <f>IF([2]Entry!$M$1890="","",[2]Entry!$M$1890)</f>
        <v/>
      </c>
      <c r="O1887" t="str">
        <f>IF([2]Entry!$N$1890="","",[2]Entry!$N$1890)</f>
        <v/>
      </c>
      <c r="P1887" t="str">
        <f>IF([2]Entry!$R$1890="","",[2]Entry!$R$1890)</f>
        <v/>
      </c>
    </row>
    <row r="1888" spans="10:16" x14ac:dyDescent="0.2">
      <c r="J1888" t="str">
        <f>IF([2]Entry!$C$1891="","",[2]Entry!$C$1891)</f>
        <v/>
      </c>
      <c r="K1888" t="str">
        <f>IF([2]Entry!$D$1891="","",[2]Entry!$D$1891)</f>
        <v/>
      </c>
      <c r="L1888" t="str">
        <f>IF([2]Entry!$E$1891="","",[2]Entry!$E$1891)</f>
        <v/>
      </c>
      <c r="M1888" t="str">
        <f>IF([2]Entry!$G$1891="","",[2]Entry!$G$1891)</f>
        <v/>
      </c>
      <c r="N1888" t="str">
        <f>IF([2]Entry!$M$1891="","",[2]Entry!$M$1891)</f>
        <v/>
      </c>
      <c r="O1888" t="str">
        <f>IF([2]Entry!$N$1891="","",[2]Entry!$N$1891)</f>
        <v/>
      </c>
      <c r="P1888" t="str">
        <f>IF([2]Entry!$R$1891="","",[2]Entry!$R$1891)</f>
        <v/>
      </c>
    </row>
    <row r="1889" spans="10:16" x14ac:dyDescent="0.2">
      <c r="J1889" t="str">
        <f>IF([2]Entry!$C$1892="","",[2]Entry!$C$1892)</f>
        <v/>
      </c>
      <c r="K1889" t="str">
        <f>IF([2]Entry!$D$1892="","",[2]Entry!$D$1892)</f>
        <v/>
      </c>
      <c r="L1889" t="str">
        <f>IF([2]Entry!$E$1892="","",[2]Entry!$E$1892)</f>
        <v/>
      </c>
      <c r="M1889" t="str">
        <f>IF([2]Entry!$G$1892="","",[2]Entry!$G$1892)</f>
        <v/>
      </c>
      <c r="N1889" t="str">
        <f>IF([2]Entry!$M$1892="","",[2]Entry!$M$1892)</f>
        <v/>
      </c>
      <c r="O1889" t="str">
        <f>IF([2]Entry!$N$1892="","",[2]Entry!$N$1892)</f>
        <v/>
      </c>
      <c r="P1889" t="str">
        <f>IF([2]Entry!$R$1892="","",[2]Entry!$R$1892)</f>
        <v/>
      </c>
    </row>
    <row r="1890" spans="10:16" x14ac:dyDescent="0.2">
      <c r="J1890" t="str">
        <f>IF([2]Entry!$C$1893="","",[2]Entry!$C$1893)</f>
        <v/>
      </c>
      <c r="K1890" t="str">
        <f>IF([2]Entry!$D$1893="","",[2]Entry!$D$1893)</f>
        <v/>
      </c>
      <c r="L1890" t="str">
        <f>IF([2]Entry!$E$1893="","",[2]Entry!$E$1893)</f>
        <v/>
      </c>
      <c r="M1890" t="str">
        <f>IF([2]Entry!$G$1893="","",[2]Entry!$G$1893)</f>
        <v/>
      </c>
      <c r="N1890" t="str">
        <f>IF([2]Entry!$M$1893="","",[2]Entry!$M$1893)</f>
        <v/>
      </c>
      <c r="O1890" t="str">
        <f>IF([2]Entry!$N$1893="","",[2]Entry!$N$1893)</f>
        <v/>
      </c>
      <c r="P1890" t="str">
        <f>IF([2]Entry!$R$1893="","",[2]Entry!$R$1893)</f>
        <v/>
      </c>
    </row>
    <row r="1891" spans="10:16" x14ac:dyDescent="0.2">
      <c r="J1891" t="str">
        <f>IF([2]Entry!$C$1894="","",[2]Entry!$C$1894)</f>
        <v/>
      </c>
      <c r="K1891" t="str">
        <f>IF([2]Entry!$D$1894="","",[2]Entry!$D$1894)</f>
        <v/>
      </c>
      <c r="L1891" t="str">
        <f>IF([2]Entry!$E$1894="","",[2]Entry!$E$1894)</f>
        <v/>
      </c>
      <c r="M1891" t="str">
        <f>IF([2]Entry!$G$1894="","",[2]Entry!$G$1894)</f>
        <v/>
      </c>
      <c r="N1891" t="str">
        <f>IF([2]Entry!$M$1894="","",[2]Entry!$M$1894)</f>
        <v/>
      </c>
      <c r="O1891" t="str">
        <f>IF([2]Entry!$N$1894="","",[2]Entry!$N$1894)</f>
        <v/>
      </c>
      <c r="P1891" t="str">
        <f>IF([2]Entry!$R$1894="","",[2]Entry!$R$1894)</f>
        <v/>
      </c>
    </row>
    <row r="1892" spans="10:16" x14ac:dyDescent="0.2">
      <c r="J1892" t="str">
        <f>IF([2]Entry!$C$1895="","",[2]Entry!$C$1895)</f>
        <v/>
      </c>
      <c r="K1892" t="str">
        <f>IF([2]Entry!$D$1895="","",[2]Entry!$D$1895)</f>
        <v/>
      </c>
      <c r="L1892" t="str">
        <f>IF([2]Entry!$E$1895="","",[2]Entry!$E$1895)</f>
        <v/>
      </c>
      <c r="M1892" t="str">
        <f>IF([2]Entry!$G$1895="","",[2]Entry!$G$1895)</f>
        <v/>
      </c>
      <c r="N1892" t="str">
        <f>IF([2]Entry!$M$1895="","",[2]Entry!$M$1895)</f>
        <v/>
      </c>
      <c r="O1892" t="str">
        <f>IF([2]Entry!$N$1895="","",[2]Entry!$N$1895)</f>
        <v/>
      </c>
      <c r="P1892" t="str">
        <f>IF([2]Entry!$R$1895="","",[2]Entry!$R$1895)</f>
        <v/>
      </c>
    </row>
    <row r="1893" spans="10:16" x14ac:dyDescent="0.2">
      <c r="J1893" t="str">
        <f>IF([2]Entry!$C$1896="","",[2]Entry!$C$1896)</f>
        <v/>
      </c>
      <c r="K1893" t="str">
        <f>IF([2]Entry!$D$1896="","",[2]Entry!$D$1896)</f>
        <v/>
      </c>
      <c r="L1893" t="str">
        <f>IF([2]Entry!$E$1896="","",[2]Entry!$E$1896)</f>
        <v/>
      </c>
      <c r="M1893" t="str">
        <f>IF([2]Entry!$G$1896="","",[2]Entry!$G$1896)</f>
        <v/>
      </c>
      <c r="N1893" t="str">
        <f>IF([2]Entry!$M$1896="","",[2]Entry!$M$1896)</f>
        <v/>
      </c>
      <c r="O1893" t="str">
        <f>IF([2]Entry!$N$1896="","",[2]Entry!$N$1896)</f>
        <v/>
      </c>
      <c r="P1893" t="str">
        <f>IF([2]Entry!$R$1896="","",[2]Entry!$R$1896)</f>
        <v/>
      </c>
    </row>
    <row r="1894" spans="10:16" x14ac:dyDescent="0.2">
      <c r="J1894" t="str">
        <f>IF([2]Entry!$C$1897="","",[2]Entry!$C$1897)</f>
        <v/>
      </c>
      <c r="K1894" t="str">
        <f>IF([2]Entry!$D$1897="","",[2]Entry!$D$1897)</f>
        <v/>
      </c>
      <c r="L1894" t="str">
        <f>IF([2]Entry!$E$1897="","",[2]Entry!$E$1897)</f>
        <v/>
      </c>
      <c r="M1894" t="str">
        <f>IF([2]Entry!$G$1897="","",[2]Entry!$G$1897)</f>
        <v/>
      </c>
      <c r="N1894" t="str">
        <f>IF([2]Entry!$M$1897="","",[2]Entry!$M$1897)</f>
        <v/>
      </c>
      <c r="O1894" t="str">
        <f>IF([2]Entry!$N$1897="","",[2]Entry!$N$1897)</f>
        <v/>
      </c>
      <c r="P1894" t="str">
        <f>IF([2]Entry!$R$1897="","",[2]Entry!$R$1897)</f>
        <v/>
      </c>
    </row>
    <row r="1895" spans="10:16" x14ac:dyDescent="0.2">
      <c r="J1895" t="str">
        <f>IF([2]Entry!$C$1898="","",[2]Entry!$C$1898)</f>
        <v/>
      </c>
      <c r="K1895" t="str">
        <f>IF([2]Entry!$D$1898="","",[2]Entry!$D$1898)</f>
        <v/>
      </c>
      <c r="L1895" t="str">
        <f>IF([2]Entry!$E$1898="","",[2]Entry!$E$1898)</f>
        <v/>
      </c>
      <c r="M1895" t="str">
        <f>IF([2]Entry!$G$1898="","",[2]Entry!$G$1898)</f>
        <v/>
      </c>
      <c r="N1895" t="str">
        <f>IF([2]Entry!$M$1898="","",[2]Entry!$M$1898)</f>
        <v/>
      </c>
      <c r="O1895" t="str">
        <f>IF([2]Entry!$N$1898="","",[2]Entry!$N$1898)</f>
        <v/>
      </c>
      <c r="P1895" t="str">
        <f>IF([2]Entry!$R$1898="","",[2]Entry!$R$1898)</f>
        <v/>
      </c>
    </row>
    <row r="1896" spans="10:16" x14ac:dyDescent="0.2">
      <c r="J1896" t="str">
        <f>IF([2]Entry!$C$1899="","",[2]Entry!$C$1899)</f>
        <v/>
      </c>
      <c r="K1896" t="str">
        <f>IF([2]Entry!$D$1899="","",[2]Entry!$D$1899)</f>
        <v/>
      </c>
      <c r="L1896" t="str">
        <f>IF([2]Entry!$E$1899="","",[2]Entry!$E$1899)</f>
        <v/>
      </c>
      <c r="M1896" t="str">
        <f>IF([2]Entry!$G$1899="","",[2]Entry!$G$1899)</f>
        <v/>
      </c>
      <c r="N1896" t="str">
        <f>IF([2]Entry!$M$1899="","",[2]Entry!$M$1899)</f>
        <v/>
      </c>
      <c r="O1896" t="str">
        <f>IF([2]Entry!$N$1899="","",[2]Entry!$N$1899)</f>
        <v/>
      </c>
      <c r="P1896" t="str">
        <f>IF([2]Entry!$R$1899="","",[2]Entry!$R$1899)</f>
        <v/>
      </c>
    </row>
    <row r="1897" spans="10:16" x14ac:dyDescent="0.2">
      <c r="J1897" t="str">
        <f>IF([2]Entry!$C$1900="","",[2]Entry!$C$1900)</f>
        <v/>
      </c>
      <c r="K1897" t="str">
        <f>IF([2]Entry!$D$1900="","",[2]Entry!$D$1900)</f>
        <v/>
      </c>
      <c r="L1897" t="str">
        <f>IF([2]Entry!$E$1900="","",[2]Entry!$E$1900)</f>
        <v/>
      </c>
      <c r="M1897" t="str">
        <f>IF([2]Entry!$G$1900="","",[2]Entry!$G$1900)</f>
        <v/>
      </c>
      <c r="N1897" t="str">
        <f>IF([2]Entry!$M$1900="","",[2]Entry!$M$1900)</f>
        <v/>
      </c>
      <c r="O1897" t="str">
        <f>IF([2]Entry!$N$1900="","",[2]Entry!$N$1900)</f>
        <v/>
      </c>
      <c r="P1897" t="str">
        <f>IF([2]Entry!$R$1900="","",[2]Entry!$R$1900)</f>
        <v/>
      </c>
    </row>
    <row r="1898" spans="10:16" x14ac:dyDescent="0.2">
      <c r="J1898" t="str">
        <f>IF([2]Entry!$C$1901="","",[2]Entry!$C$1901)</f>
        <v/>
      </c>
      <c r="K1898" t="str">
        <f>IF([2]Entry!$D$1901="","",[2]Entry!$D$1901)</f>
        <v/>
      </c>
      <c r="L1898" t="str">
        <f>IF([2]Entry!$E$1901="","",[2]Entry!$E$1901)</f>
        <v/>
      </c>
      <c r="M1898" t="str">
        <f>IF([2]Entry!$G$1901="","",[2]Entry!$G$1901)</f>
        <v/>
      </c>
      <c r="N1898" t="str">
        <f>IF([2]Entry!$M$1901="","",[2]Entry!$M$1901)</f>
        <v/>
      </c>
      <c r="O1898" t="str">
        <f>IF([2]Entry!$N$1901="","",[2]Entry!$N$1901)</f>
        <v/>
      </c>
      <c r="P1898" t="str">
        <f>IF([2]Entry!$R$1901="","",[2]Entry!$R$1901)</f>
        <v/>
      </c>
    </row>
    <row r="1899" spans="10:16" x14ac:dyDescent="0.2">
      <c r="J1899" t="str">
        <f>IF([2]Entry!$C$1902="","",[2]Entry!$C$1902)</f>
        <v/>
      </c>
      <c r="K1899" t="str">
        <f>IF([2]Entry!$D$1902="","",[2]Entry!$D$1902)</f>
        <v/>
      </c>
      <c r="L1899" t="str">
        <f>IF([2]Entry!$E$1902="","",[2]Entry!$E$1902)</f>
        <v/>
      </c>
      <c r="M1899" t="str">
        <f>IF([2]Entry!$G$1902="","",[2]Entry!$G$1902)</f>
        <v/>
      </c>
      <c r="N1899" t="str">
        <f>IF([2]Entry!$M$1902="","",[2]Entry!$M$1902)</f>
        <v/>
      </c>
      <c r="O1899" t="str">
        <f>IF([2]Entry!$N$1902="","",[2]Entry!$N$1902)</f>
        <v/>
      </c>
      <c r="P1899" t="str">
        <f>IF([2]Entry!$R$1902="","",[2]Entry!$R$1902)</f>
        <v/>
      </c>
    </row>
    <row r="1900" spans="10:16" x14ac:dyDescent="0.2">
      <c r="J1900" t="str">
        <f>IF([2]Entry!$C$1903="","",[2]Entry!$C$1903)</f>
        <v/>
      </c>
      <c r="K1900" t="str">
        <f>IF([2]Entry!$D$1903="","",[2]Entry!$D$1903)</f>
        <v/>
      </c>
      <c r="L1900" t="str">
        <f>IF([2]Entry!$E$1903="","",[2]Entry!$E$1903)</f>
        <v/>
      </c>
      <c r="M1900" t="str">
        <f>IF([2]Entry!$G$1903="","",[2]Entry!$G$1903)</f>
        <v/>
      </c>
      <c r="N1900" t="str">
        <f>IF([2]Entry!$M$1903="","",[2]Entry!$M$1903)</f>
        <v/>
      </c>
      <c r="O1900" t="str">
        <f>IF([2]Entry!$N$1903="","",[2]Entry!$N$1903)</f>
        <v/>
      </c>
      <c r="P1900" t="str">
        <f>IF([2]Entry!$R$1903="","",[2]Entry!$R$1903)</f>
        <v/>
      </c>
    </row>
    <row r="1901" spans="10:16" x14ac:dyDescent="0.2">
      <c r="J1901" t="str">
        <f>IF([2]Entry!$C$1904="","",[2]Entry!$C$1904)</f>
        <v/>
      </c>
      <c r="K1901" t="str">
        <f>IF([2]Entry!$D$1904="","",[2]Entry!$D$1904)</f>
        <v/>
      </c>
      <c r="L1901" t="str">
        <f>IF([2]Entry!$E$1904="","",[2]Entry!$E$1904)</f>
        <v/>
      </c>
      <c r="M1901" t="str">
        <f>IF([2]Entry!$G$1904="","",[2]Entry!$G$1904)</f>
        <v/>
      </c>
      <c r="N1901" t="str">
        <f>IF([2]Entry!$M$1904="","",[2]Entry!$M$1904)</f>
        <v/>
      </c>
      <c r="O1901" t="str">
        <f>IF([2]Entry!$N$1904="","",[2]Entry!$N$1904)</f>
        <v/>
      </c>
      <c r="P1901" t="str">
        <f>IF([2]Entry!$R$1904="","",[2]Entry!$R$1904)</f>
        <v/>
      </c>
    </row>
    <row r="1902" spans="10:16" x14ac:dyDescent="0.2">
      <c r="J1902" t="str">
        <f>IF([2]Entry!$C$1905="","",[2]Entry!$C$1905)</f>
        <v/>
      </c>
      <c r="K1902" t="str">
        <f>IF([2]Entry!$D$1905="","",[2]Entry!$D$1905)</f>
        <v/>
      </c>
      <c r="L1902" t="str">
        <f>IF([2]Entry!$E$1905="","",[2]Entry!$E$1905)</f>
        <v/>
      </c>
      <c r="M1902" t="str">
        <f>IF([2]Entry!$G$1905="","",[2]Entry!$G$1905)</f>
        <v/>
      </c>
      <c r="N1902" t="str">
        <f>IF([2]Entry!$M$1905="","",[2]Entry!$M$1905)</f>
        <v/>
      </c>
      <c r="O1902" t="str">
        <f>IF([2]Entry!$N$1905="","",[2]Entry!$N$1905)</f>
        <v/>
      </c>
      <c r="P1902" t="str">
        <f>IF([2]Entry!$R$1905="","",[2]Entry!$R$1905)</f>
        <v/>
      </c>
    </row>
    <row r="1903" spans="10:16" x14ac:dyDescent="0.2">
      <c r="J1903" t="str">
        <f>IF([2]Entry!$C$1906="","",[2]Entry!$C$1906)</f>
        <v/>
      </c>
      <c r="K1903" t="str">
        <f>IF([2]Entry!$D$1906="","",[2]Entry!$D$1906)</f>
        <v/>
      </c>
      <c r="L1903" t="str">
        <f>IF([2]Entry!$E$1906="","",[2]Entry!$E$1906)</f>
        <v/>
      </c>
      <c r="M1903" t="str">
        <f>IF([2]Entry!$G$1906="","",[2]Entry!$G$1906)</f>
        <v/>
      </c>
      <c r="N1903" t="str">
        <f>IF([2]Entry!$M$1906="","",[2]Entry!$M$1906)</f>
        <v/>
      </c>
      <c r="O1903" t="str">
        <f>IF([2]Entry!$N$1906="","",[2]Entry!$N$1906)</f>
        <v/>
      </c>
      <c r="P1903" t="str">
        <f>IF([2]Entry!$R$1906="","",[2]Entry!$R$1906)</f>
        <v/>
      </c>
    </row>
    <row r="1904" spans="10:16" x14ac:dyDescent="0.2">
      <c r="J1904" t="str">
        <f>IF([2]Entry!$C$1907="","",[2]Entry!$C$1907)</f>
        <v/>
      </c>
      <c r="K1904" t="str">
        <f>IF([2]Entry!$D$1907="","",[2]Entry!$D$1907)</f>
        <v/>
      </c>
      <c r="L1904" t="str">
        <f>IF([2]Entry!$E$1907="","",[2]Entry!$E$1907)</f>
        <v/>
      </c>
      <c r="M1904" t="str">
        <f>IF([2]Entry!$G$1907="","",[2]Entry!$G$1907)</f>
        <v/>
      </c>
      <c r="N1904" t="str">
        <f>IF([2]Entry!$M$1907="","",[2]Entry!$M$1907)</f>
        <v/>
      </c>
      <c r="O1904" t="str">
        <f>IF([2]Entry!$N$1907="","",[2]Entry!$N$1907)</f>
        <v/>
      </c>
      <c r="P1904" t="str">
        <f>IF([2]Entry!$R$1907="","",[2]Entry!$R$1907)</f>
        <v/>
      </c>
    </row>
    <row r="1905" spans="10:16" x14ac:dyDescent="0.2">
      <c r="J1905" t="str">
        <f>IF([2]Entry!$C$1908="","",[2]Entry!$C$1908)</f>
        <v/>
      </c>
      <c r="K1905" t="str">
        <f>IF([2]Entry!$D$1908="","",[2]Entry!$D$1908)</f>
        <v/>
      </c>
      <c r="L1905" t="str">
        <f>IF([2]Entry!$E$1908="","",[2]Entry!$E$1908)</f>
        <v/>
      </c>
      <c r="M1905" t="str">
        <f>IF([2]Entry!$G$1908="","",[2]Entry!$G$1908)</f>
        <v/>
      </c>
      <c r="N1905" t="str">
        <f>IF([2]Entry!$M$1908="","",[2]Entry!$M$1908)</f>
        <v/>
      </c>
      <c r="O1905" t="str">
        <f>IF([2]Entry!$N$1908="","",[2]Entry!$N$1908)</f>
        <v/>
      </c>
      <c r="P1905" t="str">
        <f>IF([2]Entry!$R$1908="","",[2]Entry!$R$1908)</f>
        <v/>
      </c>
    </row>
    <row r="1906" spans="10:16" x14ac:dyDescent="0.2">
      <c r="J1906" t="str">
        <f>IF([2]Entry!$C$1909="","",[2]Entry!$C$1909)</f>
        <v/>
      </c>
      <c r="K1906" t="str">
        <f>IF([2]Entry!$D$1909="","",[2]Entry!$D$1909)</f>
        <v/>
      </c>
      <c r="L1906" t="str">
        <f>IF([2]Entry!$E$1909="","",[2]Entry!$E$1909)</f>
        <v/>
      </c>
      <c r="M1906" t="str">
        <f>IF([2]Entry!$G$1909="","",[2]Entry!$G$1909)</f>
        <v/>
      </c>
      <c r="N1906" t="str">
        <f>IF([2]Entry!$M$1909="","",[2]Entry!$M$1909)</f>
        <v/>
      </c>
      <c r="O1906" t="str">
        <f>IF([2]Entry!$N$1909="","",[2]Entry!$N$1909)</f>
        <v/>
      </c>
      <c r="P1906" t="str">
        <f>IF([2]Entry!$R$1909="","",[2]Entry!$R$1909)</f>
        <v/>
      </c>
    </row>
    <row r="1907" spans="10:16" x14ac:dyDescent="0.2">
      <c r="J1907" t="str">
        <f>IF([2]Entry!$C$1910="","",[2]Entry!$C$1910)</f>
        <v/>
      </c>
      <c r="K1907" t="str">
        <f>IF([2]Entry!$D$1910="","",[2]Entry!$D$1910)</f>
        <v/>
      </c>
      <c r="L1907" t="str">
        <f>IF([2]Entry!$E$1910="","",[2]Entry!$E$1910)</f>
        <v/>
      </c>
      <c r="M1907" t="str">
        <f>IF([2]Entry!$G$1910="","",[2]Entry!$G$1910)</f>
        <v/>
      </c>
      <c r="N1907" t="str">
        <f>IF([2]Entry!$M$1910="","",[2]Entry!$M$1910)</f>
        <v/>
      </c>
      <c r="O1907" t="str">
        <f>IF([2]Entry!$N$1910="","",[2]Entry!$N$1910)</f>
        <v/>
      </c>
      <c r="P1907" t="str">
        <f>IF([2]Entry!$R$1910="","",[2]Entry!$R$1910)</f>
        <v/>
      </c>
    </row>
    <row r="1908" spans="10:16" x14ac:dyDescent="0.2">
      <c r="J1908" t="str">
        <f>IF([2]Entry!$C$1911="","",[2]Entry!$C$1911)</f>
        <v/>
      </c>
      <c r="K1908" t="str">
        <f>IF([2]Entry!$D$1911="","",[2]Entry!$D$1911)</f>
        <v/>
      </c>
      <c r="L1908" t="str">
        <f>IF([2]Entry!$E$1911="","",[2]Entry!$E$1911)</f>
        <v/>
      </c>
      <c r="M1908" t="str">
        <f>IF([2]Entry!$G$1911="","",[2]Entry!$G$1911)</f>
        <v/>
      </c>
      <c r="N1908" t="str">
        <f>IF([2]Entry!$M$1911="","",[2]Entry!$M$1911)</f>
        <v/>
      </c>
      <c r="O1908" t="str">
        <f>IF([2]Entry!$N$1911="","",[2]Entry!$N$1911)</f>
        <v/>
      </c>
      <c r="P1908" t="str">
        <f>IF([2]Entry!$R$1911="","",[2]Entry!$R$1911)</f>
        <v/>
      </c>
    </row>
    <row r="1909" spans="10:16" x14ac:dyDescent="0.2">
      <c r="J1909" t="str">
        <f>IF([2]Entry!$C$1912="","",[2]Entry!$C$1912)</f>
        <v/>
      </c>
      <c r="K1909" t="str">
        <f>IF([2]Entry!$D$1912="","",[2]Entry!$D$1912)</f>
        <v/>
      </c>
      <c r="L1909" t="str">
        <f>IF([2]Entry!$E$1912="","",[2]Entry!$E$1912)</f>
        <v/>
      </c>
      <c r="M1909" t="str">
        <f>IF([2]Entry!$G$1912="","",[2]Entry!$G$1912)</f>
        <v/>
      </c>
      <c r="N1909" t="str">
        <f>IF([2]Entry!$M$1912="","",[2]Entry!$M$1912)</f>
        <v/>
      </c>
      <c r="O1909" t="str">
        <f>IF([2]Entry!$N$1912="","",[2]Entry!$N$1912)</f>
        <v/>
      </c>
      <c r="P1909" t="str">
        <f>IF([2]Entry!$R$1912="","",[2]Entry!$R$1912)</f>
        <v/>
      </c>
    </row>
    <row r="1910" spans="10:16" x14ac:dyDescent="0.2">
      <c r="J1910" t="str">
        <f>IF([2]Entry!$C$1913="","",[2]Entry!$C$1913)</f>
        <v/>
      </c>
      <c r="K1910" t="str">
        <f>IF([2]Entry!$D$1913="","",[2]Entry!$D$1913)</f>
        <v/>
      </c>
      <c r="L1910" t="str">
        <f>IF([2]Entry!$E$1913="","",[2]Entry!$E$1913)</f>
        <v/>
      </c>
      <c r="M1910" t="str">
        <f>IF([2]Entry!$G$1913="","",[2]Entry!$G$1913)</f>
        <v/>
      </c>
      <c r="N1910" t="str">
        <f>IF([2]Entry!$M$1913="","",[2]Entry!$M$1913)</f>
        <v/>
      </c>
      <c r="O1910" t="str">
        <f>IF([2]Entry!$N$1913="","",[2]Entry!$N$1913)</f>
        <v/>
      </c>
      <c r="P1910" t="str">
        <f>IF([2]Entry!$R$1913="","",[2]Entry!$R$1913)</f>
        <v/>
      </c>
    </row>
    <row r="1911" spans="10:16" x14ac:dyDescent="0.2">
      <c r="J1911" t="str">
        <f>IF([2]Entry!$C$1914="","",[2]Entry!$C$1914)</f>
        <v/>
      </c>
      <c r="K1911" t="str">
        <f>IF([2]Entry!$D$1914="","",[2]Entry!$D$1914)</f>
        <v/>
      </c>
      <c r="L1911" t="str">
        <f>IF([2]Entry!$E$1914="","",[2]Entry!$E$1914)</f>
        <v/>
      </c>
      <c r="M1911" t="str">
        <f>IF([2]Entry!$G$1914="","",[2]Entry!$G$1914)</f>
        <v/>
      </c>
      <c r="N1911" t="str">
        <f>IF([2]Entry!$M$1914="","",[2]Entry!$M$1914)</f>
        <v/>
      </c>
      <c r="O1911" t="str">
        <f>IF([2]Entry!$N$1914="","",[2]Entry!$N$1914)</f>
        <v/>
      </c>
      <c r="P1911" t="str">
        <f>IF([2]Entry!$R$1914="","",[2]Entry!$R$1914)</f>
        <v/>
      </c>
    </row>
    <row r="1912" spans="10:16" x14ac:dyDescent="0.2">
      <c r="J1912" t="str">
        <f>IF([2]Entry!$C$1915="","",[2]Entry!$C$1915)</f>
        <v/>
      </c>
      <c r="K1912" t="str">
        <f>IF([2]Entry!$D$1915="","",[2]Entry!$D$1915)</f>
        <v/>
      </c>
      <c r="L1912" t="str">
        <f>IF([2]Entry!$E$1915="","",[2]Entry!$E$1915)</f>
        <v/>
      </c>
      <c r="M1912" t="str">
        <f>IF([2]Entry!$G$1915="","",[2]Entry!$G$1915)</f>
        <v/>
      </c>
      <c r="N1912" t="str">
        <f>IF([2]Entry!$M$1915="","",[2]Entry!$M$1915)</f>
        <v/>
      </c>
      <c r="O1912" t="str">
        <f>IF([2]Entry!$N$1915="","",[2]Entry!$N$1915)</f>
        <v/>
      </c>
      <c r="P1912" t="str">
        <f>IF([2]Entry!$R$1915="","",[2]Entry!$R$1915)</f>
        <v/>
      </c>
    </row>
    <row r="1913" spans="10:16" x14ac:dyDescent="0.2">
      <c r="J1913" t="str">
        <f>IF([2]Entry!$C$1916="","",[2]Entry!$C$1916)</f>
        <v/>
      </c>
      <c r="K1913" t="str">
        <f>IF([2]Entry!$D$1916="","",[2]Entry!$D$1916)</f>
        <v/>
      </c>
      <c r="L1913" t="str">
        <f>IF([2]Entry!$E$1916="","",[2]Entry!$E$1916)</f>
        <v/>
      </c>
      <c r="M1913" t="str">
        <f>IF([2]Entry!$G$1916="","",[2]Entry!$G$1916)</f>
        <v/>
      </c>
      <c r="N1913" t="str">
        <f>IF([2]Entry!$M$1916="","",[2]Entry!$M$1916)</f>
        <v/>
      </c>
      <c r="O1913" t="str">
        <f>IF([2]Entry!$N$1916="","",[2]Entry!$N$1916)</f>
        <v/>
      </c>
      <c r="P1913" t="str">
        <f>IF([2]Entry!$R$1916="","",[2]Entry!$R$1916)</f>
        <v/>
      </c>
    </row>
    <row r="1914" spans="10:16" x14ac:dyDescent="0.2">
      <c r="J1914" t="str">
        <f>IF([2]Entry!$C$1917="","",[2]Entry!$C$1917)</f>
        <v/>
      </c>
      <c r="K1914" t="str">
        <f>IF([2]Entry!$D$1917="","",[2]Entry!$D$1917)</f>
        <v/>
      </c>
      <c r="L1914" t="str">
        <f>IF([2]Entry!$E$1917="","",[2]Entry!$E$1917)</f>
        <v/>
      </c>
      <c r="M1914" t="str">
        <f>IF([2]Entry!$G$1917="","",[2]Entry!$G$1917)</f>
        <v/>
      </c>
      <c r="N1914" t="str">
        <f>IF([2]Entry!$M$1917="","",[2]Entry!$M$1917)</f>
        <v/>
      </c>
      <c r="O1914" t="str">
        <f>IF([2]Entry!$N$1917="","",[2]Entry!$N$1917)</f>
        <v/>
      </c>
      <c r="P1914" t="str">
        <f>IF([2]Entry!$R$1917="","",[2]Entry!$R$1917)</f>
        <v/>
      </c>
    </row>
    <row r="1915" spans="10:16" x14ac:dyDescent="0.2">
      <c r="J1915" t="str">
        <f>IF([2]Entry!$C$1918="","",[2]Entry!$C$1918)</f>
        <v/>
      </c>
      <c r="K1915" t="str">
        <f>IF([2]Entry!$D$1918="","",[2]Entry!$D$1918)</f>
        <v/>
      </c>
      <c r="L1915" t="str">
        <f>IF([2]Entry!$E$1918="","",[2]Entry!$E$1918)</f>
        <v/>
      </c>
      <c r="M1915" t="str">
        <f>IF([2]Entry!$G$1918="","",[2]Entry!$G$1918)</f>
        <v/>
      </c>
      <c r="N1915" t="str">
        <f>IF([2]Entry!$M$1918="","",[2]Entry!$M$1918)</f>
        <v/>
      </c>
      <c r="O1915" t="str">
        <f>IF([2]Entry!$N$1918="","",[2]Entry!$N$1918)</f>
        <v/>
      </c>
      <c r="P1915" t="str">
        <f>IF([2]Entry!$R$1918="","",[2]Entry!$R$1918)</f>
        <v/>
      </c>
    </row>
    <row r="1916" spans="10:16" x14ac:dyDescent="0.2">
      <c r="J1916" t="str">
        <f>IF([2]Entry!$C$1919="","",[2]Entry!$C$1919)</f>
        <v/>
      </c>
      <c r="K1916" t="str">
        <f>IF([2]Entry!$D$1919="","",[2]Entry!$D$1919)</f>
        <v/>
      </c>
      <c r="L1916" t="str">
        <f>IF([2]Entry!$E$1919="","",[2]Entry!$E$1919)</f>
        <v/>
      </c>
      <c r="M1916" t="str">
        <f>IF([2]Entry!$G$1919="","",[2]Entry!$G$1919)</f>
        <v/>
      </c>
      <c r="N1916" t="str">
        <f>IF([2]Entry!$M$1919="","",[2]Entry!$M$1919)</f>
        <v/>
      </c>
      <c r="O1916" t="str">
        <f>IF([2]Entry!$N$1919="","",[2]Entry!$N$1919)</f>
        <v/>
      </c>
      <c r="P1916" t="str">
        <f>IF([2]Entry!$R$1919="","",[2]Entry!$R$1919)</f>
        <v/>
      </c>
    </row>
    <row r="1917" spans="10:16" x14ac:dyDescent="0.2">
      <c r="J1917" t="str">
        <f>IF([2]Entry!$C$1920="","",[2]Entry!$C$1920)</f>
        <v/>
      </c>
      <c r="K1917" t="str">
        <f>IF([2]Entry!$D$1920="","",[2]Entry!$D$1920)</f>
        <v/>
      </c>
      <c r="L1917" t="str">
        <f>IF([2]Entry!$E$1920="","",[2]Entry!$E$1920)</f>
        <v/>
      </c>
      <c r="M1917" t="str">
        <f>IF([2]Entry!$G$1920="","",[2]Entry!$G$1920)</f>
        <v/>
      </c>
      <c r="N1917" t="str">
        <f>IF([2]Entry!$M$1920="","",[2]Entry!$M$1920)</f>
        <v/>
      </c>
      <c r="O1917" t="str">
        <f>IF([2]Entry!$N$1920="","",[2]Entry!$N$1920)</f>
        <v/>
      </c>
      <c r="P1917" t="str">
        <f>IF([2]Entry!$R$1920="","",[2]Entry!$R$1920)</f>
        <v/>
      </c>
    </row>
    <row r="1918" spans="10:16" x14ac:dyDescent="0.2">
      <c r="J1918" t="str">
        <f>IF([2]Entry!$C$1921="","",[2]Entry!$C$1921)</f>
        <v/>
      </c>
      <c r="K1918" t="str">
        <f>IF([2]Entry!$D$1921="","",[2]Entry!$D$1921)</f>
        <v/>
      </c>
      <c r="L1918" t="str">
        <f>IF([2]Entry!$E$1921="","",[2]Entry!$E$1921)</f>
        <v/>
      </c>
      <c r="M1918" t="str">
        <f>IF([2]Entry!$G$1921="","",[2]Entry!$G$1921)</f>
        <v/>
      </c>
      <c r="N1918" t="str">
        <f>IF([2]Entry!$M$1921="","",[2]Entry!$M$1921)</f>
        <v/>
      </c>
      <c r="O1918" t="str">
        <f>IF([2]Entry!$N$1921="","",[2]Entry!$N$1921)</f>
        <v/>
      </c>
      <c r="P1918" t="str">
        <f>IF([2]Entry!$R$1921="","",[2]Entry!$R$1921)</f>
        <v/>
      </c>
    </row>
    <row r="1919" spans="10:16" x14ac:dyDescent="0.2">
      <c r="J1919" t="str">
        <f>IF([2]Entry!$C$1922="","",[2]Entry!$C$1922)</f>
        <v/>
      </c>
      <c r="K1919" t="str">
        <f>IF([2]Entry!$D$1922="","",[2]Entry!$D$1922)</f>
        <v/>
      </c>
      <c r="L1919" t="str">
        <f>IF([2]Entry!$E$1922="","",[2]Entry!$E$1922)</f>
        <v/>
      </c>
      <c r="M1919" t="str">
        <f>IF([2]Entry!$G$1922="","",[2]Entry!$G$1922)</f>
        <v/>
      </c>
      <c r="N1919" t="str">
        <f>IF([2]Entry!$M$1922="","",[2]Entry!$M$1922)</f>
        <v/>
      </c>
      <c r="O1919" t="str">
        <f>IF([2]Entry!$N$1922="","",[2]Entry!$N$1922)</f>
        <v/>
      </c>
      <c r="P1919" t="str">
        <f>IF([2]Entry!$R$1922="","",[2]Entry!$R$1922)</f>
        <v/>
      </c>
    </row>
    <row r="1920" spans="10:16" x14ac:dyDescent="0.2">
      <c r="J1920" t="str">
        <f>IF([2]Entry!$C$1923="","",[2]Entry!$C$1923)</f>
        <v/>
      </c>
      <c r="K1920" t="str">
        <f>IF([2]Entry!$D$1923="","",[2]Entry!$D$1923)</f>
        <v/>
      </c>
      <c r="L1920" t="str">
        <f>IF([2]Entry!$E$1923="","",[2]Entry!$E$1923)</f>
        <v/>
      </c>
      <c r="M1920" t="str">
        <f>IF([2]Entry!$G$1923="","",[2]Entry!$G$1923)</f>
        <v/>
      </c>
      <c r="N1920" t="str">
        <f>IF([2]Entry!$M$1923="","",[2]Entry!$M$1923)</f>
        <v/>
      </c>
      <c r="O1920" t="str">
        <f>IF([2]Entry!$N$1923="","",[2]Entry!$N$1923)</f>
        <v/>
      </c>
      <c r="P1920" t="str">
        <f>IF([2]Entry!$R$1923="","",[2]Entry!$R$1923)</f>
        <v/>
      </c>
    </row>
    <row r="1921" spans="10:16" x14ac:dyDescent="0.2">
      <c r="J1921" t="str">
        <f>IF([2]Entry!$C$1924="","",[2]Entry!$C$1924)</f>
        <v/>
      </c>
      <c r="K1921" t="str">
        <f>IF([2]Entry!$D$1924="","",[2]Entry!$D$1924)</f>
        <v/>
      </c>
      <c r="L1921" t="str">
        <f>IF([2]Entry!$E$1924="","",[2]Entry!$E$1924)</f>
        <v/>
      </c>
      <c r="M1921" t="str">
        <f>IF([2]Entry!$G$1924="","",[2]Entry!$G$1924)</f>
        <v/>
      </c>
      <c r="N1921" t="str">
        <f>IF([2]Entry!$M$1924="","",[2]Entry!$M$1924)</f>
        <v/>
      </c>
      <c r="O1921" t="str">
        <f>IF([2]Entry!$N$1924="","",[2]Entry!$N$1924)</f>
        <v/>
      </c>
      <c r="P1921" t="str">
        <f>IF([2]Entry!$R$1924="","",[2]Entry!$R$1924)</f>
        <v/>
      </c>
    </row>
    <row r="1922" spans="10:16" x14ac:dyDescent="0.2">
      <c r="J1922" t="str">
        <f>IF([2]Entry!$C$1925="","",[2]Entry!$C$1925)</f>
        <v/>
      </c>
      <c r="K1922" t="str">
        <f>IF([2]Entry!$D$1925="","",[2]Entry!$D$1925)</f>
        <v/>
      </c>
      <c r="L1922" t="str">
        <f>IF([2]Entry!$E$1925="","",[2]Entry!$E$1925)</f>
        <v/>
      </c>
      <c r="M1922" t="str">
        <f>IF([2]Entry!$G$1925="","",[2]Entry!$G$1925)</f>
        <v/>
      </c>
      <c r="N1922" t="str">
        <f>IF([2]Entry!$M$1925="","",[2]Entry!$M$1925)</f>
        <v/>
      </c>
      <c r="O1922" t="str">
        <f>IF([2]Entry!$N$1925="","",[2]Entry!$N$1925)</f>
        <v/>
      </c>
      <c r="P1922" t="str">
        <f>IF([2]Entry!$R$1925="","",[2]Entry!$R$1925)</f>
        <v/>
      </c>
    </row>
    <row r="1923" spans="10:16" x14ac:dyDescent="0.2">
      <c r="J1923" t="str">
        <f>IF([2]Entry!$C$1926="","",[2]Entry!$C$1926)</f>
        <v/>
      </c>
      <c r="K1923" t="str">
        <f>IF([2]Entry!$D$1926="","",[2]Entry!$D$1926)</f>
        <v/>
      </c>
      <c r="L1923" t="str">
        <f>IF([2]Entry!$E$1926="","",[2]Entry!$E$1926)</f>
        <v/>
      </c>
      <c r="M1923" t="str">
        <f>IF([2]Entry!$G$1926="","",[2]Entry!$G$1926)</f>
        <v/>
      </c>
      <c r="N1923" t="str">
        <f>IF([2]Entry!$M$1926="","",[2]Entry!$M$1926)</f>
        <v/>
      </c>
      <c r="O1923" t="str">
        <f>IF([2]Entry!$N$1926="","",[2]Entry!$N$1926)</f>
        <v/>
      </c>
      <c r="P1923" t="str">
        <f>IF([2]Entry!$R$1926="","",[2]Entry!$R$1926)</f>
        <v/>
      </c>
    </row>
    <row r="1924" spans="10:16" x14ac:dyDescent="0.2">
      <c r="J1924" t="str">
        <f>IF([2]Entry!$C$1927="","",[2]Entry!$C$1927)</f>
        <v/>
      </c>
      <c r="K1924" t="str">
        <f>IF([2]Entry!$D$1927="","",[2]Entry!$D$1927)</f>
        <v/>
      </c>
      <c r="L1924" t="str">
        <f>IF([2]Entry!$E$1927="","",[2]Entry!$E$1927)</f>
        <v/>
      </c>
      <c r="M1924" t="str">
        <f>IF([2]Entry!$G$1927="","",[2]Entry!$G$1927)</f>
        <v/>
      </c>
      <c r="N1924" t="str">
        <f>IF([2]Entry!$M$1927="","",[2]Entry!$M$1927)</f>
        <v/>
      </c>
      <c r="O1924" t="str">
        <f>IF([2]Entry!$N$1927="","",[2]Entry!$N$1927)</f>
        <v/>
      </c>
      <c r="P1924" t="str">
        <f>IF([2]Entry!$R$1927="","",[2]Entry!$R$1927)</f>
        <v/>
      </c>
    </row>
    <row r="1925" spans="10:16" x14ac:dyDescent="0.2">
      <c r="J1925" t="str">
        <f>IF([2]Entry!$C$1928="","",[2]Entry!$C$1928)</f>
        <v/>
      </c>
      <c r="K1925" t="str">
        <f>IF([2]Entry!$D$1928="","",[2]Entry!$D$1928)</f>
        <v/>
      </c>
      <c r="L1925" t="str">
        <f>IF([2]Entry!$E$1928="","",[2]Entry!$E$1928)</f>
        <v/>
      </c>
      <c r="M1925" t="str">
        <f>IF([2]Entry!$G$1928="","",[2]Entry!$G$1928)</f>
        <v/>
      </c>
      <c r="N1925" t="str">
        <f>IF([2]Entry!$M$1928="","",[2]Entry!$M$1928)</f>
        <v/>
      </c>
      <c r="O1925" t="str">
        <f>IF([2]Entry!$N$1928="","",[2]Entry!$N$1928)</f>
        <v/>
      </c>
      <c r="P1925" t="str">
        <f>IF([2]Entry!$R$1928="","",[2]Entry!$R$1928)</f>
        <v/>
      </c>
    </row>
    <row r="1926" spans="10:16" x14ac:dyDescent="0.2">
      <c r="J1926" t="str">
        <f>IF([2]Entry!$C$1929="","",[2]Entry!$C$1929)</f>
        <v/>
      </c>
      <c r="K1926" t="str">
        <f>IF([2]Entry!$D$1929="","",[2]Entry!$D$1929)</f>
        <v/>
      </c>
      <c r="L1926" t="str">
        <f>IF([2]Entry!$E$1929="","",[2]Entry!$E$1929)</f>
        <v/>
      </c>
      <c r="M1926" t="str">
        <f>IF([2]Entry!$G$1929="","",[2]Entry!$G$1929)</f>
        <v/>
      </c>
      <c r="N1926" t="str">
        <f>IF([2]Entry!$M$1929="","",[2]Entry!$M$1929)</f>
        <v/>
      </c>
      <c r="O1926" t="str">
        <f>IF([2]Entry!$N$1929="","",[2]Entry!$N$1929)</f>
        <v/>
      </c>
      <c r="P1926" t="str">
        <f>IF([2]Entry!$R$1929="","",[2]Entry!$R$1929)</f>
        <v/>
      </c>
    </row>
    <row r="1927" spans="10:16" x14ac:dyDescent="0.2">
      <c r="J1927" t="str">
        <f>IF([2]Entry!$C$1930="","",[2]Entry!$C$1930)</f>
        <v/>
      </c>
      <c r="K1927" t="str">
        <f>IF([2]Entry!$D$1930="","",[2]Entry!$D$1930)</f>
        <v/>
      </c>
      <c r="L1927" t="str">
        <f>IF([2]Entry!$E$1930="","",[2]Entry!$E$1930)</f>
        <v/>
      </c>
      <c r="M1927" t="str">
        <f>IF([2]Entry!$G$1930="","",[2]Entry!$G$1930)</f>
        <v/>
      </c>
      <c r="N1927" t="str">
        <f>IF([2]Entry!$M$1930="","",[2]Entry!$M$1930)</f>
        <v/>
      </c>
      <c r="O1927" t="str">
        <f>IF([2]Entry!$N$1930="","",[2]Entry!$N$1930)</f>
        <v/>
      </c>
      <c r="P1927" t="str">
        <f>IF([2]Entry!$R$1930="","",[2]Entry!$R$1930)</f>
        <v/>
      </c>
    </row>
    <row r="1928" spans="10:16" x14ac:dyDescent="0.2">
      <c r="J1928" t="str">
        <f>IF([2]Entry!$C$1931="","",[2]Entry!$C$1931)</f>
        <v/>
      </c>
      <c r="K1928" t="str">
        <f>IF([2]Entry!$D$1931="","",[2]Entry!$D$1931)</f>
        <v/>
      </c>
      <c r="L1928" t="str">
        <f>IF([2]Entry!$E$1931="","",[2]Entry!$E$1931)</f>
        <v/>
      </c>
      <c r="M1928" t="str">
        <f>IF([2]Entry!$G$1931="","",[2]Entry!$G$1931)</f>
        <v/>
      </c>
      <c r="N1928" t="str">
        <f>IF([2]Entry!$M$1931="","",[2]Entry!$M$1931)</f>
        <v/>
      </c>
      <c r="O1928" t="str">
        <f>IF([2]Entry!$N$1931="","",[2]Entry!$N$1931)</f>
        <v/>
      </c>
      <c r="P1928" t="str">
        <f>IF([2]Entry!$R$1931="","",[2]Entry!$R$1931)</f>
        <v/>
      </c>
    </row>
    <row r="1929" spans="10:16" x14ac:dyDescent="0.2">
      <c r="J1929" t="str">
        <f>IF([2]Entry!$C$1932="","",[2]Entry!$C$1932)</f>
        <v/>
      </c>
      <c r="K1929" t="str">
        <f>IF([2]Entry!$D$1932="","",[2]Entry!$D$1932)</f>
        <v/>
      </c>
      <c r="L1929" t="str">
        <f>IF([2]Entry!$E$1932="","",[2]Entry!$E$1932)</f>
        <v/>
      </c>
      <c r="M1929" t="str">
        <f>IF([2]Entry!$G$1932="","",[2]Entry!$G$1932)</f>
        <v/>
      </c>
      <c r="N1929" t="str">
        <f>IF([2]Entry!$M$1932="","",[2]Entry!$M$1932)</f>
        <v/>
      </c>
      <c r="O1929" t="str">
        <f>IF([2]Entry!$N$1932="","",[2]Entry!$N$1932)</f>
        <v/>
      </c>
      <c r="P1929" t="str">
        <f>IF([2]Entry!$R$1932="","",[2]Entry!$R$1932)</f>
        <v/>
      </c>
    </row>
    <row r="1930" spans="10:16" x14ac:dyDescent="0.2">
      <c r="J1930" t="str">
        <f>IF([2]Entry!$C$1933="","",[2]Entry!$C$1933)</f>
        <v/>
      </c>
      <c r="K1930" t="str">
        <f>IF([2]Entry!$D$1933="","",[2]Entry!$D$1933)</f>
        <v/>
      </c>
      <c r="L1930" t="str">
        <f>IF([2]Entry!$E$1933="","",[2]Entry!$E$1933)</f>
        <v/>
      </c>
      <c r="M1930" t="str">
        <f>IF([2]Entry!$G$1933="","",[2]Entry!$G$1933)</f>
        <v/>
      </c>
      <c r="N1930" t="str">
        <f>IF([2]Entry!$M$1933="","",[2]Entry!$M$1933)</f>
        <v/>
      </c>
      <c r="O1930" t="str">
        <f>IF([2]Entry!$N$1933="","",[2]Entry!$N$1933)</f>
        <v/>
      </c>
      <c r="P1930" t="str">
        <f>IF([2]Entry!$R$1933="","",[2]Entry!$R$1933)</f>
        <v/>
      </c>
    </row>
    <row r="1931" spans="10:16" x14ac:dyDescent="0.2">
      <c r="J1931" t="str">
        <f>IF([2]Entry!$C$1934="","",[2]Entry!$C$1934)</f>
        <v/>
      </c>
      <c r="K1931" t="str">
        <f>IF([2]Entry!$D$1934="","",[2]Entry!$D$1934)</f>
        <v/>
      </c>
      <c r="L1931" t="str">
        <f>IF([2]Entry!$E$1934="","",[2]Entry!$E$1934)</f>
        <v/>
      </c>
      <c r="M1931" t="str">
        <f>IF([2]Entry!$G$1934="","",[2]Entry!$G$1934)</f>
        <v/>
      </c>
      <c r="N1931" t="str">
        <f>IF([2]Entry!$M$1934="","",[2]Entry!$M$1934)</f>
        <v/>
      </c>
      <c r="O1931" t="str">
        <f>IF([2]Entry!$N$1934="","",[2]Entry!$N$1934)</f>
        <v/>
      </c>
      <c r="P1931" t="str">
        <f>IF([2]Entry!$R$1934="","",[2]Entry!$R$1934)</f>
        <v/>
      </c>
    </row>
    <row r="1932" spans="10:16" x14ac:dyDescent="0.2">
      <c r="J1932" t="str">
        <f>IF([2]Entry!$C$1935="","",[2]Entry!$C$1935)</f>
        <v/>
      </c>
      <c r="K1932" t="str">
        <f>IF([2]Entry!$D$1935="","",[2]Entry!$D$1935)</f>
        <v/>
      </c>
      <c r="L1932" t="str">
        <f>IF([2]Entry!$E$1935="","",[2]Entry!$E$1935)</f>
        <v/>
      </c>
      <c r="M1932" t="str">
        <f>IF([2]Entry!$G$1935="","",[2]Entry!$G$1935)</f>
        <v/>
      </c>
      <c r="N1932" t="str">
        <f>IF([2]Entry!$M$1935="","",[2]Entry!$M$1935)</f>
        <v/>
      </c>
      <c r="O1932" t="str">
        <f>IF([2]Entry!$N$1935="","",[2]Entry!$N$1935)</f>
        <v/>
      </c>
      <c r="P1932" t="str">
        <f>IF([2]Entry!$R$1935="","",[2]Entry!$R$1935)</f>
        <v/>
      </c>
    </row>
    <row r="1933" spans="10:16" x14ac:dyDescent="0.2">
      <c r="J1933" t="str">
        <f>IF([2]Entry!$C$1936="","",[2]Entry!$C$1936)</f>
        <v/>
      </c>
      <c r="K1933" t="str">
        <f>IF([2]Entry!$D$1936="","",[2]Entry!$D$1936)</f>
        <v/>
      </c>
      <c r="L1933" t="str">
        <f>IF([2]Entry!$E$1936="","",[2]Entry!$E$1936)</f>
        <v/>
      </c>
      <c r="M1933" t="str">
        <f>IF([2]Entry!$G$1936="","",[2]Entry!$G$1936)</f>
        <v/>
      </c>
      <c r="N1933" t="str">
        <f>IF([2]Entry!$M$1936="","",[2]Entry!$M$1936)</f>
        <v/>
      </c>
      <c r="O1933" t="str">
        <f>IF([2]Entry!$N$1936="","",[2]Entry!$N$1936)</f>
        <v/>
      </c>
      <c r="P1933" t="str">
        <f>IF([2]Entry!$R$1936="","",[2]Entry!$R$1936)</f>
        <v/>
      </c>
    </row>
    <row r="1934" spans="10:16" x14ac:dyDescent="0.2">
      <c r="J1934" t="str">
        <f>IF([2]Entry!$C$1937="","",[2]Entry!$C$1937)</f>
        <v/>
      </c>
      <c r="K1934" t="str">
        <f>IF([2]Entry!$D$1937="","",[2]Entry!$D$1937)</f>
        <v/>
      </c>
      <c r="L1934" t="str">
        <f>IF([2]Entry!$E$1937="","",[2]Entry!$E$1937)</f>
        <v/>
      </c>
      <c r="M1934" t="str">
        <f>IF([2]Entry!$G$1937="","",[2]Entry!$G$1937)</f>
        <v/>
      </c>
      <c r="N1934" t="str">
        <f>IF([2]Entry!$M$1937="","",[2]Entry!$M$1937)</f>
        <v/>
      </c>
      <c r="O1934" t="str">
        <f>IF([2]Entry!$N$1937="","",[2]Entry!$N$1937)</f>
        <v/>
      </c>
      <c r="P1934" t="str">
        <f>IF([2]Entry!$R$1937="","",[2]Entry!$R$1937)</f>
        <v/>
      </c>
    </row>
    <row r="1935" spans="10:16" x14ac:dyDescent="0.2">
      <c r="J1935" t="str">
        <f>IF([2]Entry!$C$1938="","",[2]Entry!$C$1938)</f>
        <v/>
      </c>
      <c r="K1935" t="str">
        <f>IF([2]Entry!$D$1938="","",[2]Entry!$D$1938)</f>
        <v/>
      </c>
      <c r="L1935" t="str">
        <f>IF([2]Entry!$E$1938="","",[2]Entry!$E$1938)</f>
        <v/>
      </c>
      <c r="M1935" t="str">
        <f>IF([2]Entry!$G$1938="","",[2]Entry!$G$1938)</f>
        <v/>
      </c>
      <c r="N1935" t="str">
        <f>IF([2]Entry!$M$1938="","",[2]Entry!$M$1938)</f>
        <v/>
      </c>
      <c r="O1935" t="str">
        <f>IF([2]Entry!$N$1938="","",[2]Entry!$N$1938)</f>
        <v/>
      </c>
      <c r="P1935" t="str">
        <f>IF([2]Entry!$R$1938="","",[2]Entry!$R$1938)</f>
        <v/>
      </c>
    </row>
    <row r="1936" spans="10:16" x14ac:dyDescent="0.2">
      <c r="J1936" t="str">
        <f>IF([2]Entry!$C$1939="","",[2]Entry!$C$1939)</f>
        <v/>
      </c>
      <c r="K1936" t="str">
        <f>IF([2]Entry!$D$1939="","",[2]Entry!$D$1939)</f>
        <v/>
      </c>
      <c r="L1936" t="str">
        <f>IF([2]Entry!$E$1939="","",[2]Entry!$E$1939)</f>
        <v/>
      </c>
      <c r="M1936" t="str">
        <f>IF([2]Entry!$G$1939="","",[2]Entry!$G$1939)</f>
        <v/>
      </c>
      <c r="N1936" t="str">
        <f>IF([2]Entry!$M$1939="","",[2]Entry!$M$1939)</f>
        <v/>
      </c>
      <c r="O1936" t="str">
        <f>IF([2]Entry!$N$1939="","",[2]Entry!$N$1939)</f>
        <v/>
      </c>
      <c r="P1936" t="str">
        <f>IF([2]Entry!$R$1939="","",[2]Entry!$R$1939)</f>
        <v/>
      </c>
    </row>
    <row r="1937" spans="10:16" x14ac:dyDescent="0.2">
      <c r="J1937" t="str">
        <f>IF([2]Entry!$C$1940="","",[2]Entry!$C$1940)</f>
        <v/>
      </c>
      <c r="K1937" t="str">
        <f>IF([2]Entry!$D$1940="","",[2]Entry!$D$1940)</f>
        <v/>
      </c>
      <c r="L1937" t="str">
        <f>IF([2]Entry!$E$1940="","",[2]Entry!$E$1940)</f>
        <v/>
      </c>
      <c r="M1937" t="str">
        <f>IF([2]Entry!$G$1940="","",[2]Entry!$G$1940)</f>
        <v/>
      </c>
      <c r="N1937" t="str">
        <f>IF([2]Entry!$M$1940="","",[2]Entry!$M$1940)</f>
        <v/>
      </c>
      <c r="O1937" t="str">
        <f>IF([2]Entry!$N$1940="","",[2]Entry!$N$1940)</f>
        <v/>
      </c>
      <c r="P1937" t="str">
        <f>IF([2]Entry!$R$1940="","",[2]Entry!$R$1940)</f>
        <v/>
      </c>
    </row>
    <row r="1938" spans="10:16" x14ac:dyDescent="0.2">
      <c r="J1938" t="str">
        <f>IF([2]Entry!$C$1941="","",[2]Entry!$C$1941)</f>
        <v/>
      </c>
      <c r="K1938" t="str">
        <f>IF([2]Entry!$D$1941="","",[2]Entry!$D$1941)</f>
        <v/>
      </c>
      <c r="L1938" t="str">
        <f>IF([2]Entry!$E$1941="","",[2]Entry!$E$1941)</f>
        <v/>
      </c>
      <c r="M1938" t="str">
        <f>IF([2]Entry!$G$1941="","",[2]Entry!$G$1941)</f>
        <v/>
      </c>
      <c r="N1938" t="str">
        <f>IF([2]Entry!$M$1941="","",[2]Entry!$M$1941)</f>
        <v/>
      </c>
      <c r="O1938" t="str">
        <f>IF([2]Entry!$N$1941="","",[2]Entry!$N$1941)</f>
        <v/>
      </c>
      <c r="P1938" t="str">
        <f>IF([2]Entry!$R$1941="","",[2]Entry!$R$1941)</f>
        <v/>
      </c>
    </row>
    <row r="1939" spans="10:16" x14ac:dyDescent="0.2">
      <c r="J1939" t="str">
        <f>IF([2]Entry!$C$1942="","",[2]Entry!$C$1942)</f>
        <v/>
      </c>
      <c r="K1939" t="str">
        <f>IF([2]Entry!$D$1942="","",[2]Entry!$D$1942)</f>
        <v/>
      </c>
      <c r="L1939" t="str">
        <f>IF([2]Entry!$E$1942="","",[2]Entry!$E$1942)</f>
        <v/>
      </c>
      <c r="M1939" t="str">
        <f>IF([2]Entry!$G$1942="","",[2]Entry!$G$1942)</f>
        <v/>
      </c>
      <c r="N1939" t="str">
        <f>IF([2]Entry!$M$1942="","",[2]Entry!$M$1942)</f>
        <v/>
      </c>
      <c r="O1939" t="str">
        <f>IF([2]Entry!$N$1942="","",[2]Entry!$N$1942)</f>
        <v/>
      </c>
      <c r="P1939" t="str">
        <f>IF([2]Entry!$R$1942="","",[2]Entry!$R$1942)</f>
        <v/>
      </c>
    </row>
    <row r="1940" spans="10:16" x14ac:dyDescent="0.2">
      <c r="J1940" t="str">
        <f>IF([2]Entry!$C$1943="","",[2]Entry!$C$1943)</f>
        <v/>
      </c>
      <c r="K1940" t="str">
        <f>IF([2]Entry!$D$1943="","",[2]Entry!$D$1943)</f>
        <v/>
      </c>
      <c r="L1940" t="str">
        <f>IF([2]Entry!$E$1943="","",[2]Entry!$E$1943)</f>
        <v/>
      </c>
      <c r="M1940" t="str">
        <f>IF([2]Entry!$G$1943="","",[2]Entry!$G$1943)</f>
        <v/>
      </c>
      <c r="N1940" t="str">
        <f>IF([2]Entry!$M$1943="","",[2]Entry!$M$1943)</f>
        <v/>
      </c>
      <c r="O1940" t="str">
        <f>IF([2]Entry!$N$1943="","",[2]Entry!$N$1943)</f>
        <v/>
      </c>
      <c r="P1940" t="str">
        <f>IF([2]Entry!$R$1943="","",[2]Entry!$R$1943)</f>
        <v/>
      </c>
    </row>
    <row r="1941" spans="10:16" x14ac:dyDescent="0.2">
      <c r="J1941" t="str">
        <f>IF([2]Entry!$C$1944="","",[2]Entry!$C$1944)</f>
        <v/>
      </c>
      <c r="K1941" t="str">
        <f>IF([2]Entry!$D$1944="","",[2]Entry!$D$1944)</f>
        <v/>
      </c>
      <c r="L1941" t="str">
        <f>IF([2]Entry!$E$1944="","",[2]Entry!$E$1944)</f>
        <v/>
      </c>
      <c r="M1941" t="str">
        <f>IF([2]Entry!$G$1944="","",[2]Entry!$G$1944)</f>
        <v/>
      </c>
      <c r="N1941" t="str">
        <f>IF([2]Entry!$M$1944="","",[2]Entry!$M$1944)</f>
        <v/>
      </c>
      <c r="O1941" t="str">
        <f>IF([2]Entry!$N$1944="","",[2]Entry!$N$1944)</f>
        <v/>
      </c>
      <c r="P1941" t="str">
        <f>IF([2]Entry!$R$1944="","",[2]Entry!$R$1944)</f>
        <v/>
      </c>
    </row>
    <row r="1942" spans="10:16" x14ac:dyDescent="0.2">
      <c r="J1942" t="str">
        <f>IF([2]Entry!$C$1945="","",[2]Entry!$C$1945)</f>
        <v/>
      </c>
      <c r="K1942" t="str">
        <f>IF([2]Entry!$D$1945="","",[2]Entry!$D$1945)</f>
        <v/>
      </c>
      <c r="L1942" t="str">
        <f>IF([2]Entry!$E$1945="","",[2]Entry!$E$1945)</f>
        <v/>
      </c>
      <c r="M1942" t="str">
        <f>IF([2]Entry!$G$1945="","",[2]Entry!$G$1945)</f>
        <v/>
      </c>
      <c r="N1942" t="str">
        <f>IF([2]Entry!$M$1945="","",[2]Entry!$M$1945)</f>
        <v/>
      </c>
      <c r="O1942" t="str">
        <f>IF([2]Entry!$N$1945="","",[2]Entry!$N$1945)</f>
        <v/>
      </c>
      <c r="P1942" t="str">
        <f>IF([2]Entry!$R$1945="","",[2]Entry!$R$1945)</f>
        <v/>
      </c>
    </row>
    <row r="1943" spans="10:16" x14ac:dyDescent="0.2">
      <c r="J1943" t="str">
        <f>IF([2]Entry!$C$1946="","",[2]Entry!$C$1946)</f>
        <v/>
      </c>
      <c r="K1943" t="str">
        <f>IF([2]Entry!$D$1946="","",[2]Entry!$D$1946)</f>
        <v/>
      </c>
      <c r="L1943" t="str">
        <f>IF([2]Entry!$E$1946="","",[2]Entry!$E$1946)</f>
        <v/>
      </c>
      <c r="M1943" t="str">
        <f>IF([2]Entry!$G$1946="","",[2]Entry!$G$1946)</f>
        <v/>
      </c>
      <c r="N1943" t="str">
        <f>IF([2]Entry!$M$1946="","",[2]Entry!$M$1946)</f>
        <v/>
      </c>
      <c r="O1943" t="str">
        <f>IF([2]Entry!$N$1946="","",[2]Entry!$N$1946)</f>
        <v/>
      </c>
      <c r="P1943" t="str">
        <f>IF([2]Entry!$R$1946="","",[2]Entry!$R$1946)</f>
        <v/>
      </c>
    </row>
    <row r="1944" spans="10:16" x14ac:dyDescent="0.2">
      <c r="J1944" t="str">
        <f>IF([2]Entry!$C$1947="","",[2]Entry!$C$1947)</f>
        <v/>
      </c>
      <c r="K1944" t="str">
        <f>IF([2]Entry!$D$1947="","",[2]Entry!$D$1947)</f>
        <v/>
      </c>
      <c r="L1944" t="str">
        <f>IF([2]Entry!$E$1947="","",[2]Entry!$E$1947)</f>
        <v/>
      </c>
      <c r="M1944" t="str">
        <f>IF([2]Entry!$G$1947="","",[2]Entry!$G$1947)</f>
        <v/>
      </c>
      <c r="N1944" t="str">
        <f>IF([2]Entry!$M$1947="","",[2]Entry!$M$1947)</f>
        <v/>
      </c>
      <c r="O1944" t="str">
        <f>IF([2]Entry!$N$1947="","",[2]Entry!$N$1947)</f>
        <v/>
      </c>
      <c r="P1944" t="str">
        <f>IF([2]Entry!$R$1947="","",[2]Entry!$R$1947)</f>
        <v/>
      </c>
    </row>
    <row r="1945" spans="10:16" x14ac:dyDescent="0.2">
      <c r="J1945" t="str">
        <f>IF([2]Entry!$C$1948="","",[2]Entry!$C$1948)</f>
        <v/>
      </c>
      <c r="K1945" t="str">
        <f>IF([2]Entry!$D$1948="","",[2]Entry!$D$1948)</f>
        <v/>
      </c>
      <c r="L1945" t="str">
        <f>IF([2]Entry!$E$1948="","",[2]Entry!$E$1948)</f>
        <v/>
      </c>
      <c r="M1945" t="str">
        <f>IF([2]Entry!$G$1948="","",[2]Entry!$G$1948)</f>
        <v/>
      </c>
      <c r="N1945" t="str">
        <f>IF([2]Entry!$M$1948="","",[2]Entry!$M$1948)</f>
        <v/>
      </c>
      <c r="O1945" t="str">
        <f>IF([2]Entry!$N$1948="","",[2]Entry!$N$1948)</f>
        <v/>
      </c>
      <c r="P1945" t="str">
        <f>IF([2]Entry!$R$1948="","",[2]Entry!$R$1948)</f>
        <v/>
      </c>
    </row>
    <row r="1946" spans="10:16" x14ac:dyDescent="0.2">
      <c r="J1946" t="str">
        <f>IF([2]Entry!$C$1949="","",[2]Entry!$C$1949)</f>
        <v/>
      </c>
      <c r="K1946" t="str">
        <f>IF([2]Entry!$D$1949="","",[2]Entry!$D$1949)</f>
        <v/>
      </c>
      <c r="L1946" t="str">
        <f>IF([2]Entry!$E$1949="","",[2]Entry!$E$1949)</f>
        <v/>
      </c>
      <c r="M1946" t="str">
        <f>IF([2]Entry!$G$1949="","",[2]Entry!$G$1949)</f>
        <v/>
      </c>
      <c r="N1946" t="str">
        <f>IF([2]Entry!$M$1949="","",[2]Entry!$M$1949)</f>
        <v/>
      </c>
      <c r="O1946" t="str">
        <f>IF([2]Entry!$N$1949="","",[2]Entry!$N$1949)</f>
        <v/>
      </c>
      <c r="P1946" t="str">
        <f>IF([2]Entry!$R$1949="","",[2]Entry!$R$1949)</f>
        <v/>
      </c>
    </row>
    <row r="1947" spans="10:16" x14ac:dyDescent="0.2">
      <c r="J1947" t="str">
        <f>IF([2]Entry!$C$1950="","",[2]Entry!$C$1950)</f>
        <v/>
      </c>
      <c r="K1947" t="str">
        <f>IF([2]Entry!$D$1950="","",[2]Entry!$D$1950)</f>
        <v/>
      </c>
      <c r="L1947" t="str">
        <f>IF([2]Entry!$E$1950="","",[2]Entry!$E$1950)</f>
        <v/>
      </c>
      <c r="M1947" t="str">
        <f>IF([2]Entry!$G$1950="","",[2]Entry!$G$1950)</f>
        <v/>
      </c>
      <c r="N1947" t="str">
        <f>IF([2]Entry!$M$1950="","",[2]Entry!$M$1950)</f>
        <v/>
      </c>
      <c r="O1947" t="str">
        <f>IF([2]Entry!$N$1950="","",[2]Entry!$N$1950)</f>
        <v/>
      </c>
      <c r="P1947" t="str">
        <f>IF([2]Entry!$R$1950="","",[2]Entry!$R$1950)</f>
        <v/>
      </c>
    </row>
    <row r="1948" spans="10:16" x14ac:dyDescent="0.2">
      <c r="J1948" t="str">
        <f>IF([2]Entry!$C$1951="","",[2]Entry!$C$1951)</f>
        <v/>
      </c>
      <c r="K1948" t="str">
        <f>IF([2]Entry!$D$1951="","",[2]Entry!$D$1951)</f>
        <v/>
      </c>
      <c r="L1948" t="str">
        <f>IF([2]Entry!$E$1951="","",[2]Entry!$E$1951)</f>
        <v/>
      </c>
      <c r="M1948" t="str">
        <f>IF([2]Entry!$G$1951="","",[2]Entry!$G$1951)</f>
        <v/>
      </c>
      <c r="N1948" t="str">
        <f>IF([2]Entry!$M$1951="","",[2]Entry!$M$1951)</f>
        <v/>
      </c>
      <c r="O1948" t="str">
        <f>IF([2]Entry!$N$1951="","",[2]Entry!$N$1951)</f>
        <v/>
      </c>
      <c r="P1948" t="str">
        <f>IF([2]Entry!$R$1951="","",[2]Entry!$R$1951)</f>
        <v/>
      </c>
    </row>
    <row r="1949" spans="10:16" x14ac:dyDescent="0.2">
      <c r="J1949" t="str">
        <f>IF([2]Entry!$C$1952="","",[2]Entry!$C$1952)</f>
        <v/>
      </c>
      <c r="K1949" t="str">
        <f>IF([2]Entry!$D$1952="","",[2]Entry!$D$1952)</f>
        <v/>
      </c>
      <c r="L1949" t="str">
        <f>IF([2]Entry!$E$1952="","",[2]Entry!$E$1952)</f>
        <v/>
      </c>
      <c r="M1949" t="str">
        <f>IF([2]Entry!$G$1952="","",[2]Entry!$G$1952)</f>
        <v/>
      </c>
      <c r="N1949" t="str">
        <f>IF([2]Entry!$M$1952="","",[2]Entry!$M$1952)</f>
        <v/>
      </c>
      <c r="O1949" t="str">
        <f>IF([2]Entry!$N$1952="","",[2]Entry!$N$1952)</f>
        <v/>
      </c>
      <c r="P1949" t="str">
        <f>IF([2]Entry!$R$1952="","",[2]Entry!$R$1952)</f>
        <v/>
      </c>
    </row>
    <row r="1950" spans="10:16" x14ac:dyDescent="0.2">
      <c r="J1950" t="str">
        <f>IF([2]Entry!$C$1953="","",[2]Entry!$C$1953)</f>
        <v/>
      </c>
      <c r="K1950" t="str">
        <f>IF([2]Entry!$D$1953="","",[2]Entry!$D$1953)</f>
        <v/>
      </c>
      <c r="L1950" t="str">
        <f>IF([2]Entry!$E$1953="","",[2]Entry!$E$1953)</f>
        <v/>
      </c>
      <c r="M1950" t="str">
        <f>IF([2]Entry!$G$1953="","",[2]Entry!$G$1953)</f>
        <v/>
      </c>
      <c r="N1950" t="str">
        <f>IF([2]Entry!$M$1953="","",[2]Entry!$M$1953)</f>
        <v/>
      </c>
      <c r="O1950" t="str">
        <f>IF([2]Entry!$N$1953="","",[2]Entry!$N$1953)</f>
        <v/>
      </c>
      <c r="P1950" t="str">
        <f>IF([2]Entry!$R$1953="","",[2]Entry!$R$1953)</f>
        <v/>
      </c>
    </row>
    <row r="1951" spans="10:16" x14ac:dyDescent="0.2">
      <c r="J1951" t="str">
        <f>IF([2]Entry!$C$1954="","",[2]Entry!$C$1954)</f>
        <v/>
      </c>
      <c r="K1951" t="str">
        <f>IF([2]Entry!$D$1954="","",[2]Entry!$D$1954)</f>
        <v/>
      </c>
      <c r="L1951" t="str">
        <f>IF([2]Entry!$E$1954="","",[2]Entry!$E$1954)</f>
        <v/>
      </c>
      <c r="M1951" t="str">
        <f>IF([2]Entry!$G$1954="","",[2]Entry!$G$1954)</f>
        <v/>
      </c>
      <c r="N1951" t="str">
        <f>IF([2]Entry!$M$1954="","",[2]Entry!$M$1954)</f>
        <v/>
      </c>
      <c r="O1951" t="str">
        <f>IF([2]Entry!$N$1954="","",[2]Entry!$N$1954)</f>
        <v/>
      </c>
      <c r="P1951" t="str">
        <f>IF([2]Entry!$R$1954="","",[2]Entry!$R$1954)</f>
        <v/>
      </c>
    </row>
    <row r="1952" spans="10:16" x14ac:dyDescent="0.2">
      <c r="J1952" t="str">
        <f>IF([2]Entry!$C$1955="","",[2]Entry!$C$1955)</f>
        <v/>
      </c>
      <c r="K1952" t="str">
        <f>IF([2]Entry!$D$1955="","",[2]Entry!$D$1955)</f>
        <v/>
      </c>
      <c r="L1952" t="str">
        <f>IF([2]Entry!$E$1955="","",[2]Entry!$E$1955)</f>
        <v/>
      </c>
      <c r="M1952" t="str">
        <f>IF([2]Entry!$G$1955="","",[2]Entry!$G$1955)</f>
        <v/>
      </c>
      <c r="N1952" t="str">
        <f>IF([2]Entry!$M$1955="","",[2]Entry!$M$1955)</f>
        <v/>
      </c>
      <c r="O1952" t="str">
        <f>IF([2]Entry!$N$1955="","",[2]Entry!$N$1955)</f>
        <v/>
      </c>
      <c r="P1952" t="str">
        <f>IF([2]Entry!$R$1955="","",[2]Entry!$R$1955)</f>
        <v/>
      </c>
    </row>
    <row r="1953" spans="10:16" x14ac:dyDescent="0.2">
      <c r="J1953" t="str">
        <f>IF([2]Entry!$C$1956="","",[2]Entry!$C$1956)</f>
        <v/>
      </c>
      <c r="K1953" t="str">
        <f>IF([2]Entry!$D$1956="","",[2]Entry!$D$1956)</f>
        <v/>
      </c>
      <c r="L1953" t="str">
        <f>IF([2]Entry!$E$1956="","",[2]Entry!$E$1956)</f>
        <v/>
      </c>
      <c r="M1953" t="str">
        <f>IF([2]Entry!$G$1956="","",[2]Entry!$G$1956)</f>
        <v/>
      </c>
      <c r="N1953" t="str">
        <f>IF([2]Entry!$M$1956="","",[2]Entry!$M$1956)</f>
        <v/>
      </c>
      <c r="O1953" t="str">
        <f>IF([2]Entry!$N$1956="","",[2]Entry!$N$1956)</f>
        <v/>
      </c>
      <c r="P1953" t="str">
        <f>IF([2]Entry!$R$1956="","",[2]Entry!$R$1956)</f>
        <v/>
      </c>
    </row>
    <row r="1954" spans="10:16" x14ac:dyDescent="0.2">
      <c r="J1954" t="str">
        <f>IF([2]Entry!$C$1957="","",[2]Entry!$C$1957)</f>
        <v/>
      </c>
      <c r="K1954" t="str">
        <f>IF([2]Entry!$D$1957="","",[2]Entry!$D$1957)</f>
        <v/>
      </c>
      <c r="L1954" t="str">
        <f>IF([2]Entry!$E$1957="","",[2]Entry!$E$1957)</f>
        <v/>
      </c>
      <c r="M1954" t="str">
        <f>IF([2]Entry!$G$1957="","",[2]Entry!$G$1957)</f>
        <v/>
      </c>
      <c r="N1954" t="str">
        <f>IF([2]Entry!$M$1957="","",[2]Entry!$M$1957)</f>
        <v/>
      </c>
      <c r="O1954" t="str">
        <f>IF([2]Entry!$N$1957="","",[2]Entry!$N$1957)</f>
        <v/>
      </c>
      <c r="P1954" t="str">
        <f>IF([2]Entry!$R$1957="","",[2]Entry!$R$1957)</f>
        <v/>
      </c>
    </row>
    <row r="1955" spans="10:16" x14ac:dyDescent="0.2">
      <c r="J1955" t="str">
        <f>IF([2]Entry!$C$1958="","",[2]Entry!$C$1958)</f>
        <v/>
      </c>
      <c r="K1955" t="str">
        <f>IF([2]Entry!$D$1958="","",[2]Entry!$D$1958)</f>
        <v/>
      </c>
      <c r="L1955" t="str">
        <f>IF([2]Entry!$E$1958="","",[2]Entry!$E$1958)</f>
        <v/>
      </c>
      <c r="M1955" t="str">
        <f>IF([2]Entry!$G$1958="","",[2]Entry!$G$1958)</f>
        <v/>
      </c>
      <c r="N1955" t="str">
        <f>IF([2]Entry!$M$1958="","",[2]Entry!$M$1958)</f>
        <v/>
      </c>
      <c r="O1955" t="str">
        <f>IF([2]Entry!$N$1958="","",[2]Entry!$N$1958)</f>
        <v/>
      </c>
      <c r="P1955" t="str">
        <f>IF([2]Entry!$R$1958="","",[2]Entry!$R$1958)</f>
        <v/>
      </c>
    </row>
    <row r="1956" spans="10:16" x14ac:dyDescent="0.2">
      <c r="J1956" t="str">
        <f>IF([2]Entry!$C$1959="","",[2]Entry!$C$1959)</f>
        <v/>
      </c>
      <c r="K1956" t="str">
        <f>IF([2]Entry!$D$1959="","",[2]Entry!$D$1959)</f>
        <v/>
      </c>
      <c r="L1956" t="str">
        <f>IF([2]Entry!$E$1959="","",[2]Entry!$E$1959)</f>
        <v/>
      </c>
      <c r="M1956" t="str">
        <f>IF([2]Entry!$G$1959="","",[2]Entry!$G$1959)</f>
        <v/>
      </c>
      <c r="N1956" t="str">
        <f>IF([2]Entry!$M$1959="","",[2]Entry!$M$1959)</f>
        <v/>
      </c>
      <c r="O1956" t="str">
        <f>IF([2]Entry!$N$1959="","",[2]Entry!$N$1959)</f>
        <v/>
      </c>
      <c r="P1956" t="str">
        <f>IF([2]Entry!$R$1959="","",[2]Entry!$R$1959)</f>
        <v/>
      </c>
    </row>
    <row r="1957" spans="10:16" x14ac:dyDescent="0.2">
      <c r="J1957" t="str">
        <f>IF([2]Entry!$C$1960="","",[2]Entry!$C$1960)</f>
        <v/>
      </c>
      <c r="K1957" t="str">
        <f>IF([2]Entry!$D$1960="","",[2]Entry!$D$1960)</f>
        <v/>
      </c>
      <c r="L1957" t="str">
        <f>IF([2]Entry!$E$1960="","",[2]Entry!$E$1960)</f>
        <v/>
      </c>
      <c r="M1957" t="str">
        <f>IF([2]Entry!$G$1960="","",[2]Entry!$G$1960)</f>
        <v/>
      </c>
      <c r="N1957" t="str">
        <f>IF([2]Entry!$M$1960="","",[2]Entry!$M$1960)</f>
        <v/>
      </c>
      <c r="O1957" t="str">
        <f>IF([2]Entry!$N$1960="","",[2]Entry!$N$1960)</f>
        <v/>
      </c>
      <c r="P1957" t="str">
        <f>IF([2]Entry!$R$1960="","",[2]Entry!$R$1960)</f>
        <v/>
      </c>
    </row>
    <row r="1958" spans="10:16" x14ac:dyDescent="0.2">
      <c r="J1958" t="str">
        <f>IF([2]Entry!$C$1961="","",[2]Entry!$C$1961)</f>
        <v/>
      </c>
      <c r="K1958" t="str">
        <f>IF([2]Entry!$D$1961="","",[2]Entry!$D$1961)</f>
        <v/>
      </c>
      <c r="L1958" t="str">
        <f>IF([2]Entry!$E$1961="","",[2]Entry!$E$1961)</f>
        <v/>
      </c>
      <c r="M1958" t="str">
        <f>IF([2]Entry!$G$1961="","",[2]Entry!$G$1961)</f>
        <v/>
      </c>
      <c r="N1958" t="str">
        <f>IF([2]Entry!$M$1961="","",[2]Entry!$M$1961)</f>
        <v/>
      </c>
      <c r="O1958" t="str">
        <f>IF([2]Entry!$N$1961="","",[2]Entry!$N$1961)</f>
        <v/>
      </c>
      <c r="P1958" t="str">
        <f>IF([2]Entry!$R$1961="","",[2]Entry!$R$1961)</f>
        <v/>
      </c>
    </row>
    <row r="1959" spans="10:16" x14ac:dyDescent="0.2">
      <c r="J1959" t="str">
        <f>IF([2]Entry!$C$1962="","",[2]Entry!$C$1962)</f>
        <v/>
      </c>
      <c r="K1959" t="str">
        <f>IF([2]Entry!$D$1962="","",[2]Entry!$D$1962)</f>
        <v/>
      </c>
      <c r="L1959" t="str">
        <f>IF([2]Entry!$E$1962="","",[2]Entry!$E$1962)</f>
        <v/>
      </c>
      <c r="M1959" t="str">
        <f>IF([2]Entry!$G$1962="","",[2]Entry!$G$1962)</f>
        <v/>
      </c>
      <c r="N1959" t="str">
        <f>IF([2]Entry!$M$1962="","",[2]Entry!$M$1962)</f>
        <v/>
      </c>
      <c r="O1959" t="str">
        <f>IF([2]Entry!$N$1962="","",[2]Entry!$N$1962)</f>
        <v/>
      </c>
      <c r="P1959" t="str">
        <f>IF([2]Entry!$R$1962="","",[2]Entry!$R$1962)</f>
        <v/>
      </c>
    </row>
    <row r="1960" spans="10:16" x14ac:dyDescent="0.2">
      <c r="J1960" t="str">
        <f>IF([2]Entry!$C$1963="","",[2]Entry!$C$1963)</f>
        <v/>
      </c>
      <c r="K1960" t="str">
        <f>IF([2]Entry!$D$1963="","",[2]Entry!$D$1963)</f>
        <v/>
      </c>
      <c r="L1960" t="str">
        <f>IF([2]Entry!$E$1963="","",[2]Entry!$E$1963)</f>
        <v/>
      </c>
      <c r="M1960" t="str">
        <f>IF([2]Entry!$G$1963="","",[2]Entry!$G$1963)</f>
        <v/>
      </c>
      <c r="N1960" t="str">
        <f>IF([2]Entry!$M$1963="","",[2]Entry!$M$1963)</f>
        <v/>
      </c>
      <c r="O1960" t="str">
        <f>IF([2]Entry!$N$1963="","",[2]Entry!$N$1963)</f>
        <v/>
      </c>
      <c r="P1960" t="str">
        <f>IF([2]Entry!$R$1963="","",[2]Entry!$R$1963)</f>
        <v/>
      </c>
    </row>
    <row r="1961" spans="10:16" x14ac:dyDescent="0.2">
      <c r="J1961" t="str">
        <f>IF([2]Entry!$C$1964="","",[2]Entry!$C$1964)</f>
        <v/>
      </c>
      <c r="K1961" t="str">
        <f>IF([2]Entry!$D$1964="","",[2]Entry!$D$1964)</f>
        <v/>
      </c>
      <c r="L1961" t="str">
        <f>IF([2]Entry!$E$1964="","",[2]Entry!$E$1964)</f>
        <v/>
      </c>
      <c r="M1961" t="str">
        <f>IF([2]Entry!$G$1964="","",[2]Entry!$G$1964)</f>
        <v/>
      </c>
      <c r="N1961" t="str">
        <f>IF([2]Entry!$M$1964="","",[2]Entry!$M$1964)</f>
        <v/>
      </c>
      <c r="O1961" t="str">
        <f>IF([2]Entry!$N$1964="","",[2]Entry!$N$1964)</f>
        <v/>
      </c>
      <c r="P1961" t="str">
        <f>IF([2]Entry!$R$1964="","",[2]Entry!$R$1964)</f>
        <v/>
      </c>
    </row>
    <row r="1962" spans="10:16" x14ac:dyDescent="0.2">
      <c r="J1962" t="str">
        <f>IF([2]Entry!$C$1965="","",[2]Entry!$C$1965)</f>
        <v/>
      </c>
      <c r="K1962" t="str">
        <f>IF([2]Entry!$D$1965="","",[2]Entry!$D$1965)</f>
        <v/>
      </c>
      <c r="L1962" t="str">
        <f>IF([2]Entry!$E$1965="","",[2]Entry!$E$1965)</f>
        <v/>
      </c>
      <c r="M1962" t="str">
        <f>IF([2]Entry!$G$1965="","",[2]Entry!$G$1965)</f>
        <v/>
      </c>
      <c r="N1962" t="str">
        <f>IF([2]Entry!$M$1965="","",[2]Entry!$M$1965)</f>
        <v/>
      </c>
      <c r="O1962" t="str">
        <f>IF([2]Entry!$N$1965="","",[2]Entry!$N$1965)</f>
        <v/>
      </c>
      <c r="P1962" t="str">
        <f>IF([2]Entry!$R$1965="","",[2]Entry!$R$1965)</f>
        <v/>
      </c>
    </row>
    <row r="1963" spans="10:16" x14ac:dyDescent="0.2">
      <c r="J1963" t="str">
        <f>IF([2]Entry!$C$1966="","",[2]Entry!$C$1966)</f>
        <v/>
      </c>
      <c r="K1963" t="str">
        <f>IF([2]Entry!$D$1966="","",[2]Entry!$D$1966)</f>
        <v/>
      </c>
      <c r="L1963" t="str">
        <f>IF([2]Entry!$E$1966="","",[2]Entry!$E$1966)</f>
        <v/>
      </c>
      <c r="M1963" t="str">
        <f>IF([2]Entry!$G$1966="","",[2]Entry!$G$1966)</f>
        <v/>
      </c>
      <c r="N1963" t="str">
        <f>IF([2]Entry!$M$1966="","",[2]Entry!$M$1966)</f>
        <v/>
      </c>
      <c r="O1963" t="str">
        <f>IF([2]Entry!$N$1966="","",[2]Entry!$N$1966)</f>
        <v/>
      </c>
      <c r="P1963" t="str">
        <f>IF([2]Entry!$R$1966="","",[2]Entry!$R$1966)</f>
        <v/>
      </c>
    </row>
    <row r="1964" spans="10:16" x14ac:dyDescent="0.2">
      <c r="J1964" t="str">
        <f>IF([2]Entry!$C$1967="","",[2]Entry!$C$1967)</f>
        <v/>
      </c>
      <c r="K1964" t="str">
        <f>IF([2]Entry!$D$1967="","",[2]Entry!$D$1967)</f>
        <v/>
      </c>
      <c r="L1964" t="str">
        <f>IF([2]Entry!$E$1967="","",[2]Entry!$E$1967)</f>
        <v/>
      </c>
      <c r="M1964" t="str">
        <f>IF([2]Entry!$G$1967="","",[2]Entry!$G$1967)</f>
        <v/>
      </c>
      <c r="N1964" t="str">
        <f>IF([2]Entry!$M$1967="","",[2]Entry!$M$1967)</f>
        <v/>
      </c>
      <c r="O1964" t="str">
        <f>IF([2]Entry!$N$1967="","",[2]Entry!$N$1967)</f>
        <v/>
      </c>
      <c r="P1964" t="str">
        <f>IF([2]Entry!$R$1967="","",[2]Entry!$R$1967)</f>
        <v/>
      </c>
    </row>
    <row r="1965" spans="10:16" x14ac:dyDescent="0.2">
      <c r="J1965" t="str">
        <f>IF([2]Entry!$C$1968="","",[2]Entry!$C$1968)</f>
        <v/>
      </c>
      <c r="K1965" t="str">
        <f>IF([2]Entry!$D$1968="","",[2]Entry!$D$1968)</f>
        <v/>
      </c>
      <c r="L1965" t="str">
        <f>IF([2]Entry!$E$1968="","",[2]Entry!$E$1968)</f>
        <v/>
      </c>
      <c r="M1965" t="str">
        <f>IF([2]Entry!$G$1968="","",[2]Entry!$G$1968)</f>
        <v/>
      </c>
      <c r="N1965" t="str">
        <f>IF([2]Entry!$M$1968="","",[2]Entry!$M$1968)</f>
        <v/>
      </c>
      <c r="O1965" t="str">
        <f>IF([2]Entry!$N$1968="","",[2]Entry!$N$1968)</f>
        <v/>
      </c>
      <c r="P1965" t="str">
        <f>IF([2]Entry!$R$1968="","",[2]Entry!$R$1968)</f>
        <v/>
      </c>
    </row>
    <row r="1966" spans="10:16" x14ac:dyDescent="0.2">
      <c r="J1966" t="str">
        <f>IF([2]Entry!$C$1969="","",[2]Entry!$C$1969)</f>
        <v/>
      </c>
      <c r="K1966" t="str">
        <f>IF([2]Entry!$D$1969="","",[2]Entry!$D$1969)</f>
        <v/>
      </c>
      <c r="L1966" t="str">
        <f>IF([2]Entry!$E$1969="","",[2]Entry!$E$1969)</f>
        <v/>
      </c>
      <c r="M1966" t="str">
        <f>IF([2]Entry!$G$1969="","",[2]Entry!$G$1969)</f>
        <v/>
      </c>
      <c r="N1966" t="str">
        <f>IF([2]Entry!$M$1969="","",[2]Entry!$M$1969)</f>
        <v/>
      </c>
      <c r="O1966" t="str">
        <f>IF([2]Entry!$N$1969="","",[2]Entry!$N$1969)</f>
        <v/>
      </c>
      <c r="P1966" t="str">
        <f>IF([2]Entry!$R$1969="","",[2]Entry!$R$1969)</f>
        <v/>
      </c>
    </row>
    <row r="1967" spans="10:16" x14ac:dyDescent="0.2">
      <c r="J1967" t="str">
        <f>IF([2]Entry!$C$1970="","",[2]Entry!$C$1970)</f>
        <v/>
      </c>
      <c r="K1967" t="str">
        <f>IF([2]Entry!$D$1970="","",[2]Entry!$D$1970)</f>
        <v/>
      </c>
      <c r="L1967" t="str">
        <f>IF([2]Entry!$E$1970="","",[2]Entry!$E$1970)</f>
        <v/>
      </c>
      <c r="M1967" t="str">
        <f>IF([2]Entry!$G$1970="","",[2]Entry!$G$1970)</f>
        <v/>
      </c>
      <c r="N1967" t="str">
        <f>IF([2]Entry!$M$1970="","",[2]Entry!$M$1970)</f>
        <v/>
      </c>
      <c r="O1967" t="str">
        <f>IF([2]Entry!$N$1970="","",[2]Entry!$N$1970)</f>
        <v/>
      </c>
      <c r="P1967" t="str">
        <f>IF([2]Entry!$R$1970="","",[2]Entry!$R$1970)</f>
        <v/>
      </c>
    </row>
    <row r="1968" spans="10:16" x14ac:dyDescent="0.2">
      <c r="J1968" t="str">
        <f>IF([2]Entry!$C$1971="","",[2]Entry!$C$1971)</f>
        <v/>
      </c>
      <c r="K1968" t="str">
        <f>IF([2]Entry!$D$1971="","",[2]Entry!$D$1971)</f>
        <v/>
      </c>
      <c r="L1968" t="str">
        <f>IF([2]Entry!$E$1971="","",[2]Entry!$E$1971)</f>
        <v/>
      </c>
      <c r="M1968" t="str">
        <f>IF([2]Entry!$G$1971="","",[2]Entry!$G$1971)</f>
        <v/>
      </c>
      <c r="N1968" t="str">
        <f>IF([2]Entry!$M$1971="","",[2]Entry!$M$1971)</f>
        <v/>
      </c>
      <c r="O1968" t="str">
        <f>IF([2]Entry!$N$1971="","",[2]Entry!$N$1971)</f>
        <v/>
      </c>
      <c r="P1968" t="str">
        <f>IF([2]Entry!$R$1971="","",[2]Entry!$R$1971)</f>
        <v/>
      </c>
    </row>
    <row r="1969" spans="10:16" x14ac:dyDescent="0.2">
      <c r="J1969" t="str">
        <f>IF([2]Entry!$C$1972="","",[2]Entry!$C$1972)</f>
        <v/>
      </c>
      <c r="K1969" t="str">
        <f>IF([2]Entry!$D$1972="","",[2]Entry!$D$1972)</f>
        <v/>
      </c>
      <c r="L1969" t="str">
        <f>IF([2]Entry!$E$1972="","",[2]Entry!$E$1972)</f>
        <v/>
      </c>
      <c r="M1969" t="str">
        <f>IF([2]Entry!$G$1972="","",[2]Entry!$G$1972)</f>
        <v/>
      </c>
      <c r="N1969" t="str">
        <f>IF([2]Entry!$M$1972="","",[2]Entry!$M$1972)</f>
        <v/>
      </c>
      <c r="O1969" t="str">
        <f>IF([2]Entry!$N$1972="","",[2]Entry!$N$1972)</f>
        <v/>
      </c>
      <c r="P1969" t="str">
        <f>IF([2]Entry!$R$1972="","",[2]Entry!$R$1972)</f>
        <v/>
      </c>
    </row>
    <row r="1970" spans="10:16" x14ac:dyDescent="0.2">
      <c r="J1970" t="str">
        <f>IF([2]Entry!$C$1973="","",[2]Entry!$C$1973)</f>
        <v/>
      </c>
      <c r="K1970" t="str">
        <f>IF([2]Entry!$D$1973="","",[2]Entry!$D$1973)</f>
        <v/>
      </c>
      <c r="L1970" t="str">
        <f>IF([2]Entry!$E$1973="","",[2]Entry!$E$1973)</f>
        <v/>
      </c>
      <c r="M1970" t="str">
        <f>IF([2]Entry!$G$1973="","",[2]Entry!$G$1973)</f>
        <v/>
      </c>
      <c r="N1970" t="str">
        <f>IF([2]Entry!$M$1973="","",[2]Entry!$M$1973)</f>
        <v/>
      </c>
      <c r="O1970" t="str">
        <f>IF([2]Entry!$N$1973="","",[2]Entry!$N$1973)</f>
        <v/>
      </c>
      <c r="P1970" t="str">
        <f>IF([2]Entry!$R$1973="","",[2]Entry!$R$1973)</f>
        <v/>
      </c>
    </row>
    <row r="1971" spans="10:16" x14ac:dyDescent="0.2">
      <c r="J1971" t="str">
        <f>IF([2]Entry!$C$1974="","",[2]Entry!$C$1974)</f>
        <v/>
      </c>
      <c r="K1971" t="str">
        <f>IF([2]Entry!$D$1974="","",[2]Entry!$D$1974)</f>
        <v/>
      </c>
      <c r="L1971" t="str">
        <f>IF([2]Entry!$E$1974="","",[2]Entry!$E$1974)</f>
        <v/>
      </c>
      <c r="M1971" t="str">
        <f>IF([2]Entry!$G$1974="","",[2]Entry!$G$1974)</f>
        <v/>
      </c>
      <c r="N1971" t="str">
        <f>IF([2]Entry!$M$1974="","",[2]Entry!$M$1974)</f>
        <v/>
      </c>
      <c r="O1971" t="str">
        <f>IF([2]Entry!$N$1974="","",[2]Entry!$N$1974)</f>
        <v/>
      </c>
      <c r="P1971" t="str">
        <f>IF([2]Entry!$R$1974="","",[2]Entry!$R$1974)</f>
        <v/>
      </c>
    </row>
    <row r="1972" spans="10:16" x14ac:dyDescent="0.2">
      <c r="J1972" t="str">
        <f>IF([2]Entry!$C$1975="","",[2]Entry!$C$1975)</f>
        <v/>
      </c>
      <c r="K1972" t="str">
        <f>IF([2]Entry!$D$1975="","",[2]Entry!$D$1975)</f>
        <v/>
      </c>
      <c r="L1972" t="str">
        <f>IF([2]Entry!$E$1975="","",[2]Entry!$E$1975)</f>
        <v/>
      </c>
      <c r="M1972" t="str">
        <f>IF([2]Entry!$G$1975="","",[2]Entry!$G$1975)</f>
        <v/>
      </c>
      <c r="N1972" t="str">
        <f>IF([2]Entry!$M$1975="","",[2]Entry!$M$1975)</f>
        <v/>
      </c>
      <c r="O1972" t="str">
        <f>IF([2]Entry!$N$1975="","",[2]Entry!$N$1975)</f>
        <v/>
      </c>
      <c r="P1972" t="str">
        <f>IF([2]Entry!$R$1975="","",[2]Entry!$R$1975)</f>
        <v/>
      </c>
    </row>
    <row r="1973" spans="10:16" x14ac:dyDescent="0.2">
      <c r="J1973" t="str">
        <f>IF([2]Entry!$C$1976="","",[2]Entry!$C$1976)</f>
        <v/>
      </c>
      <c r="K1973" t="str">
        <f>IF([2]Entry!$D$1976="","",[2]Entry!$D$1976)</f>
        <v/>
      </c>
      <c r="L1973" t="str">
        <f>IF([2]Entry!$E$1976="","",[2]Entry!$E$1976)</f>
        <v/>
      </c>
      <c r="M1973" t="str">
        <f>IF([2]Entry!$G$1976="","",[2]Entry!$G$1976)</f>
        <v/>
      </c>
      <c r="N1973" t="str">
        <f>IF([2]Entry!$M$1976="","",[2]Entry!$M$1976)</f>
        <v/>
      </c>
      <c r="O1973" t="str">
        <f>IF([2]Entry!$N$1976="","",[2]Entry!$N$1976)</f>
        <v/>
      </c>
      <c r="P1973" t="str">
        <f>IF([2]Entry!$R$1976="","",[2]Entry!$R$1976)</f>
        <v/>
      </c>
    </row>
    <row r="1974" spans="10:16" x14ac:dyDescent="0.2">
      <c r="J1974" t="str">
        <f>IF([2]Entry!$C$1977="","",[2]Entry!$C$1977)</f>
        <v/>
      </c>
      <c r="K1974" t="str">
        <f>IF([2]Entry!$D$1977="","",[2]Entry!$D$1977)</f>
        <v/>
      </c>
      <c r="L1974" t="str">
        <f>IF([2]Entry!$E$1977="","",[2]Entry!$E$1977)</f>
        <v/>
      </c>
      <c r="M1974" t="str">
        <f>IF([2]Entry!$G$1977="","",[2]Entry!$G$1977)</f>
        <v/>
      </c>
      <c r="N1974" t="str">
        <f>IF([2]Entry!$M$1977="","",[2]Entry!$M$1977)</f>
        <v/>
      </c>
      <c r="O1974" t="str">
        <f>IF([2]Entry!$N$1977="","",[2]Entry!$N$1977)</f>
        <v/>
      </c>
      <c r="P1974" t="str">
        <f>IF([2]Entry!$R$1977="","",[2]Entry!$R$1977)</f>
        <v/>
      </c>
    </row>
    <row r="1975" spans="10:16" x14ac:dyDescent="0.2">
      <c r="J1975" t="str">
        <f>IF([2]Entry!$C$1978="","",[2]Entry!$C$1978)</f>
        <v/>
      </c>
      <c r="K1975" t="str">
        <f>IF([2]Entry!$D$1978="","",[2]Entry!$D$1978)</f>
        <v/>
      </c>
      <c r="L1975" t="str">
        <f>IF([2]Entry!$E$1978="","",[2]Entry!$E$1978)</f>
        <v/>
      </c>
      <c r="M1975" t="str">
        <f>IF([2]Entry!$G$1978="","",[2]Entry!$G$1978)</f>
        <v/>
      </c>
      <c r="N1975" t="str">
        <f>IF([2]Entry!$M$1978="","",[2]Entry!$M$1978)</f>
        <v/>
      </c>
      <c r="O1975" t="str">
        <f>IF([2]Entry!$N$1978="","",[2]Entry!$N$1978)</f>
        <v/>
      </c>
      <c r="P1975" t="str">
        <f>IF([2]Entry!$R$1978="","",[2]Entry!$R$1978)</f>
        <v/>
      </c>
    </row>
    <row r="1976" spans="10:16" x14ac:dyDescent="0.2">
      <c r="J1976" t="str">
        <f>IF([2]Entry!$C$1979="","",[2]Entry!$C$1979)</f>
        <v/>
      </c>
      <c r="K1976" t="str">
        <f>IF([2]Entry!$D$1979="","",[2]Entry!$D$1979)</f>
        <v/>
      </c>
      <c r="L1976" t="str">
        <f>IF([2]Entry!$E$1979="","",[2]Entry!$E$1979)</f>
        <v/>
      </c>
      <c r="M1976" t="str">
        <f>IF([2]Entry!$G$1979="","",[2]Entry!$G$1979)</f>
        <v/>
      </c>
      <c r="N1976" t="str">
        <f>IF([2]Entry!$M$1979="","",[2]Entry!$M$1979)</f>
        <v/>
      </c>
      <c r="O1976" t="str">
        <f>IF([2]Entry!$N$1979="","",[2]Entry!$N$1979)</f>
        <v/>
      </c>
      <c r="P1976" t="str">
        <f>IF([2]Entry!$R$1979="","",[2]Entry!$R$1979)</f>
        <v/>
      </c>
    </row>
    <row r="1977" spans="10:16" x14ac:dyDescent="0.2">
      <c r="J1977" t="str">
        <f>IF([2]Entry!$C$1980="","",[2]Entry!$C$1980)</f>
        <v/>
      </c>
      <c r="K1977" t="str">
        <f>IF([2]Entry!$D$1980="","",[2]Entry!$D$1980)</f>
        <v/>
      </c>
      <c r="L1977" t="str">
        <f>IF([2]Entry!$E$1980="","",[2]Entry!$E$1980)</f>
        <v/>
      </c>
      <c r="M1977" t="str">
        <f>IF([2]Entry!$G$1980="","",[2]Entry!$G$1980)</f>
        <v/>
      </c>
      <c r="N1977" t="str">
        <f>IF([2]Entry!$M$1980="","",[2]Entry!$M$1980)</f>
        <v/>
      </c>
      <c r="O1977" t="str">
        <f>IF([2]Entry!$N$1980="","",[2]Entry!$N$1980)</f>
        <v/>
      </c>
      <c r="P1977" t="str">
        <f>IF([2]Entry!$R$1980="","",[2]Entry!$R$1980)</f>
        <v/>
      </c>
    </row>
    <row r="1978" spans="10:16" x14ac:dyDescent="0.2">
      <c r="J1978" t="str">
        <f>IF([2]Entry!$C$1981="","",[2]Entry!$C$1981)</f>
        <v/>
      </c>
      <c r="K1978" t="str">
        <f>IF([2]Entry!$D$1981="","",[2]Entry!$D$1981)</f>
        <v/>
      </c>
      <c r="L1978" t="str">
        <f>IF([2]Entry!$E$1981="","",[2]Entry!$E$1981)</f>
        <v/>
      </c>
      <c r="M1978" t="str">
        <f>IF([2]Entry!$G$1981="","",[2]Entry!$G$1981)</f>
        <v/>
      </c>
      <c r="N1978" t="str">
        <f>IF([2]Entry!$M$1981="","",[2]Entry!$M$1981)</f>
        <v/>
      </c>
      <c r="O1978" t="str">
        <f>IF([2]Entry!$N$1981="","",[2]Entry!$N$1981)</f>
        <v/>
      </c>
      <c r="P1978" t="str">
        <f>IF([2]Entry!$R$1981="","",[2]Entry!$R$1981)</f>
        <v/>
      </c>
    </row>
    <row r="1979" spans="10:16" x14ac:dyDescent="0.2">
      <c r="J1979" t="str">
        <f>IF([2]Entry!$C$1982="","",[2]Entry!$C$1982)</f>
        <v/>
      </c>
      <c r="K1979" t="str">
        <f>IF([2]Entry!$D$1982="","",[2]Entry!$D$1982)</f>
        <v/>
      </c>
      <c r="L1979" t="str">
        <f>IF([2]Entry!$E$1982="","",[2]Entry!$E$1982)</f>
        <v/>
      </c>
      <c r="M1979" t="str">
        <f>IF([2]Entry!$G$1982="","",[2]Entry!$G$1982)</f>
        <v/>
      </c>
      <c r="N1979" t="str">
        <f>IF([2]Entry!$M$1982="","",[2]Entry!$M$1982)</f>
        <v/>
      </c>
      <c r="O1979" t="str">
        <f>IF([2]Entry!$N$1982="","",[2]Entry!$N$1982)</f>
        <v/>
      </c>
      <c r="P1979" t="str">
        <f>IF([2]Entry!$R$1982="","",[2]Entry!$R$1982)</f>
        <v/>
      </c>
    </row>
    <row r="1980" spans="10:16" x14ac:dyDescent="0.2">
      <c r="J1980" t="str">
        <f>IF([2]Entry!$C$1983="","",[2]Entry!$C$1983)</f>
        <v/>
      </c>
      <c r="K1980" t="str">
        <f>IF([2]Entry!$D$1983="","",[2]Entry!$D$1983)</f>
        <v/>
      </c>
      <c r="L1980" t="str">
        <f>IF([2]Entry!$E$1983="","",[2]Entry!$E$1983)</f>
        <v/>
      </c>
      <c r="M1980" t="str">
        <f>IF([2]Entry!$G$1983="","",[2]Entry!$G$1983)</f>
        <v/>
      </c>
      <c r="N1980" t="str">
        <f>IF([2]Entry!$M$1983="","",[2]Entry!$M$1983)</f>
        <v/>
      </c>
      <c r="O1980" t="str">
        <f>IF([2]Entry!$N$1983="","",[2]Entry!$N$1983)</f>
        <v/>
      </c>
      <c r="P1980" t="str">
        <f>IF([2]Entry!$R$1983="","",[2]Entry!$R$1983)</f>
        <v/>
      </c>
    </row>
    <row r="1981" spans="10:16" x14ac:dyDescent="0.2">
      <c r="J1981" t="str">
        <f>IF([2]Entry!$C$1984="","",[2]Entry!$C$1984)</f>
        <v/>
      </c>
      <c r="K1981" t="str">
        <f>IF([2]Entry!$D$1984="","",[2]Entry!$D$1984)</f>
        <v/>
      </c>
      <c r="L1981" t="str">
        <f>IF([2]Entry!$E$1984="","",[2]Entry!$E$1984)</f>
        <v/>
      </c>
      <c r="M1981" t="str">
        <f>IF([2]Entry!$G$1984="","",[2]Entry!$G$1984)</f>
        <v/>
      </c>
      <c r="N1981" t="str">
        <f>IF([2]Entry!$M$1984="","",[2]Entry!$M$1984)</f>
        <v/>
      </c>
      <c r="O1981" t="str">
        <f>IF([2]Entry!$N$1984="","",[2]Entry!$N$1984)</f>
        <v/>
      </c>
      <c r="P1981" t="str">
        <f>IF([2]Entry!$R$1984="","",[2]Entry!$R$1984)</f>
        <v/>
      </c>
    </row>
    <row r="1982" spans="10:16" x14ac:dyDescent="0.2">
      <c r="J1982" t="str">
        <f>IF([2]Entry!$C$1985="","",[2]Entry!$C$1985)</f>
        <v/>
      </c>
      <c r="K1982" t="str">
        <f>IF([2]Entry!$D$1985="","",[2]Entry!$D$1985)</f>
        <v/>
      </c>
      <c r="L1982" t="str">
        <f>IF([2]Entry!$E$1985="","",[2]Entry!$E$1985)</f>
        <v/>
      </c>
      <c r="M1982" t="str">
        <f>IF([2]Entry!$G$1985="","",[2]Entry!$G$1985)</f>
        <v/>
      </c>
      <c r="N1982" t="str">
        <f>IF([2]Entry!$M$1985="","",[2]Entry!$M$1985)</f>
        <v/>
      </c>
      <c r="O1982" t="str">
        <f>IF([2]Entry!$N$1985="","",[2]Entry!$N$1985)</f>
        <v/>
      </c>
      <c r="P1982" t="str">
        <f>IF([2]Entry!$R$1985="","",[2]Entry!$R$1985)</f>
        <v/>
      </c>
    </row>
    <row r="1983" spans="10:16" x14ac:dyDescent="0.2">
      <c r="J1983" t="str">
        <f>IF([2]Entry!$C$1986="","",[2]Entry!$C$1986)</f>
        <v/>
      </c>
      <c r="K1983" t="str">
        <f>IF([2]Entry!$D$1986="","",[2]Entry!$D$1986)</f>
        <v/>
      </c>
      <c r="L1983" t="str">
        <f>IF([2]Entry!$E$1986="","",[2]Entry!$E$1986)</f>
        <v/>
      </c>
      <c r="M1983" t="str">
        <f>IF([2]Entry!$G$1986="","",[2]Entry!$G$1986)</f>
        <v/>
      </c>
      <c r="N1983" t="str">
        <f>IF([2]Entry!$M$1986="","",[2]Entry!$M$1986)</f>
        <v/>
      </c>
      <c r="O1983" t="str">
        <f>IF([2]Entry!$N$1986="","",[2]Entry!$N$1986)</f>
        <v/>
      </c>
      <c r="P1983" t="str">
        <f>IF([2]Entry!$R$1986="","",[2]Entry!$R$1986)</f>
        <v/>
      </c>
    </row>
    <row r="1984" spans="10:16" x14ac:dyDescent="0.2">
      <c r="J1984" t="str">
        <f>IF([2]Entry!$C$1987="","",[2]Entry!$C$1987)</f>
        <v/>
      </c>
      <c r="K1984" t="str">
        <f>IF([2]Entry!$D$1987="","",[2]Entry!$D$1987)</f>
        <v/>
      </c>
      <c r="L1984" t="str">
        <f>IF([2]Entry!$E$1987="","",[2]Entry!$E$1987)</f>
        <v/>
      </c>
      <c r="M1984" t="str">
        <f>IF([2]Entry!$G$1987="","",[2]Entry!$G$1987)</f>
        <v/>
      </c>
      <c r="N1984" t="str">
        <f>IF([2]Entry!$M$1987="","",[2]Entry!$M$1987)</f>
        <v/>
      </c>
      <c r="O1984" t="str">
        <f>IF([2]Entry!$N$1987="","",[2]Entry!$N$1987)</f>
        <v/>
      </c>
      <c r="P1984" t="str">
        <f>IF([2]Entry!$R$1987="","",[2]Entry!$R$1987)</f>
        <v/>
      </c>
    </row>
    <row r="1985" spans="10:16" x14ac:dyDescent="0.2">
      <c r="J1985" t="str">
        <f>IF([2]Entry!$C$1988="","",[2]Entry!$C$1988)</f>
        <v/>
      </c>
      <c r="K1985" t="str">
        <f>IF([2]Entry!$D$1988="","",[2]Entry!$D$1988)</f>
        <v/>
      </c>
      <c r="L1985" t="str">
        <f>IF([2]Entry!$E$1988="","",[2]Entry!$E$1988)</f>
        <v/>
      </c>
      <c r="M1985" t="str">
        <f>IF([2]Entry!$G$1988="","",[2]Entry!$G$1988)</f>
        <v/>
      </c>
      <c r="N1985" t="str">
        <f>IF([2]Entry!$M$1988="","",[2]Entry!$M$1988)</f>
        <v/>
      </c>
      <c r="O1985" t="str">
        <f>IF([2]Entry!$N$1988="","",[2]Entry!$N$1988)</f>
        <v/>
      </c>
      <c r="P1985" t="str">
        <f>IF([2]Entry!$R$1988="","",[2]Entry!$R$1988)</f>
        <v/>
      </c>
    </row>
    <row r="1986" spans="10:16" x14ac:dyDescent="0.2">
      <c r="J1986" t="str">
        <f>IF([2]Entry!$C$1989="","",[2]Entry!$C$1989)</f>
        <v/>
      </c>
      <c r="K1986" t="str">
        <f>IF([2]Entry!$D$1989="","",[2]Entry!$D$1989)</f>
        <v/>
      </c>
      <c r="L1986" t="str">
        <f>IF([2]Entry!$E$1989="","",[2]Entry!$E$1989)</f>
        <v/>
      </c>
      <c r="M1986" t="str">
        <f>IF([2]Entry!$G$1989="","",[2]Entry!$G$1989)</f>
        <v/>
      </c>
      <c r="N1986" t="str">
        <f>IF([2]Entry!$M$1989="","",[2]Entry!$M$1989)</f>
        <v/>
      </c>
      <c r="O1986" t="str">
        <f>IF([2]Entry!$N$1989="","",[2]Entry!$N$1989)</f>
        <v/>
      </c>
      <c r="P1986" t="str">
        <f>IF([2]Entry!$R$1989="","",[2]Entry!$R$1989)</f>
        <v/>
      </c>
    </row>
    <row r="1987" spans="10:16" x14ac:dyDescent="0.2">
      <c r="J1987" t="str">
        <f>IF([2]Entry!$C$1990="","",[2]Entry!$C$1990)</f>
        <v/>
      </c>
      <c r="K1987" t="str">
        <f>IF([2]Entry!$D$1990="","",[2]Entry!$D$1990)</f>
        <v/>
      </c>
      <c r="L1987" t="str">
        <f>IF([2]Entry!$E$1990="","",[2]Entry!$E$1990)</f>
        <v/>
      </c>
      <c r="M1987" t="str">
        <f>IF([2]Entry!$G$1990="","",[2]Entry!$G$1990)</f>
        <v/>
      </c>
      <c r="N1987" t="str">
        <f>IF([2]Entry!$M$1990="","",[2]Entry!$M$1990)</f>
        <v/>
      </c>
      <c r="O1987" t="str">
        <f>IF([2]Entry!$N$1990="","",[2]Entry!$N$1990)</f>
        <v/>
      </c>
      <c r="P1987" t="str">
        <f>IF([2]Entry!$R$1990="","",[2]Entry!$R$1990)</f>
        <v/>
      </c>
    </row>
    <row r="1988" spans="10:16" x14ac:dyDescent="0.2">
      <c r="J1988" t="str">
        <f>IF([2]Entry!$C$1991="","",[2]Entry!$C$1991)</f>
        <v/>
      </c>
      <c r="K1988" t="str">
        <f>IF([2]Entry!$D$1991="","",[2]Entry!$D$1991)</f>
        <v/>
      </c>
      <c r="L1988" t="str">
        <f>IF([2]Entry!$E$1991="","",[2]Entry!$E$1991)</f>
        <v/>
      </c>
      <c r="M1988" t="str">
        <f>IF([2]Entry!$G$1991="","",[2]Entry!$G$1991)</f>
        <v/>
      </c>
      <c r="N1988" t="str">
        <f>IF([2]Entry!$M$1991="","",[2]Entry!$M$1991)</f>
        <v/>
      </c>
      <c r="O1988" t="str">
        <f>IF([2]Entry!$N$1991="","",[2]Entry!$N$1991)</f>
        <v/>
      </c>
      <c r="P1988" t="str">
        <f>IF([2]Entry!$R$1991="","",[2]Entry!$R$1991)</f>
        <v/>
      </c>
    </row>
    <row r="1989" spans="10:16" x14ac:dyDescent="0.2">
      <c r="J1989" t="str">
        <f>IF([2]Entry!$C$1992="","",[2]Entry!$C$1992)</f>
        <v/>
      </c>
      <c r="K1989" t="str">
        <f>IF([2]Entry!$D$1992="","",[2]Entry!$D$1992)</f>
        <v/>
      </c>
      <c r="L1989" t="str">
        <f>IF([2]Entry!$E$1992="","",[2]Entry!$E$1992)</f>
        <v/>
      </c>
      <c r="M1989" t="str">
        <f>IF([2]Entry!$G$1992="","",[2]Entry!$G$1992)</f>
        <v/>
      </c>
      <c r="N1989" t="str">
        <f>IF([2]Entry!$M$1992="","",[2]Entry!$M$1992)</f>
        <v/>
      </c>
      <c r="O1989" t="str">
        <f>IF([2]Entry!$N$1992="","",[2]Entry!$N$1992)</f>
        <v/>
      </c>
      <c r="P1989" t="str">
        <f>IF([2]Entry!$R$1992="","",[2]Entry!$R$1992)</f>
        <v/>
      </c>
    </row>
    <row r="1990" spans="10:16" x14ac:dyDescent="0.2">
      <c r="J1990" t="str">
        <f>IF([2]Entry!$C$1993="","",[2]Entry!$C$1993)</f>
        <v/>
      </c>
      <c r="K1990" t="str">
        <f>IF([2]Entry!$D$1993="","",[2]Entry!$D$1993)</f>
        <v/>
      </c>
      <c r="L1990" t="str">
        <f>IF([2]Entry!$E$1993="","",[2]Entry!$E$1993)</f>
        <v/>
      </c>
      <c r="M1990" t="str">
        <f>IF([2]Entry!$G$1993="","",[2]Entry!$G$1993)</f>
        <v/>
      </c>
      <c r="N1990" t="str">
        <f>IF([2]Entry!$M$1993="","",[2]Entry!$M$1993)</f>
        <v/>
      </c>
      <c r="O1990" t="str">
        <f>IF([2]Entry!$N$1993="","",[2]Entry!$N$1993)</f>
        <v/>
      </c>
      <c r="P1990" t="str">
        <f>IF([2]Entry!$R$1993="","",[2]Entry!$R$1993)</f>
        <v/>
      </c>
    </row>
    <row r="1991" spans="10:16" x14ac:dyDescent="0.2">
      <c r="J1991" t="str">
        <f>IF([2]Entry!$C$1994="","",[2]Entry!$C$1994)</f>
        <v/>
      </c>
      <c r="K1991" t="str">
        <f>IF([2]Entry!$D$1994="","",[2]Entry!$D$1994)</f>
        <v/>
      </c>
      <c r="L1991" t="str">
        <f>IF([2]Entry!$E$1994="","",[2]Entry!$E$1994)</f>
        <v/>
      </c>
      <c r="M1991" t="str">
        <f>IF([2]Entry!$G$1994="","",[2]Entry!$G$1994)</f>
        <v/>
      </c>
      <c r="N1991" t="str">
        <f>IF([2]Entry!$M$1994="","",[2]Entry!$M$1994)</f>
        <v/>
      </c>
      <c r="O1991" t="str">
        <f>IF([2]Entry!$N$1994="","",[2]Entry!$N$1994)</f>
        <v/>
      </c>
      <c r="P1991" t="str">
        <f>IF([2]Entry!$R$1994="","",[2]Entry!$R$1994)</f>
        <v/>
      </c>
    </row>
    <row r="1992" spans="10:16" x14ac:dyDescent="0.2">
      <c r="J1992" t="str">
        <f>IF([2]Entry!$C$1995="","",[2]Entry!$C$1995)</f>
        <v/>
      </c>
      <c r="K1992" t="str">
        <f>IF([2]Entry!$D$1995="","",[2]Entry!$D$1995)</f>
        <v/>
      </c>
      <c r="L1992" t="str">
        <f>IF([2]Entry!$E$1995="","",[2]Entry!$E$1995)</f>
        <v/>
      </c>
      <c r="M1992" t="str">
        <f>IF([2]Entry!$G$1995="","",[2]Entry!$G$1995)</f>
        <v/>
      </c>
      <c r="N1992" t="str">
        <f>IF([2]Entry!$M$1995="","",[2]Entry!$M$1995)</f>
        <v/>
      </c>
      <c r="O1992" t="str">
        <f>IF([2]Entry!$N$1995="","",[2]Entry!$N$1995)</f>
        <v/>
      </c>
      <c r="P1992" t="str">
        <f>IF([2]Entry!$R$1995="","",[2]Entry!$R$1995)</f>
        <v/>
      </c>
    </row>
    <row r="1993" spans="10:16" x14ac:dyDescent="0.2">
      <c r="J1993" t="str">
        <f>IF([2]Entry!$C$1996="","",[2]Entry!$C$1996)</f>
        <v/>
      </c>
      <c r="K1993" t="str">
        <f>IF([2]Entry!$D$1996="","",[2]Entry!$D$1996)</f>
        <v/>
      </c>
      <c r="L1993" t="str">
        <f>IF([2]Entry!$E$1996="","",[2]Entry!$E$1996)</f>
        <v/>
      </c>
      <c r="M1993" t="str">
        <f>IF([2]Entry!$G$1996="","",[2]Entry!$G$1996)</f>
        <v/>
      </c>
      <c r="N1993" t="str">
        <f>IF([2]Entry!$M$1996="","",[2]Entry!$M$1996)</f>
        <v/>
      </c>
      <c r="O1993" t="str">
        <f>IF([2]Entry!$N$1996="","",[2]Entry!$N$1996)</f>
        <v/>
      </c>
      <c r="P1993" t="str">
        <f>IF([2]Entry!$R$1996="","",[2]Entry!$R$1996)</f>
        <v/>
      </c>
    </row>
    <row r="1994" spans="10:16" x14ac:dyDescent="0.2">
      <c r="J1994" t="str">
        <f>IF([2]Entry!$C$1997="","",[2]Entry!$C$1997)</f>
        <v/>
      </c>
      <c r="K1994" t="str">
        <f>IF([2]Entry!$D$1997="","",[2]Entry!$D$1997)</f>
        <v/>
      </c>
      <c r="L1994" t="str">
        <f>IF([2]Entry!$E$1997="","",[2]Entry!$E$1997)</f>
        <v/>
      </c>
      <c r="M1994" t="str">
        <f>IF([2]Entry!$G$1997="","",[2]Entry!$G$1997)</f>
        <v/>
      </c>
      <c r="N1994" t="str">
        <f>IF([2]Entry!$M$1997="","",[2]Entry!$M$1997)</f>
        <v/>
      </c>
      <c r="O1994" t="str">
        <f>IF([2]Entry!$N$1997="","",[2]Entry!$N$1997)</f>
        <v/>
      </c>
      <c r="P1994" t="str">
        <f>IF([2]Entry!$R$1997="","",[2]Entry!$R$1997)</f>
        <v/>
      </c>
    </row>
    <row r="1995" spans="10:16" x14ac:dyDescent="0.2">
      <c r="J1995" t="str">
        <f>IF([2]Entry!$C$1998="","",[2]Entry!$C$1998)</f>
        <v/>
      </c>
      <c r="K1995" t="str">
        <f>IF([2]Entry!$D$1998="","",[2]Entry!$D$1998)</f>
        <v/>
      </c>
      <c r="L1995" t="str">
        <f>IF([2]Entry!$E$1998="","",[2]Entry!$E$1998)</f>
        <v/>
      </c>
      <c r="M1995" t="str">
        <f>IF([2]Entry!$G$1998="","",[2]Entry!$G$1998)</f>
        <v/>
      </c>
      <c r="N1995" t="str">
        <f>IF([2]Entry!$M$1998="","",[2]Entry!$M$1998)</f>
        <v/>
      </c>
      <c r="O1995" t="str">
        <f>IF([2]Entry!$N$1998="","",[2]Entry!$N$1998)</f>
        <v/>
      </c>
      <c r="P1995" t="str">
        <f>IF([2]Entry!$R$1998="","",[2]Entry!$R$1998)</f>
        <v/>
      </c>
    </row>
    <row r="1996" spans="10:16" x14ac:dyDescent="0.2">
      <c r="J1996" t="str">
        <f>IF([2]Entry!$C$1999="","",[2]Entry!$C$1999)</f>
        <v/>
      </c>
      <c r="K1996" t="str">
        <f>IF([2]Entry!$D$1999="","",[2]Entry!$D$1999)</f>
        <v/>
      </c>
      <c r="L1996" t="str">
        <f>IF([2]Entry!$E$1999="","",[2]Entry!$E$1999)</f>
        <v/>
      </c>
      <c r="M1996" t="str">
        <f>IF([2]Entry!$G$1999="","",[2]Entry!$G$1999)</f>
        <v/>
      </c>
      <c r="N1996" t="str">
        <f>IF([2]Entry!$M$1999="","",[2]Entry!$M$1999)</f>
        <v/>
      </c>
      <c r="O1996" t="str">
        <f>IF([2]Entry!$N$1999="","",[2]Entry!$N$1999)</f>
        <v/>
      </c>
      <c r="P1996" t="str">
        <f>IF([2]Entry!$R$1999="","",[2]Entry!$R$1999)</f>
        <v/>
      </c>
    </row>
    <row r="1997" spans="10:16" x14ac:dyDescent="0.2">
      <c r="J1997" t="str">
        <f>IF([2]Entry!$C$2000="","",[2]Entry!$C$2000)</f>
        <v/>
      </c>
      <c r="K1997" t="str">
        <f>IF([2]Entry!$D$2000="","",[2]Entry!$D$2000)</f>
        <v/>
      </c>
      <c r="L1997" t="str">
        <f>IF([2]Entry!$E$2000="","",[2]Entry!$E$2000)</f>
        <v/>
      </c>
      <c r="M1997" t="str">
        <f>IF([2]Entry!$G$2000="","",[2]Entry!$G$2000)</f>
        <v/>
      </c>
      <c r="N1997" t="str">
        <f>IF([2]Entry!$M$2000="","",[2]Entry!$M$2000)</f>
        <v/>
      </c>
      <c r="O1997" t="str">
        <f>IF([2]Entry!$N$2000="","",[2]Entry!$N$2000)</f>
        <v/>
      </c>
      <c r="P1997" t="str">
        <f>IF([2]Entry!$R$2000="","",[2]Entry!$R$2000)</f>
        <v/>
      </c>
    </row>
    <row r="1998" spans="10:16" x14ac:dyDescent="0.2">
      <c r="J1998" t="str">
        <f>IF([2]Entry!$C$2001="","",[2]Entry!$C$2001)</f>
        <v/>
      </c>
      <c r="K1998" t="str">
        <f>IF([2]Entry!$D$2001="","",[2]Entry!$D$2001)</f>
        <v/>
      </c>
      <c r="L1998" t="str">
        <f>IF([2]Entry!$E$2001="","",[2]Entry!$E$2001)</f>
        <v/>
      </c>
      <c r="M1998" t="str">
        <f>IF([2]Entry!$G$2001="","",[2]Entry!$G$2001)</f>
        <v/>
      </c>
      <c r="N1998" t="str">
        <f>IF([2]Entry!$M$2001="","",[2]Entry!$M$2001)</f>
        <v/>
      </c>
      <c r="O1998" t="str">
        <f>IF([2]Entry!$N$2001="","",[2]Entry!$N$2001)</f>
        <v/>
      </c>
      <c r="P1998" t="str">
        <f>IF([2]Entry!$R$2001="","",[2]Entry!$R$2001)</f>
        <v/>
      </c>
    </row>
    <row r="1999" spans="10:16" x14ac:dyDescent="0.2">
      <c r="J1999" t="str">
        <f>IF([2]Entry!$C$2002="","",[2]Entry!$C$2002)</f>
        <v/>
      </c>
      <c r="K1999" t="str">
        <f>IF([2]Entry!$D$2002="","",[2]Entry!$D$2002)</f>
        <v/>
      </c>
      <c r="L1999" t="str">
        <f>IF([2]Entry!$E$2002="","",[2]Entry!$E$2002)</f>
        <v/>
      </c>
      <c r="M1999" t="str">
        <f>IF([2]Entry!$G$2002="","",[2]Entry!$G$2002)</f>
        <v/>
      </c>
      <c r="N1999" t="str">
        <f>IF([2]Entry!$M$2002="","",[2]Entry!$M$2002)</f>
        <v/>
      </c>
      <c r="O1999" t="str">
        <f>IF([2]Entry!$N$2002="","",[2]Entry!$N$2002)</f>
        <v/>
      </c>
      <c r="P1999" t="str">
        <f>IF([2]Entry!$R$2002="","",[2]Entry!$R$2002)</f>
        <v/>
      </c>
    </row>
    <row r="2000" spans="10:16" x14ac:dyDescent="0.2">
      <c r="J2000" t="str">
        <f>IF([2]Entry!$C$2003="","",[2]Entry!$C$2003)</f>
        <v/>
      </c>
      <c r="K2000" t="str">
        <f>IF([2]Entry!$D$2003="","",[2]Entry!$D$2003)</f>
        <v/>
      </c>
      <c r="L2000" t="str">
        <f>IF([2]Entry!$E$2003="","",[2]Entry!$E$2003)</f>
        <v/>
      </c>
      <c r="M2000" t="str">
        <f>IF([2]Entry!$G$2003="","",[2]Entry!$G$2003)</f>
        <v/>
      </c>
      <c r="N2000" t="str">
        <f>IF([2]Entry!$M$2003="","",[2]Entry!$M$2003)</f>
        <v/>
      </c>
      <c r="O2000" t="str">
        <f>IF([2]Entry!$N$2003="","",[2]Entry!$N$2003)</f>
        <v/>
      </c>
      <c r="P2000" t="str">
        <f>IF([2]Entry!$R$2003="","",[2]Entry!$R$2003)</f>
        <v/>
      </c>
    </row>
    <row r="2001" spans="10:16" x14ac:dyDescent="0.2">
      <c r="J2001" t="str">
        <f>IF([2]Entry!$C$2004="","",[2]Entry!$C$2004)</f>
        <v/>
      </c>
      <c r="K2001" t="str">
        <f>IF([2]Entry!$D$2004="","",[2]Entry!$D$2004)</f>
        <v/>
      </c>
      <c r="L2001" t="str">
        <f>IF([2]Entry!$E$2004="","",[2]Entry!$E$2004)</f>
        <v/>
      </c>
      <c r="M2001" t="str">
        <f>IF([2]Entry!$G$2004="","",[2]Entry!$G$2004)</f>
        <v/>
      </c>
      <c r="N2001" t="str">
        <f>IF([2]Entry!$M$2004="","",[2]Entry!$M$2004)</f>
        <v/>
      </c>
      <c r="O2001" t="str">
        <f>IF([2]Entry!$N$2004="","",[2]Entry!$N$2004)</f>
        <v/>
      </c>
      <c r="P2001" t="str">
        <f>IF([2]Entry!$R$2004="","",[2]Entry!$R$2004)</f>
        <v/>
      </c>
    </row>
    <row r="2002" spans="10:16" x14ac:dyDescent="0.2">
      <c r="J2002" t="str">
        <f>IF([2]Entry!$C$2005="","",[2]Entry!$C$2005)</f>
        <v/>
      </c>
      <c r="K2002" t="str">
        <f>IF([2]Entry!$D$2005="","",[2]Entry!$D$2005)</f>
        <v/>
      </c>
      <c r="L2002" t="str">
        <f>IF([2]Entry!$E$2005="","",[2]Entry!$E$2005)</f>
        <v/>
      </c>
      <c r="M2002" t="str">
        <f>IF([2]Entry!$G$2005="","",[2]Entry!$G$2005)</f>
        <v/>
      </c>
      <c r="N2002" t="str">
        <f>IF([2]Entry!$M$2005="","",[2]Entry!$M$2005)</f>
        <v/>
      </c>
      <c r="O2002" t="str">
        <f>IF([2]Entry!$N$2005="","",[2]Entry!$N$2005)</f>
        <v/>
      </c>
      <c r="P2002" t="str">
        <f>IF([2]Entry!$R$2005="","",[2]Entry!$R$2005)</f>
        <v/>
      </c>
    </row>
    <row r="2003" spans="10:16" x14ac:dyDescent="0.2">
      <c r="J2003" t="str">
        <f>IF([2]Entry!$C$2006="","",[2]Entry!$C$2006)</f>
        <v/>
      </c>
      <c r="K2003" t="str">
        <f>IF([2]Entry!$D$2006="","",[2]Entry!$D$2006)</f>
        <v/>
      </c>
      <c r="L2003" t="str">
        <f>IF([2]Entry!$E$2006="","",[2]Entry!$E$2006)</f>
        <v/>
      </c>
      <c r="M2003" t="str">
        <f>IF([2]Entry!$G$2006="","",[2]Entry!$G$2006)</f>
        <v/>
      </c>
      <c r="N2003" t="str">
        <f>IF([2]Entry!$M$2006="","",[2]Entry!$M$2006)</f>
        <v/>
      </c>
      <c r="O2003" t="str">
        <f>IF([2]Entry!$N$2006="","",[2]Entry!$N$2006)</f>
        <v/>
      </c>
      <c r="P2003" t="str">
        <f>IF([2]Entry!$R$2006="","",[2]Entry!$R$2006)</f>
        <v/>
      </c>
    </row>
    <row r="2004" spans="10:16" x14ac:dyDescent="0.2">
      <c r="J2004" t="str">
        <f>IF([2]Entry!$C$2007="","",[2]Entry!$C$2007)</f>
        <v/>
      </c>
      <c r="K2004" t="str">
        <f>IF([2]Entry!$D$2007="","",[2]Entry!$D$2007)</f>
        <v/>
      </c>
      <c r="L2004" t="str">
        <f>IF([2]Entry!$E$2007="","",[2]Entry!$E$2007)</f>
        <v/>
      </c>
      <c r="M2004" t="str">
        <f>IF([2]Entry!$G$2007="","",[2]Entry!$G$2007)</f>
        <v/>
      </c>
      <c r="N2004" t="str">
        <f>IF([2]Entry!$M$2007="","",[2]Entry!$M$2007)</f>
        <v/>
      </c>
      <c r="O2004" t="str">
        <f>IF([2]Entry!$N$2007="","",[2]Entry!$N$2007)</f>
        <v/>
      </c>
      <c r="P2004" t="str">
        <f>IF([2]Entry!$R$2007="","",[2]Entry!$R$2007)</f>
        <v/>
      </c>
    </row>
    <row r="2005" spans="10:16" x14ac:dyDescent="0.2">
      <c r="J2005" t="str">
        <f>IF([2]Entry!$C$2008="","",[2]Entry!$C$2008)</f>
        <v/>
      </c>
      <c r="K2005" t="str">
        <f>IF([2]Entry!$D$2008="","",[2]Entry!$D$2008)</f>
        <v/>
      </c>
      <c r="L2005" t="str">
        <f>IF([2]Entry!$E$2008="","",[2]Entry!$E$2008)</f>
        <v/>
      </c>
      <c r="M2005" t="str">
        <f>IF([2]Entry!$G$2008="","",[2]Entry!$G$2008)</f>
        <v/>
      </c>
      <c r="N2005" t="str">
        <f>IF([2]Entry!$M$2008="","",[2]Entry!$M$2008)</f>
        <v/>
      </c>
      <c r="O2005" t="str">
        <f>IF([2]Entry!$N$2008="","",[2]Entry!$N$2008)</f>
        <v/>
      </c>
      <c r="P2005" t="str">
        <f>IF([2]Entry!$R$2008="","",[2]Entry!$R$2008)</f>
        <v/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AD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9" customWidth="1"/>
    <col min="2" max="2" width="18" customWidth="1"/>
    <col min="3" max="3" width="6" customWidth="1"/>
    <col min="4" max="4" width="15" customWidth="1"/>
    <col min="5" max="5" width="12" customWidth="1"/>
    <col min="6" max="6" width="7" customWidth="1"/>
    <col min="7" max="7" width="14" customWidth="1"/>
    <col min="8" max="8" width="9" customWidth="1"/>
    <col min="9" max="9" width="11" customWidth="1"/>
    <col min="10" max="10" width="14" customWidth="1"/>
    <col min="11" max="11" width="9" customWidth="1"/>
    <col min="12" max="12" width="22" customWidth="1"/>
    <col min="14" max="14" width="9" customWidth="1"/>
    <col min="15" max="15" width="12" customWidth="1"/>
    <col min="16" max="16" width="18" customWidth="1"/>
    <col min="17" max="17" width="12" customWidth="1"/>
    <col min="18" max="18" width="6" customWidth="1"/>
    <col min="19" max="19" width="15" customWidth="1"/>
    <col min="20" max="21" width="13" customWidth="1"/>
    <col min="22" max="23" width="24" customWidth="1"/>
    <col min="27" max="27" width="5" customWidth="1"/>
    <col min="28" max="28" width="6" customWidth="1"/>
    <col min="29" max="29" width="9" customWidth="1"/>
  </cols>
  <sheetData>
    <row r="1" spans="1:30" ht="26.1" customHeight="1" x14ac:dyDescent="0.2">
      <c r="A1" s="28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14.1" customHeight="1" x14ac:dyDescent="0.2">
      <c r="A2" s="27" t="s">
        <v>72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">
      <c r="A3" s="43" t="s">
        <v>88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5" spans="1:30" ht="21" x14ac:dyDescent="0.2">
      <c r="A5" s="24" t="s">
        <v>89</v>
      </c>
      <c r="B5" s="24" t="s">
        <v>90</v>
      </c>
      <c r="C5" s="24" t="s">
        <v>91</v>
      </c>
      <c r="D5" s="23" t="s">
        <v>92</v>
      </c>
      <c r="E5" s="23" t="s">
        <v>93</v>
      </c>
      <c r="F5" s="23" t="s">
        <v>94</v>
      </c>
      <c r="G5" s="23" t="s">
        <v>95</v>
      </c>
      <c r="H5" s="23" t="s">
        <v>96</v>
      </c>
      <c r="I5" s="23" t="s">
        <v>97</v>
      </c>
      <c r="J5" s="23" t="s">
        <v>98</v>
      </c>
      <c r="K5" s="23" t="s">
        <v>99</v>
      </c>
      <c r="L5" s="23" t="s">
        <v>100</v>
      </c>
      <c r="N5" s="25" t="s">
        <v>101</v>
      </c>
      <c r="O5" s="25" t="s">
        <v>102</v>
      </c>
      <c r="P5" s="25" t="s">
        <v>103</v>
      </c>
      <c r="Q5" s="25" t="s">
        <v>104</v>
      </c>
      <c r="R5" s="25" t="s">
        <v>105</v>
      </c>
      <c r="S5" s="25" t="s">
        <v>106</v>
      </c>
      <c r="T5" s="25" t="s">
        <v>107</v>
      </c>
      <c r="U5" s="25" t="s">
        <v>108</v>
      </c>
      <c r="V5" s="25" t="s">
        <v>109</v>
      </c>
    </row>
    <row r="6" spans="1:30" x14ac:dyDescent="0.2">
      <c r="A6" t="str">
        <f>IF(OR(Entry!$B9="",Entry!$E9="",$E6="نامعتبر"),"",Entry!$E9)</f>
        <v>S001</v>
      </c>
      <c r="B6" t="str">
        <f>IF($A6="","",LEFT($E6,4)&amp;MID($E6,6,2)&amp;RIGHT($E6,2)&amp;$F6&amp;"|"&amp;"1"&amp;RIGHT("00000"&amp;1,5))</f>
        <v>140507130000|100001</v>
      </c>
      <c r="C6">
        <f t="shared" ref="C6:C69" si="0">IF($B6="","",COUNTIFS($A$6:$A$1005,$A6,$B$6:$B$1005,"&lt;"&amp;$B6)+COUNTIFS($N$6:$N$2005,$A6,$P$6:$P$2005,"&lt;"&amp;$B6)+1)</f>
        <v>2</v>
      </c>
      <c r="D6" t="str">
        <f t="shared" ref="D6:D69" si="1">IF($C6="","",$A6&amp;"|"&amp;RIGHT("000000"&amp;$C6,6))</f>
        <v>S001|000002</v>
      </c>
      <c r="E6" t="str">
        <f>IF(Entry!$B9="","",IF(ISNUMBER(Entry!$B9),IF(AND(Entry!$B9&gt;=10000101,Entry!$B9&lt;=99991231),INT(Entry!$B9/10000)&amp;"/"&amp;RIGHT("00"&amp;INT(MOD(Entry!$B9,10000)/100),2)&amp;"/"&amp;RIGHT("00"&amp;MOD(Entry!$B9,100),2),"نامعتبر"),IF(LEN(Entry!$B9)=10,Entry!$B9,"نامعتبر")))</f>
        <v>1405/07/13</v>
      </c>
      <c r="F6" t="str">
        <f>IF(Entry!$B9="","",IF(Entry!$C9="","0000",IF(AND(ISNUMBER(Entry!$C9),Entry!$C9&gt;=0,Entry!$C9&lt;1),RIGHT("00"&amp;HOUR(Entry!$C9),2)&amp;RIGHT("00"&amp;MINUTE(Entry!$C9),2),IFERROR(RIGHT("00"&amp;VALUE(LEFT(Entry!$C9,FIND(":",Entry!$C9)-1)),2)&amp;RIGHT("00"&amp;VALUE(MID(Entry!$C9,FIND(":",Entry!$C9)+1,2)),2),"0000"))))</f>
        <v>0000</v>
      </c>
      <c r="G6" t="e">
        <f>IF($A6="","",Entry!$G9)</f>
        <v/>
      </c>
      <c r="H6" t="e">
        <f>IF($A6="","",IF(Entry!$H9="",0,Entry!$H9))</f>
        <v/>
      </c>
      <c r="I6" t="e">
        <f>IF($A6="","",IF(Entry!$I9="",0,Entry!$I9))</f>
        <v/>
      </c>
      <c r="J6" t="e">
        <f t="shared" ref="J6:J69" si="2">IF($A6="","",ROUND($H6*$I6,0))</f>
        <v>#REF!</v>
      </c>
      <c r="K6">
        <f>IF($A6="","",Entry!$D9)</f>
        <v>0</v>
      </c>
      <c r="L6">
        <f>IF($A6="","",Entry!$L9)</f>
        <v>0</v>
      </c>
      <c r="N6" t="str">
        <f>IF(OR(Sync!$M6="",$Q6="",$Q6="نامعتبر"),"",Sync!$M6)</f>
        <v>C001</v>
      </c>
      <c r="O6" t="str">
        <f t="shared" ref="O6:O69" si="3">IF($N6="","",$Q6)</f>
        <v>1405/07/01</v>
      </c>
      <c r="P6" t="str">
        <f>IF($N6="","",LEFT($Q6,4)&amp;MID($Q6,6,2)&amp;RIGHT($Q6,2)&amp;IF(Sync!$K6="","0000",IF(AND(ISNUMBER(Sync!$K6),Sync!$K6&gt;=0,Sync!$K6&lt;1),RIGHT("00"&amp;HOUR(Sync!$K6),2)&amp;RIGHT("00"&amp;MINUTE(Sync!$K6),2),IFERROR(RIGHT("00"&amp;VALUE(LEFT(Sync!$K6,FIND(":",Sync!$K6)-1)),2)&amp;RIGHT("00"&amp;VALUE(MID(Sync!$K6,FIND(":",Sync!$K6)+1,2)),2),"0000")))&amp;"|"&amp;"2"&amp;RIGHT("00000"&amp;1,5))</f>
        <v>140507010830|200001</v>
      </c>
      <c r="Q6" t="str">
        <f>IF(Sync!$J6="","",IF(ISNUMBER(Sync!$J6),IF(AND(Sync!$J6&gt;=10000101,Sync!$J6&lt;=99991231),INT(Sync!$J6/10000)&amp;"/"&amp;RIGHT("00"&amp;INT(MOD(Sync!$J6,10000)/100),2)&amp;"/"&amp;RIGHT("00"&amp;MOD(Sync!$J6,100),2),"نامعتبر"),IF(LEN(Sync!$J6)=10,Sync!$J6,"نامعتبر")))</f>
        <v>1405/07/01</v>
      </c>
      <c r="R6">
        <f t="shared" ref="R6:R69" si="4">IF($P6="","",COUNTIFS($N$6:$N$2005,$N6,$P$6:$P$2005,"&lt;"&amp;$P6)+COUNTIFS($A$6:$A$1005,$N6,$B$6:$B$1005,"&lt;"&amp;$P6)+1)</f>
        <v>1</v>
      </c>
      <c r="S6" t="str">
        <f t="shared" ref="S6:S69" si="5">IF($N6="","",$N6&amp;"|"&amp;RIGHT("000000"&amp;$R6,6))</f>
        <v>C001|000001</v>
      </c>
      <c r="T6">
        <f>IF($N6="","",IF(Sync!$N6="",0,Sync!$N6))</f>
        <v>250000000</v>
      </c>
      <c r="U6">
        <f>IF($N6="","",IF(Sync!$O6="",0,Sync!$O6))</f>
        <v>0</v>
      </c>
      <c r="V6" t="str">
        <f>IF($N6="","",Sync!$L6)</f>
        <v>BANK01 – ملت — جاری شرکت</v>
      </c>
      <c r="W6" t="str">
        <f>IF($N6="","",Sync!$P6)</f>
        <v>واریز بابت خرید مرکبات (ردیف نمونه)</v>
      </c>
      <c r="AA6">
        <f>IF($A6="","",IF(COUNTIF($A$6:$A6,$A6)=1,1,0))</f>
        <v>1</v>
      </c>
      <c r="AB6">
        <f>SUM($AA$6:$AA6)</f>
        <v>1</v>
      </c>
      <c r="AC6" t="str">
        <f t="shared" ref="AC6:AC69" si="6">IFERROR(INDEX($A$6:$A$1005,MATCH(ROW()-5,$AB$6:$AB$1005,0)),"")</f>
        <v>S001</v>
      </c>
    </row>
    <row r="7" spans="1:30" x14ac:dyDescent="0.2">
      <c r="A7" t="str">
        <f>IF(OR(Entry!$B10="",Entry!$E10="",$E7="نامعتبر"),"",Entry!$E10)</f>
        <v>S001</v>
      </c>
      <c r="B7" t="str">
        <f>IF($A7="","",LEFT($E7,4)&amp;MID($E7,6,2)&amp;RIGHT($E7,2)&amp;$F7&amp;"|"&amp;"1"&amp;RIGHT("00000"&amp;2,5))</f>
        <v>140507130000|100002</v>
      </c>
      <c r="C7">
        <f t="shared" si="0"/>
        <v>3</v>
      </c>
      <c r="D7" t="str">
        <f t="shared" si="1"/>
        <v>S001|000003</v>
      </c>
      <c r="E7" t="str">
        <f>IF(Entry!$B10="","",IF(ISNUMBER(Entry!$B10),IF(AND(Entry!$B10&gt;=10000101,Entry!$B10&lt;=99991231),INT(Entry!$B10/10000)&amp;"/"&amp;RIGHT("00"&amp;INT(MOD(Entry!$B10,10000)/100),2)&amp;"/"&amp;RIGHT("00"&amp;MOD(Entry!$B10,100),2),"نامعتبر"),IF(LEN(Entry!$B10)=10,Entry!$B10,"نامعتبر")))</f>
        <v>1405/07/13</v>
      </c>
      <c r="F7" t="str">
        <f>IF(Entry!$B10="","",IF(Entry!$C10="","0000",IF(AND(ISNUMBER(Entry!$C10),Entry!$C10&gt;=0,Entry!$C10&lt;1),RIGHT("00"&amp;HOUR(Entry!$C10),2)&amp;RIGHT("00"&amp;MINUTE(Entry!$C10),2),IFERROR(RIGHT("00"&amp;VALUE(LEFT(Entry!$C10,FIND(":",Entry!$C10)-1)),2)&amp;RIGHT("00"&amp;VALUE(MID(Entry!$C10,FIND(":",Entry!$C10)+1,2)),2),"0000"))))</f>
        <v>0000</v>
      </c>
      <c r="G7" t="e">
        <f>IF($A7="","",Entry!$G10)</f>
        <v/>
      </c>
      <c r="H7" t="e">
        <f>IF($A7="","",IF(Entry!$H10="",0,Entry!$H10))</f>
        <v/>
      </c>
      <c r="I7" t="e">
        <f>IF($A7="","",IF(Entry!$I10="",0,Entry!$I10))</f>
        <v/>
      </c>
      <c r="J7" t="e">
        <f t="shared" si="2"/>
        <v>#REF!</v>
      </c>
      <c r="K7">
        <f>IF($A7="","",Entry!$D10)</f>
        <v>0</v>
      </c>
      <c r="L7">
        <f>IF($A7="","",Entry!$L10)</f>
        <v>0</v>
      </c>
      <c r="N7" t="str">
        <f>IF(OR(Sync!$M7="",$Q7="",$Q7="نامعتبر"),"",Sync!$M7)</f>
        <v>X001</v>
      </c>
      <c r="O7" t="str">
        <f t="shared" si="3"/>
        <v>1405/07/01</v>
      </c>
      <c r="P7" t="str">
        <f>IF($N7="","",LEFT($Q7,4)&amp;MID($Q7,6,2)&amp;RIGHT($Q7,2)&amp;IF(Sync!$K7="","0000",IF(AND(ISNUMBER(Sync!$K7),Sync!$K7&gt;=0,Sync!$K7&lt;1),RIGHT("00"&amp;HOUR(Sync!$K7),2)&amp;RIGHT("00"&amp;MINUTE(Sync!$K7),2),IFERROR(RIGHT("00"&amp;VALUE(LEFT(Sync!$K7,FIND(":",Sync!$K7)-1)),2)&amp;RIGHT("00"&amp;VALUE(MID(Sync!$K7,FIND(":",Sync!$K7)+1,2)),2),"0000")))&amp;"|"&amp;"2"&amp;RIGHT("00000"&amp;2,5))</f>
        <v>140507011015|200002</v>
      </c>
      <c r="Q7" t="str">
        <f>IF(Sync!$J7="","",IF(ISNUMBER(Sync!$J7),IF(AND(Sync!$J7&gt;=10000101,Sync!$J7&lt;=99991231),INT(Sync!$J7/10000)&amp;"/"&amp;RIGHT("00"&amp;INT(MOD(Sync!$J7,10000)/100),2)&amp;"/"&amp;RIGHT("00"&amp;MOD(Sync!$J7,100),2),"نامعتبر"),IF(LEN(Sync!$J7)=10,Sync!$J7,"نامعتبر")))</f>
        <v>1405/07/01</v>
      </c>
      <c r="R7">
        <f t="shared" si="4"/>
        <v>1</v>
      </c>
      <c r="S7" t="str">
        <f t="shared" si="5"/>
        <v>X001|000001</v>
      </c>
      <c r="T7">
        <f>IF($N7="","",IF(Sync!$N7="",0,Sync!$N7))</f>
        <v>0</v>
      </c>
      <c r="U7">
        <f>IF($N7="","",IF(Sync!$O7="",0,Sync!$O7))</f>
        <v>1200000</v>
      </c>
      <c r="V7" t="str">
        <f>IF($N7="","",Sync!$L7)</f>
        <v>BANK01 – ملت — جاری شرکت</v>
      </c>
      <c r="W7" t="str">
        <f>IF($N7="","",Sync!$P7)</f>
        <v>کارمزد بانکی (نمونه)</v>
      </c>
      <c r="AA7">
        <f>IF($A7="","",IF(COUNTIF($A$6:$A7,$A7)=1,1,0))</f>
        <v>0</v>
      </c>
      <c r="AB7">
        <f>SUM($AA$6:$AA7)</f>
        <v>1</v>
      </c>
      <c r="AC7" t="str">
        <f t="shared" si="6"/>
        <v>S002</v>
      </c>
    </row>
    <row r="8" spans="1:30" x14ac:dyDescent="0.2">
      <c r="A8" t="str">
        <f>IF(OR(Entry!$B11="",Entry!$E11="",$E8="نامعتبر"),"",Entry!$E11)</f>
        <v>S001</v>
      </c>
      <c r="B8" t="str">
        <f>IF($A8="","",LEFT($E8,4)&amp;MID($E8,6,2)&amp;RIGHT($E8,2)&amp;$F8&amp;"|"&amp;"1"&amp;RIGHT("00000"&amp;3,5))</f>
        <v>140507130000|100003</v>
      </c>
      <c r="C8">
        <f t="shared" si="0"/>
        <v>4</v>
      </c>
      <c r="D8" t="str">
        <f t="shared" si="1"/>
        <v>S001|000004</v>
      </c>
      <c r="E8" t="str">
        <f>IF(Entry!$B11="","",IF(ISNUMBER(Entry!$B11),IF(AND(Entry!$B11&gt;=10000101,Entry!$B11&lt;=99991231),INT(Entry!$B11/10000)&amp;"/"&amp;RIGHT("00"&amp;INT(MOD(Entry!$B11,10000)/100),2)&amp;"/"&amp;RIGHT("00"&amp;MOD(Entry!$B11,100),2),"نامعتبر"),IF(LEN(Entry!$B11)=10,Entry!$B11,"نامعتبر")))</f>
        <v>1405/07/13</v>
      </c>
      <c r="F8" t="str">
        <f>IF(Entry!$B11="","",IF(Entry!$C11="","0000",IF(AND(ISNUMBER(Entry!$C11),Entry!$C11&gt;=0,Entry!$C11&lt;1),RIGHT("00"&amp;HOUR(Entry!$C11),2)&amp;RIGHT("00"&amp;MINUTE(Entry!$C11),2),IFERROR(RIGHT("00"&amp;VALUE(LEFT(Entry!$C11,FIND(":",Entry!$C11)-1)),2)&amp;RIGHT("00"&amp;VALUE(MID(Entry!$C11,FIND(":",Entry!$C11)+1,2)),2),"0000"))))</f>
        <v>0000</v>
      </c>
      <c r="G8" t="e">
        <f>IF($A8="","",Entry!$G11)</f>
        <v/>
      </c>
      <c r="H8" t="e">
        <f>IF($A8="","",IF(Entry!$H11="",0,Entry!$H11))</f>
        <v/>
      </c>
      <c r="I8" t="e">
        <f>IF($A8="","",IF(Entry!$I11="",0,Entry!$I11))</f>
        <v/>
      </c>
      <c r="J8" t="e">
        <f t="shared" si="2"/>
        <v>#REF!</v>
      </c>
      <c r="K8">
        <f>IF($A8="","",Entry!$D11)</f>
        <v>0</v>
      </c>
      <c r="L8">
        <f>IF($A8="","",Entry!$L11)</f>
        <v>0</v>
      </c>
      <c r="N8" t="str">
        <f>IF(OR(Sync!$M8="",$Q8="",$Q8="نامعتبر"),"",Sync!$M8)</f>
        <v>S002</v>
      </c>
      <c r="O8" t="str">
        <f t="shared" si="3"/>
        <v>1405/07/02</v>
      </c>
      <c r="P8" t="str">
        <f>IF($N8="","",LEFT($Q8,4)&amp;MID($Q8,6,2)&amp;RIGHT($Q8,2)&amp;IF(Sync!$K8="","0000",IF(AND(ISNUMBER(Sync!$K8),Sync!$K8&gt;=0,Sync!$K8&lt;1),RIGHT("00"&amp;HOUR(Sync!$K8),2)&amp;RIGHT("00"&amp;MINUTE(Sync!$K8),2),IFERROR(RIGHT("00"&amp;VALUE(LEFT(Sync!$K8,FIND(":",Sync!$K8)-1)),2)&amp;RIGHT("00"&amp;VALUE(MID(Sync!$K8,FIND(":",Sync!$K8)+1,2)),2),"0000")))&amp;"|"&amp;"2"&amp;RIGHT("00000"&amp;3,5))</f>
        <v>140507020900|200003</v>
      </c>
      <c r="Q8" t="str">
        <f>IF(Sync!$J8="","",IF(ISNUMBER(Sync!$J8),IF(AND(Sync!$J8&gt;=10000101,Sync!$J8&lt;=99991231),INT(Sync!$J8/10000)&amp;"/"&amp;RIGHT("00"&amp;INT(MOD(Sync!$J8,10000)/100),2)&amp;"/"&amp;RIGHT("00"&amp;MOD(Sync!$J8,100),2),"نامعتبر"),IF(LEN(Sync!$J8)=10,Sync!$J8,"نامعتبر")))</f>
        <v>1405/07/02</v>
      </c>
      <c r="R8">
        <f t="shared" si="4"/>
        <v>1</v>
      </c>
      <c r="S8" t="str">
        <f t="shared" si="5"/>
        <v>S002|000001</v>
      </c>
      <c r="T8">
        <f>IF($N8="","",IF(Sync!$N8="",0,Sync!$N8))</f>
        <v>0</v>
      </c>
      <c r="U8">
        <f>IF($N8="","",IF(Sync!$O8="",0,Sync!$O8))</f>
        <v>80000000</v>
      </c>
      <c r="V8" t="str">
        <f>IF($N8="","",Sync!$L8)</f>
        <v>BANK01 – ملت — جاری شرکت</v>
      </c>
      <c r="W8" t="str">
        <f>IF($N8="","",Sync!$P8)</f>
        <v>خرید پرتقال از میدان بار (نمونه)</v>
      </c>
      <c r="AA8">
        <f>IF($A8="","",IF(COUNTIF($A$6:$A8,$A8)=1,1,0))</f>
        <v>0</v>
      </c>
      <c r="AB8">
        <f>SUM($AA$6:$AA8)</f>
        <v>1</v>
      </c>
      <c r="AC8" t="str">
        <f t="shared" si="6"/>
        <v>S003</v>
      </c>
    </row>
    <row r="9" spans="1:30" x14ac:dyDescent="0.2">
      <c r="A9" t="str">
        <f>IF(OR(Entry!$B12="",Entry!$E12="",$E9="نامعتبر"),"",Entry!$E12)</f>
        <v>S001</v>
      </c>
      <c r="B9" t="str">
        <f>IF($A9="","",LEFT($E9,4)&amp;MID($E9,6,2)&amp;RIGHT($E9,2)&amp;$F9&amp;"|"&amp;"1"&amp;RIGHT("00000"&amp;4,5))</f>
        <v>140507130000|100004</v>
      </c>
      <c r="C9">
        <f t="shared" si="0"/>
        <v>5</v>
      </c>
      <c r="D9" t="str">
        <f t="shared" si="1"/>
        <v>S001|000005</v>
      </c>
      <c r="E9" t="str">
        <f>IF(Entry!$B12="","",IF(ISNUMBER(Entry!$B12),IF(AND(Entry!$B12&gt;=10000101,Entry!$B12&lt;=99991231),INT(Entry!$B12/10000)&amp;"/"&amp;RIGHT("00"&amp;INT(MOD(Entry!$B12,10000)/100),2)&amp;"/"&amp;RIGHT("00"&amp;MOD(Entry!$B12,100),2),"نامعتبر"),IF(LEN(Entry!$B12)=10,Entry!$B12,"نامعتبر")))</f>
        <v>1405/07/13</v>
      </c>
      <c r="F9" t="str">
        <f>IF(Entry!$B12="","",IF(Entry!$C12="","0000",IF(AND(ISNUMBER(Entry!$C12),Entry!$C12&gt;=0,Entry!$C12&lt;1),RIGHT("00"&amp;HOUR(Entry!$C12),2)&amp;RIGHT("00"&amp;MINUTE(Entry!$C12),2),IFERROR(RIGHT("00"&amp;VALUE(LEFT(Entry!$C12,FIND(":",Entry!$C12)-1)),2)&amp;RIGHT("00"&amp;VALUE(MID(Entry!$C12,FIND(":",Entry!$C12)+1,2)),2),"0000"))))</f>
        <v>0000</v>
      </c>
      <c r="G9" t="str">
        <f>IF($A9="","",Entry!$G12)</f>
        <v/>
      </c>
      <c r="H9">
        <f>IF($A9="","",IF(Entry!$H12="",0,Entry!$H12))</f>
        <v/>
      </c>
      <c r="I9">
        <f>IF($A9="","",IF(Entry!$I12="",0,Entry!$I12))</f>
        <v/>
      </c>
      <c r="J9">
        <f t="shared" si="2"/>
        <v>15925000</v>
      </c>
      <c r="K9">
        <f>IF($A9="","",Entry!$D12)</f>
        <v>0</v>
      </c>
      <c r="L9">
        <f>IF($A9="","",Entry!$L12)</f>
        <v>0</v>
      </c>
      <c r="N9" t="str">
        <f>IF(OR(Sync!$M9="",$Q9="",$Q9="نامعتبر"),"",Sync!$M9)</f>
        <v>C002</v>
      </c>
      <c r="O9" t="str">
        <f t="shared" si="3"/>
        <v>1405/07/02</v>
      </c>
      <c r="P9" t="str">
        <f>IF($N9="","",LEFT($Q9,4)&amp;MID($Q9,6,2)&amp;RIGHT($Q9,2)&amp;IF(Sync!$K9="","0000",IF(AND(ISNUMBER(Sync!$K9),Sync!$K9&gt;=0,Sync!$K9&lt;1),RIGHT("00"&amp;HOUR(Sync!$K9),2)&amp;RIGHT("00"&amp;MINUTE(Sync!$K9),2),IFERROR(RIGHT("00"&amp;VALUE(LEFT(Sync!$K9,FIND(":",Sync!$K9)-1)),2)&amp;RIGHT("00"&amp;VALUE(MID(Sync!$K9,FIND(":",Sync!$K9)+1,2)),2),"0000")))&amp;"|"&amp;"2"&amp;RIGHT("00000"&amp;4,5))</f>
        <v>140507021245|200004</v>
      </c>
      <c r="Q9" t="str">
        <f>IF(Sync!$J9="","",IF(ISNUMBER(Sync!$J9),IF(AND(Sync!$J9&gt;=10000101,Sync!$J9&lt;=99991231),INT(Sync!$J9/10000)&amp;"/"&amp;RIGHT("00"&amp;INT(MOD(Sync!$J9,10000)/100),2)&amp;"/"&amp;RIGHT("00"&amp;MOD(Sync!$J9,100),2),"نامعتبر"),IF(LEN(Sync!$J9)=10,Sync!$J9,"نامعتبر")))</f>
        <v>1405/07/02</v>
      </c>
      <c r="R9">
        <f t="shared" si="4"/>
        <v>1</v>
      </c>
      <c r="S9" t="str">
        <f t="shared" si="5"/>
        <v>C002|000001</v>
      </c>
      <c r="T9">
        <f>IF($N9="","",IF(Sync!$N9="",0,Sync!$N9))</f>
        <v>90000000</v>
      </c>
      <c r="U9">
        <f>IF($N9="","",IF(Sync!$O9="",0,Sync!$O9))</f>
        <v>0</v>
      </c>
      <c r="V9" t="str">
        <f>IF($N9="","",Sync!$L9)</f>
        <v>BANK02 – صادرات — جاری شرکت</v>
      </c>
      <c r="W9" t="str">
        <f>IF($N9="","",Sync!$P9)</f>
        <v>واریز مشتری — مغایرت عمدی برای نمایش × (نمونه)</v>
      </c>
      <c r="AA9">
        <f>IF($A9="","",IF(COUNTIF($A$6:$A9,$A9)=1,1,0))</f>
        <v>0</v>
      </c>
      <c r="AB9">
        <f>SUM($AA$6:$AA9)</f>
        <v>1</v>
      </c>
      <c r="AC9" t="str">
        <f t="shared" si="6"/>
        <v/>
      </c>
    </row>
    <row r="10" spans="1:30" x14ac:dyDescent="0.2">
      <c r="A10" t="str">
        <f>IF(OR(Entry!$B13="",Entry!$E13="",$E10="نامعتبر"),"",Entry!$E13)</f>
        <v>S001</v>
      </c>
      <c r="B10" t="str">
        <f>IF($A10="","",LEFT($E10,4)&amp;MID($E10,6,2)&amp;RIGHT($E10,2)&amp;$F10&amp;"|"&amp;"1"&amp;RIGHT("00000"&amp;5,5))</f>
        <v>140507160000|100005</v>
      </c>
      <c r="C10">
        <f t="shared" si="0"/>
        <v>7</v>
      </c>
      <c r="D10" t="str">
        <f t="shared" si="1"/>
        <v>S001|000007</v>
      </c>
      <c r="E10" t="str">
        <f>IF(Entry!$B13="","",IF(ISNUMBER(Entry!$B13),IF(AND(Entry!$B13&gt;=10000101,Entry!$B13&lt;=99991231),INT(Entry!$B13/10000)&amp;"/"&amp;RIGHT("00"&amp;INT(MOD(Entry!$B13,10000)/100),2)&amp;"/"&amp;RIGHT("00"&amp;MOD(Entry!$B13,100),2),"نامعتبر"),IF(LEN(Entry!$B13)=10,Entry!$B13,"نامعتبر")))</f>
        <v>1405/07/16</v>
      </c>
      <c r="F10" t="str">
        <f>IF(Entry!$B13="","",IF(Entry!$C13="","0000",IF(AND(ISNUMBER(Entry!$C13),Entry!$C13&gt;=0,Entry!$C13&lt;1),RIGHT("00"&amp;HOUR(Entry!$C13),2)&amp;RIGHT("00"&amp;MINUTE(Entry!$C13),2),IFERROR(RIGHT("00"&amp;VALUE(LEFT(Entry!$C13,FIND(":",Entry!$C13)-1)),2)&amp;RIGHT("00"&amp;VALUE(MID(Entry!$C13,FIND(":",Entry!$C13)+1,2)),2),"0000"))))</f>
        <v>0000</v>
      </c>
      <c r="G10" t="str">
        <f>IF($A10="","",Entry!$G13)</f>
        <v/>
      </c>
      <c r="H10">
        <f>IF($A10="","",IF(Entry!$H13="",0,Entry!$H13))</f>
        <v/>
      </c>
      <c r="I10">
        <f>IF($A10="","",IF(Entry!$I13="",0,Entry!$I13))</f>
        <v/>
      </c>
      <c r="J10">
        <f t="shared" si="2"/>
        <v>3250000</v>
      </c>
      <c r="K10">
        <f>IF($A10="","",Entry!$D13)</f>
        <v>0</v>
      </c>
      <c r="L10">
        <f>IF($A10="","",Entry!$L13)</f>
        <v>0</v>
      </c>
      <c r="N10" t="str">
        <f>IF(OR(Sync!$M10="",$Q10="",$Q10="نامعتبر"),"",Sync!$M10)</f>
        <v>X003</v>
      </c>
      <c r="O10" t="str">
        <f t="shared" si="3"/>
        <v>1405/07/03</v>
      </c>
      <c r="P10" t="str">
        <f>IF($N10="","",LEFT($Q10,4)&amp;MID($Q10,6,2)&amp;RIGHT($Q10,2)&amp;IF(Sync!$K10="","0000",IF(AND(ISNUMBER(Sync!$K10),Sync!$K10&gt;=0,Sync!$K10&lt;1),RIGHT("00"&amp;HOUR(Sync!$K10),2)&amp;RIGHT("00"&amp;MINUTE(Sync!$K10),2),IFERROR(RIGHT("00"&amp;VALUE(LEFT(Sync!$K10,FIND(":",Sync!$K10)-1)),2)&amp;RIGHT("00"&amp;VALUE(MID(Sync!$K10,FIND(":",Sync!$K10)+1,2)),2),"0000")))&amp;"|"&amp;"2"&amp;RIGHT("00000"&amp;5,5))</f>
        <v>140507031120|200005</v>
      </c>
      <c r="Q10" t="str">
        <f>IF(Sync!$J10="","",IF(ISNUMBER(Sync!$J10),IF(AND(Sync!$J10&gt;=10000101,Sync!$J10&lt;=99991231),INT(Sync!$J10/10000)&amp;"/"&amp;RIGHT("00"&amp;INT(MOD(Sync!$J10,10000)/100),2)&amp;"/"&amp;RIGHT("00"&amp;MOD(Sync!$J10,100),2),"نامعتبر"),IF(LEN(Sync!$J10)=10,Sync!$J10,"نامعتبر")))</f>
        <v>1405/07/03</v>
      </c>
      <c r="R10">
        <f t="shared" si="4"/>
        <v>1</v>
      </c>
      <c r="S10" t="str">
        <f t="shared" si="5"/>
        <v>X003|000001</v>
      </c>
      <c r="T10">
        <f>IF($N10="","",IF(Sync!$N10="",0,Sync!$N10))</f>
        <v>0</v>
      </c>
      <c r="U10">
        <f>IF($N10="","",IF(Sync!$O10="",0,Sync!$O10))</f>
        <v>15000000</v>
      </c>
      <c r="V10" t="str">
        <f>IF($N10="","",Sync!$L10)</f>
        <v>BANK02 – صادرات — جاری شرکت</v>
      </c>
      <c r="W10" t="str">
        <f>IF($N10="","",Sync!$P10)</f>
        <v>برداشت نقدی به صندوق — بدون گروه (نمونه)</v>
      </c>
      <c r="AA10">
        <f>IF($A10="","",IF(COUNTIF($A$6:$A10,$A10)=1,1,0))</f>
        <v>0</v>
      </c>
      <c r="AB10">
        <f>SUM($AA$6:$AA10)</f>
        <v>1</v>
      </c>
      <c r="AC10" t="str">
        <f t="shared" si="6"/>
        <v/>
      </c>
    </row>
    <row r="11" spans="1:30" x14ac:dyDescent="0.2">
      <c r="A11" t="str">
        <f>IF(OR(Entry!$B14="",Entry!$E14="",$E11="نامعتبر"),"",Entry!$E14)</f>
        <v>S001</v>
      </c>
      <c r="B11" t="str">
        <f>IF($A11="","",LEFT($E11,4)&amp;MID($E11,6,2)&amp;RIGHT($E11,2)&amp;$F11&amp;"|"&amp;"1"&amp;RIGHT("00000"&amp;6,5))</f>
        <v>140507160000|100006</v>
      </c>
      <c r="C11">
        <f t="shared" si="0"/>
        <v>8</v>
      </c>
      <c r="D11" t="str">
        <f t="shared" si="1"/>
        <v>S001|000008</v>
      </c>
      <c r="E11" t="str">
        <f>IF(Entry!$B14="","",IF(ISNUMBER(Entry!$B14),IF(AND(Entry!$B14&gt;=10000101,Entry!$B14&lt;=99991231),INT(Entry!$B14/10000)&amp;"/"&amp;RIGHT("00"&amp;INT(MOD(Entry!$B14,10000)/100),2)&amp;"/"&amp;RIGHT("00"&amp;MOD(Entry!$B14,100),2),"نامعتبر"),IF(LEN(Entry!$B14)=10,Entry!$B14,"نامعتبر")))</f>
        <v>1405/07/16</v>
      </c>
      <c r="F11" t="str">
        <f>IF(Entry!$B14="","",IF(Entry!$C14="","0000",IF(AND(ISNUMBER(Entry!$C14),Entry!$C14&gt;=0,Entry!$C14&lt;1),RIGHT("00"&amp;HOUR(Entry!$C14),2)&amp;RIGHT("00"&amp;MINUTE(Entry!$C14),2),IFERROR(RIGHT("00"&amp;VALUE(LEFT(Entry!$C14,FIND(":",Entry!$C14)-1)),2)&amp;RIGHT("00"&amp;VALUE(MID(Entry!$C14,FIND(":",Entry!$C14)+1,2)),2),"0000"))))</f>
        <v>0000</v>
      </c>
      <c r="G11" t="str">
        <f>IF($A11="","",Entry!$G14)</f>
        <v/>
      </c>
      <c r="H11">
        <f>IF($A11="","",IF(Entry!$H14="",0,Entry!$H14))</f>
        <v/>
      </c>
      <c r="I11">
        <f>IF($A11="","",IF(Entry!$I14="",0,Entry!$I14))</f>
        <v/>
      </c>
      <c r="J11">
        <f t="shared" si="2"/>
        <v>15925000</v>
      </c>
      <c r="K11">
        <f>IF($A11="","",Entry!$D14)</f>
        <v>0</v>
      </c>
      <c r="L11">
        <f>IF($A11="","",Entry!$L14)</f>
        <v>0</v>
      </c>
      <c r="N11" t="str">
        <f>IF(OR(Sync!$M11="",$Q11="",$Q11="نامعتبر"),"",Sync!$M11)</f>
        <v>C001</v>
      </c>
      <c r="O11" t="str">
        <f t="shared" si="3"/>
        <v>1405/07/01</v>
      </c>
      <c r="P11" t="str">
        <f>IF($N11="","",LEFT($Q11,4)&amp;MID($Q11,6,2)&amp;RIGHT($Q11,2)&amp;IF(Sync!$K11="","0000",IF(AND(ISNUMBER(Sync!$K11),Sync!$K11&gt;=0,Sync!$K11&lt;1),RIGHT("00"&amp;HOUR(Sync!$K11),2)&amp;RIGHT("00"&amp;MINUTE(Sync!$K11),2),IFERROR(RIGHT("00"&amp;VALUE(LEFT(Sync!$K11,FIND(":",Sync!$K11)-1)),2)&amp;RIGHT("00"&amp;VALUE(MID(Sync!$K11,FIND(":",Sync!$K11)+1,2)),2),"0000")))&amp;"|"&amp;"2"&amp;RIGHT("00000"&amp;6,5))</f>
        <v>140507010830|200006</v>
      </c>
      <c r="Q11" t="str">
        <f>IF(Sync!$J11="","",IF(ISNUMBER(Sync!$J11),IF(AND(Sync!$J11&gt;=10000101,Sync!$J11&lt;=99991231),INT(Sync!$J11/10000)&amp;"/"&amp;RIGHT("00"&amp;INT(MOD(Sync!$J11,10000)/100),2)&amp;"/"&amp;RIGHT("00"&amp;MOD(Sync!$J11,100),2),"نامعتبر"),IF(LEN(Sync!$J11)=10,Sync!$J11,"نامعتبر")))</f>
        <v>1405/07/01</v>
      </c>
      <c r="R11">
        <f t="shared" si="4"/>
        <v>2</v>
      </c>
      <c r="S11" t="str">
        <f t="shared" si="5"/>
        <v>C001|000002</v>
      </c>
      <c r="T11">
        <f>IF($N11="","",IF(Sync!$N11="",0,Sync!$N11))</f>
        <v>250000000</v>
      </c>
      <c r="U11">
        <f>IF($N11="","",IF(Sync!$O11="",0,Sync!$O11))</f>
        <v>0</v>
      </c>
      <c r="V11" t="str">
        <f>IF($N11="","",Sync!$L11)</f>
        <v>BANK01 – ملت — جاری شرکت</v>
      </c>
      <c r="W11" t="str">
        <f>IF($N11="","",Sync!$P11)</f>
        <v>ردیف تکراری — اثر آن را بر ستون وضعیت ببینید (نمونه)</v>
      </c>
      <c r="AA11">
        <f>IF($A11="","",IF(COUNTIF($A$6:$A11,$A11)=1,1,0))</f>
        <v>0</v>
      </c>
      <c r="AB11">
        <f>SUM($AA$6:$AA11)</f>
        <v>1</v>
      </c>
      <c r="AC11" t="str">
        <f t="shared" si="6"/>
        <v/>
      </c>
    </row>
    <row r="12" spans="1:30" x14ac:dyDescent="0.2">
      <c r="A12" t="str">
        <f>IF(OR(Entry!$B15="",Entry!$E15="",$E12="نامعتبر"),"",Entry!$E15)</f>
        <v>S001</v>
      </c>
      <c r="B12" t="str">
        <f>IF($A12="","",LEFT($E12,4)&amp;MID($E12,6,2)&amp;RIGHT($E12,2)&amp;$F12&amp;"|"&amp;"1"&amp;RIGHT("00000"&amp;7,5))</f>
        <v>140507170000|100007</v>
      </c>
      <c r="C12">
        <f t="shared" si="0"/>
        <v>9</v>
      </c>
      <c r="D12" t="str">
        <f t="shared" si="1"/>
        <v>S001|000009</v>
      </c>
      <c r="E12" t="str">
        <f>IF(Entry!$B15="","",IF(ISNUMBER(Entry!$B15),IF(AND(Entry!$B15&gt;=10000101,Entry!$B15&lt;=99991231),INT(Entry!$B15/10000)&amp;"/"&amp;RIGHT("00"&amp;INT(MOD(Entry!$B15,10000)/100),2)&amp;"/"&amp;RIGHT("00"&amp;MOD(Entry!$B15,100),2),"نامعتبر"),IF(LEN(Entry!$B15)=10,Entry!$B15,"نامعتبر")))</f>
        <v>1405/07/17</v>
      </c>
      <c r="F12" t="str">
        <f>IF(Entry!$B15="","",IF(Entry!$C15="","0000",IF(AND(ISNUMBER(Entry!$C15),Entry!$C15&gt;=0,Entry!$C15&lt;1),RIGHT("00"&amp;HOUR(Entry!$C15),2)&amp;RIGHT("00"&amp;MINUTE(Entry!$C15),2),IFERROR(RIGHT("00"&amp;VALUE(LEFT(Entry!$C15,FIND(":",Entry!$C15)-1)),2)&amp;RIGHT("00"&amp;VALUE(MID(Entry!$C15,FIND(":",Entry!$C15)+1,2)),2),"0000"))))</f>
        <v>0000</v>
      </c>
      <c r="G12" t="str">
        <f>IF($A12="","",Entry!$G15)</f>
        <v/>
      </c>
      <c r="H12">
        <f>IF($A12="","",IF(Entry!$H15="",0,Entry!$H15))</f>
        <v/>
      </c>
      <c r="I12">
        <f>IF($A12="","",IF(Entry!$I15="",0,Entry!$I15))</f>
        <v/>
      </c>
      <c r="J12">
        <f t="shared" si="2"/>
        <v>3250000</v>
      </c>
      <c r="K12">
        <f>IF($A12="","",Entry!$D15)</f>
        <v>0</v>
      </c>
      <c r="L12">
        <f>IF($A12="","",Entry!$L15)</f>
        <v>0</v>
      </c>
      <c r="N12" t="str">
        <f>IF(OR(Sync!$M12="",$Q12="",$Q12="نامعتبر"),"",Sync!$M12)</f>
        <v>SL001</v>
      </c>
      <c r="O12" t="str">
        <f t="shared" si="3"/>
        <v>1405/07/04</v>
      </c>
      <c r="P12" t="str">
        <f>IF($N12="","",LEFT($Q12,4)&amp;MID($Q12,6,2)&amp;RIGHT($Q12,2)&amp;IF(Sync!$K12="","0000",IF(AND(ISNUMBER(Sync!$K12),Sync!$K12&gt;=0,Sync!$K12&lt;1),RIGHT("00"&amp;HOUR(Sync!$K12),2)&amp;RIGHT("00"&amp;MINUTE(Sync!$K12),2),IFERROR(RIGHT("00"&amp;VALUE(LEFT(Sync!$K12,FIND(":",Sync!$K12)-1)),2)&amp;RIGHT("00"&amp;VALUE(MID(Sync!$K12,FIND(":",Sync!$K12)+1,2)),2),"0000")))&amp;"|"&amp;"2"&amp;RIGHT("00000"&amp;7,5))</f>
        <v>140507041030|200007</v>
      </c>
      <c r="Q12" t="str">
        <f>IF(Sync!$J12="","",IF(ISNUMBER(Sync!$J12),IF(AND(Sync!$J12&gt;=10000101,Sync!$J12&lt;=99991231),INT(Sync!$J12/10000)&amp;"/"&amp;RIGHT("00"&amp;INT(MOD(Sync!$J12,10000)/100),2)&amp;"/"&amp;RIGHT("00"&amp;MOD(Sync!$J12,100),2),"نامعتبر"),IF(LEN(Sync!$J12)=10,Sync!$J12,"نامعتبر")))</f>
        <v>1405/07/04</v>
      </c>
      <c r="R12">
        <f t="shared" si="4"/>
        <v>1</v>
      </c>
      <c r="S12" t="str">
        <f t="shared" si="5"/>
        <v>SL001|000001</v>
      </c>
      <c r="T12">
        <f>IF($N12="","",IF(Sync!$N12="",0,Sync!$N12))</f>
        <v>300000000</v>
      </c>
      <c r="U12">
        <f>IF($N12="","",IF(Sync!$O12="",0,Sync!$O12))</f>
        <v>0</v>
      </c>
      <c r="V12" t="str">
        <f>IF($N12="","",Sync!$L12)</f>
        <v>BANK01 – ملت — جاری شرکت</v>
      </c>
      <c r="W12" t="str">
        <f>IF($N12="","",Sync!$P12)</f>
        <v>واریز فروشنده SL001 (نمونه)</v>
      </c>
      <c r="AA12">
        <f>IF($A12="","",IF(COUNTIF($A$6:$A12,$A12)=1,1,0))</f>
        <v>0</v>
      </c>
      <c r="AB12">
        <f>SUM($AA$6:$AA12)</f>
        <v>1</v>
      </c>
      <c r="AC12" t="str">
        <f t="shared" si="6"/>
        <v/>
      </c>
    </row>
    <row r="13" spans="1:30" x14ac:dyDescent="0.2">
      <c r="A13" t="str">
        <f>IF(OR(Entry!$B16="",Entry!$E16="",$E13="نامعتبر"),"",Entry!$E16)</f>
        <v>S001</v>
      </c>
      <c r="B13" t="str">
        <f>IF($A13="","",LEFT($E13,4)&amp;MID($E13,6,2)&amp;RIGHT($E13,2)&amp;$F13&amp;"|"&amp;"1"&amp;RIGHT("00000"&amp;8,5))</f>
        <v>140507170000|100008</v>
      </c>
      <c r="C13">
        <f t="shared" si="0"/>
        <v>10</v>
      </c>
      <c r="D13" t="str">
        <f t="shared" si="1"/>
        <v>S001|000010</v>
      </c>
      <c r="E13" t="str">
        <f>IF(Entry!$B16="","",IF(ISNUMBER(Entry!$B16),IF(AND(Entry!$B16&gt;=10000101,Entry!$B16&lt;=99991231),INT(Entry!$B16/10000)&amp;"/"&amp;RIGHT("00"&amp;INT(MOD(Entry!$B16,10000)/100),2)&amp;"/"&amp;RIGHT("00"&amp;MOD(Entry!$B16,100),2),"نامعتبر"),IF(LEN(Entry!$B16)=10,Entry!$B16,"نامعتبر")))</f>
        <v>1405/07/17</v>
      </c>
      <c r="F13" t="str">
        <f>IF(Entry!$B16="","",IF(Entry!$C16="","0000",IF(AND(ISNUMBER(Entry!$C16),Entry!$C16&gt;=0,Entry!$C16&lt;1),RIGHT("00"&amp;HOUR(Entry!$C16),2)&amp;RIGHT("00"&amp;MINUTE(Entry!$C16),2),IFERROR(RIGHT("00"&amp;VALUE(LEFT(Entry!$C16,FIND(":",Entry!$C16)-1)),2)&amp;RIGHT("00"&amp;VALUE(MID(Entry!$C16,FIND(":",Entry!$C16)+1,2)),2),"0000"))))</f>
        <v>0000</v>
      </c>
      <c r="G13" t="str">
        <f>IF($A13="","",Entry!$G16)</f>
        <v/>
      </c>
      <c r="H13">
        <f>IF($A13="","",IF(Entry!$H16="",0,Entry!$H16))</f>
        <v/>
      </c>
      <c r="I13">
        <f>IF($A13="","",IF(Entry!$I16="",0,Entry!$I16))</f>
        <v/>
      </c>
      <c r="J13">
        <f t="shared" si="2"/>
        <v>18725000</v>
      </c>
      <c r="K13">
        <f>IF($A13="","",Entry!$D16)</f>
        <v>0</v>
      </c>
      <c r="L13">
        <f>IF($A13="","",Entry!$L16)</f>
        <v>0</v>
      </c>
      <c r="N13" t="str">
        <f>IF(OR(Sync!$M13="",$Q13="",$Q13="نامعتبر"),"",Sync!$M13)</f>
        <v>SL002</v>
      </c>
      <c r="O13" t="str">
        <f t="shared" si="3"/>
        <v>1405/07/09</v>
      </c>
      <c r="P13" t="str">
        <f>IF($N13="","",LEFT($Q13,4)&amp;MID($Q13,6,2)&amp;RIGHT($Q13,2)&amp;IF(Sync!$K13="","0000",IF(AND(ISNUMBER(Sync!$K13),Sync!$K13&gt;=0,Sync!$K13&lt;1),RIGHT("00"&amp;HOUR(Sync!$K13),2)&amp;RIGHT("00"&amp;MINUTE(Sync!$K13),2),IFERROR(RIGHT("00"&amp;VALUE(LEFT(Sync!$K13,FIND(":",Sync!$K13)-1)),2)&amp;RIGHT("00"&amp;VALUE(MID(Sync!$K13,FIND(":",Sync!$K13)+1,2)),2),"0000")))&amp;"|"&amp;"2"&amp;RIGHT("00000"&amp;8,5))</f>
        <v>140507091130|200008</v>
      </c>
      <c r="Q13" t="str">
        <f>IF(Sync!$J13="","",IF(ISNUMBER(Sync!$J13),IF(AND(Sync!$J13&gt;=10000101,Sync!$J13&lt;=99991231),INT(Sync!$J13/10000)&amp;"/"&amp;RIGHT("00"&amp;INT(MOD(Sync!$J13,10000)/100),2)&amp;"/"&amp;RIGHT("00"&amp;MOD(Sync!$J13,100),2),"نامعتبر"),IF(LEN(Sync!$J13)=10,Sync!$J13,"نامعتبر")))</f>
        <v>1405/07/09</v>
      </c>
      <c r="R13">
        <f t="shared" si="4"/>
        <v>1</v>
      </c>
      <c r="S13" t="str">
        <f t="shared" si="5"/>
        <v>SL002|000001</v>
      </c>
      <c r="T13">
        <f>IF($N13="","",IF(Sync!$N13="",0,Sync!$N13))</f>
        <v>1600000000</v>
      </c>
      <c r="U13">
        <f>IF($N13="","",IF(Sync!$O13="",0,Sync!$O13))</f>
        <v>0</v>
      </c>
      <c r="V13" t="str">
        <f>IF($N13="","",Sync!$L13)</f>
        <v>BANK02 – صادرات — جاری شرکت</v>
      </c>
      <c r="W13" t="str">
        <f>IF($N13="","",Sync!$P13)</f>
        <v>تسویه فروشنده SL002 (نمونه)</v>
      </c>
      <c r="AA13">
        <f>IF($A13="","",IF(COUNTIF($A$6:$A13,$A13)=1,1,0))</f>
        <v>0</v>
      </c>
      <c r="AB13">
        <f>SUM($AA$6:$AA13)</f>
        <v>1</v>
      </c>
      <c r="AC13" t="str">
        <f t="shared" si="6"/>
        <v/>
      </c>
    </row>
    <row r="14" spans="1:30" x14ac:dyDescent="0.2">
      <c r="A14" t="str">
        <f>IF(OR(Entry!$B17="",Entry!$E17="",$E14="نامعتبر"),"",Entry!$E17)</f>
        <v>S001</v>
      </c>
      <c r="B14" t="str">
        <f>IF($A14="","",LEFT($E14,4)&amp;MID($E14,6,2)&amp;RIGHT($E14,2)&amp;$F14&amp;"|"&amp;"1"&amp;RIGHT("00000"&amp;9,5))</f>
        <v>140507170000|100009</v>
      </c>
      <c r="C14">
        <f t="shared" si="0"/>
        <v>11</v>
      </c>
      <c r="D14" t="str">
        <f t="shared" si="1"/>
        <v>S001|000011</v>
      </c>
      <c r="E14" t="str">
        <f>IF(Entry!$B17="","",IF(ISNUMBER(Entry!$B17),IF(AND(Entry!$B17&gt;=10000101,Entry!$B17&lt;=99991231),INT(Entry!$B17/10000)&amp;"/"&amp;RIGHT("00"&amp;INT(MOD(Entry!$B17,10000)/100),2)&amp;"/"&amp;RIGHT("00"&amp;MOD(Entry!$B17,100),2),"نامعتبر"),IF(LEN(Entry!$B17)=10,Entry!$B17,"نامعتبر")))</f>
        <v>1405/07/17</v>
      </c>
      <c r="F14" t="str">
        <f>IF(Entry!$B17="","",IF(Entry!$C17="","0000",IF(AND(ISNUMBER(Entry!$C17),Entry!$C17&gt;=0,Entry!$C17&lt;1),RIGHT("00"&amp;HOUR(Entry!$C17),2)&amp;RIGHT("00"&amp;MINUTE(Entry!$C17),2),IFERROR(RIGHT("00"&amp;VALUE(LEFT(Entry!$C17,FIND(":",Entry!$C17)-1)),2)&amp;RIGHT("00"&amp;VALUE(MID(Entry!$C17,FIND(":",Entry!$C17)+1,2)),2),"0000"))))</f>
        <v>0000</v>
      </c>
      <c r="G14" t="str">
        <f>IF($A14="","",Entry!$G17)</f>
        <v/>
      </c>
      <c r="H14">
        <f>IF($A14="","",IF(Entry!$H17="",0,Entry!$H17))</f>
        <v/>
      </c>
      <c r="I14">
        <f>IF($A14="","",IF(Entry!$I17="",0,Entry!$I17))</f>
        <v/>
      </c>
      <c r="J14">
        <f t="shared" si="2"/>
        <v>4000000</v>
      </c>
      <c r="K14">
        <f>IF($A14="","",Entry!$D17)</f>
        <v>0</v>
      </c>
      <c r="L14">
        <f>IF($A14="","",Entry!$L17)</f>
        <v>0</v>
      </c>
      <c r="N14" t="str">
        <f>IF(OR(Sync!$M14="",$Q14="",$Q14="نامعتبر"),"",Sync!$M14)</f>
        <v>E002</v>
      </c>
      <c r="O14" t="str">
        <f t="shared" si="3"/>
        <v>1405/07/05</v>
      </c>
      <c r="P14" t="str">
        <f>IF($N14="","",LEFT($Q14,4)&amp;MID($Q14,6,2)&amp;RIGHT($Q14,2)&amp;IF(Sync!$K14="","0000",IF(AND(ISNUMBER(Sync!$K14),Sync!$K14&gt;=0,Sync!$K14&lt;1),RIGHT("00"&amp;HOUR(Sync!$K14),2)&amp;RIGHT("00"&amp;MINUTE(Sync!$K14),2),IFERROR(RIGHT("00"&amp;VALUE(LEFT(Sync!$K14,FIND(":",Sync!$K14)-1)),2)&amp;RIGHT("00"&amp;VALUE(MID(Sync!$K14,FIND(":",Sync!$K14)+1,2)),2),"0000")))&amp;"|"&amp;"2"&amp;RIGHT("00000"&amp;9,5))</f>
        <v>140507051300|200009</v>
      </c>
      <c r="Q14" t="str">
        <f>IF(Sync!$J14="","",IF(ISNUMBER(Sync!$J14),IF(AND(Sync!$J14&gt;=10000101,Sync!$J14&lt;=99991231),INT(Sync!$J14/10000)&amp;"/"&amp;RIGHT("00"&amp;INT(MOD(Sync!$J14,10000)/100),2)&amp;"/"&amp;RIGHT("00"&amp;MOD(Sync!$J14,100),2),"نامعتبر"),IF(LEN(Sync!$J14)=10,Sync!$J14,"نامعتبر")))</f>
        <v>1405/07/05</v>
      </c>
      <c r="R14">
        <f t="shared" si="4"/>
        <v>1</v>
      </c>
      <c r="S14" t="str">
        <f t="shared" si="5"/>
        <v>E002|000001</v>
      </c>
      <c r="T14">
        <f>IF($N14="","",IF(Sync!$N14="",0,Sync!$N14))</f>
        <v>0</v>
      </c>
      <c r="U14">
        <f>IF($N14="","",IF(Sync!$O14="",0,Sync!$O14))</f>
        <v>25000000</v>
      </c>
      <c r="V14" t="str">
        <f>IF($N14="","",Sync!$L14)</f>
        <v>BANK01 – ملت — جاری شرکت</v>
      </c>
      <c r="W14" t="str">
        <f>IF($N14="","",Sync!$P14)</f>
        <v>دستمزد هفتگی (نمونه)</v>
      </c>
      <c r="AA14">
        <f>IF($A14="","",IF(COUNTIF($A$6:$A14,$A14)=1,1,0))</f>
        <v>0</v>
      </c>
      <c r="AB14">
        <f>SUM($AA$6:$AA14)</f>
        <v>1</v>
      </c>
      <c r="AC14" t="str">
        <f t="shared" si="6"/>
        <v/>
      </c>
    </row>
    <row r="15" spans="1:30" x14ac:dyDescent="0.2">
      <c r="A15" t="str">
        <f>IF(OR(Entry!$B18="",Entry!$E18="",$E15="نامعتبر"),"",Entry!$E18)</f>
        <v>S001</v>
      </c>
      <c r="B15" t="str">
        <f>IF($A15="","",LEFT($E15,4)&amp;MID($E15,6,2)&amp;RIGHT($E15,2)&amp;$F15&amp;"|"&amp;"1"&amp;RIGHT("00000"&amp;10,5))</f>
        <v>140507170000|100010</v>
      </c>
      <c r="C15">
        <f t="shared" si="0"/>
        <v>12</v>
      </c>
      <c r="D15" t="str">
        <f t="shared" si="1"/>
        <v>S001|000012</v>
      </c>
      <c r="E15" t="str">
        <f>IF(Entry!$B18="","",IF(ISNUMBER(Entry!$B18),IF(AND(Entry!$B18&gt;=10000101,Entry!$B18&lt;=99991231),INT(Entry!$B18/10000)&amp;"/"&amp;RIGHT("00"&amp;INT(MOD(Entry!$B18,10000)/100),2)&amp;"/"&amp;RIGHT("00"&amp;MOD(Entry!$B18,100),2),"نامعتبر"),IF(LEN(Entry!$B18)=10,Entry!$B18,"نامعتبر")))</f>
        <v>1405/07/17</v>
      </c>
      <c r="F15" t="str">
        <f>IF(Entry!$B18="","",IF(Entry!$C18="","0000",IF(AND(ISNUMBER(Entry!$C18),Entry!$C18&gt;=0,Entry!$C18&lt;1),RIGHT("00"&amp;HOUR(Entry!$C18),2)&amp;RIGHT("00"&amp;MINUTE(Entry!$C18),2),IFERROR(RIGHT("00"&amp;VALUE(LEFT(Entry!$C18,FIND(":",Entry!$C18)-1)),2)&amp;RIGHT("00"&amp;VALUE(MID(Entry!$C18,FIND(":",Entry!$C18)+1,2)),2),"0000"))))</f>
        <v>0000</v>
      </c>
      <c r="G15" t="str">
        <f>IF($A15="","",Entry!$G18)</f>
        <v/>
      </c>
      <c r="H15">
        <f>IF($A15="","",IF(Entry!$H18="",0,Entry!$H18))</f>
        <v/>
      </c>
      <c r="I15">
        <f>IF($A15="","",IF(Entry!$I18="",0,Entry!$I18))</f>
        <v/>
      </c>
      <c r="J15">
        <f t="shared" si="2"/>
        <v>18725000</v>
      </c>
      <c r="K15">
        <f>IF($A15="","",Entry!$D18)</f>
        <v>0</v>
      </c>
      <c r="L15">
        <f>IF($A15="","",Entry!$L18)</f>
        <v>0</v>
      </c>
      <c r="N15" t="str">
        <f>IF(OR(Sync!$M15="",$Q15="",$Q15="نامعتبر"),"",Sync!$M15)</f>
        <v>S002</v>
      </c>
      <c r="O15" t="str">
        <f t="shared" si="3"/>
        <v>1405/07/06</v>
      </c>
      <c r="P15" t="str">
        <f>IF($N15="","",LEFT($Q15,4)&amp;MID($Q15,6,2)&amp;RIGHT($Q15,2)&amp;IF(Sync!$K15="","0000",IF(AND(ISNUMBER(Sync!$K15),Sync!$K15&gt;=0,Sync!$K15&lt;1),RIGHT("00"&amp;HOUR(Sync!$K15),2)&amp;RIGHT("00"&amp;MINUTE(Sync!$K15),2),IFERROR(RIGHT("00"&amp;VALUE(LEFT(Sync!$K15,FIND(":",Sync!$K15)-1)),2)&amp;RIGHT("00"&amp;VALUE(MID(Sync!$K15,FIND(":",Sync!$K15)+1,2)),2),"0000")))&amp;"|"&amp;"2"&amp;RIGHT("00000"&amp;10,5))</f>
        <v>140507061630|200010</v>
      </c>
      <c r="Q15" t="str">
        <f>IF(Sync!$J15="","",IF(ISNUMBER(Sync!$J15),IF(AND(Sync!$J15&gt;=10000101,Sync!$J15&lt;=99991231),INT(Sync!$J15/10000)&amp;"/"&amp;RIGHT("00"&amp;INT(MOD(Sync!$J15,10000)/100),2)&amp;"/"&amp;RIGHT("00"&amp;MOD(Sync!$J15,100),2),"نامعتبر"),IF(LEN(Sync!$J15)=10,Sync!$J15,"نامعتبر")))</f>
        <v>1405/07/06</v>
      </c>
      <c r="R15">
        <f t="shared" si="4"/>
        <v>2</v>
      </c>
      <c r="S15" t="str">
        <f t="shared" si="5"/>
        <v>S002|000002</v>
      </c>
      <c r="T15">
        <f>IF($N15="","",IF(Sync!$N15="",0,Sync!$N15))</f>
        <v>0</v>
      </c>
      <c r="U15">
        <f>IF($N15="","",IF(Sync!$O15="",0,Sync!$O15))</f>
        <v>4500000</v>
      </c>
      <c r="V15" t="str">
        <f>IF($N15="","",Sync!$L15)</f>
        <v>BANK02 – صادرات — جاری شرکت</v>
      </c>
      <c r="W15" t="str">
        <f>IF($N15="","",Sync!$P15)</f>
        <v>خرید رنگ و واکس بسته‌بندی (نمونه)</v>
      </c>
      <c r="AA15">
        <f>IF($A15="","",IF(COUNTIF($A$6:$A15,$A15)=1,1,0))</f>
        <v>0</v>
      </c>
      <c r="AB15">
        <f>SUM($AA$6:$AA15)</f>
        <v>1</v>
      </c>
      <c r="AC15" t="str">
        <f t="shared" si="6"/>
        <v/>
      </c>
    </row>
    <row r="16" spans="1:30" x14ac:dyDescent="0.2">
      <c r="A16" t="str">
        <f>IF(OR(Entry!$B19="",Entry!$E19="",$E16="نامعتبر"),"",Entry!$E19)</f>
        <v>S001</v>
      </c>
      <c r="B16" t="str">
        <f>IF($A16="","",LEFT($E16,4)&amp;MID($E16,6,2)&amp;RIGHT($E16,2)&amp;$F16&amp;"|"&amp;"1"&amp;RIGHT("00000"&amp;11,5))</f>
        <v>140507170000|100011</v>
      </c>
      <c r="C16">
        <f t="shared" si="0"/>
        <v>13</v>
      </c>
      <c r="D16" t="str">
        <f t="shared" si="1"/>
        <v>S001|000013</v>
      </c>
      <c r="E16" t="str">
        <f>IF(Entry!$B19="","",IF(ISNUMBER(Entry!$B19),IF(AND(Entry!$B19&gt;=10000101,Entry!$B19&lt;=99991231),INT(Entry!$B19/10000)&amp;"/"&amp;RIGHT("00"&amp;INT(MOD(Entry!$B19,10000)/100),2)&amp;"/"&amp;RIGHT("00"&amp;MOD(Entry!$B19,100),2),"نامعتبر"),IF(LEN(Entry!$B19)=10,Entry!$B19,"نامعتبر")))</f>
        <v>1405/07/17</v>
      </c>
      <c r="F16" t="str">
        <f>IF(Entry!$B19="","",IF(Entry!$C19="","0000",IF(AND(ISNUMBER(Entry!$C19),Entry!$C19&gt;=0,Entry!$C19&lt;1),RIGHT("00"&amp;HOUR(Entry!$C19),2)&amp;RIGHT("00"&amp;MINUTE(Entry!$C19),2),IFERROR(RIGHT("00"&amp;VALUE(LEFT(Entry!$C19,FIND(":",Entry!$C19)-1)),2)&amp;RIGHT("00"&amp;VALUE(MID(Entry!$C19,FIND(":",Entry!$C19)+1,2)),2),"0000"))))</f>
        <v>0000</v>
      </c>
      <c r="G16" t="str">
        <f>IF($A16="","",Entry!$G19)</f>
        <v/>
      </c>
      <c r="H16">
        <f>IF($A16="","",IF(Entry!$H19="",0,Entry!$H19))</f>
        <v/>
      </c>
      <c r="I16">
        <f>IF($A16="","",IF(Entry!$I19="",0,Entry!$I19))</f>
        <v/>
      </c>
      <c r="J16">
        <f t="shared" si="2"/>
        <v>4000000</v>
      </c>
      <c r="K16">
        <f>IF($A16="","",Entry!$D19)</f>
        <v>0</v>
      </c>
      <c r="L16">
        <f>IF($A16="","",Entry!$L19)</f>
        <v>0</v>
      </c>
      <c r="N16" t="str">
        <f>IF(OR(Sync!$M16="",$Q16="",$Q16="نامعتبر"),"",Sync!$M16)</f>
        <v>E003</v>
      </c>
      <c r="O16" t="str">
        <f t="shared" si="3"/>
        <v>1405/07/07</v>
      </c>
      <c r="P16" t="str">
        <f>IF($N16="","",LEFT($Q16,4)&amp;MID($Q16,6,2)&amp;RIGHT($Q16,2)&amp;IF(Sync!$K16="","0000",IF(AND(ISNUMBER(Sync!$K16),Sync!$K16&gt;=0,Sync!$K16&lt;1),RIGHT("00"&amp;HOUR(Sync!$K16),2)&amp;RIGHT("00"&amp;MINUTE(Sync!$K16),2),IFERROR(RIGHT("00"&amp;VALUE(LEFT(Sync!$K16,FIND(":",Sync!$K16)-1)),2)&amp;RIGHT("00"&amp;VALUE(MID(Sync!$K16,FIND(":",Sync!$K16)+1,2)),2),"0000")))&amp;"|"&amp;"2"&amp;RIGHT("00000"&amp;11,5))</f>
        <v>140507070915|200011</v>
      </c>
      <c r="Q16" t="str">
        <f>IF(Sync!$J16="","",IF(ISNUMBER(Sync!$J16),IF(AND(Sync!$J16&gt;=10000101,Sync!$J16&lt;=99991231),INT(Sync!$J16/10000)&amp;"/"&amp;RIGHT("00"&amp;INT(MOD(Sync!$J16,10000)/100),2)&amp;"/"&amp;RIGHT("00"&amp;MOD(Sync!$J16,100),2),"نامعتبر"),IF(LEN(Sync!$J16)=10,Sync!$J16,"نامعتبر")))</f>
        <v>1405/07/07</v>
      </c>
      <c r="R16">
        <f t="shared" si="4"/>
        <v>1</v>
      </c>
      <c r="S16" t="str">
        <f t="shared" si="5"/>
        <v>E003|000001</v>
      </c>
      <c r="T16">
        <f>IF($N16="","",IF(Sync!$N16="",0,Sync!$N16))</f>
        <v>0</v>
      </c>
      <c r="U16">
        <f>IF($N16="","",IF(Sync!$O16="",0,Sync!$O16))</f>
        <v>8000000</v>
      </c>
      <c r="V16" t="str">
        <f>IF($N16="","",Sync!$L16)</f>
        <v>BANK01 – ملت — جاری شرکت</v>
      </c>
      <c r="W16" t="str">
        <f>IF($N16="","",Sync!$P16)</f>
        <v>خوراک سالن (نمونه)</v>
      </c>
      <c r="AA16">
        <f>IF($A16="","",IF(COUNTIF($A$6:$A16,$A16)=1,1,0))</f>
        <v>0</v>
      </c>
      <c r="AB16">
        <f>SUM($AA$6:$AA16)</f>
        <v>1</v>
      </c>
      <c r="AC16" t="str">
        <f t="shared" si="6"/>
        <v/>
      </c>
    </row>
    <row r="17" spans="1:29" x14ac:dyDescent="0.2">
      <c r="A17" t="str">
        <f>IF(OR(Entry!$B20="",Entry!$E20="",$E17="نامعتبر"),"",Entry!$E20)</f>
        <v>S001</v>
      </c>
      <c r="B17" t="str">
        <f>IF($A17="","",LEFT($E17,4)&amp;MID($E17,6,2)&amp;RIGHT($E17,2)&amp;$F17&amp;"|"&amp;"1"&amp;RIGHT("00000"&amp;12,5))</f>
        <v>140507170000|100012</v>
      </c>
      <c r="C17">
        <f t="shared" si="0"/>
        <v>14</v>
      </c>
      <c r="D17" t="str">
        <f t="shared" si="1"/>
        <v>S001|000014</v>
      </c>
      <c r="E17" t="str">
        <f>IF(Entry!$B20="","",IF(ISNUMBER(Entry!$B20),IF(AND(Entry!$B20&gt;=10000101,Entry!$B20&lt;=99991231),INT(Entry!$B20/10000)&amp;"/"&amp;RIGHT("00"&amp;INT(MOD(Entry!$B20,10000)/100),2)&amp;"/"&amp;RIGHT("00"&amp;MOD(Entry!$B20,100),2),"نامعتبر"),IF(LEN(Entry!$B20)=10,Entry!$B20,"نامعتبر")))</f>
        <v>1405/07/17</v>
      </c>
      <c r="F17" t="str">
        <f>IF(Entry!$B20="","",IF(Entry!$C20="","0000",IF(AND(ISNUMBER(Entry!$C20),Entry!$C20&gt;=0,Entry!$C20&lt;1),RIGHT("00"&amp;HOUR(Entry!$C20),2)&amp;RIGHT("00"&amp;MINUTE(Entry!$C20),2),IFERROR(RIGHT("00"&amp;VALUE(LEFT(Entry!$C20,FIND(":",Entry!$C20)-1)),2)&amp;RIGHT("00"&amp;VALUE(MID(Entry!$C20,FIND(":",Entry!$C20)+1,2)),2),"0000"))))</f>
        <v>0000</v>
      </c>
      <c r="G17" t="str">
        <f>IF($A17="","",Entry!$G20)</f>
        <v/>
      </c>
      <c r="H17">
        <f>IF($A17="","",IF(Entry!$H20="",0,Entry!$H20))</f>
        <v/>
      </c>
      <c r="I17">
        <f>IF($A17="","",IF(Entry!$I20="",0,Entry!$I20))</f>
        <v/>
      </c>
      <c r="J17">
        <f t="shared" si="2"/>
        <v>18725000</v>
      </c>
      <c r="K17">
        <f>IF($A17="","",Entry!$D20)</f>
        <v>0</v>
      </c>
      <c r="L17">
        <f>IF($A17="","",Entry!$L20)</f>
        <v>0</v>
      </c>
      <c r="N17" t="str">
        <f>IF(OR(Sync!$M17="",$Q17="",$Q17="نامعتبر"),"",Sync!$M17)</f>
        <v>E001</v>
      </c>
      <c r="O17" t="str">
        <f t="shared" si="3"/>
        <v>1405/07/08</v>
      </c>
      <c r="P17" t="str">
        <f>IF($N17="","",LEFT($Q17,4)&amp;MID($Q17,6,2)&amp;RIGHT($Q17,2)&amp;IF(Sync!$K17="","0000",IF(AND(ISNUMBER(Sync!$K17),Sync!$K17&gt;=0,Sync!$K17&lt;1),RIGHT("00"&amp;HOUR(Sync!$K17),2)&amp;RIGHT("00"&amp;MINUTE(Sync!$K17),2),IFERROR(RIGHT("00"&amp;VALUE(LEFT(Sync!$K17,FIND(":",Sync!$K17)-1)),2)&amp;RIGHT("00"&amp;VALUE(MID(Sync!$K17,FIND(":",Sync!$K17)+1,2)),2),"0000")))&amp;"|"&amp;"2"&amp;RIGHT("00000"&amp;12,5))</f>
        <v>140507081200|200012</v>
      </c>
      <c r="Q17" t="str">
        <f>IF(Sync!$J17="","",IF(ISNUMBER(Sync!$J17),IF(AND(Sync!$J17&gt;=10000101,Sync!$J17&lt;=99991231),INT(Sync!$J17/10000)&amp;"/"&amp;RIGHT("00"&amp;INT(MOD(Sync!$J17,10000)/100),2)&amp;"/"&amp;RIGHT("00"&amp;MOD(Sync!$J17,100),2),"نامعتبر"),IF(LEN(Sync!$J17)=10,Sync!$J17,"نامعتبر")))</f>
        <v>1405/07/08</v>
      </c>
      <c r="R17">
        <f t="shared" si="4"/>
        <v>1</v>
      </c>
      <c r="S17" t="str">
        <f t="shared" si="5"/>
        <v>E001|000001</v>
      </c>
      <c r="T17">
        <f>IF($N17="","",IF(Sync!$N17="",0,Sync!$N17))</f>
        <v>0</v>
      </c>
      <c r="U17">
        <f>IF($N17="","",IF(Sync!$O17="",0,Sync!$O17))</f>
        <v>20000000</v>
      </c>
      <c r="V17" t="str">
        <f>IF($N17="","",Sync!$L17)</f>
        <v>BANK01 – ملت — جاری شرکت</v>
      </c>
      <c r="W17" t="str">
        <f>IF($N17="","",Sync!$P17)</f>
        <v>برداشت شخصی مدیریت (نمونه)</v>
      </c>
      <c r="AA17">
        <f>IF($A17="","",IF(COUNTIF($A$6:$A17,$A17)=1,1,0))</f>
        <v>0</v>
      </c>
      <c r="AB17">
        <f>SUM($AA$6:$AA17)</f>
        <v>1</v>
      </c>
      <c r="AC17" t="str">
        <f t="shared" si="6"/>
        <v/>
      </c>
    </row>
    <row r="18" spans="1:29" x14ac:dyDescent="0.2">
      <c r="A18" t="str">
        <f>IF(OR(Entry!$B21="",Entry!$E21="",$E18="نامعتبر"),"",Entry!$E21)</f>
        <v>S002</v>
      </c>
      <c r="B18" t="str">
        <f>IF($A18="","",LEFT($E18,4)&amp;MID($E18,6,2)&amp;RIGHT($E18,2)&amp;$F18&amp;"|"&amp;"1"&amp;RIGHT("00000"&amp;13,5))</f>
        <v>140507120000|100013</v>
      </c>
      <c r="C18">
        <f t="shared" si="0"/>
        <v>3</v>
      </c>
      <c r="D18" t="str">
        <f t="shared" si="1"/>
        <v>S002|000003</v>
      </c>
      <c r="E18" t="str">
        <f>IF(Entry!$B21="","",IF(ISNUMBER(Entry!$B21),IF(AND(Entry!$B21&gt;=10000101,Entry!$B21&lt;=99991231),INT(Entry!$B21/10000)&amp;"/"&amp;RIGHT("00"&amp;INT(MOD(Entry!$B21,10000)/100),2)&amp;"/"&amp;RIGHT("00"&amp;MOD(Entry!$B21,100),2),"نامعتبر"),IF(LEN(Entry!$B21)=10,Entry!$B21,"نامعتبر")))</f>
        <v>1405/07/12</v>
      </c>
      <c r="F18" t="str">
        <f>IF(Entry!$B21="","",IF(Entry!$C21="","0000",IF(AND(ISNUMBER(Entry!$C21),Entry!$C21&gt;=0,Entry!$C21&lt;1),RIGHT("00"&amp;HOUR(Entry!$C21),2)&amp;RIGHT("00"&amp;MINUTE(Entry!$C21),2),IFERROR(RIGHT("00"&amp;VALUE(LEFT(Entry!$C21,FIND(":",Entry!$C21)-1)),2)&amp;RIGHT("00"&amp;VALUE(MID(Entry!$C21,FIND(":",Entry!$C21)+1,2)),2),"0000"))))</f>
        <v>0000</v>
      </c>
      <c r="G18" t="str">
        <f>IF($A18="","",Entry!$G21)</f>
        <v/>
      </c>
      <c r="H18">
        <f>IF($A18="","",IF(Entry!$H21="",0,Entry!$H21))</f>
        <v/>
      </c>
      <c r="I18">
        <f>IF($A18="","",IF(Entry!$I21="",0,Entry!$I21))</f>
        <v/>
      </c>
      <c r="J18">
        <f t="shared" si="2"/>
        <v>4000000</v>
      </c>
      <c r="K18">
        <f>IF($A18="","",Entry!$D21)</f>
        <v>0</v>
      </c>
      <c r="L18">
        <f>IF($A18="","",Entry!$L21)</f>
        <v>0</v>
      </c>
      <c r="N18" t="str">
        <f>IF(OR(Sync!$M18="",$Q18="",$Q18="نامعتبر"),"",Sync!$M18)</f>
        <v>S001</v>
      </c>
      <c r="O18" t="str">
        <f t="shared" si="3"/>
        <v>1405/07/07</v>
      </c>
      <c r="P18" t="str">
        <f>IF($N18="","",LEFT($Q18,4)&amp;MID($Q18,6,2)&amp;RIGHT($Q18,2)&amp;IF(Sync!$K18="","0000",IF(AND(ISNUMBER(Sync!$K18),Sync!$K18&gt;=0,Sync!$K18&lt;1),RIGHT("00"&amp;HOUR(Sync!$K18),2)&amp;RIGHT("00"&amp;MINUTE(Sync!$K18),2),IFERROR(RIGHT("00"&amp;VALUE(LEFT(Sync!$K18,FIND(":",Sync!$K18)-1)),2)&amp;RIGHT("00"&amp;VALUE(MID(Sync!$K18,FIND(":",Sync!$K18)+1,2)),2),"0000")))&amp;"|"&amp;"2"&amp;RIGHT("00000"&amp;13,5))</f>
        <v>140507071000|200013</v>
      </c>
      <c r="Q18" t="str">
        <f>IF(Sync!$J18="","",IF(ISNUMBER(Sync!$J18),IF(AND(Sync!$J18&gt;=10000101,Sync!$J18&lt;=99991231),INT(Sync!$J18/10000)&amp;"/"&amp;RIGHT("00"&amp;INT(MOD(Sync!$J18,10000)/100),2)&amp;"/"&amp;RIGHT("00"&amp;MOD(Sync!$J18,100),2),"نامعتبر"),IF(LEN(Sync!$J18)=10,Sync!$J18,"نامعتبر")))</f>
        <v>1405/07/07</v>
      </c>
      <c r="R18">
        <f t="shared" si="4"/>
        <v>1</v>
      </c>
      <c r="S18" t="str">
        <f t="shared" si="5"/>
        <v>S001|000001</v>
      </c>
      <c r="T18">
        <f>IF($N18="","",IF(Sync!$N18="",0,Sync!$N18))</f>
        <v>0</v>
      </c>
      <c r="U18">
        <f>IF($N18="","",IF(Sync!$O18="",0,Sync!$O18))</f>
        <v>15000000</v>
      </c>
      <c r="V18" t="str">
        <f>IF($N18="","",Sync!$L18)</f>
        <v>BANK01 – ملت — جاری شرکت</v>
      </c>
      <c r="W18" t="str">
        <f>IF($N18="","",Sync!$P18)</f>
        <v>پیش‌پرداخت باغ آقای رستمی (نمونه)</v>
      </c>
      <c r="AA18">
        <f>IF($A18="","",IF(COUNTIF($A$6:$A18,$A18)=1,1,0))</f>
        <v>1</v>
      </c>
      <c r="AB18">
        <f>SUM($AA$6:$AA18)</f>
        <v>2</v>
      </c>
      <c r="AC18" t="str">
        <f t="shared" si="6"/>
        <v/>
      </c>
    </row>
    <row r="19" spans="1:29" x14ac:dyDescent="0.2">
      <c r="A19" t="str">
        <f>IF(OR(Entry!$B22="",Entry!$E22="",$E19="نامعتبر"),"",Entry!$E22)</f>
        <v>S002</v>
      </c>
      <c r="B19" t="str">
        <f>IF($A19="","",LEFT($E19,4)&amp;MID($E19,6,2)&amp;RIGHT($E19,2)&amp;$F19&amp;"|"&amp;"1"&amp;RIGHT("00000"&amp;14,5))</f>
        <v>140507140000|100014</v>
      </c>
      <c r="C19">
        <f t="shared" si="0"/>
        <v>4</v>
      </c>
      <c r="D19" t="str">
        <f t="shared" si="1"/>
        <v>S002|000004</v>
      </c>
      <c r="E19" t="str">
        <f>IF(Entry!$B22="","",IF(ISNUMBER(Entry!$B22),IF(AND(Entry!$B22&gt;=10000101,Entry!$B22&lt;=99991231),INT(Entry!$B22/10000)&amp;"/"&amp;RIGHT("00"&amp;INT(MOD(Entry!$B22,10000)/100),2)&amp;"/"&amp;RIGHT("00"&amp;MOD(Entry!$B22,100),2),"نامعتبر"),IF(LEN(Entry!$B22)=10,Entry!$B22,"نامعتبر")))</f>
        <v>1405/07/14</v>
      </c>
      <c r="F19" t="str">
        <f>IF(Entry!$B22="","",IF(Entry!$C22="","0000",IF(AND(ISNUMBER(Entry!$C22),Entry!$C22&gt;=0,Entry!$C22&lt;1),RIGHT("00"&amp;HOUR(Entry!$C22),2)&amp;RIGHT("00"&amp;MINUTE(Entry!$C22),2),IFERROR(RIGHT("00"&amp;VALUE(LEFT(Entry!$C22,FIND(":",Entry!$C22)-1)),2)&amp;RIGHT("00"&amp;VALUE(MID(Entry!$C22,FIND(":",Entry!$C22)+1,2)),2),"0000"))))</f>
        <v>0000</v>
      </c>
      <c r="G19" t="str">
        <f>IF($A19="","",Entry!$G22)</f>
        <v/>
      </c>
      <c r="H19">
        <f>IF($A19="","",IF(Entry!$H22="",0,Entry!$H22))</f>
        <v/>
      </c>
      <c r="I19">
        <f>IF($A19="","",IF(Entry!$I22="",0,Entry!$I22))</f>
        <v/>
      </c>
      <c r="J19">
        <f t="shared" si="2"/>
        <v>18725000</v>
      </c>
      <c r="K19">
        <f>IF($A19="","",Entry!$D22)</f>
        <v>0</v>
      </c>
      <c r="L19">
        <f>IF($A19="","",Entry!$L22)</f>
        <v>0</v>
      </c>
      <c r="N19" t="str">
        <f>IF(OR(Sync!$M19="",$Q19="",$Q19="نامعتبر"),"",Sync!$M19)</f>
        <v>S001</v>
      </c>
      <c r="O19" t="str">
        <f t="shared" si="3"/>
        <v>1405/07/15</v>
      </c>
      <c r="P19" t="str">
        <f>IF($N19="","",LEFT($Q19,4)&amp;MID($Q19,6,2)&amp;RIGHT($Q19,2)&amp;IF(Sync!$K19="","0000",IF(AND(ISNUMBER(Sync!$K19),Sync!$K19&gt;=0,Sync!$K19&lt;1),RIGHT("00"&amp;HOUR(Sync!$K19),2)&amp;RIGHT("00"&amp;MINUTE(Sync!$K19),2),IFERROR(RIGHT("00"&amp;VALUE(LEFT(Sync!$K19,FIND(":",Sync!$K19)-1)),2)&amp;RIGHT("00"&amp;VALUE(MID(Sync!$K19,FIND(":",Sync!$K19)+1,2)),2),"0000")))&amp;"|"&amp;"2"&amp;RIGHT("00000"&amp;14,5))</f>
        <v>140507150900|200014</v>
      </c>
      <c r="Q19" t="str">
        <f>IF(Sync!$J19="","",IF(ISNUMBER(Sync!$J19),IF(AND(Sync!$J19&gt;=10000101,Sync!$J19&lt;=99991231),INT(Sync!$J19/10000)&amp;"/"&amp;RIGHT("00"&amp;INT(MOD(Sync!$J19,10000)/100),2)&amp;"/"&amp;RIGHT("00"&amp;MOD(Sync!$J19,100),2),"نامعتبر"),IF(LEN(Sync!$J19)=10,Sync!$J19,"نامعتبر")))</f>
        <v>1405/07/15</v>
      </c>
      <c r="R19">
        <f t="shared" si="4"/>
        <v>6</v>
      </c>
      <c r="S19" t="str">
        <f t="shared" si="5"/>
        <v>S001|000006</v>
      </c>
      <c r="T19">
        <f>IF($N19="","",IF(Sync!$N19="",0,Sync!$N19))</f>
        <v>0</v>
      </c>
      <c r="U19">
        <f>IF($N19="","",IF(Sync!$O19="",0,Sync!$O19))</f>
        <v>80000000</v>
      </c>
      <c r="V19" t="str">
        <f>IF($N19="","",Sync!$L19)</f>
        <v>BANK01 – ملت — جاری شرکت</v>
      </c>
      <c r="W19" t="str">
        <f>IF($N19="","",Sync!$P19)</f>
        <v>پاس شدن چک ۲۴۰۱۲۳۴۵ — تسویه خرید باغ (نمونه)</v>
      </c>
      <c r="AA19">
        <f>IF($A19="","",IF(COUNTIF($A$6:$A19,$A19)=1,1,0))</f>
        <v>0</v>
      </c>
      <c r="AB19">
        <f>SUM($AA$6:$AA19)</f>
        <v>2</v>
      </c>
      <c r="AC19" t="str">
        <f t="shared" si="6"/>
        <v/>
      </c>
    </row>
    <row r="20" spans="1:29" x14ac:dyDescent="0.2">
      <c r="A20" t="str">
        <f>IF(OR(Entry!$B23="",Entry!$E23="",$E20="نامعتبر"),"",Entry!$E23)</f>
        <v>S002</v>
      </c>
      <c r="B20" t="str">
        <f>IF($A20="","",LEFT($E20,4)&amp;MID($E20,6,2)&amp;RIGHT($E20,2)&amp;$F20&amp;"|"&amp;"1"&amp;RIGHT("00000"&amp;15,5))</f>
        <v>140507180000|100015</v>
      </c>
      <c r="C20">
        <f t="shared" si="0"/>
        <v>5</v>
      </c>
      <c r="D20" t="str">
        <f t="shared" si="1"/>
        <v>S002|000005</v>
      </c>
      <c r="E20" t="str">
        <f>IF(Entry!$B23="","",IF(ISNUMBER(Entry!$B23),IF(AND(Entry!$B23&gt;=10000101,Entry!$B23&lt;=99991231),INT(Entry!$B23/10000)&amp;"/"&amp;RIGHT("00"&amp;INT(MOD(Entry!$B23,10000)/100),2)&amp;"/"&amp;RIGHT("00"&amp;MOD(Entry!$B23,100),2),"نامعتبر"),IF(LEN(Entry!$B23)=10,Entry!$B23,"نامعتبر")))</f>
        <v>1405/07/18</v>
      </c>
      <c r="F20" t="str">
        <f>IF(Entry!$B23="","",IF(Entry!$C23="","0000",IF(AND(ISNUMBER(Entry!$C23),Entry!$C23&gt;=0,Entry!$C23&lt;1),RIGHT("00"&amp;HOUR(Entry!$C23),2)&amp;RIGHT("00"&amp;MINUTE(Entry!$C23),2),IFERROR(RIGHT("00"&amp;VALUE(LEFT(Entry!$C23,FIND(":",Entry!$C23)-1)),2)&amp;RIGHT("00"&amp;VALUE(MID(Entry!$C23,FIND(":",Entry!$C23)+1,2)),2),"0000"))))</f>
        <v>0000</v>
      </c>
      <c r="G20" t="str">
        <f>IF($A20="","",Entry!$G23)</f>
        <v/>
      </c>
      <c r="H20">
        <f>IF($A20="","",IF(Entry!$H23="",0,Entry!$H23))</f>
        <v/>
      </c>
      <c r="I20">
        <f>IF($A20="","",IF(Entry!$I23="",0,Entry!$I23))</f>
        <v/>
      </c>
      <c r="J20">
        <f t="shared" si="2"/>
        <v>3000000</v>
      </c>
      <c r="K20">
        <f>IF($A20="","",Entry!$D23)</f>
        <v>0</v>
      </c>
      <c r="L20">
        <f>IF($A20="","",Entry!$L23)</f>
        <v>0</v>
      </c>
      <c r="N20" t="str">
        <f>IF(OR(Sync!$M20="",$Q20="",$Q20="نامعتبر"),"",Sync!$M20)</f>
        <v>CAP001</v>
      </c>
      <c r="O20" t="str">
        <f t="shared" si="3"/>
        <v>1405/07/11</v>
      </c>
      <c r="P20" t="str">
        <f>IF($N20="","",LEFT($Q20,4)&amp;MID($Q20,6,2)&amp;RIGHT($Q20,2)&amp;IF(Sync!$K20="","0000",IF(AND(ISNUMBER(Sync!$K20),Sync!$K20&gt;=0,Sync!$K20&lt;1),RIGHT("00"&amp;HOUR(Sync!$K20),2)&amp;RIGHT("00"&amp;MINUTE(Sync!$K20),2),IFERROR(RIGHT("00"&amp;VALUE(LEFT(Sync!$K20,FIND(":",Sync!$K20)-1)),2)&amp;RIGHT("00"&amp;VALUE(MID(Sync!$K20,FIND(":",Sync!$K20)+1,2)),2),"0000")))&amp;"|"&amp;"2"&amp;RIGHT("00000"&amp;15,5))</f>
        <v>140507111000|200015</v>
      </c>
      <c r="Q20" t="str">
        <f>IF(Sync!$J20="","",IF(ISNUMBER(Sync!$J20),IF(AND(Sync!$J20&gt;=10000101,Sync!$J20&lt;=99991231),INT(Sync!$J20/10000)&amp;"/"&amp;RIGHT("00"&amp;INT(MOD(Sync!$J20,10000)/100),2)&amp;"/"&amp;RIGHT("00"&amp;MOD(Sync!$J20,100),2),"نامعتبر"),IF(LEN(Sync!$J20)=10,Sync!$J20,"نامعتبر")))</f>
        <v>1405/07/11</v>
      </c>
      <c r="R20">
        <f t="shared" si="4"/>
        <v>1</v>
      </c>
      <c r="S20" t="str">
        <f t="shared" si="5"/>
        <v>CAP001|000001</v>
      </c>
      <c r="T20">
        <f>IF($N20="","",IF(Sync!$N20="",0,Sync!$N20))</f>
        <v>400000000</v>
      </c>
      <c r="U20">
        <f>IF($N20="","",IF(Sync!$O20="",0,Sync!$O20))</f>
        <v>0</v>
      </c>
      <c r="V20" t="str">
        <f>IF($N20="","",Sync!$L20)</f>
        <v>BANK01 – ملت — جاری شرکت</v>
      </c>
      <c r="W20" t="str">
        <f>IF($N20="","",Sync!$P20)</f>
        <v>فروش زمین شخصی و آورده نقدی صاحب سرمایه (نمونه)</v>
      </c>
      <c r="AA20">
        <f>IF($A20="","",IF(COUNTIF($A$6:$A20,$A20)=1,1,0))</f>
        <v>0</v>
      </c>
      <c r="AB20">
        <f>SUM($AA$6:$AA20)</f>
        <v>2</v>
      </c>
      <c r="AC20" t="str">
        <f t="shared" si="6"/>
        <v/>
      </c>
    </row>
    <row r="21" spans="1:29" x14ac:dyDescent="0.2">
      <c r="A21" t="str">
        <f>IF(OR(Entry!$B24="",Entry!$E24="",$E21="نامعتبر"),"",Entry!$E24)</f>
        <v>S002</v>
      </c>
      <c r="B21" t="str">
        <f>IF($A21="","",LEFT($E21,4)&amp;MID($E21,6,2)&amp;RIGHT($E21,2)&amp;$F21&amp;"|"&amp;"1"&amp;RIGHT("00000"&amp;16,5))</f>
        <v>140507180000|100016</v>
      </c>
      <c r="C21">
        <f t="shared" si="0"/>
        <v>6</v>
      </c>
      <c r="D21" t="str">
        <f t="shared" si="1"/>
        <v>S002|000006</v>
      </c>
      <c r="E21" t="str">
        <f>IF(Entry!$B24="","",IF(ISNUMBER(Entry!$B24),IF(AND(Entry!$B24&gt;=10000101,Entry!$B24&lt;=99991231),INT(Entry!$B24/10000)&amp;"/"&amp;RIGHT("00"&amp;INT(MOD(Entry!$B24,10000)/100),2)&amp;"/"&amp;RIGHT("00"&amp;MOD(Entry!$B24,100),2),"نامعتبر"),IF(LEN(Entry!$B24)=10,Entry!$B24,"نامعتبر")))</f>
        <v>1405/07/18</v>
      </c>
      <c r="F21" t="str">
        <f>IF(Entry!$B24="","",IF(Entry!$C24="","0000",IF(AND(ISNUMBER(Entry!$C24),Entry!$C24&gt;=0,Entry!$C24&lt;1),RIGHT("00"&amp;HOUR(Entry!$C24),2)&amp;RIGHT("00"&amp;MINUTE(Entry!$C24),2),IFERROR(RIGHT("00"&amp;VALUE(LEFT(Entry!$C24,FIND(":",Entry!$C24)-1)),2)&amp;RIGHT("00"&amp;VALUE(MID(Entry!$C24,FIND(":",Entry!$C24)+1,2)),2),"0000"))))</f>
        <v>0000</v>
      </c>
      <c r="G21" t="str">
        <f>IF($A21="","",Entry!$G24)</f>
        <v/>
      </c>
      <c r="H21">
        <f>IF($A21="","",IF(Entry!$H24="",0,Entry!$H24))</f>
        <v/>
      </c>
      <c r="I21">
        <f>IF($A21="","",IF(Entry!$I24="",0,Entry!$I24))</f>
        <v/>
      </c>
      <c r="J21">
        <f t="shared" si="2"/>
        <v>51858000</v>
      </c>
      <c r="K21">
        <f>IF($A21="","",Entry!$D24)</f>
        <v>0</v>
      </c>
      <c r="L21">
        <f>IF($A21="","",Entry!$L24)</f>
        <v>0</v>
      </c>
      <c r="N21" t="str">
        <f>IF(OR(Sync!$M21="",$Q21="",$Q21="نامعتبر"),"",Sync!$M21)</f>
        <v>L001</v>
      </c>
      <c r="O21" t="str">
        <f t="shared" si="3"/>
        <v>1405/07/12</v>
      </c>
      <c r="P21" t="str">
        <f>IF($N21="","",LEFT($Q21,4)&amp;MID($Q21,6,2)&amp;RIGHT($Q21,2)&amp;IF(Sync!$K21="","0000",IF(AND(ISNUMBER(Sync!$K21),Sync!$K21&gt;=0,Sync!$K21&lt;1),RIGHT("00"&amp;HOUR(Sync!$K21),2)&amp;RIGHT("00"&amp;MINUTE(Sync!$K21),2),IFERROR(RIGHT("00"&amp;VALUE(LEFT(Sync!$K21,FIND(":",Sync!$K21)-1)),2)&amp;RIGHT("00"&amp;VALUE(MID(Sync!$K21,FIND(":",Sync!$K21)+1,2)),2),"0000")))&amp;"|"&amp;"2"&amp;RIGHT("00000"&amp;16,5))</f>
        <v>140507120930|200016</v>
      </c>
      <c r="Q21" t="str">
        <f>IF(Sync!$J21="","",IF(ISNUMBER(Sync!$J21),IF(AND(Sync!$J21&gt;=10000101,Sync!$J21&lt;=99991231),INT(Sync!$J21/10000)&amp;"/"&amp;RIGHT("00"&amp;INT(MOD(Sync!$J21,10000)/100),2)&amp;"/"&amp;RIGHT("00"&amp;MOD(Sync!$J21,100),2),"نامعتبر"),IF(LEN(Sync!$J21)=10,Sync!$J21,"نامعتبر")))</f>
        <v>1405/07/12</v>
      </c>
      <c r="R21">
        <f t="shared" si="4"/>
        <v>1</v>
      </c>
      <c r="S21" t="str">
        <f t="shared" si="5"/>
        <v>L001|000001</v>
      </c>
      <c r="T21">
        <f>IF($N21="","",IF(Sync!$N21="",0,Sync!$N21))</f>
        <v>200000000</v>
      </c>
      <c r="U21">
        <f>IF($N21="","",IF(Sync!$O21="",0,Sync!$O21))</f>
        <v>0</v>
      </c>
      <c r="V21" t="str">
        <f>IF($N21="","",Sync!$L21)</f>
        <v>BANK02 – صادرات — جاری شرکت</v>
      </c>
      <c r="W21" t="str">
        <f>IF($N21="","",Sync!$P21)</f>
        <v>دریافت وام بانک ملت (نمونه)</v>
      </c>
      <c r="AA21">
        <f>IF($A21="","",IF(COUNTIF($A$6:$A21,$A21)=1,1,0))</f>
        <v>0</v>
      </c>
      <c r="AB21">
        <f>SUM($AA$6:$AA21)</f>
        <v>2</v>
      </c>
      <c r="AC21" t="str">
        <f t="shared" si="6"/>
        <v/>
      </c>
    </row>
    <row r="22" spans="1:29" x14ac:dyDescent="0.2">
      <c r="A22" t="str">
        <f>IF(OR(Entry!$B25="",Entry!$E25="",$E22="نامعتبر"),"",Entry!$E25)</f>
        <v>S002</v>
      </c>
      <c r="B22" t="str">
        <f>IF($A22="","",LEFT($E22,4)&amp;MID($E22,6,2)&amp;RIGHT($E22,2)&amp;$F22&amp;"|"&amp;"1"&amp;RIGHT("00000"&amp;17,5))</f>
        <v>140507180000|100017</v>
      </c>
      <c r="C22">
        <f t="shared" si="0"/>
        <v>7</v>
      </c>
      <c r="D22" t="str">
        <f t="shared" si="1"/>
        <v>S002|000007</v>
      </c>
      <c r="E22" t="str">
        <f>IF(Entry!$B25="","",IF(ISNUMBER(Entry!$B25),IF(AND(Entry!$B25&gt;=10000101,Entry!$B25&lt;=99991231),INT(Entry!$B25/10000)&amp;"/"&amp;RIGHT("00"&amp;INT(MOD(Entry!$B25,10000)/100),2)&amp;"/"&amp;RIGHT("00"&amp;MOD(Entry!$B25,100),2),"نامعتبر"),IF(LEN(Entry!$B25)=10,Entry!$B25,"نامعتبر")))</f>
        <v>1405/07/18</v>
      </c>
      <c r="F22" t="str">
        <f>IF(Entry!$B25="","",IF(Entry!$C25="","0000",IF(AND(ISNUMBER(Entry!$C25),Entry!$C25&gt;=0,Entry!$C25&lt;1),RIGHT("00"&amp;HOUR(Entry!$C25),2)&amp;RIGHT("00"&amp;MINUTE(Entry!$C25),2),IFERROR(RIGHT("00"&amp;VALUE(LEFT(Entry!$C25,FIND(":",Entry!$C25)-1)),2)&amp;RIGHT("00"&amp;VALUE(MID(Entry!$C25,FIND(":",Entry!$C25)+1,2)),2),"0000"))))</f>
        <v>0000</v>
      </c>
      <c r="G22" t="str">
        <f>IF($A22="","",Entry!$G25)</f>
        <v/>
      </c>
      <c r="H22">
        <f>IF($A22="","",IF(Entry!$H25="",0,Entry!$H25))</f>
        <v/>
      </c>
      <c r="I22">
        <f>IF($A22="","",IF(Entry!$I25="",0,Entry!$I25))</f>
        <v/>
      </c>
      <c r="J22">
        <f t="shared" si="2"/>
        <v>51858000</v>
      </c>
      <c r="K22">
        <f>IF($A22="","",Entry!$D25)</f>
        <v>0</v>
      </c>
      <c r="L22">
        <f>IF($A22="","",Entry!$L25)</f>
        <v>0</v>
      </c>
      <c r="N22" t="str">
        <f>IF(OR(Sync!$M22="",$Q22="",$Q22="نامعتبر"),"",Sync!$M22)</f>
        <v>L001</v>
      </c>
      <c r="O22" t="str">
        <f t="shared" si="3"/>
        <v>1405/07/16</v>
      </c>
      <c r="P22" t="str">
        <f>IF($N22="","",LEFT($Q22,4)&amp;MID($Q22,6,2)&amp;RIGHT($Q22,2)&amp;IF(Sync!$K22="","0000",IF(AND(ISNUMBER(Sync!$K22),Sync!$K22&gt;=0,Sync!$K22&lt;1),RIGHT("00"&amp;HOUR(Sync!$K22),2)&amp;RIGHT("00"&amp;MINUTE(Sync!$K22),2),IFERROR(RIGHT("00"&amp;VALUE(LEFT(Sync!$K22,FIND(":",Sync!$K22)-1)),2)&amp;RIGHT("00"&amp;VALUE(MID(Sync!$K22,FIND(":",Sync!$K22)+1,2)),2),"0000")))&amp;"|"&amp;"2"&amp;RIGHT("00000"&amp;17,5))</f>
        <v>140507161000|200017</v>
      </c>
      <c r="Q22" t="str">
        <f>IF(Sync!$J22="","",IF(ISNUMBER(Sync!$J22),IF(AND(Sync!$J22&gt;=10000101,Sync!$J22&lt;=99991231),INT(Sync!$J22/10000)&amp;"/"&amp;RIGHT("00"&amp;INT(MOD(Sync!$J22,10000)/100),2)&amp;"/"&amp;RIGHT("00"&amp;MOD(Sync!$J22,100),2),"نامعتبر"),IF(LEN(Sync!$J22)=10,Sync!$J22,"نامعتبر")))</f>
        <v>1405/07/16</v>
      </c>
      <c r="R22">
        <f t="shared" si="4"/>
        <v>2</v>
      </c>
      <c r="S22" t="str">
        <f t="shared" si="5"/>
        <v>L001|000002</v>
      </c>
      <c r="T22">
        <f>IF($N22="","",IF(Sync!$N22="",0,Sync!$N22))</f>
        <v>0</v>
      </c>
      <c r="U22">
        <f>IF($N22="","",IF(Sync!$O22="",0,Sync!$O22))</f>
        <v>20000000</v>
      </c>
      <c r="V22" t="str">
        <f>IF($N22="","",Sync!$L22)</f>
        <v>BANK02 – صادرات — جاری شرکت</v>
      </c>
      <c r="W22" t="str">
        <f>IF($N22="","",Sync!$P22)</f>
        <v>پرداخت قسط وام — اصل (نمونه)</v>
      </c>
      <c r="AA22">
        <f>IF($A22="","",IF(COUNTIF($A$6:$A22,$A22)=1,1,0))</f>
        <v>0</v>
      </c>
      <c r="AB22">
        <f>SUM($AA$6:$AA22)</f>
        <v>2</v>
      </c>
      <c r="AC22" t="str">
        <f t="shared" si="6"/>
        <v/>
      </c>
    </row>
    <row r="23" spans="1:29" x14ac:dyDescent="0.2">
      <c r="A23" t="str">
        <f>IF(OR(Entry!$B26="",Entry!$E26="",$E23="نامعتبر"),"",Entry!$E26)</f>
        <v>S002</v>
      </c>
      <c r="B23" t="str">
        <f>IF($A23="","",LEFT($E23,4)&amp;MID($E23,6,2)&amp;RIGHT($E23,2)&amp;$F23&amp;"|"&amp;"1"&amp;RIGHT("00000"&amp;18,5))</f>
        <v>140507240000|100018</v>
      </c>
      <c r="C23">
        <f t="shared" si="0"/>
        <v>8</v>
      </c>
      <c r="D23" t="str">
        <f t="shared" si="1"/>
        <v>S002|000008</v>
      </c>
      <c r="E23" t="str">
        <f>IF(Entry!$B26="","",IF(ISNUMBER(Entry!$B26),IF(AND(Entry!$B26&gt;=10000101,Entry!$B26&lt;=99991231),INT(Entry!$B26/10000)&amp;"/"&amp;RIGHT("00"&amp;INT(MOD(Entry!$B26,10000)/100),2)&amp;"/"&amp;RIGHT("00"&amp;MOD(Entry!$B26,100),2),"نامعتبر"),IF(LEN(Entry!$B26)=10,Entry!$B26,"نامعتبر")))</f>
        <v>1405/07/24</v>
      </c>
      <c r="F23" t="str">
        <f>IF(Entry!$B26="","",IF(Entry!$C26="","0000",IF(AND(ISNUMBER(Entry!$C26),Entry!$C26&gt;=0,Entry!$C26&lt;1),RIGHT("00"&amp;HOUR(Entry!$C26),2)&amp;RIGHT("00"&amp;MINUTE(Entry!$C26),2),IFERROR(RIGHT("00"&amp;VALUE(LEFT(Entry!$C26,FIND(":",Entry!$C26)-1)),2)&amp;RIGHT("00"&amp;VALUE(MID(Entry!$C26,FIND(":",Entry!$C26)+1,2)),2),"0000"))))</f>
        <v>0000</v>
      </c>
      <c r="G23" t="str">
        <f>IF($A23="","",Entry!$G26)</f>
        <v/>
      </c>
      <c r="H23">
        <f>IF($A23="","",IF(Entry!$H26="",0,Entry!$H26))</f>
        <v/>
      </c>
      <c r="I23">
        <f>IF($A23="","",IF(Entry!$I26="",0,Entry!$I26))</f>
        <v/>
      </c>
      <c r="J23">
        <f t="shared" si="2"/>
        <v>16740000</v>
      </c>
      <c r="K23">
        <f>IF($A23="","",Entry!$D26)</f>
        <v>0</v>
      </c>
      <c r="L23">
        <f>IF($A23="","",Entry!$L26)</f>
        <v>0</v>
      </c>
      <c r="N23" t="str">
        <f>IF(OR(Sync!$M23="",$Q23="",$Q23="نامعتبر"),"",Sync!$M23)</f>
        <v>L001</v>
      </c>
      <c r="O23" t="str">
        <f t="shared" si="3"/>
        <v>1405/07/16</v>
      </c>
      <c r="P23" t="str">
        <f>IF($N23="","",LEFT($Q23,4)&amp;MID($Q23,6,2)&amp;RIGHT($Q23,2)&amp;IF(Sync!$K23="","0000",IF(AND(ISNUMBER(Sync!$K23),Sync!$K23&gt;=0,Sync!$K23&lt;1),RIGHT("00"&amp;HOUR(Sync!$K23),2)&amp;RIGHT("00"&amp;MINUTE(Sync!$K23),2),IFERROR(RIGHT("00"&amp;VALUE(LEFT(Sync!$K23,FIND(":",Sync!$K23)-1)),2)&amp;RIGHT("00"&amp;VALUE(MID(Sync!$K23,FIND(":",Sync!$K23)+1,2)),2),"0000")))&amp;"|"&amp;"2"&amp;RIGHT("00000"&amp;18,5))</f>
        <v>140507161005|200018</v>
      </c>
      <c r="Q23" t="str">
        <f>IF(Sync!$J23="","",IF(ISNUMBER(Sync!$J23),IF(AND(Sync!$J23&gt;=10000101,Sync!$J23&lt;=99991231),INT(Sync!$J23/10000)&amp;"/"&amp;RIGHT("00"&amp;INT(MOD(Sync!$J23,10000)/100),2)&amp;"/"&amp;RIGHT("00"&amp;MOD(Sync!$J23,100),2),"نامعتبر"),IF(LEN(Sync!$J23)=10,Sync!$J23,"نامعتبر")))</f>
        <v>1405/07/16</v>
      </c>
      <c r="R23">
        <f t="shared" si="4"/>
        <v>3</v>
      </c>
      <c r="S23" t="str">
        <f t="shared" si="5"/>
        <v>L001|000003</v>
      </c>
      <c r="T23">
        <f>IF($N23="","",IF(Sync!$N23="",0,Sync!$N23))</f>
        <v>0</v>
      </c>
      <c r="U23">
        <f>IF($N23="","",IF(Sync!$O23="",0,Sync!$O23))</f>
        <v>2000000</v>
      </c>
      <c r="V23" t="str">
        <f>IF($N23="","",Sync!$L23)</f>
        <v>BANK01 – ملت — جاری شرکت</v>
      </c>
      <c r="W23" t="str">
        <f>IF($N23="","",Sync!$P23)</f>
        <v>بهره و کارمزد اقساط وام — گروه هزینه (نمونه)</v>
      </c>
      <c r="AA23">
        <f>IF($A23="","",IF(COUNTIF($A$6:$A23,$A23)=1,1,0))</f>
        <v>0</v>
      </c>
      <c r="AB23">
        <f>SUM($AA$6:$AA23)</f>
        <v>2</v>
      </c>
      <c r="AC23" t="str">
        <f t="shared" si="6"/>
        <v/>
      </c>
    </row>
    <row r="24" spans="1:29" x14ac:dyDescent="0.2">
      <c r="A24" t="str">
        <f>IF(OR(Entry!$B27="",Entry!$E27="",$E24="نامعتبر"),"",Entry!$E27)</f>
        <v>S001</v>
      </c>
      <c r="B24" t="str">
        <f>IF($A24="","",LEFT($E24,4)&amp;MID($E24,6,2)&amp;RIGHT($E24,2)&amp;$F24&amp;"|"&amp;"1"&amp;RIGHT("00000"&amp;19,5))</f>
        <v>140507190000|100019</v>
      </c>
      <c r="C24">
        <f t="shared" si="0"/>
        <v>15</v>
      </c>
      <c r="D24" t="str">
        <f t="shared" si="1"/>
        <v>S001|000015</v>
      </c>
      <c r="E24" t="str">
        <f>IF(Entry!$B27="","",IF(ISNUMBER(Entry!$B27),IF(AND(Entry!$B27&gt;=10000101,Entry!$B27&lt;=99991231),INT(Entry!$B27/10000)&amp;"/"&amp;RIGHT("00"&amp;INT(MOD(Entry!$B27,10000)/100),2)&amp;"/"&amp;RIGHT("00"&amp;MOD(Entry!$B27,100),2),"نامعتبر"),IF(LEN(Entry!$B27)=10,Entry!$B27,"نامعتبر")))</f>
        <v>1405/07/19</v>
      </c>
      <c r="F24" t="str">
        <f>IF(Entry!$B27="","",IF(Entry!$C27="","0000",IF(AND(ISNUMBER(Entry!$C27),Entry!$C27&gt;=0,Entry!$C27&lt;1),RIGHT("00"&amp;HOUR(Entry!$C27),2)&amp;RIGHT("00"&amp;MINUTE(Entry!$C27),2),IFERROR(RIGHT("00"&amp;VALUE(LEFT(Entry!$C27,FIND(":",Entry!$C27)-1)),2)&amp;RIGHT("00"&amp;VALUE(MID(Entry!$C27,FIND(":",Entry!$C27)+1,2)),2),"0000"))))</f>
        <v>0000</v>
      </c>
      <c r="G24" t="str">
        <f>IF($A24="","",Entry!$G27)</f>
        <v/>
      </c>
      <c r="H24">
        <f>IF($A24="","",IF(Entry!$H27="",0,Entry!$H27))</f>
        <v/>
      </c>
      <c r="I24">
        <f>IF($A24="","",IF(Entry!$I27="",0,Entry!$I27))</f>
        <v/>
      </c>
      <c r="J24">
        <f t="shared" si="2"/>
        <v>16800000</v>
      </c>
      <c r="K24">
        <f>IF($A24="","",Entry!$D27)</f>
        <v>0</v>
      </c>
      <c r="L24">
        <f>IF($A24="","",Entry!$L27)</f>
        <v>0</v>
      </c>
      <c r="N24" t="str">
        <f>IF(OR(Sync!$M24="",$Q24="",$Q24="نامعتبر"),"",Sync!$M24)</f>
        <v>F002</v>
      </c>
      <c r="O24" t="str">
        <f t="shared" si="3"/>
        <v>1405/07/18</v>
      </c>
      <c r="P24" t="str">
        <f>IF($N24="","",LEFT($Q24,4)&amp;MID($Q24,6,2)&amp;RIGHT($Q24,2)&amp;IF(Sync!$K24="","0000",IF(AND(ISNUMBER(Sync!$K24),Sync!$K24&gt;=0,Sync!$K24&lt;1),RIGHT("00"&amp;HOUR(Sync!$K24),2)&amp;RIGHT("00"&amp;MINUTE(Sync!$K24),2),IFERROR(RIGHT("00"&amp;VALUE(LEFT(Sync!$K24,FIND(":",Sync!$K24)-1)),2)&amp;RIGHT("00"&amp;VALUE(MID(Sync!$K24,FIND(":",Sync!$K24)+1,2)),2),"0000")))&amp;"|"&amp;"2"&amp;RIGHT("00000"&amp;19,5))</f>
        <v>140507181100|200019</v>
      </c>
      <c r="Q24" t="str">
        <f>IF(Sync!$J24="","",IF(ISNUMBER(Sync!$J24),IF(AND(Sync!$J24&gt;=10000101,Sync!$J24&lt;=99991231),INT(Sync!$J24/10000)&amp;"/"&amp;RIGHT("00"&amp;INT(MOD(Sync!$J24,10000)/100),2)&amp;"/"&amp;RIGHT("00"&amp;MOD(Sync!$J24,100),2),"نامعتبر"),IF(LEN(Sync!$J24)=10,Sync!$J24,"نامعتبر")))</f>
        <v>1405/07/18</v>
      </c>
      <c r="R24">
        <f t="shared" si="4"/>
        <v>1</v>
      </c>
      <c r="S24" t="str">
        <f t="shared" si="5"/>
        <v>F002|000001</v>
      </c>
      <c r="T24">
        <f>IF($N24="","",IF(Sync!$N24="",0,Sync!$N24))</f>
        <v>0</v>
      </c>
      <c r="U24">
        <f>IF($N24="","",IF(Sync!$O24="",0,Sync!$O24))</f>
        <v>150000000</v>
      </c>
      <c r="V24" t="str">
        <f>IF($N24="","",Sync!$L24)</f>
        <v>BANK01 – ملت — جاری شرکت</v>
      </c>
      <c r="W24" t="str">
        <f>IF($N24="","",Sync!$P24)</f>
        <v>خرید خودرو وانت حمل بار — دارایی ثابت شرکت (نمونه)</v>
      </c>
      <c r="AA24">
        <f>IF($A24="","",IF(COUNTIF($A$6:$A24,$A24)=1,1,0))</f>
        <v>0</v>
      </c>
      <c r="AB24">
        <f>SUM($AA$6:$AA24)</f>
        <v>2</v>
      </c>
      <c r="AC24" t="str">
        <f t="shared" si="6"/>
        <v/>
      </c>
    </row>
    <row r="25" spans="1:29" x14ac:dyDescent="0.2">
      <c r="A25" t="str">
        <f>IF(OR(Entry!$B28="",Entry!$E28="",$E25="نامعتبر"),"",Entry!$E28)</f>
        <v>S001</v>
      </c>
      <c r="B25" t="str">
        <f>IF($A25="","",LEFT($E25,4)&amp;MID($E25,6,2)&amp;RIGHT($E25,2)&amp;$F25&amp;"|"&amp;"1"&amp;RIGHT("00000"&amp;20,5))</f>
        <v>140507200000|100020</v>
      </c>
      <c r="C25">
        <f t="shared" si="0"/>
        <v>16</v>
      </c>
      <c r="D25" t="str">
        <f t="shared" si="1"/>
        <v>S001|000016</v>
      </c>
      <c r="E25" t="str">
        <f>IF(Entry!$B28="","",IF(ISNUMBER(Entry!$B28),IF(AND(Entry!$B28&gt;=10000101,Entry!$B28&lt;=99991231),INT(Entry!$B28/10000)&amp;"/"&amp;RIGHT("00"&amp;INT(MOD(Entry!$B28,10000)/100),2)&amp;"/"&amp;RIGHT("00"&amp;MOD(Entry!$B28,100),2),"نامعتبر"),IF(LEN(Entry!$B28)=10,Entry!$B28,"نامعتبر")))</f>
        <v>1405/07/20</v>
      </c>
      <c r="F25" t="str">
        <f>IF(Entry!$B28="","",IF(Entry!$C28="","0000",IF(AND(ISNUMBER(Entry!$C28),Entry!$C28&gt;=0,Entry!$C28&lt;1),RIGHT("00"&amp;HOUR(Entry!$C28),2)&amp;RIGHT("00"&amp;MINUTE(Entry!$C28),2),IFERROR(RIGHT("00"&amp;VALUE(LEFT(Entry!$C28,FIND(":",Entry!$C28)-1)),2)&amp;RIGHT("00"&amp;VALUE(MID(Entry!$C28,FIND(":",Entry!$C28)+1,2)),2),"0000"))))</f>
        <v>0000</v>
      </c>
      <c r="G25" t="str">
        <f>IF($A25="","",Entry!$G28)</f>
        <v/>
      </c>
      <c r="H25">
        <f>IF($A25="","",IF(Entry!$H28="",0,Entry!$H28))</f>
        <v/>
      </c>
      <c r="I25">
        <f>IF($A25="","",IF(Entry!$I28="",0,Entry!$I28))</f>
        <v/>
      </c>
      <c r="J25">
        <f t="shared" si="2"/>
        <v>57600000</v>
      </c>
      <c r="K25">
        <f>IF($A25="","",Entry!$D28)</f>
        <v>0</v>
      </c>
      <c r="L25">
        <f>IF($A25="","",Entry!$L28)</f>
        <v>0</v>
      </c>
      <c r="N25" t="str">
        <f>IF(OR(Sync!$M25="",$Q25="",$Q25="نامعتبر"),"",Sync!$M25)</f>
        <v>S004</v>
      </c>
      <c r="O25" t="str">
        <f t="shared" si="3"/>
        <v>1405/07/15</v>
      </c>
      <c r="P25" t="str">
        <f>IF($N25="","",LEFT($Q25,4)&amp;MID($Q25,6,2)&amp;RIGHT($Q25,2)&amp;IF(Sync!$K25="","0000",IF(AND(ISNUMBER(Sync!$K25),Sync!$K25&gt;=0,Sync!$K25&lt;1),RIGHT("00"&amp;HOUR(Sync!$K25),2)&amp;RIGHT("00"&amp;MINUTE(Sync!$K25),2),IFERROR(RIGHT("00"&amp;VALUE(LEFT(Sync!$K25,FIND(":",Sync!$K25)-1)),2)&amp;RIGHT("00"&amp;VALUE(MID(Sync!$K25,FIND(":",Sync!$K25)+1,2)),2),"0000")))&amp;"|"&amp;"2"&amp;RIGHT("00000"&amp;20,5))</f>
        <v>140507151030|200020</v>
      </c>
      <c r="Q25" t="str">
        <f>IF(Sync!$J25="","",IF(ISNUMBER(Sync!$J25),IF(AND(Sync!$J25&gt;=10000101,Sync!$J25&lt;=99991231),INT(Sync!$J25/10000)&amp;"/"&amp;RIGHT("00"&amp;INT(MOD(Sync!$J25,10000)/100),2)&amp;"/"&amp;RIGHT("00"&amp;MOD(Sync!$J25,100),2),"نامعتبر"),IF(LEN(Sync!$J25)=10,Sync!$J25,"نامعتبر")))</f>
        <v>1405/07/15</v>
      </c>
      <c r="R25">
        <f t="shared" si="4"/>
        <v>1</v>
      </c>
      <c r="S25" t="str">
        <f t="shared" si="5"/>
        <v>S004|000001</v>
      </c>
      <c r="T25">
        <f>IF($N25="","",IF(Sync!$N25="",0,Sync!$N25))</f>
        <v>0</v>
      </c>
      <c r="U25">
        <f>IF($N25="","",IF(Sync!$O25="",0,Sync!$O25))</f>
        <v>25000000</v>
      </c>
      <c r="V25" t="str">
        <f>IF($N25="","",Sync!$L25)</f>
        <v>BANK01 – ملت — جاری شرکت</v>
      </c>
      <c r="W25" t="str">
        <f>IF($N25="","",Sync!$P25)</f>
        <v>پرداخت بابت سبد خریداری‌شده — تسویه فایل Baskets.xlsx (نمونه)</v>
      </c>
      <c r="AA25">
        <f>IF($A25="","",IF(COUNTIF($A$6:$A25,$A25)=1,1,0))</f>
        <v>0</v>
      </c>
      <c r="AB25">
        <f>SUM($AA$6:$AA25)</f>
        <v>2</v>
      </c>
      <c r="AC25" t="str">
        <f t="shared" si="6"/>
        <v/>
      </c>
    </row>
    <row r="26" spans="1:29" x14ac:dyDescent="0.2">
      <c r="A26" t="str">
        <f>IF(OR(Entry!$B29="",Entry!$E29="",$E26="نامعتبر"),"",Entry!$E29)</f>
        <v>S001</v>
      </c>
      <c r="B26" t="str">
        <f>IF($A26="","",LEFT($E26,4)&amp;MID($E26,6,2)&amp;RIGHT($E26,2)&amp;$F26&amp;"|"&amp;"1"&amp;RIGHT("00000"&amp;21,5))</f>
        <v>140507200000|100021</v>
      </c>
      <c r="C26">
        <f t="shared" si="0"/>
        <v>17</v>
      </c>
      <c r="D26" t="str">
        <f t="shared" si="1"/>
        <v>S001|000017</v>
      </c>
      <c r="E26" t="str">
        <f>IF(Entry!$B29="","",IF(ISNUMBER(Entry!$B29),IF(AND(Entry!$B29&gt;=10000101,Entry!$B29&lt;=99991231),INT(Entry!$B29/10000)&amp;"/"&amp;RIGHT("00"&amp;INT(MOD(Entry!$B29,10000)/100),2)&amp;"/"&amp;RIGHT("00"&amp;MOD(Entry!$B29,100),2),"نامعتبر"),IF(LEN(Entry!$B29)=10,Entry!$B29,"نامعتبر")))</f>
        <v>1405/07/20</v>
      </c>
      <c r="F26" t="str">
        <f>IF(Entry!$B29="","",IF(Entry!$C29="","0000",IF(AND(ISNUMBER(Entry!$C29),Entry!$C29&gt;=0,Entry!$C29&lt;1),RIGHT("00"&amp;HOUR(Entry!$C29),2)&amp;RIGHT("00"&amp;MINUTE(Entry!$C29),2),IFERROR(RIGHT("00"&amp;VALUE(LEFT(Entry!$C29,FIND(":",Entry!$C29)-1)),2)&amp;RIGHT("00"&amp;VALUE(MID(Entry!$C29,FIND(":",Entry!$C29)+1,2)),2),"0000"))))</f>
        <v>0000</v>
      </c>
      <c r="G26" t="str">
        <f>IF($A26="","",Entry!$G29)</f>
        <v/>
      </c>
      <c r="H26">
        <f>IF($A26="","",IF(Entry!$H29="",0,Entry!$H29))</f>
        <v/>
      </c>
      <c r="I26">
        <f>IF($A26="","",IF(Entry!$I29="",0,Entry!$I29))</f>
        <v/>
      </c>
      <c r="J26">
        <f t="shared" si="2"/>
        <v>16000000</v>
      </c>
      <c r="K26">
        <f>IF($A26="","",Entry!$D29)</f>
        <v>0</v>
      </c>
      <c r="L26">
        <f>IF($A26="","",Entry!$L29)</f>
        <v>0</v>
      </c>
      <c r="N26" t="str">
        <f>IF(OR(Sync!$M26="",$Q26="",$Q26="نامعتبر"),"",Sync!$M26)</f>
        <v>C099</v>
      </c>
      <c r="O26" t="str">
        <f t="shared" si="3"/>
        <v>1405/07/20</v>
      </c>
      <c r="P26" t="str">
        <f>IF($N26="","",LEFT($Q26,4)&amp;MID($Q26,6,2)&amp;RIGHT($Q26,2)&amp;IF(Sync!$K26="","0000",IF(AND(ISNUMBER(Sync!$K26),Sync!$K26&gt;=0,Sync!$K26&lt;1),RIGHT("00"&amp;HOUR(Sync!$K26),2)&amp;RIGHT("00"&amp;MINUTE(Sync!$K26),2),IFERROR(RIGHT("00"&amp;VALUE(LEFT(Sync!$K26,FIND(":",Sync!$K26)-1)),2)&amp;RIGHT("00"&amp;VALUE(MID(Sync!$K26,FIND(":",Sync!$K26)+1,2)),2),"0000")))&amp;"|"&amp;"2"&amp;RIGHT("00000"&amp;21,5))</f>
        <v>140507201200|200021</v>
      </c>
      <c r="Q26" t="str">
        <f>IF(Sync!$J26="","",IF(ISNUMBER(Sync!$J26),IF(AND(Sync!$J26&gt;=10000101,Sync!$J26&lt;=99991231),INT(Sync!$J26/10000)&amp;"/"&amp;RIGHT("00"&amp;INT(MOD(Sync!$J26,10000)/100),2)&amp;"/"&amp;RIGHT("00"&amp;MOD(Sync!$J26,100),2),"نامعتبر"),IF(LEN(Sync!$J26)=10,Sync!$J26,"نامعتبر")))</f>
        <v>1405/07/20</v>
      </c>
      <c r="R26">
        <f t="shared" si="4"/>
        <v>1</v>
      </c>
      <c r="S26" t="str">
        <f t="shared" si="5"/>
        <v>C099|000001</v>
      </c>
      <c r="T26">
        <f>IF($N26="","",IF(Sync!$N26="",0,Sync!$N26))</f>
        <v>5000000</v>
      </c>
      <c r="U26">
        <f>IF($N26="","",IF(Sync!$O26="",0,Sync!$O26))</f>
        <v>0</v>
      </c>
      <c r="V26" t="str">
        <f>IF($N26="","",Sync!$L26)</f>
        <v>BANK01 – ملت — جاری شرکت</v>
      </c>
      <c r="W26" t="str">
        <f>IF($N26="","",Sync!$P26)</f>
        <v>مشتری جدید — هنوز در INFO تعریف نشده (نمونه برای شیت کنترل)</v>
      </c>
      <c r="AA26">
        <f>IF($A26="","",IF(COUNTIF($A$6:$A26,$A26)=1,1,0))</f>
        <v>0</v>
      </c>
      <c r="AB26">
        <f>SUM($AA$6:$AA26)</f>
        <v>2</v>
      </c>
      <c r="AC26" t="str">
        <f t="shared" si="6"/>
        <v/>
      </c>
    </row>
    <row r="27" spans="1:29" x14ac:dyDescent="0.2">
      <c r="A27" t="str">
        <f>IF(OR(Entry!$B30="",Entry!$E30="",$E27="نامعتبر"),"",Entry!$E30)</f>
        <v>S001</v>
      </c>
      <c r="B27" t="str">
        <f>IF($A27="","",LEFT($E27,4)&amp;MID($E27,6,2)&amp;RIGHT($E27,2)&amp;$F27&amp;"|"&amp;"1"&amp;RIGHT("00000"&amp;22,5))</f>
        <v>140507230000|100022</v>
      </c>
      <c r="C27">
        <f t="shared" si="0"/>
        <v>18</v>
      </c>
      <c r="D27" t="str">
        <f t="shared" si="1"/>
        <v>S001|000018</v>
      </c>
      <c r="E27" t="str">
        <f>IF(Entry!$B30="","",IF(ISNUMBER(Entry!$B30),IF(AND(Entry!$B30&gt;=10000101,Entry!$B30&lt;=99991231),INT(Entry!$B30/10000)&amp;"/"&amp;RIGHT("00"&amp;INT(MOD(Entry!$B30,10000)/100),2)&amp;"/"&amp;RIGHT("00"&amp;MOD(Entry!$B30,100),2),"نامعتبر"),IF(LEN(Entry!$B30)=10,Entry!$B30,"نامعتبر")))</f>
        <v>1405/07/23</v>
      </c>
      <c r="F27" t="str">
        <f>IF(Entry!$B30="","",IF(Entry!$C30="","0000",IF(AND(ISNUMBER(Entry!$C30),Entry!$C30&gt;=0,Entry!$C30&lt;1),RIGHT("00"&amp;HOUR(Entry!$C30),2)&amp;RIGHT("00"&amp;MINUTE(Entry!$C30),2),IFERROR(RIGHT("00"&amp;VALUE(LEFT(Entry!$C30,FIND(":",Entry!$C30)-1)),2)&amp;RIGHT("00"&amp;VALUE(MID(Entry!$C30,FIND(":",Entry!$C30)+1,2)),2),"0000"))))</f>
        <v>0000</v>
      </c>
      <c r="G27" t="str">
        <f>IF($A27="","",Entry!$G30)</f>
        <v/>
      </c>
      <c r="H27">
        <f>IF($A27="","",IF(Entry!$H30="",0,Entry!$H30))</f>
        <v/>
      </c>
      <c r="I27">
        <f>IF($A27="","",IF(Entry!$I30="",0,Entry!$I30))</f>
        <v/>
      </c>
      <c r="J27">
        <f t="shared" si="2"/>
        <v>25425000</v>
      </c>
      <c r="K27">
        <f>IF($A27="","",Entry!$D30)</f>
        <v>0</v>
      </c>
      <c r="L27">
        <f>IF($A27="","",Entry!$L30)</f>
        <v>0</v>
      </c>
      <c r="N27" t="str">
        <f>IF(OR(Sync!$M27="",$Q27="",$Q27="نامعتبر"),"",Sync!$M27)</f>
        <v>X003</v>
      </c>
      <c r="O27" t="str">
        <f t="shared" si="3"/>
        <v>1405/07/21</v>
      </c>
      <c r="P27" t="str">
        <f>IF($N27="","",LEFT($Q27,4)&amp;MID($Q27,6,2)&amp;RIGHT($Q27,2)&amp;IF(Sync!$K27="","0000",IF(AND(ISNUMBER(Sync!$K27),Sync!$K27&gt;=0,Sync!$K27&lt;1),RIGHT("00"&amp;HOUR(Sync!$K27),2)&amp;RIGHT("00"&amp;MINUTE(Sync!$K27),2),IFERROR(RIGHT("00"&amp;VALUE(LEFT(Sync!$K27,FIND(":",Sync!$K27)-1)),2)&amp;RIGHT("00"&amp;VALUE(MID(Sync!$K27,FIND(":",Sync!$K27)+1,2)),2),"0000")))&amp;"|"&amp;"2"&amp;RIGHT("00000"&amp;22,5))</f>
        <v>140507210940|200022</v>
      </c>
      <c r="Q27" t="str">
        <f>IF(Sync!$J27="","",IF(ISNUMBER(Sync!$J27),IF(AND(Sync!$J27&gt;=10000101,Sync!$J27&lt;=99991231),INT(Sync!$J27/10000)&amp;"/"&amp;RIGHT("00"&amp;INT(MOD(Sync!$J27,10000)/100),2)&amp;"/"&amp;RIGHT("00"&amp;MOD(Sync!$J27,100),2),"نامعتبر"),IF(LEN(Sync!$J27)=10,Sync!$J27,"نامعتبر")))</f>
        <v>1405/07/21</v>
      </c>
      <c r="R27">
        <f t="shared" si="4"/>
        <v>2</v>
      </c>
      <c r="S27" t="str">
        <f t="shared" si="5"/>
        <v>X003|000002</v>
      </c>
      <c r="T27">
        <f>IF($N27="","",IF(Sync!$N27="",0,Sync!$N27))</f>
        <v>0</v>
      </c>
      <c r="U27">
        <f>IF($N27="","",IF(Sync!$O27="",0,Sync!$O27))</f>
        <v>3000000</v>
      </c>
      <c r="V27" t="str">
        <f>IF($N27="","",Sync!$L27)</f>
        <v>BANK01 – ملت — جاری شرکت</v>
      </c>
      <c r="W27" t="str">
        <f>IF($N27="","",Sync!$P27)</f>
        <v>هزینه بدون زیرگروه — برای نمایش در شیت کنترل (نمونه)</v>
      </c>
      <c r="AA27">
        <f>IF($A27="","",IF(COUNTIF($A$6:$A27,$A27)=1,1,0))</f>
        <v>0</v>
      </c>
      <c r="AB27">
        <f>SUM($AA$6:$AA27)</f>
        <v>2</v>
      </c>
      <c r="AC27" t="str">
        <f t="shared" si="6"/>
        <v/>
      </c>
    </row>
    <row r="28" spans="1:29" x14ac:dyDescent="0.2">
      <c r="A28" t="str">
        <f>IF(OR(Entry!$B31="",Entry!$E31="",$E28="نامعتبر"),"",Entry!$E31)</f>
        <v>S001</v>
      </c>
      <c r="B28" t="str">
        <f>IF($A28="","",LEFT($E28,4)&amp;MID($E28,6,2)&amp;RIGHT($E28,2)&amp;$F28&amp;"|"&amp;"1"&amp;RIGHT("00000"&amp;23,5))</f>
        <v>140507240000|100023</v>
      </c>
      <c r="C28">
        <f t="shared" si="0"/>
        <v>19</v>
      </c>
      <c r="D28" t="str">
        <f t="shared" si="1"/>
        <v>S001|000019</v>
      </c>
      <c r="E28" t="str">
        <f>IF(Entry!$B31="","",IF(ISNUMBER(Entry!$B31),IF(AND(Entry!$B31&gt;=10000101,Entry!$B31&lt;=99991231),INT(Entry!$B31/10000)&amp;"/"&amp;RIGHT("00"&amp;INT(MOD(Entry!$B31,10000)/100),2)&amp;"/"&amp;RIGHT("00"&amp;MOD(Entry!$B31,100),2),"نامعتبر"),IF(LEN(Entry!$B31)=10,Entry!$B31,"نامعتبر")))</f>
        <v>1405/07/24</v>
      </c>
      <c r="F28" t="str">
        <f>IF(Entry!$B31="","",IF(Entry!$C31="","0000",IF(AND(ISNUMBER(Entry!$C31),Entry!$C31&gt;=0,Entry!$C31&lt;1),RIGHT("00"&amp;HOUR(Entry!$C31),2)&amp;RIGHT("00"&amp;MINUTE(Entry!$C31),2),IFERROR(RIGHT("00"&amp;VALUE(LEFT(Entry!$C31,FIND(":",Entry!$C31)-1)),2)&amp;RIGHT("00"&amp;VALUE(MID(Entry!$C31,FIND(":",Entry!$C31)+1,2)),2),"0000"))))</f>
        <v>0000</v>
      </c>
      <c r="G28" t="str">
        <f>IF($A28="","",Entry!$G31)</f>
        <v/>
      </c>
      <c r="H28">
        <f>IF($A28="","",IF(Entry!$H31="",0,Entry!$H31))</f>
        <v/>
      </c>
      <c r="I28">
        <f>IF($A28="","",IF(Entry!$I31="",0,Entry!$I31))</f>
        <v/>
      </c>
      <c r="J28">
        <f t="shared" si="2"/>
        <v>36225000</v>
      </c>
      <c r="K28">
        <f>IF($A28="","",Entry!$D31)</f>
        <v>0</v>
      </c>
      <c r="L28">
        <f>IF($A28="","",Entry!$L31)</f>
        <v>0</v>
      </c>
      <c r="N28" t="str">
        <f>IF(OR(Sync!$M28="",$Q28="",$Q28="نامعتبر"),"",Sync!$M28)</f>
        <v/>
      </c>
      <c r="O28" t="str">
        <f t="shared" si="3"/>
        <v/>
      </c>
      <c r="P28" t="str">
        <f>IF($N28="","",LEFT($Q28,4)&amp;MID($Q28,6,2)&amp;RIGHT($Q28,2)&amp;IF(Sync!$K28="","0000",IF(AND(ISNUMBER(Sync!$K28),Sync!$K28&gt;=0,Sync!$K28&lt;1),RIGHT("00"&amp;HOUR(Sync!$K28),2)&amp;RIGHT("00"&amp;MINUTE(Sync!$K28),2),IFERROR(RIGHT("00"&amp;VALUE(LEFT(Sync!$K28,FIND(":",Sync!$K28)-1)),2)&amp;RIGHT("00"&amp;VALUE(MID(Sync!$K28,FIND(":",Sync!$K28)+1,2)),2),"0000")))&amp;"|"&amp;"2"&amp;RIGHT("00000"&amp;23,5))</f>
        <v/>
      </c>
      <c r="Q28" t="str">
        <f>IF(Sync!$J28="","",IF(ISNUMBER(Sync!$J28),IF(AND(Sync!$J28&gt;=10000101,Sync!$J28&lt;=99991231),INT(Sync!$J28/10000)&amp;"/"&amp;RIGHT("00"&amp;INT(MOD(Sync!$J28,10000)/100),2)&amp;"/"&amp;RIGHT("00"&amp;MOD(Sync!$J28,100),2),"نامعتبر"),IF(LEN(Sync!$J28)=10,Sync!$J28,"نامعتبر")))</f>
        <v/>
      </c>
      <c r="R28" t="str">
        <f t="shared" si="4"/>
        <v/>
      </c>
      <c r="S28" t="str">
        <f t="shared" si="5"/>
        <v/>
      </c>
      <c r="T28" t="str">
        <f>IF($N28="","",IF(Sync!$N28="",0,Sync!$N28))</f>
        <v/>
      </c>
      <c r="U28" t="str">
        <f>IF($N28="","",IF(Sync!$O28="",0,Sync!$O28))</f>
        <v/>
      </c>
      <c r="V28" t="str">
        <f>IF($N28="","",Sync!$L28)</f>
        <v/>
      </c>
      <c r="W28" t="str">
        <f>IF($N28="","",Sync!$P28)</f>
        <v/>
      </c>
      <c r="AA28">
        <f>IF($A28="","",IF(COUNTIF($A$6:$A28,$A28)=1,1,0))</f>
        <v>0</v>
      </c>
      <c r="AB28">
        <f>SUM($AA$6:$AA28)</f>
        <v>2</v>
      </c>
      <c r="AC28" t="str">
        <f t="shared" si="6"/>
        <v/>
      </c>
    </row>
    <row r="29" spans="1:29" x14ac:dyDescent="0.2">
      <c r="A29" t="str">
        <f>IF(OR(Entry!$B32="",Entry!$E32="",$E29="نامعتبر"),"",Entry!$E32)</f>
        <v>S003</v>
      </c>
      <c r="B29" t="str">
        <f>IF($A29="","",LEFT($E29,4)&amp;MID($E29,6,2)&amp;RIGHT($E29,2)&amp;$F29&amp;"|"&amp;"1"&amp;RIGHT("00000"&amp;24,5))</f>
        <v>140507240000|100024</v>
      </c>
      <c r="C29">
        <f t="shared" si="0"/>
        <v>3</v>
      </c>
      <c r="D29" t="str">
        <f t="shared" si="1"/>
        <v>S003|000003</v>
      </c>
      <c r="E29" t="str">
        <f>IF(Entry!$B32="","",IF(ISNUMBER(Entry!$B32),IF(AND(Entry!$B32&gt;=10000101,Entry!$B32&lt;=99991231),INT(Entry!$B32/10000)&amp;"/"&amp;RIGHT("00"&amp;INT(MOD(Entry!$B32,10000)/100),2)&amp;"/"&amp;RIGHT("00"&amp;MOD(Entry!$B32,100),2),"نامعتبر"),IF(LEN(Entry!$B32)=10,Entry!$B32,"نامعتبر")))</f>
        <v>1405/07/24</v>
      </c>
      <c r="F29" t="str">
        <f>IF(Entry!$B32="","",IF(Entry!$C32="","0000",IF(AND(ISNUMBER(Entry!$C32),Entry!$C32&gt;=0,Entry!$C32&lt;1),RIGHT("00"&amp;HOUR(Entry!$C32),2)&amp;RIGHT("00"&amp;MINUTE(Entry!$C32),2),IFERROR(RIGHT("00"&amp;VALUE(LEFT(Entry!$C32,FIND(":",Entry!$C32)-1)),2)&amp;RIGHT("00"&amp;VALUE(MID(Entry!$C32,FIND(":",Entry!$C32)+1,2)),2),"0000"))))</f>
        <v>0000</v>
      </c>
      <c r="G29" t="str">
        <f>IF($A29="","",Entry!$G32)</f>
        <v/>
      </c>
      <c r="H29">
        <f>IF($A29="","",IF(Entry!$H32="",0,Entry!$H32))</f>
        <v/>
      </c>
      <c r="I29">
        <f>IF($A29="","",IF(Entry!$I32="",0,Entry!$I32))</f>
        <v/>
      </c>
      <c r="J29">
        <f t="shared" si="2"/>
        <v>22050000</v>
      </c>
      <c r="K29">
        <f>IF($A29="","",Entry!$D32)</f>
        <v>0</v>
      </c>
      <c r="L29">
        <f>IF($A29="","",Entry!$L32)</f>
        <v>0</v>
      </c>
      <c r="N29" t="str">
        <f>IF(OR(Sync!$M29="",$Q29="",$Q29="نامعتبر"),"",Sync!$M29)</f>
        <v/>
      </c>
      <c r="O29" t="str">
        <f t="shared" si="3"/>
        <v/>
      </c>
      <c r="P29" t="str">
        <f>IF($N29="","",LEFT($Q29,4)&amp;MID($Q29,6,2)&amp;RIGHT($Q29,2)&amp;IF(Sync!$K29="","0000",IF(AND(ISNUMBER(Sync!$K29),Sync!$K29&gt;=0,Sync!$K29&lt;1),RIGHT("00"&amp;HOUR(Sync!$K29),2)&amp;RIGHT("00"&amp;MINUTE(Sync!$K29),2),IFERROR(RIGHT("00"&amp;VALUE(LEFT(Sync!$K29,FIND(":",Sync!$K29)-1)),2)&amp;RIGHT("00"&amp;VALUE(MID(Sync!$K29,FIND(":",Sync!$K29)+1,2)),2),"0000")))&amp;"|"&amp;"2"&amp;RIGHT("00000"&amp;24,5))</f>
        <v/>
      </c>
      <c r="Q29" t="str">
        <f>IF(Sync!$J29="","",IF(ISNUMBER(Sync!$J29),IF(AND(Sync!$J29&gt;=10000101,Sync!$J29&lt;=99991231),INT(Sync!$J29/10000)&amp;"/"&amp;RIGHT("00"&amp;INT(MOD(Sync!$J29,10000)/100),2)&amp;"/"&amp;RIGHT("00"&amp;MOD(Sync!$J29,100),2),"نامعتبر"),IF(LEN(Sync!$J29)=10,Sync!$J29,"نامعتبر")))</f>
        <v/>
      </c>
      <c r="R29" t="str">
        <f t="shared" si="4"/>
        <v/>
      </c>
      <c r="S29" t="str">
        <f t="shared" si="5"/>
        <v/>
      </c>
      <c r="T29" t="str">
        <f>IF($N29="","",IF(Sync!$N29="",0,Sync!$N29))</f>
        <v/>
      </c>
      <c r="U29" t="str">
        <f>IF($N29="","",IF(Sync!$O29="",0,Sync!$O29))</f>
        <v/>
      </c>
      <c r="V29" t="str">
        <f>IF($N29="","",Sync!$L29)</f>
        <v/>
      </c>
      <c r="W29" t="str">
        <f>IF($N29="","",Sync!$P29)</f>
        <v/>
      </c>
      <c r="AA29">
        <f>IF($A29="","",IF(COUNTIF($A$6:$A29,$A29)=1,1,0))</f>
        <v>1</v>
      </c>
      <c r="AB29">
        <f>SUM($AA$6:$AA29)</f>
        <v>3</v>
      </c>
      <c r="AC29" t="str">
        <f t="shared" si="6"/>
        <v/>
      </c>
    </row>
    <row r="30" spans="1:29" x14ac:dyDescent="0.2">
      <c r="A30" t="str">
        <f>IF(OR(Entry!$B33="",Entry!$E33="",$E30="نامعتبر"),"",Entry!$E33)</f>
        <v>S003</v>
      </c>
      <c r="B30" t="str">
        <f>IF($A30="","",LEFT($E30,4)&amp;MID($E30,6,2)&amp;RIGHT($E30,2)&amp;$F30&amp;"|"&amp;"1"&amp;RIGHT("00000"&amp;25,5))</f>
        <v>140507220000|100025</v>
      </c>
      <c r="C30">
        <f t="shared" si="0"/>
        <v>1</v>
      </c>
      <c r="D30" t="str">
        <f t="shared" si="1"/>
        <v>S003|000001</v>
      </c>
      <c r="E30" t="str">
        <f>IF(Entry!$B33="","",IF(ISNUMBER(Entry!$B33),IF(AND(Entry!$B33&gt;=10000101,Entry!$B33&lt;=99991231),INT(Entry!$B33/10000)&amp;"/"&amp;RIGHT("00"&amp;INT(MOD(Entry!$B33,10000)/100),2)&amp;"/"&amp;RIGHT("00"&amp;MOD(Entry!$B33,100),2),"نامعتبر"),IF(LEN(Entry!$B33)=10,Entry!$B33,"نامعتبر")))</f>
        <v>1405/07/22</v>
      </c>
      <c r="F30" t="str">
        <f>IF(Entry!$B33="","",IF(Entry!$C33="","0000",IF(AND(ISNUMBER(Entry!$C33),Entry!$C33&gt;=0,Entry!$C33&lt;1),RIGHT("00"&amp;HOUR(Entry!$C33),2)&amp;RIGHT("00"&amp;MINUTE(Entry!$C33),2),IFERROR(RIGHT("00"&amp;VALUE(LEFT(Entry!$C33,FIND(":",Entry!$C33)-1)),2)&amp;RIGHT("00"&amp;VALUE(MID(Entry!$C33,FIND(":",Entry!$C33)+1,2)),2),"0000"))))</f>
        <v>0000</v>
      </c>
      <c r="G30" t="str">
        <f>IF($A30="","",Entry!$G33)</f>
        <v/>
      </c>
      <c r="H30">
        <f>IF($A30="","",IF(Entry!$H33="",0,Entry!$H33))</f>
        <v/>
      </c>
      <c r="I30">
        <f>IF($A30="","",IF(Entry!$I33="",0,Entry!$I33))</f>
        <v/>
      </c>
      <c r="J30">
        <f t="shared" si="2"/>
        <v>96397000</v>
      </c>
      <c r="K30">
        <f>IF($A30="","",Entry!$D33)</f>
        <v>0</v>
      </c>
      <c r="L30">
        <f>IF($A30="","",Entry!$L33)</f>
        <v>0</v>
      </c>
      <c r="N30" t="str">
        <f>IF(OR(Sync!$M30="",$Q30="",$Q30="نامعتبر"),"",Sync!$M30)</f>
        <v/>
      </c>
      <c r="O30" t="str">
        <f t="shared" si="3"/>
        <v/>
      </c>
      <c r="P30" t="str">
        <f>IF($N30="","",LEFT($Q30,4)&amp;MID($Q30,6,2)&amp;RIGHT($Q30,2)&amp;IF(Sync!$K30="","0000",IF(AND(ISNUMBER(Sync!$K30),Sync!$K30&gt;=0,Sync!$K30&lt;1),RIGHT("00"&amp;HOUR(Sync!$K30),2)&amp;RIGHT("00"&amp;MINUTE(Sync!$K30),2),IFERROR(RIGHT("00"&amp;VALUE(LEFT(Sync!$K30,FIND(":",Sync!$K30)-1)),2)&amp;RIGHT("00"&amp;VALUE(MID(Sync!$K30,FIND(":",Sync!$K30)+1,2)),2),"0000")))&amp;"|"&amp;"2"&amp;RIGHT("00000"&amp;25,5))</f>
        <v/>
      </c>
      <c r="Q30" t="str">
        <f>IF(Sync!$J30="","",IF(ISNUMBER(Sync!$J30),IF(AND(Sync!$J30&gt;=10000101,Sync!$J30&lt;=99991231),INT(Sync!$J30/10000)&amp;"/"&amp;RIGHT("00"&amp;INT(MOD(Sync!$J30,10000)/100),2)&amp;"/"&amp;RIGHT("00"&amp;MOD(Sync!$J30,100),2),"نامعتبر"),IF(LEN(Sync!$J30)=10,Sync!$J30,"نامعتبر")))</f>
        <v/>
      </c>
      <c r="R30" t="str">
        <f t="shared" si="4"/>
        <v/>
      </c>
      <c r="S30" t="str">
        <f t="shared" si="5"/>
        <v/>
      </c>
      <c r="T30" t="str">
        <f>IF($N30="","",IF(Sync!$N30="",0,Sync!$N30))</f>
        <v/>
      </c>
      <c r="U30" t="str">
        <f>IF($N30="","",IF(Sync!$O30="",0,Sync!$O30))</f>
        <v/>
      </c>
      <c r="V30" t="str">
        <f>IF($N30="","",Sync!$L30)</f>
        <v/>
      </c>
      <c r="W30" t="str">
        <f>IF($N30="","",Sync!$P30)</f>
        <v/>
      </c>
      <c r="AA30">
        <f>IF($A30="","",IF(COUNTIF($A$6:$A30,$A30)=1,1,0))</f>
        <v>0</v>
      </c>
      <c r="AB30">
        <f>SUM($AA$6:$AA30)</f>
        <v>3</v>
      </c>
      <c r="AC30" t="str">
        <f t="shared" si="6"/>
        <v/>
      </c>
    </row>
    <row r="31" spans="1:29" x14ac:dyDescent="0.2">
      <c r="A31" t="str">
        <f>IF(OR(Entry!$B34="",Entry!$E34="",$E31="نامعتبر"),"",Entry!$E34)</f>
        <v>S003</v>
      </c>
      <c r="B31" t="str">
        <f>IF($A31="","",LEFT($E31,4)&amp;MID($E31,6,2)&amp;RIGHT($E31,2)&amp;$F31&amp;"|"&amp;"1"&amp;RIGHT("00000"&amp;26,5))</f>
        <v>140507220000|100026</v>
      </c>
      <c r="C31">
        <f t="shared" si="0"/>
        <v>2</v>
      </c>
      <c r="D31" t="str">
        <f t="shared" si="1"/>
        <v>S003|000002</v>
      </c>
      <c r="E31" t="str">
        <f>IF(Entry!$B34="","",IF(ISNUMBER(Entry!$B34),IF(AND(Entry!$B34&gt;=10000101,Entry!$B34&lt;=99991231),INT(Entry!$B34/10000)&amp;"/"&amp;RIGHT("00"&amp;INT(MOD(Entry!$B34,10000)/100),2)&amp;"/"&amp;RIGHT("00"&amp;MOD(Entry!$B34,100),2),"نامعتبر"),IF(LEN(Entry!$B34)=10,Entry!$B34,"نامعتبر")))</f>
        <v>1405/07/22</v>
      </c>
      <c r="F31" t="str">
        <f>IF(Entry!$B34="","",IF(Entry!$C34="","0000",IF(AND(ISNUMBER(Entry!$C34),Entry!$C34&gt;=0,Entry!$C34&lt;1),RIGHT("00"&amp;HOUR(Entry!$C34),2)&amp;RIGHT("00"&amp;MINUTE(Entry!$C34),2),IFERROR(RIGHT("00"&amp;VALUE(LEFT(Entry!$C34,FIND(":",Entry!$C34)-1)),2)&amp;RIGHT("00"&amp;VALUE(MID(Entry!$C34,FIND(":",Entry!$C34)+1,2)),2),"0000"))))</f>
        <v>0000</v>
      </c>
      <c r="G31" t="str">
        <f>IF($A31="","",Entry!$G34)</f>
        <v/>
      </c>
      <c r="H31">
        <f>IF($A31="","",IF(Entry!$H34="",0,Entry!$H34))</f>
        <v/>
      </c>
      <c r="I31">
        <f>IF($A31="","",IF(Entry!$I34="",0,Entry!$I34))</f>
        <v/>
      </c>
      <c r="J31">
        <f t="shared" si="2"/>
        <v>8750000</v>
      </c>
      <c r="K31">
        <f>IF($A31="","",Entry!$D34)</f>
        <v>0</v>
      </c>
      <c r="L31">
        <f>IF($A31="","",Entry!$L34)</f>
        <v>0</v>
      </c>
      <c r="N31" t="str">
        <f>IF(OR(Sync!$M31="",$Q31="",$Q31="نامعتبر"),"",Sync!$M31)</f>
        <v/>
      </c>
      <c r="O31" t="str">
        <f t="shared" si="3"/>
        <v/>
      </c>
      <c r="P31" t="str">
        <f>IF($N31="","",LEFT($Q31,4)&amp;MID($Q31,6,2)&amp;RIGHT($Q31,2)&amp;IF(Sync!$K31="","0000",IF(AND(ISNUMBER(Sync!$K31),Sync!$K31&gt;=0,Sync!$K31&lt;1),RIGHT("00"&amp;HOUR(Sync!$K31),2)&amp;RIGHT("00"&amp;MINUTE(Sync!$K31),2),IFERROR(RIGHT("00"&amp;VALUE(LEFT(Sync!$K31,FIND(":",Sync!$K31)-1)),2)&amp;RIGHT("00"&amp;VALUE(MID(Sync!$K31,FIND(":",Sync!$K31)+1,2)),2),"0000")))&amp;"|"&amp;"2"&amp;RIGHT("00000"&amp;26,5))</f>
        <v/>
      </c>
      <c r="Q31" t="str">
        <f>IF(Sync!$J31="","",IF(ISNUMBER(Sync!$J31),IF(AND(Sync!$J31&gt;=10000101,Sync!$J31&lt;=99991231),INT(Sync!$J31/10000)&amp;"/"&amp;RIGHT("00"&amp;INT(MOD(Sync!$J31,10000)/100),2)&amp;"/"&amp;RIGHT("00"&amp;MOD(Sync!$J31,100),2),"نامعتبر"),IF(LEN(Sync!$J31)=10,Sync!$J31,"نامعتبر")))</f>
        <v/>
      </c>
      <c r="R31" t="str">
        <f t="shared" si="4"/>
        <v/>
      </c>
      <c r="S31" t="str">
        <f t="shared" si="5"/>
        <v/>
      </c>
      <c r="T31" t="str">
        <f>IF($N31="","",IF(Sync!$N31="",0,Sync!$N31))</f>
        <v/>
      </c>
      <c r="U31" t="str">
        <f>IF($N31="","",IF(Sync!$O31="",0,Sync!$O31))</f>
        <v/>
      </c>
      <c r="V31" t="str">
        <f>IF($N31="","",Sync!$L31)</f>
        <v/>
      </c>
      <c r="W31" t="str">
        <f>IF($N31="","",Sync!$P31)</f>
        <v/>
      </c>
      <c r="AA31">
        <f>IF($A31="","",IF(COUNTIF($A$6:$A31,$A31)=1,1,0))</f>
        <v>0</v>
      </c>
      <c r="AB31">
        <f>SUM($AA$6:$AA31)</f>
        <v>3</v>
      </c>
      <c r="AC31" t="str">
        <f t="shared" si="6"/>
        <v/>
      </c>
    </row>
    <row r="32" spans="1:29" x14ac:dyDescent="0.2">
      <c r="A32" t="str">
        <f>IF(OR(Entry!$B35="",Entry!$E35="",$E32="نامعتبر"),"",Entry!$E35)</f>
        <v>S002</v>
      </c>
      <c r="B32" t="str">
        <f>IF($A32="","",LEFT($E32,4)&amp;MID($E32,6,2)&amp;RIGHT($E32,2)&amp;$F32&amp;"|"&amp;"1"&amp;RIGHT("00000"&amp;27,5))</f>
        <v>140507250000|100027</v>
      </c>
      <c r="C32">
        <f t="shared" si="0"/>
        <v>9</v>
      </c>
      <c r="D32" t="str">
        <f t="shared" si="1"/>
        <v>S002|000009</v>
      </c>
      <c r="E32" t="str">
        <f>IF(Entry!$B35="","",IF(ISNUMBER(Entry!$B35),IF(AND(Entry!$B35&gt;=10000101,Entry!$B35&lt;=99991231),INT(Entry!$B35/10000)&amp;"/"&amp;RIGHT("00"&amp;INT(MOD(Entry!$B35,10000)/100),2)&amp;"/"&amp;RIGHT("00"&amp;MOD(Entry!$B35,100),2),"نامعتبر"),IF(LEN(Entry!$B35)=10,Entry!$B35,"نامعتبر")))</f>
        <v>1405/07/25</v>
      </c>
      <c r="F32" t="str">
        <f>IF(Entry!$B35="","",IF(Entry!$C35="","0000",IF(AND(ISNUMBER(Entry!$C35),Entry!$C35&gt;=0,Entry!$C35&lt;1),RIGHT("00"&amp;HOUR(Entry!$C35),2)&amp;RIGHT("00"&amp;MINUTE(Entry!$C35),2),IFERROR(RIGHT("00"&amp;VALUE(LEFT(Entry!$C35,FIND(":",Entry!$C35)-1)),2)&amp;RIGHT("00"&amp;VALUE(MID(Entry!$C35,FIND(":",Entry!$C35)+1,2)),2),"0000"))))</f>
        <v>0000</v>
      </c>
      <c r="G32" t="str">
        <f>IF($A32="","",Entry!$G35)</f>
        <v/>
      </c>
      <c r="H32">
        <f>IF($A32="","",IF(Entry!$H35="",0,Entry!$H35))</f>
        <v/>
      </c>
      <c r="I32">
        <f>IF($A32="","",IF(Entry!$I35="",0,Entry!$I35))</f>
        <v/>
      </c>
      <c r="J32">
        <f t="shared" si="2"/>
        <v>24420000</v>
      </c>
      <c r="K32">
        <f>IF($A32="","",Entry!$D35)</f>
        <v>0</v>
      </c>
      <c r="L32">
        <f>IF($A32="","",Entry!$L35)</f>
        <v>0</v>
      </c>
      <c r="N32" t="str">
        <f>IF(OR(Sync!$M32="",$Q32="",$Q32="نامعتبر"),"",Sync!$M32)</f>
        <v/>
      </c>
      <c r="O32" t="str">
        <f t="shared" si="3"/>
        <v/>
      </c>
      <c r="P32" t="str">
        <f>IF($N32="","",LEFT($Q32,4)&amp;MID($Q32,6,2)&amp;RIGHT($Q32,2)&amp;IF(Sync!$K32="","0000",IF(AND(ISNUMBER(Sync!$K32),Sync!$K32&gt;=0,Sync!$K32&lt;1),RIGHT("00"&amp;HOUR(Sync!$K32),2)&amp;RIGHT("00"&amp;MINUTE(Sync!$K32),2),IFERROR(RIGHT("00"&amp;VALUE(LEFT(Sync!$K32,FIND(":",Sync!$K32)-1)),2)&amp;RIGHT("00"&amp;VALUE(MID(Sync!$K32,FIND(":",Sync!$K32)+1,2)),2),"0000")))&amp;"|"&amp;"2"&amp;RIGHT("00000"&amp;27,5))</f>
        <v/>
      </c>
      <c r="Q32" t="str">
        <f>IF(Sync!$J32="","",IF(ISNUMBER(Sync!$J32),IF(AND(Sync!$J32&gt;=10000101,Sync!$J32&lt;=99991231),INT(Sync!$J32/10000)&amp;"/"&amp;RIGHT("00"&amp;INT(MOD(Sync!$J32,10000)/100),2)&amp;"/"&amp;RIGHT("00"&amp;MOD(Sync!$J32,100),2),"نامعتبر"),IF(LEN(Sync!$J32)=10,Sync!$J32,"نامعتبر")))</f>
        <v/>
      </c>
      <c r="R32" t="str">
        <f t="shared" si="4"/>
        <v/>
      </c>
      <c r="S32" t="str">
        <f t="shared" si="5"/>
        <v/>
      </c>
      <c r="T32" t="str">
        <f>IF($N32="","",IF(Sync!$N32="",0,Sync!$N32))</f>
        <v/>
      </c>
      <c r="U32" t="str">
        <f>IF($N32="","",IF(Sync!$O32="",0,Sync!$O32))</f>
        <v/>
      </c>
      <c r="V32" t="str">
        <f>IF($N32="","",Sync!$L32)</f>
        <v/>
      </c>
      <c r="W32" t="str">
        <f>IF($N32="","",Sync!$P32)</f>
        <v/>
      </c>
      <c r="AA32">
        <f>IF($A32="","",IF(COUNTIF($A$6:$A32,$A32)=1,1,0))</f>
        <v>0</v>
      </c>
      <c r="AB32">
        <f>SUM($AA$6:$AA32)</f>
        <v>3</v>
      </c>
      <c r="AC32" t="str">
        <f t="shared" si="6"/>
        <v/>
      </c>
    </row>
    <row r="33" spans="1:29" x14ac:dyDescent="0.2">
      <c r="A33" t="str">
        <f>IF(OR(Entry!$B36="",Entry!$E36="",$E33="نامعتبر"),"",Entry!$E36)</f>
        <v>S002</v>
      </c>
      <c r="B33" t="str">
        <f>IF($A33="","",LEFT($E33,4)&amp;MID($E33,6,2)&amp;RIGHT($E33,2)&amp;$F33&amp;"|"&amp;"1"&amp;RIGHT("00000"&amp;28,5))</f>
        <v>140507250000|100028</v>
      </c>
      <c r="C33">
        <f t="shared" si="0"/>
        <v>10</v>
      </c>
      <c r="D33" t="str">
        <f t="shared" si="1"/>
        <v>S002|000010</v>
      </c>
      <c r="E33" t="str">
        <f>IF(Entry!$B36="","",IF(ISNUMBER(Entry!$B36),IF(AND(Entry!$B36&gt;=10000101,Entry!$B36&lt;=99991231),INT(Entry!$B36/10000)&amp;"/"&amp;RIGHT("00"&amp;INT(MOD(Entry!$B36,10000)/100),2)&amp;"/"&amp;RIGHT("00"&amp;MOD(Entry!$B36,100),2),"نامعتبر"),IF(LEN(Entry!$B36)=10,Entry!$B36,"نامعتبر")))</f>
        <v>1405/07/25</v>
      </c>
      <c r="F33" t="str">
        <f>IF(Entry!$B36="","",IF(Entry!$C36="","0000",IF(AND(ISNUMBER(Entry!$C36),Entry!$C36&gt;=0,Entry!$C36&lt;1),RIGHT("00"&amp;HOUR(Entry!$C36),2)&amp;RIGHT("00"&amp;MINUTE(Entry!$C36),2),IFERROR(RIGHT("00"&amp;VALUE(LEFT(Entry!$C36,FIND(":",Entry!$C36)-1)),2)&amp;RIGHT("00"&amp;VALUE(MID(Entry!$C36,FIND(":",Entry!$C36)+1,2)),2),"0000"))))</f>
        <v>0000</v>
      </c>
      <c r="G33" t="str">
        <f>IF($A33="","",Entry!$G36)</f>
        <v/>
      </c>
      <c r="H33">
        <f>IF($A33="","",IF(Entry!$H36="",0,Entry!$H36))</f>
        <v/>
      </c>
      <c r="I33">
        <f>IF($A33="","",IF(Entry!$I36="",0,Entry!$I36))</f>
        <v/>
      </c>
      <c r="J33">
        <f t="shared" si="2"/>
        <v>13764000</v>
      </c>
      <c r="K33">
        <f>IF($A33="","",Entry!$D36)</f>
        <v>0</v>
      </c>
      <c r="L33">
        <f>IF($A33="","",Entry!$L36)</f>
        <v>0</v>
      </c>
      <c r="N33" t="str">
        <f>IF(OR(Sync!$M33="",$Q33="",$Q33="نامعتبر"),"",Sync!$M33)</f>
        <v/>
      </c>
      <c r="O33" t="str">
        <f t="shared" si="3"/>
        <v/>
      </c>
      <c r="P33" t="str">
        <f>IF($N33="","",LEFT($Q33,4)&amp;MID($Q33,6,2)&amp;RIGHT($Q33,2)&amp;IF(Sync!$K33="","0000",IF(AND(ISNUMBER(Sync!$K33),Sync!$K33&gt;=0,Sync!$K33&lt;1),RIGHT("00"&amp;HOUR(Sync!$K33),2)&amp;RIGHT("00"&amp;MINUTE(Sync!$K33),2),IFERROR(RIGHT("00"&amp;VALUE(LEFT(Sync!$K33,FIND(":",Sync!$K33)-1)),2)&amp;RIGHT("00"&amp;VALUE(MID(Sync!$K33,FIND(":",Sync!$K33)+1,2)),2),"0000")))&amp;"|"&amp;"2"&amp;RIGHT("00000"&amp;28,5))</f>
        <v/>
      </c>
      <c r="Q33" t="str">
        <f>IF(Sync!$J33="","",IF(ISNUMBER(Sync!$J33),IF(AND(Sync!$J33&gt;=10000101,Sync!$J33&lt;=99991231),INT(Sync!$J33/10000)&amp;"/"&amp;RIGHT("00"&amp;INT(MOD(Sync!$J33,10000)/100),2)&amp;"/"&amp;RIGHT("00"&amp;MOD(Sync!$J33,100),2),"نامعتبر"),IF(LEN(Sync!$J33)=10,Sync!$J33,"نامعتبر")))</f>
        <v/>
      </c>
      <c r="R33" t="str">
        <f t="shared" si="4"/>
        <v/>
      </c>
      <c r="S33" t="str">
        <f t="shared" si="5"/>
        <v/>
      </c>
      <c r="T33" t="str">
        <f>IF($N33="","",IF(Sync!$N33="",0,Sync!$N33))</f>
        <v/>
      </c>
      <c r="U33" t="str">
        <f>IF($N33="","",IF(Sync!$O33="",0,Sync!$O33))</f>
        <v/>
      </c>
      <c r="V33" t="str">
        <f>IF($N33="","",Sync!$L33)</f>
        <v/>
      </c>
      <c r="W33" t="str">
        <f>IF($N33="","",Sync!$P33)</f>
        <v/>
      </c>
      <c r="AA33">
        <f>IF($A33="","",IF(COUNTIF($A$6:$A33,$A33)=1,1,0))</f>
        <v>0</v>
      </c>
      <c r="AB33">
        <f>SUM($AA$6:$AA33)</f>
        <v>3</v>
      </c>
      <c r="AC33" t="str">
        <f t="shared" si="6"/>
        <v/>
      </c>
    </row>
    <row r="34" spans="1:29" x14ac:dyDescent="0.2">
      <c r="A34" t="str">
        <f>IF(OR(Entry!$B37="",Entry!$E37="",$E34="نامعتبر"),"",Entry!$E37)</f>
        <v>S002</v>
      </c>
      <c r="B34" t="str">
        <f>IF($A34="","",LEFT($E34,4)&amp;MID($E34,6,2)&amp;RIGHT($E34,2)&amp;$F34&amp;"|"&amp;"1"&amp;RIGHT("00000"&amp;29,5))</f>
        <v>140508010000|100029</v>
      </c>
      <c r="C34">
        <f t="shared" si="0"/>
        <v>11</v>
      </c>
      <c r="D34" t="str">
        <f t="shared" si="1"/>
        <v>S002|000011</v>
      </c>
      <c r="E34" t="str">
        <f>IF(Entry!$B37="","",IF(ISNUMBER(Entry!$B37),IF(AND(Entry!$B37&gt;=10000101,Entry!$B37&lt;=99991231),INT(Entry!$B37/10000)&amp;"/"&amp;RIGHT("00"&amp;INT(MOD(Entry!$B37,10000)/100),2)&amp;"/"&amp;RIGHT("00"&amp;MOD(Entry!$B37,100),2),"نامعتبر"),IF(LEN(Entry!$B37)=10,Entry!$B37,"نامعتبر")))</f>
        <v>1405/08/01</v>
      </c>
      <c r="F34" t="str">
        <f>IF(Entry!$B37="","",IF(Entry!$C37="","0000",IF(AND(ISNUMBER(Entry!$C37),Entry!$C37&gt;=0,Entry!$C37&lt;1),RIGHT("00"&amp;HOUR(Entry!$C37),2)&amp;RIGHT("00"&amp;MINUTE(Entry!$C37),2),IFERROR(RIGHT("00"&amp;VALUE(LEFT(Entry!$C37,FIND(":",Entry!$C37)-1)),2)&amp;RIGHT("00"&amp;VALUE(MID(Entry!$C37,FIND(":",Entry!$C37)+1,2)),2),"0000"))))</f>
        <v>0000</v>
      </c>
      <c r="G34" t="str">
        <f>IF($A34="","",Entry!$G37)</f>
        <v/>
      </c>
      <c r="H34">
        <f>IF($A34="","",IF(Entry!$H37="",0,Entry!$H37))</f>
        <v/>
      </c>
      <c r="I34">
        <f>IF($A34="","",IF(Entry!$I37="",0,Entry!$I37))</f>
        <v/>
      </c>
      <c r="J34">
        <f t="shared" si="2"/>
        <v>18400000</v>
      </c>
      <c r="K34">
        <f>IF($A34="","",Entry!$D37)</f>
        <v>0</v>
      </c>
      <c r="L34">
        <f>IF($A34="","",Entry!$L37)</f>
        <v>0</v>
      </c>
      <c r="N34" t="str">
        <f>IF(OR(Sync!$M34="",$Q34="",$Q34="نامعتبر"),"",Sync!$M34)</f>
        <v/>
      </c>
      <c r="O34" t="str">
        <f t="shared" si="3"/>
        <v/>
      </c>
      <c r="P34" t="str">
        <f>IF($N34="","",LEFT($Q34,4)&amp;MID($Q34,6,2)&amp;RIGHT($Q34,2)&amp;IF(Sync!$K34="","0000",IF(AND(ISNUMBER(Sync!$K34),Sync!$K34&gt;=0,Sync!$K34&lt;1),RIGHT("00"&amp;HOUR(Sync!$K34),2)&amp;RIGHT("00"&amp;MINUTE(Sync!$K34),2),IFERROR(RIGHT("00"&amp;VALUE(LEFT(Sync!$K34,FIND(":",Sync!$K34)-1)),2)&amp;RIGHT("00"&amp;VALUE(MID(Sync!$K34,FIND(":",Sync!$K34)+1,2)),2),"0000")))&amp;"|"&amp;"2"&amp;RIGHT("00000"&amp;29,5))</f>
        <v/>
      </c>
      <c r="Q34" t="str">
        <f>IF(Sync!$J34="","",IF(ISNUMBER(Sync!$J34),IF(AND(Sync!$J34&gt;=10000101,Sync!$J34&lt;=99991231),INT(Sync!$J34/10000)&amp;"/"&amp;RIGHT("00"&amp;INT(MOD(Sync!$J34,10000)/100),2)&amp;"/"&amp;RIGHT("00"&amp;MOD(Sync!$J34,100),2),"نامعتبر"),IF(LEN(Sync!$J34)=10,Sync!$J34,"نامعتبر")))</f>
        <v/>
      </c>
      <c r="R34" t="str">
        <f t="shared" si="4"/>
        <v/>
      </c>
      <c r="S34" t="str">
        <f t="shared" si="5"/>
        <v/>
      </c>
      <c r="T34" t="str">
        <f>IF($N34="","",IF(Sync!$N34="",0,Sync!$N34))</f>
        <v/>
      </c>
      <c r="U34" t="str">
        <f>IF($N34="","",IF(Sync!$O34="",0,Sync!$O34))</f>
        <v/>
      </c>
      <c r="V34" t="str">
        <f>IF($N34="","",Sync!$L34)</f>
        <v/>
      </c>
      <c r="W34" t="str">
        <f>IF($N34="","",Sync!$P34)</f>
        <v/>
      </c>
      <c r="AA34">
        <f>IF($A34="","",IF(COUNTIF($A$6:$A34,$A34)=1,1,0))</f>
        <v>0</v>
      </c>
      <c r="AB34">
        <f>SUM($AA$6:$AA34)</f>
        <v>3</v>
      </c>
      <c r="AC34" t="str">
        <f t="shared" si="6"/>
        <v/>
      </c>
    </row>
    <row r="35" spans="1:29" x14ac:dyDescent="0.2">
      <c r="A35" t="str">
        <f>IF(OR(Entry!$B38="",Entry!$E38="",$E35="نامعتبر"),"",Entry!$E38)</f>
        <v>S001</v>
      </c>
      <c r="B35" t="str">
        <f>IF($A35="","",LEFT($E35,4)&amp;MID($E35,6,2)&amp;RIGHT($E35,2)&amp;$F35&amp;"|"&amp;"1"&amp;RIGHT("00000"&amp;30,5))</f>
        <v>140507250000|100030</v>
      </c>
      <c r="C35">
        <f t="shared" si="0"/>
        <v>20</v>
      </c>
      <c r="D35" t="str">
        <f t="shared" si="1"/>
        <v>S001|000020</v>
      </c>
      <c r="E35" t="str">
        <f>IF(Entry!$B38="","",IF(ISNUMBER(Entry!$B38),IF(AND(Entry!$B38&gt;=10000101,Entry!$B38&lt;=99991231),INT(Entry!$B38/10000)&amp;"/"&amp;RIGHT("00"&amp;INT(MOD(Entry!$B38,10000)/100),2)&amp;"/"&amp;RIGHT("00"&amp;MOD(Entry!$B38,100),2),"نامعتبر"),IF(LEN(Entry!$B38)=10,Entry!$B38,"نامعتبر")))</f>
        <v>1405/07/25</v>
      </c>
      <c r="F35" t="str">
        <f>IF(Entry!$B38="","",IF(Entry!$C38="","0000",IF(AND(ISNUMBER(Entry!$C38),Entry!$C38&gt;=0,Entry!$C38&lt;1),RIGHT("00"&amp;HOUR(Entry!$C38),2)&amp;RIGHT("00"&amp;MINUTE(Entry!$C38),2),IFERROR(RIGHT("00"&amp;VALUE(LEFT(Entry!$C38,FIND(":",Entry!$C38)-1)),2)&amp;RIGHT("00"&amp;VALUE(MID(Entry!$C38,FIND(":",Entry!$C38)+1,2)),2),"0000"))))</f>
        <v>0000</v>
      </c>
      <c r="G35" t="str">
        <f>IF($A35="","",Entry!$G38)</f>
        <v/>
      </c>
      <c r="H35">
        <f>IF($A35="","",IF(Entry!$H38="",0,Entry!$H38))</f>
        <v/>
      </c>
      <c r="I35">
        <f>IF($A35="","",IF(Entry!$I38="",0,Entry!$I38))</f>
        <v/>
      </c>
      <c r="J35">
        <f t="shared" si="2"/>
        <v>22720000</v>
      </c>
      <c r="K35">
        <f>IF($A35="","",Entry!$D38)</f>
        <v>0</v>
      </c>
      <c r="L35">
        <f>IF($A35="","",Entry!$L38)</f>
        <v>0</v>
      </c>
      <c r="N35" t="str">
        <f>IF(OR(Sync!$M35="",$Q35="",$Q35="نامعتبر"),"",Sync!$M35)</f>
        <v/>
      </c>
      <c r="O35" t="str">
        <f t="shared" si="3"/>
        <v/>
      </c>
      <c r="P35" t="str">
        <f>IF($N35="","",LEFT($Q35,4)&amp;MID($Q35,6,2)&amp;RIGHT($Q35,2)&amp;IF(Sync!$K35="","0000",IF(AND(ISNUMBER(Sync!$K35),Sync!$K35&gt;=0,Sync!$K35&lt;1),RIGHT("00"&amp;HOUR(Sync!$K35),2)&amp;RIGHT("00"&amp;MINUTE(Sync!$K35),2),IFERROR(RIGHT("00"&amp;VALUE(LEFT(Sync!$K35,FIND(":",Sync!$K35)-1)),2)&amp;RIGHT("00"&amp;VALUE(MID(Sync!$K35,FIND(":",Sync!$K35)+1,2)),2),"0000")))&amp;"|"&amp;"2"&amp;RIGHT("00000"&amp;30,5))</f>
        <v/>
      </c>
      <c r="Q35" t="str">
        <f>IF(Sync!$J35="","",IF(ISNUMBER(Sync!$J35),IF(AND(Sync!$J35&gt;=10000101,Sync!$J35&lt;=99991231),INT(Sync!$J35/10000)&amp;"/"&amp;RIGHT("00"&amp;INT(MOD(Sync!$J35,10000)/100),2)&amp;"/"&amp;RIGHT("00"&amp;MOD(Sync!$J35,100),2),"نامعتبر"),IF(LEN(Sync!$J35)=10,Sync!$J35,"نامعتبر")))</f>
        <v/>
      </c>
      <c r="R35" t="str">
        <f t="shared" si="4"/>
        <v/>
      </c>
      <c r="S35" t="str">
        <f t="shared" si="5"/>
        <v/>
      </c>
      <c r="T35" t="str">
        <f>IF($N35="","",IF(Sync!$N35="",0,Sync!$N35))</f>
        <v/>
      </c>
      <c r="U35" t="str">
        <f>IF($N35="","",IF(Sync!$O35="",0,Sync!$O35))</f>
        <v/>
      </c>
      <c r="V35" t="str">
        <f>IF($N35="","",Sync!$L35)</f>
        <v/>
      </c>
      <c r="W35" t="str">
        <f>IF($N35="","",Sync!$P35)</f>
        <v/>
      </c>
      <c r="AA35">
        <f>IF($A35="","",IF(COUNTIF($A$6:$A35,$A35)=1,1,0))</f>
        <v>0</v>
      </c>
      <c r="AB35">
        <f>SUM($AA$6:$AA35)</f>
        <v>3</v>
      </c>
      <c r="AC35" t="str">
        <f t="shared" si="6"/>
        <v/>
      </c>
    </row>
    <row r="36" spans="1:29" x14ac:dyDescent="0.2">
      <c r="A36" t="str">
        <f>IF(OR(Entry!$B39="",Entry!$E39="",$E36="نامعتبر"),"",Entry!$E39)</f>
        <v>S001</v>
      </c>
      <c r="B36" t="str">
        <f>IF($A36="","",LEFT($E36,4)&amp;MID($E36,6,2)&amp;RIGHT($E36,2)&amp;$F36&amp;"|"&amp;"1"&amp;RIGHT("00000"&amp;31,5))</f>
        <v>140507250000|100031</v>
      </c>
      <c r="C36">
        <f t="shared" si="0"/>
        <v>21</v>
      </c>
      <c r="D36" t="str">
        <f t="shared" si="1"/>
        <v>S001|000021</v>
      </c>
      <c r="E36" t="str">
        <f>IF(Entry!$B39="","",IF(ISNUMBER(Entry!$B39),IF(AND(Entry!$B39&gt;=10000101,Entry!$B39&lt;=99991231),INT(Entry!$B39/10000)&amp;"/"&amp;RIGHT("00"&amp;INT(MOD(Entry!$B39,10000)/100),2)&amp;"/"&amp;RIGHT("00"&amp;MOD(Entry!$B39,100),2),"نامعتبر"),IF(LEN(Entry!$B39)=10,Entry!$B39,"نامعتبر")))</f>
        <v>1405/07/25</v>
      </c>
      <c r="F36" t="str">
        <f>IF(Entry!$B39="","",IF(Entry!$C39="","0000",IF(AND(ISNUMBER(Entry!$C39),Entry!$C39&gt;=0,Entry!$C39&lt;1),RIGHT("00"&amp;HOUR(Entry!$C39),2)&amp;RIGHT("00"&amp;MINUTE(Entry!$C39),2),IFERROR(RIGHT("00"&amp;VALUE(LEFT(Entry!$C39,FIND(":",Entry!$C39)-1)),2)&amp;RIGHT("00"&amp;VALUE(MID(Entry!$C39,FIND(":",Entry!$C39)+1,2)),2),"0000"))))</f>
        <v>0000</v>
      </c>
      <c r="G36" t="str">
        <f>IF($A36="","",Entry!$G39)</f>
        <v/>
      </c>
      <c r="H36">
        <f>IF($A36="","",IF(Entry!$H39="",0,Entry!$H39))</f>
        <v/>
      </c>
      <c r="I36">
        <f>IF($A36="","",IF(Entry!$I39="",0,Entry!$I39))</f>
        <v/>
      </c>
      <c r="J36">
        <f t="shared" si="2"/>
        <v>10560000</v>
      </c>
      <c r="K36">
        <f>IF($A36="","",Entry!$D39)</f>
        <v>0</v>
      </c>
      <c r="L36">
        <f>IF($A36="","",Entry!$L39)</f>
        <v>0</v>
      </c>
      <c r="N36" t="str">
        <f>IF(OR(Sync!$M36="",$Q36="",$Q36="نامعتبر"),"",Sync!$M36)</f>
        <v/>
      </c>
      <c r="O36" t="str">
        <f t="shared" si="3"/>
        <v/>
      </c>
      <c r="P36" t="str">
        <f>IF($N36="","",LEFT($Q36,4)&amp;MID($Q36,6,2)&amp;RIGHT($Q36,2)&amp;IF(Sync!$K36="","0000",IF(AND(ISNUMBER(Sync!$K36),Sync!$K36&gt;=0,Sync!$K36&lt;1),RIGHT("00"&amp;HOUR(Sync!$K36),2)&amp;RIGHT("00"&amp;MINUTE(Sync!$K36),2),IFERROR(RIGHT("00"&amp;VALUE(LEFT(Sync!$K36,FIND(":",Sync!$K36)-1)),2)&amp;RIGHT("00"&amp;VALUE(MID(Sync!$K36,FIND(":",Sync!$K36)+1,2)),2),"0000")))&amp;"|"&amp;"2"&amp;RIGHT("00000"&amp;31,5))</f>
        <v/>
      </c>
      <c r="Q36" t="str">
        <f>IF(Sync!$J36="","",IF(ISNUMBER(Sync!$J36),IF(AND(Sync!$J36&gt;=10000101,Sync!$J36&lt;=99991231),INT(Sync!$J36/10000)&amp;"/"&amp;RIGHT("00"&amp;INT(MOD(Sync!$J36,10000)/100),2)&amp;"/"&amp;RIGHT("00"&amp;MOD(Sync!$J36,100),2),"نامعتبر"),IF(LEN(Sync!$J36)=10,Sync!$J36,"نامعتبر")))</f>
        <v/>
      </c>
      <c r="R36" t="str">
        <f t="shared" si="4"/>
        <v/>
      </c>
      <c r="S36" t="str">
        <f t="shared" si="5"/>
        <v/>
      </c>
      <c r="T36" t="str">
        <f>IF($N36="","",IF(Sync!$N36="",0,Sync!$N36))</f>
        <v/>
      </c>
      <c r="U36" t="str">
        <f>IF($N36="","",IF(Sync!$O36="",0,Sync!$O36))</f>
        <v/>
      </c>
      <c r="V36" t="str">
        <f>IF($N36="","",Sync!$L36)</f>
        <v/>
      </c>
      <c r="W36" t="str">
        <f>IF($N36="","",Sync!$P36)</f>
        <v/>
      </c>
      <c r="AA36">
        <f>IF($A36="","",IF(COUNTIF($A$6:$A36,$A36)=1,1,0))</f>
        <v>0</v>
      </c>
      <c r="AB36">
        <f>SUM($AA$6:$AA36)</f>
        <v>3</v>
      </c>
      <c r="AC36" t="str">
        <f t="shared" si="6"/>
        <v/>
      </c>
    </row>
    <row r="37" spans="1:29" x14ac:dyDescent="0.2">
      <c r="A37" t="str">
        <f>IF(OR(Entry!$B40="",Entry!$E40="",$E37="نامعتبر"),"",Entry!$E40)</f>
        <v>S001</v>
      </c>
      <c r="B37" t="str">
        <f>IF($A37="","",LEFT($E37,4)&amp;MID($E37,6,2)&amp;RIGHT($E37,2)&amp;$F37&amp;"|"&amp;"1"&amp;RIGHT("00000"&amp;32,5))</f>
        <v>140507260000|100032</v>
      </c>
      <c r="C37">
        <f t="shared" si="0"/>
        <v>22</v>
      </c>
      <c r="D37" t="str">
        <f t="shared" si="1"/>
        <v>S001|000022</v>
      </c>
      <c r="E37" t="str">
        <f>IF(Entry!$B40="","",IF(ISNUMBER(Entry!$B40),IF(AND(Entry!$B40&gt;=10000101,Entry!$B40&lt;=99991231),INT(Entry!$B40/10000)&amp;"/"&amp;RIGHT("00"&amp;INT(MOD(Entry!$B40,10000)/100),2)&amp;"/"&amp;RIGHT("00"&amp;MOD(Entry!$B40,100),2),"نامعتبر"),IF(LEN(Entry!$B40)=10,Entry!$B40,"نامعتبر")))</f>
        <v>1405/07/26</v>
      </c>
      <c r="F37" t="str">
        <f>IF(Entry!$B40="","",IF(Entry!$C40="","0000",IF(AND(ISNUMBER(Entry!$C40),Entry!$C40&gt;=0,Entry!$C40&lt;1),RIGHT("00"&amp;HOUR(Entry!$C40),2)&amp;RIGHT("00"&amp;MINUTE(Entry!$C40),2),IFERROR(RIGHT("00"&amp;VALUE(LEFT(Entry!$C40,FIND(":",Entry!$C40)-1)),2)&amp;RIGHT("00"&amp;VALUE(MID(Entry!$C40,FIND(":",Entry!$C40)+1,2)),2),"0000"))))</f>
        <v>0000</v>
      </c>
      <c r="G37" t="str">
        <f>IF($A37="","",Entry!$G40)</f>
        <v/>
      </c>
      <c r="H37">
        <f>IF($A37="","",IF(Entry!$H40="",0,Entry!$H40))</f>
        <v/>
      </c>
      <c r="I37">
        <f>IF($A37="","",IF(Entry!$I40="",0,Entry!$I40))</f>
        <v/>
      </c>
      <c r="J37">
        <f t="shared" si="2"/>
        <v>36800000</v>
      </c>
      <c r="K37">
        <f>IF($A37="","",Entry!$D40)</f>
        <v>0</v>
      </c>
      <c r="L37">
        <f>IF($A37="","",Entry!$L40)</f>
        <v>0</v>
      </c>
      <c r="N37" t="str">
        <f>IF(OR(Sync!$M37="",$Q37="",$Q37="نامعتبر"),"",Sync!$M37)</f>
        <v/>
      </c>
      <c r="O37" t="str">
        <f t="shared" si="3"/>
        <v/>
      </c>
      <c r="P37" t="str">
        <f>IF($N37="","",LEFT($Q37,4)&amp;MID($Q37,6,2)&amp;RIGHT($Q37,2)&amp;IF(Sync!$K37="","0000",IF(AND(ISNUMBER(Sync!$K37),Sync!$K37&gt;=0,Sync!$K37&lt;1),RIGHT("00"&amp;HOUR(Sync!$K37),2)&amp;RIGHT("00"&amp;MINUTE(Sync!$K37),2),IFERROR(RIGHT("00"&amp;VALUE(LEFT(Sync!$K37,FIND(":",Sync!$K37)-1)),2)&amp;RIGHT("00"&amp;VALUE(MID(Sync!$K37,FIND(":",Sync!$K37)+1,2)),2),"0000")))&amp;"|"&amp;"2"&amp;RIGHT("00000"&amp;32,5))</f>
        <v/>
      </c>
      <c r="Q37" t="str">
        <f>IF(Sync!$J37="","",IF(ISNUMBER(Sync!$J37),IF(AND(Sync!$J37&gt;=10000101,Sync!$J37&lt;=99991231),INT(Sync!$J37/10000)&amp;"/"&amp;RIGHT("00"&amp;INT(MOD(Sync!$J37,10000)/100),2)&amp;"/"&amp;RIGHT("00"&amp;MOD(Sync!$J37,100),2),"نامعتبر"),IF(LEN(Sync!$J37)=10,Sync!$J37,"نامعتبر")))</f>
        <v/>
      </c>
      <c r="R37" t="str">
        <f t="shared" si="4"/>
        <v/>
      </c>
      <c r="S37" t="str">
        <f t="shared" si="5"/>
        <v/>
      </c>
      <c r="T37" t="str">
        <f>IF($N37="","",IF(Sync!$N37="",0,Sync!$N37))</f>
        <v/>
      </c>
      <c r="U37" t="str">
        <f>IF($N37="","",IF(Sync!$O37="",0,Sync!$O37))</f>
        <v/>
      </c>
      <c r="V37" t="str">
        <f>IF($N37="","",Sync!$L37)</f>
        <v/>
      </c>
      <c r="W37" t="str">
        <f>IF($N37="","",Sync!$P37)</f>
        <v/>
      </c>
      <c r="AA37">
        <f>IF($A37="","",IF(COUNTIF($A$6:$A37,$A37)=1,1,0))</f>
        <v>0</v>
      </c>
      <c r="AB37">
        <f>SUM($AA$6:$AA37)</f>
        <v>3</v>
      </c>
      <c r="AC37" t="str">
        <f t="shared" si="6"/>
        <v/>
      </c>
    </row>
    <row r="38" spans="1:29" x14ac:dyDescent="0.2">
      <c r="A38" t="str">
        <f>IF(OR(Entry!$B41="",Entry!$E41="",$E38="نامعتبر"),"",Entry!$E41)</f>
        <v>S001</v>
      </c>
      <c r="B38" t="str">
        <f>IF($A38="","",LEFT($E38,4)&amp;MID($E38,6,2)&amp;RIGHT($E38,2)&amp;$F38&amp;"|"&amp;"1"&amp;RIGHT("00000"&amp;33,5))</f>
        <v>140507260000|100033</v>
      </c>
      <c r="C38">
        <f t="shared" si="0"/>
        <v>23</v>
      </c>
      <c r="D38" t="str">
        <f t="shared" si="1"/>
        <v>S001|000023</v>
      </c>
      <c r="E38" t="str">
        <f>IF(Entry!$B41="","",IF(ISNUMBER(Entry!$B41),IF(AND(Entry!$B41&gt;=10000101,Entry!$B41&lt;=99991231),INT(Entry!$B41/10000)&amp;"/"&amp;RIGHT("00"&amp;INT(MOD(Entry!$B41,10000)/100),2)&amp;"/"&amp;RIGHT("00"&amp;MOD(Entry!$B41,100),2),"نامعتبر"),IF(LEN(Entry!$B41)=10,Entry!$B41,"نامعتبر")))</f>
        <v>1405/07/26</v>
      </c>
      <c r="F38" t="str">
        <f>IF(Entry!$B41="","",IF(Entry!$C41="","0000",IF(AND(ISNUMBER(Entry!$C41),Entry!$C41&gt;=0,Entry!$C41&lt;1),RIGHT("00"&amp;HOUR(Entry!$C41),2)&amp;RIGHT("00"&amp;MINUTE(Entry!$C41),2),IFERROR(RIGHT("00"&amp;VALUE(LEFT(Entry!$C41,FIND(":",Entry!$C41)-1)),2)&amp;RIGHT("00"&amp;VALUE(MID(Entry!$C41,FIND(":",Entry!$C41)+1,2)),2),"0000"))))</f>
        <v>0000</v>
      </c>
      <c r="G38" t="str">
        <f>IF($A38="","",Entry!$G41)</f>
        <v/>
      </c>
      <c r="H38">
        <f>IF($A38="","",IF(Entry!$H41="",0,Entry!$H41))</f>
        <v/>
      </c>
      <c r="I38">
        <f>IF($A38="","",IF(Entry!$I41="",0,Entry!$I41))</f>
        <v/>
      </c>
      <c r="J38">
        <f t="shared" si="2"/>
        <v>10500000</v>
      </c>
      <c r="K38">
        <f>IF($A38="","",Entry!$D41)</f>
        <v>0</v>
      </c>
      <c r="L38">
        <f>IF($A38="","",Entry!$L41)</f>
        <v>0</v>
      </c>
      <c r="N38" t="str">
        <f>IF(OR(Sync!$M38="",$Q38="",$Q38="نامعتبر"),"",Sync!$M38)</f>
        <v/>
      </c>
      <c r="O38" t="str">
        <f t="shared" si="3"/>
        <v/>
      </c>
      <c r="P38" t="str">
        <f>IF($N38="","",LEFT($Q38,4)&amp;MID($Q38,6,2)&amp;RIGHT($Q38,2)&amp;IF(Sync!$K38="","0000",IF(AND(ISNUMBER(Sync!$K38),Sync!$K38&gt;=0,Sync!$K38&lt;1),RIGHT("00"&amp;HOUR(Sync!$K38),2)&amp;RIGHT("00"&amp;MINUTE(Sync!$K38),2),IFERROR(RIGHT("00"&amp;VALUE(LEFT(Sync!$K38,FIND(":",Sync!$K38)-1)),2)&amp;RIGHT("00"&amp;VALUE(MID(Sync!$K38,FIND(":",Sync!$K38)+1,2)),2),"0000")))&amp;"|"&amp;"2"&amp;RIGHT("00000"&amp;33,5))</f>
        <v/>
      </c>
      <c r="Q38" t="str">
        <f>IF(Sync!$J38="","",IF(ISNUMBER(Sync!$J38),IF(AND(Sync!$J38&gt;=10000101,Sync!$J38&lt;=99991231),INT(Sync!$J38/10000)&amp;"/"&amp;RIGHT("00"&amp;INT(MOD(Sync!$J38,10000)/100),2)&amp;"/"&amp;RIGHT("00"&amp;MOD(Sync!$J38,100),2),"نامعتبر"),IF(LEN(Sync!$J38)=10,Sync!$J38,"نامعتبر")))</f>
        <v/>
      </c>
      <c r="R38" t="str">
        <f t="shared" si="4"/>
        <v/>
      </c>
      <c r="S38" t="str">
        <f t="shared" si="5"/>
        <v/>
      </c>
      <c r="T38" t="str">
        <f>IF($N38="","",IF(Sync!$N38="",0,Sync!$N38))</f>
        <v/>
      </c>
      <c r="U38" t="str">
        <f>IF($N38="","",IF(Sync!$O38="",0,Sync!$O38))</f>
        <v/>
      </c>
      <c r="V38" t="str">
        <f>IF($N38="","",Sync!$L38)</f>
        <v/>
      </c>
      <c r="W38" t="str">
        <f>IF($N38="","",Sync!$P38)</f>
        <v/>
      </c>
      <c r="AA38">
        <f>IF($A38="","",IF(COUNTIF($A$6:$A38,$A38)=1,1,0))</f>
        <v>0</v>
      </c>
      <c r="AB38">
        <f>SUM($AA$6:$AA38)</f>
        <v>3</v>
      </c>
      <c r="AC38" t="str">
        <f t="shared" si="6"/>
        <v/>
      </c>
    </row>
    <row r="39" spans="1:29" x14ac:dyDescent="0.2">
      <c r="A39" t="str">
        <f>IF(OR(Entry!$B42="",Entry!$E42="",$E39="نامعتبر"),"",Entry!$E42)</f>
        <v>S001</v>
      </c>
      <c r="B39" t="str">
        <f>IF($A39="","",LEFT($E39,4)&amp;MID($E39,6,2)&amp;RIGHT($E39,2)&amp;$F39&amp;"|"&amp;"1"&amp;RIGHT("00000"&amp;34,5))</f>
        <v>140507280000|100034</v>
      </c>
      <c r="C39">
        <f t="shared" si="0"/>
        <v>24</v>
      </c>
      <c r="D39" t="str">
        <f t="shared" si="1"/>
        <v>S001|000024</v>
      </c>
      <c r="E39" t="str">
        <f>IF(Entry!$B42="","",IF(ISNUMBER(Entry!$B42),IF(AND(Entry!$B42&gt;=10000101,Entry!$B42&lt;=99991231),INT(Entry!$B42/10000)&amp;"/"&amp;RIGHT("00"&amp;INT(MOD(Entry!$B42,10000)/100),2)&amp;"/"&amp;RIGHT("00"&amp;MOD(Entry!$B42,100),2),"نامعتبر"),IF(LEN(Entry!$B42)=10,Entry!$B42,"نامعتبر")))</f>
        <v>1405/07/28</v>
      </c>
      <c r="F39" t="str">
        <f>IF(Entry!$B42="","",IF(Entry!$C42="","0000",IF(AND(ISNUMBER(Entry!$C42),Entry!$C42&gt;=0,Entry!$C42&lt;1),RIGHT("00"&amp;HOUR(Entry!$C42),2)&amp;RIGHT("00"&amp;MINUTE(Entry!$C42),2),IFERROR(RIGHT("00"&amp;VALUE(LEFT(Entry!$C42,FIND(":",Entry!$C42)-1)),2)&amp;RIGHT("00"&amp;VALUE(MID(Entry!$C42,FIND(":",Entry!$C42)+1,2)),2),"0000"))))</f>
        <v>0000</v>
      </c>
      <c r="G39" t="str">
        <f>IF($A39="","",Entry!$G42)</f>
        <v/>
      </c>
      <c r="H39">
        <f>IF($A39="","",IF(Entry!$H42="",0,Entry!$H42))</f>
        <v/>
      </c>
      <c r="I39">
        <f>IF($A39="","",IF(Entry!$I42="",0,Entry!$I42))</f>
        <v/>
      </c>
      <c r="J39">
        <f t="shared" si="2"/>
        <v>2000000</v>
      </c>
      <c r="K39">
        <f>IF($A39="","",Entry!$D42)</f>
        <v>0</v>
      </c>
      <c r="L39">
        <f>IF($A39="","",Entry!$L42)</f>
        <v>0</v>
      </c>
      <c r="N39" t="str">
        <f>IF(OR(Sync!$M39="",$Q39="",$Q39="نامعتبر"),"",Sync!$M39)</f>
        <v/>
      </c>
      <c r="O39" t="str">
        <f t="shared" si="3"/>
        <v/>
      </c>
      <c r="P39" t="str">
        <f>IF($N39="","",LEFT($Q39,4)&amp;MID($Q39,6,2)&amp;RIGHT($Q39,2)&amp;IF(Sync!$K39="","0000",IF(AND(ISNUMBER(Sync!$K39),Sync!$K39&gt;=0,Sync!$K39&lt;1),RIGHT("00"&amp;HOUR(Sync!$K39),2)&amp;RIGHT("00"&amp;MINUTE(Sync!$K39),2),IFERROR(RIGHT("00"&amp;VALUE(LEFT(Sync!$K39,FIND(":",Sync!$K39)-1)),2)&amp;RIGHT("00"&amp;VALUE(MID(Sync!$K39,FIND(":",Sync!$K39)+1,2)),2),"0000")))&amp;"|"&amp;"2"&amp;RIGHT("00000"&amp;34,5))</f>
        <v/>
      </c>
      <c r="Q39" t="str">
        <f>IF(Sync!$J39="","",IF(ISNUMBER(Sync!$J39),IF(AND(Sync!$J39&gt;=10000101,Sync!$J39&lt;=99991231),INT(Sync!$J39/10000)&amp;"/"&amp;RIGHT("00"&amp;INT(MOD(Sync!$J39,10000)/100),2)&amp;"/"&amp;RIGHT("00"&amp;MOD(Sync!$J39,100),2),"نامعتبر"),IF(LEN(Sync!$J39)=10,Sync!$J39,"نامعتبر")))</f>
        <v/>
      </c>
      <c r="R39" t="str">
        <f t="shared" si="4"/>
        <v/>
      </c>
      <c r="S39" t="str">
        <f t="shared" si="5"/>
        <v/>
      </c>
      <c r="T39" t="str">
        <f>IF($N39="","",IF(Sync!$N39="",0,Sync!$N39))</f>
        <v/>
      </c>
      <c r="U39" t="str">
        <f>IF($N39="","",IF(Sync!$O39="",0,Sync!$O39))</f>
        <v/>
      </c>
      <c r="V39" t="str">
        <f>IF($N39="","",Sync!$L39)</f>
        <v/>
      </c>
      <c r="W39" t="str">
        <f>IF($N39="","",Sync!$P39)</f>
        <v/>
      </c>
      <c r="AA39">
        <f>IF($A39="","",IF(COUNTIF($A$6:$A39,$A39)=1,1,0))</f>
        <v>0</v>
      </c>
      <c r="AB39">
        <f>SUM($AA$6:$AA39)</f>
        <v>3</v>
      </c>
      <c r="AC39" t="str">
        <f t="shared" si="6"/>
        <v/>
      </c>
    </row>
    <row r="40" spans="1:29" x14ac:dyDescent="0.2">
      <c r="A40" t="str">
        <f>IF(OR(Entry!$B43="",Entry!$E43="",$E40="نامعتبر"),"",Entry!$E43)</f>
        <v>S001</v>
      </c>
      <c r="B40" t="str">
        <f>IF($A40="","",LEFT($E40,4)&amp;MID($E40,6,2)&amp;RIGHT($E40,2)&amp;$F40&amp;"|"&amp;"1"&amp;RIGHT("00000"&amp;35,5))</f>
        <v>140507290000|100035</v>
      </c>
      <c r="C40">
        <f t="shared" si="0"/>
        <v>27</v>
      </c>
      <c r="D40" t="str">
        <f t="shared" si="1"/>
        <v>S001|000027</v>
      </c>
      <c r="E40" t="str">
        <f>IF(Entry!$B43="","",IF(ISNUMBER(Entry!$B43),IF(AND(Entry!$B43&gt;=10000101,Entry!$B43&lt;=99991231),INT(Entry!$B43/10000)&amp;"/"&amp;RIGHT("00"&amp;INT(MOD(Entry!$B43,10000)/100),2)&amp;"/"&amp;RIGHT("00"&amp;MOD(Entry!$B43,100),2),"نامعتبر"),IF(LEN(Entry!$B43)=10,Entry!$B43,"نامعتبر")))</f>
        <v>1405/07/29</v>
      </c>
      <c r="F40" t="str">
        <f>IF(Entry!$B43="","",IF(Entry!$C43="","0000",IF(AND(ISNUMBER(Entry!$C43),Entry!$C43&gt;=0,Entry!$C43&lt;1),RIGHT("00"&amp;HOUR(Entry!$C43),2)&amp;RIGHT("00"&amp;MINUTE(Entry!$C43),2),IFERROR(RIGHT("00"&amp;VALUE(LEFT(Entry!$C43,FIND(":",Entry!$C43)-1)),2)&amp;RIGHT("00"&amp;VALUE(MID(Entry!$C43,FIND(":",Entry!$C43)+1,2)),2),"0000"))))</f>
        <v>0000</v>
      </c>
      <c r="G40" t="str">
        <f>IF($A40="","",Entry!$G43)</f>
        <v/>
      </c>
      <c r="H40">
        <f>IF($A40="","",IF(Entry!$H43="",0,Entry!$H43))</f>
        <v/>
      </c>
      <c r="I40">
        <f>IF($A40="","",IF(Entry!$I43="",0,Entry!$I43))</f>
        <v/>
      </c>
      <c r="J40">
        <f t="shared" si="2"/>
        <v>29750000</v>
      </c>
      <c r="K40">
        <f>IF($A40="","",Entry!$D43)</f>
        <v>0</v>
      </c>
      <c r="L40">
        <f>IF($A40="","",Entry!$L43)</f>
        <v>0</v>
      </c>
      <c r="N40" t="str">
        <f>IF(OR(Sync!$M40="",$Q40="",$Q40="نامعتبر"),"",Sync!$M40)</f>
        <v/>
      </c>
      <c r="O40" t="str">
        <f t="shared" si="3"/>
        <v/>
      </c>
      <c r="P40" t="str">
        <f>IF($N40="","",LEFT($Q40,4)&amp;MID($Q40,6,2)&amp;RIGHT($Q40,2)&amp;IF(Sync!$K40="","0000",IF(AND(ISNUMBER(Sync!$K40),Sync!$K40&gt;=0,Sync!$K40&lt;1),RIGHT("00"&amp;HOUR(Sync!$K40),2)&amp;RIGHT("00"&amp;MINUTE(Sync!$K40),2),IFERROR(RIGHT("00"&amp;VALUE(LEFT(Sync!$K40,FIND(":",Sync!$K40)-1)),2)&amp;RIGHT("00"&amp;VALUE(MID(Sync!$K40,FIND(":",Sync!$K40)+1,2)),2),"0000")))&amp;"|"&amp;"2"&amp;RIGHT("00000"&amp;35,5))</f>
        <v/>
      </c>
      <c r="Q40" t="str">
        <f>IF(Sync!$J40="","",IF(ISNUMBER(Sync!$J40),IF(AND(Sync!$J40&gt;=10000101,Sync!$J40&lt;=99991231),INT(Sync!$J40/10000)&amp;"/"&amp;RIGHT("00"&amp;INT(MOD(Sync!$J40,10000)/100),2)&amp;"/"&amp;RIGHT("00"&amp;MOD(Sync!$J40,100),2),"نامعتبر"),IF(LEN(Sync!$J40)=10,Sync!$J40,"نامعتبر")))</f>
        <v/>
      </c>
      <c r="R40" t="str">
        <f t="shared" si="4"/>
        <v/>
      </c>
      <c r="S40" t="str">
        <f t="shared" si="5"/>
        <v/>
      </c>
      <c r="T40" t="str">
        <f>IF($N40="","",IF(Sync!$N40="",0,Sync!$N40))</f>
        <v/>
      </c>
      <c r="U40" t="str">
        <f>IF($N40="","",IF(Sync!$O40="",0,Sync!$O40))</f>
        <v/>
      </c>
      <c r="V40" t="str">
        <f>IF($N40="","",Sync!$L40)</f>
        <v/>
      </c>
      <c r="W40" t="str">
        <f>IF($N40="","",Sync!$P40)</f>
        <v/>
      </c>
      <c r="AA40">
        <f>IF($A40="","",IF(COUNTIF($A$6:$A40,$A40)=1,1,0))</f>
        <v>0</v>
      </c>
      <c r="AB40">
        <f>SUM($AA$6:$AA40)</f>
        <v>3</v>
      </c>
      <c r="AC40" t="str">
        <f t="shared" si="6"/>
        <v/>
      </c>
    </row>
    <row r="41" spans="1:29" x14ac:dyDescent="0.2">
      <c r="A41" t="str">
        <f>IF(OR(Entry!$B44="",Entry!$E44="",$E41="نامعتبر"),"",Entry!$E44)</f>
        <v>S001</v>
      </c>
      <c r="B41" t="str">
        <f>IF($A41="","",LEFT($E41,4)&amp;MID($E41,6,2)&amp;RIGHT($E41,2)&amp;$F41&amp;"|"&amp;"1"&amp;RIGHT("00000"&amp;36,5))</f>
        <v>140507280000|100036</v>
      </c>
      <c r="C41">
        <f t="shared" si="0"/>
        <v>25</v>
      </c>
      <c r="D41" t="str">
        <f t="shared" si="1"/>
        <v>S001|000025</v>
      </c>
      <c r="E41" t="str">
        <f>IF(Entry!$B44="","",IF(ISNUMBER(Entry!$B44),IF(AND(Entry!$B44&gt;=10000101,Entry!$B44&lt;=99991231),INT(Entry!$B44/10000)&amp;"/"&amp;RIGHT("00"&amp;INT(MOD(Entry!$B44,10000)/100),2)&amp;"/"&amp;RIGHT("00"&amp;MOD(Entry!$B44,100),2),"نامعتبر"),IF(LEN(Entry!$B44)=10,Entry!$B44,"نامعتبر")))</f>
        <v>1405/07/28</v>
      </c>
      <c r="F41" t="str">
        <f>IF(Entry!$B44="","",IF(Entry!$C44="","0000",IF(AND(ISNUMBER(Entry!$C44),Entry!$C44&gt;=0,Entry!$C44&lt;1),RIGHT("00"&amp;HOUR(Entry!$C44),2)&amp;RIGHT("00"&amp;MINUTE(Entry!$C44),2),IFERROR(RIGHT("00"&amp;VALUE(LEFT(Entry!$C44,FIND(":",Entry!$C44)-1)),2)&amp;RIGHT("00"&amp;VALUE(MID(Entry!$C44,FIND(":",Entry!$C44)+1,2)),2),"0000"))))</f>
        <v>0000</v>
      </c>
      <c r="G41" t="str">
        <f>IF($A41="","",Entry!$G44)</f>
        <v/>
      </c>
      <c r="H41">
        <f>IF($A41="","",IF(Entry!$H44="",0,Entry!$H44))</f>
        <v/>
      </c>
      <c r="I41">
        <f>IF($A41="","",IF(Entry!$I44="",0,Entry!$I44))</f>
        <v/>
      </c>
      <c r="J41">
        <f t="shared" si="2"/>
        <v>6000000</v>
      </c>
      <c r="K41">
        <f>IF($A41="","",Entry!$D44)</f>
        <v>0</v>
      </c>
      <c r="L41">
        <f>IF($A41="","",Entry!$L44)</f>
        <v>0</v>
      </c>
      <c r="N41" t="str">
        <f>IF(OR(Sync!$M41="",$Q41="",$Q41="نامعتبر"),"",Sync!$M41)</f>
        <v/>
      </c>
      <c r="O41" t="str">
        <f t="shared" si="3"/>
        <v/>
      </c>
      <c r="P41" t="str">
        <f>IF($N41="","",LEFT($Q41,4)&amp;MID($Q41,6,2)&amp;RIGHT($Q41,2)&amp;IF(Sync!$K41="","0000",IF(AND(ISNUMBER(Sync!$K41),Sync!$K41&gt;=0,Sync!$K41&lt;1),RIGHT("00"&amp;HOUR(Sync!$K41),2)&amp;RIGHT("00"&amp;MINUTE(Sync!$K41),2),IFERROR(RIGHT("00"&amp;VALUE(LEFT(Sync!$K41,FIND(":",Sync!$K41)-1)),2)&amp;RIGHT("00"&amp;VALUE(MID(Sync!$K41,FIND(":",Sync!$K41)+1,2)),2),"0000")))&amp;"|"&amp;"2"&amp;RIGHT("00000"&amp;36,5))</f>
        <v/>
      </c>
      <c r="Q41" t="str">
        <f>IF(Sync!$J41="","",IF(ISNUMBER(Sync!$J41),IF(AND(Sync!$J41&gt;=10000101,Sync!$J41&lt;=99991231),INT(Sync!$J41/10000)&amp;"/"&amp;RIGHT("00"&amp;INT(MOD(Sync!$J41,10000)/100),2)&amp;"/"&amp;RIGHT("00"&amp;MOD(Sync!$J41,100),2),"نامعتبر"),IF(LEN(Sync!$J41)=10,Sync!$J41,"نامعتبر")))</f>
        <v/>
      </c>
      <c r="R41" t="str">
        <f t="shared" si="4"/>
        <v/>
      </c>
      <c r="S41" t="str">
        <f t="shared" si="5"/>
        <v/>
      </c>
      <c r="T41" t="str">
        <f>IF($N41="","",IF(Sync!$N41="",0,Sync!$N41))</f>
        <v/>
      </c>
      <c r="U41" t="str">
        <f>IF($N41="","",IF(Sync!$O41="",0,Sync!$O41))</f>
        <v/>
      </c>
      <c r="V41" t="str">
        <f>IF($N41="","",Sync!$L41)</f>
        <v/>
      </c>
      <c r="W41" t="str">
        <f>IF($N41="","",Sync!$P41)</f>
        <v/>
      </c>
      <c r="AA41">
        <f>IF($A41="","",IF(COUNTIF($A$6:$A41,$A41)=1,1,0))</f>
        <v>0</v>
      </c>
      <c r="AB41">
        <f>SUM($AA$6:$AA41)</f>
        <v>3</v>
      </c>
      <c r="AC41" t="str">
        <f t="shared" si="6"/>
        <v/>
      </c>
    </row>
    <row r="42" spans="1:29" x14ac:dyDescent="0.2">
      <c r="A42" t="str">
        <f>IF(OR(Entry!$B45="",Entry!$E45="",$E42="نامعتبر"),"",Entry!$E45)</f>
        <v>S001</v>
      </c>
      <c r="B42" t="str">
        <f>IF($A42="","",LEFT($E42,4)&amp;MID($E42,6,2)&amp;RIGHT($E42,2)&amp;$F42&amp;"|"&amp;"1"&amp;RIGHT("00000"&amp;37,5))</f>
        <v>140507280000|100037</v>
      </c>
      <c r="C42">
        <f t="shared" si="0"/>
        <v>26</v>
      </c>
      <c r="D42" t="str">
        <f t="shared" si="1"/>
        <v>S001|000026</v>
      </c>
      <c r="E42" t="str">
        <f>IF(Entry!$B45="","",IF(ISNUMBER(Entry!$B45),IF(AND(Entry!$B45&gt;=10000101,Entry!$B45&lt;=99991231),INT(Entry!$B45/10000)&amp;"/"&amp;RIGHT("00"&amp;INT(MOD(Entry!$B45,10000)/100),2)&amp;"/"&amp;RIGHT("00"&amp;MOD(Entry!$B45,100),2),"نامعتبر"),IF(LEN(Entry!$B45)=10,Entry!$B45,"نامعتبر")))</f>
        <v>1405/07/28</v>
      </c>
      <c r="F42" t="str">
        <f>IF(Entry!$B45="","",IF(Entry!$C45="","0000",IF(AND(ISNUMBER(Entry!$C45),Entry!$C45&gt;=0,Entry!$C45&lt;1),RIGHT("00"&amp;HOUR(Entry!$C45),2)&amp;RIGHT("00"&amp;MINUTE(Entry!$C45),2),IFERROR(RIGHT("00"&amp;VALUE(LEFT(Entry!$C45,FIND(":",Entry!$C45)-1)),2)&amp;RIGHT("00"&amp;VALUE(MID(Entry!$C45,FIND(":",Entry!$C45)+1,2)),2),"0000"))))</f>
        <v>0000</v>
      </c>
      <c r="G42" t="str">
        <f>IF($A42="","",Entry!$G45)</f>
        <v/>
      </c>
      <c r="H42">
        <f>IF($A42="","",IF(Entry!$H45="",0,Entry!$H45))</f>
        <v/>
      </c>
      <c r="I42">
        <f>IF($A42="","",IF(Entry!$I45="",0,Entry!$I45))</f>
        <v/>
      </c>
      <c r="J42">
        <f t="shared" si="2"/>
        <v>39809000</v>
      </c>
      <c r="K42">
        <f>IF($A42="","",Entry!$D45)</f>
        <v>0</v>
      </c>
      <c r="L42">
        <f>IF($A42="","",Entry!$L45)</f>
        <v>0</v>
      </c>
      <c r="N42" t="str">
        <f>IF(OR(Sync!$M42="",$Q42="",$Q42="نامعتبر"),"",Sync!$M42)</f>
        <v/>
      </c>
      <c r="O42" t="str">
        <f t="shared" si="3"/>
        <v/>
      </c>
      <c r="P42" t="str">
        <f>IF($N42="","",LEFT($Q42,4)&amp;MID($Q42,6,2)&amp;RIGHT($Q42,2)&amp;IF(Sync!$K42="","0000",IF(AND(ISNUMBER(Sync!$K42),Sync!$K42&gt;=0,Sync!$K42&lt;1),RIGHT("00"&amp;HOUR(Sync!$K42),2)&amp;RIGHT("00"&amp;MINUTE(Sync!$K42),2),IFERROR(RIGHT("00"&amp;VALUE(LEFT(Sync!$K42,FIND(":",Sync!$K42)-1)),2)&amp;RIGHT("00"&amp;VALUE(MID(Sync!$K42,FIND(":",Sync!$K42)+1,2)),2),"0000")))&amp;"|"&amp;"2"&amp;RIGHT("00000"&amp;37,5))</f>
        <v/>
      </c>
      <c r="Q42" t="str">
        <f>IF(Sync!$J42="","",IF(ISNUMBER(Sync!$J42),IF(AND(Sync!$J42&gt;=10000101,Sync!$J42&lt;=99991231),INT(Sync!$J42/10000)&amp;"/"&amp;RIGHT("00"&amp;INT(MOD(Sync!$J42,10000)/100),2)&amp;"/"&amp;RIGHT("00"&amp;MOD(Sync!$J42,100),2),"نامعتبر"),IF(LEN(Sync!$J42)=10,Sync!$J42,"نامعتبر")))</f>
        <v/>
      </c>
      <c r="R42" t="str">
        <f t="shared" si="4"/>
        <v/>
      </c>
      <c r="S42" t="str">
        <f t="shared" si="5"/>
        <v/>
      </c>
      <c r="T42" t="str">
        <f>IF($N42="","",IF(Sync!$N42="",0,Sync!$N42))</f>
        <v/>
      </c>
      <c r="U42" t="str">
        <f>IF($N42="","",IF(Sync!$O42="",0,Sync!$O42))</f>
        <v/>
      </c>
      <c r="V42" t="str">
        <f>IF($N42="","",Sync!$L42)</f>
        <v/>
      </c>
      <c r="W42" t="str">
        <f>IF($N42="","",Sync!$P42)</f>
        <v/>
      </c>
      <c r="AA42">
        <f>IF($A42="","",IF(COUNTIF($A$6:$A42,$A42)=1,1,0))</f>
        <v>0</v>
      </c>
      <c r="AB42">
        <f>SUM($AA$6:$AA42)</f>
        <v>3</v>
      </c>
      <c r="AC42" t="str">
        <f t="shared" si="6"/>
        <v/>
      </c>
    </row>
    <row r="43" spans="1:29" x14ac:dyDescent="0.2">
      <c r="A43" t="str">
        <f>IF(OR(Entry!$B46="",Entry!$E46="",$E43="نامعتبر"),"",Entry!$E46)</f>
        <v>S001</v>
      </c>
      <c r="B43" t="str">
        <f>IF($A43="","",LEFT($E43,4)&amp;MID($E43,6,2)&amp;RIGHT($E43,2)&amp;$F43&amp;"|"&amp;"1"&amp;RIGHT("00000"&amp;38,5))</f>
        <v>140508010000|100038</v>
      </c>
      <c r="C43">
        <f t="shared" si="0"/>
        <v>28</v>
      </c>
      <c r="D43" t="str">
        <f t="shared" si="1"/>
        <v>S001|000028</v>
      </c>
      <c r="E43" t="str">
        <f>IF(Entry!$B46="","",IF(ISNUMBER(Entry!$B46),IF(AND(Entry!$B46&gt;=10000101,Entry!$B46&lt;=99991231),INT(Entry!$B46/10000)&amp;"/"&amp;RIGHT("00"&amp;INT(MOD(Entry!$B46,10000)/100),2)&amp;"/"&amp;RIGHT("00"&amp;MOD(Entry!$B46,100),2),"نامعتبر"),IF(LEN(Entry!$B46)=10,Entry!$B46,"نامعتبر")))</f>
        <v>1405/08/01</v>
      </c>
      <c r="F43" t="str">
        <f>IF(Entry!$B46="","",IF(Entry!$C46="","0000",IF(AND(ISNUMBER(Entry!$C46),Entry!$C46&gt;=0,Entry!$C46&lt;1),RIGHT("00"&amp;HOUR(Entry!$C46),2)&amp;RIGHT("00"&amp;MINUTE(Entry!$C46),2),IFERROR(RIGHT("00"&amp;VALUE(LEFT(Entry!$C46,FIND(":",Entry!$C46)-1)),2)&amp;RIGHT("00"&amp;VALUE(MID(Entry!$C46,FIND(":",Entry!$C46)+1,2)),2),"0000"))))</f>
        <v>0000</v>
      </c>
      <c r="G43" t="str">
        <f>IF($A43="","",Entry!$G46)</f>
        <v/>
      </c>
      <c r="H43">
        <f>IF($A43="","",IF(Entry!$H46="",0,Entry!$H46))</f>
        <v/>
      </c>
      <c r="I43">
        <f>IF($A43="","",IF(Entry!$I46="",0,Entry!$I46))</f>
        <v/>
      </c>
      <c r="J43">
        <f t="shared" si="2"/>
        <v>96397000</v>
      </c>
      <c r="K43">
        <f>IF($A43="","",Entry!$D46)</f>
        <v>0</v>
      </c>
      <c r="L43">
        <f>IF($A43="","",Entry!$L46)</f>
        <v>0</v>
      </c>
      <c r="N43" t="str">
        <f>IF(OR(Sync!$M43="",$Q43="",$Q43="نامعتبر"),"",Sync!$M43)</f>
        <v/>
      </c>
      <c r="O43" t="str">
        <f t="shared" si="3"/>
        <v/>
      </c>
      <c r="P43" t="str">
        <f>IF($N43="","",LEFT($Q43,4)&amp;MID($Q43,6,2)&amp;RIGHT($Q43,2)&amp;IF(Sync!$K43="","0000",IF(AND(ISNUMBER(Sync!$K43),Sync!$K43&gt;=0,Sync!$K43&lt;1),RIGHT("00"&amp;HOUR(Sync!$K43),2)&amp;RIGHT("00"&amp;MINUTE(Sync!$K43),2),IFERROR(RIGHT("00"&amp;VALUE(LEFT(Sync!$K43,FIND(":",Sync!$K43)-1)),2)&amp;RIGHT("00"&amp;VALUE(MID(Sync!$K43,FIND(":",Sync!$K43)+1,2)),2),"0000")))&amp;"|"&amp;"2"&amp;RIGHT("00000"&amp;38,5))</f>
        <v/>
      </c>
      <c r="Q43" t="str">
        <f>IF(Sync!$J43="","",IF(ISNUMBER(Sync!$J43),IF(AND(Sync!$J43&gt;=10000101,Sync!$J43&lt;=99991231),INT(Sync!$J43/10000)&amp;"/"&amp;RIGHT("00"&amp;INT(MOD(Sync!$J43,10000)/100),2)&amp;"/"&amp;RIGHT("00"&amp;MOD(Sync!$J43,100),2),"نامعتبر"),IF(LEN(Sync!$J43)=10,Sync!$J43,"نامعتبر")))</f>
        <v/>
      </c>
      <c r="R43" t="str">
        <f t="shared" si="4"/>
        <v/>
      </c>
      <c r="S43" t="str">
        <f t="shared" si="5"/>
        <v/>
      </c>
      <c r="T43" t="str">
        <f>IF($N43="","",IF(Sync!$N43="",0,Sync!$N43))</f>
        <v/>
      </c>
      <c r="U43" t="str">
        <f>IF($N43="","",IF(Sync!$O43="",0,Sync!$O43))</f>
        <v/>
      </c>
      <c r="V43" t="str">
        <f>IF($N43="","",Sync!$L43)</f>
        <v/>
      </c>
      <c r="W43" t="str">
        <f>IF($N43="","",Sync!$P43)</f>
        <v/>
      </c>
      <c r="AA43">
        <f>IF($A43="","",IF(COUNTIF($A$6:$A43,$A43)=1,1,0))</f>
        <v>0</v>
      </c>
      <c r="AB43">
        <f>SUM($AA$6:$AA43)</f>
        <v>3</v>
      </c>
      <c r="AC43" t="str">
        <f t="shared" si="6"/>
        <v/>
      </c>
    </row>
    <row r="44" spans="1:29" x14ac:dyDescent="0.2">
      <c r="A44" t="str">
        <f>IF(OR(Entry!$B47="",Entry!$E47="",$E44="نامعتبر"),"",Entry!$E47)</f>
        <v>S001</v>
      </c>
      <c r="B44" t="str">
        <f>IF($A44="","",LEFT($E44,4)&amp;MID($E44,6,2)&amp;RIGHT($E44,2)&amp;$F44&amp;"|"&amp;"1"&amp;RIGHT("00000"&amp;39,5))</f>
        <v>140508010000|100039</v>
      </c>
      <c r="C44">
        <f t="shared" si="0"/>
        <v>29</v>
      </c>
      <c r="D44" t="str">
        <f t="shared" si="1"/>
        <v>S001|000029</v>
      </c>
      <c r="E44" t="str">
        <f>IF(Entry!$B47="","",IF(ISNUMBER(Entry!$B47),IF(AND(Entry!$B47&gt;=10000101,Entry!$B47&lt;=99991231),INT(Entry!$B47/10000)&amp;"/"&amp;RIGHT("00"&amp;INT(MOD(Entry!$B47,10000)/100),2)&amp;"/"&amp;RIGHT("00"&amp;MOD(Entry!$B47,100),2),"نامعتبر"),IF(LEN(Entry!$B47)=10,Entry!$B47,"نامعتبر")))</f>
        <v>1405/08/01</v>
      </c>
      <c r="F44" t="str">
        <f>IF(Entry!$B47="","",IF(Entry!$C47="","0000",IF(AND(ISNUMBER(Entry!$C47),Entry!$C47&gt;=0,Entry!$C47&lt;1),RIGHT("00"&amp;HOUR(Entry!$C47),2)&amp;RIGHT("00"&amp;MINUTE(Entry!$C47),2),IFERROR(RIGHT("00"&amp;VALUE(LEFT(Entry!$C47,FIND(":",Entry!$C47)-1)),2)&amp;RIGHT("00"&amp;VALUE(MID(Entry!$C47,FIND(":",Entry!$C47)+1,2)),2),"0000"))))</f>
        <v>0000</v>
      </c>
      <c r="G44" t="str">
        <f>IF($A44="","",Entry!$G47)</f>
        <v/>
      </c>
      <c r="H44">
        <f>IF($A44="","",IF(Entry!$H47="",0,Entry!$H47))</f>
        <v/>
      </c>
      <c r="I44">
        <f>IF($A44="","",IF(Entry!$I47="",0,Entry!$I47))</f>
        <v/>
      </c>
      <c r="J44">
        <f t="shared" si="2"/>
        <v>31250000</v>
      </c>
      <c r="K44">
        <f>IF($A44="","",Entry!$D47)</f>
        <v>0</v>
      </c>
      <c r="L44">
        <f>IF($A44="","",Entry!$L47)</f>
        <v>0</v>
      </c>
      <c r="N44" t="str">
        <f>IF(OR(Sync!$M44="",$Q44="",$Q44="نامعتبر"),"",Sync!$M44)</f>
        <v/>
      </c>
      <c r="O44" t="str">
        <f t="shared" si="3"/>
        <v/>
      </c>
      <c r="P44" t="str">
        <f>IF($N44="","",LEFT($Q44,4)&amp;MID($Q44,6,2)&amp;RIGHT($Q44,2)&amp;IF(Sync!$K44="","0000",IF(AND(ISNUMBER(Sync!$K44),Sync!$K44&gt;=0,Sync!$K44&lt;1),RIGHT("00"&amp;HOUR(Sync!$K44),2)&amp;RIGHT("00"&amp;MINUTE(Sync!$K44),2),IFERROR(RIGHT("00"&amp;VALUE(LEFT(Sync!$K44,FIND(":",Sync!$K44)-1)),2)&amp;RIGHT("00"&amp;VALUE(MID(Sync!$K44,FIND(":",Sync!$K44)+1,2)),2),"0000")))&amp;"|"&amp;"2"&amp;RIGHT("00000"&amp;39,5))</f>
        <v/>
      </c>
      <c r="Q44" t="str">
        <f>IF(Sync!$J44="","",IF(ISNUMBER(Sync!$J44),IF(AND(Sync!$J44&gt;=10000101,Sync!$J44&lt;=99991231),INT(Sync!$J44/10000)&amp;"/"&amp;RIGHT("00"&amp;INT(MOD(Sync!$J44,10000)/100),2)&amp;"/"&amp;RIGHT("00"&amp;MOD(Sync!$J44,100),2),"نامعتبر"),IF(LEN(Sync!$J44)=10,Sync!$J44,"نامعتبر")))</f>
        <v/>
      </c>
      <c r="R44" t="str">
        <f t="shared" si="4"/>
        <v/>
      </c>
      <c r="S44" t="str">
        <f t="shared" si="5"/>
        <v/>
      </c>
      <c r="T44" t="str">
        <f>IF($N44="","",IF(Sync!$N44="",0,Sync!$N44))</f>
        <v/>
      </c>
      <c r="U44" t="str">
        <f>IF($N44="","",IF(Sync!$O44="",0,Sync!$O44))</f>
        <v/>
      </c>
      <c r="V44" t="str">
        <f>IF($N44="","",Sync!$L44)</f>
        <v/>
      </c>
      <c r="W44" t="str">
        <f>IF($N44="","",Sync!$P44)</f>
        <v/>
      </c>
      <c r="AA44">
        <f>IF($A44="","",IF(COUNTIF($A$6:$A44,$A44)=1,1,0))</f>
        <v>0</v>
      </c>
      <c r="AB44">
        <f>SUM($AA$6:$AA44)</f>
        <v>3</v>
      </c>
      <c r="AC44" t="str">
        <f t="shared" si="6"/>
        <v/>
      </c>
    </row>
    <row r="45" spans="1:29" x14ac:dyDescent="0.2">
      <c r="A45" t="str">
        <f>IF(OR(Entry!$B48="",Entry!$E48="",$E45="نامعتبر"),"",Entry!$E48)</f>
        <v>S001</v>
      </c>
      <c r="B45" t="str">
        <f>IF($A45="","",LEFT($E45,4)&amp;MID($E45,6,2)&amp;RIGHT($E45,2)&amp;$F45&amp;"|"&amp;"1"&amp;RIGHT("00000"&amp;40,5))</f>
        <v>140508030000|100040</v>
      </c>
      <c r="C45">
        <f t="shared" si="0"/>
        <v>30</v>
      </c>
      <c r="D45" t="str">
        <f t="shared" si="1"/>
        <v>S001|000030</v>
      </c>
      <c r="E45" t="str">
        <f>IF(Entry!$B48="","",IF(ISNUMBER(Entry!$B48),IF(AND(Entry!$B48&gt;=10000101,Entry!$B48&lt;=99991231),INT(Entry!$B48/10000)&amp;"/"&amp;RIGHT("00"&amp;INT(MOD(Entry!$B48,10000)/100),2)&amp;"/"&amp;RIGHT("00"&amp;MOD(Entry!$B48,100),2),"نامعتبر"),IF(LEN(Entry!$B48)=10,Entry!$B48,"نامعتبر")))</f>
        <v>1405/08/03</v>
      </c>
      <c r="F45" t="str">
        <f>IF(Entry!$B48="","",IF(Entry!$C48="","0000",IF(AND(ISNUMBER(Entry!$C48),Entry!$C48&gt;=0,Entry!$C48&lt;1),RIGHT("00"&amp;HOUR(Entry!$C48),2)&amp;RIGHT("00"&amp;MINUTE(Entry!$C48),2),IFERROR(RIGHT("00"&amp;VALUE(LEFT(Entry!$C48,FIND(":",Entry!$C48)-1)),2)&amp;RIGHT("00"&amp;VALUE(MID(Entry!$C48,FIND(":",Entry!$C48)+1,2)),2),"0000"))))</f>
        <v>0000</v>
      </c>
      <c r="G45" t="str">
        <f>IF($A45="","",Entry!$G48)</f>
        <v/>
      </c>
      <c r="H45">
        <f>IF($A45="","",IF(Entry!$H48="",0,Entry!$H48))</f>
        <v/>
      </c>
      <c r="I45">
        <f>IF($A45="","",IF(Entry!$I48="",0,Entry!$I48))</f>
        <v/>
      </c>
      <c r="J45">
        <f t="shared" si="2"/>
        <v>6000000</v>
      </c>
      <c r="K45">
        <f>IF($A45="","",Entry!$D48)</f>
        <v>0</v>
      </c>
      <c r="L45">
        <f>IF($A45="","",Entry!$L48)</f>
        <v>0</v>
      </c>
      <c r="N45" t="str">
        <f>IF(OR(Sync!$M45="",$Q45="",$Q45="نامعتبر"),"",Sync!$M45)</f>
        <v/>
      </c>
      <c r="O45" t="str">
        <f t="shared" si="3"/>
        <v/>
      </c>
      <c r="P45" t="str">
        <f>IF($N45="","",LEFT($Q45,4)&amp;MID($Q45,6,2)&amp;RIGHT($Q45,2)&amp;IF(Sync!$K45="","0000",IF(AND(ISNUMBER(Sync!$K45),Sync!$K45&gt;=0,Sync!$K45&lt;1),RIGHT("00"&amp;HOUR(Sync!$K45),2)&amp;RIGHT("00"&amp;MINUTE(Sync!$K45),2),IFERROR(RIGHT("00"&amp;VALUE(LEFT(Sync!$K45,FIND(":",Sync!$K45)-1)),2)&amp;RIGHT("00"&amp;VALUE(MID(Sync!$K45,FIND(":",Sync!$K45)+1,2)),2),"0000")))&amp;"|"&amp;"2"&amp;RIGHT("00000"&amp;40,5))</f>
        <v/>
      </c>
      <c r="Q45" t="str">
        <f>IF(Sync!$J45="","",IF(ISNUMBER(Sync!$J45),IF(AND(Sync!$J45&gt;=10000101,Sync!$J45&lt;=99991231),INT(Sync!$J45/10000)&amp;"/"&amp;RIGHT("00"&amp;INT(MOD(Sync!$J45,10000)/100),2)&amp;"/"&amp;RIGHT("00"&amp;MOD(Sync!$J45,100),2),"نامعتبر"),IF(LEN(Sync!$J45)=10,Sync!$J45,"نامعتبر")))</f>
        <v/>
      </c>
      <c r="R45" t="str">
        <f t="shared" si="4"/>
        <v/>
      </c>
      <c r="S45" t="str">
        <f t="shared" si="5"/>
        <v/>
      </c>
      <c r="T45" t="str">
        <f>IF($N45="","",IF(Sync!$N45="",0,Sync!$N45))</f>
        <v/>
      </c>
      <c r="U45" t="str">
        <f>IF($N45="","",IF(Sync!$O45="",0,Sync!$O45))</f>
        <v/>
      </c>
      <c r="V45" t="str">
        <f>IF($N45="","",Sync!$L45)</f>
        <v/>
      </c>
      <c r="W45" t="str">
        <f>IF($N45="","",Sync!$P45)</f>
        <v/>
      </c>
      <c r="AA45">
        <f>IF($A45="","",IF(COUNTIF($A$6:$A45,$A45)=1,1,0))</f>
        <v>0</v>
      </c>
      <c r="AB45">
        <f>SUM($AA$6:$AA45)</f>
        <v>3</v>
      </c>
      <c r="AC45" t="str">
        <f t="shared" si="6"/>
        <v/>
      </c>
    </row>
    <row r="46" spans="1:29" x14ac:dyDescent="0.2">
      <c r="A46" t="str">
        <f>IF(OR(Entry!$B49="",Entry!$E49="",$E46="نامعتبر"),"",Entry!$E49)</f>
        <v>S001</v>
      </c>
      <c r="B46" t="str">
        <f>IF($A46="","",LEFT($E46,4)&amp;MID($E46,6,2)&amp;RIGHT($E46,2)&amp;$F46&amp;"|"&amp;"1"&amp;RIGHT("00000"&amp;41,5))</f>
        <v>140508030000|100041</v>
      </c>
      <c r="C46">
        <f t="shared" si="0"/>
        <v>31</v>
      </c>
      <c r="D46" t="str">
        <f t="shared" si="1"/>
        <v>S001|000031</v>
      </c>
      <c r="E46" t="str">
        <f>IF(Entry!$B49="","",IF(ISNUMBER(Entry!$B49),IF(AND(Entry!$B49&gt;=10000101,Entry!$B49&lt;=99991231),INT(Entry!$B49/10000)&amp;"/"&amp;RIGHT("00"&amp;INT(MOD(Entry!$B49,10000)/100),2)&amp;"/"&amp;RIGHT("00"&amp;MOD(Entry!$B49,100),2),"نامعتبر"),IF(LEN(Entry!$B49)=10,Entry!$B49,"نامعتبر")))</f>
        <v>1405/08/03</v>
      </c>
      <c r="F46" t="str">
        <f>IF(Entry!$B49="","",IF(Entry!$C49="","0000",IF(AND(ISNUMBER(Entry!$C49),Entry!$C49&gt;=0,Entry!$C49&lt;1),RIGHT("00"&amp;HOUR(Entry!$C49),2)&amp;RIGHT("00"&amp;MINUTE(Entry!$C49),2),IFERROR(RIGHT("00"&amp;VALUE(LEFT(Entry!$C49,FIND(":",Entry!$C49)-1)),2)&amp;RIGHT("00"&amp;VALUE(MID(Entry!$C49,FIND(":",Entry!$C49)+1,2)),2),"0000"))))</f>
        <v>0000</v>
      </c>
      <c r="G46" t="str">
        <f>IF($A46="","",Entry!$G49)</f>
        <v/>
      </c>
      <c r="H46">
        <f>IF($A46="","",IF(Entry!$H49="",0,Entry!$H49))</f>
        <v/>
      </c>
      <c r="I46">
        <f>IF($A46="","",IF(Entry!$I49="",0,Entry!$I49))</f>
        <v/>
      </c>
      <c r="J46">
        <f t="shared" si="2"/>
        <v>23125000</v>
      </c>
      <c r="K46">
        <f>IF($A46="","",Entry!$D49)</f>
        <v>0</v>
      </c>
      <c r="L46">
        <f>IF($A46="","",Entry!$L49)</f>
        <v>0</v>
      </c>
      <c r="N46" t="str">
        <f>IF(OR(Sync!$M46="",$Q46="",$Q46="نامعتبر"),"",Sync!$M46)</f>
        <v/>
      </c>
      <c r="O46" t="str">
        <f t="shared" si="3"/>
        <v/>
      </c>
      <c r="P46" t="str">
        <f>IF($N46="","",LEFT($Q46,4)&amp;MID($Q46,6,2)&amp;RIGHT($Q46,2)&amp;IF(Sync!$K46="","0000",IF(AND(ISNUMBER(Sync!$K46),Sync!$K46&gt;=0,Sync!$K46&lt;1),RIGHT("00"&amp;HOUR(Sync!$K46),2)&amp;RIGHT("00"&amp;MINUTE(Sync!$K46),2),IFERROR(RIGHT("00"&amp;VALUE(LEFT(Sync!$K46,FIND(":",Sync!$K46)-1)),2)&amp;RIGHT("00"&amp;VALUE(MID(Sync!$K46,FIND(":",Sync!$K46)+1,2)),2),"0000")))&amp;"|"&amp;"2"&amp;RIGHT("00000"&amp;41,5))</f>
        <v/>
      </c>
      <c r="Q46" t="str">
        <f>IF(Sync!$J46="","",IF(ISNUMBER(Sync!$J46),IF(AND(Sync!$J46&gt;=10000101,Sync!$J46&lt;=99991231),INT(Sync!$J46/10000)&amp;"/"&amp;RIGHT("00"&amp;INT(MOD(Sync!$J46,10000)/100),2)&amp;"/"&amp;RIGHT("00"&amp;MOD(Sync!$J46,100),2),"نامعتبر"),IF(LEN(Sync!$J46)=10,Sync!$J46,"نامعتبر")))</f>
        <v/>
      </c>
      <c r="R46" t="str">
        <f t="shared" si="4"/>
        <v/>
      </c>
      <c r="S46" t="str">
        <f t="shared" si="5"/>
        <v/>
      </c>
      <c r="T46" t="str">
        <f>IF($N46="","",IF(Sync!$N46="",0,Sync!$N46))</f>
        <v/>
      </c>
      <c r="U46" t="str">
        <f>IF($N46="","",IF(Sync!$O46="",0,Sync!$O46))</f>
        <v/>
      </c>
      <c r="V46" t="str">
        <f>IF($N46="","",Sync!$L46)</f>
        <v/>
      </c>
      <c r="W46" t="str">
        <f>IF($N46="","",Sync!$P46)</f>
        <v/>
      </c>
      <c r="AA46">
        <f>IF($A46="","",IF(COUNTIF($A$6:$A46,$A46)=1,1,0))</f>
        <v>0</v>
      </c>
      <c r="AB46">
        <f>SUM($AA$6:$AA46)</f>
        <v>3</v>
      </c>
      <c r="AC46" t="str">
        <f t="shared" si="6"/>
        <v/>
      </c>
    </row>
    <row r="47" spans="1:29" x14ac:dyDescent="0.2">
      <c r="A47" t="str">
        <f>IF(OR(Entry!$B50="",Entry!$E50="",$E47="نامعتبر"),"",Entry!$E50)</f>
        <v>S001</v>
      </c>
      <c r="B47" t="str">
        <f>IF($A47="","",LEFT($E47,4)&amp;MID($E47,6,2)&amp;RIGHT($E47,2)&amp;$F47&amp;"|"&amp;"1"&amp;RIGHT("00000"&amp;42,5))</f>
        <v>140508030000|100042</v>
      </c>
      <c r="C47">
        <f t="shared" si="0"/>
        <v>32</v>
      </c>
      <c r="D47" t="str">
        <f t="shared" si="1"/>
        <v>S001|000032</v>
      </c>
      <c r="E47" t="str">
        <f>IF(Entry!$B50="","",IF(ISNUMBER(Entry!$B50),IF(AND(Entry!$B50&gt;=10000101,Entry!$B50&lt;=99991231),INT(Entry!$B50/10000)&amp;"/"&amp;RIGHT("00"&amp;INT(MOD(Entry!$B50,10000)/100),2)&amp;"/"&amp;RIGHT("00"&amp;MOD(Entry!$B50,100),2),"نامعتبر"),IF(LEN(Entry!$B50)=10,Entry!$B50,"نامعتبر")))</f>
        <v>1405/08/03</v>
      </c>
      <c r="F47" t="str">
        <f>IF(Entry!$B50="","",IF(Entry!$C50="","0000",IF(AND(ISNUMBER(Entry!$C50),Entry!$C50&gt;=0,Entry!$C50&lt;1),RIGHT("00"&amp;HOUR(Entry!$C50),2)&amp;RIGHT("00"&amp;MINUTE(Entry!$C50),2),IFERROR(RIGHT("00"&amp;VALUE(LEFT(Entry!$C50,FIND(":",Entry!$C50)-1)),2)&amp;RIGHT("00"&amp;VALUE(MID(Entry!$C50,FIND(":",Entry!$C50)+1,2)),2),"0000"))))</f>
        <v>0000</v>
      </c>
      <c r="G47" t="str">
        <f>IF($A47="","",Entry!$G50)</f>
        <v/>
      </c>
      <c r="H47">
        <f>IF($A47="","",IF(Entry!$H50="",0,Entry!$H50))</f>
        <v/>
      </c>
      <c r="I47">
        <f>IF($A47="","",IF(Entry!$I50="",0,Entry!$I50))</f>
        <v/>
      </c>
      <c r="J47">
        <f t="shared" si="2"/>
        <v>5000000</v>
      </c>
      <c r="K47">
        <f>IF($A47="","",Entry!$D50)</f>
        <v>0</v>
      </c>
      <c r="L47">
        <f>IF($A47="","",Entry!$L50)</f>
        <v>0</v>
      </c>
      <c r="N47" t="str">
        <f>IF(OR(Sync!$M47="",$Q47="",$Q47="نامعتبر"),"",Sync!$M47)</f>
        <v/>
      </c>
      <c r="O47" t="str">
        <f t="shared" si="3"/>
        <v/>
      </c>
      <c r="P47" t="str">
        <f>IF($N47="","",LEFT($Q47,4)&amp;MID($Q47,6,2)&amp;RIGHT($Q47,2)&amp;IF(Sync!$K47="","0000",IF(AND(ISNUMBER(Sync!$K47),Sync!$K47&gt;=0,Sync!$K47&lt;1),RIGHT("00"&amp;HOUR(Sync!$K47),2)&amp;RIGHT("00"&amp;MINUTE(Sync!$K47),2),IFERROR(RIGHT("00"&amp;VALUE(LEFT(Sync!$K47,FIND(":",Sync!$K47)-1)),2)&amp;RIGHT("00"&amp;VALUE(MID(Sync!$K47,FIND(":",Sync!$K47)+1,2)),2),"0000")))&amp;"|"&amp;"2"&amp;RIGHT("00000"&amp;42,5))</f>
        <v/>
      </c>
      <c r="Q47" t="str">
        <f>IF(Sync!$J47="","",IF(ISNUMBER(Sync!$J47),IF(AND(Sync!$J47&gt;=10000101,Sync!$J47&lt;=99991231),INT(Sync!$J47/10000)&amp;"/"&amp;RIGHT("00"&amp;INT(MOD(Sync!$J47,10000)/100),2)&amp;"/"&amp;RIGHT("00"&amp;MOD(Sync!$J47,100),2),"نامعتبر"),IF(LEN(Sync!$J47)=10,Sync!$J47,"نامعتبر")))</f>
        <v/>
      </c>
      <c r="R47" t="str">
        <f t="shared" si="4"/>
        <v/>
      </c>
      <c r="S47" t="str">
        <f t="shared" si="5"/>
        <v/>
      </c>
      <c r="T47" t="str">
        <f>IF($N47="","",IF(Sync!$N47="",0,Sync!$N47))</f>
        <v/>
      </c>
      <c r="U47" t="str">
        <f>IF($N47="","",IF(Sync!$O47="",0,Sync!$O47))</f>
        <v/>
      </c>
      <c r="V47" t="str">
        <f>IF($N47="","",Sync!$L47)</f>
        <v/>
      </c>
      <c r="W47" t="str">
        <f>IF($N47="","",Sync!$P47)</f>
        <v/>
      </c>
      <c r="AA47">
        <f>IF($A47="","",IF(COUNTIF($A$6:$A47,$A47)=1,1,0))</f>
        <v>0</v>
      </c>
      <c r="AB47">
        <f>SUM($AA$6:$AA47)</f>
        <v>3</v>
      </c>
      <c r="AC47" t="str">
        <f t="shared" si="6"/>
        <v/>
      </c>
    </row>
    <row r="48" spans="1:29" x14ac:dyDescent="0.2">
      <c r="A48" t="str">
        <f>IF(OR(Entry!$B51="",Entry!$E51="",$E48="نامعتبر"),"",Entry!$E51)</f>
        <v/>
      </c>
      <c r="B48" t="str">
        <f>IF($A48="","",LEFT($E48,4)&amp;MID($E48,6,2)&amp;RIGHT($E48,2)&amp;$F48&amp;"|"&amp;"1"&amp;RIGHT("00000"&amp;43,5))</f>
        <v/>
      </c>
      <c r="C48" t="str">
        <f t="shared" si="0"/>
        <v/>
      </c>
      <c r="D48" t="str">
        <f t="shared" si="1"/>
        <v/>
      </c>
      <c r="E48" t="str">
        <f>IF(Entry!$B51="","",IF(ISNUMBER(Entry!$B51),IF(AND(Entry!$B51&gt;=10000101,Entry!$B51&lt;=99991231),INT(Entry!$B51/10000)&amp;"/"&amp;RIGHT("00"&amp;INT(MOD(Entry!$B51,10000)/100),2)&amp;"/"&amp;RIGHT("00"&amp;MOD(Entry!$B51,100),2),"نامعتبر"),IF(LEN(Entry!$B51)=10,Entry!$B51,"نامعتبر")))</f>
        <v/>
      </c>
      <c r="F48" t="str">
        <f>IF(Entry!$B51="","",IF(Entry!$C51="","0000",IF(AND(ISNUMBER(Entry!$C51),Entry!$C51&gt;=0,Entry!$C51&lt;1),RIGHT("00"&amp;HOUR(Entry!$C51),2)&amp;RIGHT("00"&amp;MINUTE(Entry!$C51),2),IFERROR(RIGHT("00"&amp;VALUE(LEFT(Entry!$C51,FIND(":",Entry!$C51)-1)),2)&amp;RIGHT("00"&amp;VALUE(MID(Entry!$C51,FIND(":",Entry!$C51)+1,2)),2),"0000"))))</f>
        <v/>
      </c>
      <c r="G48" t="str">
        <f>IF($A48="","",Entry!$G51)</f>
        <v/>
      </c>
      <c r="H48" t="str">
        <f>IF($A48="","",IF(Entry!$H51="",0,Entry!$H51))</f>
        <v/>
      </c>
      <c r="I48" t="str">
        <f>IF($A48="","",IF(Entry!$I51="",0,Entry!$I51))</f>
        <v/>
      </c>
      <c r="J48" t="str">
        <f t="shared" si="2"/>
        <v/>
      </c>
      <c r="K48" t="str">
        <f>IF($A48="","",Entry!$D51)</f>
        <v/>
      </c>
      <c r="L48" t="str">
        <f>IF($A48="","",Entry!$L51)</f>
        <v/>
      </c>
      <c r="N48" t="str">
        <f>IF(OR(Sync!$M48="",$Q48="",$Q48="نامعتبر"),"",Sync!$M48)</f>
        <v/>
      </c>
      <c r="O48" t="str">
        <f t="shared" si="3"/>
        <v/>
      </c>
      <c r="P48" t="str">
        <f>IF($N48="","",LEFT($Q48,4)&amp;MID($Q48,6,2)&amp;RIGHT($Q48,2)&amp;IF(Sync!$K48="","0000",IF(AND(ISNUMBER(Sync!$K48),Sync!$K48&gt;=0,Sync!$K48&lt;1),RIGHT("00"&amp;HOUR(Sync!$K48),2)&amp;RIGHT("00"&amp;MINUTE(Sync!$K48),2),IFERROR(RIGHT("00"&amp;VALUE(LEFT(Sync!$K48,FIND(":",Sync!$K48)-1)),2)&amp;RIGHT("00"&amp;VALUE(MID(Sync!$K48,FIND(":",Sync!$K48)+1,2)),2),"0000")))&amp;"|"&amp;"2"&amp;RIGHT("00000"&amp;43,5))</f>
        <v/>
      </c>
      <c r="Q48" t="str">
        <f>IF(Sync!$J48="","",IF(ISNUMBER(Sync!$J48),IF(AND(Sync!$J48&gt;=10000101,Sync!$J48&lt;=99991231),INT(Sync!$J48/10000)&amp;"/"&amp;RIGHT("00"&amp;INT(MOD(Sync!$J48,10000)/100),2)&amp;"/"&amp;RIGHT("00"&amp;MOD(Sync!$J48,100),2),"نامعتبر"),IF(LEN(Sync!$J48)=10,Sync!$J48,"نامعتبر")))</f>
        <v/>
      </c>
      <c r="R48" t="str">
        <f t="shared" si="4"/>
        <v/>
      </c>
      <c r="S48" t="str">
        <f t="shared" si="5"/>
        <v/>
      </c>
      <c r="T48" t="str">
        <f>IF($N48="","",IF(Sync!$N48="",0,Sync!$N48))</f>
        <v/>
      </c>
      <c r="U48" t="str">
        <f>IF($N48="","",IF(Sync!$O48="",0,Sync!$O48))</f>
        <v/>
      </c>
      <c r="V48" t="str">
        <f>IF($N48="","",Sync!$L48)</f>
        <v/>
      </c>
      <c r="W48" t="str">
        <f>IF($N48="","",Sync!$P48)</f>
        <v/>
      </c>
      <c r="AA48" t="str">
        <f>IF($A48="","",IF(COUNTIF($A$6:$A48,$A48)=1,1,0))</f>
        <v/>
      </c>
      <c r="AB48">
        <f>SUM($AA$6:$AA48)</f>
        <v>3</v>
      </c>
      <c r="AC48" t="str">
        <f t="shared" si="6"/>
        <v/>
      </c>
    </row>
    <row r="49" spans="1:29" x14ac:dyDescent="0.2">
      <c r="A49" t="str">
        <f>IF(OR(Entry!$B52="",Entry!$E52="",$E49="نامعتبر"),"",Entry!$E52)</f>
        <v/>
      </c>
      <c r="B49" t="str">
        <f>IF($A49="","",LEFT($E49,4)&amp;MID($E49,6,2)&amp;RIGHT($E49,2)&amp;$F49&amp;"|"&amp;"1"&amp;RIGHT("00000"&amp;44,5))</f>
        <v/>
      </c>
      <c r="C49" t="str">
        <f t="shared" si="0"/>
        <v/>
      </c>
      <c r="D49" t="str">
        <f t="shared" si="1"/>
        <v/>
      </c>
      <c r="E49" t="str">
        <f>IF(Entry!$B52="","",IF(ISNUMBER(Entry!$B52),IF(AND(Entry!$B52&gt;=10000101,Entry!$B52&lt;=99991231),INT(Entry!$B52/10000)&amp;"/"&amp;RIGHT("00"&amp;INT(MOD(Entry!$B52,10000)/100),2)&amp;"/"&amp;RIGHT("00"&amp;MOD(Entry!$B52,100),2),"نامعتبر"),IF(LEN(Entry!$B52)=10,Entry!$B52,"نامعتبر")))</f>
        <v/>
      </c>
      <c r="F49" t="str">
        <f>IF(Entry!$B52="","",IF(Entry!$C52="","0000",IF(AND(ISNUMBER(Entry!$C52),Entry!$C52&gt;=0,Entry!$C52&lt;1),RIGHT("00"&amp;HOUR(Entry!$C52),2)&amp;RIGHT("00"&amp;MINUTE(Entry!$C52),2),IFERROR(RIGHT("00"&amp;VALUE(LEFT(Entry!$C52,FIND(":",Entry!$C52)-1)),2)&amp;RIGHT("00"&amp;VALUE(MID(Entry!$C52,FIND(":",Entry!$C52)+1,2)),2),"0000"))))</f>
        <v/>
      </c>
      <c r="G49" t="str">
        <f>IF($A49="","",Entry!$G52)</f>
        <v/>
      </c>
      <c r="H49" t="str">
        <f>IF($A49="","",IF(Entry!$H52="",0,Entry!$H52))</f>
        <v/>
      </c>
      <c r="I49" t="str">
        <f>IF($A49="","",IF(Entry!$I52="",0,Entry!$I52))</f>
        <v/>
      </c>
      <c r="J49" t="str">
        <f t="shared" si="2"/>
        <v/>
      </c>
      <c r="K49" t="str">
        <f>IF($A49="","",Entry!$D52)</f>
        <v/>
      </c>
      <c r="L49" t="str">
        <f>IF($A49="","",Entry!$L52)</f>
        <v/>
      </c>
      <c r="N49" t="str">
        <f>IF(OR(Sync!$M49="",$Q49="",$Q49="نامعتبر"),"",Sync!$M49)</f>
        <v/>
      </c>
      <c r="O49" t="str">
        <f t="shared" si="3"/>
        <v/>
      </c>
      <c r="P49" t="str">
        <f>IF($N49="","",LEFT($Q49,4)&amp;MID($Q49,6,2)&amp;RIGHT($Q49,2)&amp;IF(Sync!$K49="","0000",IF(AND(ISNUMBER(Sync!$K49),Sync!$K49&gt;=0,Sync!$K49&lt;1),RIGHT("00"&amp;HOUR(Sync!$K49),2)&amp;RIGHT("00"&amp;MINUTE(Sync!$K49),2),IFERROR(RIGHT("00"&amp;VALUE(LEFT(Sync!$K49,FIND(":",Sync!$K49)-1)),2)&amp;RIGHT("00"&amp;VALUE(MID(Sync!$K49,FIND(":",Sync!$K49)+1,2)),2),"0000")))&amp;"|"&amp;"2"&amp;RIGHT("00000"&amp;44,5))</f>
        <v/>
      </c>
      <c r="Q49" t="str">
        <f>IF(Sync!$J49="","",IF(ISNUMBER(Sync!$J49),IF(AND(Sync!$J49&gt;=10000101,Sync!$J49&lt;=99991231),INT(Sync!$J49/10000)&amp;"/"&amp;RIGHT("00"&amp;INT(MOD(Sync!$J49,10000)/100),2)&amp;"/"&amp;RIGHT("00"&amp;MOD(Sync!$J49,100),2),"نامعتبر"),IF(LEN(Sync!$J49)=10,Sync!$J49,"نامعتبر")))</f>
        <v/>
      </c>
      <c r="R49" t="str">
        <f t="shared" si="4"/>
        <v/>
      </c>
      <c r="S49" t="str">
        <f t="shared" si="5"/>
        <v/>
      </c>
      <c r="T49" t="str">
        <f>IF($N49="","",IF(Sync!$N49="",0,Sync!$N49))</f>
        <v/>
      </c>
      <c r="U49" t="str">
        <f>IF($N49="","",IF(Sync!$O49="",0,Sync!$O49))</f>
        <v/>
      </c>
      <c r="V49" t="str">
        <f>IF($N49="","",Sync!$L49)</f>
        <v/>
      </c>
      <c r="W49" t="str">
        <f>IF($N49="","",Sync!$P49)</f>
        <v/>
      </c>
      <c r="AA49" t="str">
        <f>IF($A49="","",IF(COUNTIF($A$6:$A49,$A49)=1,1,0))</f>
        <v/>
      </c>
      <c r="AB49">
        <f>SUM($AA$6:$AA49)</f>
        <v>3</v>
      </c>
      <c r="AC49" t="str">
        <f t="shared" si="6"/>
        <v/>
      </c>
    </row>
    <row r="50" spans="1:29" x14ac:dyDescent="0.2">
      <c r="A50" t="str">
        <f>IF(OR(Entry!$B53="",Entry!$E53="",$E50="نامعتبر"),"",Entry!$E53)</f>
        <v/>
      </c>
      <c r="B50" t="str">
        <f>IF($A50="","",LEFT($E50,4)&amp;MID($E50,6,2)&amp;RIGHT($E50,2)&amp;$F50&amp;"|"&amp;"1"&amp;RIGHT("00000"&amp;45,5))</f>
        <v/>
      </c>
      <c r="C50" t="str">
        <f t="shared" si="0"/>
        <v/>
      </c>
      <c r="D50" t="str">
        <f t="shared" si="1"/>
        <v/>
      </c>
      <c r="E50" t="str">
        <f>IF(Entry!$B53="","",IF(ISNUMBER(Entry!$B53),IF(AND(Entry!$B53&gt;=10000101,Entry!$B53&lt;=99991231),INT(Entry!$B53/10000)&amp;"/"&amp;RIGHT("00"&amp;INT(MOD(Entry!$B53,10000)/100),2)&amp;"/"&amp;RIGHT("00"&amp;MOD(Entry!$B53,100),2),"نامعتبر"),IF(LEN(Entry!$B53)=10,Entry!$B53,"نامعتبر")))</f>
        <v/>
      </c>
      <c r="F50" t="str">
        <f>IF(Entry!$B53="","",IF(Entry!$C53="","0000",IF(AND(ISNUMBER(Entry!$C53),Entry!$C53&gt;=0,Entry!$C53&lt;1),RIGHT("00"&amp;HOUR(Entry!$C53),2)&amp;RIGHT("00"&amp;MINUTE(Entry!$C53),2),IFERROR(RIGHT("00"&amp;VALUE(LEFT(Entry!$C53,FIND(":",Entry!$C53)-1)),2)&amp;RIGHT("00"&amp;VALUE(MID(Entry!$C53,FIND(":",Entry!$C53)+1,2)),2),"0000"))))</f>
        <v/>
      </c>
      <c r="G50" t="str">
        <f>IF($A50="","",Entry!$G53)</f>
        <v/>
      </c>
      <c r="H50" t="str">
        <f>IF($A50="","",IF(Entry!$H53="",0,Entry!$H53))</f>
        <v/>
      </c>
      <c r="I50" t="str">
        <f>IF($A50="","",IF(Entry!$I53="",0,Entry!$I53))</f>
        <v/>
      </c>
      <c r="J50" t="str">
        <f t="shared" si="2"/>
        <v/>
      </c>
      <c r="K50" t="str">
        <f>IF($A50="","",Entry!$D53)</f>
        <v/>
      </c>
      <c r="L50" t="str">
        <f>IF($A50="","",Entry!$L53)</f>
        <v/>
      </c>
      <c r="N50" t="str">
        <f>IF(OR(Sync!$M50="",$Q50="",$Q50="نامعتبر"),"",Sync!$M50)</f>
        <v/>
      </c>
      <c r="O50" t="str">
        <f t="shared" si="3"/>
        <v/>
      </c>
      <c r="P50" t="str">
        <f>IF($N50="","",LEFT($Q50,4)&amp;MID($Q50,6,2)&amp;RIGHT($Q50,2)&amp;IF(Sync!$K50="","0000",IF(AND(ISNUMBER(Sync!$K50),Sync!$K50&gt;=0,Sync!$K50&lt;1),RIGHT("00"&amp;HOUR(Sync!$K50),2)&amp;RIGHT("00"&amp;MINUTE(Sync!$K50),2),IFERROR(RIGHT("00"&amp;VALUE(LEFT(Sync!$K50,FIND(":",Sync!$K50)-1)),2)&amp;RIGHT("00"&amp;VALUE(MID(Sync!$K50,FIND(":",Sync!$K50)+1,2)),2),"0000")))&amp;"|"&amp;"2"&amp;RIGHT("00000"&amp;45,5))</f>
        <v/>
      </c>
      <c r="Q50" t="str">
        <f>IF(Sync!$J50="","",IF(ISNUMBER(Sync!$J50),IF(AND(Sync!$J50&gt;=10000101,Sync!$J50&lt;=99991231),INT(Sync!$J50/10000)&amp;"/"&amp;RIGHT("00"&amp;INT(MOD(Sync!$J50,10000)/100),2)&amp;"/"&amp;RIGHT("00"&amp;MOD(Sync!$J50,100),2),"نامعتبر"),IF(LEN(Sync!$J50)=10,Sync!$J50,"نامعتبر")))</f>
        <v/>
      </c>
      <c r="R50" t="str">
        <f t="shared" si="4"/>
        <v/>
      </c>
      <c r="S50" t="str">
        <f t="shared" si="5"/>
        <v/>
      </c>
      <c r="T50" t="str">
        <f>IF($N50="","",IF(Sync!$N50="",0,Sync!$N50))</f>
        <v/>
      </c>
      <c r="U50" t="str">
        <f>IF($N50="","",IF(Sync!$O50="",0,Sync!$O50))</f>
        <v/>
      </c>
      <c r="V50" t="str">
        <f>IF($N50="","",Sync!$L50)</f>
        <v/>
      </c>
      <c r="W50" t="str">
        <f>IF($N50="","",Sync!$P50)</f>
        <v/>
      </c>
      <c r="AA50" t="str">
        <f>IF($A50="","",IF(COUNTIF($A$6:$A50,$A50)=1,1,0))</f>
        <v/>
      </c>
      <c r="AB50">
        <f>SUM($AA$6:$AA50)</f>
        <v>3</v>
      </c>
      <c r="AC50" t="str">
        <f t="shared" si="6"/>
        <v/>
      </c>
    </row>
    <row r="51" spans="1:29" x14ac:dyDescent="0.2">
      <c r="A51" t="str">
        <f>IF(OR(Entry!$B54="",Entry!$E54="",$E51="نامعتبر"),"",Entry!$E54)</f>
        <v/>
      </c>
      <c r="B51" t="str">
        <f>IF($A51="","",LEFT($E51,4)&amp;MID($E51,6,2)&amp;RIGHT($E51,2)&amp;$F51&amp;"|"&amp;"1"&amp;RIGHT("00000"&amp;46,5))</f>
        <v/>
      </c>
      <c r="C51" t="str">
        <f t="shared" si="0"/>
        <v/>
      </c>
      <c r="D51" t="str">
        <f t="shared" si="1"/>
        <v/>
      </c>
      <c r="E51" t="str">
        <f>IF(Entry!$B54="","",IF(ISNUMBER(Entry!$B54),IF(AND(Entry!$B54&gt;=10000101,Entry!$B54&lt;=99991231),INT(Entry!$B54/10000)&amp;"/"&amp;RIGHT("00"&amp;INT(MOD(Entry!$B54,10000)/100),2)&amp;"/"&amp;RIGHT("00"&amp;MOD(Entry!$B54,100),2),"نامعتبر"),IF(LEN(Entry!$B54)=10,Entry!$B54,"نامعتبر")))</f>
        <v/>
      </c>
      <c r="F51" t="str">
        <f>IF(Entry!$B54="","",IF(Entry!$C54="","0000",IF(AND(ISNUMBER(Entry!$C54),Entry!$C54&gt;=0,Entry!$C54&lt;1),RIGHT("00"&amp;HOUR(Entry!$C54),2)&amp;RIGHT("00"&amp;MINUTE(Entry!$C54),2),IFERROR(RIGHT("00"&amp;VALUE(LEFT(Entry!$C54,FIND(":",Entry!$C54)-1)),2)&amp;RIGHT("00"&amp;VALUE(MID(Entry!$C54,FIND(":",Entry!$C54)+1,2)),2),"0000"))))</f>
        <v/>
      </c>
      <c r="G51" t="str">
        <f>IF($A51="","",Entry!$G54)</f>
        <v/>
      </c>
      <c r="H51" t="str">
        <f>IF($A51="","",IF(Entry!$H54="",0,Entry!$H54))</f>
        <v/>
      </c>
      <c r="I51" t="str">
        <f>IF($A51="","",IF(Entry!$I54="",0,Entry!$I54))</f>
        <v/>
      </c>
      <c r="J51" t="str">
        <f t="shared" si="2"/>
        <v/>
      </c>
      <c r="K51" t="str">
        <f>IF($A51="","",Entry!$D54)</f>
        <v/>
      </c>
      <c r="L51" t="str">
        <f>IF($A51="","",Entry!$L54)</f>
        <v/>
      </c>
      <c r="N51" t="str">
        <f>IF(OR(Sync!$M51="",$Q51="",$Q51="نامعتبر"),"",Sync!$M51)</f>
        <v/>
      </c>
      <c r="O51" t="str">
        <f t="shared" si="3"/>
        <v/>
      </c>
      <c r="P51" t="str">
        <f>IF($N51="","",LEFT($Q51,4)&amp;MID($Q51,6,2)&amp;RIGHT($Q51,2)&amp;IF(Sync!$K51="","0000",IF(AND(ISNUMBER(Sync!$K51),Sync!$K51&gt;=0,Sync!$K51&lt;1),RIGHT("00"&amp;HOUR(Sync!$K51),2)&amp;RIGHT("00"&amp;MINUTE(Sync!$K51),2),IFERROR(RIGHT("00"&amp;VALUE(LEFT(Sync!$K51,FIND(":",Sync!$K51)-1)),2)&amp;RIGHT("00"&amp;VALUE(MID(Sync!$K51,FIND(":",Sync!$K51)+1,2)),2),"0000")))&amp;"|"&amp;"2"&amp;RIGHT("00000"&amp;46,5))</f>
        <v/>
      </c>
      <c r="Q51" t="str">
        <f>IF(Sync!$J51="","",IF(ISNUMBER(Sync!$J51),IF(AND(Sync!$J51&gt;=10000101,Sync!$J51&lt;=99991231),INT(Sync!$J51/10000)&amp;"/"&amp;RIGHT("00"&amp;INT(MOD(Sync!$J51,10000)/100),2)&amp;"/"&amp;RIGHT("00"&amp;MOD(Sync!$J51,100),2),"نامعتبر"),IF(LEN(Sync!$J51)=10,Sync!$J51,"نامعتبر")))</f>
        <v/>
      </c>
      <c r="R51" t="str">
        <f t="shared" si="4"/>
        <v/>
      </c>
      <c r="S51" t="str">
        <f t="shared" si="5"/>
        <v/>
      </c>
      <c r="T51" t="str">
        <f>IF($N51="","",IF(Sync!$N51="",0,Sync!$N51))</f>
        <v/>
      </c>
      <c r="U51" t="str">
        <f>IF($N51="","",IF(Sync!$O51="",0,Sync!$O51))</f>
        <v/>
      </c>
      <c r="V51" t="str">
        <f>IF($N51="","",Sync!$L51)</f>
        <v/>
      </c>
      <c r="W51" t="str">
        <f>IF($N51="","",Sync!$P51)</f>
        <v/>
      </c>
      <c r="AA51" t="str">
        <f>IF($A51="","",IF(COUNTIF($A$6:$A51,$A51)=1,1,0))</f>
        <v/>
      </c>
      <c r="AB51">
        <f>SUM($AA$6:$AA51)</f>
        <v>3</v>
      </c>
      <c r="AC51" t="str">
        <f t="shared" si="6"/>
        <v/>
      </c>
    </row>
    <row r="52" spans="1:29" x14ac:dyDescent="0.2">
      <c r="A52" t="str">
        <f>IF(OR(Entry!$B55="",Entry!$E55="",$E52="نامعتبر"),"",Entry!$E55)</f>
        <v/>
      </c>
      <c r="B52" t="str">
        <f>IF($A52="","",LEFT($E52,4)&amp;MID($E52,6,2)&amp;RIGHT($E52,2)&amp;$F52&amp;"|"&amp;"1"&amp;RIGHT("00000"&amp;47,5))</f>
        <v/>
      </c>
      <c r="C52" t="str">
        <f t="shared" si="0"/>
        <v/>
      </c>
      <c r="D52" t="str">
        <f t="shared" si="1"/>
        <v/>
      </c>
      <c r="E52" t="str">
        <f>IF(Entry!$B55="","",IF(ISNUMBER(Entry!$B55),IF(AND(Entry!$B55&gt;=10000101,Entry!$B55&lt;=99991231),INT(Entry!$B55/10000)&amp;"/"&amp;RIGHT("00"&amp;INT(MOD(Entry!$B55,10000)/100),2)&amp;"/"&amp;RIGHT("00"&amp;MOD(Entry!$B55,100),2),"نامعتبر"),IF(LEN(Entry!$B55)=10,Entry!$B55,"نامعتبر")))</f>
        <v/>
      </c>
      <c r="F52" t="str">
        <f>IF(Entry!$B55="","",IF(Entry!$C55="","0000",IF(AND(ISNUMBER(Entry!$C55),Entry!$C55&gt;=0,Entry!$C55&lt;1),RIGHT("00"&amp;HOUR(Entry!$C55),2)&amp;RIGHT("00"&amp;MINUTE(Entry!$C55),2),IFERROR(RIGHT("00"&amp;VALUE(LEFT(Entry!$C55,FIND(":",Entry!$C55)-1)),2)&amp;RIGHT("00"&amp;VALUE(MID(Entry!$C55,FIND(":",Entry!$C55)+1,2)),2),"0000"))))</f>
        <v/>
      </c>
      <c r="G52" t="str">
        <f>IF($A52="","",Entry!$G55)</f>
        <v/>
      </c>
      <c r="H52" t="str">
        <f>IF($A52="","",IF(Entry!$H55="",0,Entry!$H55))</f>
        <v/>
      </c>
      <c r="I52" t="str">
        <f>IF($A52="","",IF(Entry!$I55="",0,Entry!$I55))</f>
        <v/>
      </c>
      <c r="J52" t="str">
        <f t="shared" si="2"/>
        <v/>
      </c>
      <c r="K52" t="str">
        <f>IF($A52="","",Entry!$D55)</f>
        <v/>
      </c>
      <c r="L52" t="str">
        <f>IF($A52="","",Entry!$L55)</f>
        <v/>
      </c>
      <c r="N52" t="str">
        <f>IF(OR(Sync!$M52="",$Q52="",$Q52="نامعتبر"),"",Sync!$M52)</f>
        <v/>
      </c>
      <c r="O52" t="str">
        <f t="shared" si="3"/>
        <v/>
      </c>
      <c r="P52" t="str">
        <f>IF($N52="","",LEFT($Q52,4)&amp;MID($Q52,6,2)&amp;RIGHT($Q52,2)&amp;IF(Sync!$K52="","0000",IF(AND(ISNUMBER(Sync!$K52),Sync!$K52&gt;=0,Sync!$K52&lt;1),RIGHT("00"&amp;HOUR(Sync!$K52),2)&amp;RIGHT("00"&amp;MINUTE(Sync!$K52),2),IFERROR(RIGHT("00"&amp;VALUE(LEFT(Sync!$K52,FIND(":",Sync!$K52)-1)),2)&amp;RIGHT("00"&amp;VALUE(MID(Sync!$K52,FIND(":",Sync!$K52)+1,2)),2),"0000")))&amp;"|"&amp;"2"&amp;RIGHT("00000"&amp;47,5))</f>
        <v/>
      </c>
      <c r="Q52" t="str">
        <f>IF(Sync!$J52="","",IF(ISNUMBER(Sync!$J52),IF(AND(Sync!$J52&gt;=10000101,Sync!$J52&lt;=99991231),INT(Sync!$J52/10000)&amp;"/"&amp;RIGHT("00"&amp;INT(MOD(Sync!$J52,10000)/100),2)&amp;"/"&amp;RIGHT("00"&amp;MOD(Sync!$J52,100),2),"نامعتبر"),IF(LEN(Sync!$J52)=10,Sync!$J52,"نامعتبر")))</f>
        <v/>
      </c>
      <c r="R52" t="str">
        <f t="shared" si="4"/>
        <v/>
      </c>
      <c r="S52" t="str">
        <f t="shared" si="5"/>
        <v/>
      </c>
      <c r="T52" t="str">
        <f>IF($N52="","",IF(Sync!$N52="",0,Sync!$N52))</f>
        <v/>
      </c>
      <c r="U52" t="str">
        <f>IF($N52="","",IF(Sync!$O52="",0,Sync!$O52))</f>
        <v/>
      </c>
      <c r="V52" t="str">
        <f>IF($N52="","",Sync!$L52)</f>
        <v/>
      </c>
      <c r="W52" t="str">
        <f>IF($N52="","",Sync!$P52)</f>
        <v/>
      </c>
      <c r="AA52" t="str">
        <f>IF($A52="","",IF(COUNTIF($A$6:$A52,$A52)=1,1,0))</f>
        <v/>
      </c>
      <c r="AB52">
        <f>SUM($AA$6:$AA52)</f>
        <v>3</v>
      </c>
      <c r="AC52" t="str">
        <f t="shared" si="6"/>
        <v/>
      </c>
    </row>
    <row r="53" spans="1:29" x14ac:dyDescent="0.2">
      <c r="A53" t="str">
        <f>IF(OR(Entry!$B56="",Entry!$E56="",$E53="نامعتبر"),"",Entry!$E56)</f>
        <v/>
      </c>
      <c r="B53" t="str">
        <f>IF($A53="","",LEFT($E53,4)&amp;MID($E53,6,2)&amp;RIGHT($E53,2)&amp;$F53&amp;"|"&amp;"1"&amp;RIGHT("00000"&amp;48,5))</f>
        <v/>
      </c>
      <c r="C53" t="str">
        <f t="shared" si="0"/>
        <v/>
      </c>
      <c r="D53" t="str">
        <f t="shared" si="1"/>
        <v/>
      </c>
      <c r="E53" t="str">
        <f>IF(Entry!$B56="","",IF(ISNUMBER(Entry!$B56),IF(AND(Entry!$B56&gt;=10000101,Entry!$B56&lt;=99991231),INT(Entry!$B56/10000)&amp;"/"&amp;RIGHT("00"&amp;INT(MOD(Entry!$B56,10000)/100),2)&amp;"/"&amp;RIGHT("00"&amp;MOD(Entry!$B56,100),2),"نامعتبر"),IF(LEN(Entry!$B56)=10,Entry!$B56,"نامعتبر")))</f>
        <v/>
      </c>
      <c r="F53" t="str">
        <f>IF(Entry!$B56="","",IF(Entry!$C56="","0000",IF(AND(ISNUMBER(Entry!$C56),Entry!$C56&gt;=0,Entry!$C56&lt;1),RIGHT("00"&amp;HOUR(Entry!$C56),2)&amp;RIGHT("00"&amp;MINUTE(Entry!$C56),2),IFERROR(RIGHT("00"&amp;VALUE(LEFT(Entry!$C56,FIND(":",Entry!$C56)-1)),2)&amp;RIGHT("00"&amp;VALUE(MID(Entry!$C56,FIND(":",Entry!$C56)+1,2)),2),"0000"))))</f>
        <v/>
      </c>
      <c r="G53" t="str">
        <f>IF($A53="","",Entry!$G56)</f>
        <v/>
      </c>
      <c r="H53" t="str">
        <f>IF($A53="","",IF(Entry!$H56="",0,Entry!$H56))</f>
        <v/>
      </c>
      <c r="I53" t="str">
        <f>IF($A53="","",IF(Entry!$I56="",0,Entry!$I56))</f>
        <v/>
      </c>
      <c r="J53" t="str">
        <f t="shared" si="2"/>
        <v/>
      </c>
      <c r="K53" t="str">
        <f>IF($A53="","",Entry!$D56)</f>
        <v/>
      </c>
      <c r="L53" t="str">
        <f>IF($A53="","",Entry!$L56)</f>
        <v/>
      </c>
      <c r="N53" t="str">
        <f>IF(OR(Sync!$M53="",$Q53="",$Q53="نامعتبر"),"",Sync!$M53)</f>
        <v/>
      </c>
      <c r="O53" t="str">
        <f t="shared" si="3"/>
        <v/>
      </c>
      <c r="P53" t="str">
        <f>IF($N53="","",LEFT($Q53,4)&amp;MID($Q53,6,2)&amp;RIGHT($Q53,2)&amp;IF(Sync!$K53="","0000",IF(AND(ISNUMBER(Sync!$K53),Sync!$K53&gt;=0,Sync!$K53&lt;1),RIGHT("00"&amp;HOUR(Sync!$K53),2)&amp;RIGHT("00"&amp;MINUTE(Sync!$K53),2),IFERROR(RIGHT("00"&amp;VALUE(LEFT(Sync!$K53,FIND(":",Sync!$K53)-1)),2)&amp;RIGHT("00"&amp;VALUE(MID(Sync!$K53,FIND(":",Sync!$K53)+1,2)),2),"0000")))&amp;"|"&amp;"2"&amp;RIGHT("00000"&amp;48,5))</f>
        <v/>
      </c>
      <c r="Q53" t="str">
        <f>IF(Sync!$J53="","",IF(ISNUMBER(Sync!$J53),IF(AND(Sync!$J53&gt;=10000101,Sync!$J53&lt;=99991231),INT(Sync!$J53/10000)&amp;"/"&amp;RIGHT("00"&amp;INT(MOD(Sync!$J53,10000)/100),2)&amp;"/"&amp;RIGHT("00"&amp;MOD(Sync!$J53,100),2),"نامعتبر"),IF(LEN(Sync!$J53)=10,Sync!$J53,"نامعتبر")))</f>
        <v/>
      </c>
      <c r="R53" t="str">
        <f t="shared" si="4"/>
        <v/>
      </c>
      <c r="S53" t="str">
        <f t="shared" si="5"/>
        <v/>
      </c>
      <c r="T53" t="str">
        <f>IF($N53="","",IF(Sync!$N53="",0,Sync!$N53))</f>
        <v/>
      </c>
      <c r="U53" t="str">
        <f>IF($N53="","",IF(Sync!$O53="",0,Sync!$O53))</f>
        <v/>
      </c>
      <c r="V53" t="str">
        <f>IF($N53="","",Sync!$L53)</f>
        <v/>
      </c>
      <c r="W53" t="str">
        <f>IF($N53="","",Sync!$P53)</f>
        <v/>
      </c>
      <c r="AA53" t="str">
        <f>IF($A53="","",IF(COUNTIF($A$6:$A53,$A53)=1,1,0))</f>
        <v/>
      </c>
      <c r="AB53">
        <f>SUM($AA$6:$AA53)</f>
        <v>3</v>
      </c>
      <c r="AC53" t="str">
        <f t="shared" si="6"/>
        <v/>
      </c>
    </row>
    <row r="54" spans="1:29" x14ac:dyDescent="0.2">
      <c r="A54" t="str">
        <f>IF(OR(Entry!$B57="",Entry!$E57="",$E54="نامعتبر"),"",Entry!$E57)</f>
        <v/>
      </c>
      <c r="B54" t="str">
        <f>IF($A54="","",LEFT($E54,4)&amp;MID($E54,6,2)&amp;RIGHT($E54,2)&amp;$F54&amp;"|"&amp;"1"&amp;RIGHT("00000"&amp;49,5))</f>
        <v/>
      </c>
      <c r="C54" t="str">
        <f t="shared" si="0"/>
        <v/>
      </c>
      <c r="D54" t="str">
        <f t="shared" si="1"/>
        <v/>
      </c>
      <c r="E54" t="str">
        <f>IF(Entry!$B57="","",IF(ISNUMBER(Entry!$B57),IF(AND(Entry!$B57&gt;=10000101,Entry!$B57&lt;=99991231),INT(Entry!$B57/10000)&amp;"/"&amp;RIGHT("00"&amp;INT(MOD(Entry!$B57,10000)/100),2)&amp;"/"&amp;RIGHT("00"&amp;MOD(Entry!$B57,100),2),"نامعتبر"),IF(LEN(Entry!$B57)=10,Entry!$B57,"نامعتبر")))</f>
        <v/>
      </c>
      <c r="F54" t="str">
        <f>IF(Entry!$B57="","",IF(Entry!$C57="","0000",IF(AND(ISNUMBER(Entry!$C57),Entry!$C57&gt;=0,Entry!$C57&lt;1),RIGHT("00"&amp;HOUR(Entry!$C57),2)&amp;RIGHT("00"&amp;MINUTE(Entry!$C57),2),IFERROR(RIGHT("00"&amp;VALUE(LEFT(Entry!$C57,FIND(":",Entry!$C57)-1)),2)&amp;RIGHT("00"&amp;VALUE(MID(Entry!$C57,FIND(":",Entry!$C57)+1,2)),2),"0000"))))</f>
        <v/>
      </c>
      <c r="G54" t="str">
        <f>IF($A54="","",Entry!$G57)</f>
        <v/>
      </c>
      <c r="H54" t="str">
        <f>IF($A54="","",IF(Entry!$H57="",0,Entry!$H57))</f>
        <v/>
      </c>
      <c r="I54" t="str">
        <f>IF($A54="","",IF(Entry!$I57="",0,Entry!$I57))</f>
        <v/>
      </c>
      <c r="J54" t="str">
        <f t="shared" si="2"/>
        <v/>
      </c>
      <c r="K54" t="str">
        <f>IF($A54="","",Entry!$D57)</f>
        <v/>
      </c>
      <c r="L54" t="str">
        <f>IF($A54="","",Entry!$L57)</f>
        <v/>
      </c>
      <c r="N54" t="str">
        <f>IF(OR(Sync!$M54="",$Q54="",$Q54="نامعتبر"),"",Sync!$M54)</f>
        <v/>
      </c>
      <c r="O54" t="str">
        <f t="shared" si="3"/>
        <v/>
      </c>
      <c r="P54" t="str">
        <f>IF($N54="","",LEFT($Q54,4)&amp;MID($Q54,6,2)&amp;RIGHT($Q54,2)&amp;IF(Sync!$K54="","0000",IF(AND(ISNUMBER(Sync!$K54),Sync!$K54&gt;=0,Sync!$K54&lt;1),RIGHT("00"&amp;HOUR(Sync!$K54),2)&amp;RIGHT("00"&amp;MINUTE(Sync!$K54),2),IFERROR(RIGHT("00"&amp;VALUE(LEFT(Sync!$K54,FIND(":",Sync!$K54)-1)),2)&amp;RIGHT("00"&amp;VALUE(MID(Sync!$K54,FIND(":",Sync!$K54)+1,2)),2),"0000")))&amp;"|"&amp;"2"&amp;RIGHT("00000"&amp;49,5))</f>
        <v/>
      </c>
      <c r="Q54" t="str">
        <f>IF(Sync!$J54="","",IF(ISNUMBER(Sync!$J54),IF(AND(Sync!$J54&gt;=10000101,Sync!$J54&lt;=99991231),INT(Sync!$J54/10000)&amp;"/"&amp;RIGHT("00"&amp;INT(MOD(Sync!$J54,10000)/100),2)&amp;"/"&amp;RIGHT("00"&amp;MOD(Sync!$J54,100),2),"نامعتبر"),IF(LEN(Sync!$J54)=10,Sync!$J54,"نامعتبر")))</f>
        <v/>
      </c>
      <c r="R54" t="str">
        <f t="shared" si="4"/>
        <v/>
      </c>
      <c r="S54" t="str">
        <f t="shared" si="5"/>
        <v/>
      </c>
      <c r="T54" t="str">
        <f>IF($N54="","",IF(Sync!$N54="",0,Sync!$N54))</f>
        <v/>
      </c>
      <c r="U54" t="str">
        <f>IF($N54="","",IF(Sync!$O54="",0,Sync!$O54))</f>
        <v/>
      </c>
      <c r="V54" t="str">
        <f>IF($N54="","",Sync!$L54)</f>
        <v/>
      </c>
      <c r="W54" t="str">
        <f>IF($N54="","",Sync!$P54)</f>
        <v/>
      </c>
      <c r="AA54" t="str">
        <f>IF($A54="","",IF(COUNTIF($A$6:$A54,$A54)=1,1,0))</f>
        <v/>
      </c>
      <c r="AB54">
        <f>SUM($AA$6:$AA54)</f>
        <v>3</v>
      </c>
      <c r="AC54" t="str">
        <f t="shared" si="6"/>
        <v/>
      </c>
    </row>
    <row r="55" spans="1:29" x14ac:dyDescent="0.2">
      <c r="A55" t="str">
        <f>IF(OR(Entry!$B58="",Entry!$E58="",$E55="نامعتبر"),"",Entry!$E58)</f>
        <v/>
      </c>
      <c r="B55" t="str">
        <f>IF($A55="","",LEFT($E55,4)&amp;MID($E55,6,2)&amp;RIGHT($E55,2)&amp;$F55&amp;"|"&amp;"1"&amp;RIGHT("00000"&amp;50,5))</f>
        <v/>
      </c>
      <c r="C55" t="str">
        <f t="shared" si="0"/>
        <v/>
      </c>
      <c r="D55" t="str">
        <f t="shared" si="1"/>
        <v/>
      </c>
      <c r="E55" t="str">
        <f>IF(Entry!$B58="","",IF(ISNUMBER(Entry!$B58),IF(AND(Entry!$B58&gt;=10000101,Entry!$B58&lt;=99991231),INT(Entry!$B58/10000)&amp;"/"&amp;RIGHT("00"&amp;INT(MOD(Entry!$B58,10000)/100),2)&amp;"/"&amp;RIGHT("00"&amp;MOD(Entry!$B58,100),2),"نامعتبر"),IF(LEN(Entry!$B58)=10,Entry!$B58,"نامعتبر")))</f>
        <v/>
      </c>
      <c r="F55" t="str">
        <f>IF(Entry!$B58="","",IF(Entry!$C58="","0000",IF(AND(ISNUMBER(Entry!$C58),Entry!$C58&gt;=0,Entry!$C58&lt;1),RIGHT("00"&amp;HOUR(Entry!$C58),2)&amp;RIGHT("00"&amp;MINUTE(Entry!$C58),2),IFERROR(RIGHT("00"&amp;VALUE(LEFT(Entry!$C58,FIND(":",Entry!$C58)-1)),2)&amp;RIGHT("00"&amp;VALUE(MID(Entry!$C58,FIND(":",Entry!$C58)+1,2)),2),"0000"))))</f>
        <v/>
      </c>
      <c r="G55" t="str">
        <f>IF($A55="","",Entry!$G58)</f>
        <v/>
      </c>
      <c r="H55" t="str">
        <f>IF($A55="","",IF(Entry!$H58="",0,Entry!$H58))</f>
        <v/>
      </c>
      <c r="I55" t="str">
        <f>IF($A55="","",IF(Entry!$I58="",0,Entry!$I58))</f>
        <v/>
      </c>
      <c r="J55" t="str">
        <f t="shared" si="2"/>
        <v/>
      </c>
      <c r="K55" t="str">
        <f>IF($A55="","",Entry!$D58)</f>
        <v/>
      </c>
      <c r="L55" t="str">
        <f>IF($A55="","",Entry!$L58)</f>
        <v/>
      </c>
      <c r="N55" t="str">
        <f>IF(OR(Sync!$M55="",$Q55="",$Q55="نامعتبر"),"",Sync!$M55)</f>
        <v/>
      </c>
      <c r="O55" t="str">
        <f t="shared" si="3"/>
        <v/>
      </c>
      <c r="P55" t="str">
        <f>IF($N55="","",LEFT($Q55,4)&amp;MID($Q55,6,2)&amp;RIGHT($Q55,2)&amp;IF(Sync!$K55="","0000",IF(AND(ISNUMBER(Sync!$K55),Sync!$K55&gt;=0,Sync!$K55&lt;1),RIGHT("00"&amp;HOUR(Sync!$K55),2)&amp;RIGHT("00"&amp;MINUTE(Sync!$K55),2),IFERROR(RIGHT("00"&amp;VALUE(LEFT(Sync!$K55,FIND(":",Sync!$K55)-1)),2)&amp;RIGHT("00"&amp;VALUE(MID(Sync!$K55,FIND(":",Sync!$K55)+1,2)),2),"0000")))&amp;"|"&amp;"2"&amp;RIGHT("00000"&amp;50,5))</f>
        <v/>
      </c>
      <c r="Q55" t="str">
        <f>IF(Sync!$J55="","",IF(ISNUMBER(Sync!$J55),IF(AND(Sync!$J55&gt;=10000101,Sync!$J55&lt;=99991231),INT(Sync!$J55/10000)&amp;"/"&amp;RIGHT("00"&amp;INT(MOD(Sync!$J55,10000)/100),2)&amp;"/"&amp;RIGHT("00"&amp;MOD(Sync!$J55,100),2),"نامعتبر"),IF(LEN(Sync!$J55)=10,Sync!$J55,"نامعتبر")))</f>
        <v/>
      </c>
      <c r="R55" t="str">
        <f t="shared" si="4"/>
        <v/>
      </c>
      <c r="S55" t="str">
        <f t="shared" si="5"/>
        <v/>
      </c>
      <c r="T55" t="str">
        <f>IF($N55="","",IF(Sync!$N55="",0,Sync!$N55))</f>
        <v/>
      </c>
      <c r="U55" t="str">
        <f>IF($N55="","",IF(Sync!$O55="",0,Sync!$O55))</f>
        <v/>
      </c>
      <c r="V55" t="str">
        <f>IF($N55="","",Sync!$L55)</f>
        <v/>
      </c>
      <c r="W55" t="str">
        <f>IF($N55="","",Sync!$P55)</f>
        <v/>
      </c>
      <c r="AA55" t="str">
        <f>IF($A55="","",IF(COUNTIF($A$6:$A55,$A55)=1,1,0))</f>
        <v/>
      </c>
      <c r="AB55">
        <f>SUM($AA$6:$AA55)</f>
        <v>3</v>
      </c>
      <c r="AC55" t="str">
        <f t="shared" si="6"/>
        <v/>
      </c>
    </row>
    <row r="56" spans="1:29" x14ac:dyDescent="0.2">
      <c r="A56" t="str">
        <f>IF(OR(Entry!$B59="",Entry!$E59="",$E56="نامعتبر"),"",Entry!$E59)</f>
        <v/>
      </c>
      <c r="B56" t="str">
        <f>IF($A56="","",LEFT($E56,4)&amp;MID($E56,6,2)&amp;RIGHT($E56,2)&amp;$F56&amp;"|"&amp;"1"&amp;RIGHT("00000"&amp;51,5))</f>
        <v/>
      </c>
      <c r="C56" t="str">
        <f t="shared" si="0"/>
        <v/>
      </c>
      <c r="D56" t="str">
        <f t="shared" si="1"/>
        <v/>
      </c>
      <c r="E56" t="str">
        <f>IF(Entry!$B59="","",IF(ISNUMBER(Entry!$B59),IF(AND(Entry!$B59&gt;=10000101,Entry!$B59&lt;=99991231),INT(Entry!$B59/10000)&amp;"/"&amp;RIGHT("00"&amp;INT(MOD(Entry!$B59,10000)/100),2)&amp;"/"&amp;RIGHT("00"&amp;MOD(Entry!$B59,100),2),"نامعتبر"),IF(LEN(Entry!$B59)=10,Entry!$B59,"نامعتبر")))</f>
        <v/>
      </c>
      <c r="F56" t="str">
        <f>IF(Entry!$B59="","",IF(Entry!$C59="","0000",IF(AND(ISNUMBER(Entry!$C59),Entry!$C59&gt;=0,Entry!$C59&lt;1),RIGHT("00"&amp;HOUR(Entry!$C59),2)&amp;RIGHT("00"&amp;MINUTE(Entry!$C59),2),IFERROR(RIGHT("00"&amp;VALUE(LEFT(Entry!$C59,FIND(":",Entry!$C59)-1)),2)&amp;RIGHT("00"&amp;VALUE(MID(Entry!$C59,FIND(":",Entry!$C59)+1,2)),2),"0000"))))</f>
        <v/>
      </c>
      <c r="G56" t="str">
        <f>IF($A56="","",Entry!$G59)</f>
        <v/>
      </c>
      <c r="H56" t="str">
        <f>IF($A56="","",IF(Entry!$H59="",0,Entry!$H59))</f>
        <v/>
      </c>
      <c r="I56" t="str">
        <f>IF($A56="","",IF(Entry!$I59="",0,Entry!$I59))</f>
        <v/>
      </c>
      <c r="J56" t="str">
        <f t="shared" si="2"/>
        <v/>
      </c>
      <c r="K56" t="str">
        <f>IF($A56="","",Entry!$D59)</f>
        <v/>
      </c>
      <c r="L56" t="str">
        <f>IF($A56="","",Entry!$L59)</f>
        <v/>
      </c>
      <c r="N56" t="str">
        <f>IF(OR(Sync!$M56="",$Q56="",$Q56="نامعتبر"),"",Sync!$M56)</f>
        <v/>
      </c>
      <c r="O56" t="str">
        <f t="shared" si="3"/>
        <v/>
      </c>
      <c r="P56" t="str">
        <f>IF($N56="","",LEFT($Q56,4)&amp;MID($Q56,6,2)&amp;RIGHT($Q56,2)&amp;IF(Sync!$K56="","0000",IF(AND(ISNUMBER(Sync!$K56),Sync!$K56&gt;=0,Sync!$K56&lt;1),RIGHT("00"&amp;HOUR(Sync!$K56),2)&amp;RIGHT("00"&amp;MINUTE(Sync!$K56),2),IFERROR(RIGHT("00"&amp;VALUE(LEFT(Sync!$K56,FIND(":",Sync!$K56)-1)),2)&amp;RIGHT("00"&amp;VALUE(MID(Sync!$K56,FIND(":",Sync!$K56)+1,2)),2),"0000")))&amp;"|"&amp;"2"&amp;RIGHT("00000"&amp;51,5))</f>
        <v/>
      </c>
      <c r="Q56" t="str">
        <f>IF(Sync!$J56="","",IF(ISNUMBER(Sync!$J56),IF(AND(Sync!$J56&gt;=10000101,Sync!$J56&lt;=99991231),INT(Sync!$J56/10000)&amp;"/"&amp;RIGHT("00"&amp;INT(MOD(Sync!$J56,10000)/100),2)&amp;"/"&amp;RIGHT("00"&amp;MOD(Sync!$J56,100),2),"نامعتبر"),IF(LEN(Sync!$J56)=10,Sync!$J56,"نامعتبر")))</f>
        <v/>
      </c>
      <c r="R56" t="str">
        <f t="shared" si="4"/>
        <v/>
      </c>
      <c r="S56" t="str">
        <f t="shared" si="5"/>
        <v/>
      </c>
      <c r="T56" t="str">
        <f>IF($N56="","",IF(Sync!$N56="",0,Sync!$N56))</f>
        <v/>
      </c>
      <c r="U56" t="str">
        <f>IF($N56="","",IF(Sync!$O56="",0,Sync!$O56))</f>
        <v/>
      </c>
      <c r="V56" t="str">
        <f>IF($N56="","",Sync!$L56)</f>
        <v/>
      </c>
      <c r="W56" t="str">
        <f>IF($N56="","",Sync!$P56)</f>
        <v/>
      </c>
      <c r="AA56" t="str">
        <f>IF($A56="","",IF(COUNTIF($A$6:$A56,$A56)=1,1,0))</f>
        <v/>
      </c>
      <c r="AB56">
        <f>SUM($AA$6:$AA56)</f>
        <v>3</v>
      </c>
      <c r="AC56" t="str">
        <f t="shared" si="6"/>
        <v/>
      </c>
    </row>
    <row r="57" spans="1:29" x14ac:dyDescent="0.2">
      <c r="A57" t="str">
        <f>IF(OR(Entry!$B60="",Entry!$E60="",$E57="نامعتبر"),"",Entry!$E60)</f>
        <v/>
      </c>
      <c r="B57" t="str">
        <f>IF($A57="","",LEFT($E57,4)&amp;MID($E57,6,2)&amp;RIGHT($E57,2)&amp;$F57&amp;"|"&amp;"1"&amp;RIGHT("00000"&amp;52,5))</f>
        <v/>
      </c>
      <c r="C57" t="str">
        <f t="shared" si="0"/>
        <v/>
      </c>
      <c r="D57" t="str">
        <f t="shared" si="1"/>
        <v/>
      </c>
      <c r="E57" t="str">
        <f>IF(Entry!$B60="","",IF(ISNUMBER(Entry!$B60),IF(AND(Entry!$B60&gt;=10000101,Entry!$B60&lt;=99991231),INT(Entry!$B60/10000)&amp;"/"&amp;RIGHT("00"&amp;INT(MOD(Entry!$B60,10000)/100),2)&amp;"/"&amp;RIGHT("00"&amp;MOD(Entry!$B60,100),2),"نامعتبر"),IF(LEN(Entry!$B60)=10,Entry!$B60,"نامعتبر")))</f>
        <v/>
      </c>
      <c r="F57" t="str">
        <f>IF(Entry!$B60="","",IF(Entry!$C60="","0000",IF(AND(ISNUMBER(Entry!$C60),Entry!$C60&gt;=0,Entry!$C60&lt;1),RIGHT("00"&amp;HOUR(Entry!$C60),2)&amp;RIGHT("00"&amp;MINUTE(Entry!$C60),2),IFERROR(RIGHT("00"&amp;VALUE(LEFT(Entry!$C60,FIND(":",Entry!$C60)-1)),2)&amp;RIGHT("00"&amp;VALUE(MID(Entry!$C60,FIND(":",Entry!$C60)+1,2)),2),"0000"))))</f>
        <v/>
      </c>
      <c r="G57" t="str">
        <f>IF($A57="","",Entry!$G60)</f>
        <v/>
      </c>
      <c r="H57" t="str">
        <f>IF($A57="","",IF(Entry!$H60="",0,Entry!$H60))</f>
        <v/>
      </c>
      <c r="I57" t="str">
        <f>IF($A57="","",IF(Entry!$I60="",0,Entry!$I60))</f>
        <v/>
      </c>
      <c r="J57" t="str">
        <f t="shared" si="2"/>
        <v/>
      </c>
      <c r="K57" t="str">
        <f>IF($A57="","",Entry!$D60)</f>
        <v/>
      </c>
      <c r="L57" t="str">
        <f>IF($A57="","",Entry!$L60)</f>
        <v/>
      </c>
      <c r="N57" t="str">
        <f>IF(OR(Sync!$M57="",$Q57="",$Q57="نامعتبر"),"",Sync!$M57)</f>
        <v/>
      </c>
      <c r="O57" t="str">
        <f t="shared" si="3"/>
        <v/>
      </c>
      <c r="P57" t="str">
        <f>IF($N57="","",LEFT($Q57,4)&amp;MID($Q57,6,2)&amp;RIGHT($Q57,2)&amp;IF(Sync!$K57="","0000",IF(AND(ISNUMBER(Sync!$K57),Sync!$K57&gt;=0,Sync!$K57&lt;1),RIGHT("00"&amp;HOUR(Sync!$K57),2)&amp;RIGHT("00"&amp;MINUTE(Sync!$K57),2),IFERROR(RIGHT("00"&amp;VALUE(LEFT(Sync!$K57,FIND(":",Sync!$K57)-1)),2)&amp;RIGHT("00"&amp;VALUE(MID(Sync!$K57,FIND(":",Sync!$K57)+1,2)),2),"0000")))&amp;"|"&amp;"2"&amp;RIGHT("00000"&amp;52,5))</f>
        <v/>
      </c>
      <c r="Q57" t="str">
        <f>IF(Sync!$J57="","",IF(ISNUMBER(Sync!$J57),IF(AND(Sync!$J57&gt;=10000101,Sync!$J57&lt;=99991231),INT(Sync!$J57/10000)&amp;"/"&amp;RIGHT("00"&amp;INT(MOD(Sync!$J57,10000)/100),2)&amp;"/"&amp;RIGHT("00"&amp;MOD(Sync!$J57,100),2),"نامعتبر"),IF(LEN(Sync!$J57)=10,Sync!$J57,"نامعتبر")))</f>
        <v/>
      </c>
      <c r="R57" t="str">
        <f t="shared" si="4"/>
        <v/>
      </c>
      <c r="S57" t="str">
        <f t="shared" si="5"/>
        <v/>
      </c>
      <c r="T57" t="str">
        <f>IF($N57="","",IF(Sync!$N57="",0,Sync!$N57))</f>
        <v/>
      </c>
      <c r="U57" t="str">
        <f>IF($N57="","",IF(Sync!$O57="",0,Sync!$O57))</f>
        <v/>
      </c>
      <c r="V57" t="str">
        <f>IF($N57="","",Sync!$L57)</f>
        <v/>
      </c>
      <c r="W57" t="str">
        <f>IF($N57="","",Sync!$P57)</f>
        <v/>
      </c>
      <c r="AA57" t="str">
        <f>IF($A57="","",IF(COUNTIF($A$6:$A57,$A57)=1,1,0))</f>
        <v/>
      </c>
      <c r="AB57">
        <f>SUM($AA$6:$AA57)</f>
        <v>3</v>
      </c>
      <c r="AC57" t="str">
        <f t="shared" si="6"/>
        <v/>
      </c>
    </row>
    <row r="58" spans="1:29" x14ac:dyDescent="0.2">
      <c r="A58" t="str">
        <f>IF(OR(Entry!$B61="",Entry!$E61="",$E58="نامعتبر"),"",Entry!$E61)</f>
        <v/>
      </c>
      <c r="B58" t="str">
        <f>IF($A58="","",LEFT($E58,4)&amp;MID($E58,6,2)&amp;RIGHT($E58,2)&amp;$F58&amp;"|"&amp;"1"&amp;RIGHT("00000"&amp;53,5))</f>
        <v/>
      </c>
      <c r="C58" t="str">
        <f t="shared" si="0"/>
        <v/>
      </c>
      <c r="D58" t="str">
        <f t="shared" si="1"/>
        <v/>
      </c>
      <c r="E58" t="str">
        <f>IF(Entry!$B61="","",IF(ISNUMBER(Entry!$B61),IF(AND(Entry!$B61&gt;=10000101,Entry!$B61&lt;=99991231),INT(Entry!$B61/10000)&amp;"/"&amp;RIGHT("00"&amp;INT(MOD(Entry!$B61,10000)/100),2)&amp;"/"&amp;RIGHT("00"&amp;MOD(Entry!$B61,100),2),"نامعتبر"),IF(LEN(Entry!$B61)=10,Entry!$B61,"نامعتبر")))</f>
        <v/>
      </c>
      <c r="F58" t="str">
        <f>IF(Entry!$B61="","",IF(Entry!$C61="","0000",IF(AND(ISNUMBER(Entry!$C61),Entry!$C61&gt;=0,Entry!$C61&lt;1),RIGHT("00"&amp;HOUR(Entry!$C61),2)&amp;RIGHT("00"&amp;MINUTE(Entry!$C61),2),IFERROR(RIGHT("00"&amp;VALUE(LEFT(Entry!$C61,FIND(":",Entry!$C61)-1)),2)&amp;RIGHT("00"&amp;VALUE(MID(Entry!$C61,FIND(":",Entry!$C61)+1,2)),2),"0000"))))</f>
        <v/>
      </c>
      <c r="G58" t="str">
        <f>IF($A58="","",Entry!$G61)</f>
        <v/>
      </c>
      <c r="H58" t="str">
        <f>IF($A58="","",IF(Entry!$H61="",0,Entry!$H61))</f>
        <v/>
      </c>
      <c r="I58" t="str">
        <f>IF($A58="","",IF(Entry!$I61="",0,Entry!$I61))</f>
        <v/>
      </c>
      <c r="J58" t="str">
        <f t="shared" si="2"/>
        <v/>
      </c>
      <c r="K58" t="str">
        <f>IF($A58="","",Entry!$D61)</f>
        <v/>
      </c>
      <c r="L58" t="str">
        <f>IF($A58="","",Entry!$L61)</f>
        <v/>
      </c>
      <c r="N58" t="str">
        <f>IF(OR(Sync!$M58="",$Q58="",$Q58="نامعتبر"),"",Sync!$M58)</f>
        <v/>
      </c>
      <c r="O58" t="str">
        <f t="shared" si="3"/>
        <v/>
      </c>
      <c r="P58" t="str">
        <f>IF($N58="","",LEFT($Q58,4)&amp;MID($Q58,6,2)&amp;RIGHT($Q58,2)&amp;IF(Sync!$K58="","0000",IF(AND(ISNUMBER(Sync!$K58),Sync!$K58&gt;=0,Sync!$K58&lt;1),RIGHT("00"&amp;HOUR(Sync!$K58),2)&amp;RIGHT("00"&amp;MINUTE(Sync!$K58),2),IFERROR(RIGHT("00"&amp;VALUE(LEFT(Sync!$K58,FIND(":",Sync!$K58)-1)),2)&amp;RIGHT("00"&amp;VALUE(MID(Sync!$K58,FIND(":",Sync!$K58)+1,2)),2),"0000")))&amp;"|"&amp;"2"&amp;RIGHT("00000"&amp;53,5))</f>
        <v/>
      </c>
      <c r="Q58" t="str">
        <f>IF(Sync!$J58="","",IF(ISNUMBER(Sync!$J58),IF(AND(Sync!$J58&gt;=10000101,Sync!$J58&lt;=99991231),INT(Sync!$J58/10000)&amp;"/"&amp;RIGHT("00"&amp;INT(MOD(Sync!$J58,10000)/100),2)&amp;"/"&amp;RIGHT("00"&amp;MOD(Sync!$J58,100),2),"نامعتبر"),IF(LEN(Sync!$J58)=10,Sync!$J58,"نامعتبر")))</f>
        <v/>
      </c>
      <c r="R58" t="str">
        <f t="shared" si="4"/>
        <v/>
      </c>
      <c r="S58" t="str">
        <f t="shared" si="5"/>
        <v/>
      </c>
      <c r="T58" t="str">
        <f>IF($N58="","",IF(Sync!$N58="",0,Sync!$N58))</f>
        <v/>
      </c>
      <c r="U58" t="str">
        <f>IF($N58="","",IF(Sync!$O58="",0,Sync!$O58))</f>
        <v/>
      </c>
      <c r="V58" t="str">
        <f>IF($N58="","",Sync!$L58)</f>
        <v/>
      </c>
      <c r="W58" t="str">
        <f>IF($N58="","",Sync!$P58)</f>
        <v/>
      </c>
      <c r="AA58" t="str">
        <f>IF($A58="","",IF(COUNTIF($A$6:$A58,$A58)=1,1,0))</f>
        <v/>
      </c>
      <c r="AB58">
        <f>SUM($AA$6:$AA58)</f>
        <v>3</v>
      </c>
      <c r="AC58" t="str">
        <f t="shared" si="6"/>
        <v/>
      </c>
    </row>
    <row r="59" spans="1:29" x14ac:dyDescent="0.2">
      <c r="A59" t="str">
        <f>IF(OR(Entry!$B62="",Entry!$E62="",$E59="نامعتبر"),"",Entry!$E62)</f>
        <v/>
      </c>
      <c r="B59" t="str">
        <f>IF($A59="","",LEFT($E59,4)&amp;MID($E59,6,2)&amp;RIGHT($E59,2)&amp;$F59&amp;"|"&amp;"1"&amp;RIGHT("00000"&amp;54,5))</f>
        <v/>
      </c>
      <c r="C59" t="str">
        <f t="shared" si="0"/>
        <v/>
      </c>
      <c r="D59" t="str">
        <f t="shared" si="1"/>
        <v/>
      </c>
      <c r="E59" t="str">
        <f>IF(Entry!$B62="","",IF(ISNUMBER(Entry!$B62),IF(AND(Entry!$B62&gt;=10000101,Entry!$B62&lt;=99991231),INT(Entry!$B62/10000)&amp;"/"&amp;RIGHT("00"&amp;INT(MOD(Entry!$B62,10000)/100),2)&amp;"/"&amp;RIGHT("00"&amp;MOD(Entry!$B62,100),2),"نامعتبر"),IF(LEN(Entry!$B62)=10,Entry!$B62,"نامعتبر")))</f>
        <v/>
      </c>
      <c r="F59" t="str">
        <f>IF(Entry!$B62="","",IF(Entry!$C62="","0000",IF(AND(ISNUMBER(Entry!$C62),Entry!$C62&gt;=0,Entry!$C62&lt;1),RIGHT("00"&amp;HOUR(Entry!$C62),2)&amp;RIGHT("00"&amp;MINUTE(Entry!$C62),2),IFERROR(RIGHT("00"&amp;VALUE(LEFT(Entry!$C62,FIND(":",Entry!$C62)-1)),2)&amp;RIGHT("00"&amp;VALUE(MID(Entry!$C62,FIND(":",Entry!$C62)+1,2)),2),"0000"))))</f>
        <v/>
      </c>
      <c r="G59" t="str">
        <f>IF($A59="","",Entry!$G62)</f>
        <v/>
      </c>
      <c r="H59" t="str">
        <f>IF($A59="","",IF(Entry!$H62="",0,Entry!$H62))</f>
        <v/>
      </c>
      <c r="I59" t="str">
        <f>IF($A59="","",IF(Entry!$I62="",0,Entry!$I62))</f>
        <v/>
      </c>
      <c r="J59" t="str">
        <f t="shared" si="2"/>
        <v/>
      </c>
      <c r="K59" t="str">
        <f>IF($A59="","",Entry!$D62)</f>
        <v/>
      </c>
      <c r="L59" t="str">
        <f>IF($A59="","",Entry!$L62)</f>
        <v/>
      </c>
      <c r="N59" t="str">
        <f>IF(OR(Sync!$M59="",$Q59="",$Q59="نامعتبر"),"",Sync!$M59)</f>
        <v/>
      </c>
      <c r="O59" t="str">
        <f t="shared" si="3"/>
        <v/>
      </c>
      <c r="P59" t="str">
        <f>IF($N59="","",LEFT($Q59,4)&amp;MID($Q59,6,2)&amp;RIGHT($Q59,2)&amp;IF(Sync!$K59="","0000",IF(AND(ISNUMBER(Sync!$K59),Sync!$K59&gt;=0,Sync!$K59&lt;1),RIGHT("00"&amp;HOUR(Sync!$K59),2)&amp;RIGHT("00"&amp;MINUTE(Sync!$K59),2),IFERROR(RIGHT("00"&amp;VALUE(LEFT(Sync!$K59,FIND(":",Sync!$K59)-1)),2)&amp;RIGHT("00"&amp;VALUE(MID(Sync!$K59,FIND(":",Sync!$K59)+1,2)),2),"0000")))&amp;"|"&amp;"2"&amp;RIGHT("00000"&amp;54,5))</f>
        <v/>
      </c>
      <c r="Q59" t="str">
        <f>IF(Sync!$J59="","",IF(ISNUMBER(Sync!$J59),IF(AND(Sync!$J59&gt;=10000101,Sync!$J59&lt;=99991231),INT(Sync!$J59/10000)&amp;"/"&amp;RIGHT("00"&amp;INT(MOD(Sync!$J59,10000)/100),2)&amp;"/"&amp;RIGHT("00"&amp;MOD(Sync!$J59,100),2),"نامعتبر"),IF(LEN(Sync!$J59)=10,Sync!$J59,"نامعتبر")))</f>
        <v/>
      </c>
      <c r="R59" t="str">
        <f t="shared" si="4"/>
        <v/>
      </c>
      <c r="S59" t="str">
        <f t="shared" si="5"/>
        <v/>
      </c>
      <c r="T59" t="str">
        <f>IF($N59="","",IF(Sync!$N59="",0,Sync!$N59))</f>
        <v/>
      </c>
      <c r="U59" t="str">
        <f>IF($N59="","",IF(Sync!$O59="",0,Sync!$O59))</f>
        <v/>
      </c>
      <c r="V59" t="str">
        <f>IF($N59="","",Sync!$L59)</f>
        <v/>
      </c>
      <c r="W59" t="str">
        <f>IF($N59="","",Sync!$P59)</f>
        <v/>
      </c>
      <c r="AA59" t="str">
        <f>IF($A59="","",IF(COUNTIF($A$6:$A59,$A59)=1,1,0))</f>
        <v/>
      </c>
      <c r="AB59">
        <f>SUM($AA$6:$AA59)</f>
        <v>3</v>
      </c>
      <c r="AC59" t="str">
        <f t="shared" si="6"/>
        <v/>
      </c>
    </row>
    <row r="60" spans="1:29" x14ac:dyDescent="0.2">
      <c r="A60" t="str">
        <f>IF(OR(Entry!$B63="",Entry!$E63="",$E60="نامعتبر"),"",Entry!$E63)</f>
        <v/>
      </c>
      <c r="B60" t="str">
        <f>IF($A60="","",LEFT($E60,4)&amp;MID($E60,6,2)&amp;RIGHT($E60,2)&amp;$F60&amp;"|"&amp;"1"&amp;RIGHT("00000"&amp;55,5))</f>
        <v/>
      </c>
      <c r="C60" t="str">
        <f t="shared" si="0"/>
        <v/>
      </c>
      <c r="D60" t="str">
        <f t="shared" si="1"/>
        <v/>
      </c>
      <c r="E60" t="str">
        <f>IF(Entry!$B63="","",IF(ISNUMBER(Entry!$B63),IF(AND(Entry!$B63&gt;=10000101,Entry!$B63&lt;=99991231),INT(Entry!$B63/10000)&amp;"/"&amp;RIGHT("00"&amp;INT(MOD(Entry!$B63,10000)/100),2)&amp;"/"&amp;RIGHT("00"&amp;MOD(Entry!$B63,100),2),"نامعتبر"),IF(LEN(Entry!$B63)=10,Entry!$B63,"نامعتبر")))</f>
        <v/>
      </c>
      <c r="F60" t="str">
        <f>IF(Entry!$B63="","",IF(Entry!$C63="","0000",IF(AND(ISNUMBER(Entry!$C63),Entry!$C63&gt;=0,Entry!$C63&lt;1),RIGHT("00"&amp;HOUR(Entry!$C63),2)&amp;RIGHT("00"&amp;MINUTE(Entry!$C63),2),IFERROR(RIGHT("00"&amp;VALUE(LEFT(Entry!$C63,FIND(":",Entry!$C63)-1)),2)&amp;RIGHT("00"&amp;VALUE(MID(Entry!$C63,FIND(":",Entry!$C63)+1,2)),2),"0000"))))</f>
        <v/>
      </c>
      <c r="G60" t="str">
        <f>IF($A60="","",Entry!$G63)</f>
        <v/>
      </c>
      <c r="H60" t="str">
        <f>IF($A60="","",IF(Entry!$H63="",0,Entry!$H63))</f>
        <v/>
      </c>
      <c r="I60" t="str">
        <f>IF($A60="","",IF(Entry!$I63="",0,Entry!$I63))</f>
        <v/>
      </c>
      <c r="J60" t="str">
        <f t="shared" si="2"/>
        <v/>
      </c>
      <c r="K60" t="str">
        <f>IF($A60="","",Entry!$D63)</f>
        <v/>
      </c>
      <c r="L60" t="str">
        <f>IF($A60="","",Entry!$L63)</f>
        <v/>
      </c>
      <c r="N60" t="str">
        <f>IF(OR(Sync!$M60="",$Q60="",$Q60="نامعتبر"),"",Sync!$M60)</f>
        <v/>
      </c>
      <c r="O60" t="str">
        <f t="shared" si="3"/>
        <v/>
      </c>
      <c r="P60" t="str">
        <f>IF($N60="","",LEFT($Q60,4)&amp;MID($Q60,6,2)&amp;RIGHT($Q60,2)&amp;IF(Sync!$K60="","0000",IF(AND(ISNUMBER(Sync!$K60),Sync!$K60&gt;=0,Sync!$K60&lt;1),RIGHT("00"&amp;HOUR(Sync!$K60),2)&amp;RIGHT("00"&amp;MINUTE(Sync!$K60),2),IFERROR(RIGHT("00"&amp;VALUE(LEFT(Sync!$K60,FIND(":",Sync!$K60)-1)),2)&amp;RIGHT("00"&amp;VALUE(MID(Sync!$K60,FIND(":",Sync!$K60)+1,2)),2),"0000")))&amp;"|"&amp;"2"&amp;RIGHT("00000"&amp;55,5))</f>
        <v/>
      </c>
      <c r="Q60" t="str">
        <f>IF(Sync!$J60="","",IF(ISNUMBER(Sync!$J60),IF(AND(Sync!$J60&gt;=10000101,Sync!$J60&lt;=99991231),INT(Sync!$J60/10000)&amp;"/"&amp;RIGHT("00"&amp;INT(MOD(Sync!$J60,10000)/100),2)&amp;"/"&amp;RIGHT("00"&amp;MOD(Sync!$J60,100),2),"نامعتبر"),IF(LEN(Sync!$J60)=10,Sync!$J60,"نامعتبر")))</f>
        <v/>
      </c>
      <c r="R60" t="str">
        <f t="shared" si="4"/>
        <v/>
      </c>
      <c r="S60" t="str">
        <f t="shared" si="5"/>
        <v/>
      </c>
      <c r="T60" t="str">
        <f>IF($N60="","",IF(Sync!$N60="",0,Sync!$N60))</f>
        <v/>
      </c>
      <c r="U60" t="str">
        <f>IF($N60="","",IF(Sync!$O60="",0,Sync!$O60))</f>
        <v/>
      </c>
      <c r="V60" t="str">
        <f>IF($N60="","",Sync!$L60)</f>
        <v/>
      </c>
      <c r="W60" t="str">
        <f>IF($N60="","",Sync!$P60)</f>
        <v/>
      </c>
      <c r="AA60" t="str">
        <f>IF($A60="","",IF(COUNTIF($A$6:$A60,$A60)=1,1,0))</f>
        <v/>
      </c>
      <c r="AB60">
        <f>SUM($AA$6:$AA60)</f>
        <v>3</v>
      </c>
      <c r="AC60" t="str">
        <f t="shared" si="6"/>
        <v/>
      </c>
    </row>
    <row r="61" spans="1:29" x14ac:dyDescent="0.2">
      <c r="A61" t="str">
        <f>IF(OR(Entry!$B64="",Entry!$E64="",$E61="نامعتبر"),"",Entry!$E64)</f>
        <v/>
      </c>
      <c r="B61" t="str">
        <f>IF($A61="","",LEFT($E61,4)&amp;MID($E61,6,2)&amp;RIGHT($E61,2)&amp;$F61&amp;"|"&amp;"1"&amp;RIGHT("00000"&amp;56,5))</f>
        <v/>
      </c>
      <c r="C61" t="str">
        <f t="shared" si="0"/>
        <v/>
      </c>
      <c r="D61" t="str">
        <f t="shared" si="1"/>
        <v/>
      </c>
      <c r="E61" t="str">
        <f>IF(Entry!$B64="","",IF(ISNUMBER(Entry!$B64),IF(AND(Entry!$B64&gt;=10000101,Entry!$B64&lt;=99991231),INT(Entry!$B64/10000)&amp;"/"&amp;RIGHT("00"&amp;INT(MOD(Entry!$B64,10000)/100),2)&amp;"/"&amp;RIGHT("00"&amp;MOD(Entry!$B64,100),2),"نامعتبر"),IF(LEN(Entry!$B64)=10,Entry!$B64,"نامعتبر")))</f>
        <v/>
      </c>
      <c r="F61" t="str">
        <f>IF(Entry!$B64="","",IF(Entry!$C64="","0000",IF(AND(ISNUMBER(Entry!$C64),Entry!$C64&gt;=0,Entry!$C64&lt;1),RIGHT("00"&amp;HOUR(Entry!$C64),2)&amp;RIGHT("00"&amp;MINUTE(Entry!$C64),2),IFERROR(RIGHT("00"&amp;VALUE(LEFT(Entry!$C64,FIND(":",Entry!$C64)-1)),2)&amp;RIGHT("00"&amp;VALUE(MID(Entry!$C64,FIND(":",Entry!$C64)+1,2)),2),"0000"))))</f>
        <v/>
      </c>
      <c r="G61" t="str">
        <f>IF($A61="","",Entry!$G64)</f>
        <v/>
      </c>
      <c r="H61" t="str">
        <f>IF($A61="","",IF(Entry!$H64="",0,Entry!$H64))</f>
        <v/>
      </c>
      <c r="I61" t="str">
        <f>IF($A61="","",IF(Entry!$I64="",0,Entry!$I64))</f>
        <v/>
      </c>
      <c r="J61" t="str">
        <f t="shared" si="2"/>
        <v/>
      </c>
      <c r="K61" t="str">
        <f>IF($A61="","",Entry!$D64)</f>
        <v/>
      </c>
      <c r="L61" t="str">
        <f>IF($A61="","",Entry!$L64)</f>
        <v/>
      </c>
      <c r="N61" t="str">
        <f>IF(OR(Sync!$M61="",$Q61="",$Q61="نامعتبر"),"",Sync!$M61)</f>
        <v/>
      </c>
      <c r="O61" t="str">
        <f t="shared" si="3"/>
        <v/>
      </c>
      <c r="P61" t="str">
        <f>IF($N61="","",LEFT($Q61,4)&amp;MID($Q61,6,2)&amp;RIGHT($Q61,2)&amp;IF(Sync!$K61="","0000",IF(AND(ISNUMBER(Sync!$K61),Sync!$K61&gt;=0,Sync!$K61&lt;1),RIGHT("00"&amp;HOUR(Sync!$K61),2)&amp;RIGHT("00"&amp;MINUTE(Sync!$K61),2),IFERROR(RIGHT("00"&amp;VALUE(LEFT(Sync!$K61,FIND(":",Sync!$K61)-1)),2)&amp;RIGHT("00"&amp;VALUE(MID(Sync!$K61,FIND(":",Sync!$K61)+1,2)),2),"0000")))&amp;"|"&amp;"2"&amp;RIGHT("00000"&amp;56,5))</f>
        <v/>
      </c>
      <c r="Q61" t="str">
        <f>IF(Sync!$J61="","",IF(ISNUMBER(Sync!$J61),IF(AND(Sync!$J61&gt;=10000101,Sync!$J61&lt;=99991231),INT(Sync!$J61/10000)&amp;"/"&amp;RIGHT("00"&amp;INT(MOD(Sync!$J61,10000)/100),2)&amp;"/"&amp;RIGHT("00"&amp;MOD(Sync!$J61,100),2),"نامعتبر"),IF(LEN(Sync!$J61)=10,Sync!$J61,"نامعتبر")))</f>
        <v/>
      </c>
      <c r="R61" t="str">
        <f t="shared" si="4"/>
        <v/>
      </c>
      <c r="S61" t="str">
        <f t="shared" si="5"/>
        <v/>
      </c>
      <c r="T61" t="str">
        <f>IF($N61="","",IF(Sync!$N61="",0,Sync!$N61))</f>
        <v/>
      </c>
      <c r="U61" t="str">
        <f>IF($N61="","",IF(Sync!$O61="",0,Sync!$O61))</f>
        <v/>
      </c>
      <c r="V61" t="str">
        <f>IF($N61="","",Sync!$L61)</f>
        <v/>
      </c>
      <c r="W61" t="str">
        <f>IF($N61="","",Sync!$P61)</f>
        <v/>
      </c>
      <c r="AA61" t="str">
        <f>IF($A61="","",IF(COUNTIF($A$6:$A61,$A61)=1,1,0))</f>
        <v/>
      </c>
      <c r="AB61">
        <f>SUM($AA$6:$AA61)</f>
        <v>3</v>
      </c>
      <c r="AC61" t="str">
        <f t="shared" si="6"/>
        <v/>
      </c>
    </row>
    <row r="62" spans="1:29" x14ac:dyDescent="0.2">
      <c r="A62" t="str">
        <f>IF(OR(Entry!$B65="",Entry!$E65="",$E62="نامعتبر"),"",Entry!$E65)</f>
        <v/>
      </c>
      <c r="B62" t="str">
        <f>IF($A62="","",LEFT($E62,4)&amp;MID($E62,6,2)&amp;RIGHT($E62,2)&amp;$F62&amp;"|"&amp;"1"&amp;RIGHT("00000"&amp;57,5))</f>
        <v/>
      </c>
      <c r="C62" t="str">
        <f t="shared" si="0"/>
        <v/>
      </c>
      <c r="D62" t="str">
        <f t="shared" si="1"/>
        <v/>
      </c>
      <c r="E62" t="str">
        <f>IF(Entry!$B65="","",IF(ISNUMBER(Entry!$B65),IF(AND(Entry!$B65&gt;=10000101,Entry!$B65&lt;=99991231),INT(Entry!$B65/10000)&amp;"/"&amp;RIGHT("00"&amp;INT(MOD(Entry!$B65,10000)/100),2)&amp;"/"&amp;RIGHT("00"&amp;MOD(Entry!$B65,100),2),"نامعتبر"),IF(LEN(Entry!$B65)=10,Entry!$B65,"نامعتبر")))</f>
        <v/>
      </c>
      <c r="F62" t="str">
        <f>IF(Entry!$B65="","",IF(Entry!$C65="","0000",IF(AND(ISNUMBER(Entry!$C65),Entry!$C65&gt;=0,Entry!$C65&lt;1),RIGHT("00"&amp;HOUR(Entry!$C65),2)&amp;RIGHT("00"&amp;MINUTE(Entry!$C65),2),IFERROR(RIGHT("00"&amp;VALUE(LEFT(Entry!$C65,FIND(":",Entry!$C65)-1)),2)&amp;RIGHT("00"&amp;VALUE(MID(Entry!$C65,FIND(":",Entry!$C65)+1,2)),2),"0000"))))</f>
        <v/>
      </c>
      <c r="G62" t="str">
        <f>IF($A62="","",Entry!$G65)</f>
        <v/>
      </c>
      <c r="H62" t="str">
        <f>IF($A62="","",IF(Entry!$H65="",0,Entry!$H65))</f>
        <v/>
      </c>
      <c r="I62" t="str">
        <f>IF($A62="","",IF(Entry!$I65="",0,Entry!$I65))</f>
        <v/>
      </c>
      <c r="J62" t="str">
        <f t="shared" si="2"/>
        <v/>
      </c>
      <c r="K62" t="str">
        <f>IF($A62="","",Entry!$D65)</f>
        <v/>
      </c>
      <c r="L62" t="str">
        <f>IF($A62="","",Entry!$L65)</f>
        <v/>
      </c>
      <c r="N62" t="str">
        <f>IF(OR(Sync!$M62="",$Q62="",$Q62="نامعتبر"),"",Sync!$M62)</f>
        <v/>
      </c>
      <c r="O62" t="str">
        <f t="shared" si="3"/>
        <v/>
      </c>
      <c r="P62" t="str">
        <f>IF($N62="","",LEFT($Q62,4)&amp;MID($Q62,6,2)&amp;RIGHT($Q62,2)&amp;IF(Sync!$K62="","0000",IF(AND(ISNUMBER(Sync!$K62),Sync!$K62&gt;=0,Sync!$K62&lt;1),RIGHT("00"&amp;HOUR(Sync!$K62),2)&amp;RIGHT("00"&amp;MINUTE(Sync!$K62),2),IFERROR(RIGHT("00"&amp;VALUE(LEFT(Sync!$K62,FIND(":",Sync!$K62)-1)),2)&amp;RIGHT("00"&amp;VALUE(MID(Sync!$K62,FIND(":",Sync!$K62)+1,2)),2),"0000")))&amp;"|"&amp;"2"&amp;RIGHT("00000"&amp;57,5))</f>
        <v/>
      </c>
      <c r="Q62" t="str">
        <f>IF(Sync!$J62="","",IF(ISNUMBER(Sync!$J62),IF(AND(Sync!$J62&gt;=10000101,Sync!$J62&lt;=99991231),INT(Sync!$J62/10000)&amp;"/"&amp;RIGHT("00"&amp;INT(MOD(Sync!$J62,10000)/100),2)&amp;"/"&amp;RIGHT("00"&amp;MOD(Sync!$J62,100),2),"نامعتبر"),IF(LEN(Sync!$J62)=10,Sync!$J62,"نامعتبر")))</f>
        <v/>
      </c>
      <c r="R62" t="str">
        <f t="shared" si="4"/>
        <v/>
      </c>
      <c r="S62" t="str">
        <f t="shared" si="5"/>
        <v/>
      </c>
      <c r="T62" t="str">
        <f>IF($N62="","",IF(Sync!$N62="",0,Sync!$N62))</f>
        <v/>
      </c>
      <c r="U62" t="str">
        <f>IF($N62="","",IF(Sync!$O62="",0,Sync!$O62))</f>
        <v/>
      </c>
      <c r="V62" t="str">
        <f>IF($N62="","",Sync!$L62)</f>
        <v/>
      </c>
      <c r="W62" t="str">
        <f>IF($N62="","",Sync!$P62)</f>
        <v/>
      </c>
      <c r="AA62" t="str">
        <f>IF($A62="","",IF(COUNTIF($A$6:$A62,$A62)=1,1,0))</f>
        <v/>
      </c>
      <c r="AB62">
        <f>SUM($AA$6:$AA62)</f>
        <v>3</v>
      </c>
      <c r="AC62" t="str">
        <f t="shared" si="6"/>
        <v/>
      </c>
    </row>
    <row r="63" spans="1:29" x14ac:dyDescent="0.2">
      <c r="A63" t="str">
        <f>IF(OR(Entry!$B66="",Entry!$E66="",$E63="نامعتبر"),"",Entry!$E66)</f>
        <v/>
      </c>
      <c r="B63" t="str">
        <f>IF($A63="","",LEFT($E63,4)&amp;MID($E63,6,2)&amp;RIGHT($E63,2)&amp;$F63&amp;"|"&amp;"1"&amp;RIGHT("00000"&amp;58,5))</f>
        <v/>
      </c>
      <c r="C63" t="str">
        <f t="shared" si="0"/>
        <v/>
      </c>
      <c r="D63" t="str">
        <f t="shared" si="1"/>
        <v/>
      </c>
      <c r="E63" t="str">
        <f>IF(Entry!$B66="","",IF(ISNUMBER(Entry!$B66),IF(AND(Entry!$B66&gt;=10000101,Entry!$B66&lt;=99991231),INT(Entry!$B66/10000)&amp;"/"&amp;RIGHT("00"&amp;INT(MOD(Entry!$B66,10000)/100),2)&amp;"/"&amp;RIGHT("00"&amp;MOD(Entry!$B66,100),2),"نامعتبر"),IF(LEN(Entry!$B66)=10,Entry!$B66,"نامعتبر")))</f>
        <v/>
      </c>
      <c r="F63" t="str">
        <f>IF(Entry!$B66="","",IF(Entry!$C66="","0000",IF(AND(ISNUMBER(Entry!$C66),Entry!$C66&gt;=0,Entry!$C66&lt;1),RIGHT("00"&amp;HOUR(Entry!$C66),2)&amp;RIGHT("00"&amp;MINUTE(Entry!$C66),2),IFERROR(RIGHT("00"&amp;VALUE(LEFT(Entry!$C66,FIND(":",Entry!$C66)-1)),2)&amp;RIGHT("00"&amp;VALUE(MID(Entry!$C66,FIND(":",Entry!$C66)+1,2)),2),"0000"))))</f>
        <v/>
      </c>
      <c r="G63" t="str">
        <f>IF($A63="","",Entry!$G66)</f>
        <v/>
      </c>
      <c r="H63" t="str">
        <f>IF($A63="","",IF(Entry!$H66="",0,Entry!$H66))</f>
        <v/>
      </c>
      <c r="I63" t="str">
        <f>IF($A63="","",IF(Entry!$I66="",0,Entry!$I66))</f>
        <v/>
      </c>
      <c r="J63" t="str">
        <f t="shared" si="2"/>
        <v/>
      </c>
      <c r="K63" t="str">
        <f>IF($A63="","",Entry!$D66)</f>
        <v/>
      </c>
      <c r="L63" t="str">
        <f>IF($A63="","",Entry!$L66)</f>
        <v/>
      </c>
      <c r="N63" t="str">
        <f>IF(OR(Sync!$M63="",$Q63="",$Q63="نامعتبر"),"",Sync!$M63)</f>
        <v/>
      </c>
      <c r="O63" t="str">
        <f t="shared" si="3"/>
        <v/>
      </c>
      <c r="P63" t="str">
        <f>IF($N63="","",LEFT($Q63,4)&amp;MID($Q63,6,2)&amp;RIGHT($Q63,2)&amp;IF(Sync!$K63="","0000",IF(AND(ISNUMBER(Sync!$K63),Sync!$K63&gt;=0,Sync!$K63&lt;1),RIGHT("00"&amp;HOUR(Sync!$K63),2)&amp;RIGHT("00"&amp;MINUTE(Sync!$K63),2),IFERROR(RIGHT("00"&amp;VALUE(LEFT(Sync!$K63,FIND(":",Sync!$K63)-1)),2)&amp;RIGHT("00"&amp;VALUE(MID(Sync!$K63,FIND(":",Sync!$K63)+1,2)),2),"0000")))&amp;"|"&amp;"2"&amp;RIGHT("00000"&amp;58,5))</f>
        <v/>
      </c>
      <c r="Q63" t="str">
        <f>IF(Sync!$J63="","",IF(ISNUMBER(Sync!$J63),IF(AND(Sync!$J63&gt;=10000101,Sync!$J63&lt;=99991231),INT(Sync!$J63/10000)&amp;"/"&amp;RIGHT("00"&amp;INT(MOD(Sync!$J63,10000)/100),2)&amp;"/"&amp;RIGHT("00"&amp;MOD(Sync!$J63,100),2),"نامعتبر"),IF(LEN(Sync!$J63)=10,Sync!$J63,"نامعتبر")))</f>
        <v/>
      </c>
      <c r="R63" t="str">
        <f t="shared" si="4"/>
        <v/>
      </c>
      <c r="S63" t="str">
        <f t="shared" si="5"/>
        <v/>
      </c>
      <c r="T63" t="str">
        <f>IF($N63="","",IF(Sync!$N63="",0,Sync!$N63))</f>
        <v/>
      </c>
      <c r="U63" t="str">
        <f>IF($N63="","",IF(Sync!$O63="",0,Sync!$O63))</f>
        <v/>
      </c>
      <c r="V63" t="str">
        <f>IF($N63="","",Sync!$L63)</f>
        <v/>
      </c>
      <c r="W63" t="str">
        <f>IF($N63="","",Sync!$P63)</f>
        <v/>
      </c>
      <c r="AA63" t="str">
        <f>IF($A63="","",IF(COUNTIF($A$6:$A63,$A63)=1,1,0))</f>
        <v/>
      </c>
      <c r="AB63">
        <f>SUM($AA$6:$AA63)</f>
        <v>3</v>
      </c>
      <c r="AC63" t="str">
        <f t="shared" si="6"/>
        <v/>
      </c>
    </row>
    <row r="64" spans="1:29" x14ac:dyDescent="0.2">
      <c r="A64" t="str">
        <f>IF(OR(Entry!$B67="",Entry!$E67="",$E64="نامعتبر"),"",Entry!$E67)</f>
        <v/>
      </c>
      <c r="B64" t="str">
        <f>IF($A64="","",LEFT($E64,4)&amp;MID($E64,6,2)&amp;RIGHT($E64,2)&amp;$F64&amp;"|"&amp;"1"&amp;RIGHT("00000"&amp;59,5))</f>
        <v/>
      </c>
      <c r="C64" t="str">
        <f t="shared" si="0"/>
        <v/>
      </c>
      <c r="D64" t="str">
        <f t="shared" si="1"/>
        <v/>
      </c>
      <c r="E64" t="str">
        <f>IF(Entry!$B67="","",IF(ISNUMBER(Entry!$B67),IF(AND(Entry!$B67&gt;=10000101,Entry!$B67&lt;=99991231),INT(Entry!$B67/10000)&amp;"/"&amp;RIGHT("00"&amp;INT(MOD(Entry!$B67,10000)/100),2)&amp;"/"&amp;RIGHT("00"&amp;MOD(Entry!$B67,100),2),"نامعتبر"),IF(LEN(Entry!$B67)=10,Entry!$B67,"نامعتبر")))</f>
        <v/>
      </c>
      <c r="F64" t="str">
        <f>IF(Entry!$B67="","",IF(Entry!$C67="","0000",IF(AND(ISNUMBER(Entry!$C67),Entry!$C67&gt;=0,Entry!$C67&lt;1),RIGHT("00"&amp;HOUR(Entry!$C67),2)&amp;RIGHT("00"&amp;MINUTE(Entry!$C67),2),IFERROR(RIGHT("00"&amp;VALUE(LEFT(Entry!$C67,FIND(":",Entry!$C67)-1)),2)&amp;RIGHT("00"&amp;VALUE(MID(Entry!$C67,FIND(":",Entry!$C67)+1,2)),2),"0000"))))</f>
        <v/>
      </c>
      <c r="G64" t="str">
        <f>IF($A64="","",Entry!$G67)</f>
        <v/>
      </c>
      <c r="H64" t="str">
        <f>IF($A64="","",IF(Entry!$H67="",0,Entry!$H67))</f>
        <v/>
      </c>
      <c r="I64" t="str">
        <f>IF($A64="","",IF(Entry!$I67="",0,Entry!$I67))</f>
        <v/>
      </c>
      <c r="J64" t="str">
        <f t="shared" si="2"/>
        <v/>
      </c>
      <c r="K64" t="str">
        <f>IF($A64="","",Entry!$D67)</f>
        <v/>
      </c>
      <c r="L64" t="str">
        <f>IF($A64="","",Entry!$L67)</f>
        <v/>
      </c>
      <c r="N64" t="str">
        <f>IF(OR(Sync!$M64="",$Q64="",$Q64="نامعتبر"),"",Sync!$M64)</f>
        <v/>
      </c>
      <c r="O64" t="str">
        <f t="shared" si="3"/>
        <v/>
      </c>
      <c r="P64" t="str">
        <f>IF($N64="","",LEFT($Q64,4)&amp;MID($Q64,6,2)&amp;RIGHT($Q64,2)&amp;IF(Sync!$K64="","0000",IF(AND(ISNUMBER(Sync!$K64),Sync!$K64&gt;=0,Sync!$K64&lt;1),RIGHT("00"&amp;HOUR(Sync!$K64),2)&amp;RIGHT("00"&amp;MINUTE(Sync!$K64),2),IFERROR(RIGHT("00"&amp;VALUE(LEFT(Sync!$K64,FIND(":",Sync!$K64)-1)),2)&amp;RIGHT("00"&amp;VALUE(MID(Sync!$K64,FIND(":",Sync!$K64)+1,2)),2),"0000")))&amp;"|"&amp;"2"&amp;RIGHT("00000"&amp;59,5))</f>
        <v/>
      </c>
      <c r="Q64" t="str">
        <f>IF(Sync!$J64="","",IF(ISNUMBER(Sync!$J64),IF(AND(Sync!$J64&gt;=10000101,Sync!$J64&lt;=99991231),INT(Sync!$J64/10000)&amp;"/"&amp;RIGHT("00"&amp;INT(MOD(Sync!$J64,10000)/100),2)&amp;"/"&amp;RIGHT("00"&amp;MOD(Sync!$J64,100),2),"نامعتبر"),IF(LEN(Sync!$J64)=10,Sync!$J64,"نامعتبر")))</f>
        <v/>
      </c>
      <c r="R64" t="str">
        <f t="shared" si="4"/>
        <v/>
      </c>
      <c r="S64" t="str">
        <f t="shared" si="5"/>
        <v/>
      </c>
      <c r="T64" t="str">
        <f>IF($N64="","",IF(Sync!$N64="",0,Sync!$N64))</f>
        <v/>
      </c>
      <c r="U64" t="str">
        <f>IF($N64="","",IF(Sync!$O64="",0,Sync!$O64))</f>
        <v/>
      </c>
      <c r="V64" t="str">
        <f>IF($N64="","",Sync!$L64)</f>
        <v/>
      </c>
      <c r="W64" t="str">
        <f>IF($N64="","",Sync!$P64)</f>
        <v/>
      </c>
      <c r="AA64" t="str">
        <f>IF($A64="","",IF(COUNTIF($A$6:$A64,$A64)=1,1,0))</f>
        <v/>
      </c>
      <c r="AB64">
        <f>SUM($AA$6:$AA64)</f>
        <v>3</v>
      </c>
      <c r="AC64" t="str">
        <f t="shared" si="6"/>
        <v/>
      </c>
    </row>
    <row r="65" spans="1:29" x14ac:dyDescent="0.2">
      <c r="A65" t="str">
        <f>IF(OR(Entry!$B68="",Entry!$E68="",$E65="نامعتبر"),"",Entry!$E68)</f>
        <v/>
      </c>
      <c r="B65" t="str">
        <f>IF($A65="","",LEFT($E65,4)&amp;MID($E65,6,2)&amp;RIGHT($E65,2)&amp;$F65&amp;"|"&amp;"1"&amp;RIGHT("00000"&amp;60,5))</f>
        <v/>
      </c>
      <c r="C65" t="str">
        <f t="shared" si="0"/>
        <v/>
      </c>
      <c r="D65" t="str">
        <f t="shared" si="1"/>
        <v/>
      </c>
      <c r="E65" t="str">
        <f>IF(Entry!$B68="","",IF(ISNUMBER(Entry!$B68),IF(AND(Entry!$B68&gt;=10000101,Entry!$B68&lt;=99991231),INT(Entry!$B68/10000)&amp;"/"&amp;RIGHT("00"&amp;INT(MOD(Entry!$B68,10000)/100),2)&amp;"/"&amp;RIGHT("00"&amp;MOD(Entry!$B68,100),2),"نامعتبر"),IF(LEN(Entry!$B68)=10,Entry!$B68,"نامعتبر")))</f>
        <v/>
      </c>
      <c r="F65" t="str">
        <f>IF(Entry!$B68="","",IF(Entry!$C68="","0000",IF(AND(ISNUMBER(Entry!$C68),Entry!$C68&gt;=0,Entry!$C68&lt;1),RIGHT("00"&amp;HOUR(Entry!$C68),2)&amp;RIGHT("00"&amp;MINUTE(Entry!$C68),2),IFERROR(RIGHT("00"&amp;VALUE(LEFT(Entry!$C68,FIND(":",Entry!$C68)-1)),2)&amp;RIGHT("00"&amp;VALUE(MID(Entry!$C68,FIND(":",Entry!$C68)+1,2)),2),"0000"))))</f>
        <v/>
      </c>
      <c r="G65" t="str">
        <f>IF($A65="","",Entry!$G68)</f>
        <v/>
      </c>
      <c r="H65" t="str">
        <f>IF($A65="","",IF(Entry!$H68="",0,Entry!$H68))</f>
        <v/>
      </c>
      <c r="I65" t="str">
        <f>IF($A65="","",IF(Entry!$I68="",0,Entry!$I68))</f>
        <v/>
      </c>
      <c r="J65" t="str">
        <f t="shared" si="2"/>
        <v/>
      </c>
      <c r="K65" t="str">
        <f>IF($A65="","",Entry!$D68)</f>
        <v/>
      </c>
      <c r="L65" t="str">
        <f>IF($A65="","",Entry!$L68)</f>
        <v/>
      </c>
      <c r="N65" t="str">
        <f>IF(OR(Sync!$M65="",$Q65="",$Q65="نامعتبر"),"",Sync!$M65)</f>
        <v/>
      </c>
      <c r="O65" t="str">
        <f t="shared" si="3"/>
        <v/>
      </c>
      <c r="P65" t="str">
        <f>IF($N65="","",LEFT($Q65,4)&amp;MID($Q65,6,2)&amp;RIGHT($Q65,2)&amp;IF(Sync!$K65="","0000",IF(AND(ISNUMBER(Sync!$K65),Sync!$K65&gt;=0,Sync!$K65&lt;1),RIGHT("00"&amp;HOUR(Sync!$K65),2)&amp;RIGHT("00"&amp;MINUTE(Sync!$K65),2),IFERROR(RIGHT("00"&amp;VALUE(LEFT(Sync!$K65,FIND(":",Sync!$K65)-1)),2)&amp;RIGHT("00"&amp;VALUE(MID(Sync!$K65,FIND(":",Sync!$K65)+1,2)),2),"0000")))&amp;"|"&amp;"2"&amp;RIGHT("00000"&amp;60,5))</f>
        <v/>
      </c>
      <c r="Q65" t="str">
        <f>IF(Sync!$J65="","",IF(ISNUMBER(Sync!$J65),IF(AND(Sync!$J65&gt;=10000101,Sync!$J65&lt;=99991231),INT(Sync!$J65/10000)&amp;"/"&amp;RIGHT("00"&amp;INT(MOD(Sync!$J65,10000)/100),2)&amp;"/"&amp;RIGHT("00"&amp;MOD(Sync!$J65,100),2),"نامعتبر"),IF(LEN(Sync!$J65)=10,Sync!$J65,"نامعتبر")))</f>
        <v/>
      </c>
      <c r="R65" t="str">
        <f t="shared" si="4"/>
        <v/>
      </c>
      <c r="S65" t="str">
        <f t="shared" si="5"/>
        <v/>
      </c>
      <c r="T65" t="str">
        <f>IF($N65="","",IF(Sync!$N65="",0,Sync!$N65))</f>
        <v/>
      </c>
      <c r="U65" t="str">
        <f>IF($N65="","",IF(Sync!$O65="",0,Sync!$O65))</f>
        <v/>
      </c>
      <c r="V65" t="str">
        <f>IF($N65="","",Sync!$L65)</f>
        <v/>
      </c>
      <c r="W65" t="str">
        <f>IF($N65="","",Sync!$P65)</f>
        <v/>
      </c>
      <c r="AA65" t="str">
        <f>IF($A65="","",IF(COUNTIF($A$6:$A65,$A65)=1,1,0))</f>
        <v/>
      </c>
      <c r="AB65">
        <f>SUM($AA$6:$AA65)</f>
        <v>3</v>
      </c>
      <c r="AC65" t="str">
        <f t="shared" si="6"/>
        <v/>
      </c>
    </row>
    <row r="66" spans="1:29" x14ac:dyDescent="0.2">
      <c r="A66" t="str">
        <f>IF(OR(Entry!$B69="",Entry!$E69="",$E66="نامعتبر"),"",Entry!$E69)</f>
        <v/>
      </c>
      <c r="B66" t="str">
        <f>IF($A66="","",LEFT($E66,4)&amp;MID($E66,6,2)&amp;RIGHT($E66,2)&amp;$F66&amp;"|"&amp;"1"&amp;RIGHT("00000"&amp;61,5))</f>
        <v/>
      </c>
      <c r="C66" t="str">
        <f t="shared" si="0"/>
        <v/>
      </c>
      <c r="D66" t="str">
        <f t="shared" si="1"/>
        <v/>
      </c>
      <c r="E66" t="str">
        <f>IF(Entry!$B69="","",IF(ISNUMBER(Entry!$B69),IF(AND(Entry!$B69&gt;=10000101,Entry!$B69&lt;=99991231),INT(Entry!$B69/10000)&amp;"/"&amp;RIGHT("00"&amp;INT(MOD(Entry!$B69,10000)/100),2)&amp;"/"&amp;RIGHT("00"&amp;MOD(Entry!$B69,100),2),"نامعتبر"),IF(LEN(Entry!$B69)=10,Entry!$B69,"نامعتبر")))</f>
        <v/>
      </c>
      <c r="F66" t="str">
        <f>IF(Entry!$B69="","",IF(Entry!$C69="","0000",IF(AND(ISNUMBER(Entry!$C69),Entry!$C69&gt;=0,Entry!$C69&lt;1),RIGHT("00"&amp;HOUR(Entry!$C69),2)&amp;RIGHT("00"&amp;MINUTE(Entry!$C69),2),IFERROR(RIGHT("00"&amp;VALUE(LEFT(Entry!$C69,FIND(":",Entry!$C69)-1)),2)&amp;RIGHT("00"&amp;VALUE(MID(Entry!$C69,FIND(":",Entry!$C69)+1,2)),2),"0000"))))</f>
        <v/>
      </c>
      <c r="G66" t="str">
        <f>IF($A66="","",Entry!$G69)</f>
        <v/>
      </c>
      <c r="H66" t="str">
        <f>IF($A66="","",IF(Entry!$H69="",0,Entry!$H69))</f>
        <v/>
      </c>
      <c r="I66" t="str">
        <f>IF($A66="","",IF(Entry!$I69="",0,Entry!$I69))</f>
        <v/>
      </c>
      <c r="J66" t="str">
        <f t="shared" si="2"/>
        <v/>
      </c>
      <c r="K66" t="str">
        <f>IF($A66="","",Entry!$D69)</f>
        <v/>
      </c>
      <c r="L66" t="str">
        <f>IF($A66="","",Entry!$L69)</f>
        <v/>
      </c>
      <c r="N66" t="str">
        <f>IF(OR(Sync!$M66="",$Q66="",$Q66="نامعتبر"),"",Sync!$M66)</f>
        <v/>
      </c>
      <c r="O66" t="str">
        <f t="shared" si="3"/>
        <v/>
      </c>
      <c r="P66" t="str">
        <f>IF($N66="","",LEFT($Q66,4)&amp;MID($Q66,6,2)&amp;RIGHT($Q66,2)&amp;IF(Sync!$K66="","0000",IF(AND(ISNUMBER(Sync!$K66),Sync!$K66&gt;=0,Sync!$K66&lt;1),RIGHT("00"&amp;HOUR(Sync!$K66),2)&amp;RIGHT("00"&amp;MINUTE(Sync!$K66),2),IFERROR(RIGHT("00"&amp;VALUE(LEFT(Sync!$K66,FIND(":",Sync!$K66)-1)),2)&amp;RIGHT("00"&amp;VALUE(MID(Sync!$K66,FIND(":",Sync!$K66)+1,2)),2),"0000")))&amp;"|"&amp;"2"&amp;RIGHT("00000"&amp;61,5))</f>
        <v/>
      </c>
      <c r="Q66" t="str">
        <f>IF(Sync!$J66="","",IF(ISNUMBER(Sync!$J66),IF(AND(Sync!$J66&gt;=10000101,Sync!$J66&lt;=99991231),INT(Sync!$J66/10000)&amp;"/"&amp;RIGHT("00"&amp;INT(MOD(Sync!$J66,10000)/100),2)&amp;"/"&amp;RIGHT("00"&amp;MOD(Sync!$J66,100),2),"نامعتبر"),IF(LEN(Sync!$J66)=10,Sync!$J66,"نامعتبر")))</f>
        <v/>
      </c>
      <c r="R66" t="str">
        <f t="shared" si="4"/>
        <v/>
      </c>
      <c r="S66" t="str">
        <f t="shared" si="5"/>
        <v/>
      </c>
      <c r="T66" t="str">
        <f>IF($N66="","",IF(Sync!$N66="",0,Sync!$N66))</f>
        <v/>
      </c>
      <c r="U66" t="str">
        <f>IF($N66="","",IF(Sync!$O66="",0,Sync!$O66))</f>
        <v/>
      </c>
      <c r="V66" t="str">
        <f>IF($N66="","",Sync!$L66)</f>
        <v/>
      </c>
      <c r="W66" t="str">
        <f>IF($N66="","",Sync!$P66)</f>
        <v/>
      </c>
      <c r="AA66" t="str">
        <f>IF($A66="","",IF(COUNTIF($A$6:$A66,$A66)=1,1,0))</f>
        <v/>
      </c>
      <c r="AB66">
        <f>SUM($AA$6:$AA66)</f>
        <v>3</v>
      </c>
      <c r="AC66" t="str">
        <f t="shared" si="6"/>
        <v/>
      </c>
    </row>
    <row r="67" spans="1:29" x14ac:dyDescent="0.2">
      <c r="A67" t="str">
        <f>IF(OR(Entry!$B70="",Entry!$E70="",$E67="نامعتبر"),"",Entry!$E70)</f>
        <v/>
      </c>
      <c r="B67" t="str">
        <f>IF($A67="","",LEFT($E67,4)&amp;MID($E67,6,2)&amp;RIGHT($E67,2)&amp;$F67&amp;"|"&amp;"1"&amp;RIGHT("00000"&amp;62,5))</f>
        <v/>
      </c>
      <c r="C67" t="str">
        <f t="shared" si="0"/>
        <v/>
      </c>
      <c r="D67" t="str">
        <f t="shared" si="1"/>
        <v/>
      </c>
      <c r="E67" t="str">
        <f>IF(Entry!$B70="","",IF(ISNUMBER(Entry!$B70),IF(AND(Entry!$B70&gt;=10000101,Entry!$B70&lt;=99991231),INT(Entry!$B70/10000)&amp;"/"&amp;RIGHT("00"&amp;INT(MOD(Entry!$B70,10000)/100),2)&amp;"/"&amp;RIGHT("00"&amp;MOD(Entry!$B70,100),2),"نامعتبر"),IF(LEN(Entry!$B70)=10,Entry!$B70,"نامعتبر")))</f>
        <v/>
      </c>
      <c r="F67" t="str">
        <f>IF(Entry!$B70="","",IF(Entry!$C70="","0000",IF(AND(ISNUMBER(Entry!$C70),Entry!$C70&gt;=0,Entry!$C70&lt;1),RIGHT("00"&amp;HOUR(Entry!$C70),2)&amp;RIGHT("00"&amp;MINUTE(Entry!$C70),2),IFERROR(RIGHT("00"&amp;VALUE(LEFT(Entry!$C70,FIND(":",Entry!$C70)-1)),2)&amp;RIGHT("00"&amp;VALUE(MID(Entry!$C70,FIND(":",Entry!$C70)+1,2)),2),"0000"))))</f>
        <v/>
      </c>
      <c r="G67" t="str">
        <f>IF($A67="","",Entry!$G70)</f>
        <v/>
      </c>
      <c r="H67" t="str">
        <f>IF($A67="","",IF(Entry!$H70="",0,Entry!$H70))</f>
        <v/>
      </c>
      <c r="I67" t="str">
        <f>IF($A67="","",IF(Entry!$I70="",0,Entry!$I70))</f>
        <v/>
      </c>
      <c r="J67" t="str">
        <f t="shared" si="2"/>
        <v/>
      </c>
      <c r="K67" t="str">
        <f>IF($A67="","",Entry!$D70)</f>
        <v/>
      </c>
      <c r="L67" t="str">
        <f>IF($A67="","",Entry!$L70)</f>
        <v/>
      </c>
      <c r="N67" t="str">
        <f>IF(OR(Sync!$M67="",$Q67="",$Q67="نامعتبر"),"",Sync!$M67)</f>
        <v/>
      </c>
      <c r="O67" t="str">
        <f t="shared" si="3"/>
        <v/>
      </c>
      <c r="P67" t="str">
        <f>IF($N67="","",LEFT($Q67,4)&amp;MID($Q67,6,2)&amp;RIGHT($Q67,2)&amp;IF(Sync!$K67="","0000",IF(AND(ISNUMBER(Sync!$K67),Sync!$K67&gt;=0,Sync!$K67&lt;1),RIGHT("00"&amp;HOUR(Sync!$K67),2)&amp;RIGHT("00"&amp;MINUTE(Sync!$K67),2),IFERROR(RIGHT("00"&amp;VALUE(LEFT(Sync!$K67,FIND(":",Sync!$K67)-1)),2)&amp;RIGHT("00"&amp;VALUE(MID(Sync!$K67,FIND(":",Sync!$K67)+1,2)),2),"0000")))&amp;"|"&amp;"2"&amp;RIGHT("00000"&amp;62,5))</f>
        <v/>
      </c>
      <c r="Q67" t="str">
        <f>IF(Sync!$J67="","",IF(ISNUMBER(Sync!$J67),IF(AND(Sync!$J67&gt;=10000101,Sync!$J67&lt;=99991231),INT(Sync!$J67/10000)&amp;"/"&amp;RIGHT("00"&amp;INT(MOD(Sync!$J67,10000)/100),2)&amp;"/"&amp;RIGHT("00"&amp;MOD(Sync!$J67,100),2),"نامعتبر"),IF(LEN(Sync!$J67)=10,Sync!$J67,"نامعتبر")))</f>
        <v/>
      </c>
      <c r="R67" t="str">
        <f t="shared" si="4"/>
        <v/>
      </c>
      <c r="S67" t="str">
        <f t="shared" si="5"/>
        <v/>
      </c>
      <c r="T67" t="str">
        <f>IF($N67="","",IF(Sync!$N67="",0,Sync!$N67))</f>
        <v/>
      </c>
      <c r="U67" t="str">
        <f>IF($N67="","",IF(Sync!$O67="",0,Sync!$O67))</f>
        <v/>
      </c>
      <c r="V67" t="str">
        <f>IF($N67="","",Sync!$L67)</f>
        <v/>
      </c>
      <c r="W67" t="str">
        <f>IF($N67="","",Sync!$P67)</f>
        <v/>
      </c>
      <c r="AA67" t="str">
        <f>IF($A67="","",IF(COUNTIF($A$6:$A67,$A67)=1,1,0))</f>
        <v/>
      </c>
      <c r="AB67">
        <f>SUM($AA$6:$AA67)</f>
        <v>3</v>
      </c>
      <c r="AC67" t="str">
        <f t="shared" si="6"/>
        <v/>
      </c>
    </row>
    <row r="68" spans="1:29" x14ac:dyDescent="0.2">
      <c r="A68" t="str">
        <f>IF(OR(Entry!$B71="",Entry!$E71="",$E68="نامعتبر"),"",Entry!$E71)</f>
        <v/>
      </c>
      <c r="B68" t="str">
        <f>IF($A68="","",LEFT($E68,4)&amp;MID($E68,6,2)&amp;RIGHT($E68,2)&amp;$F68&amp;"|"&amp;"1"&amp;RIGHT("00000"&amp;63,5))</f>
        <v/>
      </c>
      <c r="C68" t="str">
        <f t="shared" si="0"/>
        <v/>
      </c>
      <c r="D68" t="str">
        <f t="shared" si="1"/>
        <v/>
      </c>
      <c r="E68" t="str">
        <f>IF(Entry!$B71="","",IF(ISNUMBER(Entry!$B71),IF(AND(Entry!$B71&gt;=10000101,Entry!$B71&lt;=99991231),INT(Entry!$B71/10000)&amp;"/"&amp;RIGHT("00"&amp;INT(MOD(Entry!$B71,10000)/100),2)&amp;"/"&amp;RIGHT("00"&amp;MOD(Entry!$B71,100),2),"نامعتبر"),IF(LEN(Entry!$B71)=10,Entry!$B71,"نامعتبر")))</f>
        <v/>
      </c>
      <c r="F68" t="str">
        <f>IF(Entry!$B71="","",IF(Entry!$C71="","0000",IF(AND(ISNUMBER(Entry!$C71),Entry!$C71&gt;=0,Entry!$C71&lt;1),RIGHT("00"&amp;HOUR(Entry!$C71),2)&amp;RIGHT("00"&amp;MINUTE(Entry!$C71),2),IFERROR(RIGHT("00"&amp;VALUE(LEFT(Entry!$C71,FIND(":",Entry!$C71)-1)),2)&amp;RIGHT("00"&amp;VALUE(MID(Entry!$C71,FIND(":",Entry!$C71)+1,2)),2),"0000"))))</f>
        <v/>
      </c>
      <c r="G68" t="str">
        <f>IF($A68="","",Entry!$G71)</f>
        <v/>
      </c>
      <c r="H68" t="str">
        <f>IF($A68="","",IF(Entry!$H71="",0,Entry!$H71))</f>
        <v/>
      </c>
      <c r="I68" t="str">
        <f>IF($A68="","",IF(Entry!$I71="",0,Entry!$I71))</f>
        <v/>
      </c>
      <c r="J68" t="str">
        <f t="shared" si="2"/>
        <v/>
      </c>
      <c r="K68" t="str">
        <f>IF($A68="","",Entry!$D71)</f>
        <v/>
      </c>
      <c r="L68" t="str">
        <f>IF($A68="","",Entry!$L71)</f>
        <v/>
      </c>
      <c r="N68" t="str">
        <f>IF(OR(Sync!$M68="",$Q68="",$Q68="نامعتبر"),"",Sync!$M68)</f>
        <v/>
      </c>
      <c r="O68" t="str">
        <f t="shared" si="3"/>
        <v/>
      </c>
      <c r="P68" t="str">
        <f>IF($N68="","",LEFT($Q68,4)&amp;MID($Q68,6,2)&amp;RIGHT($Q68,2)&amp;IF(Sync!$K68="","0000",IF(AND(ISNUMBER(Sync!$K68),Sync!$K68&gt;=0,Sync!$K68&lt;1),RIGHT("00"&amp;HOUR(Sync!$K68),2)&amp;RIGHT("00"&amp;MINUTE(Sync!$K68),2),IFERROR(RIGHT("00"&amp;VALUE(LEFT(Sync!$K68,FIND(":",Sync!$K68)-1)),2)&amp;RIGHT("00"&amp;VALUE(MID(Sync!$K68,FIND(":",Sync!$K68)+1,2)),2),"0000")))&amp;"|"&amp;"2"&amp;RIGHT("00000"&amp;63,5))</f>
        <v/>
      </c>
      <c r="Q68" t="str">
        <f>IF(Sync!$J68="","",IF(ISNUMBER(Sync!$J68),IF(AND(Sync!$J68&gt;=10000101,Sync!$J68&lt;=99991231),INT(Sync!$J68/10000)&amp;"/"&amp;RIGHT("00"&amp;INT(MOD(Sync!$J68,10000)/100),2)&amp;"/"&amp;RIGHT("00"&amp;MOD(Sync!$J68,100),2),"نامعتبر"),IF(LEN(Sync!$J68)=10,Sync!$J68,"نامعتبر")))</f>
        <v/>
      </c>
      <c r="R68" t="str">
        <f t="shared" si="4"/>
        <v/>
      </c>
      <c r="S68" t="str">
        <f t="shared" si="5"/>
        <v/>
      </c>
      <c r="T68" t="str">
        <f>IF($N68="","",IF(Sync!$N68="",0,Sync!$N68))</f>
        <v/>
      </c>
      <c r="U68" t="str">
        <f>IF($N68="","",IF(Sync!$O68="",0,Sync!$O68))</f>
        <v/>
      </c>
      <c r="V68" t="str">
        <f>IF($N68="","",Sync!$L68)</f>
        <v/>
      </c>
      <c r="W68" t="str">
        <f>IF($N68="","",Sync!$P68)</f>
        <v/>
      </c>
      <c r="AA68" t="str">
        <f>IF($A68="","",IF(COUNTIF($A$6:$A68,$A68)=1,1,0))</f>
        <v/>
      </c>
      <c r="AB68">
        <f>SUM($AA$6:$AA68)</f>
        <v>3</v>
      </c>
      <c r="AC68" t="str">
        <f t="shared" si="6"/>
        <v/>
      </c>
    </row>
    <row r="69" spans="1:29" x14ac:dyDescent="0.2">
      <c r="A69" t="str">
        <f>IF(OR(Entry!$B72="",Entry!$E72="",$E69="نامعتبر"),"",Entry!$E72)</f>
        <v/>
      </c>
      <c r="B69" t="str">
        <f>IF($A69="","",LEFT($E69,4)&amp;MID($E69,6,2)&amp;RIGHT($E69,2)&amp;$F69&amp;"|"&amp;"1"&amp;RIGHT("00000"&amp;64,5))</f>
        <v/>
      </c>
      <c r="C69" t="str">
        <f t="shared" si="0"/>
        <v/>
      </c>
      <c r="D69" t="str">
        <f t="shared" si="1"/>
        <v/>
      </c>
      <c r="E69" t="str">
        <f>IF(Entry!$B72="","",IF(ISNUMBER(Entry!$B72),IF(AND(Entry!$B72&gt;=10000101,Entry!$B72&lt;=99991231),INT(Entry!$B72/10000)&amp;"/"&amp;RIGHT("00"&amp;INT(MOD(Entry!$B72,10000)/100),2)&amp;"/"&amp;RIGHT("00"&amp;MOD(Entry!$B72,100),2),"نامعتبر"),IF(LEN(Entry!$B72)=10,Entry!$B72,"نامعتبر")))</f>
        <v/>
      </c>
      <c r="F69" t="str">
        <f>IF(Entry!$B72="","",IF(Entry!$C72="","0000",IF(AND(ISNUMBER(Entry!$C72),Entry!$C72&gt;=0,Entry!$C72&lt;1),RIGHT("00"&amp;HOUR(Entry!$C72),2)&amp;RIGHT("00"&amp;MINUTE(Entry!$C72),2),IFERROR(RIGHT("00"&amp;VALUE(LEFT(Entry!$C72,FIND(":",Entry!$C72)-1)),2)&amp;RIGHT("00"&amp;VALUE(MID(Entry!$C72,FIND(":",Entry!$C72)+1,2)),2),"0000"))))</f>
        <v/>
      </c>
      <c r="G69" t="str">
        <f>IF($A69="","",Entry!$G72)</f>
        <v/>
      </c>
      <c r="H69" t="str">
        <f>IF($A69="","",IF(Entry!$H72="",0,Entry!$H72))</f>
        <v/>
      </c>
      <c r="I69" t="str">
        <f>IF($A69="","",IF(Entry!$I72="",0,Entry!$I72))</f>
        <v/>
      </c>
      <c r="J69" t="str">
        <f t="shared" si="2"/>
        <v/>
      </c>
      <c r="K69" t="str">
        <f>IF($A69="","",Entry!$D72)</f>
        <v/>
      </c>
      <c r="L69" t="str">
        <f>IF($A69="","",Entry!$L72)</f>
        <v/>
      </c>
      <c r="N69" t="str">
        <f>IF(OR(Sync!$M69="",$Q69="",$Q69="نامعتبر"),"",Sync!$M69)</f>
        <v/>
      </c>
      <c r="O69" t="str">
        <f t="shared" si="3"/>
        <v/>
      </c>
      <c r="P69" t="str">
        <f>IF($N69="","",LEFT($Q69,4)&amp;MID($Q69,6,2)&amp;RIGHT($Q69,2)&amp;IF(Sync!$K69="","0000",IF(AND(ISNUMBER(Sync!$K69),Sync!$K69&gt;=0,Sync!$K69&lt;1),RIGHT("00"&amp;HOUR(Sync!$K69),2)&amp;RIGHT("00"&amp;MINUTE(Sync!$K69),2),IFERROR(RIGHT("00"&amp;VALUE(LEFT(Sync!$K69,FIND(":",Sync!$K69)-1)),2)&amp;RIGHT("00"&amp;VALUE(MID(Sync!$K69,FIND(":",Sync!$K69)+1,2)),2),"0000")))&amp;"|"&amp;"2"&amp;RIGHT("00000"&amp;64,5))</f>
        <v/>
      </c>
      <c r="Q69" t="str">
        <f>IF(Sync!$J69="","",IF(ISNUMBER(Sync!$J69),IF(AND(Sync!$J69&gt;=10000101,Sync!$J69&lt;=99991231),INT(Sync!$J69/10000)&amp;"/"&amp;RIGHT("00"&amp;INT(MOD(Sync!$J69,10000)/100),2)&amp;"/"&amp;RIGHT("00"&amp;MOD(Sync!$J69,100),2),"نامعتبر"),IF(LEN(Sync!$J69)=10,Sync!$J69,"نامعتبر")))</f>
        <v/>
      </c>
      <c r="R69" t="str">
        <f t="shared" si="4"/>
        <v/>
      </c>
      <c r="S69" t="str">
        <f t="shared" si="5"/>
        <v/>
      </c>
      <c r="T69" t="str">
        <f>IF($N69="","",IF(Sync!$N69="",0,Sync!$N69))</f>
        <v/>
      </c>
      <c r="U69" t="str">
        <f>IF($N69="","",IF(Sync!$O69="",0,Sync!$O69))</f>
        <v/>
      </c>
      <c r="V69" t="str">
        <f>IF($N69="","",Sync!$L69)</f>
        <v/>
      </c>
      <c r="W69" t="str">
        <f>IF($N69="","",Sync!$P69)</f>
        <v/>
      </c>
      <c r="AA69" t="str">
        <f>IF($A69="","",IF(COUNTIF($A$6:$A69,$A69)=1,1,0))</f>
        <v/>
      </c>
      <c r="AB69">
        <f>SUM($AA$6:$AA69)</f>
        <v>3</v>
      </c>
      <c r="AC69" t="str">
        <f t="shared" si="6"/>
        <v/>
      </c>
    </row>
    <row r="70" spans="1:29" x14ac:dyDescent="0.2">
      <c r="A70" t="str">
        <f>IF(OR(Entry!$B73="",Entry!$E73="",$E70="نامعتبر"),"",Entry!$E73)</f>
        <v/>
      </c>
      <c r="B70" t="str">
        <f>IF($A70="","",LEFT($E70,4)&amp;MID($E70,6,2)&amp;RIGHT($E70,2)&amp;$F70&amp;"|"&amp;"1"&amp;RIGHT("00000"&amp;65,5))</f>
        <v/>
      </c>
      <c r="C70" t="str">
        <f t="shared" ref="C70:C133" si="7">IF($B70="","",COUNTIFS($A$6:$A$1005,$A70,$B$6:$B$1005,"&lt;"&amp;$B70)+COUNTIFS($N$6:$N$2005,$A70,$P$6:$P$2005,"&lt;"&amp;$B70)+1)</f>
        <v/>
      </c>
      <c r="D70" t="str">
        <f t="shared" ref="D70:D133" si="8">IF($C70="","",$A70&amp;"|"&amp;RIGHT("000000"&amp;$C70,6))</f>
        <v/>
      </c>
      <c r="E70" t="str">
        <f>IF(Entry!$B73="","",IF(ISNUMBER(Entry!$B73),IF(AND(Entry!$B73&gt;=10000101,Entry!$B73&lt;=99991231),INT(Entry!$B73/10000)&amp;"/"&amp;RIGHT("00"&amp;INT(MOD(Entry!$B73,10000)/100),2)&amp;"/"&amp;RIGHT("00"&amp;MOD(Entry!$B73,100),2),"نامعتبر"),IF(LEN(Entry!$B73)=10,Entry!$B73,"نامعتبر")))</f>
        <v/>
      </c>
      <c r="F70" t="str">
        <f>IF(Entry!$B73="","",IF(Entry!$C73="","0000",IF(AND(ISNUMBER(Entry!$C73),Entry!$C73&gt;=0,Entry!$C73&lt;1),RIGHT("00"&amp;HOUR(Entry!$C73),2)&amp;RIGHT("00"&amp;MINUTE(Entry!$C73),2),IFERROR(RIGHT("00"&amp;VALUE(LEFT(Entry!$C73,FIND(":",Entry!$C73)-1)),2)&amp;RIGHT("00"&amp;VALUE(MID(Entry!$C73,FIND(":",Entry!$C73)+1,2)),2),"0000"))))</f>
        <v/>
      </c>
      <c r="G70" t="str">
        <f>IF($A70="","",Entry!$G73)</f>
        <v/>
      </c>
      <c r="H70" t="str">
        <f>IF($A70="","",IF(Entry!$H73="",0,Entry!$H73))</f>
        <v/>
      </c>
      <c r="I70" t="str">
        <f>IF($A70="","",IF(Entry!$I73="",0,Entry!$I73))</f>
        <v/>
      </c>
      <c r="J70" t="str">
        <f t="shared" ref="J70:J133" si="9">IF($A70="","",ROUND($H70*$I70,0))</f>
        <v/>
      </c>
      <c r="K70" t="str">
        <f>IF($A70="","",Entry!$D73)</f>
        <v/>
      </c>
      <c r="L70" t="str">
        <f>IF($A70="","",Entry!$L73)</f>
        <v/>
      </c>
      <c r="N70" t="str">
        <f>IF(OR(Sync!$M70="",$Q70="",$Q70="نامعتبر"),"",Sync!$M70)</f>
        <v/>
      </c>
      <c r="O70" t="str">
        <f t="shared" ref="O70:O133" si="10">IF($N70="","",$Q70)</f>
        <v/>
      </c>
      <c r="P70" t="str">
        <f>IF($N70="","",LEFT($Q70,4)&amp;MID($Q70,6,2)&amp;RIGHT($Q70,2)&amp;IF(Sync!$K70="","0000",IF(AND(ISNUMBER(Sync!$K70),Sync!$K70&gt;=0,Sync!$K70&lt;1),RIGHT("00"&amp;HOUR(Sync!$K70),2)&amp;RIGHT("00"&amp;MINUTE(Sync!$K70),2),IFERROR(RIGHT("00"&amp;VALUE(LEFT(Sync!$K70,FIND(":",Sync!$K70)-1)),2)&amp;RIGHT("00"&amp;VALUE(MID(Sync!$K70,FIND(":",Sync!$K70)+1,2)),2),"0000")))&amp;"|"&amp;"2"&amp;RIGHT("00000"&amp;65,5))</f>
        <v/>
      </c>
      <c r="Q70" t="str">
        <f>IF(Sync!$J70="","",IF(ISNUMBER(Sync!$J70),IF(AND(Sync!$J70&gt;=10000101,Sync!$J70&lt;=99991231),INT(Sync!$J70/10000)&amp;"/"&amp;RIGHT("00"&amp;INT(MOD(Sync!$J70,10000)/100),2)&amp;"/"&amp;RIGHT("00"&amp;MOD(Sync!$J70,100),2),"نامعتبر"),IF(LEN(Sync!$J70)=10,Sync!$J70,"نامعتبر")))</f>
        <v/>
      </c>
      <c r="R70" t="str">
        <f t="shared" ref="R70:R133" si="11">IF($P70="","",COUNTIFS($N$6:$N$2005,$N70,$P$6:$P$2005,"&lt;"&amp;$P70)+COUNTIFS($A$6:$A$1005,$N70,$B$6:$B$1005,"&lt;"&amp;$P70)+1)</f>
        <v/>
      </c>
      <c r="S70" t="str">
        <f t="shared" ref="S70:S133" si="12">IF($N70="","",$N70&amp;"|"&amp;RIGHT("000000"&amp;$R70,6))</f>
        <v/>
      </c>
      <c r="T70" t="str">
        <f>IF($N70="","",IF(Sync!$N70="",0,Sync!$N70))</f>
        <v/>
      </c>
      <c r="U70" t="str">
        <f>IF($N70="","",IF(Sync!$O70="",0,Sync!$O70))</f>
        <v/>
      </c>
      <c r="V70" t="str">
        <f>IF($N70="","",Sync!$L70)</f>
        <v/>
      </c>
      <c r="W70" t="str">
        <f>IF($N70="","",Sync!$P70)</f>
        <v/>
      </c>
      <c r="AA70" t="str">
        <f>IF($A70="","",IF(COUNTIF($A$6:$A70,$A70)=1,1,0))</f>
        <v/>
      </c>
      <c r="AB70">
        <f>SUM($AA$6:$AA70)</f>
        <v>3</v>
      </c>
      <c r="AC70" t="str">
        <f t="shared" ref="AC70:AC133" si="13">IFERROR(INDEX($A$6:$A$1005,MATCH(ROW()-5,$AB$6:$AB$1005,0)),"")</f>
        <v/>
      </c>
    </row>
    <row r="71" spans="1:29" x14ac:dyDescent="0.2">
      <c r="A71" t="str">
        <f>IF(OR(Entry!$B74="",Entry!$E74="",$E71="نامعتبر"),"",Entry!$E74)</f>
        <v/>
      </c>
      <c r="B71" t="str">
        <f>IF($A71="","",LEFT($E71,4)&amp;MID($E71,6,2)&amp;RIGHT($E71,2)&amp;$F71&amp;"|"&amp;"1"&amp;RIGHT("00000"&amp;66,5))</f>
        <v/>
      </c>
      <c r="C71" t="str">
        <f t="shared" si="7"/>
        <v/>
      </c>
      <c r="D71" t="str">
        <f t="shared" si="8"/>
        <v/>
      </c>
      <c r="E71" t="str">
        <f>IF(Entry!$B74="","",IF(ISNUMBER(Entry!$B74),IF(AND(Entry!$B74&gt;=10000101,Entry!$B74&lt;=99991231),INT(Entry!$B74/10000)&amp;"/"&amp;RIGHT("00"&amp;INT(MOD(Entry!$B74,10000)/100),2)&amp;"/"&amp;RIGHT("00"&amp;MOD(Entry!$B74,100),2),"نامعتبر"),IF(LEN(Entry!$B74)=10,Entry!$B74,"نامعتبر")))</f>
        <v/>
      </c>
      <c r="F71" t="str">
        <f>IF(Entry!$B74="","",IF(Entry!$C74="","0000",IF(AND(ISNUMBER(Entry!$C74),Entry!$C74&gt;=0,Entry!$C74&lt;1),RIGHT("00"&amp;HOUR(Entry!$C74),2)&amp;RIGHT("00"&amp;MINUTE(Entry!$C74),2),IFERROR(RIGHT("00"&amp;VALUE(LEFT(Entry!$C74,FIND(":",Entry!$C74)-1)),2)&amp;RIGHT("00"&amp;VALUE(MID(Entry!$C74,FIND(":",Entry!$C74)+1,2)),2),"0000"))))</f>
        <v/>
      </c>
      <c r="G71" t="str">
        <f>IF($A71="","",Entry!$G74)</f>
        <v/>
      </c>
      <c r="H71" t="str">
        <f>IF($A71="","",IF(Entry!$H74="",0,Entry!$H74))</f>
        <v/>
      </c>
      <c r="I71" t="str">
        <f>IF($A71="","",IF(Entry!$I74="",0,Entry!$I74))</f>
        <v/>
      </c>
      <c r="J71" t="str">
        <f t="shared" si="9"/>
        <v/>
      </c>
      <c r="K71" t="str">
        <f>IF($A71="","",Entry!$D74)</f>
        <v/>
      </c>
      <c r="L71" t="str">
        <f>IF($A71="","",Entry!$L74)</f>
        <v/>
      </c>
      <c r="N71" t="str">
        <f>IF(OR(Sync!$M71="",$Q71="",$Q71="نامعتبر"),"",Sync!$M71)</f>
        <v/>
      </c>
      <c r="O71" t="str">
        <f t="shared" si="10"/>
        <v/>
      </c>
      <c r="P71" t="str">
        <f>IF($N71="","",LEFT($Q71,4)&amp;MID($Q71,6,2)&amp;RIGHT($Q71,2)&amp;IF(Sync!$K71="","0000",IF(AND(ISNUMBER(Sync!$K71),Sync!$K71&gt;=0,Sync!$K71&lt;1),RIGHT("00"&amp;HOUR(Sync!$K71),2)&amp;RIGHT("00"&amp;MINUTE(Sync!$K71),2),IFERROR(RIGHT("00"&amp;VALUE(LEFT(Sync!$K71,FIND(":",Sync!$K71)-1)),2)&amp;RIGHT("00"&amp;VALUE(MID(Sync!$K71,FIND(":",Sync!$K71)+1,2)),2),"0000")))&amp;"|"&amp;"2"&amp;RIGHT("00000"&amp;66,5))</f>
        <v/>
      </c>
      <c r="Q71" t="str">
        <f>IF(Sync!$J71="","",IF(ISNUMBER(Sync!$J71),IF(AND(Sync!$J71&gt;=10000101,Sync!$J71&lt;=99991231),INT(Sync!$J71/10000)&amp;"/"&amp;RIGHT("00"&amp;INT(MOD(Sync!$J71,10000)/100),2)&amp;"/"&amp;RIGHT("00"&amp;MOD(Sync!$J71,100),2),"نامعتبر"),IF(LEN(Sync!$J71)=10,Sync!$J71,"نامعتبر")))</f>
        <v/>
      </c>
      <c r="R71" t="str">
        <f t="shared" si="11"/>
        <v/>
      </c>
      <c r="S71" t="str">
        <f t="shared" si="12"/>
        <v/>
      </c>
      <c r="T71" t="str">
        <f>IF($N71="","",IF(Sync!$N71="",0,Sync!$N71))</f>
        <v/>
      </c>
      <c r="U71" t="str">
        <f>IF($N71="","",IF(Sync!$O71="",0,Sync!$O71))</f>
        <v/>
      </c>
      <c r="V71" t="str">
        <f>IF($N71="","",Sync!$L71)</f>
        <v/>
      </c>
      <c r="W71" t="str">
        <f>IF($N71="","",Sync!$P71)</f>
        <v/>
      </c>
      <c r="AA71" t="str">
        <f>IF($A71="","",IF(COUNTIF($A$6:$A71,$A71)=1,1,0))</f>
        <v/>
      </c>
      <c r="AB71">
        <f>SUM($AA$6:$AA71)</f>
        <v>3</v>
      </c>
      <c r="AC71" t="str">
        <f t="shared" si="13"/>
        <v/>
      </c>
    </row>
    <row r="72" spans="1:29" x14ac:dyDescent="0.2">
      <c r="A72" t="str">
        <f>IF(OR(Entry!$B75="",Entry!$E75="",$E72="نامعتبر"),"",Entry!$E75)</f>
        <v/>
      </c>
      <c r="B72" t="str">
        <f>IF($A72="","",LEFT($E72,4)&amp;MID($E72,6,2)&amp;RIGHT($E72,2)&amp;$F72&amp;"|"&amp;"1"&amp;RIGHT("00000"&amp;67,5))</f>
        <v/>
      </c>
      <c r="C72" t="str">
        <f t="shared" si="7"/>
        <v/>
      </c>
      <c r="D72" t="str">
        <f t="shared" si="8"/>
        <v/>
      </c>
      <c r="E72" t="str">
        <f>IF(Entry!$B75="","",IF(ISNUMBER(Entry!$B75),IF(AND(Entry!$B75&gt;=10000101,Entry!$B75&lt;=99991231),INT(Entry!$B75/10000)&amp;"/"&amp;RIGHT("00"&amp;INT(MOD(Entry!$B75,10000)/100),2)&amp;"/"&amp;RIGHT("00"&amp;MOD(Entry!$B75,100),2),"نامعتبر"),IF(LEN(Entry!$B75)=10,Entry!$B75,"نامعتبر")))</f>
        <v/>
      </c>
      <c r="F72" t="str">
        <f>IF(Entry!$B75="","",IF(Entry!$C75="","0000",IF(AND(ISNUMBER(Entry!$C75),Entry!$C75&gt;=0,Entry!$C75&lt;1),RIGHT("00"&amp;HOUR(Entry!$C75),2)&amp;RIGHT("00"&amp;MINUTE(Entry!$C75),2),IFERROR(RIGHT("00"&amp;VALUE(LEFT(Entry!$C75,FIND(":",Entry!$C75)-1)),2)&amp;RIGHT("00"&amp;VALUE(MID(Entry!$C75,FIND(":",Entry!$C75)+1,2)),2),"0000"))))</f>
        <v/>
      </c>
      <c r="G72" t="str">
        <f>IF($A72="","",Entry!$G75)</f>
        <v/>
      </c>
      <c r="H72" t="str">
        <f>IF($A72="","",IF(Entry!$H75="",0,Entry!$H75))</f>
        <v/>
      </c>
      <c r="I72" t="str">
        <f>IF($A72="","",IF(Entry!$I75="",0,Entry!$I75))</f>
        <v/>
      </c>
      <c r="J72" t="str">
        <f t="shared" si="9"/>
        <v/>
      </c>
      <c r="K72" t="str">
        <f>IF($A72="","",Entry!$D75)</f>
        <v/>
      </c>
      <c r="L72" t="str">
        <f>IF($A72="","",Entry!$L75)</f>
        <v/>
      </c>
      <c r="N72" t="str">
        <f>IF(OR(Sync!$M72="",$Q72="",$Q72="نامعتبر"),"",Sync!$M72)</f>
        <v/>
      </c>
      <c r="O72" t="str">
        <f t="shared" si="10"/>
        <v/>
      </c>
      <c r="P72" t="str">
        <f>IF($N72="","",LEFT($Q72,4)&amp;MID($Q72,6,2)&amp;RIGHT($Q72,2)&amp;IF(Sync!$K72="","0000",IF(AND(ISNUMBER(Sync!$K72),Sync!$K72&gt;=0,Sync!$K72&lt;1),RIGHT("00"&amp;HOUR(Sync!$K72),2)&amp;RIGHT("00"&amp;MINUTE(Sync!$K72),2),IFERROR(RIGHT("00"&amp;VALUE(LEFT(Sync!$K72,FIND(":",Sync!$K72)-1)),2)&amp;RIGHT("00"&amp;VALUE(MID(Sync!$K72,FIND(":",Sync!$K72)+1,2)),2),"0000")))&amp;"|"&amp;"2"&amp;RIGHT("00000"&amp;67,5))</f>
        <v/>
      </c>
      <c r="Q72" t="str">
        <f>IF(Sync!$J72="","",IF(ISNUMBER(Sync!$J72),IF(AND(Sync!$J72&gt;=10000101,Sync!$J72&lt;=99991231),INT(Sync!$J72/10000)&amp;"/"&amp;RIGHT("00"&amp;INT(MOD(Sync!$J72,10000)/100),2)&amp;"/"&amp;RIGHT("00"&amp;MOD(Sync!$J72,100),2),"نامعتبر"),IF(LEN(Sync!$J72)=10,Sync!$J72,"نامعتبر")))</f>
        <v/>
      </c>
      <c r="R72" t="str">
        <f t="shared" si="11"/>
        <v/>
      </c>
      <c r="S72" t="str">
        <f t="shared" si="12"/>
        <v/>
      </c>
      <c r="T72" t="str">
        <f>IF($N72="","",IF(Sync!$N72="",0,Sync!$N72))</f>
        <v/>
      </c>
      <c r="U72" t="str">
        <f>IF($N72="","",IF(Sync!$O72="",0,Sync!$O72))</f>
        <v/>
      </c>
      <c r="V72" t="str">
        <f>IF($N72="","",Sync!$L72)</f>
        <v/>
      </c>
      <c r="W72" t="str">
        <f>IF($N72="","",Sync!$P72)</f>
        <v/>
      </c>
      <c r="AA72" t="str">
        <f>IF($A72="","",IF(COUNTIF($A$6:$A72,$A72)=1,1,0))</f>
        <v/>
      </c>
      <c r="AB72">
        <f>SUM($AA$6:$AA72)</f>
        <v>3</v>
      </c>
      <c r="AC72" t="str">
        <f t="shared" si="13"/>
        <v/>
      </c>
    </row>
    <row r="73" spans="1:29" x14ac:dyDescent="0.2">
      <c r="A73" t="str">
        <f>IF(OR(Entry!$B76="",Entry!$E76="",$E73="نامعتبر"),"",Entry!$E76)</f>
        <v/>
      </c>
      <c r="B73" t="str">
        <f>IF($A73="","",LEFT($E73,4)&amp;MID($E73,6,2)&amp;RIGHT($E73,2)&amp;$F73&amp;"|"&amp;"1"&amp;RIGHT("00000"&amp;68,5))</f>
        <v/>
      </c>
      <c r="C73" t="str">
        <f t="shared" si="7"/>
        <v/>
      </c>
      <c r="D73" t="str">
        <f t="shared" si="8"/>
        <v/>
      </c>
      <c r="E73" t="str">
        <f>IF(Entry!$B76="","",IF(ISNUMBER(Entry!$B76),IF(AND(Entry!$B76&gt;=10000101,Entry!$B76&lt;=99991231),INT(Entry!$B76/10000)&amp;"/"&amp;RIGHT("00"&amp;INT(MOD(Entry!$B76,10000)/100),2)&amp;"/"&amp;RIGHT("00"&amp;MOD(Entry!$B76,100),2),"نامعتبر"),IF(LEN(Entry!$B76)=10,Entry!$B76,"نامعتبر")))</f>
        <v/>
      </c>
      <c r="F73" t="str">
        <f>IF(Entry!$B76="","",IF(Entry!$C76="","0000",IF(AND(ISNUMBER(Entry!$C76),Entry!$C76&gt;=0,Entry!$C76&lt;1),RIGHT("00"&amp;HOUR(Entry!$C76),2)&amp;RIGHT("00"&amp;MINUTE(Entry!$C76),2),IFERROR(RIGHT("00"&amp;VALUE(LEFT(Entry!$C76,FIND(":",Entry!$C76)-1)),2)&amp;RIGHT("00"&amp;VALUE(MID(Entry!$C76,FIND(":",Entry!$C76)+1,2)),2),"0000"))))</f>
        <v/>
      </c>
      <c r="G73" t="str">
        <f>IF($A73="","",Entry!$G76)</f>
        <v/>
      </c>
      <c r="H73" t="str">
        <f>IF($A73="","",IF(Entry!$H76="",0,Entry!$H76))</f>
        <v/>
      </c>
      <c r="I73" t="str">
        <f>IF($A73="","",IF(Entry!$I76="",0,Entry!$I76))</f>
        <v/>
      </c>
      <c r="J73" t="str">
        <f t="shared" si="9"/>
        <v/>
      </c>
      <c r="K73" t="str">
        <f>IF($A73="","",Entry!$D76)</f>
        <v/>
      </c>
      <c r="L73" t="str">
        <f>IF($A73="","",Entry!$L76)</f>
        <v/>
      </c>
      <c r="N73" t="str">
        <f>IF(OR(Sync!$M73="",$Q73="",$Q73="نامعتبر"),"",Sync!$M73)</f>
        <v/>
      </c>
      <c r="O73" t="str">
        <f t="shared" si="10"/>
        <v/>
      </c>
      <c r="P73" t="str">
        <f>IF($N73="","",LEFT($Q73,4)&amp;MID($Q73,6,2)&amp;RIGHT($Q73,2)&amp;IF(Sync!$K73="","0000",IF(AND(ISNUMBER(Sync!$K73),Sync!$K73&gt;=0,Sync!$K73&lt;1),RIGHT("00"&amp;HOUR(Sync!$K73),2)&amp;RIGHT("00"&amp;MINUTE(Sync!$K73),2),IFERROR(RIGHT("00"&amp;VALUE(LEFT(Sync!$K73,FIND(":",Sync!$K73)-1)),2)&amp;RIGHT("00"&amp;VALUE(MID(Sync!$K73,FIND(":",Sync!$K73)+1,2)),2),"0000")))&amp;"|"&amp;"2"&amp;RIGHT("00000"&amp;68,5))</f>
        <v/>
      </c>
      <c r="Q73" t="str">
        <f>IF(Sync!$J73="","",IF(ISNUMBER(Sync!$J73),IF(AND(Sync!$J73&gt;=10000101,Sync!$J73&lt;=99991231),INT(Sync!$J73/10000)&amp;"/"&amp;RIGHT("00"&amp;INT(MOD(Sync!$J73,10000)/100),2)&amp;"/"&amp;RIGHT("00"&amp;MOD(Sync!$J73,100),2),"نامعتبر"),IF(LEN(Sync!$J73)=10,Sync!$J73,"نامعتبر")))</f>
        <v/>
      </c>
      <c r="R73" t="str">
        <f t="shared" si="11"/>
        <v/>
      </c>
      <c r="S73" t="str">
        <f t="shared" si="12"/>
        <v/>
      </c>
      <c r="T73" t="str">
        <f>IF($N73="","",IF(Sync!$N73="",0,Sync!$N73))</f>
        <v/>
      </c>
      <c r="U73" t="str">
        <f>IF($N73="","",IF(Sync!$O73="",0,Sync!$O73))</f>
        <v/>
      </c>
      <c r="V73" t="str">
        <f>IF($N73="","",Sync!$L73)</f>
        <v/>
      </c>
      <c r="W73" t="str">
        <f>IF($N73="","",Sync!$P73)</f>
        <v/>
      </c>
      <c r="AA73" t="str">
        <f>IF($A73="","",IF(COUNTIF($A$6:$A73,$A73)=1,1,0))</f>
        <v/>
      </c>
      <c r="AB73">
        <f>SUM($AA$6:$AA73)</f>
        <v>3</v>
      </c>
      <c r="AC73" t="str">
        <f t="shared" si="13"/>
        <v/>
      </c>
    </row>
    <row r="74" spans="1:29" x14ac:dyDescent="0.2">
      <c r="A74" t="str">
        <f>IF(OR(Entry!$B77="",Entry!$E77="",$E74="نامعتبر"),"",Entry!$E77)</f>
        <v/>
      </c>
      <c r="B74" t="str">
        <f>IF($A74="","",LEFT($E74,4)&amp;MID($E74,6,2)&amp;RIGHT($E74,2)&amp;$F74&amp;"|"&amp;"1"&amp;RIGHT("00000"&amp;69,5))</f>
        <v/>
      </c>
      <c r="C74" t="str">
        <f t="shared" si="7"/>
        <v/>
      </c>
      <c r="D74" t="str">
        <f t="shared" si="8"/>
        <v/>
      </c>
      <c r="E74" t="str">
        <f>IF(Entry!$B77="","",IF(ISNUMBER(Entry!$B77),IF(AND(Entry!$B77&gt;=10000101,Entry!$B77&lt;=99991231),INT(Entry!$B77/10000)&amp;"/"&amp;RIGHT("00"&amp;INT(MOD(Entry!$B77,10000)/100),2)&amp;"/"&amp;RIGHT("00"&amp;MOD(Entry!$B77,100),2),"نامعتبر"),IF(LEN(Entry!$B77)=10,Entry!$B77,"نامعتبر")))</f>
        <v/>
      </c>
      <c r="F74" t="str">
        <f>IF(Entry!$B77="","",IF(Entry!$C77="","0000",IF(AND(ISNUMBER(Entry!$C77),Entry!$C77&gt;=0,Entry!$C77&lt;1),RIGHT("00"&amp;HOUR(Entry!$C77),2)&amp;RIGHT("00"&amp;MINUTE(Entry!$C77),2),IFERROR(RIGHT("00"&amp;VALUE(LEFT(Entry!$C77,FIND(":",Entry!$C77)-1)),2)&amp;RIGHT("00"&amp;VALUE(MID(Entry!$C77,FIND(":",Entry!$C77)+1,2)),2),"0000"))))</f>
        <v/>
      </c>
      <c r="G74" t="str">
        <f>IF($A74="","",Entry!$G77)</f>
        <v/>
      </c>
      <c r="H74" t="str">
        <f>IF($A74="","",IF(Entry!$H77="",0,Entry!$H77))</f>
        <v/>
      </c>
      <c r="I74" t="str">
        <f>IF($A74="","",IF(Entry!$I77="",0,Entry!$I77))</f>
        <v/>
      </c>
      <c r="J74" t="str">
        <f t="shared" si="9"/>
        <v/>
      </c>
      <c r="K74" t="str">
        <f>IF($A74="","",Entry!$D77)</f>
        <v/>
      </c>
      <c r="L74" t="str">
        <f>IF($A74="","",Entry!$L77)</f>
        <v/>
      </c>
      <c r="N74" t="str">
        <f>IF(OR(Sync!$M74="",$Q74="",$Q74="نامعتبر"),"",Sync!$M74)</f>
        <v/>
      </c>
      <c r="O74" t="str">
        <f t="shared" si="10"/>
        <v/>
      </c>
      <c r="P74" t="str">
        <f>IF($N74="","",LEFT($Q74,4)&amp;MID($Q74,6,2)&amp;RIGHT($Q74,2)&amp;IF(Sync!$K74="","0000",IF(AND(ISNUMBER(Sync!$K74),Sync!$K74&gt;=0,Sync!$K74&lt;1),RIGHT("00"&amp;HOUR(Sync!$K74),2)&amp;RIGHT("00"&amp;MINUTE(Sync!$K74),2),IFERROR(RIGHT("00"&amp;VALUE(LEFT(Sync!$K74,FIND(":",Sync!$K74)-1)),2)&amp;RIGHT("00"&amp;VALUE(MID(Sync!$K74,FIND(":",Sync!$K74)+1,2)),2),"0000")))&amp;"|"&amp;"2"&amp;RIGHT("00000"&amp;69,5))</f>
        <v/>
      </c>
      <c r="Q74" t="str">
        <f>IF(Sync!$J74="","",IF(ISNUMBER(Sync!$J74),IF(AND(Sync!$J74&gt;=10000101,Sync!$J74&lt;=99991231),INT(Sync!$J74/10000)&amp;"/"&amp;RIGHT("00"&amp;INT(MOD(Sync!$J74,10000)/100),2)&amp;"/"&amp;RIGHT("00"&amp;MOD(Sync!$J74,100),2),"نامعتبر"),IF(LEN(Sync!$J74)=10,Sync!$J74,"نامعتبر")))</f>
        <v/>
      </c>
      <c r="R74" t="str">
        <f t="shared" si="11"/>
        <v/>
      </c>
      <c r="S74" t="str">
        <f t="shared" si="12"/>
        <v/>
      </c>
      <c r="T74" t="str">
        <f>IF($N74="","",IF(Sync!$N74="",0,Sync!$N74))</f>
        <v/>
      </c>
      <c r="U74" t="str">
        <f>IF($N74="","",IF(Sync!$O74="",0,Sync!$O74))</f>
        <v/>
      </c>
      <c r="V74" t="str">
        <f>IF($N74="","",Sync!$L74)</f>
        <v/>
      </c>
      <c r="W74" t="str">
        <f>IF($N74="","",Sync!$P74)</f>
        <v/>
      </c>
      <c r="AA74" t="str">
        <f>IF($A74="","",IF(COUNTIF($A$6:$A74,$A74)=1,1,0))</f>
        <v/>
      </c>
      <c r="AB74">
        <f>SUM($AA$6:$AA74)</f>
        <v>3</v>
      </c>
      <c r="AC74" t="str">
        <f t="shared" si="13"/>
        <v/>
      </c>
    </row>
    <row r="75" spans="1:29" x14ac:dyDescent="0.2">
      <c r="A75" t="str">
        <f>IF(OR(Entry!$B78="",Entry!$E78="",$E75="نامعتبر"),"",Entry!$E78)</f>
        <v/>
      </c>
      <c r="B75" t="str">
        <f>IF($A75="","",LEFT($E75,4)&amp;MID($E75,6,2)&amp;RIGHT($E75,2)&amp;$F75&amp;"|"&amp;"1"&amp;RIGHT("00000"&amp;70,5))</f>
        <v/>
      </c>
      <c r="C75" t="str">
        <f t="shared" si="7"/>
        <v/>
      </c>
      <c r="D75" t="str">
        <f t="shared" si="8"/>
        <v/>
      </c>
      <c r="E75" t="str">
        <f>IF(Entry!$B78="","",IF(ISNUMBER(Entry!$B78),IF(AND(Entry!$B78&gt;=10000101,Entry!$B78&lt;=99991231),INT(Entry!$B78/10000)&amp;"/"&amp;RIGHT("00"&amp;INT(MOD(Entry!$B78,10000)/100),2)&amp;"/"&amp;RIGHT("00"&amp;MOD(Entry!$B78,100),2),"نامعتبر"),IF(LEN(Entry!$B78)=10,Entry!$B78,"نامعتبر")))</f>
        <v/>
      </c>
      <c r="F75" t="str">
        <f>IF(Entry!$B78="","",IF(Entry!$C78="","0000",IF(AND(ISNUMBER(Entry!$C78),Entry!$C78&gt;=0,Entry!$C78&lt;1),RIGHT("00"&amp;HOUR(Entry!$C78),2)&amp;RIGHT("00"&amp;MINUTE(Entry!$C78),2),IFERROR(RIGHT("00"&amp;VALUE(LEFT(Entry!$C78,FIND(":",Entry!$C78)-1)),2)&amp;RIGHT("00"&amp;VALUE(MID(Entry!$C78,FIND(":",Entry!$C78)+1,2)),2),"0000"))))</f>
        <v/>
      </c>
      <c r="G75" t="str">
        <f>IF($A75="","",Entry!$G78)</f>
        <v/>
      </c>
      <c r="H75" t="str">
        <f>IF($A75="","",IF(Entry!$H78="",0,Entry!$H78))</f>
        <v/>
      </c>
      <c r="I75" t="str">
        <f>IF($A75="","",IF(Entry!$I78="",0,Entry!$I78))</f>
        <v/>
      </c>
      <c r="J75" t="str">
        <f t="shared" si="9"/>
        <v/>
      </c>
      <c r="K75" t="str">
        <f>IF($A75="","",Entry!$D78)</f>
        <v/>
      </c>
      <c r="L75" t="str">
        <f>IF($A75="","",Entry!$L78)</f>
        <v/>
      </c>
      <c r="N75" t="str">
        <f>IF(OR(Sync!$M75="",$Q75="",$Q75="نامعتبر"),"",Sync!$M75)</f>
        <v/>
      </c>
      <c r="O75" t="str">
        <f t="shared" si="10"/>
        <v/>
      </c>
      <c r="P75" t="str">
        <f>IF($N75="","",LEFT($Q75,4)&amp;MID($Q75,6,2)&amp;RIGHT($Q75,2)&amp;IF(Sync!$K75="","0000",IF(AND(ISNUMBER(Sync!$K75),Sync!$K75&gt;=0,Sync!$K75&lt;1),RIGHT("00"&amp;HOUR(Sync!$K75),2)&amp;RIGHT("00"&amp;MINUTE(Sync!$K75),2),IFERROR(RIGHT("00"&amp;VALUE(LEFT(Sync!$K75,FIND(":",Sync!$K75)-1)),2)&amp;RIGHT("00"&amp;VALUE(MID(Sync!$K75,FIND(":",Sync!$K75)+1,2)),2),"0000")))&amp;"|"&amp;"2"&amp;RIGHT("00000"&amp;70,5))</f>
        <v/>
      </c>
      <c r="Q75" t="str">
        <f>IF(Sync!$J75="","",IF(ISNUMBER(Sync!$J75),IF(AND(Sync!$J75&gt;=10000101,Sync!$J75&lt;=99991231),INT(Sync!$J75/10000)&amp;"/"&amp;RIGHT("00"&amp;INT(MOD(Sync!$J75,10000)/100),2)&amp;"/"&amp;RIGHT("00"&amp;MOD(Sync!$J75,100),2),"نامعتبر"),IF(LEN(Sync!$J75)=10,Sync!$J75,"نامعتبر")))</f>
        <v/>
      </c>
      <c r="R75" t="str">
        <f t="shared" si="11"/>
        <v/>
      </c>
      <c r="S75" t="str">
        <f t="shared" si="12"/>
        <v/>
      </c>
      <c r="T75" t="str">
        <f>IF($N75="","",IF(Sync!$N75="",0,Sync!$N75))</f>
        <v/>
      </c>
      <c r="U75" t="str">
        <f>IF($N75="","",IF(Sync!$O75="",0,Sync!$O75))</f>
        <v/>
      </c>
      <c r="V75" t="str">
        <f>IF($N75="","",Sync!$L75)</f>
        <v/>
      </c>
      <c r="W75" t="str">
        <f>IF($N75="","",Sync!$P75)</f>
        <v/>
      </c>
      <c r="AA75" t="str">
        <f>IF($A75="","",IF(COUNTIF($A$6:$A75,$A75)=1,1,0))</f>
        <v/>
      </c>
      <c r="AB75">
        <f>SUM($AA$6:$AA75)</f>
        <v>3</v>
      </c>
      <c r="AC75" t="str">
        <f t="shared" si="13"/>
        <v/>
      </c>
    </row>
    <row r="76" spans="1:29" x14ac:dyDescent="0.2">
      <c r="A76" t="str">
        <f>IF(OR(Entry!$B79="",Entry!$E79="",$E76="نامعتبر"),"",Entry!$E79)</f>
        <v/>
      </c>
      <c r="B76" t="str">
        <f>IF($A76="","",LEFT($E76,4)&amp;MID($E76,6,2)&amp;RIGHT($E76,2)&amp;$F76&amp;"|"&amp;"1"&amp;RIGHT("00000"&amp;71,5))</f>
        <v/>
      </c>
      <c r="C76" t="str">
        <f t="shared" si="7"/>
        <v/>
      </c>
      <c r="D76" t="str">
        <f t="shared" si="8"/>
        <v/>
      </c>
      <c r="E76" t="str">
        <f>IF(Entry!$B79="","",IF(ISNUMBER(Entry!$B79),IF(AND(Entry!$B79&gt;=10000101,Entry!$B79&lt;=99991231),INT(Entry!$B79/10000)&amp;"/"&amp;RIGHT("00"&amp;INT(MOD(Entry!$B79,10000)/100),2)&amp;"/"&amp;RIGHT("00"&amp;MOD(Entry!$B79,100),2),"نامعتبر"),IF(LEN(Entry!$B79)=10,Entry!$B79,"نامعتبر")))</f>
        <v/>
      </c>
      <c r="F76" t="str">
        <f>IF(Entry!$B79="","",IF(Entry!$C79="","0000",IF(AND(ISNUMBER(Entry!$C79),Entry!$C79&gt;=0,Entry!$C79&lt;1),RIGHT("00"&amp;HOUR(Entry!$C79),2)&amp;RIGHT("00"&amp;MINUTE(Entry!$C79),2),IFERROR(RIGHT("00"&amp;VALUE(LEFT(Entry!$C79,FIND(":",Entry!$C79)-1)),2)&amp;RIGHT("00"&amp;VALUE(MID(Entry!$C79,FIND(":",Entry!$C79)+1,2)),2),"0000"))))</f>
        <v/>
      </c>
      <c r="G76" t="str">
        <f>IF($A76="","",Entry!$G79)</f>
        <v/>
      </c>
      <c r="H76" t="str">
        <f>IF($A76="","",IF(Entry!$H79="",0,Entry!$H79))</f>
        <v/>
      </c>
      <c r="I76" t="str">
        <f>IF($A76="","",IF(Entry!$I79="",0,Entry!$I79))</f>
        <v/>
      </c>
      <c r="J76" t="str">
        <f t="shared" si="9"/>
        <v/>
      </c>
      <c r="K76" t="str">
        <f>IF($A76="","",Entry!$D79)</f>
        <v/>
      </c>
      <c r="L76" t="str">
        <f>IF($A76="","",Entry!$L79)</f>
        <v/>
      </c>
      <c r="N76" t="str">
        <f>IF(OR(Sync!$M76="",$Q76="",$Q76="نامعتبر"),"",Sync!$M76)</f>
        <v/>
      </c>
      <c r="O76" t="str">
        <f t="shared" si="10"/>
        <v/>
      </c>
      <c r="P76" t="str">
        <f>IF($N76="","",LEFT($Q76,4)&amp;MID($Q76,6,2)&amp;RIGHT($Q76,2)&amp;IF(Sync!$K76="","0000",IF(AND(ISNUMBER(Sync!$K76),Sync!$K76&gt;=0,Sync!$K76&lt;1),RIGHT("00"&amp;HOUR(Sync!$K76),2)&amp;RIGHT("00"&amp;MINUTE(Sync!$K76),2),IFERROR(RIGHT("00"&amp;VALUE(LEFT(Sync!$K76,FIND(":",Sync!$K76)-1)),2)&amp;RIGHT("00"&amp;VALUE(MID(Sync!$K76,FIND(":",Sync!$K76)+1,2)),2),"0000")))&amp;"|"&amp;"2"&amp;RIGHT("00000"&amp;71,5))</f>
        <v/>
      </c>
      <c r="Q76" t="str">
        <f>IF(Sync!$J76="","",IF(ISNUMBER(Sync!$J76),IF(AND(Sync!$J76&gt;=10000101,Sync!$J76&lt;=99991231),INT(Sync!$J76/10000)&amp;"/"&amp;RIGHT("00"&amp;INT(MOD(Sync!$J76,10000)/100),2)&amp;"/"&amp;RIGHT("00"&amp;MOD(Sync!$J76,100),2),"نامعتبر"),IF(LEN(Sync!$J76)=10,Sync!$J76,"نامعتبر")))</f>
        <v/>
      </c>
      <c r="R76" t="str">
        <f t="shared" si="11"/>
        <v/>
      </c>
      <c r="S76" t="str">
        <f t="shared" si="12"/>
        <v/>
      </c>
      <c r="T76" t="str">
        <f>IF($N76="","",IF(Sync!$N76="",0,Sync!$N76))</f>
        <v/>
      </c>
      <c r="U76" t="str">
        <f>IF($N76="","",IF(Sync!$O76="",0,Sync!$O76))</f>
        <v/>
      </c>
      <c r="V76" t="str">
        <f>IF($N76="","",Sync!$L76)</f>
        <v/>
      </c>
      <c r="W76" t="str">
        <f>IF($N76="","",Sync!$P76)</f>
        <v/>
      </c>
      <c r="AA76" t="str">
        <f>IF($A76="","",IF(COUNTIF($A$6:$A76,$A76)=1,1,0))</f>
        <v/>
      </c>
      <c r="AB76">
        <f>SUM($AA$6:$AA76)</f>
        <v>3</v>
      </c>
      <c r="AC76" t="str">
        <f t="shared" si="13"/>
        <v/>
      </c>
    </row>
    <row r="77" spans="1:29" x14ac:dyDescent="0.2">
      <c r="A77" t="str">
        <f>IF(OR(Entry!$B80="",Entry!$E80="",$E77="نامعتبر"),"",Entry!$E80)</f>
        <v/>
      </c>
      <c r="B77" t="str">
        <f>IF($A77="","",LEFT($E77,4)&amp;MID($E77,6,2)&amp;RIGHT($E77,2)&amp;$F77&amp;"|"&amp;"1"&amp;RIGHT("00000"&amp;72,5))</f>
        <v/>
      </c>
      <c r="C77" t="str">
        <f t="shared" si="7"/>
        <v/>
      </c>
      <c r="D77" t="str">
        <f t="shared" si="8"/>
        <v/>
      </c>
      <c r="E77" t="str">
        <f>IF(Entry!$B80="","",IF(ISNUMBER(Entry!$B80),IF(AND(Entry!$B80&gt;=10000101,Entry!$B80&lt;=99991231),INT(Entry!$B80/10000)&amp;"/"&amp;RIGHT("00"&amp;INT(MOD(Entry!$B80,10000)/100),2)&amp;"/"&amp;RIGHT("00"&amp;MOD(Entry!$B80,100),2),"نامعتبر"),IF(LEN(Entry!$B80)=10,Entry!$B80,"نامعتبر")))</f>
        <v/>
      </c>
      <c r="F77" t="str">
        <f>IF(Entry!$B80="","",IF(Entry!$C80="","0000",IF(AND(ISNUMBER(Entry!$C80),Entry!$C80&gt;=0,Entry!$C80&lt;1),RIGHT("00"&amp;HOUR(Entry!$C80),2)&amp;RIGHT("00"&amp;MINUTE(Entry!$C80),2),IFERROR(RIGHT("00"&amp;VALUE(LEFT(Entry!$C80,FIND(":",Entry!$C80)-1)),2)&amp;RIGHT("00"&amp;VALUE(MID(Entry!$C80,FIND(":",Entry!$C80)+1,2)),2),"0000"))))</f>
        <v/>
      </c>
      <c r="G77" t="str">
        <f>IF($A77="","",Entry!$G80)</f>
        <v/>
      </c>
      <c r="H77" t="str">
        <f>IF($A77="","",IF(Entry!$H80="",0,Entry!$H80))</f>
        <v/>
      </c>
      <c r="I77" t="str">
        <f>IF($A77="","",IF(Entry!$I80="",0,Entry!$I80))</f>
        <v/>
      </c>
      <c r="J77" t="str">
        <f t="shared" si="9"/>
        <v/>
      </c>
      <c r="K77" t="str">
        <f>IF($A77="","",Entry!$D80)</f>
        <v/>
      </c>
      <c r="L77" t="str">
        <f>IF($A77="","",Entry!$L80)</f>
        <v/>
      </c>
      <c r="N77" t="str">
        <f>IF(OR(Sync!$M77="",$Q77="",$Q77="نامعتبر"),"",Sync!$M77)</f>
        <v/>
      </c>
      <c r="O77" t="str">
        <f t="shared" si="10"/>
        <v/>
      </c>
      <c r="P77" t="str">
        <f>IF($N77="","",LEFT($Q77,4)&amp;MID($Q77,6,2)&amp;RIGHT($Q77,2)&amp;IF(Sync!$K77="","0000",IF(AND(ISNUMBER(Sync!$K77),Sync!$K77&gt;=0,Sync!$K77&lt;1),RIGHT("00"&amp;HOUR(Sync!$K77),2)&amp;RIGHT("00"&amp;MINUTE(Sync!$K77),2),IFERROR(RIGHT("00"&amp;VALUE(LEFT(Sync!$K77,FIND(":",Sync!$K77)-1)),2)&amp;RIGHT("00"&amp;VALUE(MID(Sync!$K77,FIND(":",Sync!$K77)+1,2)),2),"0000")))&amp;"|"&amp;"2"&amp;RIGHT("00000"&amp;72,5))</f>
        <v/>
      </c>
      <c r="Q77" t="str">
        <f>IF(Sync!$J77="","",IF(ISNUMBER(Sync!$J77),IF(AND(Sync!$J77&gt;=10000101,Sync!$J77&lt;=99991231),INT(Sync!$J77/10000)&amp;"/"&amp;RIGHT("00"&amp;INT(MOD(Sync!$J77,10000)/100),2)&amp;"/"&amp;RIGHT("00"&amp;MOD(Sync!$J77,100),2),"نامعتبر"),IF(LEN(Sync!$J77)=10,Sync!$J77,"نامعتبر")))</f>
        <v/>
      </c>
      <c r="R77" t="str">
        <f t="shared" si="11"/>
        <v/>
      </c>
      <c r="S77" t="str">
        <f t="shared" si="12"/>
        <v/>
      </c>
      <c r="T77" t="str">
        <f>IF($N77="","",IF(Sync!$N77="",0,Sync!$N77))</f>
        <v/>
      </c>
      <c r="U77" t="str">
        <f>IF($N77="","",IF(Sync!$O77="",0,Sync!$O77))</f>
        <v/>
      </c>
      <c r="V77" t="str">
        <f>IF($N77="","",Sync!$L77)</f>
        <v/>
      </c>
      <c r="W77" t="str">
        <f>IF($N77="","",Sync!$P77)</f>
        <v/>
      </c>
      <c r="AA77" t="str">
        <f>IF($A77="","",IF(COUNTIF($A$6:$A77,$A77)=1,1,0))</f>
        <v/>
      </c>
      <c r="AB77">
        <f>SUM($AA$6:$AA77)</f>
        <v>3</v>
      </c>
      <c r="AC77" t="str">
        <f t="shared" si="13"/>
        <v/>
      </c>
    </row>
    <row r="78" spans="1:29" x14ac:dyDescent="0.2">
      <c r="A78" t="str">
        <f>IF(OR(Entry!$B81="",Entry!$E81="",$E78="نامعتبر"),"",Entry!$E81)</f>
        <v/>
      </c>
      <c r="B78" t="str">
        <f>IF($A78="","",LEFT($E78,4)&amp;MID($E78,6,2)&amp;RIGHT($E78,2)&amp;$F78&amp;"|"&amp;"1"&amp;RIGHT("00000"&amp;73,5))</f>
        <v/>
      </c>
      <c r="C78" t="str">
        <f t="shared" si="7"/>
        <v/>
      </c>
      <c r="D78" t="str">
        <f t="shared" si="8"/>
        <v/>
      </c>
      <c r="E78" t="str">
        <f>IF(Entry!$B81="","",IF(ISNUMBER(Entry!$B81),IF(AND(Entry!$B81&gt;=10000101,Entry!$B81&lt;=99991231),INT(Entry!$B81/10000)&amp;"/"&amp;RIGHT("00"&amp;INT(MOD(Entry!$B81,10000)/100),2)&amp;"/"&amp;RIGHT("00"&amp;MOD(Entry!$B81,100),2),"نامعتبر"),IF(LEN(Entry!$B81)=10,Entry!$B81,"نامعتبر")))</f>
        <v/>
      </c>
      <c r="F78" t="str">
        <f>IF(Entry!$B81="","",IF(Entry!$C81="","0000",IF(AND(ISNUMBER(Entry!$C81),Entry!$C81&gt;=0,Entry!$C81&lt;1),RIGHT("00"&amp;HOUR(Entry!$C81),2)&amp;RIGHT("00"&amp;MINUTE(Entry!$C81),2),IFERROR(RIGHT("00"&amp;VALUE(LEFT(Entry!$C81,FIND(":",Entry!$C81)-1)),2)&amp;RIGHT("00"&amp;VALUE(MID(Entry!$C81,FIND(":",Entry!$C81)+1,2)),2),"0000"))))</f>
        <v/>
      </c>
      <c r="G78" t="str">
        <f>IF($A78="","",Entry!$G81)</f>
        <v/>
      </c>
      <c r="H78" t="str">
        <f>IF($A78="","",IF(Entry!$H81="",0,Entry!$H81))</f>
        <v/>
      </c>
      <c r="I78" t="str">
        <f>IF($A78="","",IF(Entry!$I81="",0,Entry!$I81))</f>
        <v/>
      </c>
      <c r="J78" t="str">
        <f t="shared" si="9"/>
        <v/>
      </c>
      <c r="K78" t="str">
        <f>IF($A78="","",Entry!$D81)</f>
        <v/>
      </c>
      <c r="L78" t="str">
        <f>IF($A78="","",Entry!$L81)</f>
        <v/>
      </c>
      <c r="N78" t="str">
        <f>IF(OR(Sync!$M78="",$Q78="",$Q78="نامعتبر"),"",Sync!$M78)</f>
        <v/>
      </c>
      <c r="O78" t="str">
        <f t="shared" si="10"/>
        <v/>
      </c>
      <c r="P78" t="str">
        <f>IF($N78="","",LEFT($Q78,4)&amp;MID($Q78,6,2)&amp;RIGHT($Q78,2)&amp;IF(Sync!$K78="","0000",IF(AND(ISNUMBER(Sync!$K78),Sync!$K78&gt;=0,Sync!$K78&lt;1),RIGHT("00"&amp;HOUR(Sync!$K78),2)&amp;RIGHT("00"&amp;MINUTE(Sync!$K78),2),IFERROR(RIGHT("00"&amp;VALUE(LEFT(Sync!$K78,FIND(":",Sync!$K78)-1)),2)&amp;RIGHT("00"&amp;VALUE(MID(Sync!$K78,FIND(":",Sync!$K78)+1,2)),2),"0000")))&amp;"|"&amp;"2"&amp;RIGHT("00000"&amp;73,5))</f>
        <v/>
      </c>
      <c r="Q78" t="str">
        <f>IF(Sync!$J78="","",IF(ISNUMBER(Sync!$J78),IF(AND(Sync!$J78&gt;=10000101,Sync!$J78&lt;=99991231),INT(Sync!$J78/10000)&amp;"/"&amp;RIGHT("00"&amp;INT(MOD(Sync!$J78,10000)/100),2)&amp;"/"&amp;RIGHT("00"&amp;MOD(Sync!$J78,100),2),"نامعتبر"),IF(LEN(Sync!$J78)=10,Sync!$J78,"نامعتبر")))</f>
        <v/>
      </c>
      <c r="R78" t="str">
        <f t="shared" si="11"/>
        <v/>
      </c>
      <c r="S78" t="str">
        <f t="shared" si="12"/>
        <v/>
      </c>
      <c r="T78" t="str">
        <f>IF($N78="","",IF(Sync!$N78="",0,Sync!$N78))</f>
        <v/>
      </c>
      <c r="U78" t="str">
        <f>IF($N78="","",IF(Sync!$O78="",0,Sync!$O78))</f>
        <v/>
      </c>
      <c r="V78" t="str">
        <f>IF($N78="","",Sync!$L78)</f>
        <v/>
      </c>
      <c r="W78" t="str">
        <f>IF($N78="","",Sync!$P78)</f>
        <v/>
      </c>
      <c r="AA78" t="str">
        <f>IF($A78="","",IF(COUNTIF($A$6:$A78,$A78)=1,1,0))</f>
        <v/>
      </c>
      <c r="AB78">
        <f>SUM($AA$6:$AA78)</f>
        <v>3</v>
      </c>
      <c r="AC78" t="str">
        <f t="shared" si="13"/>
        <v/>
      </c>
    </row>
    <row r="79" spans="1:29" x14ac:dyDescent="0.2">
      <c r="A79" t="str">
        <f>IF(OR(Entry!$B82="",Entry!$E82="",$E79="نامعتبر"),"",Entry!$E82)</f>
        <v/>
      </c>
      <c r="B79" t="str">
        <f>IF($A79="","",LEFT($E79,4)&amp;MID($E79,6,2)&amp;RIGHT($E79,2)&amp;$F79&amp;"|"&amp;"1"&amp;RIGHT("00000"&amp;74,5))</f>
        <v/>
      </c>
      <c r="C79" t="str">
        <f t="shared" si="7"/>
        <v/>
      </c>
      <c r="D79" t="str">
        <f t="shared" si="8"/>
        <v/>
      </c>
      <c r="E79" t="str">
        <f>IF(Entry!$B82="","",IF(ISNUMBER(Entry!$B82),IF(AND(Entry!$B82&gt;=10000101,Entry!$B82&lt;=99991231),INT(Entry!$B82/10000)&amp;"/"&amp;RIGHT("00"&amp;INT(MOD(Entry!$B82,10000)/100),2)&amp;"/"&amp;RIGHT("00"&amp;MOD(Entry!$B82,100),2),"نامعتبر"),IF(LEN(Entry!$B82)=10,Entry!$B82,"نامعتبر")))</f>
        <v/>
      </c>
      <c r="F79" t="str">
        <f>IF(Entry!$B82="","",IF(Entry!$C82="","0000",IF(AND(ISNUMBER(Entry!$C82),Entry!$C82&gt;=0,Entry!$C82&lt;1),RIGHT("00"&amp;HOUR(Entry!$C82),2)&amp;RIGHT("00"&amp;MINUTE(Entry!$C82),2),IFERROR(RIGHT("00"&amp;VALUE(LEFT(Entry!$C82,FIND(":",Entry!$C82)-1)),2)&amp;RIGHT("00"&amp;VALUE(MID(Entry!$C82,FIND(":",Entry!$C82)+1,2)),2),"0000"))))</f>
        <v/>
      </c>
      <c r="G79" t="str">
        <f>IF($A79="","",Entry!$G82)</f>
        <v/>
      </c>
      <c r="H79" t="str">
        <f>IF($A79="","",IF(Entry!$H82="",0,Entry!$H82))</f>
        <v/>
      </c>
      <c r="I79" t="str">
        <f>IF($A79="","",IF(Entry!$I82="",0,Entry!$I82))</f>
        <v/>
      </c>
      <c r="J79" t="str">
        <f t="shared" si="9"/>
        <v/>
      </c>
      <c r="K79" t="str">
        <f>IF($A79="","",Entry!$D82)</f>
        <v/>
      </c>
      <c r="L79" t="str">
        <f>IF($A79="","",Entry!$L82)</f>
        <v/>
      </c>
      <c r="N79" t="str">
        <f>IF(OR(Sync!$M79="",$Q79="",$Q79="نامعتبر"),"",Sync!$M79)</f>
        <v/>
      </c>
      <c r="O79" t="str">
        <f t="shared" si="10"/>
        <v/>
      </c>
      <c r="P79" t="str">
        <f>IF($N79="","",LEFT($Q79,4)&amp;MID($Q79,6,2)&amp;RIGHT($Q79,2)&amp;IF(Sync!$K79="","0000",IF(AND(ISNUMBER(Sync!$K79),Sync!$K79&gt;=0,Sync!$K79&lt;1),RIGHT("00"&amp;HOUR(Sync!$K79),2)&amp;RIGHT("00"&amp;MINUTE(Sync!$K79),2),IFERROR(RIGHT("00"&amp;VALUE(LEFT(Sync!$K79,FIND(":",Sync!$K79)-1)),2)&amp;RIGHT("00"&amp;VALUE(MID(Sync!$K79,FIND(":",Sync!$K79)+1,2)),2),"0000")))&amp;"|"&amp;"2"&amp;RIGHT("00000"&amp;74,5))</f>
        <v/>
      </c>
      <c r="Q79" t="str">
        <f>IF(Sync!$J79="","",IF(ISNUMBER(Sync!$J79),IF(AND(Sync!$J79&gt;=10000101,Sync!$J79&lt;=99991231),INT(Sync!$J79/10000)&amp;"/"&amp;RIGHT("00"&amp;INT(MOD(Sync!$J79,10000)/100),2)&amp;"/"&amp;RIGHT("00"&amp;MOD(Sync!$J79,100),2),"نامعتبر"),IF(LEN(Sync!$J79)=10,Sync!$J79,"نامعتبر")))</f>
        <v/>
      </c>
      <c r="R79" t="str">
        <f t="shared" si="11"/>
        <v/>
      </c>
      <c r="S79" t="str">
        <f t="shared" si="12"/>
        <v/>
      </c>
      <c r="T79" t="str">
        <f>IF($N79="","",IF(Sync!$N79="",0,Sync!$N79))</f>
        <v/>
      </c>
      <c r="U79" t="str">
        <f>IF($N79="","",IF(Sync!$O79="",0,Sync!$O79))</f>
        <v/>
      </c>
      <c r="V79" t="str">
        <f>IF($N79="","",Sync!$L79)</f>
        <v/>
      </c>
      <c r="W79" t="str">
        <f>IF($N79="","",Sync!$P79)</f>
        <v/>
      </c>
      <c r="AA79" t="str">
        <f>IF($A79="","",IF(COUNTIF($A$6:$A79,$A79)=1,1,0))</f>
        <v/>
      </c>
      <c r="AB79">
        <f>SUM($AA$6:$AA79)</f>
        <v>3</v>
      </c>
      <c r="AC79" t="str">
        <f t="shared" si="13"/>
        <v/>
      </c>
    </row>
    <row r="80" spans="1:29" x14ac:dyDescent="0.2">
      <c r="A80" t="str">
        <f>IF(OR(Entry!$B83="",Entry!$E83="",$E80="نامعتبر"),"",Entry!$E83)</f>
        <v/>
      </c>
      <c r="B80" t="str">
        <f>IF($A80="","",LEFT($E80,4)&amp;MID($E80,6,2)&amp;RIGHT($E80,2)&amp;$F80&amp;"|"&amp;"1"&amp;RIGHT("00000"&amp;75,5))</f>
        <v/>
      </c>
      <c r="C80" t="str">
        <f t="shared" si="7"/>
        <v/>
      </c>
      <c r="D80" t="str">
        <f t="shared" si="8"/>
        <v/>
      </c>
      <c r="E80" t="str">
        <f>IF(Entry!$B83="","",IF(ISNUMBER(Entry!$B83),IF(AND(Entry!$B83&gt;=10000101,Entry!$B83&lt;=99991231),INT(Entry!$B83/10000)&amp;"/"&amp;RIGHT("00"&amp;INT(MOD(Entry!$B83,10000)/100),2)&amp;"/"&amp;RIGHT("00"&amp;MOD(Entry!$B83,100),2),"نامعتبر"),IF(LEN(Entry!$B83)=10,Entry!$B83,"نامعتبر")))</f>
        <v/>
      </c>
      <c r="F80" t="str">
        <f>IF(Entry!$B83="","",IF(Entry!$C83="","0000",IF(AND(ISNUMBER(Entry!$C83),Entry!$C83&gt;=0,Entry!$C83&lt;1),RIGHT("00"&amp;HOUR(Entry!$C83),2)&amp;RIGHT("00"&amp;MINUTE(Entry!$C83),2),IFERROR(RIGHT("00"&amp;VALUE(LEFT(Entry!$C83,FIND(":",Entry!$C83)-1)),2)&amp;RIGHT("00"&amp;VALUE(MID(Entry!$C83,FIND(":",Entry!$C83)+1,2)),2),"0000"))))</f>
        <v/>
      </c>
      <c r="G80" t="str">
        <f>IF($A80="","",Entry!$G83)</f>
        <v/>
      </c>
      <c r="H80" t="str">
        <f>IF($A80="","",IF(Entry!$H83="",0,Entry!$H83))</f>
        <v/>
      </c>
      <c r="I80" t="str">
        <f>IF($A80="","",IF(Entry!$I83="",0,Entry!$I83))</f>
        <v/>
      </c>
      <c r="J80" t="str">
        <f t="shared" si="9"/>
        <v/>
      </c>
      <c r="K80" t="str">
        <f>IF($A80="","",Entry!$D83)</f>
        <v/>
      </c>
      <c r="L80" t="str">
        <f>IF($A80="","",Entry!$L83)</f>
        <v/>
      </c>
      <c r="N80" t="str">
        <f>IF(OR(Sync!$M80="",$Q80="",$Q80="نامعتبر"),"",Sync!$M80)</f>
        <v/>
      </c>
      <c r="O80" t="str">
        <f t="shared" si="10"/>
        <v/>
      </c>
      <c r="P80" t="str">
        <f>IF($N80="","",LEFT($Q80,4)&amp;MID($Q80,6,2)&amp;RIGHT($Q80,2)&amp;IF(Sync!$K80="","0000",IF(AND(ISNUMBER(Sync!$K80),Sync!$K80&gt;=0,Sync!$K80&lt;1),RIGHT("00"&amp;HOUR(Sync!$K80),2)&amp;RIGHT("00"&amp;MINUTE(Sync!$K80),2),IFERROR(RIGHT("00"&amp;VALUE(LEFT(Sync!$K80,FIND(":",Sync!$K80)-1)),2)&amp;RIGHT("00"&amp;VALUE(MID(Sync!$K80,FIND(":",Sync!$K80)+1,2)),2),"0000")))&amp;"|"&amp;"2"&amp;RIGHT("00000"&amp;75,5))</f>
        <v/>
      </c>
      <c r="Q80" t="str">
        <f>IF(Sync!$J80="","",IF(ISNUMBER(Sync!$J80),IF(AND(Sync!$J80&gt;=10000101,Sync!$J80&lt;=99991231),INT(Sync!$J80/10000)&amp;"/"&amp;RIGHT("00"&amp;INT(MOD(Sync!$J80,10000)/100),2)&amp;"/"&amp;RIGHT("00"&amp;MOD(Sync!$J80,100),2),"نامعتبر"),IF(LEN(Sync!$J80)=10,Sync!$J80,"نامعتبر")))</f>
        <v/>
      </c>
      <c r="R80" t="str">
        <f t="shared" si="11"/>
        <v/>
      </c>
      <c r="S80" t="str">
        <f t="shared" si="12"/>
        <v/>
      </c>
      <c r="T80" t="str">
        <f>IF($N80="","",IF(Sync!$N80="",0,Sync!$N80))</f>
        <v/>
      </c>
      <c r="U80" t="str">
        <f>IF($N80="","",IF(Sync!$O80="",0,Sync!$O80))</f>
        <v/>
      </c>
      <c r="V80" t="str">
        <f>IF($N80="","",Sync!$L80)</f>
        <v/>
      </c>
      <c r="W80" t="str">
        <f>IF($N80="","",Sync!$P80)</f>
        <v/>
      </c>
      <c r="AA80" t="str">
        <f>IF($A80="","",IF(COUNTIF($A$6:$A80,$A80)=1,1,0))</f>
        <v/>
      </c>
      <c r="AB80">
        <f>SUM($AA$6:$AA80)</f>
        <v>3</v>
      </c>
      <c r="AC80" t="str">
        <f t="shared" si="13"/>
        <v/>
      </c>
    </row>
    <row r="81" spans="1:29" x14ac:dyDescent="0.2">
      <c r="A81" t="str">
        <f>IF(OR(Entry!$B84="",Entry!$E84="",$E81="نامعتبر"),"",Entry!$E84)</f>
        <v/>
      </c>
      <c r="B81" t="str">
        <f>IF($A81="","",LEFT($E81,4)&amp;MID($E81,6,2)&amp;RIGHT($E81,2)&amp;$F81&amp;"|"&amp;"1"&amp;RIGHT("00000"&amp;76,5))</f>
        <v/>
      </c>
      <c r="C81" t="str">
        <f t="shared" si="7"/>
        <v/>
      </c>
      <c r="D81" t="str">
        <f t="shared" si="8"/>
        <v/>
      </c>
      <c r="E81" t="str">
        <f>IF(Entry!$B84="","",IF(ISNUMBER(Entry!$B84),IF(AND(Entry!$B84&gt;=10000101,Entry!$B84&lt;=99991231),INT(Entry!$B84/10000)&amp;"/"&amp;RIGHT("00"&amp;INT(MOD(Entry!$B84,10000)/100),2)&amp;"/"&amp;RIGHT("00"&amp;MOD(Entry!$B84,100),2),"نامعتبر"),IF(LEN(Entry!$B84)=10,Entry!$B84,"نامعتبر")))</f>
        <v/>
      </c>
      <c r="F81" t="str">
        <f>IF(Entry!$B84="","",IF(Entry!$C84="","0000",IF(AND(ISNUMBER(Entry!$C84),Entry!$C84&gt;=0,Entry!$C84&lt;1),RIGHT("00"&amp;HOUR(Entry!$C84),2)&amp;RIGHT("00"&amp;MINUTE(Entry!$C84),2),IFERROR(RIGHT("00"&amp;VALUE(LEFT(Entry!$C84,FIND(":",Entry!$C84)-1)),2)&amp;RIGHT("00"&amp;VALUE(MID(Entry!$C84,FIND(":",Entry!$C84)+1,2)),2),"0000"))))</f>
        <v/>
      </c>
      <c r="G81" t="str">
        <f>IF($A81="","",Entry!$G84)</f>
        <v/>
      </c>
      <c r="H81" t="str">
        <f>IF($A81="","",IF(Entry!$H84="",0,Entry!$H84))</f>
        <v/>
      </c>
      <c r="I81" t="str">
        <f>IF($A81="","",IF(Entry!$I84="",0,Entry!$I84))</f>
        <v/>
      </c>
      <c r="J81" t="str">
        <f t="shared" si="9"/>
        <v/>
      </c>
      <c r="K81" t="str">
        <f>IF($A81="","",Entry!$D84)</f>
        <v/>
      </c>
      <c r="L81" t="str">
        <f>IF($A81="","",Entry!$L84)</f>
        <v/>
      </c>
      <c r="N81" t="str">
        <f>IF(OR(Sync!$M81="",$Q81="",$Q81="نامعتبر"),"",Sync!$M81)</f>
        <v/>
      </c>
      <c r="O81" t="str">
        <f t="shared" si="10"/>
        <v/>
      </c>
      <c r="P81" t="str">
        <f>IF($N81="","",LEFT($Q81,4)&amp;MID($Q81,6,2)&amp;RIGHT($Q81,2)&amp;IF(Sync!$K81="","0000",IF(AND(ISNUMBER(Sync!$K81),Sync!$K81&gt;=0,Sync!$K81&lt;1),RIGHT("00"&amp;HOUR(Sync!$K81),2)&amp;RIGHT("00"&amp;MINUTE(Sync!$K81),2),IFERROR(RIGHT("00"&amp;VALUE(LEFT(Sync!$K81,FIND(":",Sync!$K81)-1)),2)&amp;RIGHT("00"&amp;VALUE(MID(Sync!$K81,FIND(":",Sync!$K81)+1,2)),2),"0000")))&amp;"|"&amp;"2"&amp;RIGHT("00000"&amp;76,5))</f>
        <v/>
      </c>
      <c r="Q81" t="str">
        <f>IF(Sync!$J81="","",IF(ISNUMBER(Sync!$J81),IF(AND(Sync!$J81&gt;=10000101,Sync!$J81&lt;=99991231),INT(Sync!$J81/10000)&amp;"/"&amp;RIGHT("00"&amp;INT(MOD(Sync!$J81,10000)/100),2)&amp;"/"&amp;RIGHT("00"&amp;MOD(Sync!$J81,100),2),"نامعتبر"),IF(LEN(Sync!$J81)=10,Sync!$J81,"نامعتبر")))</f>
        <v/>
      </c>
      <c r="R81" t="str">
        <f t="shared" si="11"/>
        <v/>
      </c>
      <c r="S81" t="str">
        <f t="shared" si="12"/>
        <v/>
      </c>
      <c r="T81" t="str">
        <f>IF($N81="","",IF(Sync!$N81="",0,Sync!$N81))</f>
        <v/>
      </c>
      <c r="U81" t="str">
        <f>IF($N81="","",IF(Sync!$O81="",0,Sync!$O81))</f>
        <v/>
      </c>
      <c r="V81" t="str">
        <f>IF($N81="","",Sync!$L81)</f>
        <v/>
      </c>
      <c r="W81" t="str">
        <f>IF($N81="","",Sync!$P81)</f>
        <v/>
      </c>
      <c r="AA81" t="str">
        <f>IF($A81="","",IF(COUNTIF($A$6:$A81,$A81)=1,1,0))</f>
        <v/>
      </c>
      <c r="AB81">
        <f>SUM($AA$6:$AA81)</f>
        <v>3</v>
      </c>
      <c r="AC81" t="str">
        <f t="shared" si="13"/>
        <v/>
      </c>
    </row>
    <row r="82" spans="1:29" x14ac:dyDescent="0.2">
      <c r="A82" t="str">
        <f>IF(OR(Entry!$B85="",Entry!$E85="",$E82="نامعتبر"),"",Entry!$E85)</f>
        <v/>
      </c>
      <c r="B82" t="str">
        <f>IF($A82="","",LEFT($E82,4)&amp;MID($E82,6,2)&amp;RIGHT($E82,2)&amp;$F82&amp;"|"&amp;"1"&amp;RIGHT("00000"&amp;77,5))</f>
        <v/>
      </c>
      <c r="C82" t="str">
        <f t="shared" si="7"/>
        <v/>
      </c>
      <c r="D82" t="str">
        <f t="shared" si="8"/>
        <v/>
      </c>
      <c r="E82" t="str">
        <f>IF(Entry!$B85="","",IF(ISNUMBER(Entry!$B85),IF(AND(Entry!$B85&gt;=10000101,Entry!$B85&lt;=99991231),INT(Entry!$B85/10000)&amp;"/"&amp;RIGHT("00"&amp;INT(MOD(Entry!$B85,10000)/100),2)&amp;"/"&amp;RIGHT("00"&amp;MOD(Entry!$B85,100),2),"نامعتبر"),IF(LEN(Entry!$B85)=10,Entry!$B85,"نامعتبر")))</f>
        <v/>
      </c>
      <c r="F82" t="str">
        <f>IF(Entry!$B85="","",IF(Entry!$C85="","0000",IF(AND(ISNUMBER(Entry!$C85),Entry!$C85&gt;=0,Entry!$C85&lt;1),RIGHT("00"&amp;HOUR(Entry!$C85),2)&amp;RIGHT("00"&amp;MINUTE(Entry!$C85),2),IFERROR(RIGHT("00"&amp;VALUE(LEFT(Entry!$C85,FIND(":",Entry!$C85)-1)),2)&amp;RIGHT("00"&amp;VALUE(MID(Entry!$C85,FIND(":",Entry!$C85)+1,2)),2),"0000"))))</f>
        <v/>
      </c>
      <c r="G82" t="str">
        <f>IF($A82="","",Entry!$G85)</f>
        <v/>
      </c>
      <c r="H82" t="str">
        <f>IF($A82="","",IF(Entry!$H85="",0,Entry!$H85))</f>
        <v/>
      </c>
      <c r="I82" t="str">
        <f>IF($A82="","",IF(Entry!$I85="",0,Entry!$I85))</f>
        <v/>
      </c>
      <c r="J82" t="str">
        <f t="shared" si="9"/>
        <v/>
      </c>
      <c r="K82" t="str">
        <f>IF($A82="","",Entry!$D85)</f>
        <v/>
      </c>
      <c r="L82" t="str">
        <f>IF($A82="","",Entry!$L85)</f>
        <v/>
      </c>
      <c r="N82" t="str">
        <f>IF(OR(Sync!$M82="",$Q82="",$Q82="نامعتبر"),"",Sync!$M82)</f>
        <v/>
      </c>
      <c r="O82" t="str">
        <f t="shared" si="10"/>
        <v/>
      </c>
      <c r="P82" t="str">
        <f>IF($N82="","",LEFT($Q82,4)&amp;MID($Q82,6,2)&amp;RIGHT($Q82,2)&amp;IF(Sync!$K82="","0000",IF(AND(ISNUMBER(Sync!$K82),Sync!$K82&gt;=0,Sync!$K82&lt;1),RIGHT("00"&amp;HOUR(Sync!$K82),2)&amp;RIGHT("00"&amp;MINUTE(Sync!$K82),2),IFERROR(RIGHT("00"&amp;VALUE(LEFT(Sync!$K82,FIND(":",Sync!$K82)-1)),2)&amp;RIGHT("00"&amp;VALUE(MID(Sync!$K82,FIND(":",Sync!$K82)+1,2)),2),"0000")))&amp;"|"&amp;"2"&amp;RIGHT("00000"&amp;77,5))</f>
        <v/>
      </c>
      <c r="Q82" t="str">
        <f>IF(Sync!$J82="","",IF(ISNUMBER(Sync!$J82),IF(AND(Sync!$J82&gt;=10000101,Sync!$J82&lt;=99991231),INT(Sync!$J82/10000)&amp;"/"&amp;RIGHT("00"&amp;INT(MOD(Sync!$J82,10000)/100),2)&amp;"/"&amp;RIGHT("00"&amp;MOD(Sync!$J82,100),2),"نامعتبر"),IF(LEN(Sync!$J82)=10,Sync!$J82,"نامعتبر")))</f>
        <v/>
      </c>
      <c r="R82" t="str">
        <f t="shared" si="11"/>
        <v/>
      </c>
      <c r="S82" t="str">
        <f t="shared" si="12"/>
        <v/>
      </c>
      <c r="T82" t="str">
        <f>IF($N82="","",IF(Sync!$N82="",0,Sync!$N82))</f>
        <v/>
      </c>
      <c r="U82" t="str">
        <f>IF($N82="","",IF(Sync!$O82="",0,Sync!$O82))</f>
        <v/>
      </c>
      <c r="V82" t="str">
        <f>IF($N82="","",Sync!$L82)</f>
        <v/>
      </c>
      <c r="W82" t="str">
        <f>IF($N82="","",Sync!$P82)</f>
        <v/>
      </c>
      <c r="AA82" t="str">
        <f>IF($A82="","",IF(COUNTIF($A$6:$A82,$A82)=1,1,0))</f>
        <v/>
      </c>
      <c r="AB82">
        <f>SUM($AA$6:$AA82)</f>
        <v>3</v>
      </c>
      <c r="AC82" t="str">
        <f t="shared" si="13"/>
        <v/>
      </c>
    </row>
    <row r="83" spans="1:29" x14ac:dyDescent="0.2">
      <c r="A83" t="str">
        <f>IF(OR(Entry!$B86="",Entry!$E86="",$E83="نامعتبر"),"",Entry!$E86)</f>
        <v/>
      </c>
      <c r="B83" t="str">
        <f>IF($A83="","",LEFT($E83,4)&amp;MID($E83,6,2)&amp;RIGHT($E83,2)&amp;$F83&amp;"|"&amp;"1"&amp;RIGHT("00000"&amp;78,5))</f>
        <v/>
      </c>
      <c r="C83" t="str">
        <f t="shared" si="7"/>
        <v/>
      </c>
      <c r="D83" t="str">
        <f t="shared" si="8"/>
        <v/>
      </c>
      <c r="E83" t="str">
        <f>IF(Entry!$B86="","",IF(ISNUMBER(Entry!$B86),IF(AND(Entry!$B86&gt;=10000101,Entry!$B86&lt;=99991231),INT(Entry!$B86/10000)&amp;"/"&amp;RIGHT("00"&amp;INT(MOD(Entry!$B86,10000)/100),2)&amp;"/"&amp;RIGHT("00"&amp;MOD(Entry!$B86,100),2),"نامعتبر"),IF(LEN(Entry!$B86)=10,Entry!$B86,"نامعتبر")))</f>
        <v/>
      </c>
      <c r="F83" t="str">
        <f>IF(Entry!$B86="","",IF(Entry!$C86="","0000",IF(AND(ISNUMBER(Entry!$C86),Entry!$C86&gt;=0,Entry!$C86&lt;1),RIGHT("00"&amp;HOUR(Entry!$C86),2)&amp;RIGHT("00"&amp;MINUTE(Entry!$C86),2),IFERROR(RIGHT("00"&amp;VALUE(LEFT(Entry!$C86,FIND(":",Entry!$C86)-1)),2)&amp;RIGHT("00"&amp;VALUE(MID(Entry!$C86,FIND(":",Entry!$C86)+1,2)),2),"0000"))))</f>
        <v/>
      </c>
      <c r="G83" t="str">
        <f>IF($A83="","",Entry!$G86)</f>
        <v/>
      </c>
      <c r="H83" t="str">
        <f>IF($A83="","",IF(Entry!$H86="",0,Entry!$H86))</f>
        <v/>
      </c>
      <c r="I83" t="str">
        <f>IF($A83="","",IF(Entry!$I86="",0,Entry!$I86))</f>
        <v/>
      </c>
      <c r="J83" t="str">
        <f t="shared" si="9"/>
        <v/>
      </c>
      <c r="K83" t="str">
        <f>IF($A83="","",Entry!$D86)</f>
        <v/>
      </c>
      <c r="L83" t="str">
        <f>IF($A83="","",Entry!$L86)</f>
        <v/>
      </c>
      <c r="N83" t="str">
        <f>IF(OR(Sync!$M83="",$Q83="",$Q83="نامعتبر"),"",Sync!$M83)</f>
        <v/>
      </c>
      <c r="O83" t="str">
        <f t="shared" si="10"/>
        <v/>
      </c>
      <c r="P83" t="str">
        <f>IF($N83="","",LEFT($Q83,4)&amp;MID($Q83,6,2)&amp;RIGHT($Q83,2)&amp;IF(Sync!$K83="","0000",IF(AND(ISNUMBER(Sync!$K83),Sync!$K83&gt;=0,Sync!$K83&lt;1),RIGHT("00"&amp;HOUR(Sync!$K83),2)&amp;RIGHT("00"&amp;MINUTE(Sync!$K83),2),IFERROR(RIGHT("00"&amp;VALUE(LEFT(Sync!$K83,FIND(":",Sync!$K83)-1)),2)&amp;RIGHT("00"&amp;VALUE(MID(Sync!$K83,FIND(":",Sync!$K83)+1,2)),2),"0000")))&amp;"|"&amp;"2"&amp;RIGHT("00000"&amp;78,5))</f>
        <v/>
      </c>
      <c r="Q83" t="str">
        <f>IF(Sync!$J83="","",IF(ISNUMBER(Sync!$J83),IF(AND(Sync!$J83&gt;=10000101,Sync!$J83&lt;=99991231),INT(Sync!$J83/10000)&amp;"/"&amp;RIGHT("00"&amp;INT(MOD(Sync!$J83,10000)/100),2)&amp;"/"&amp;RIGHT("00"&amp;MOD(Sync!$J83,100),2),"نامعتبر"),IF(LEN(Sync!$J83)=10,Sync!$J83,"نامعتبر")))</f>
        <v/>
      </c>
      <c r="R83" t="str">
        <f t="shared" si="11"/>
        <v/>
      </c>
      <c r="S83" t="str">
        <f t="shared" si="12"/>
        <v/>
      </c>
      <c r="T83" t="str">
        <f>IF($N83="","",IF(Sync!$N83="",0,Sync!$N83))</f>
        <v/>
      </c>
      <c r="U83" t="str">
        <f>IF($N83="","",IF(Sync!$O83="",0,Sync!$O83))</f>
        <v/>
      </c>
      <c r="V83" t="str">
        <f>IF($N83="","",Sync!$L83)</f>
        <v/>
      </c>
      <c r="W83" t="str">
        <f>IF($N83="","",Sync!$P83)</f>
        <v/>
      </c>
      <c r="AA83" t="str">
        <f>IF($A83="","",IF(COUNTIF($A$6:$A83,$A83)=1,1,0))</f>
        <v/>
      </c>
      <c r="AB83">
        <f>SUM($AA$6:$AA83)</f>
        <v>3</v>
      </c>
      <c r="AC83" t="str">
        <f t="shared" si="13"/>
        <v/>
      </c>
    </row>
    <row r="84" spans="1:29" x14ac:dyDescent="0.2">
      <c r="A84" t="str">
        <f>IF(OR(Entry!$B87="",Entry!$E87="",$E84="نامعتبر"),"",Entry!$E87)</f>
        <v/>
      </c>
      <c r="B84" t="str">
        <f>IF($A84="","",LEFT($E84,4)&amp;MID($E84,6,2)&amp;RIGHT($E84,2)&amp;$F84&amp;"|"&amp;"1"&amp;RIGHT("00000"&amp;79,5))</f>
        <v/>
      </c>
      <c r="C84" t="str">
        <f t="shared" si="7"/>
        <v/>
      </c>
      <c r="D84" t="str">
        <f t="shared" si="8"/>
        <v/>
      </c>
      <c r="E84" t="str">
        <f>IF(Entry!$B87="","",IF(ISNUMBER(Entry!$B87),IF(AND(Entry!$B87&gt;=10000101,Entry!$B87&lt;=99991231),INT(Entry!$B87/10000)&amp;"/"&amp;RIGHT("00"&amp;INT(MOD(Entry!$B87,10000)/100),2)&amp;"/"&amp;RIGHT("00"&amp;MOD(Entry!$B87,100),2),"نامعتبر"),IF(LEN(Entry!$B87)=10,Entry!$B87,"نامعتبر")))</f>
        <v/>
      </c>
      <c r="F84" t="str">
        <f>IF(Entry!$B87="","",IF(Entry!$C87="","0000",IF(AND(ISNUMBER(Entry!$C87),Entry!$C87&gt;=0,Entry!$C87&lt;1),RIGHT("00"&amp;HOUR(Entry!$C87),2)&amp;RIGHT("00"&amp;MINUTE(Entry!$C87),2),IFERROR(RIGHT("00"&amp;VALUE(LEFT(Entry!$C87,FIND(":",Entry!$C87)-1)),2)&amp;RIGHT("00"&amp;VALUE(MID(Entry!$C87,FIND(":",Entry!$C87)+1,2)),2),"0000"))))</f>
        <v/>
      </c>
      <c r="G84" t="str">
        <f>IF($A84="","",Entry!$G87)</f>
        <v/>
      </c>
      <c r="H84" t="str">
        <f>IF($A84="","",IF(Entry!$H87="",0,Entry!$H87))</f>
        <v/>
      </c>
      <c r="I84" t="str">
        <f>IF($A84="","",IF(Entry!$I87="",0,Entry!$I87))</f>
        <v/>
      </c>
      <c r="J84" t="str">
        <f t="shared" si="9"/>
        <v/>
      </c>
      <c r="K84" t="str">
        <f>IF($A84="","",Entry!$D87)</f>
        <v/>
      </c>
      <c r="L84" t="str">
        <f>IF($A84="","",Entry!$L87)</f>
        <v/>
      </c>
      <c r="N84" t="str">
        <f>IF(OR(Sync!$M84="",$Q84="",$Q84="نامعتبر"),"",Sync!$M84)</f>
        <v/>
      </c>
      <c r="O84" t="str">
        <f t="shared" si="10"/>
        <v/>
      </c>
      <c r="P84" t="str">
        <f>IF($N84="","",LEFT($Q84,4)&amp;MID($Q84,6,2)&amp;RIGHT($Q84,2)&amp;IF(Sync!$K84="","0000",IF(AND(ISNUMBER(Sync!$K84),Sync!$K84&gt;=0,Sync!$K84&lt;1),RIGHT("00"&amp;HOUR(Sync!$K84),2)&amp;RIGHT("00"&amp;MINUTE(Sync!$K84),2),IFERROR(RIGHT("00"&amp;VALUE(LEFT(Sync!$K84,FIND(":",Sync!$K84)-1)),2)&amp;RIGHT("00"&amp;VALUE(MID(Sync!$K84,FIND(":",Sync!$K84)+1,2)),2),"0000")))&amp;"|"&amp;"2"&amp;RIGHT("00000"&amp;79,5))</f>
        <v/>
      </c>
      <c r="Q84" t="str">
        <f>IF(Sync!$J84="","",IF(ISNUMBER(Sync!$J84),IF(AND(Sync!$J84&gt;=10000101,Sync!$J84&lt;=99991231),INT(Sync!$J84/10000)&amp;"/"&amp;RIGHT("00"&amp;INT(MOD(Sync!$J84,10000)/100),2)&amp;"/"&amp;RIGHT("00"&amp;MOD(Sync!$J84,100),2),"نامعتبر"),IF(LEN(Sync!$J84)=10,Sync!$J84,"نامعتبر")))</f>
        <v/>
      </c>
      <c r="R84" t="str">
        <f t="shared" si="11"/>
        <v/>
      </c>
      <c r="S84" t="str">
        <f t="shared" si="12"/>
        <v/>
      </c>
      <c r="T84" t="str">
        <f>IF($N84="","",IF(Sync!$N84="",0,Sync!$N84))</f>
        <v/>
      </c>
      <c r="U84" t="str">
        <f>IF($N84="","",IF(Sync!$O84="",0,Sync!$O84))</f>
        <v/>
      </c>
      <c r="V84" t="str">
        <f>IF($N84="","",Sync!$L84)</f>
        <v/>
      </c>
      <c r="W84" t="str">
        <f>IF($N84="","",Sync!$P84)</f>
        <v/>
      </c>
      <c r="AA84" t="str">
        <f>IF($A84="","",IF(COUNTIF($A$6:$A84,$A84)=1,1,0))</f>
        <v/>
      </c>
      <c r="AB84">
        <f>SUM($AA$6:$AA84)</f>
        <v>3</v>
      </c>
      <c r="AC84" t="str">
        <f t="shared" si="13"/>
        <v/>
      </c>
    </row>
    <row r="85" spans="1:29" x14ac:dyDescent="0.2">
      <c r="A85" t="str">
        <f>IF(OR(Entry!$B88="",Entry!$E88="",$E85="نامعتبر"),"",Entry!$E88)</f>
        <v/>
      </c>
      <c r="B85" t="str">
        <f>IF($A85="","",LEFT($E85,4)&amp;MID($E85,6,2)&amp;RIGHT($E85,2)&amp;$F85&amp;"|"&amp;"1"&amp;RIGHT("00000"&amp;80,5))</f>
        <v/>
      </c>
      <c r="C85" t="str">
        <f t="shared" si="7"/>
        <v/>
      </c>
      <c r="D85" t="str">
        <f t="shared" si="8"/>
        <v/>
      </c>
      <c r="E85" t="str">
        <f>IF(Entry!$B88="","",IF(ISNUMBER(Entry!$B88),IF(AND(Entry!$B88&gt;=10000101,Entry!$B88&lt;=99991231),INT(Entry!$B88/10000)&amp;"/"&amp;RIGHT("00"&amp;INT(MOD(Entry!$B88,10000)/100),2)&amp;"/"&amp;RIGHT("00"&amp;MOD(Entry!$B88,100),2),"نامعتبر"),IF(LEN(Entry!$B88)=10,Entry!$B88,"نامعتبر")))</f>
        <v/>
      </c>
      <c r="F85" t="str">
        <f>IF(Entry!$B88="","",IF(Entry!$C88="","0000",IF(AND(ISNUMBER(Entry!$C88),Entry!$C88&gt;=0,Entry!$C88&lt;1),RIGHT("00"&amp;HOUR(Entry!$C88),2)&amp;RIGHT("00"&amp;MINUTE(Entry!$C88),2),IFERROR(RIGHT("00"&amp;VALUE(LEFT(Entry!$C88,FIND(":",Entry!$C88)-1)),2)&amp;RIGHT("00"&amp;VALUE(MID(Entry!$C88,FIND(":",Entry!$C88)+1,2)),2),"0000"))))</f>
        <v/>
      </c>
      <c r="G85" t="str">
        <f>IF($A85="","",Entry!$G88)</f>
        <v/>
      </c>
      <c r="H85" t="str">
        <f>IF($A85="","",IF(Entry!$H88="",0,Entry!$H88))</f>
        <v/>
      </c>
      <c r="I85" t="str">
        <f>IF($A85="","",IF(Entry!$I88="",0,Entry!$I88))</f>
        <v/>
      </c>
      <c r="J85" t="str">
        <f t="shared" si="9"/>
        <v/>
      </c>
      <c r="K85" t="str">
        <f>IF($A85="","",Entry!$D88)</f>
        <v/>
      </c>
      <c r="L85" t="str">
        <f>IF($A85="","",Entry!$L88)</f>
        <v/>
      </c>
      <c r="N85" t="str">
        <f>IF(OR(Sync!$M85="",$Q85="",$Q85="نامعتبر"),"",Sync!$M85)</f>
        <v/>
      </c>
      <c r="O85" t="str">
        <f t="shared" si="10"/>
        <v/>
      </c>
      <c r="P85" t="str">
        <f>IF($N85="","",LEFT($Q85,4)&amp;MID($Q85,6,2)&amp;RIGHT($Q85,2)&amp;IF(Sync!$K85="","0000",IF(AND(ISNUMBER(Sync!$K85),Sync!$K85&gt;=0,Sync!$K85&lt;1),RIGHT("00"&amp;HOUR(Sync!$K85),2)&amp;RIGHT("00"&amp;MINUTE(Sync!$K85),2),IFERROR(RIGHT("00"&amp;VALUE(LEFT(Sync!$K85,FIND(":",Sync!$K85)-1)),2)&amp;RIGHT("00"&amp;VALUE(MID(Sync!$K85,FIND(":",Sync!$K85)+1,2)),2),"0000")))&amp;"|"&amp;"2"&amp;RIGHT("00000"&amp;80,5))</f>
        <v/>
      </c>
      <c r="Q85" t="str">
        <f>IF(Sync!$J85="","",IF(ISNUMBER(Sync!$J85),IF(AND(Sync!$J85&gt;=10000101,Sync!$J85&lt;=99991231),INT(Sync!$J85/10000)&amp;"/"&amp;RIGHT("00"&amp;INT(MOD(Sync!$J85,10000)/100),2)&amp;"/"&amp;RIGHT("00"&amp;MOD(Sync!$J85,100),2),"نامعتبر"),IF(LEN(Sync!$J85)=10,Sync!$J85,"نامعتبر")))</f>
        <v/>
      </c>
      <c r="R85" t="str">
        <f t="shared" si="11"/>
        <v/>
      </c>
      <c r="S85" t="str">
        <f t="shared" si="12"/>
        <v/>
      </c>
      <c r="T85" t="str">
        <f>IF($N85="","",IF(Sync!$N85="",0,Sync!$N85))</f>
        <v/>
      </c>
      <c r="U85" t="str">
        <f>IF($N85="","",IF(Sync!$O85="",0,Sync!$O85))</f>
        <v/>
      </c>
      <c r="V85" t="str">
        <f>IF($N85="","",Sync!$L85)</f>
        <v/>
      </c>
      <c r="W85" t="str">
        <f>IF($N85="","",Sync!$P85)</f>
        <v/>
      </c>
      <c r="AA85" t="str">
        <f>IF($A85="","",IF(COUNTIF($A$6:$A85,$A85)=1,1,0))</f>
        <v/>
      </c>
      <c r="AB85">
        <f>SUM($AA$6:$AA85)</f>
        <v>3</v>
      </c>
      <c r="AC85" t="str">
        <f t="shared" si="13"/>
        <v/>
      </c>
    </row>
    <row r="86" spans="1:29" x14ac:dyDescent="0.2">
      <c r="A86" t="str">
        <f>IF(OR(Entry!$B89="",Entry!$E89="",$E86="نامعتبر"),"",Entry!$E89)</f>
        <v/>
      </c>
      <c r="B86" t="str">
        <f>IF($A86="","",LEFT($E86,4)&amp;MID($E86,6,2)&amp;RIGHT($E86,2)&amp;$F86&amp;"|"&amp;"1"&amp;RIGHT("00000"&amp;81,5))</f>
        <v/>
      </c>
      <c r="C86" t="str">
        <f t="shared" si="7"/>
        <v/>
      </c>
      <c r="D86" t="str">
        <f t="shared" si="8"/>
        <v/>
      </c>
      <c r="E86" t="str">
        <f>IF(Entry!$B89="","",IF(ISNUMBER(Entry!$B89),IF(AND(Entry!$B89&gt;=10000101,Entry!$B89&lt;=99991231),INT(Entry!$B89/10000)&amp;"/"&amp;RIGHT("00"&amp;INT(MOD(Entry!$B89,10000)/100),2)&amp;"/"&amp;RIGHT("00"&amp;MOD(Entry!$B89,100),2),"نامعتبر"),IF(LEN(Entry!$B89)=10,Entry!$B89,"نامعتبر")))</f>
        <v/>
      </c>
      <c r="F86" t="str">
        <f>IF(Entry!$B89="","",IF(Entry!$C89="","0000",IF(AND(ISNUMBER(Entry!$C89),Entry!$C89&gt;=0,Entry!$C89&lt;1),RIGHT("00"&amp;HOUR(Entry!$C89),2)&amp;RIGHT("00"&amp;MINUTE(Entry!$C89),2),IFERROR(RIGHT("00"&amp;VALUE(LEFT(Entry!$C89,FIND(":",Entry!$C89)-1)),2)&amp;RIGHT("00"&amp;VALUE(MID(Entry!$C89,FIND(":",Entry!$C89)+1,2)),2),"0000"))))</f>
        <v/>
      </c>
      <c r="G86" t="str">
        <f>IF($A86="","",Entry!$G89)</f>
        <v/>
      </c>
      <c r="H86" t="str">
        <f>IF($A86="","",IF(Entry!$H89="",0,Entry!$H89))</f>
        <v/>
      </c>
      <c r="I86" t="str">
        <f>IF($A86="","",IF(Entry!$I89="",0,Entry!$I89))</f>
        <v/>
      </c>
      <c r="J86" t="str">
        <f t="shared" si="9"/>
        <v/>
      </c>
      <c r="K86" t="str">
        <f>IF($A86="","",Entry!$D89)</f>
        <v/>
      </c>
      <c r="L86" t="str">
        <f>IF($A86="","",Entry!$L89)</f>
        <v/>
      </c>
      <c r="N86" t="str">
        <f>IF(OR(Sync!$M86="",$Q86="",$Q86="نامعتبر"),"",Sync!$M86)</f>
        <v/>
      </c>
      <c r="O86" t="str">
        <f t="shared" si="10"/>
        <v/>
      </c>
      <c r="P86" t="str">
        <f>IF($N86="","",LEFT($Q86,4)&amp;MID($Q86,6,2)&amp;RIGHT($Q86,2)&amp;IF(Sync!$K86="","0000",IF(AND(ISNUMBER(Sync!$K86),Sync!$K86&gt;=0,Sync!$K86&lt;1),RIGHT("00"&amp;HOUR(Sync!$K86),2)&amp;RIGHT("00"&amp;MINUTE(Sync!$K86),2),IFERROR(RIGHT("00"&amp;VALUE(LEFT(Sync!$K86,FIND(":",Sync!$K86)-1)),2)&amp;RIGHT("00"&amp;VALUE(MID(Sync!$K86,FIND(":",Sync!$K86)+1,2)),2),"0000")))&amp;"|"&amp;"2"&amp;RIGHT("00000"&amp;81,5))</f>
        <v/>
      </c>
      <c r="Q86" t="str">
        <f>IF(Sync!$J86="","",IF(ISNUMBER(Sync!$J86),IF(AND(Sync!$J86&gt;=10000101,Sync!$J86&lt;=99991231),INT(Sync!$J86/10000)&amp;"/"&amp;RIGHT("00"&amp;INT(MOD(Sync!$J86,10000)/100),2)&amp;"/"&amp;RIGHT("00"&amp;MOD(Sync!$J86,100),2),"نامعتبر"),IF(LEN(Sync!$J86)=10,Sync!$J86,"نامعتبر")))</f>
        <v/>
      </c>
      <c r="R86" t="str">
        <f t="shared" si="11"/>
        <v/>
      </c>
      <c r="S86" t="str">
        <f t="shared" si="12"/>
        <v/>
      </c>
      <c r="T86" t="str">
        <f>IF($N86="","",IF(Sync!$N86="",0,Sync!$N86))</f>
        <v/>
      </c>
      <c r="U86" t="str">
        <f>IF($N86="","",IF(Sync!$O86="",0,Sync!$O86))</f>
        <v/>
      </c>
      <c r="V86" t="str">
        <f>IF($N86="","",Sync!$L86)</f>
        <v/>
      </c>
      <c r="W86" t="str">
        <f>IF($N86="","",Sync!$P86)</f>
        <v/>
      </c>
      <c r="AA86" t="str">
        <f>IF($A86="","",IF(COUNTIF($A$6:$A86,$A86)=1,1,0))</f>
        <v/>
      </c>
      <c r="AB86">
        <f>SUM($AA$6:$AA86)</f>
        <v>3</v>
      </c>
      <c r="AC86" t="str">
        <f t="shared" si="13"/>
        <v/>
      </c>
    </row>
    <row r="87" spans="1:29" x14ac:dyDescent="0.2">
      <c r="A87" t="str">
        <f>IF(OR(Entry!$B90="",Entry!$E90="",$E87="نامعتبر"),"",Entry!$E90)</f>
        <v/>
      </c>
      <c r="B87" t="str">
        <f>IF($A87="","",LEFT($E87,4)&amp;MID($E87,6,2)&amp;RIGHT($E87,2)&amp;$F87&amp;"|"&amp;"1"&amp;RIGHT("00000"&amp;82,5))</f>
        <v/>
      </c>
      <c r="C87" t="str">
        <f t="shared" si="7"/>
        <v/>
      </c>
      <c r="D87" t="str">
        <f t="shared" si="8"/>
        <v/>
      </c>
      <c r="E87" t="str">
        <f>IF(Entry!$B90="","",IF(ISNUMBER(Entry!$B90),IF(AND(Entry!$B90&gt;=10000101,Entry!$B90&lt;=99991231),INT(Entry!$B90/10000)&amp;"/"&amp;RIGHT("00"&amp;INT(MOD(Entry!$B90,10000)/100),2)&amp;"/"&amp;RIGHT("00"&amp;MOD(Entry!$B90,100),2),"نامعتبر"),IF(LEN(Entry!$B90)=10,Entry!$B90,"نامعتبر")))</f>
        <v/>
      </c>
      <c r="F87" t="str">
        <f>IF(Entry!$B90="","",IF(Entry!$C90="","0000",IF(AND(ISNUMBER(Entry!$C90),Entry!$C90&gt;=0,Entry!$C90&lt;1),RIGHT("00"&amp;HOUR(Entry!$C90),2)&amp;RIGHT("00"&amp;MINUTE(Entry!$C90),2),IFERROR(RIGHT("00"&amp;VALUE(LEFT(Entry!$C90,FIND(":",Entry!$C90)-1)),2)&amp;RIGHT("00"&amp;VALUE(MID(Entry!$C90,FIND(":",Entry!$C90)+1,2)),2),"0000"))))</f>
        <v/>
      </c>
      <c r="G87" t="str">
        <f>IF($A87="","",Entry!$G90)</f>
        <v/>
      </c>
      <c r="H87" t="str">
        <f>IF($A87="","",IF(Entry!$H90="",0,Entry!$H90))</f>
        <v/>
      </c>
      <c r="I87" t="str">
        <f>IF($A87="","",IF(Entry!$I90="",0,Entry!$I90))</f>
        <v/>
      </c>
      <c r="J87" t="str">
        <f t="shared" si="9"/>
        <v/>
      </c>
      <c r="K87" t="str">
        <f>IF($A87="","",Entry!$D90)</f>
        <v/>
      </c>
      <c r="L87" t="str">
        <f>IF($A87="","",Entry!$L90)</f>
        <v/>
      </c>
      <c r="N87" t="str">
        <f>IF(OR(Sync!$M87="",$Q87="",$Q87="نامعتبر"),"",Sync!$M87)</f>
        <v/>
      </c>
      <c r="O87" t="str">
        <f t="shared" si="10"/>
        <v/>
      </c>
      <c r="P87" t="str">
        <f>IF($N87="","",LEFT($Q87,4)&amp;MID($Q87,6,2)&amp;RIGHT($Q87,2)&amp;IF(Sync!$K87="","0000",IF(AND(ISNUMBER(Sync!$K87),Sync!$K87&gt;=0,Sync!$K87&lt;1),RIGHT("00"&amp;HOUR(Sync!$K87),2)&amp;RIGHT("00"&amp;MINUTE(Sync!$K87),2),IFERROR(RIGHT("00"&amp;VALUE(LEFT(Sync!$K87,FIND(":",Sync!$K87)-1)),2)&amp;RIGHT("00"&amp;VALUE(MID(Sync!$K87,FIND(":",Sync!$K87)+1,2)),2),"0000")))&amp;"|"&amp;"2"&amp;RIGHT("00000"&amp;82,5))</f>
        <v/>
      </c>
      <c r="Q87" t="str">
        <f>IF(Sync!$J87="","",IF(ISNUMBER(Sync!$J87),IF(AND(Sync!$J87&gt;=10000101,Sync!$J87&lt;=99991231),INT(Sync!$J87/10000)&amp;"/"&amp;RIGHT("00"&amp;INT(MOD(Sync!$J87,10000)/100),2)&amp;"/"&amp;RIGHT("00"&amp;MOD(Sync!$J87,100),2),"نامعتبر"),IF(LEN(Sync!$J87)=10,Sync!$J87,"نامعتبر")))</f>
        <v/>
      </c>
      <c r="R87" t="str">
        <f t="shared" si="11"/>
        <v/>
      </c>
      <c r="S87" t="str">
        <f t="shared" si="12"/>
        <v/>
      </c>
      <c r="T87" t="str">
        <f>IF($N87="","",IF(Sync!$N87="",0,Sync!$N87))</f>
        <v/>
      </c>
      <c r="U87" t="str">
        <f>IF($N87="","",IF(Sync!$O87="",0,Sync!$O87))</f>
        <v/>
      </c>
      <c r="V87" t="str">
        <f>IF($N87="","",Sync!$L87)</f>
        <v/>
      </c>
      <c r="W87" t="str">
        <f>IF($N87="","",Sync!$P87)</f>
        <v/>
      </c>
      <c r="AA87" t="str">
        <f>IF($A87="","",IF(COUNTIF($A$6:$A87,$A87)=1,1,0))</f>
        <v/>
      </c>
      <c r="AB87">
        <f>SUM($AA$6:$AA87)</f>
        <v>3</v>
      </c>
      <c r="AC87" t="str">
        <f t="shared" si="13"/>
        <v/>
      </c>
    </row>
    <row r="88" spans="1:29" x14ac:dyDescent="0.2">
      <c r="A88" t="str">
        <f>IF(OR(Entry!$B91="",Entry!$E91="",$E88="نامعتبر"),"",Entry!$E91)</f>
        <v/>
      </c>
      <c r="B88" t="str">
        <f>IF($A88="","",LEFT($E88,4)&amp;MID($E88,6,2)&amp;RIGHT($E88,2)&amp;$F88&amp;"|"&amp;"1"&amp;RIGHT("00000"&amp;83,5))</f>
        <v/>
      </c>
      <c r="C88" t="str">
        <f t="shared" si="7"/>
        <v/>
      </c>
      <c r="D88" t="str">
        <f t="shared" si="8"/>
        <v/>
      </c>
      <c r="E88" t="str">
        <f>IF(Entry!$B91="","",IF(ISNUMBER(Entry!$B91),IF(AND(Entry!$B91&gt;=10000101,Entry!$B91&lt;=99991231),INT(Entry!$B91/10000)&amp;"/"&amp;RIGHT("00"&amp;INT(MOD(Entry!$B91,10000)/100),2)&amp;"/"&amp;RIGHT("00"&amp;MOD(Entry!$B91,100),2),"نامعتبر"),IF(LEN(Entry!$B91)=10,Entry!$B91,"نامعتبر")))</f>
        <v/>
      </c>
      <c r="F88" t="str">
        <f>IF(Entry!$B91="","",IF(Entry!$C91="","0000",IF(AND(ISNUMBER(Entry!$C91),Entry!$C91&gt;=0,Entry!$C91&lt;1),RIGHT("00"&amp;HOUR(Entry!$C91),2)&amp;RIGHT("00"&amp;MINUTE(Entry!$C91),2),IFERROR(RIGHT("00"&amp;VALUE(LEFT(Entry!$C91,FIND(":",Entry!$C91)-1)),2)&amp;RIGHT("00"&amp;VALUE(MID(Entry!$C91,FIND(":",Entry!$C91)+1,2)),2),"0000"))))</f>
        <v/>
      </c>
      <c r="G88" t="str">
        <f>IF($A88="","",Entry!$G91)</f>
        <v/>
      </c>
      <c r="H88" t="str">
        <f>IF($A88="","",IF(Entry!$H91="",0,Entry!$H91))</f>
        <v/>
      </c>
      <c r="I88" t="str">
        <f>IF($A88="","",IF(Entry!$I91="",0,Entry!$I91))</f>
        <v/>
      </c>
      <c r="J88" t="str">
        <f t="shared" si="9"/>
        <v/>
      </c>
      <c r="K88" t="str">
        <f>IF($A88="","",Entry!$D91)</f>
        <v/>
      </c>
      <c r="L88" t="str">
        <f>IF($A88="","",Entry!$L91)</f>
        <v/>
      </c>
      <c r="N88" t="str">
        <f>IF(OR(Sync!$M88="",$Q88="",$Q88="نامعتبر"),"",Sync!$M88)</f>
        <v/>
      </c>
      <c r="O88" t="str">
        <f t="shared" si="10"/>
        <v/>
      </c>
      <c r="P88" t="str">
        <f>IF($N88="","",LEFT($Q88,4)&amp;MID($Q88,6,2)&amp;RIGHT($Q88,2)&amp;IF(Sync!$K88="","0000",IF(AND(ISNUMBER(Sync!$K88),Sync!$K88&gt;=0,Sync!$K88&lt;1),RIGHT("00"&amp;HOUR(Sync!$K88),2)&amp;RIGHT("00"&amp;MINUTE(Sync!$K88),2),IFERROR(RIGHT("00"&amp;VALUE(LEFT(Sync!$K88,FIND(":",Sync!$K88)-1)),2)&amp;RIGHT("00"&amp;VALUE(MID(Sync!$K88,FIND(":",Sync!$K88)+1,2)),2),"0000")))&amp;"|"&amp;"2"&amp;RIGHT("00000"&amp;83,5))</f>
        <v/>
      </c>
      <c r="Q88" t="str">
        <f>IF(Sync!$J88="","",IF(ISNUMBER(Sync!$J88),IF(AND(Sync!$J88&gt;=10000101,Sync!$J88&lt;=99991231),INT(Sync!$J88/10000)&amp;"/"&amp;RIGHT("00"&amp;INT(MOD(Sync!$J88,10000)/100),2)&amp;"/"&amp;RIGHT("00"&amp;MOD(Sync!$J88,100),2),"نامعتبر"),IF(LEN(Sync!$J88)=10,Sync!$J88,"نامعتبر")))</f>
        <v/>
      </c>
      <c r="R88" t="str">
        <f t="shared" si="11"/>
        <v/>
      </c>
      <c r="S88" t="str">
        <f t="shared" si="12"/>
        <v/>
      </c>
      <c r="T88" t="str">
        <f>IF($N88="","",IF(Sync!$N88="",0,Sync!$N88))</f>
        <v/>
      </c>
      <c r="U88" t="str">
        <f>IF($N88="","",IF(Sync!$O88="",0,Sync!$O88))</f>
        <v/>
      </c>
      <c r="V88" t="str">
        <f>IF($N88="","",Sync!$L88)</f>
        <v/>
      </c>
      <c r="W88" t="str">
        <f>IF($N88="","",Sync!$P88)</f>
        <v/>
      </c>
      <c r="AA88" t="str">
        <f>IF($A88="","",IF(COUNTIF($A$6:$A88,$A88)=1,1,0))</f>
        <v/>
      </c>
      <c r="AB88">
        <f>SUM($AA$6:$AA88)</f>
        <v>3</v>
      </c>
      <c r="AC88" t="str">
        <f t="shared" si="13"/>
        <v/>
      </c>
    </row>
    <row r="89" spans="1:29" x14ac:dyDescent="0.2">
      <c r="A89" t="str">
        <f>IF(OR(Entry!$B92="",Entry!$E92="",$E89="نامعتبر"),"",Entry!$E92)</f>
        <v/>
      </c>
      <c r="B89" t="str">
        <f>IF($A89="","",LEFT($E89,4)&amp;MID($E89,6,2)&amp;RIGHT($E89,2)&amp;$F89&amp;"|"&amp;"1"&amp;RIGHT("00000"&amp;84,5))</f>
        <v/>
      </c>
      <c r="C89" t="str">
        <f t="shared" si="7"/>
        <v/>
      </c>
      <c r="D89" t="str">
        <f t="shared" si="8"/>
        <v/>
      </c>
      <c r="E89" t="str">
        <f>IF(Entry!$B92="","",IF(ISNUMBER(Entry!$B92),IF(AND(Entry!$B92&gt;=10000101,Entry!$B92&lt;=99991231),INT(Entry!$B92/10000)&amp;"/"&amp;RIGHT("00"&amp;INT(MOD(Entry!$B92,10000)/100),2)&amp;"/"&amp;RIGHT("00"&amp;MOD(Entry!$B92,100),2),"نامعتبر"),IF(LEN(Entry!$B92)=10,Entry!$B92,"نامعتبر")))</f>
        <v/>
      </c>
      <c r="F89" t="str">
        <f>IF(Entry!$B92="","",IF(Entry!$C92="","0000",IF(AND(ISNUMBER(Entry!$C92),Entry!$C92&gt;=0,Entry!$C92&lt;1),RIGHT("00"&amp;HOUR(Entry!$C92),2)&amp;RIGHT("00"&amp;MINUTE(Entry!$C92),2),IFERROR(RIGHT("00"&amp;VALUE(LEFT(Entry!$C92,FIND(":",Entry!$C92)-1)),2)&amp;RIGHT("00"&amp;VALUE(MID(Entry!$C92,FIND(":",Entry!$C92)+1,2)),2),"0000"))))</f>
        <v/>
      </c>
      <c r="G89" t="str">
        <f>IF($A89="","",Entry!$G92)</f>
        <v/>
      </c>
      <c r="H89" t="str">
        <f>IF($A89="","",IF(Entry!$H92="",0,Entry!$H92))</f>
        <v/>
      </c>
      <c r="I89" t="str">
        <f>IF($A89="","",IF(Entry!$I92="",0,Entry!$I92))</f>
        <v/>
      </c>
      <c r="J89" t="str">
        <f t="shared" si="9"/>
        <v/>
      </c>
      <c r="K89" t="str">
        <f>IF($A89="","",Entry!$D92)</f>
        <v/>
      </c>
      <c r="L89" t="str">
        <f>IF($A89="","",Entry!$L92)</f>
        <v/>
      </c>
      <c r="N89" t="str">
        <f>IF(OR(Sync!$M89="",$Q89="",$Q89="نامعتبر"),"",Sync!$M89)</f>
        <v/>
      </c>
      <c r="O89" t="str">
        <f t="shared" si="10"/>
        <v/>
      </c>
      <c r="P89" t="str">
        <f>IF($N89="","",LEFT($Q89,4)&amp;MID($Q89,6,2)&amp;RIGHT($Q89,2)&amp;IF(Sync!$K89="","0000",IF(AND(ISNUMBER(Sync!$K89),Sync!$K89&gt;=0,Sync!$K89&lt;1),RIGHT("00"&amp;HOUR(Sync!$K89),2)&amp;RIGHT("00"&amp;MINUTE(Sync!$K89),2),IFERROR(RIGHT("00"&amp;VALUE(LEFT(Sync!$K89,FIND(":",Sync!$K89)-1)),2)&amp;RIGHT("00"&amp;VALUE(MID(Sync!$K89,FIND(":",Sync!$K89)+1,2)),2),"0000")))&amp;"|"&amp;"2"&amp;RIGHT("00000"&amp;84,5))</f>
        <v/>
      </c>
      <c r="Q89" t="str">
        <f>IF(Sync!$J89="","",IF(ISNUMBER(Sync!$J89),IF(AND(Sync!$J89&gt;=10000101,Sync!$J89&lt;=99991231),INT(Sync!$J89/10000)&amp;"/"&amp;RIGHT("00"&amp;INT(MOD(Sync!$J89,10000)/100),2)&amp;"/"&amp;RIGHT("00"&amp;MOD(Sync!$J89,100),2),"نامعتبر"),IF(LEN(Sync!$J89)=10,Sync!$J89,"نامعتبر")))</f>
        <v/>
      </c>
      <c r="R89" t="str">
        <f t="shared" si="11"/>
        <v/>
      </c>
      <c r="S89" t="str">
        <f t="shared" si="12"/>
        <v/>
      </c>
      <c r="T89" t="str">
        <f>IF($N89="","",IF(Sync!$N89="",0,Sync!$N89))</f>
        <v/>
      </c>
      <c r="U89" t="str">
        <f>IF($N89="","",IF(Sync!$O89="",0,Sync!$O89))</f>
        <v/>
      </c>
      <c r="V89" t="str">
        <f>IF($N89="","",Sync!$L89)</f>
        <v/>
      </c>
      <c r="W89" t="str">
        <f>IF($N89="","",Sync!$P89)</f>
        <v/>
      </c>
      <c r="AA89" t="str">
        <f>IF($A89="","",IF(COUNTIF($A$6:$A89,$A89)=1,1,0))</f>
        <v/>
      </c>
      <c r="AB89">
        <f>SUM($AA$6:$AA89)</f>
        <v>3</v>
      </c>
      <c r="AC89" t="str">
        <f t="shared" si="13"/>
        <v/>
      </c>
    </row>
    <row r="90" spans="1:29" x14ac:dyDescent="0.2">
      <c r="A90" t="str">
        <f>IF(OR(Entry!$B93="",Entry!$E93="",$E90="نامعتبر"),"",Entry!$E93)</f>
        <v/>
      </c>
      <c r="B90" t="str">
        <f>IF($A90="","",LEFT($E90,4)&amp;MID($E90,6,2)&amp;RIGHT($E90,2)&amp;$F90&amp;"|"&amp;"1"&amp;RIGHT("00000"&amp;85,5))</f>
        <v/>
      </c>
      <c r="C90" t="str">
        <f t="shared" si="7"/>
        <v/>
      </c>
      <c r="D90" t="str">
        <f t="shared" si="8"/>
        <v/>
      </c>
      <c r="E90" t="str">
        <f>IF(Entry!$B93="","",IF(ISNUMBER(Entry!$B93),IF(AND(Entry!$B93&gt;=10000101,Entry!$B93&lt;=99991231),INT(Entry!$B93/10000)&amp;"/"&amp;RIGHT("00"&amp;INT(MOD(Entry!$B93,10000)/100),2)&amp;"/"&amp;RIGHT("00"&amp;MOD(Entry!$B93,100),2),"نامعتبر"),IF(LEN(Entry!$B93)=10,Entry!$B93,"نامعتبر")))</f>
        <v/>
      </c>
      <c r="F90" t="str">
        <f>IF(Entry!$B93="","",IF(Entry!$C93="","0000",IF(AND(ISNUMBER(Entry!$C93),Entry!$C93&gt;=0,Entry!$C93&lt;1),RIGHT("00"&amp;HOUR(Entry!$C93),2)&amp;RIGHT("00"&amp;MINUTE(Entry!$C93),2),IFERROR(RIGHT("00"&amp;VALUE(LEFT(Entry!$C93,FIND(":",Entry!$C93)-1)),2)&amp;RIGHT("00"&amp;VALUE(MID(Entry!$C93,FIND(":",Entry!$C93)+1,2)),2),"0000"))))</f>
        <v/>
      </c>
      <c r="G90" t="str">
        <f>IF($A90="","",Entry!$G93)</f>
        <v/>
      </c>
      <c r="H90" t="str">
        <f>IF($A90="","",IF(Entry!$H93="",0,Entry!$H93))</f>
        <v/>
      </c>
      <c r="I90" t="str">
        <f>IF($A90="","",IF(Entry!$I93="",0,Entry!$I93))</f>
        <v/>
      </c>
      <c r="J90" t="str">
        <f t="shared" si="9"/>
        <v/>
      </c>
      <c r="K90" t="str">
        <f>IF($A90="","",Entry!$D93)</f>
        <v/>
      </c>
      <c r="L90" t="str">
        <f>IF($A90="","",Entry!$L93)</f>
        <v/>
      </c>
      <c r="N90" t="str">
        <f>IF(OR(Sync!$M90="",$Q90="",$Q90="نامعتبر"),"",Sync!$M90)</f>
        <v/>
      </c>
      <c r="O90" t="str">
        <f t="shared" si="10"/>
        <v/>
      </c>
      <c r="P90" t="str">
        <f>IF($N90="","",LEFT($Q90,4)&amp;MID($Q90,6,2)&amp;RIGHT($Q90,2)&amp;IF(Sync!$K90="","0000",IF(AND(ISNUMBER(Sync!$K90),Sync!$K90&gt;=0,Sync!$K90&lt;1),RIGHT("00"&amp;HOUR(Sync!$K90),2)&amp;RIGHT("00"&amp;MINUTE(Sync!$K90),2),IFERROR(RIGHT("00"&amp;VALUE(LEFT(Sync!$K90,FIND(":",Sync!$K90)-1)),2)&amp;RIGHT("00"&amp;VALUE(MID(Sync!$K90,FIND(":",Sync!$K90)+1,2)),2),"0000")))&amp;"|"&amp;"2"&amp;RIGHT("00000"&amp;85,5))</f>
        <v/>
      </c>
      <c r="Q90" t="str">
        <f>IF(Sync!$J90="","",IF(ISNUMBER(Sync!$J90),IF(AND(Sync!$J90&gt;=10000101,Sync!$J90&lt;=99991231),INT(Sync!$J90/10000)&amp;"/"&amp;RIGHT("00"&amp;INT(MOD(Sync!$J90,10000)/100),2)&amp;"/"&amp;RIGHT("00"&amp;MOD(Sync!$J90,100),2),"نامعتبر"),IF(LEN(Sync!$J90)=10,Sync!$J90,"نامعتبر")))</f>
        <v/>
      </c>
      <c r="R90" t="str">
        <f t="shared" si="11"/>
        <v/>
      </c>
      <c r="S90" t="str">
        <f t="shared" si="12"/>
        <v/>
      </c>
      <c r="T90" t="str">
        <f>IF($N90="","",IF(Sync!$N90="",0,Sync!$N90))</f>
        <v/>
      </c>
      <c r="U90" t="str">
        <f>IF($N90="","",IF(Sync!$O90="",0,Sync!$O90))</f>
        <v/>
      </c>
      <c r="V90" t="str">
        <f>IF($N90="","",Sync!$L90)</f>
        <v/>
      </c>
      <c r="W90" t="str">
        <f>IF($N90="","",Sync!$P90)</f>
        <v/>
      </c>
      <c r="AA90" t="str">
        <f>IF($A90="","",IF(COUNTIF($A$6:$A90,$A90)=1,1,0))</f>
        <v/>
      </c>
      <c r="AB90">
        <f>SUM($AA$6:$AA90)</f>
        <v>3</v>
      </c>
      <c r="AC90" t="str">
        <f t="shared" si="13"/>
        <v/>
      </c>
    </row>
    <row r="91" spans="1:29" x14ac:dyDescent="0.2">
      <c r="A91" t="str">
        <f>IF(OR(Entry!$B94="",Entry!$E94="",$E91="نامعتبر"),"",Entry!$E94)</f>
        <v/>
      </c>
      <c r="B91" t="str">
        <f>IF($A91="","",LEFT($E91,4)&amp;MID($E91,6,2)&amp;RIGHT($E91,2)&amp;$F91&amp;"|"&amp;"1"&amp;RIGHT("00000"&amp;86,5))</f>
        <v/>
      </c>
      <c r="C91" t="str">
        <f t="shared" si="7"/>
        <v/>
      </c>
      <c r="D91" t="str">
        <f t="shared" si="8"/>
        <v/>
      </c>
      <c r="E91" t="str">
        <f>IF(Entry!$B94="","",IF(ISNUMBER(Entry!$B94),IF(AND(Entry!$B94&gt;=10000101,Entry!$B94&lt;=99991231),INT(Entry!$B94/10000)&amp;"/"&amp;RIGHT("00"&amp;INT(MOD(Entry!$B94,10000)/100),2)&amp;"/"&amp;RIGHT("00"&amp;MOD(Entry!$B94,100),2),"نامعتبر"),IF(LEN(Entry!$B94)=10,Entry!$B94,"نامعتبر")))</f>
        <v/>
      </c>
      <c r="F91" t="str">
        <f>IF(Entry!$B94="","",IF(Entry!$C94="","0000",IF(AND(ISNUMBER(Entry!$C94),Entry!$C94&gt;=0,Entry!$C94&lt;1),RIGHT("00"&amp;HOUR(Entry!$C94),2)&amp;RIGHT("00"&amp;MINUTE(Entry!$C94),2),IFERROR(RIGHT("00"&amp;VALUE(LEFT(Entry!$C94,FIND(":",Entry!$C94)-1)),2)&amp;RIGHT("00"&amp;VALUE(MID(Entry!$C94,FIND(":",Entry!$C94)+1,2)),2),"0000"))))</f>
        <v/>
      </c>
      <c r="G91" t="str">
        <f>IF($A91="","",Entry!$G94)</f>
        <v/>
      </c>
      <c r="H91" t="str">
        <f>IF($A91="","",IF(Entry!$H94="",0,Entry!$H94))</f>
        <v/>
      </c>
      <c r="I91" t="str">
        <f>IF($A91="","",IF(Entry!$I94="",0,Entry!$I94))</f>
        <v/>
      </c>
      <c r="J91" t="str">
        <f t="shared" si="9"/>
        <v/>
      </c>
      <c r="K91" t="str">
        <f>IF($A91="","",Entry!$D94)</f>
        <v/>
      </c>
      <c r="L91" t="str">
        <f>IF($A91="","",Entry!$L94)</f>
        <v/>
      </c>
      <c r="N91" t="str">
        <f>IF(OR(Sync!$M91="",$Q91="",$Q91="نامعتبر"),"",Sync!$M91)</f>
        <v/>
      </c>
      <c r="O91" t="str">
        <f t="shared" si="10"/>
        <v/>
      </c>
      <c r="P91" t="str">
        <f>IF($N91="","",LEFT($Q91,4)&amp;MID($Q91,6,2)&amp;RIGHT($Q91,2)&amp;IF(Sync!$K91="","0000",IF(AND(ISNUMBER(Sync!$K91),Sync!$K91&gt;=0,Sync!$K91&lt;1),RIGHT("00"&amp;HOUR(Sync!$K91),2)&amp;RIGHT("00"&amp;MINUTE(Sync!$K91),2),IFERROR(RIGHT("00"&amp;VALUE(LEFT(Sync!$K91,FIND(":",Sync!$K91)-1)),2)&amp;RIGHT("00"&amp;VALUE(MID(Sync!$K91,FIND(":",Sync!$K91)+1,2)),2),"0000")))&amp;"|"&amp;"2"&amp;RIGHT("00000"&amp;86,5))</f>
        <v/>
      </c>
      <c r="Q91" t="str">
        <f>IF(Sync!$J91="","",IF(ISNUMBER(Sync!$J91),IF(AND(Sync!$J91&gt;=10000101,Sync!$J91&lt;=99991231),INT(Sync!$J91/10000)&amp;"/"&amp;RIGHT("00"&amp;INT(MOD(Sync!$J91,10000)/100),2)&amp;"/"&amp;RIGHT("00"&amp;MOD(Sync!$J91,100),2),"نامعتبر"),IF(LEN(Sync!$J91)=10,Sync!$J91,"نامعتبر")))</f>
        <v/>
      </c>
      <c r="R91" t="str">
        <f t="shared" si="11"/>
        <v/>
      </c>
      <c r="S91" t="str">
        <f t="shared" si="12"/>
        <v/>
      </c>
      <c r="T91" t="str">
        <f>IF($N91="","",IF(Sync!$N91="",0,Sync!$N91))</f>
        <v/>
      </c>
      <c r="U91" t="str">
        <f>IF($N91="","",IF(Sync!$O91="",0,Sync!$O91))</f>
        <v/>
      </c>
      <c r="V91" t="str">
        <f>IF($N91="","",Sync!$L91)</f>
        <v/>
      </c>
      <c r="W91" t="str">
        <f>IF($N91="","",Sync!$P91)</f>
        <v/>
      </c>
      <c r="AA91" t="str">
        <f>IF($A91="","",IF(COUNTIF($A$6:$A91,$A91)=1,1,0))</f>
        <v/>
      </c>
      <c r="AB91">
        <f>SUM($AA$6:$AA91)</f>
        <v>3</v>
      </c>
      <c r="AC91" t="str">
        <f t="shared" si="13"/>
        <v/>
      </c>
    </row>
    <row r="92" spans="1:29" x14ac:dyDescent="0.2">
      <c r="A92" t="str">
        <f>IF(OR(Entry!$B95="",Entry!$E95="",$E92="نامعتبر"),"",Entry!$E95)</f>
        <v/>
      </c>
      <c r="B92" t="str">
        <f>IF($A92="","",LEFT($E92,4)&amp;MID($E92,6,2)&amp;RIGHT($E92,2)&amp;$F92&amp;"|"&amp;"1"&amp;RIGHT("00000"&amp;87,5))</f>
        <v/>
      </c>
      <c r="C92" t="str">
        <f t="shared" si="7"/>
        <v/>
      </c>
      <c r="D92" t="str">
        <f t="shared" si="8"/>
        <v/>
      </c>
      <c r="E92" t="str">
        <f>IF(Entry!$B95="","",IF(ISNUMBER(Entry!$B95),IF(AND(Entry!$B95&gt;=10000101,Entry!$B95&lt;=99991231),INT(Entry!$B95/10000)&amp;"/"&amp;RIGHT("00"&amp;INT(MOD(Entry!$B95,10000)/100),2)&amp;"/"&amp;RIGHT("00"&amp;MOD(Entry!$B95,100),2),"نامعتبر"),IF(LEN(Entry!$B95)=10,Entry!$B95,"نامعتبر")))</f>
        <v/>
      </c>
      <c r="F92" t="str">
        <f>IF(Entry!$B95="","",IF(Entry!$C95="","0000",IF(AND(ISNUMBER(Entry!$C95),Entry!$C95&gt;=0,Entry!$C95&lt;1),RIGHT("00"&amp;HOUR(Entry!$C95),2)&amp;RIGHT("00"&amp;MINUTE(Entry!$C95),2),IFERROR(RIGHT("00"&amp;VALUE(LEFT(Entry!$C95,FIND(":",Entry!$C95)-1)),2)&amp;RIGHT("00"&amp;VALUE(MID(Entry!$C95,FIND(":",Entry!$C95)+1,2)),2),"0000"))))</f>
        <v/>
      </c>
      <c r="G92" t="str">
        <f>IF($A92="","",Entry!$G95)</f>
        <v/>
      </c>
      <c r="H92" t="str">
        <f>IF($A92="","",IF(Entry!$H95="",0,Entry!$H95))</f>
        <v/>
      </c>
      <c r="I92" t="str">
        <f>IF($A92="","",IF(Entry!$I95="",0,Entry!$I95))</f>
        <v/>
      </c>
      <c r="J92" t="str">
        <f t="shared" si="9"/>
        <v/>
      </c>
      <c r="K92" t="str">
        <f>IF($A92="","",Entry!$D95)</f>
        <v/>
      </c>
      <c r="L92" t="str">
        <f>IF($A92="","",Entry!$L95)</f>
        <v/>
      </c>
      <c r="N92" t="str">
        <f>IF(OR(Sync!$M92="",$Q92="",$Q92="نامعتبر"),"",Sync!$M92)</f>
        <v/>
      </c>
      <c r="O92" t="str">
        <f t="shared" si="10"/>
        <v/>
      </c>
      <c r="P92" t="str">
        <f>IF($N92="","",LEFT($Q92,4)&amp;MID($Q92,6,2)&amp;RIGHT($Q92,2)&amp;IF(Sync!$K92="","0000",IF(AND(ISNUMBER(Sync!$K92),Sync!$K92&gt;=0,Sync!$K92&lt;1),RIGHT("00"&amp;HOUR(Sync!$K92),2)&amp;RIGHT("00"&amp;MINUTE(Sync!$K92),2),IFERROR(RIGHT("00"&amp;VALUE(LEFT(Sync!$K92,FIND(":",Sync!$K92)-1)),2)&amp;RIGHT("00"&amp;VALUE(MID(Sync!$K92,FIND(":",Sync!$K92)+1,2)),2),"0000")))&amp;"|"&amp;"2"&amp;RIGHT("00000"&amp;87,5))</f>
        <v/>
      </c>
      <c r="Q92" t="str">
        <f>IF(Sync!$J92="","",IF(ISNUMBER(Sync!$J92),IF(AND(Sync!$J92&gt;=10000101,Sync!$J92&lt;=99991231),INT(Sync!$J92/10000)&amp;"/"&amp;RIGHT("00"&amp;INT(MOD(Sync!$J92,10000)/100),2)&amp;"/"&amp;RIGHT("00"&amp;MOD(Sync!$J92,100),2),"نامعتبر"),IF(LEN(Sync!$J92)=10,Sync!$J92,"نامعتبر")))</f>
        <v/>
      </c>
      <c r="R92" t="str">
        <f t="shared" si="11"/>
        <v/>
      </c>
      <c r="S92" t="str">
        <f t="shared" si="12"/>
        <v/>
      </c>
      <c r="T92" t="str">
        <f>IF($N92="","",IF(Sync!$N92="",0,Sync!$N92))</f>
        <v/>
      </c>
      <c r="U92" t="str">
        <f>IF($N92="","",IF(Sync!$O92="",0,Sync!$O92))</f>
        <v/>
      </c>
      <c r="V92" t="str">
        <f>IF($N92="","",Sync!$L92)</f>
        <v/>
      </c>
      <c r="W92" t="str">
        <f>IF($N92="","",Sync!$P92)</f>
        <v/>
      </c>
      <c r="AA92" t="str">
        <f>IF($A92="","",IF(COUNTIF($A$6:$A92,$A92)=1,1,0))</f>
        <v/>
      </c>
      <c r="AB92">
        <f>SUM($AA$6:$AA92)</f>
        <v>3</v>
      </c>
      <c r="AC92" t="str">
        <f t="shared" si="13"/>
        <v/>
      </c>
    </row>
    <row r="93" spans="1:29" x14ac:dyDescent="0.2">
      <c r="A93" t="str">
        <f>IF(OR(Entry!$B96="",Entry!$E96="",$E93="نامعتبر"),"",Entry!$E96)</f>
        <v/>
      </c>
      <c r="B93" t="str">
        <f>IF($A93="","",LEFT($E93,4)&amp;MID($E93,6,2)&amp;RIGHT($E93,2)&amp;$F93&amp;"|"&amp;"1"&amp;RIGHT("00000"&amp;88,5))</f>
        <v/>
      </c>
      <c r="C93" t="str">
        <f t="shared" si="7"/>
        <v/>
      </c>
      <c r="D93" t="str">
        <f t="shared" si="8"/>
        <v/>
      </c>
      <c r="E93" t="str">
        <f>IF(Entry!$B96="","",IF(ISNUMBER(Entry!$B96),IF(AND(Entry!$B96&gt;=10000101,Entry!$B96&lt;=99991231),INT(Entry!$B96/10000)&amp;"/"&amp;RIGHT("00"&amp;INT(MOD(Entry!$B96,10000)/100),2)&amp;"/"&amp;RIGHT("00"&amp;MOD(Entry!$B96,100),2),"نامعتبر"),IF(LEN(Entry!$B96)=10,Entry!$B96,"نامعتبر")))</f>
        <v/>
      </c>
      <c r="F93" t="str">
        <f>IF(Entry!$B96="","",IF(Entry!$C96="","0000",IF(AND(ISNUMBER(Entry!$C96),Entry!$C96&gt;=0,Entry!$C96&lt;1),RIGHT("00"&amp;HOUR(Entry!$C96),2)&amp;RIGHT("00"&amp;MINUTE(Entry!$C96),2),IFERROR(RIGHT("00"&amp;VALUE(LEFT(Entry!$C96,FIND(":",Entry!$C96)-1)),2)&amp;RIGHT("00"&amp;VALUE(MID(Entry!$C96,FIND(":",Entry!$C96)+1,2)),2),"0000"))))</f>
        <v/>
      </c>
      <c r="G93" t="str">
        <f>IF($A93="","",Entry!$G96)</f>
        <v/>
      </c>
      <c r="H93" t="str">
        <f>IF($A93="","",IF(Entry!$H96="",0,Entry!$H96))</f>
        <v/>
      </c>
      <c r="I93" t="str">
        <f>IF($A93="","",IF(Entry!$I96="",0,Entry!$I96))</f>
        <v/>
      </c>
      <c r="J93" t="str">
        <f t="shared" si="9"/>
        <v/>
      </c>
      <c r="K93" t="str">
        <f>IF($A93="","",Entry!$D96)</f>
        <v/>
      </c>
      <c r="L93" t="str">
        <f>IF($A93="","",Entry!$L96)</f>
        <v/>
      </c>
      <c r="N93" t="str">
        <f>IF(OR(Sync!$M93="",$Q93="",$Q93="نامعتبر"),"",Sync!$M93)</f>
        <v/>
      </c>
      <c r="O93" t="str">
        <f t="shared" si="10"/>
        <v/>
      </c>
      <c r="P93" t="str">
        <f>IF($N93="","",LEFT($Q93,4)&amp;MID($Q93,6,2)&amp;RIGHT($Q93,2)&amp;IF(Sync!$K93="","0000",IF(AND(ISNUMBER(Sync!$K93),Sync!$K93&gt;=0,Sync!$K93&lt;1),RIGHT("00"&amp;HOUR(Sync!$K93),2)&amp;RIGHT("00"&amp;MINUTE(Sync!$K93),2),IFERROR(RIGHT("00"&amp;VALUE(LEFT(Sync!$K93,FIND(":",Sync!$K93)-1)),2)&amp;RIGHT("00"&amp;VALUE(MID(Sync!$K93,FIND(":",Sync!$K93)+1,2)),2),"0000")))&amp;"|"&amp;"2"&amp;RIGHT("00000"&amp;88,5))</f>
        <v/>
      </c>
      <c r="Q93" t="str">
        <f>IF(Sync!$J93="","",IF(ISNUMBER(Sync!$J93),IF(AND(Sync!$J93&gt;=10000101,Sync!$J93&lt;=99991231),INT(Sync!$J93/10000)&amp;"/"&amp;RIGHT("00"&amp;INT(MOD(Sync!$J93,10000)/100),2)&amp;"/"&amp;RIGHT("00"&amp;MOD(Sync!$J93,100),2),"نامعتبر"),IF(LEN(Sync!$J93)=10,Sync!$J93,"نامعتبر")))</f>
        <v/>
      </c>
      <c r="R93" t="str">
        <f t="shared" si="11"/>
        <v/>
      </c>
      <c r="S93" t="str">
        <f t="shared" si="12"/>
        <v/>
      </c>
      <c r="T93" t="str">
        <f>IF($N93="","",IF(Sync!$N93="",0,Sync!$N93))</f>
        <v/>
      </c>
      <c r="U93" t="str">
        <f>IF($N93="","",IF(Sync!$O93="",0,Sync!$O93))</f>
        <v/>
      </c>
      <c r="V93" t="str">
        <f>IF($N93="","",Sync!$L93)</f>
        <v/>
      </c>
      <c r="W93" t="str">
        <f>IF($N93="","",Sync!$P93)</f>
        <v/>
      </c>
      <c r="AA93" t="str">
        <f>IF($A93="","",IF(COUNTIF($A$6:$A93,$A93)=1,1,0))</f>
        <v/>
      </c>
      <c r="AB93">
        <f>SUM($AA$6:$AA93)</f>
        <v>3</v>
      </c>
      <c r="AC93" t="str">
        <f t="shared" si="13"/>
        <v/>
      </c>
    </row>
    <row r="94" spans="1:29" x14ac:dyDescent="0.2">
      <c r="A94" t="str">
        <f>IF(OR(Entry!$B97="",Entry!$E97="",$E94="نامعتبر"),"",Entry!$E97)</f>
        <v/>
      </c>
      <c r="B94" t="str">
        <f>IF($A94="","",LEFT($E94,4)&amp;MID($E94,6,2)&amp;RIGHT($E94,2)&amp;$F94&amp;"|"&amp;"1"&amp;RIGHT("00000"&amp;89,5))</f>
        <v/>
      </c>
      <c r="C94" t="str">
        <f t="shared" si="7"/>
        <v/>
      </c>
      <c r="D94" t="str">
        <f t="shared" si="8"/>
        <v/>
      </c>
      <c r="E94" t="str">
        <f>IF(Entry!$B97="","",IF(ISNUMBER(Entry!$B97),IF(AND(Entry!$B97&gt;=10000101,Entry!$B97&lt;=99991231),INT(Entry!$B97/10000)&amp;"/"&amp;RIGHT("00"&amp;INT(MOD(Entry!$B97,10000)/100),2)&amp;"/"&amp;RIGHT("00"&amp;MOD(Entry!$B97,100),2),"نامعتبر"),IF(LEN(Entry!$B97)=10,Entry!$B97,"نامعتبر")))</f>
        <v/>
      </c>
      <c r="F94" t="str">
        <f>IF(Entry!$B97="","",IF(Entry!$C97="","0000",IF(AND(ISNUMBER(Entry!$C97),Entry!$C97&gt;=0,Entry!$C97&lt;1),RIGHT("00"&amp;HOUR(Entry!$C97),2)&amp;RIGHT("00"&amp;MINUTE(Entry!$C97),2),IFERROR(RIGHT("00"&amp;VALUE(LEFT(Entry!$C97,FIND(":",Entry!$C97)-1)),2)&amp;RIGHT("00"&amp;VALUE(MID(Entry!$C97,FIND(":",Entry!$C97)+1,2)),2),"0000"))))</f>
        <v/>
      </c>
      <c r="G94" t="str">
        <f>IF($A94="","",Entry!$G97)</f>
        <v/>
      </c>
      <c r="H94" t="str">
        <f>IF($A94="","",IF(Entry!$H97="",0,Entry!$H97))</f>
        <v/>
      </c>
      <c r="I94" t="str">
        <f>IF($A94="","",IF(Entry!$I97="",0,Entry!$I97))</f>
        <v/>
      </c>
      <c r="J94" t="str">
        <f t="shared" si="9"/>
        <v/>
      </c>
      <c r="K94" t="str">
        <f>IF($A94="","",Entry!$D97)</f>
        <v/>
      </c>
      <c r="L94" t="str">
        <f>IF($A94="","",Entry!$L97)</f>
        <v/>
      </c>
      <c r="N94" t="str">
        <f>IF(OR(Sync!$M94="",$Q94="",$Q94="نامعتبر"),"",Sync!$M94)</f>
        <v/>
      </c>
      <c r="O94" t="str">
        <f t="shared" si="10"/>
        <v/>
      </c>
      <c r="P94" t="str">
        <f>IF($N94="","",LEFT($Q94,4)&amp;MID($Q94,6,2)&amp;RIGHT($Q94,2)&amp;IF(Sync!$K94="","0000",IF(AND(ISNUMBER(Sync!$K94),Sync!$K94&gt;=0,Sync!$K94&lt;1),RIGHT("00"&amp;HOUR(Sync!$K94),2)&amp;RIGHT("00"&amp;MINUTE(Sync!$K94),2),IFERROR(RIGHT("00"&amp;VALUE(LEFT(Sync!$K94,FIND(":",Sync!$K94)-1)),2)&amp;RIGHT("00"&amp;VALUE(MID(Sync!$K94,FIND(":",Sync!$K94)+1,2)),2),"0000")))&amp;"|"&amp;"2"&amp;RIGHT("00000"&amp;89,5))</f>
        <v/>
      </c>
      <c r="Q94" t="str">
        <f>IF(Sync!$J94="","",IF(ISNUMBER(Sync!$J94),IF(AND(Sync!$J94&gt;=10000101,Sync!$J94&lt;=99991231),INT(Sync!$J94/10000)&amp;"/"&amp;RIGHT("00"&amp;INT(MOD(Sync!$J94,10000)/100),2)&amp;"/"&amp;RIGHT("00"&amp;MOD(Sync!$J94,100),2),"نامعتبر"),IF(LEN(Sync!$J94)=10,Sync!$J94,"نامعتبر")))</f>
        <v/>
      </c>
      <c r="R94" t="str">
        <f t="shared" si="11"/>
        <v/>
      </c>
      <c r="S94" t="str">
        <f t="shared" si="12"/>
        <v/>
      </c>
      <c r="T94" t="str">
        <f>IF($N94="","",IF(Sync!$N94="",0,Sync!$N94))</f>
        <v/>
      </c>
      <c r="U94" t="str">
        <f>IF($N94="","",IF(Sync!$O94="",0,Sync!$O94))</f>
        <v/>
      </c>
      <c r="V94" t="str">
        <f>IF($N94="","",Sync!$L94)</f>
        <v/>
      </c>
      <c r="W94" t="str">
        <f>IF($N94="","",Sync!$P94)</f>
        <v/>
      </c>
      <c r="AA94" t="str">
        <f>IF($A94="","",IF(COUNTIF($A$6:$A94,$A94)=1,1,0))</f>
        <v/>
      </c>
      <c r="AB94">
        <f>SUM($AA$6:$AA94)</f>
        <v>3</v>
      </c>
      <c r="AC94" t="str">
        <f t="shared" si="13"/>
        <v/>
      </c>
    </row>
    <row r="95" spans="1:29" x14ac:dyDescent="0.2">
      <c r="A95" t="str">
        <f>IF(OR(Entry!$B98="",Entry!$E98="",$E95="نامعتبر"),"",Entry!$E98)</f>
        <v/>
      </c>
      <c r="B95" t="str">
        <f>IF($A95="","",LEFT($E95,4)&amp;MID($E95,6,2)&amp;RIGHT($E95,2)&amp;$F95&amp;"|"&amp;"1"&amp;RIGHT("00000"&amp;90,5))</f>
        <v/>
      </c>
      <c r="C95" t="str">
        <f t="shared" si="7"/>
        <v/>
      </c>
      <c r="D95" t="str">
        <f t="shared" si="8"/>
        <v/>
      </c>
      <c r="E95" t="str">
        <f>IF(Entry!$B98="","",IF(ISNUMBER(Entry!$B98),IF(AND(Entry!$B98&gt;=10000101,Entry!$B98&lt;=99991231),INT(Entry!$B98/10000)&amp;"/"&amp;RIGHT("00"&amp;INT(MOD(Entry!$B98,10000)/100),2)&amp;"/"&amp;RIGHT("00"&amp;MOD(Entry!$B98,100),2),"نامعتبر"),IF(LEN(Entry!$B98)=10,Entry!$B98,"نامعتبر")))</f>
        <v/>
      </c>
      <c r="F95" t="str">
        <f>IF(Entry!$B98="","",IF(Entry!$C98="","0000",IF(AND(ISNUMBER(Entry!$C98),Entry!$C98&gt;=0,Entry!$C98&lt;1),RIGHT("00"&amp;HOUR(Entry!$C98),2)&amp;RIGHT("00"&amp;MINUTE(Entry!$C98),2),IFERROR(RIGHT("00"&amp;VALUE(LEFT(Entry!$C98,FIND(":",Entry!$C98)-1)),2)&amp;RIGHT("00"&amp;VALUE(MID(Entry!$C98,FIND(":",Entry!$C98)+1,2)),2),"0000"))))</f>
        <v/>
      </c>
      <c r="G95" t="str">
        <f>IF($A95="","",Entry!$G98)</f>
        <v/>
      </c>
      <c r="H95" t="str">
        <f>IF($A95="","",IF(Entry!$H98="",0,Entry!$H98))</f>
        <v/>
      </c>
      <c r="I95" t="str">
        <f>IF($A95="","",IF(Entry!$I98="",0,Entry!$I98))</f>
        <v/>
      </c>
      <c r="J95" t="str">
        <f t="shared" si="9"/>
        <v/>
      </c>
      <c r="K95" t="str">
        <f>IF($A95="","",Entry!$D98)</f>
        <v/>
      </c>
      <c r="L95" t="str">
        <f>IF($A95="","",Entry!$L98)</f>
        <v/>
      </c>
      <c r="N95" t="str">
        <f>IF(OR(Sync!$M95="",$Q95="",$Q95="نامعتبر"),"",Sync!$M95)</f>
        <v/>
      </c>
      <c r="O95" t="str">
        <f t="shared" si="10"/>
        <v/>
      </c>
      <c r="P95" t="str">
        <f>IF($N95="","",LEFT($Q95,4)&amp;MID($Q95,6,2)&amp;RIGHT($Q95,2)&amp;IF(Sync!$K95="","0000",IF(AND(ISNUMBER(Sync!$K95),Sync!$K95&gt;=0,Sync!$K95&lt;1),RIGHT("00"&amp;HOUR(Sync!$K95),2)&amp;RIGHT("00"&amp;MINUTE(Sync!$K95),2),IFERROR(RIGHT("00"&amp;VALUE(LEFT(Sync!$K95,FIND(":",Sync!$K95)-1)),2)&amp;RIGHT("00"&amp;VALUE(MID(Sync!$K95,FIND(":",Sync!$K95)+1,2)),2),"0000")))&amp;"|"&amp;"2"&amp;RIGHT("00000"&amp;90,5))</f>
        <v/>
      </c>
      <c r="Q95" t="str">
        <f>IF(Sync!$J95="","",IF(ISNUMBER(Sync!$J95),IF(AND(Sync!$J95&gt;=10000101,Sync!$J95&lt;=99991231),INT(Sync!$J95/10000)&amp;"/"&amp;RIGHT("00"&amp;INT(MOD(Sync!$J95,10000)/100),2)&amp;"/"&amp;RIGHT("00"&amp;MOD(Sync!$J95,100),2),"نامعتبر"),IF(LEN(Sync!$J95)=10,Sync!$J95,"نامعتبر")))</f>
        <v/>
      </c>
      <c r="R95" t="str">
        <f t="shared" si="11"/>
        <v/>
      </c>
      <c r="S95" t="str">
        <f t="shared" si="12"/>
        <v/>
      </c>
      <c r="T95" t="str">
        <f>IF($N95="","",IF(Sync!$N95="",0,Sync!$N95))</f>
        <v/>
      </c>
      <c r="U95" t="str">
        <f>IF($N95="","",IF(Sync!$O95="",0,Sync!$O95))</f>
        <v/>
      </c>
      <c r="V95" t="str">
        <f>IF($N95="","",Sync!$L95)</f>
        <v/>
      </c>
      <c r="W95" t="str">
        <f>IF($N95="","",Sync!$P95)</f>
        <v/>
      </c>
      <c r="AA95" t="str">
        <f>IF($A95="","",IF(COUNTIF($A$6:$A95,$A95)=1,1,0))</f>
        <v/>
      </c>
      <c r="AB95">
        <f>SUM($AA$6:$AA95)</f>
        <v>3</v>
      </c>
      <c r="AC95" t="str">
        <f t="shared" si="13"/>
        <v/>
      </c>
    </row>
    <row r="96" spans="1:29" x14ac:dyDescent="0.2">
      <c r="A96" t="str">
        <f>IF(OR(Entry!$B99="",Entry!$E99="",$E96="نامعتبر"),"",Entry!$E99)</f>
        <v/>
      </c>
      <c r="B96" t="str">
        <f>IF($A96="","",LEFT($E96,4)&amp;MID($E96,6,2)&amp;RIGHT($E96,2)&amp;$F96&amp;"|"&amp;"1"&amp;RIGHT("00000"&amp;91,5))</f>
        <v/>
      </c>
      <c r="C96" t="str">
        <f t="shared" si="7"/>
        <v/>
      </c>
      <c r="D96" t="str">
        <f t="shared" si="8"/>
        <v/>
      </c>
      <c r="E96" t="str">
        <f>IF(Entry!$B99="","",IF(ISNUMBER(Entry!$B99),IF(AND(Entry!$B99&gt;=10000101,Entry!$B99&lt;=99991231),INT(Entry!$B99/10000)&amp;"/"&amp;RIGHT("00"&amp;INT(MOD(Entry!$B99,10000)/100),2)&amp;"/"&amp;RIGHT("00"&amp;MOD(Entry!$B99,100),2),"نامعتبر"),IF(LEN(Entry!$B99)=10,Entry!$B99,"نامعتبر")))</f>
        <v/>
      </c>
      <c r="F96" t="str">
        <f>IF(Entry!$B99="","",IF(Entry!$C99="","0000",IF(AND(ISNUMBER(Entry!$C99),Entry!$C99&gt;=0,Entry!$C99&lt;1),RIGHT("00"&amp;HOUR(Entry!$C99),2)&amp;RIGHT("00"&amp;MINUTE(Entry!$C99),2),IFERROR(RIGHT("00"&amp;VALUE(LEFT(Entry!$C99,FIND(":",Entry!$C99)-1)),2)&amp;RIGHT("00"&amp;VALUE(MID(Entry!$C99,FIND(":",Entry!$C99)+1,2)),2),"0000"))))</f>
        <v/>
      </c>
      <c r="G96" t="str">
        <f>IF($A96="","",Entry!$G99)</f>
        <v/>
      </c>
      <c r="H96" t="str">
        <f>IF($A96="","",IF(Entry!$H99="",0,Entry!$H99))</f>
        <v/>
      </c>
      <c r="I96" t="str">
        <f>IF($A96="","",IF(Entry!$I99="",0,Entry!$I99))</f>
        <v/>
      </c>
      <c r="J96" t="str">
        <f t="shared" si="9"/>
        <v/>
      </c>
      <c r="K96" t="str">
        <f>IF($A96="","",Entry!$D99)</f>
        <v/>
      </c>
      <c r="L96" t="str">
        <f>IF($A96="","",Entry!$L99)</f>
        <v/>
      </c>
      <c r="N96" t="str">
        <f>IF(OR(Sync!$M96="",$Q96="",$Q96="نامعتبر"),"",Sync!$M96)</f>
        <v/>
      </c>
      <c r="O96" t="str">
        <f t="shared" si="10"/>
        <v/>
      </c>
      <c r="P96" t="str">
        <f>IF($N96="","",LEFT($Q96,4)&amp;MID($Q96,6,2)&amp;RIGHT($Q96,2)&amp;IF(Sync!$K96="","0000",IF(AND(ISNUMBER(Sync!$K96),Sync!$K96&gt;=0,Sync!$K96&lt;1),RIGHT("00"&amp;HOUR(Sync!$K96),2)&amp;RIGHT("00"&amp;MINUTE(Sync!$K96),2),IFERROR(RIGHT("00"&amp;VALUE(LEFT(Sync!$K96,FIND(":",Sync!$K96)-1)),2)&amp;RIGHT("00"&amp;VALUE(MID(Sync!$K96,FIND(":",Sync!$K96)+1,2)),2),"0000")))&amp;"|"&amp;"2"&amp;RIGHT("00000"&amp;91,5))</f>
        <v/>
      </c>
      <c r="Q96" t="str">
        <f>IF(Sync!$J96="","",IF(ISNUMBER(Sync!$J96),IF(AND(Sync!$J96&gt;=10000101,Sync!$J96&lt;=99991231),INT(Sync!$J96/10000)&amp;"/"&amp;RIGHT("00"&amp;INT(MOD(Sync!$J96,10000)/100),2)&amp;"/"&amp;RIGHT("00"&amp;MOD(Sync!$J96,100),2),"نامعتبر"),IF(LEN(Sync!$J96)=10,Sync!$J96,"نامعتبر")))</f>
        <v/>
      </c>
      <c r="R96" t="str">
        <f t="shared" si="11"/>
        <v/>
      </c>
      <c r="S96" t="str">
        <f t="shared" si="12"/>
        <v/>
      </c>
      <c r="T96" t="str">
        <f>IF($N96="","",IF(Sync!$N96="",0,Sync!$N96))</f>
        <v/>
      </c>
      <c r="U96" t="str">
        <f>IF($N96="","",IF(Sync!$O96="",0,Sync!$O96))</f>
        <v/>
      </c>
      <c r="V96" t="str">
        <f>IF($N96="","",Sync!$L96)</f>
        <v/>
      </c>
      <c r="W96" t="str">
        <f>IF($N96="","",Sync!$P96)</f>
        <v/>
      </c>
      <c r="AA96" t="str">
        <f>IF($A96="","",IF(COUNTIF($A$6:$A96,$A96)=1,1,0))</f>
        <v/>
      </c>
      <c r="AB96">
        <f>SUM($AA$6:$AA96)</f>
        <v>3</v>
      </c>
      <c r="AC96" t="str">
        <f t="shared" si="13"/>
        <v/>
      </c>
    </row>
    <row r="97" spans="1:29" x14ac:dyDescent="0.2">
      <c r="A97" t="str">
        <f>IF(OR(Entry!$B100="",Entry!$E100="",$E97="نامعتبر"),"",Entry!$E100)</f>
        <v/>
      </c>
      <c r="B97" t="str">
        <f>IF($A97="","",LEFT($E97,4)&amp;MID($E97,6,2)&amp;RIGHT($E97,2)&amp;$F97&amp;"|"&amp;"1"&amp;RIGHT("00000"&amp;92,5))</f>
        <v/>
      </c>
      <c r="C97" t="str">
        <f t="shared" si="7"/>
        <v/>
      </c>
      <c r="D97" t="str">
        <f t="shared" si="8"/>
        <v/>
      </c>
      <c r="E97" t="str">
        <f>IF(Entry!$B100="","",IF(ISNUMBER(Entry!$B100),IF(AND(Entry!$B100&gt;=10000101,Entry!$B100&lt;=99991231),INT(Entry!$B100/10000)&amp;"/"&amp;RIGHT("00"&amp;INT(MOD(Entry!$B100,10000)/100),2)&amp;"/"&amp;RIGHT("00"&amp;MOD(Entry!$B100,100),2),"نامعتبر"),IF(LEN(Entry!$B100)=10,Entry!$B100,"نامعتبر")))</f>
        <v/>
      </c>
      <c r="F97" t="str">
        <f>IF(Entry!$B100="","",IF(Entry!$C100="","0000",IF(AND(ISNUMBER(Entry!$C100),Entry!$C100&gt;=0,Entry!$C100&lt;1),RIGHT("00"&amp;HOUR(Entry!$C100),2)&amp;RIGHT("00"&amp;MINUTE(Entry!$C100),2),IFERROR(RIGHT("00"&amp;VALUE(LEFT(Entry!$C100,FIND(":",Entry!$C100)-1)),2)&amp;RIGHT("00"&amp;VALUE(MID(Entry!$C100,FIND(":",Entry!$C100)+1,2)),2),"0000"))))</f>
        <v/>
      </c>
      <c r="G97" t="str">
        <f>IF($A97="","",Entry!$G100)</f>
        <v/>
      </c>
      <c r="H97" t="str">
        <f>IF($A97="","",IF(Entry!$H100="",0,Entry!$H100))</f>
        <v/>
      </c>
      <c r="I97" t="str">
        <f>IF($A97="","",IF(Entry!$I100="",0,Entry!$I100))</f>
        <v/>
      </c>
      <c r="J97" t="str">
        <f t="shared" si="9"/>
        <v/>
      </c>
      <c r="K97" t="str">
        <f>IF($A97="","",Entry!$D100)</f>
        <v/>
      </c>
      <c r="L97" t="str">
        <f>IF($A97="","",Entry!$L100)</f>
        <v/>
      </c>
      <c r="N97" t="str">
        <f>IF(OR(Sync!$M97="",$Q97="",$Q97="نامعتبر"),"",Sync!$M97)</f>
        <v/>
      </c>
      <c r="O97" t="str">
        <f t="shared" si="10"/>
        <v/>
      </c>
      <c r="P97" t="str">
        <f>IF($N97="","",LEFT($Q97,4)&amp;MID($Q97,6,2)&amp;RIGHT($Q97,2)&amp;IF(Sync!$K97="","0000",IF(AND(ISNUMBER(Sync!$K97),Sync!$K97&gt;=0,Sync!$K97&lt;1),RIGHT("00"&amp;HOUR(Sync!$K97),2)&amp;RIGHT("00"&amp;MINUTE(Sync!$K97),2),IFERROR(RIGHT("00"&amp;VALUE(LEFT(Sync!$K97,FIND(":",Sync!$K97)-1)),2)&amp;RIGHT("00"&amp;VALUE(MID(Sync!$K97,FIND(":",Sync!$K97)+1,2)),2),"0000")))&amp;"|"&amp;"2"&amp;RIGHT("00000"&amp;92,5))</f>
        <v/>
      </c>
      <c r="Q97" t="str">
        <f>IF(Sync!$J97="","",IF(ISNUMBER(Sync!$J97),IF(AND(Sync!$J97&gt;=10000101,Sync!$J97&lt;=99991231),INT(Sync!$J97/10000)&amp;"/"&amp;RIGHT("00"&amp;INT(MOD(Sync!$J97,10000)/100),2)&amp;"/"&amp;RIGHT("00"&amp;MOD(Sync!$J97,100),2),"نامعتبر"),IF(LEN(Sync!$J97)=10,Sync!$J97,"نامعتبر")))</f>
        <v/>
      </c>
      <c r="R97" t="str">
        <f t="shared" si="11"/>
        <v/>
      </c>
      <c r="S97" t="str">
        <f t="shared" si="12"/>
        <v/>
      </c>
      <c r="T97" t="str">
        <f>IF($N97="","",IF(Sync!$N97="",0,Sync!$N97))</f>
        <v/>
      </c>
      <c r="U97" t="str">
        <f>IF($N97="","",IF(Sync!$O97="",0,Sync!$O97))</f>
        <v/>
      </c>
      <c r="V97" t="str">
        <f>IF($N97="","",Sync!$L97)</f>
        <v/>
      </c>
      <c r="W97" t="str">
        <f>IF($N97="","",Sync!$P97)</f>
        <v/>
      </c>
      <c r="AA97" t="str">
        <f>IF($A97="","",IF(COUNTIF($A$6:$A97,$A97)=1,1,0))</f>
        <v/>
      </c>
      <c r="AB97">
        <f>SUM($AA$6:$AA97)</f>
        <v>3</v>
      </c>
      <c r="AC97" t="str">
        <f t="shared" si="13"/>
        <v/>
      </c>
    </row>
    <row r="98" spans="1:29" x14ac:dyDescent="0.2">
      <c r="A98" t="str">
        <f>IF(OR(Entry!$B101="",Entry!$E101="",$E98="نامعتبر"),"",Entry!$E101)</f>
        <v/>
      </c>
      <c r="B98" t="str">
        <f>IF($A98="","",LEFT($E98,4)&amp;MID($E98,6,2)&amp;RIGHT($E98,2)&amp;$F98&amp;"|"&amp;"1"&amp;RIGHT("00000"&amp;93,5))</f>
        <v/>
      </c>
      <c r="C98" t="str">
        <f t="shared" si="7"/>
        <v/>
      </c>
      <c r="D98" t="str">
        <f t="shared" si="8"/>
        <v/>
      </c>
      <c r="E98" t="str">
        <f>IF(Entry!$B101="","",IF(ISNUMBER(Entry!$B101),IF(AND(Entry!$B101&gt;=10000101,Entry!$B101&lt;=99991231),INT(Entry!$B101/10000)&amp;"/"&amp;RIGHT("00"&amp;INT(MOD(Entry!$B101,10000)/100),2)&amp;"/"&amp;RIGHT("00"&amp;MOD(Entry!$B101,100),2),"نامعتبر"),IF(LEN(Entry!$B101)=10,Entry!$B101,"نامعتبر")))</f>
        <v/>
      </c>
      <c r="F98" t="str">
        <f>IF(Entry!$B101="","",IF(Entry!$C101="","0000",IF(AND(ISNUMBER(Entry!$C101),Entry!$C101&gt;=0,Entry!$C101&lt;1),RIGHT("00"&amp;HOUR(Entry!$C101),2)&amp;RIGHT("00"&amp;MINUTE(Entry!$C101),2),IFERROR(RIGHT("00"&amp;VALUE(LEFT(Entry!$C101,FIND(":",Entry!$C101)-1)),2)&amp;RIGHT("00"&amp;VALUE(MID(Entry!$C101,FIND(":",Entry!$C101)+1,2)),2),"0000"))))</f>
        <v/>
      </c>
      <c r="G98" t="str">
        <f>IF($A98="","",Entry!$G101)</f>
        <v/>
      </c>
      <c r="H98" t="str">
        <f>IF($A98="","",IF(Entry!$H101="",0,Entry!$H101))</f>
        <v/>
      </c>
      <c r="I98" t="str">
        <f>IF($A98="","",IF(Entry!$I101="",0,Entry!$I101))</f>
        <v/>
      </c>
      <c r="J98" t="str">
        <f t="shared" si="9"/>
        <v/>
      </c>
      <c r="K98" t="str">
        <f>IF($A98="","",Entry!$D101)</f>
        <v/>
      </c>
      <c r="L98" t="str">
        <f>IF($A98="","",Entry!$L101)</f>
        <v/>
      </c>
      <c r="N98" t="str">
        <f>IF(OR(Sync!$M98="",$Q98="",$Q98="نامعتبر"),"",Sync!$M98)</f>
        <v/>
      </c>
      <c r="O98" t="str">
        <f t="shared" si="10"/>
        <v/>
      </c>
      <c r="P98" t="str">
        <f>IF($N98="","",LEFT($Q98,4)&amp;MID($Q98,6,2)&amp;RIGHT($Q98,2)&amp;IF(Sync!$K98="","0000",IF(AND(ISNUMBER(Sync!$K98),Sync!$K98&gt;=0,Sync!$K98&lt;1),RIGHT("00"&amp;HOUR(Sync!$K98),2)&amp;RIGHT("00"&amp;MINUTE(Sync!$K98),2),IFERROR(RIGHT("00"&amp;VALUE(LEFT(Sync!$K98,FIND(":",Sync!$K98)-1)),2)&amp;RIGHT("00"&amp;VALUE(MID(Sync!$K98,FIND(":",Sync!$K98)+1,2)),2),"0000")))&amp;"|"&amp;"2"&amp;RIGHT("00000"&amp;93,5))</f>
        <v/>
      </c>
      <c r="Q98" t="str">
        <f>IF(Sync!$J98="","",IF(ISNUMBER(Sync!$J98),IF(AND(Sync!$J98&gt;=10000101,Sync!$J98&lt;=99991231),INT(Sync!$J98/10000)&amp;"/"&amp;RIGHT("00"&amp;INT(MOD(Sync!$J98,10000)/100),2)&amp;"/"&amp;RIGHT("00"&amp;MOD(Sync!$J98,100),2),"نامعتبر"),IF(LEN(Sync!$J98)=10,Sync!$J98,"نامعتبر")))</f>
        <v/>
      </c>
      <c r="R98" t="str">
        <f t="shared" si="11"/>
        <v/>
      </c>
      <c r="S98" t="str">
        <f t="shared" si="12"/>
        <v/>
      </c>
      <c r="T98" t="str">
        <f>IF($N98="","",IF(Sync!$N98="",0,Sync!$N98))</f>
        <v/>
      </c>
      <c r="U98" t="str">
        <f>IF($N98="","",IF(Sync!$O98="",0,Sync!$O98))</f>
        <v/>
      </c>
      <c r="V98" t="str">
        <f>IF($N98="","",Sync!$L98)</f>
        <v/>
      </c>
      <c r="W98" t="str">
        <f>IF($N98="","",Sync!$P98)</f>
        <v/>
      </c>
      <c r="AA98" t="str">
        <f>IF($A98="","",IF(COUNTIF($A$6:$A98,$A98)=1,1,0))</f>
        <v/>
      </c>
      <c r="AB98">
        <f>SUM($AA$6:$AA98)</f>
        <v>3</v>
      </c>
      <c r="AC98" t="str">
        <f t="shared" si="13"/>
        <v/>
      </c>
    </row>
    <row r="99" spans="1:29" x14ac:dyDescent="0.2">
      <c r="A99" t="str">
        <f>IF(OR(Entry!$B102="",Entry!$E102="",$E99="نامعتبر"),"",Entry!$E102)</f>
        <v/>
      </c>
      <c r="B99" t="str">
        <f>IF($A99="","",LEFT($E99,4)&amp;MID($E99,6,2)&amp;RIGHT($E99,2)&amp;$F99&amp;"|"&amp;"1"&amp;RIGHT("00000"&amp;94,5))</f>
        <v/>
      </c>
      <c r="C99" t="str">
        <f t="shared" si="7"/>
        <v/>
      </c>
      <c r="D99" t="str">
        <f t="shared" si="8"/>
        <v/>
      </c>
      <c r="E99" t="str">
        <f>IF(Entry!$B102="","",IF(ISNUMBER(Entry!$B102),IF(AND(Entry!$B102&gt;=10000101,Entry!$B102&lt;=99991231),INT(Entry!$B102/10000)&amp;"/"&amp;RIGHT("00"&amp;INT(MOD(Entry!$B102,10000)/100),2)&amp;"/"&amp;RIGHT("00"&amp;MOD(Entry!$B102,100),2),"نامعتبر"),IF(LEN(Entry!$B102)=10,Entry!$B102,"نامعتبر")))</f>
        <v/>
      </c>
      <c r="F99" t="str">
        <f>IF(Entry!$B102="","",IF(Entry!$C102="","0000",IF(AND(ISNUMBER(Entry!$C102),Entry!$C102&gt;=0,Entry!$C102&lt;1),RIGHT("00"&amp;HOUR(Entry!$C102),2)&amp;RIGHT("00"&amp;MINUTE(Entry!$C102),2),IFERROR(RIGHT("00"&amp;VALUE(LEFT(Entry!$C102,FIND(":",Entry!$C102)-1)),2)&amp;RIGHT("00"&amp;VALUE(MID(Entry!$C102,FIND(":",Entry!$C102)+1,2)),2),"0000"))))</f>
        <v/>
      </c>
      <c r="G99" t="str">
        <f>IF($A99="","",Entry!$G102)</f>
        <v/>
      </c>
      <c r="H99" t="str">
        <f>IF($A99="","",IF(Entry!$H102="",0,Entry!$H102))</f>
        <v/>
      </c>
      <c r="I99" t="str">
        <f>IF($A99="","",IF(Entry!$I102="",0,Entry!$I102))</f>
        <v/>
      </c>
      <c r="J99" t="str">
        <f t="shared" si="9"/>
        <v/>
      </c>
      <c r="K99" t="str">
        <f>IF($A99="","",Entry!$D102)</f>
        <v/>
      </c>
      <c r="L99" t="str">
        <f>IF($A99="","",Entry!$L102)</f>
        <v/>
      </c>
      <c r="N99" t="str">
        <f>IF(OR(Sync!$M99="",$Q99="",$Q99="نامعتبر"),"",Sync!$M99)</f>
        <v/>
      </c>
      <c r="O99" t="str">
        <f t="shared" si="10"/>
        <v/>
      </c>
      <c r="P99" t="str">
        <f>IF($N99="","",LEFT($Q99,4)&amp;MID($Q99,6,2)&amp;RIGHT($Q99,2)&amp;IF(Sync!$K99="","0000",IF(AND(ISNUMBER(Sync!$K99),Sync!$K99&gt;=0,Sync!$K99&lt;1),RIGHT("00"&amp;HOUR(Sync!$K99),2)&amp;RIGHT("00"&amp;MINUTE(Sync!$K99),2),IFERROR(RIGHT("00"&amp;VALUE(LEFT(Sync!$K99,FIND(":",Sync!$K99)-1)),2)&amp;RIGHT("00"&amp;VALUE(MID(Sync!$K99,FIND(":",Sync!$K99)+1,2)),2),"0000")))&amp;"|"&amp;"2"&amp;RIGHT("00000"&amp;94,5))</f>
        <v/>
      </c>
      <c r="Q99" t="str">
        <f>IF(Sync!$J99="","",IF(ISNUMBER(Sync!$J99),IF(AND(Sync!$J99&gt;=10000101,Sync!$J99&lt;=99991231),INT(Sync!$J99/10000)&amp;"/"&amp;RIGHT("00"&amp;INT(MOD(Sync!$J99,10000)/100),2)&amp;"/"&amp;RIGHT("00"&amp;MOD(Sync!$J99,100),2),"نامعتبر"),IF(LEN(Sync!$J99)=10,Sync!$J99,"نامعتبر")))</f>
        <v/>
      </c>
      <c r="R99" t="str">
        <f t="shared" si="11"/>
        <v/>
      </c>
      <c r="S99" t="str">
        <f t="shared" si="12"/>
        <v/>
      </c>
      <c r="T99" t="str">
        <f>IF($N99="","",IF(Sync!$N99="",0,Sync!$N99))</f>
        <v/>
      </c>
      <c r="U99" t="str">
        <f>IF($N99="","",IF(Sync!$O99="",0,Sync!$O99))</f>
        <v/>
      </c>
      <c r="V99" t="str">
        <f>IF($N99="","",Sync!$L99)</f>
        <v/>
      </c>
      <c r="W99" t="str">
        <f>IF($N99="","",Sync!$P99)</f>
        <v/>
      </c>
      <c r="AA99" t="str">
        <f>IF($A99="","",IF(COUNTIF($A$6:$A99,$A99)=1,1,0))</f>
        <v/>
      </c>
      <c r="AB99">
        <f>SUM($AA$6:$AA99)</f>
        <v>3</v>
      </c>
      <c r="AC99" t="str">
        <f t="shared" si="13"/>
        <v/>
      </c>
    </row>
    <row r="100" spans="1:29" x14ac:dyDescent="0.2">
      <c r="A100" t="str">
        <f>IF(OR(Entry!$B103="",Entry!$E103="",$E100="نامعتبر"),"",Entry!$E103)</f>
        <v/>
      </c>
      <c r="B100" t="str">
        <f>IF($A100="","",LEFT($E100,4)&amp;MID($E100,6,2)&amp;RIGHT($E100,2)&amp;$F100&amp;"|"&amp;"1"&amp;RIGHT("00000"&amp;95,5))</f>
        <v/>
      </c>
      <c r="C100" t="str">
        <f t="shared" si="7"/>
        <v/>
      </c>
      <c r="D100" t="str">
        <f t="shared" si="8"/>
        <v/>
      </c>
      <c r="E100" t="str">
        <f>IF(Entry!$B103="","",IF(ISNUMBER(Entry!$B103),IF(AND(Entry!$B103&gt;=10000101,Entry!$B103&lt;=99991231),INT(Entry!$B103/10000)&amp;"/"&amp;RIGHT("00"&amp;INT(MOD(Entry!$B103,10000)/100),2)&amp;"/"&amp;RIGHT("00"&amp;MOD(Entry!$B103,100),2),"نامعتبر"),IF(LEN(Entry!$B103)=10,Entry!$B103,"نامعتبر")))</f>
        <v/>
      </c>
      <c r="F100" t="str">
        <f>IF(Entry!$B103="","",IF(Entry!$C103="","0000",IF(AND(ISNUMBER(Entry!$C103),Entry!$C103&gt;=0,Entry!$C103&lt;1),RIGHT("00"&amp;HOUR(Entry!$C103),2)&amp;RIGHT("00"&amp;MINUTE(Entry!$C103),2),IFERROR(RIGHT("00"&amp;VALUE(LEFT(Entry!$C103,FIND(":",Entry!$C103)-1)),2)&amp;RIGHT("00"&amp;VALUE(MID(Entry!$C103,FIND(":",Entry!$C103)+1,2)),2),"0000"))))</f>
        <v/>
      </c>
      <c r="G100" t="str">
        <f>IF($A100="","",Entry!$G103)</f>
        <v/>
      </c>
      <c r="H100" t="str">
        <f>IF($A100="","",IF(Entry!$H103="",0,Entry!$H103))</f>
        <v/>
      </c>
      <c r="I100" t="str">
        <f>IF($A100="","",IF(Entry!$I103="",0,Entry!$I103))</f>
        <v/>
      </c>
      <c r="J100" t="str">
        <f t="shared" si="9"/>
        <v/>
      </c>
      <c r="K100" t="str">
        <f>IF($A100="","",Entry!$D103)</f>
        <v/>
      </c>
      <c r="L100" t="str">
        <f>IF($A100="","",Entry!$L103)</f>
        <v/>
      </c>
      <c r="N100" t="str">
        <f>IF(OR(Sync!$M100="",$Q100="",$Q100="نامعتبر"),"",Sync!$M100)</f>
        <v/>
      </c>
      <c r="O100" t="str">
        <f t="shared" si="10"/>
        <v/>
      </c>
      <c r="P100" t="str">
        <f>IF($N100="","",LEFT($Q100,4)&amp;MID($Q100,6,2)&amp;RIGHT($Q100,2)&amp;IF(Sync!$K100="","0000",IF(AND(ISNUMBER(Sync!$K100),Sync!$K100&gt;=0,Sync!$K100&lt;1),RIGHT("00"&amp;HOUR(Sync!$K100),2)&amp;RIGHT("00"&amp;MINUTE(Sync!$K100),2),IFERROR(RIGHT("00"&amp;VALUE(LEFT(Sync!$K100,FIND(":",Sync!$K100)-1)),2)&amp;RIGHT("00"&amp;VALUE(MID(Sync!$K100,FIND(":",Sync!$K100)+1,2)),2),"0000")))&amp;"|"&amp;"2"&amp;RIGHT("00000"&amp;95,5))</f>
        <v/>
      </c>
      <c r="Q100" t="str">
        <f>IF(Sync!$J100="","",IF(ISNUMBER(Sync!$J100),IF(AND(Sync!$J100&gt;=10000101,Sync!$J100&lt;=99991231),INT(Sync!$J100/10000)&amp;"/"&amp;RIGHT("00"&amp;INT(MOD(Sync!$J100,10000)/100),2)&amp;"/"&amp;RIGHT("00"&amp;MOD(Sync!$J100,100),2),"نامعتبر"),IF(LEN(Sync!$J100)=10,Sync!$J100,"نامعتبر")))</f>
        <v/>
      </c>
      <c r="R100" t="str">
        <f t="shared" si="11"/>
        <v/>
      </c>
      <c r="S100" t="str">
        <f t="shared" si="12"/>
        <v/>
      </c>
      <c r="T100" t="str">
        <f>IF($N100="","",IF(Sync!$N100="",0,Sync!$N100))</f>
        <v/>
      </c>
      <c r="U100" t="str">
        <f>IF($N100="","",IF(Sync!$O100="",0,Sync!$O100))</f>
        <v/>
      </c>
      <c r="V100" t="str">
        <f>IF($N100="","",Sync!$L100)</f>
        <v/>
      </c>
      <c r="W100" t="str">
        <f>IF($N100="","",Sync!$P100)</f>
        <v/>
      </c>
      <c r="AA100" t="str">
        <f>IF($A100="","",IF(COUNTIF($A$6:$A100,$A100)=1,1,0))</f>
        <v/>
      </c>
      <c r="AB100">
        <f>SUM($AA$6:$AA100)</f>
        <v>3</v>
      </c>
      <c r="AC100" t="str">
        <f t="shared" si="13"/>
        <v/>
      </c>
    </row>
    <row r="101" spans="1:29" x14ac:dyDescent="0.2">
      <c r="A101" t="str">
        <f>IF(OR(Entry!$B104="",Entry!$E104="",$E101="نامعتبر"),"",Entry!$E104)</f>
        <v/>
      </c>
      <c r="B101" t="str">
        <f>IF($A101="","",LEFT($E101,4)&amp;MID($E101,6,2)&amp;RIGHT($E101,2)&amp;$F101&amp;"|"&amp;"1"&amp;RIGHT("00000"&amp;96,5))</f>
        <v/>
      </c>
      <c r="C101" t="str">
        <f t="shared" si="7"/>
        <v/>
      </c>
      <c r="D101" t="str">
        <f t="shared" si="8"/>
        <v/>
      </c>
      <c r="E101" t="str">
        <f>IF(Entry!$B104="","",IF(ISNUMBER(Entry!$B104),IF(AND(Entry!$B104&gt;=10000101,Entry!$B104&lt;=99991231),INT(Entry!$B104/10000)&amp;"/"&amp;RIGHT("00"&amp;INT(MOD(Entry!$B104,10000)/100),2)&amp;"/"&amp;RIGHT("00"&amp;MOD(Entry!$B104,100),2),"نامعتبر"),IF(LEN(Entry!$B104)=10,Entry!$B104,"نامعتبر")))</f>
        <v/>
      </c>
      <c r="F101" t="str">
        <f>IF(Entry!$B104="","",IF(Entry!$C104="","0000",IF(AND(ISNUMBER(Entry!$C104),Entry!$C104&gt;=0,Entry!$C104&lt;1),RIGHT("00"&amp;HOUR(Entry!$C104),2)&amp;RIGHT("00"&amp;MINUTE(Entry!$C104),2),IFERROR(RIGHT("00"&amp;VALUE(LEFT(Entry!$C104,FIND(":",Entry!$C104)-1)),2)&amp;RIGHT("00"&amp;VALUE(MID(Entry!$C104,FIND(":",Entry!$C104)+1,2)),2),"0000"))))</f>
        <v/>
      </c>
      <c r="G101" t="str">
        <f>IF($A101="","",Entry!$G104)</f>
        <v/>
      </c>
      <c r="H101" t="str">
        <f>IF($A101="","",IF(Entry!$H104="",0,Entry!$H104))</f>
        <v/>
      </c>
      <c r="I101" t="str">
        <f>IF($A101="","",IF(Entry!$I104="",0,Entry!$I104))</f>
        <v/>
      </c>
      <c r="J101" t="str">
        <f t="shared" si="9"/>
        <v/>
      </c>
      <c r="K101" t="str">
        <f>IF($A101="","",Entry!$D104)</f>
        <v/>
      </c>
      <c r="L101" t="str">
        <f>IF($A101="","",Entry!$L104)</f>
        <v/>
      </c>
      <c r="N101" t="str">
        <f>IF(OR(Sync!$M101="",$Q101="",$Q101="نامعتبر"),"",Sync!$M101)</f>
        <v/>
      </c>
      <c r="O101" t="str">
        <f t="shared" si="10"/>
        <v/>
      </c>
      <c r="P101" t="str">
        <f>IF($N101="","",LEFT($Q101,4)&amp;MID($Q101,6,2)&amp;RIGHT($Q101,2)&amp;IF(Sync!$K101="","0000",IF(AND(ISNUMBER(Sync!$K101),Sync!$K101&gt;=0,Sync!$K101&lt;1),RIGHT("00"&amp;HOUR(Sync!$K101),2)&amp;RIGHT("00"&amp;MINUTE(Sync!$K101),2),IFERROR(RIGHT("00"&amp;VALUE(LEFT(Sync!$K101,FIND(":",Sync!$K101)-1)),2)&amp;RIGHT("00"&amp;VALUE(MID(Sync!$K101,FIND(":",Sync!$K101)+1,2)),2),"0000")))&amp;"|"&amp;"2"&amp;RIGHT("00000"&amp;96,5))</f>
        <v/>
      </c>
      <c r="Q101" t="str">
        <f>IF(Sync!$J101="","",IF(ISNUMBER(Sync!$J101),IF(AND(Sync!$J101&gt;=10000101,Sync!$J101&lt;=99991231),INT(Sync!$J101/10000)&amp;"/"&amp;RIGHT("00"&amp;INT(MOD(Sync!$J101,10000)/100),2)&amp;"/"&amp;RIGHT("00"&amp;MOD(Sync!$J101,100),2),"نامعتبر"),IF(LEN(Sync!$J101)=10,Sync!$J101,"نامعتبر")))</f>
        <v/>
      </c>
      <c r="R101" t="str">
        <f t="shared" si="11"/>
        <v/>
      </c>
      <c r="S101" t="str">
        <f t="shared" si="12"/>
        <v/>
      </c>
      <c r="T101" t="str">
        <f>IF($N101="","",IF(Sync!$N101="",0,Sync!$N101))</f>
        <v/>
      </c>
      <c r="U101" t="str">
        <f>IF($N101="","",IF(Sync!$O101="",0,Sync!$O101))</f>
        <v/>
      </c>
      <c r="V101" t="str">
        <f>IF($N101="","",Sync!$L101)</f>
        <v/>
      </c>
      <c r="W101" t="str">
        <f>IF($N101="","",Sync!$P101)</f>
        <v/>
      </c>
      <c r="AA101" t="str">
        <f>IF($A101="","",IF(COUNTIF($A$6:$A101,$A101)=1,1,0))</f>
        <v/>
      </c>
      <c r="AB101">
        <f>SUM($AA$6:$AA101)</f>
        <v>3</v>
      </c>
      <c r="AC101" t="str">
        <f t="shared" si="13"/>
        <v/>
      </c>
    </row>
    <row r="102" spans="1:29" x14ac:dyDescent="0.2">
      <c r="A102" t="str">
        <f>IF(OR(Entry!$B105="",Entry!$E105="",$E102="نامعتبر"),"",Entry!$E105)</f>
        <v/>
      </c>
      <c r="B102" t="str">
        <f>IF($A102="","",LEFT($E102,4)&amp;MID($E102,6,2)&amp;RIGHT($E102,2)&amp;$F102&amp;"|"&amp;"1"&amp;RIGHT("00000"&amp;97,5))</f>
        <v/>
      </c>
      <c r="C102" t="str">
        <f t="shared" si="7"/>
        <v/>
      </c>
      <c r="D102" t="str">
        <f t="shared" si="8"/>
        <v/>
      </c>
      <c r="E102" t="str">
        <f>IF(Entry!$B105="","",IF(ISNUMBER(Entry!$B105),IF(AND(Entry!$B105&gt;=10000101,Entry!$B105&lt;=99991231),INT(Entry!$B105/10000)&amp;"/"&amp;RIGHT("00"&amp;INT(MOD(Entry!$B105,10000)/100),2)&amp;"/"&amp;RIGHT("00"&amp;MOD(Entry!$B105,100),2),"نامعتبر"),IF(LEN(Entry!$B105)=10,Entry!$B105,"نامعتبر")))</f>
        <v/>
      </c>
      <c r="F102" t="str">
        <f>IF(Entry!$B105="","",IF(Entry!$C105="","0000",IF(AND(ISNUMBER(Entry!$C105),Entry!$C105&gt;=0,Entry!$C105&lt;1),RIGHT("00"&amp;HOUR(Entry!$C105),2)&amp;RIGHT("00"&amp;MINUTE(Entry!$C105),2),IFERROR(RIGHT("00"&amp;VALUE(LEFT(Entry!$C105,FIND(":",Entry!$C105)-1)),2)&amp;RIGHT("00"&amp;VALUE(MID(Entry!$C105,FIND(":",Entry!$C105)+1,2)),2),"0000"))))</f>
        <v/>
      </c>
      <c r="G102" t="str">
        <f>IF($A102="","",Entry!$G105)</f>
        <v/>
      </c>
      <c r="H102" t="str">
        <f>IF($A102="","",IF(Entry!$H105="",0,Entry!$H105))</f>
        <v/>
      </c>
      <c r="I102" t="str">
        <f>IF($A102="","",IF(Entry!$I105="",0,Entry!$I105))</f>
        <v/>
      </c>
      <c r="J102" t="str">
        <f t="shared" si="9"/>
        <v/>
      </c>
      <c r="K102" t="str">
        <f>IF($A102="","",Entry!$D105)</f>
        <v/>
      </c>
      <c r="L102" t="str">
        <f>IF($A102="","",Entry!$L105)</f>
        <v/>
      </c>
      <c r="N102" t="str">
        <f>IF(OR(Sync!$M102="",$Q102="",$Q102="نامعتبر"),"",Sync!$M102)</f>
        <v/>
      </c>
      <c r="O102" t="str">
        <f t="shared" si="10"/>
        <v/>
      </c>
      <c r="P102" t="str">
        <f>IF($N102="","",LEFT($Q102,4)&amp;MID($Q102,6,2)&amp;RIGHT($Q102,2)&amp;IF(Sync!$K102="","0000",IF(AND(ISNUMBER(Sync!$K102),Sync!$K102&gt;=0,Sync!$K102&lt;1),RIGHT("00"&amp;HOUR(Sync!$K102),2)&amp;RIGHT("00"&amp;MINUTE(Sync!$K102),2),IFERROR(RIGHT("00"&amp;VALUE(LEFT(Sync!$K102,FIND(":",Sync!$K102)-1)),2)&amp;RIGHT("00"&amp;VALUE(MID(Sync!$K102,FIND(":",Sync!$K102)+1,2)),2),"0000")))&amp;"|"&amp;"2"&amp;RIGHT("00000"&amp;97,5))</f>
        <v/>
      </c>
      <c r="Q102" t="str">
        <f>IF(Sync!$J102="","",IF(ISNUMBER(Sync!$J102),IF(AND(Sync!$J102&gt;=10000101,Sync!$J102&lt;=99991231),INT(Sync!$J102/10000)&amp;"/"&amp;RIGHT("00"&amp;INT(MOD(Sync!$J102,10000)/100),2)&amp;"/"&amp;RIGHT("00"&amp;MOD(Sync!$J102,100),2),"نامعتبر"),IF(LEN(Sync!$J102)=10,Sync!$J102,"نامعتبر")))</f>
        <v/>
      </c>
      <c r="R102" t="str">
        <f t="shared" si="11"/>
        <v/>
      </c>
      <c r="S102" t="str">
        <f t="shared" si="12"/>
        <v/>
      </c>
      <c r="T102" t="str">
        <f>IF($N102="","",IF(Sync!$N102="",0,Sync!$N102))</f>
        <v/>
      </c>
      <c r="U102" t="str">
        <f>IF($N102="","",IF(Sync!$O102="",0,Sync!$O102))</f>
        <v/>
      </c>
      <c r="V102" t="str">
        <f>IF($N102="","",Sync!$L102)</f>
        <v/>
      </c>
      <c r="W102" t="str">
        <f>IF($N102="","",Sync!$P102)</f>
        <v/>
      </c>
      <c r="AA102" t="str">
        <f>IF($A102="","",IF(COUNTIF($A$6:$A102,$A102)=1,1,0))</f>
        <v/>
      </c>
      <c r="AB102">
        <f>SUM($AA$6:$AA102)</f>
        <v>3</v>
      </c>
      <c r="AC102" t="str">
        <f t="shared" si="13"/>
        <v/>
      </c>
    </row>
    <row r="103" spans="1:29" x14ac:dyDescent="0.2">
      <c r="A103" t="str">
        <f>IF(OR(Entry!$B106="",Entry!$E106="",$E103="نامعتبر"),"",Entry!$E106)</f>
        <v/>
      </c>
      <c r="B103" t="str">
        <f>IF($A103="","",LEFT($E103,4)&amp;MID($E103,6,2)&amp;RIGHT($E103,2)&amp;$F103&amp;"|"&amp;"1"&amp;RIGHT("00000"&amp;98,5))</f>
        <v/>
      </c>
      <c r="C103" t="str">
        <f t="shared" si="7"/>
        <v/>
      </c>
      <c r="D103" t="str">
        <f t="shared" si="8"/>
        <v/>
      </c>
      <c r="E103" t="str">
        <f>IF(Entry!$B106="","",IF(ISNUMBER(Entry!$B106),IF(AND(Entry!$B106&gt;=10000101,Entry!$B106&lt;=99991231),INT(Entry!$B106/10000)&amp;"/"&amp;RIGHT("00"&amp;INT(MOD(Entry!$B106,10000)/100),2)&amp;"/"&amp;RIGHT("00"&amp;MOD(Entry!$B106,100),2),"نامعتبر"),IF(LEN(Entry!$B106)=10,Entry!$B106,"نامعتبر")))</f>
        <v/>
      </c>
      <c r="F103" t="str">
        <f>IF(Entry!$B106="","",IF(Entry!$C106="","0000",IF(AND(ISNUMBER(Entry!$C106),Entry!$C106&gt;=0,Entry!$C106&lt;1),RIGHT("00"&amp;HOUR(Entry!$C106),2)&amp;RIGHT("00"&amp;MINUTE(Entry!$C106),2),IFERROR(RIGHT("00"&amp;VALUE(LEFT(Entry!$C106,FIND(":",Entry!$C106)-1)),2)&amp;RIGHT("00"&amp;VALUE(MID(Entry!$C106,FIND(":",Entry!$C106)+1,2)),2),"0000"))))</f>
        <v/>
      </c>
      <c r="G103" t="str">
        <f>IF($A103="","",Entry!$G106)</f>
        <v/>
      </c>
      <c r="H103" t="str">
        <f>IF($A103="","",IF(Entry!$H106="",0,Entry!$H106))</f>
        <v/>
      </c>
      <c r="I103" t="str">
        <f>IF($A103="","",IF(Entry!$I106="",0,Entry!$I106))</f>
        <v/>
      </c>
      <c r="J103" t="str">
        <f t="shared" si="9"/>
        <v/>
      </c>
      <c r="K103" t="str">
        <f>IF($A103="","",Entry!$D106)</f>
        <v/>
      </c>
      <c r="L103" t="str">
        <f>IF($A103="","",Entry!$L106)</f>
        <v/>
      </c>
      <c r="N103" t="str">
        <f>IF(OR(Sync!$M103="",$Q103="",$Q103="نامعتبر"),"",Sync!$M103)</f>
        <v/>
      </c>
      <c r="O103" t="str">
        <f t="shared" si="10"/>
        <v/>
      </c>
      <c r="P103" t="str">
        <f>IF($N103="","",LEFT($Q103,4)&amp;MID($Q103,6,2)&amp;RIGHT($Q103,2)&amp;IF(Sync!$K103="","0000",IF(AND(ISNUMBER(Sync!$K103),Sync!$K103&gt;=0,Sync!$K103&lt;1),RIGHT("00"&amp;HOUR(Sync!$K103),2)&amp;RIGHT("00"&amp;MINUTE(Sync!$K103),2),IFERROR(RIGHT("00"&amp;VALUE(LEFT(Sync!$K103,FIND(":",Sync!$K103)-1)),2)&amp;RIGHT("00"&amp;VALUE(MID(Sync!$K103,FIND(":",Sync!$K103)+1,2)),2),"0000")))&amp;"|"&amp;"2"&amp;RIGHT("00000"&amp;98,5))</f>
        <v/>
      </c>
      <c r="Q103" t="str">
        <f>IF(Sync!$J103="","",IF(ISNUMBER(Sync!$J103),IF(AND(Sync!$J103&gt;=10000101,Sync!$J103&lt;=99991231),INT(Sync!$J103/10000)&amp;"/"&amp;RIGHT("00"&amp;INT(MOD(Sync!$J103,10000)/100),2)&amp;"/"&amp;RIGHT("00"&amp;MOD(Sync!$J103,100),2),"نامعتبر"),IF(LEN(Sync!$J103)=10,Sync!$J103,"نامعتبر")))</f>
        <v/>
      </c>
      <c r="R103" t="str">
        <f t="shared" si="11"/>
        <v/>
      </c>
      <c r="S103" t="str">
        <f t="shared" si="12"/>
        <v/>
      </c>
      <c r="T103" t="str">
        <f>IF($N103="","",IF(Sync!$N103="",0,Sync!$N103))</f>
        <v/>
      </c>
      <c r="U103" t="str">
        <f>IF($N103="","",IF(Sync!$O103="",0,Sync!$O103))</f>
        <v/>
      </c>
      <c r="V103" t="str">
        <f>IF($N103="","",Sync!$L103)</f>
        <v/>
      </c>
      <c r="W103" t="str">
        <f>IF($N103="","",Sync!$P103)</f>
        <v/>
      </c>
      <c r="AA103" t="str">
        <f>IF($A103="","",IF(COUNTIF($A$6:$A103,$A103)=1,1,0))</f>
        <v/>
      </c>
      <c r="AB103">
        <f>SUM($AA$6:$AA103)</f>
        <v>3</v>
      </c>
      <c r="AC103" t="str">
        <f t="shared" si="13"/>
        <v/>
      </c>
    </row>
    <row r="104" spans="1:29" x14ac:dyDescent="0.2">
      <c r="A104" t="str">
        <f>IF(OR(Entry!$B107="",Entry!$E107="",$E104="نامعتبر"),"",Entry!$E107)</f>
        <v/>
      </c>
      <c r="B104" t="str">
        <f>IF($A104="","",LEFT($E104,4)&amp;MID($E104,6,2)&amp;RIGHT($E104,2)&amp;$F104&amp;"|"&amp;"1"&amp;RIGHT("00000"&amp;99,5))</f>
        <v/>
      </c>
      <c r="C104" t="str">
        <f t="shared" si="7"/>
        <v/>
      </c>
      <c r="D104" t="str">
        <f t="shared" si="8"/>
        <v/>
      </c>
      <c r="E104" t="str">
        <f>IF(Entry!$B107="","",IF(ISNUMBER(Entry!$B107),IF(AND(Entry!$B107&gt;=10000101,Entry!$B107&lt;=99991231),INT(Entry!$B107/10000)&amp;"/"&amp;RIGHT("00"&amp;INT(MOD(Entry!$B107,10000)/100),2)&amp;"/"&amp;RIGHT("00"&amp;MOD(Entry!$B107,100),2),"نامعتبر"),IF(LEN(Entry!$B107)=10,Entry!$B107,"نامعتبر")))</f>
        <v/>
      </c>
      <c r="F104" t="str">
        <f>IF(Entry!$B107="","",IF(Entry!$C107="","0000",IF(AND(ISNUMBER(Entry!$C107),Entry!$C107&gt;=0,Entry!$C107&lt;1),RIGHT("00"&amp;HOUR(Entry!$C107),2)&amp;RIGHT("00"&amp;MINUTE(Entry!$C107),2),IFERROR(RIGHT("00"&amp;VALUE(LEFT(Entry!$C107,FIND(":",Entry!$C107)-1)),2)&amp;RIGHT("00"&amp;VALUE(MID(Entry!$C107,FIND(":",Entry!$C107)+1,2)),2),"0000"))))</f>
        <v/>
      </c>
      <c r="G104" t="str">
        <f>IF($A104="","",Entry!$G107)</f>
        <v/>
      </c>
      <c r="H104" t="str">
        <f>IF($A104="","",IF(Entry!$H107="",0,Entry!$H107))</f>
        <v/>
      </c>
      <c r="I104" t="str">
        <f>IF($A104="","",IF(Entry!$I107="",0,Entry!$I107))</f>
        <v/>
      </c>
      <c r="J104" t="str">
        <f t="shared" si="9"/>
        <v/>
      </c>
      <c r="K104" t="str">
        <f>IF($A104="","",Entry!$D107)</f>
        <v/>
      </c>
      <c r="L104" t="str">
        <f>IF($A104="","",Entry!$L107)</f>
        <v/>
      </c>
      <c r="N104" t="str">
        <f>IF(OR(Sync!$M104="",$Q104="",$Q104="نامعتبر"),"",Sync!$M104)</f>
        <v/>
      </c>
      <c r="O104" t="str">
        <f t="shared" si="10"/>
        <v/>
      </c>
      <c r="P104" t="str">
        <f>IF($N104="","",LEFT($Q104,4)&amp;MID($Q104,6,2)&amp;RIGHT($Q104,2)&amp;IF(Sync!$K104="","0000",IF(AND(ISNUMBER(Sync!$K104),Sync!$K104&gt;=0,Sync!$K104&lt;1),RIGHT("00"&amp;HOUR(Sync!$K104),2)&amp;RIGHT("00"&amp;MINUTE(Sync!$K104),2),IFERROR(RIGHT("00"&amp;VALUE(LEFT(Sync!$K104,FIND(":",Sync!$K104)-1)),2)&amp;RIGHT("00"&amp;VALUE(MID(Sync!$K104,FIND(":",Sync!$K104)+1,2)),2),"0000")))&amp;"|"&amp;"2"&amp;RIGHT("00000"&amp;99,5))</f>
        <v/>
      </c>
      <c r="Q104" t="str">
        <f>IF(Sync!$J104="","",IF(ISNUMBER(Sync!$J104),IF(AND(Sync!$J104&gt;=10000101,Sync!$J104&lt;=99991231),INT(Sync!$J104/10000)&amp;"/"&amp;RIGHT("00"&amp;INT(MOD(Sync!$J104,10000)/100),2)&amp;"/"&amp;RIGHT("00"&amp;MOD(Sync!$J104,100),2),"نامعتبر"),IF(LEN(Sync!$J104)=10,Sync!$J104,"نامعتبر")))</f>
        <v/>
      </c>
      <c r="R104" t="str">
        <f t="shared" si="11"/>
        <v/>
      </c>
      <c r="S104" t="str">
        <f t="shared" si="12"/>
        <v/>
      </c>
      <c r="T104" t="str">
        <f>IF($N104="","",IF(Sync!$N104="",0,Sync!$N104))</f>
        <v/>
      </c>
      <c r="U104" t="str">
        <f>IF($N104="","",IF(Sync!$O104="",0,Sync!$O104))</f>
        <v/>
      </c>
      <c r="V104" t="str">
        <f>IF($N104="","",Sync!$L104)</f>
        <v/>
      </c>
      <c r="W104" t="str">
        <f>IF($N104="","",Sync!$P104)</f>
        <v/>
      </c>
      <c r="AA104" t="str">
        <f>IF($A104="","",IF(COUNTIF($A$6:$A104,$A104)=1,1,0))</f>
        <v/>
      </c>
      <c r="AB104">
        <f>SUM($AA$6:$AA104)</f>
        <v>3</v>
      </c>
      <c r="AC104" t="str">
        <f t="shared" si="13"/>
        <v/>
      </c>
    </row>
    <row r="105" spans="1:29" x14ac:dyDescent="0.2">
      <c r="A105" t="str">
        <f>IF(OR(Entry!$B108="",Entry!$E108="",$E105="نامعتبر"),"",Entry!$E108)</f>
        <v/>
      </c>
      <c r="B105" t="str">
        <f>IF($A105="","",LEFT($E105,4)&amp;MID($E105,6,2)&amp;RIGHT($E105,2)&amp;$F105&amp;"|"&amp;"1"&amp;RIGHT("00000"&amp;100,5))</f>
        <v/>
      </c>
      <c r="C105" t="str">
        <f t="shared" si="7"/>
        <v/>
      </c>
      <c r="D105" t="str">
        <f t="shared" si="8"/>
        <v/>
      </c>
      <c r="E105" t="str">
        <f>IF(Entry!$B108="","",IF(ISNUMBER(Entry!$B108),IF(AND(Entry!$B108&gt;=10000101,Entry!$B108&lt;=99991231),INT(Entry!$B108/10000)&amp;"/"&amp;RIGHT("00"&amp;INT(MOD(Entry!$B108,10000)/100),2)&amp;"/"&amp;RIGHT("00"&amp;MOD(Entry!$B108,100),2),"نامعتبر"),IF(LEN(Entry!$B108)=10,Entry!$B108,"نامعتبر")))</f>
        <v/>
      </c>
      <c r="F105" t="str">
        <f>IF(Entry!$B108="","",IF(Entry!$C108="","0000",IF(AND(ISNUMBER(Entry!$C108),Entry!$C108&gt;=0,Entry!$C108&lt;1),RIGHT("00"&amp;HOUR(Entry!$C108),2)&amp;RIGHT("00"&amp;MINUTE(Entry!$C108),2),IFERROR(RIGHT("00"&amp;VALUE(LEFT(Entry!$C108,FIND(":",Entry!$C108)-1)),2)&amp;RIGHT("00"&amp;VALUE(MID(Entry!$C108,FIND(":",Entry!$C108)+1,2)),2),"0000"))))</f>
        <v/>
      </c>
      <c r="G105" t="str">
        <f>IF($A105="","",Entry!$G108)</f>
        <v/>
      </c>
      <c r="H105" t="str">
        <f>IF($A105="","",IF(Entry!$H108="",0,Entry!$H108))</f>
        <v/>
      </c>
      <c r="I105" t="str">
        <f>IF($A105="","",IF(Entry!$I108="",0,Entry!$I108))</f>
        <v/>
      </c>
      <c r="J105" t="str">
        <f t="shared" si="9"/>
        <v/>
      </c>
      <c r="K105" t="str">
        <f>IF($A105="","",Entry!$D108)</f>
        <v/>
      </c>
      <c r="L105" t="str">
        <f>IF($A105="","",Entry!$L108)</f>
        <v/>
      </c>
      <c r="N105" t="str">
        <f>IF(OR(Sync!$M105="",$Q105="",$Q105="نامعتبر"),"",Sync!$M105)</f>
        <v/>
      </c>
      <c r="O105" t="str">
        <f t="shared" si="10"/>
        <v/>
      </c>
      <c r="P105" t="str">
        <f>IF($N105="","",LEFT($Q105,4)&amp;MID($Q105,6,2)&amp;RIGHT($Q105,2)&amp;IF(Sync!$K105="","0000",IF(AND(ISNUMBER(Sync!$K105),Sync!$K105&gt;=0,Sync!$K105&lt;1),RIGHT("00"&amp;HOUR(Sync!$K105),2)&amp;RIGHT("00"&amp;MINUTE(Sync!$K105),2),IFERROR(RIGHT("00"&amp;VALUE(LEFT(Sync!$K105,FIND(":",Sync!$K105)-1)),2)&amp;RIGHT("00"&amp;VALUE(MID(Sync!$K105,FIND(":",Sync!$K105)+1,2)),2),"0000")))&amp;"|"&amp;"2"&amp;RIGHT("00000"&amp;100,5))</f>
        <v/>
      </c>
      <c r="Q105" t="str">
        <f>IF(Sync!$J105="","",IF(ISNUMBER(Sync!$J105),IF(AND(Sync!$J105&gt;=10000101,Sync!$J105&lt;=99991231),INT(Sync!$J105/10000)&amp;"/"&amp;RIGHT("00"&amp;INT(MOD(Sync!$J105,10000)/100),2)&amp;"/"&amp;RIGHT("00"&amp;MOD(Sync!$J105,100),2),"نامعتبر"),IF(LEN(Sync!$J105)=10,Sync!$J105,"نامعتبر")))</f>
        <v/>
      </c>
      <c r="R105" t="str">
        <f t="shared" si="11"/>
        <v/>
      </c>
      <c r="S105" t="str">
        <f t="shared" si="12"/>
        <v/>
      </c>
      <c r="T105" t="str">
        <f>IF($N105="","",IF(Sync!$N105="",0,Sync!$N105))</f>
        <v/>
      </c>
      <c r="U105" t="str">
        <f>IF($N105="","",IF(Sync!$O105="",0,Sync!$O105))</f>
        <v/>
      </c>
      <c r="V105" t="str">
        <f>IF($N105="","",Sync!$L105)</f>
        <v/>
      </c>
      <c r="W105" t="str">
        <f>IF($N105="","",Sync!$P105)</f>
        <v/>
      </c>
      <c r="AA105" t="str">
        <f>IF($A105="","",IF(COUNTIF($A$6:$A105,$A105)=1,1,0))</f>
        <v/>
      </c>
      <c r="AB105">
        <f>SUM($AA$6:$AA105)</f>
        <v>3</v>
      </c>
      <c r="AC105" t="str">
        <f t="shared" si="13"/>
        <v/>
      </c>
    </row>
    <row r="106" spans="1:29" x14ac:dyDescent="0.2">
      <c r="A106" t="str">
        <f>IF(OR(Entry!$B109="",Entry!$E109="",$E106="نامعتبر"),"",Entry!$E109)</f>
        <v/>
      </c>
      <c r="B106" t="str">
        <f>IF($A106="","",LEFT($E106,4)&amp;MID($E106,6,2)&amp;RIGHT($E106,2)&amp;$F106&amp;"|"&amp;"1"&amp;RIGHT("00000"&amp;101,5))</f>
        <v/>
      </c>
      <c r="C106" t="str">
        <f t="shared" si="7"/>
        <v/>
      </c>
      <c r="D106" t="str">
        <f t="shared" si="8"/>
        <v/>
      </c>
      <c r="E106" t="str">
        <f>IF(Entry!$B109="","",IF(ISNUMBER(Entry!$B109),IF(AND(Entry!$B109&gt;=10000101,Entry!$B109&lt;=99991231),INT(Entry!$B109/10000)&amp;"/"&amp;RIGHT("00"&amp;INT(MOD(Entry!$B109,10000)/100),2)&amp;"/"&amp;RIGHT("00"&amp;MOD(Entry!$B109,100),2),"نامعتبر"),IF(LEN(Entry!$B109)=10,Entry!$B109,"نامعتبر")))</f>
        <v/>
      </c>
      <c r="F106" t="str">
        <f>IF(Entry!$B109="","",IF(Entry!$C109="","0000",IF(AND(ISNUMBER(Entry!$C109),Entry!$C109&gt;=0,Entry!$C109&lt;1),RIGHT("00"&amp;HOUR(Entry!$C109),2)&amp;RIGHT("00"&amp;MINUTE(Entry!$C109),2),IFERROR(RIGHT("00"&amp;VALUE(LEFT(Entry!$C109,FIND(":",Entry!$C109)-1)),2)&amp;RIGHT("00"&amp;VALUE(MID(Entry!$C109,FIND(":",Entry!$C109)+1,2)),2),"0000"))))</f>
        <v/>
      </c>
      <c r="G106" t="str">
        <f>IF($A106="","",Entry!$G109)</f>
        <v/>
      </c>
      <c r="H106" t="str">
        <f>IF($A106="","",IF(Entry!$H109="",0,Entry!$H109))</f>
        <v/>
      </c>
      <c r="I106" t="str">
        <f>IF($A106="","",IF(Entry!$I109="",0,Entry!$I109))</f>
        <v/>
      </c>
      <c r="J106" t="str">
        <f t="shared" si="9"/>
        <v/>
      </c>
      <c r="K106" t="str">
        <f>IF($A106="","",Entry!$D109)</f>
        <v/>
      </c>
      <c r="L106" t="str">
        <f>IF($A106="","",Entry!$L109)</f>
        <v/>
      </c>
      <c r="N106" t="str">
        <f>IF(OR(Sync!$M106="",$Q106="",$Q106="نامعتبر"),"",Sync!$M106)</f>
        <v/>
      </c>
      <c r="O106" t="str">
        <f t="shared" si="10"/>
        <v/>
      </c>
      <c r="P106" t="str">
        <f>IF($N106="","",LEFT($Q106,4)&amp;MID($Q106,6,2)&amp;RIGHT($Q106,2)&amp;IF(Sync!$K106="","0000",IF(AND(ISNUMBER(Sync!$K106),Sync!$K106&gt;=0,Sync!$K106&lt;1),RIGHT("00"&amp;HOUR(Sync!$K106),2)&amp;RIGHT("00"&amp;MINUTE(Sync!$K106),2),IFERROR(RIGHT("00"&amp;VALUE(LEFT(Sync!$K106,FIND(":",Sync!$K106)-1)),2)&amp;RIGHT("00"&amp;VALUE(MID(Sync!$K106,FIND(":",Sync!$K106)+1,2)),2),"0000")))&amp;"|"&amp;"2"&amp;RIGHT("00000"&amp;101,5))</f>
        <v/>
      </c>
      <c r="Q106" t="str">
        <f>IF(Sync!$J106="","",IF(ISNUMBER(Sync!$J106),IF(AND(Sync!$J106&gt;=10000101,Sync!$J106&lt;=99991231),INT(Sync!$J106/10000)&amp;"/"&amp;RIGHT("00"&amp;INT(MOD(Sync!$J106,10000)/100),2)&amp;"/"&amp;RIGHT("00"&amp;MOD(Sync!$J106,100),2),"نامعتبر"),IF(LEN(Sync!$J106)=10,Sync!$J106,"نامعتبر")))</f>
        <v/>
      </c>
      <c r="R106" t="str">
        <f t="shared" si="11"/>
        <v/>
      </c>
      <c r="S106" t="str">
        <f t="shared" si="12"/>
        <v/>
      </c>
      <c r="T106" t="str">
        <f>IF($N106="","",IF(Sync!$N106="",0,Sync!$N106))</f>
        <v/>
      </c>
      <c r="U106" t="str">
        <f>IF($N106="","",IF(Sync!$O106="",0,Sync!$O106))</f>
        <v/>
      </c>
      <c r="V106" t="str">
        <f>IF($N106="","",Sync!$L106)</f>
        <v/>
      </c>
      <c r="W106" t="str">
        <f>IF($N106="","",Sync!$P106)</f>
        <v/>
      </c>
      <c r="AA106" t="str">
        <f>IF($A106="","",IF(COUNTIF($A$6:$A106,$A106)=1,1,0))</f>
        <v/>
      </c>
      <c r="AB106">
        <f>SUM($AA$6:$AA106)</f>
        <v>3</v>
      </c>
      <c r="AC106" t="str">
        <f t="shared" si="13"/>
        <v/>
      </c>
    </row>
    <row r="107" spans="1:29" x14ac:dyDescent="0.2">
      <c r="A107" t="str">
        <f>IF(OR(Entry!$B110="",Entry!$E110="",$E107="نامعتبر"),"",Entry!$E110)</f>
        <v/>
      </c>
      <c r="B107" t="str">
        <f>IF($A107="","",LEFT($E107,4)&amp;MID($E107,6,2)&amp;RIGHT($E107,2)&amp;$F107&amp;"|"&amp;"1"&amp;RIGHT("00000"&amp;102,5))</f>
        <v/>
      </c>
      <c r="C107" t="str">
        <f t="shared" si="7"/>
        <v/>
      </c>
      <c r="D107" t="str">
        <f t="shared" si="8"/>
        <v/>
      </c>
      <c r="E107" t="str">
        <f>IF(Entry!$B110="","",IF(ISNUMBER(Entry!$B110),IF(AND(Entry!$B110&gt;=10000101,Entry!$B110&lt;=99991231),INT(Entry!$B110/10000)&amp;"/"&amp;RIGHT("00"&amp;INT(MOD(Entry!$B110,10000)/100),2)&amp;"/"&amp;RIGHT("00"&amp;MOD(Entry!$B110,100),2),"نامعتبر"),IF(LEN(Entry!$B110)=10,Entry!$B110,"نامعتبر")))</f>
        <v/>
      </c>
      <c r="F107" t="str">
        <f>IF(Entry!$B110="","",IF(Entry!$C110="","0000",IF(AND(ISNUMBER(Entry!$C110),Entry!$C110&gt;=0,Entry!$C110&lt;1),RIGHT("00"&amp;HOUR(Entry!$C110),2)&amp;RIGHT("00"&amp;MINUTE(Entry!$C110),2),IFERROR(RIGHT("00"&amp;VALUE(LEFT(Entry!$C110,FIND(":",Entry!$C110)-1)),2)&amp;RIGHT("00"&amp;VALUE(MID(Entry!$C110,FIND(":",Entry!$C110)+1,2)),2),"0000"))))</f>
        <v/>
      </c>
      <c r="G107" t="str">
        <f>IF($A107="","",Entry!$G110)</f>
        <v/>
      </c>
      <c r="H107" t="str">
        <f>IF($A107="","",IF(Entry!$H110="",0,Entry!$H110))</f>
        <v/>
      </c>
      <c r="I107" t="str">
        <f>IF($A107="","",IF(Entry!$I110="",0,Entry!$I110))</f>
        <v/>
      </c>
      <c r="J107" t="str">
        <f t="shared" si="9"/>
        <v/>
      </c>
      <c r="K107" t="str">
        <f>IF($A107="","",Entry!$D110)</f>
        <v/>
      </c>
      <c r="L107" t="str">
        <f>IF($A107="","",Entry!$L110)</f>
        <v/>
      </c>
      <c r="N107" t="str">
        <f>IF(OR(Sync!$M107="",$Q107="",$Q107="نامعتبر"),"",Sync!$M107)</f>
        <v/>
      </c>
      <c r="O107" t="str">
        <f t="shared" si="10"/>
        <v/>
      </c>
      <c r="P107" t="str">
        <f>IF($N107="","",LEFT($Q107,4)&amp;MID($Q107,6,2)&amp;RIGHT($Q107,2)&amp;IF(Sync!$K107="","0000",IF(AND(ISNUMBER(Sync!$K107),Sync!$K107&gt;=0,Sync!$K107&lt;1),RIGHT("00"&amp;HOUR(Sync!$K107),2)&amp;RIGHT("00"&amp;MINUTE(Sync!$K107),2),IFERROR(RIGHT("00"&amp;VALUE(LEFT(Sync!$K107,FIND(":",Sync!$K107)-1)),2)&amp;RIGHT("00"&amp;VALUE(MID(Sync!$K107,FIND(":",Sync!$K107)+1,2)),2),"0000")))&amp;"|"&amp;"2"&amp;RIGHT("00000"&amp;102,5))</f>
        <v/>
      </c>
      <c r="Q107" t="str">
        <f>IF(Sync!$J107="","",IF(ISNUMBER(Sync!$J107),IF(AND(Sync!$J107&gt;=10000101,Sync!$J107&lt;=99991231),INT(Sync!$J107/10000)&amp;"/"&amp;RIGHT("00"&amp;INT(MOD(Sync!$J107,10000)/100),2)&amp;"/"&amp;RIGHT("00"&amp;MOD(Sync!$J107,100),2),"نامعتبر"),IF(LEN(Sync!$J107)=10,Sync!$J107,"نامعتبر")))</f>
        <v/>
      </c>
      <c r="R107" t="str">
        <f t="shared" si="11"/>
        <v/>
      </c>
      <c r="S107" t="str">
        <f t="shared" si="12"/>
        <v/>
      </c>
      <c r="T107" t="str">
        <f>IF($N107="","",IF(Sync!$N107="",0,Sync!$N107))</f>
        <v/>
      </c>
      <c r="U107" t="str">
        <f>IF($N107="","",IF(Sync!$O107="",0,Sync!$O107))</f>
        <v/>
      </c>
      <c r="V107" t="str">
        <f>IF($N107="","",Sync!$L107)</f>
        <v/>
      </c>
      <c r="W107" t="str">
        <f>IF($N107="","",Sync!$P107)</f>
        <v/>
      </c>
      <c r="AA107" t="str">
        <f>IF($A107="","",IF(COUNTIF($A$6:$A107,$A107)=1,1,0))</f>
        <v/>
      </c>
      <c r="AB107">
        <f>SUM($AA$6:$AA107)</f>
        <v>3</v>
      </c>
      <c r="AC107" t="str">
        <f t="shared" si="13"/>
        <v/>
      </c>
    </row>
    <row r="108" spans="1:29" x14ac:dyDescent="0.2">
      <c r="A108" t="str">
        <f>IF(OR(Entry!$B111="",Entry!$E111="",$E108="نامعتبر"),"",Entry!$E111)</f>
        <v/>
      </c>
      <c r="B108" t="str">
        <f>IF($A108="","",LEFT($E108,4)&amp;MID($E108,6,2)&amp;RIGHT($E108,2)&amp;$F108&amp;"|"&amp;"1"&amp;RIGHT("00000"&amp;103,5))</f>
        <v/>
      </c>
      <c r="C108" t="str">
        <f t="shared" si="7"/>
        <v/>
      </c>
      <c r="D108" t="str">
        <f t="shared" si="8"/>
        <v/>
      </c>
      <c r="E108" t="str">
        <f>IF(Entry!$B111="","",IF(ISNUMBER(Entry!$B111),IF(AND(Entry!$B111&gt;=10000101,Entry!$B111&lt;=99991231),INT(Entry!$B111/10000)&amp;"/"&amp;RIGHT("00"&amp;INT(MOD(Entry!$B111,10000)/100),2)&amp;"/"&amp;RIGHT("00"&amp;MOD(Entry!$B111,100),2),"نامعتبر"),IF(LEN(Entry!$B111)=10,Entry!$B111,"نامعتبر")))</f>
        <v/>
      </c>
      <c r="F108" t="str">
        <f>IF(Entry!$B111="","",IF(Entry!$C111="","0000",IF(AND(ISNUMBER(Entry!$C111),Entry!$C111&gt;=0,Entry!$C111&lt;1),RIGHT("00"&amp;HOUR(Entry!$C111),2)&amp;RIGHT("00"&amp;MINUTE(Entry!$C111),2),IFERROR(RIGHT("00"&amp;VALUE(LEFT(Entry!$C111,FIND(":",Entry!$C111)-1)),2)&amp;RIGHT("00"&amp;VALUE(MID(Entry!$C111,FIND(":",Entry!$C111)+1,2)),2),"0000"))))</f>
        <v/>
      </c>
      <c r="G108" t="str">
        <f>IF($A108="","",Entry!$G111)</f>
        <v/>
      </c>
      <c r="H108" t="str">
        <f>IF($A108="","",IF(Entry!$H111="",0,Entry!$H111))</f>
        <v/>
      </c>
      <c r="I108" t="str">
        <f>IF($A108="","",IF(Entry!$I111="",0,Entry!$I111))</f>
        <v/>
      </c>
      <c r="J108" t="str">
        <f t="shared" si="9"/>
        <v/>
      </c>
      <c r="K108" t="str">
        <f>IF($A108="","",Entry!$D111)</f>
        <v/>
      </c>
      <c r="L108" t="str">
        <f>IF($A108="","",Entry!$L111)</f>
        <v/>
      </c>
      <c r="N108" t="str">
        <f>IF(OR(Sync!$M108="",$Q108="",$Q108="نامعتبر"),"",Sync!$M108)</f>
        <v/>
      </c>
      <c r="O108" t="str">
        <f t="shared" si="10"/>
        <v/>
      </c>
      <c r="P108" t="str">
        <f>IF($N108="","",LEFT($Q108,4)&amp;MID($Q108,6,2)&amp;RIGHT($Q108,2)&amp;IF(Sync!$K108="","0000",IF(AND(ISNUMBER(Sync!$K108),Sync!$K108&gt;=0,Sync!$K108&lt;1),RIGHT("00"&amp;HOUR(Sync!$K108),2)&amp;RIGHT("00"&amp;MINUTE(Sync!$K108),2),IFERROR(RIGHT("00"&amp;VALUE(LEFT(Sync!$K108,FIND(":",Sync!$K108)-1)),2)&amp;RIGHT("00"&amp;VALUE(MID(Sync!$K108,FIND(":",Sync!$K108)+1,2)),2),"0000")))&amp;"|"&amp;"2"&amp;RIGHT("00000"&amp;103,5))</f>
        <v/>
      </c>
      <c r="Q108" t="str">
        <f>IF(Sync!$J108="","",IF(ISNUMBER(Sync!$J108),IF(AND(Sync!$J108&gt;=10000101,Sync!$J108&lt;=99991231),INT(Sync!$J108/10000)&amp;"/"&amp;RIGHT("00"&amp;INT(MOD(Sync!$J108,10000)/100),2)&amp;"/"&amp;RIGHT("00"&amp;MOD(Sync!$J108,100),2),"نامعتبر"),IF(LEN(Sync!$J108)=10,Sync!$J108,"نامعتبر")))</f>
        <v/>
      </c>
      <c r="R108" t="str">
        <f t="shared" si="11"/>
        <v/>
      </c>
      <c r="S108" t="str">
        <f t="shared" si="12"/>
        <v/>
      </c>
      <c r="T108" t="str">
        <f>IF($N108="","",IF(Sync!$N108="",0,Sync!$N108))</f>
        <v/>
      </c>
      <c r="U108" t="str">
        <f>IF($N108="","",IF(Sync!$O108="",0,Sync!$O108))</f>
        <v/>
      </c>
      <c r="V108" t="str">
        <f>IF($N108="","",Sync!$L108)</f>
        <v/>
      </c>
      <c r="W108" t="str">
        <f>IF($N108="","",Sync!$P108)</f>
        <v/>
      </c>
      <c r="AA108" t="str">
        <f>IF($A108="","",IF(COUNTIF($A$6:$A108,$A108)=1,1,0))</f>
        <v/>
      </c>
      <c r="AB108">
        <f>SUM($AA$6:$AA108)</f>
        <v>3</v>
      </c>
      <c r="AC108" t="str">
        <f t="shared" si="13"/>
        <v/>
      </c>
    </row>
    <row r="109" spans="1:29" x14ac:dyDescent="0.2">
      <c r="A109" t="str">
        <f>IF(OR(Entry!$B112="",Entry!$E112="",$E109="نامعتبر"),"",Entry!$E112)</f>
        <v/>
      </c>
      <c r="B109" t="str">
        <f>IF($A109="","",LEFT($E109,4)&amp;MID($E109,6,2)&amp;RIGHT($E109,2)&amp;$F109&amp;"|"&amp;"1"&amp;RIGHT("00000"&amp;104,5))</f>
        <v/>
      </c>
      <c r="C109" t="str">
        <f t="shared" si="7"/>
        <v/>
      </c>
      <c r="D109" t="str">
        <f t="shared" si="8"/>
        <v/>
      </c>
      <c r="E109" t="str">
        <f>IF(Entry!$B112="","",IF(ISNUMBER(Entry!$B112),IF(AND(Entry!$B112&gt;=10000101,Entry!$B112&lt;=99991231),INT(Entry!$B112/10000)&amp;"/"&amp;RIGHT("00"&amp;INT(MOD(Entry!$B112,10000)/100),2)&amp;"/"&amp;RIGHT("00"&amp;MOD(Entry!$B112,100),2),"نامعتبر"),IF(LEN(Entry!$B112)=10,Entry!$B112,"نامعتبر")))</f>
        <v/>
      </c>
      <c r="F109" t="str">
        <f>IF(Entry!$B112="","",IF(Entry!$C112="","0000",IF(AND(ISNUMBER(Entry!$C112),Entry!$C112&gt;=0,Entry!$C112&lt;1),RIGHT("00"&amp;HOUR(Entry!$C112),2)&amp;RIGHT("00"&amp;MINUTE(Entry!$C112),2),IFERROR(RIGHT("00"&amp;VALUE(LEFT(Entry!$C112,FIND(":",Entry!$C112)-1)),2)&amp;RIGHT("00"&amp;VALUE(MID(Entry!$C112,FIND(":",Entry!$C112)+1,2)),2),"0000"))))</f>
        <v/>
      </c>
      <c r="G109" t="str">
        <f>IF($A109="","",Entry!$G112)</f>
        <v/>
      </c>
      <c r="H109" t="str">
        <f>IF($A109="","",IF(Entry!$H112="",0,Entry!$H112))</f>
        <v/>
      </c>
      <c r="I109" t="str">
        <f>IF($A109="","",IF(Entry!$I112="",0,Entry!$I112))</f>
        <v/>
      </c>
      <c r="J109" t="str">
        <f t="shared" si="9"/>
        <v/>
      </c>
      <c r="K109" t="str">
        <f>IF($A109="","",Entry!$D112)</f>
        <v/>
      </c>
      <c r="L109" t="str">
        <f>IF($A109="","",Entry!$L112)</f>
        <v/>
      </c>
      <c r="N109" t="str">
        <f>IF(OR(Sync!$M109="",$Q109="",$Q109="نامعتبر"),"",Sync!$M109)</f>
        <v/>
      </c>
      <c r="O109" t="str">
        <f t="shared" si="10"/>
        <v/>
      </c>
      <c r="P109" t="str">
        <f>IF($N109="","",LEFT($Q109,4)&amp;MID($Q109,6,2)&amp;RIGHT($Q109,2)&amp;IF(Sync!$K109="","0000",IF(AND(ISNUMBER(Sync!$K109),Sync!$K109&gt;=0,Sync!$K109&lt;1),RIGHT("00"&amp;HOUR(Sync!$K109),2)&amp;RIGHT("00"&amp;MINUTE(Sync!$K109),2),IFERROR(RIGHT("00"&amp;VALUE(LEFT(Sync!$K109,FIND(":",Sync!$K109)-1)),2)&amp;RIGHT("00"&amp;VALUE(MID(Sync!$K109,FIND(":",Sync!$K109)+1,2)),2),"0000")))&amp;"|"&amp;"2"&amp;RIGHT("00000"&amp;104,5))</f>
        <v/>
      </c>
      <c r="Q109" t="str">
        <f>IF(Sync!$J109="","",IF(ISNUMBER(Sync!$J109),IF(AND(Sync!$J109&gt;=10000101,Sync!$J109&lt;=99991231),INT(Sync!$J109/10000)&amp;"/"&amp;RIGHT("00"&amp;INT(MOD(Sync!$J109,10000)/100),2)&amp;"/"&amp;RIGHT("00"&amp;MOD(Sync!$J109,100),2),"نامعتبر"),IF(LEN(Sync!$J109)=10,Sync!$J109,"نامعتبر")))</f>
        <v/>
      </c>
      <c r="R109" t="str">
        <f t="shared" si="11"/>
        <v/>
      </c>
      <c r="S109" t="str">
        <f t="shared" si="12"/>
        <v/>
      </c>
      <c r="T109" t="str">
        <f>IF($N109="","",IF(Sync!$N109="",0,Sync!$N109))</f>
        <v/>
      </c>
      <c r="U109" t="str">
        <f>IF($N109="","",IF(Sync!$O109="",0,Sync!$O109))</f>
        <v/>
      </c>
      <c r="V109" t="str">
        <f>IF($N109="","",Sync!$L109)</f>
        <v/>
      </c>
      <c r="W109" t="str">
        <f>IF($N109="","",Sync!$P109)</f>
        <v/>
      </c>
      <c r="AA109" t="str">
        <f>IF($A109="","",IF(COUNTIF($A$6:$A109,$A109)=1,1,0))</f>
        <v/>
      </c>
      <c r="AB109">
        <f>SUM($AA$6:$AA109)</f>
        <v>3</v>
      </c>
      <c r="AC109" t="str">
        <f t="shared" si="13"/>
        <v/>
      </c>
    </row>
    <row r="110" spans="1:29" x14ac:dyDescent="0.2">
      <c r="A110" t="str">
        <f>IF(OR(Entry!$B113="",Entry!$E113="",$E110="نامعتبر"),"",Entry!$E113)</f>
        <v/>
      </c>
      <c r="B110" t="str">
        <f>IF($A110="","",LEFT($E110,4)&amp;MID($E110,6,2)&amp;RIGHT($E110,2)&amp;$F110&amp;"|"&amp;"1"&amp;RIGHT("00000"&amp;105,5))</f>
        <v/>
      </c>
      <c r="C110" t="str">
        <f t="shared" si="7"/>
        <v/>
      </c>
      <c r="D110" t="str">
        <f t="shared" si="8"/>
        <v/>
      </c>
      <c r="E110" t="str">
        <f>IF(Entry!$B113="","",IF(ISNUMBER(Entry!$B113),IF(AND(Entry!$B113&gt;=10000101,Entry!$B113&lt;=99991231),INT(Entry!$B113/10000)&amp;"/"&amp;RIGHT("00"&amp;INT(MOD(Entry!$B113,10000)/100),2)&amp;"/"&amp;RIGHT("00"&amp;MOD(Entry!$B113,100),2),"نامعتبر"),IF(LEN(Entry!$B113)=10,Entry!$B113,"نامعتبر")))</f>
        <v/>
      </c>
      <c r="F110" t="str">
        <f>IF(Entry!$B113="","",IF(Entry!$C113="","0000",IF(AND(ISNUMBER(Entry!$C113),Entry!$C113&gt;=0,Entry!$C113&lt;1),RIGHT("00"&amp;HOUR(Entry!$C113),2)&amp;RIGHT("00"&amp;MINUTE(Entry!$C113),2),IFERROR(RIGHT("00"&amp;VALUE(LEFT(Entry!$C113,FIND(":",Entry!$C113)-1)),2)&amp;RIGHT("00"&amp;VALUE(MID(Entry!$C113,FIND(":",Entry!$C113)+1,2)),2),"0000"))))</f>
        <v/>
      </c>
      <c r="G110" t="str">
        <f>IF($A110="","",Entry!$G113)</f>
        <v/>
      </c>
      <c r="H110" t="str">
        <f>IF($A110="","",IF(Entry!$H113="",0,Entry!$H113))</f>
        <v/>
      </c>
      <c r="I110" t="str">
        <f>IF($A110="","",IF(Entry!$I113="",0,Entry!$I113))</f>
        <v/>
      </c>
      <c r="J110" t="str">
        <f t="shared" si="9"/>
        <v/>
      </c>
      <c r="K110" t="str">
        <f>IF($A110="","",Entry!$D113)</f>
        <v/>
      </c>
      <c r="L110" t="str">
        <f>IF($A110="","",Entry!$L113)</f>
        <v/>
      </c>
      <c r="N110" t="str">
        <f>IF(OR(Sync!$M110="",$Q110="",$Q110="نامعتبر"),"",Sync!$M110)</f>
        <v/>
      </c>
      <c r="O110" t="str">
        <f t="shared" si="10"/>
        <v/>
      </c>
      <c r="P110" t="str">
        <f>IF($N110="","",LEFT($Q110,4)&amp;MID($Q110,6,2)&amp;RIGHT($Q110,2)&amp;IF(Sync!$K110="","0000",IF(AND(ISNUMBER(Sync!$K110),Sync!$K110&gt;=0,Sync!$K110&lt;1),RIGHT("00"&amp;HOUR(Sync!$K110),2)&amp;RIGHT("00"&amp;MINUTE(Sync!$K110),2),IFERROR(RIGHT("00"&amp;VALUE(LEFT(Sync!$K110,FIND(":",Sync!$K110)-1)),2)&amp;RIGHT("00"&amp;VALUE(MID(Sync!$K110,FIND(":",Sync!$K110)+1,2)),2),"0000")))&amp;"|"&amp;"2"&amp;RIGHT("00000"&amp;105,5))</f>
        <v/>
      </c>
      <c r="Q110" t="str">
        <f>IF(Sync!$J110="","",IF(ISNUMBER(Sync!$J110),IF(AND(Sync!$J110&gt;=10000101,Sync!$J110&lt;=99991231),INT(Sync!$J110/10000)&amp;"/"&amp;RIGHT("00"&amp;INT(MOD(Sync!$J110,10000)/100),2)&amp;"/"&amp;RIGHT("00"&amp;MOD(Sync!$J110,100),2),"نامعتبر"),IF(LEN(Sync!$J110)=10,Sync!$J110,"نامعتبر")))</f>
        <v/>
      </c>
      <c r="R110" t="str">
        <f t="shared" si="11"/>
        <v/>
      </c>
      <c r="S110" t="str">
        <f t="shared" si="12"/>
        <v/>
      </c>
      <c r="T110" t="str">
        <f>IF($N110="","",IF(Sync!$N110="",0,Sync!$N110))</f>
        <v/>
      </c>
      <c r="U110" t="str">
        <f>IF($N110="","",IF(Sync!$O110="",0,Sync!$O110))</f>
        <v/>
      </c>
      <c r="V110" t="str">
        <f>IF($N110="","",Sync!$L110)</f>
        <v/>
      </c>
      <c r="W110" t="str">
        <f>IF($N110="","",Sync!$P110)</f>
        <v/>
      </c>
      <c r="AA110" t="str">
        <f>IF($A110="","",IF(COUNTIF($A$6:$A110,$A110)=1,1,0))</f>
        <v/>
      </c>
      <c r="AB110">
        <f>SUM($AA$6:$AA110)</f>
        <v>3</v>
      </c>
      <c r="AC110" t="str">
        <f t="shared" si="13"/>
        <v/>
      </c>
    </row>
    <row r="111" spans="1:29" x14ac:dyDescent="0.2">
      <c r="A111" t="str">
        <f>IF(OR(Entry!$B114="",Entry!$E114="",$E111="نامعتبر"),"",Entry!$E114)</f>
        <v/>
      </c>
      <c r="B111" t="str">
        <f>IF($A111="","",LEFT($E111,4)&amp;MID($E111,6,2)&amp;RIGHT($E111,2)&amp;$F111&amp;"|"&amp;"1"&amp;RIGHT("00000"&amp;106,5))</f>
        <v/>
      </c>
      <c r="C111" t="str">
        <f t="shared" si="7"/>
        <v/>
      </c>
      <c r="D111" t="str">
        <f t="shared" si="8"/>
        <v/>
      </c>
      <c r="E111" t="str">
        <f>IF(Entry!$B114="","",IF(ISNUMBER(Entry!$B114),IF(AND(Entry!$B114&gt;=10000101,Entry!$B114&lt;=99991231),INT(Entry!$B114/10000)&amp;"/"&amp;RIGHT("00"&amp;INT(MOD(Entry!$B114,10000)/100),2)&amp;"/"&amp;RIGHT("00"&amp;MOD(Entry!$B114,100),2),"نامعتبر"),IF(LEN(Entry!$B114)=10,Entry!$B114,"نامعتبر")))</f>
        <v/>
      </c>
      <c r="F111" t="str">
        <f>IF(Entry!$B114="","",IF(Entry!$C114="","0000",IF(AND(ISNUMBER(Entry!$C114),Entry!$C114&gt;=0,Entry!$C114&lt;1),RIGHT("00"&amp;HOUR(Entry!$C114),2)&amp;RIGHT("00"&amp;MINUTE(Entry!$C114),2),IFERROR(RIGHT("00"&amp;VALUE(LEFT(Entry!$C114,FIND(":",Entry!$C114)-1)),2)&amp;RIGHT("00"&amp;VALUE(MID(Entry!$C114,FIND(":",Entry!$C114)+1,2)),2),"0000"))))</f>
        <v/>
      </c>
      <c r="G111" t="str">
        <f>IF($A111="","",Entry!$G114)</f>
        <v/>
      </c>
      <c r="H111" t="str">
        <f>IF($A111="","",IF(Entry!$H114="",0,Entry!$H114))</f>
        <v/>
      </c>
      <c r="I111" t="str">
        <f>IF($A111="","",IF(Entry!$I114="",0,Entry!$I114))</f>
        <v/>
      </c>
      <c r="J111" t="str">
        <f t="shared" si="9"/>
        <v/>
      </c>
      <c r="K111" t="str">
        <f>IF($A111="","",Entry!$D114)</f>
        <v/>
      </c>
      <c r="L111" t="str">
        <f>IF($A111="","",Entry!$L114)</f>
        <v/>
      </c>
      <c r="N111" t="str">
        <f>IF(OR(Sync!$M111="",$Q111="",$Q111="نامعتبر"),"",Sync!$M111)</f>
        <v/>
      </c>
      <c r="O111" t="str">
        <f t="shared" si="10"/>
        <v/>
      </c>
      <c r="P111" t="str">
        <f>IF($N111="","",LEFT($Q111,4)&amp;MID($Q111,6,2)&amp;RIGHT($Q111,2)&amp;IF(Sync!$K111="","0000",IF(AND(ISNUMBER(Sync!$K111),Sync!$K111&gt;=0,Sync!$K111&lt;1),RIGHT("00"&amp;HOUR(Sync!$K111),2)&amp;RIGHT("00"&amp;MINUTE(Sync!$K111),2),IFERROR(RIGHT("00"&amp;VALUE(LEFT(Sync!$K111,FIND(":",Sync!$K111)-1)),2)&amp;RIGHT("00"&amp;VALUE(MID(Sync!$K111,FIND(":",Sync!$K111)+1,2)),2),"0000")))&amp;"|"&amp;"2"&amp;RIGHT("00000"&amp;106,5))</f>
        <v/>
      </c>
      <c r="Q111" t="str">
        <f>IF(Sync!$J111="","",IF(ISNUMBER(Sync!$J111),IF(AND(Sync!$J111&gt;=10000101,Sync!$J111&lt;=99991231),INT(Sync!$J111/10000)&amp;"/"&amp;RIGHT("00"&amp;INT(MOD(Sync!$J111,10000)/100),2)&amp;"/"&amp;RIGHT("00"&amp;MOD(Sync!$J111,100),2),"نامعتبر"),IF(LEN(Sync!$J111)=10,Sync!$J111,"نامعتبر")))</f>
        <v/>
      </c>
      <c r="R111" t="str">
        <f t="shared" si="11"/>
        <v/>
      </c>
      <c r="S111" t="str">
        <f t="shared" si="12"/>
        <v/>
      </c>
      <c r="T111" t="str">
        <f>IF($N111="","",IF(Sync!$N111="",0,Sync!$N111))</f>
        <v/>
      </c>
      <c r="U111" t="str">
        <f>IF($N111="","",IF(Sync!$O111="",0,Sync!$O111))</f>
        <v/>
      </c>
      <c r="V111" t="str">
        <f>IF($N111="","",Sync!$L111)</f>
        <v/>
      </c>
      <c r="W111" t="str">
        <f>IF($N111="","",Sync!$P111)</f>
        <v/>
      </c>
      <c r="AA111" t="str">
        <f>IF($A111="","",IF(COUNTIF($A$6:$A111,$A111)=1,1,0))</f>
        <v/>
      </c>
      <c r="AB111">
        <f>SUM($AA$6:$AA111)</f>
        <v>3</v>
      </c>
      <c r="AC111" t="str">
        <f t="shared" si="13"/>
        <v/>
      </c>
    </row>
    <row r="112" spans="1:29" x14ac:dyDescent="0.2">
      <c r="A112" t="str">
        <f>IF(OR(Entry!$B115="",Entry!$E115="",$E112="نامعتبر"),"",Entry!$E115)</f>
        <v/>
      </c>
      <c r="B112" t="str">
        <f>IF($A112="","",LEFT($E112,4)&amp;MID($E112,6,2)&amp;RIGHT($E112,2)&amp;$F112&amp;"|"&amp;"1"&amp;RIGHT("00000"&amp;107,5))</f>
        <v/>
      </c>
      <c r="C112" t="str">
        <f t="shared" si="7"/>
        <v/>
      </c>
      <c r="D112" t="str">
        <f t="shared" si="8"/>
        <v/>
      </c>
      <c r="E112" t="str">
        <f>IF(Entry!$B115="","",IF(ISNUMBER(Entry!$B115),IF(AND(Entry!$B115&gt;=10000101,Entry!$B115&lt;=99991231),INT(Entry!$B115/10000)&amp;"/"&amp;RIGHT("00"&amp;INT(MOD(Entry!$B115,10000)/100),2)&amp;"/"&amp;RIGHT("00"&amp;MOD(Entry!$B115,100),2),"نامعتبر"),IF(LEN(Entry!$B115)=10,Entry!$B115,"نامعتبر")))</f>
        <v/>
      </c>
      <c r="F112" t="str">
        <f>IF(Entry!$B115="","",IF(Entry!$C115="","0000",IF(AND(ISNUMBER(Entry!$C115),Entry!$C115&gt;=0,Entry!$C115&lt;1),RIGHT("00"&amp;HOUR(Entry!$C115),2)&amp;RIGHT("00"&amp;MINUTE(Entry!$C115),2),IFERROR(RIGHT("00"&amp;VALUE(LEFT(Entry!$C115,FIND(":",Entry!$C115)-1)),2)&amp;RIGHT("00"&amp;VALUE(MID(Entry!$C115,FIND(":",Entry!$C115)+1,2)),2),"0000"))))</f>
        <v/>
      </c>
      <c r="G112" t="str">
        <f>IF($A112="","",Entry!$G115)</f>
        <v/>
      </c>
      <c r="H112" t="str">
        <f>IF($A112="","",IF(Entry!$H115="",0,Entry!$H115))</f>
        <v/>
      </c>
      <c r="I112" t="str">
        <f>IF($A112="","",IF(Entry!$I115="",0,Entry!$I115))</f>
        <v/>
      </c>
      <c r="J112" t="str">
        <f t="shared" si="9"/>
        <v/>
      </c>
      <c r="K112" t="str">
        <f>IF($A112="","",Entry!$D115)</f>
        <v/>
      </c>
      <c r="L112" t="str">
        <f>IF($A112="","",Entry!$L115)</f>
        <v/>
      </c>
      <c r="N112" t="str">
        <f>IF(OR(Sync!$M112="",$Q112="",$Q112="نامعتبر"),"",Sync!$M112)</f>
        <v/>
      </c>
      <c r="O112" t="str">
        <f t="shared" si="10"/>
        <v/>
      </c>
      <c r="P112" t="str">
        <f>IF($N112="","",LEFT($Q112,4)&amp;MID($Q112,6,2)&amp;RIGHT($Q112,2)&amp;IF(Sync!$K112="","0000",IF(AND(ISNUMBER(Sync!$K112),Sync!$K112&gt;=0,Sync!$K112&lt;1),RIGHT("00"&amp;HOUR(Sync!$K112),2)&amp;RIGHT("00"&amp;MINUTE(Sync!$K112),2),IFERROR(RIGHT("00"&amp;VALUE(LEFT(Sync!$K112,FIND(":",Sync!$K112)-1)),2)&amp;RIGHT("00"&amp;VALUE(MID(Sync!$K112,FIND(":",Sync!$K112)+1,2)),2),"0000")))&amp;"|"&amp;"2"&amp;RIGHT("00000"&amp;107,5))</f>
        <v/>
      </c>
      <c r="Q112" t="str">
        <f>IF(Sync!$J112="","",IF(ISNUMBER(Sync!$J112),IF(AND(Sync!$J112&gt;=10000101,Sync!$J112&lt;=99991231),INT(Sync!$J112/10000)&amp;"/"&amp;RIGHT("00"&amp;INT(MOD(Sync!$J112,10000)/100),2)&amp;"/"&amp;RIGHT("00"&amp;MOD(Sync!$J112,100),2),"نامعتبر"),IF(LEN(Sync!$J112)=10,Sync!$J112,"نامعتبر")))</f>
        <v/>
      </c>
      <c r="R112" t="str">
        <f t="shared" si="11"/>
        <v/>
      </c>
      <c r="S112" t="str">
        <f t="shared" si="12"/>
        <v/>
      </c>
      <c r="T112" t="str">
        <f>IF($N112="","",IF(Sync!$N112="",0,Sync!$N112))</f>
        <v/>
      </c>
      <c r="U112" t="str">
        <f>IF($N112="","",IF(Sync!$O112="",0,Sync!$O112))</f>
        <v/>
      </c>
      <c r="V112" t="str">
        <f>IF($N112="","",Sync!$L112)</f>
        <v/>
      </c>
      <c r="W112" t="str">
        <f>IF($N112="","",Sync!$P112)</f>
        <v/>
      </c>
      <c r="AA112" t="str">
        <f>IF($A112="","",IF(COUNTIF($A$6:$A112,$A112)=1,1,0))</f>
        <v/>
      </c>
      <c r="AB112">
        <f>SUM($AA$6:$AA112)</f>
        <v>3</v>
      </c>
      <c r="AC112" t="str">
        <f t="shared" si="13"/>
        <v/>
      </c>
    </row>
    <row r="113" spans="1:29" x14ac:dyDescent="0.2">
      <c r="A113" t="str">
        <f>IF(OR(Entry!$B116="",Entry!$E116="",$E113="نامعتبر"),"",Entry!$E116)</f>
        <v/>
      </c>
      <c r="B113" t="str">
        <f>IF($A113="","",LEFT($E113,4)&amp;MID($E113,6,2)&amp;RIGHT($E113,2)&amp;$F113&amp;"|"&amp;"1"&amp;RIGHT("00000"&amp;108,5))</f>
        <v/>
      </c>
      <c r="C113" t="str">
        <f t="shared" si="7"/>
        <v/>
      </c>
      <c r="D113" t="str">
        <f t="shared" si="8"/>
        <v/>
      </c>
      <c r="E113" t="str">
        <f>IF(Entry!$B116="","",IF(ISNUMBER(Entry!$B116),IF(AND(Entry!$B116&gt;=10000101,Entry!$B116&lt;=99991231),INT(Entry!$B116/10000)&amp;"/"&amp;RIGHT("00"&amp;INT(MOD(Entry!$B116,10000)/100),2)&amp;"/"&amp;RIGHT("00"&amp;MOD(Entry!$B116,100),2),"نامعتبر"),IF(LEN(Entry!$B116)=10,Entry!$B116,"نامعتبر")))</f>
        <v/>
      </c>
      <c r="F113" t="str">
        <f>IF(Entry!$B116="","",IF(Entry!$C116="","0000",IF(AND(ISNUMBER(Entry!$C116),Entry!$C116&gt;=0,Entry!$C116&lt;1),RIGHT("00"&amp;HOUR(Entry!$C116),2)&amp;RIGHT("00"&amp;MINUTE(Entry!$C116),2),IFERROR(RIGHT("00"&amp;VALUE(LEFT(Entry!$C116,FIND(":",Entry!$C116)-1)),2)&amp;RIGHT("00"&amp;VALUE(MID(Entry!$C116,FIND(":",Entry!$C116)+1,2)),2),"0000"))))</f>
        <v/>
      </c>
      <c r="G113" t="str">
        <f>IF($A113="","",Entry!$G116)</f>
        <v/>
      </c>
      <c r="H113" t="str">
        <f>IF($A113="","",IF(Entry!$H116="",0,Entry!$H116))</f>
        <v/>
      </c>
      <c r="I113" t="str">
        <f>IF($A113="","",IF(Entry!$I116="",0,Entry!$I116))</f>
        <v/>
      </c>
      <c r="J113" t="str">
        <f t="shared" si="9"/>
        <v/>
      </c>
      <c r="K113" t="str">
        <f>IF($A113="","",Entry!$D116)</f>
        <v/>
      </c>
      <c r="L113" t="str">
        <f>IF($A113="","",Entry!$L116)</f>
        <v/>
      </c>
      <c r="N113" t="str">
        <f>IF(OR(Sync!$M113="",$Q113="",$Q113="نامعتبر"),"",Sync!$M113)</f>
        <v/>
      </c>
      <c r="O113" t="str">
        <f t="shared" si="10"/>
        <v/>
      </c>
      <c r="P113" t="str">
        <f>IF($N113="","",LEFT($Q113,4)&amp;MID($Q113,6,2)&amp;RIGHT($Q113,2)&amp;IF(Sync!$K113="","0000",IF(AND(ISNUMBER(Sync!$K113),Sync!$K113&gt;=0,Sync!$K113&lt;1),RIGHT("00"&amp;HOUR(Sync!$K113),2)&amp;RIGHT("00"&amp;MINUTE(Sync!$K113),2),IFERROR(RIGHT("00"&amp;VALUE(LEFT(Sync!$K113,FIND(":",Sync!$K113)-1)),2)&amp;RIGHT("00"&amp;VALUE(MID(Sync!$K113,FIND(":",Sync!$K113)+1,2)),2),"0000")))&amp;"|"&amp;"2"&amp;RIGHT("00000"&amp;108,5))</f>
        <v/>
      </c>
      <c r="Q113" t="str">
        <f>IF(Sync!$J113="","",IF(ISNUMBER(Sync!$J113),IF(AND(Sync!$J113&gt;=10000101,Sync!$J113&lt;=99991231),INT(Sync!$J113/10000)&amp;"/"&amp;RIGHT("00"&amp;INT(MOD(Sync!$J113,10000)/100),2)&amp;"/"&amp;RIGHT("00"&amp;MOD(Sync!$J113,100),2),"نامعتبر"),IF(LEN(Sync!$J113)=10,Sync!$J113,"نامعتبر")))</f>
        <v/>
      </c>
      <c r="R113" t="str">
        <f t="shared" si="11"/>
        <v/>
      </c>
      <c r="S113" t="str">
        <f t="shared" si="12"/>
        <v/>
      </c>
      <c r="T113" t="str">
        <f>IF($N113="","",IF(Sync!$N113="",0,Sync!$N113))</f>
        <v/>
      </c>
      <c r="U113" t="str">
        <f>IF($N113="","",IF(Sync!$O113="",0,Sync!$O113))</f>
        <v/>
      </c>
      <c r="V113" t="str">
        <f>IF($N113="","",Sync!$L113)</f>
        <v/>
      </c>
      <c r="W113" t="str">
        <f>IF($N113="","",Sync!$P113)</f>
        <v/>
      </c>
      <c r="AA113" t="str">
        <f>IF($A113="","",IF(COUNTIF($A$6:$A113,$A113)=1,1,0))</f>
        <v/>
      </c>
      <c r="AB113">
        <f>SUM($AA$6:$AA113)</f>
        <v>3</v>
      </c>
      <c r="AC113" t="str">
        <f t="shared" si="13"/>
        <v/>
      </c>
    </row>
    <row r="114" spans="1:29" x14ac:dyDescent="0.2">
      <c r="A114" t="str">
        <f>IF(OR(Entry!$B117="",Entry!$E117="",$E114="نامعتبر"),"",Entry!$E117)</f>
        <v/>
      </c>
      <c r="B114" t="str">
        <f>IF($A114="","",LEFT($E114,4)&amp;MID($E114,6,2)&amp;RIGHT($E114,2)&amp;$F114&amp;"|"&amp;"1"&amp;RIGHT("00000"&amp;109,5))</f>
        <v/>
      </c>
      <c r="C114" t="str">
        <f t="shared" si="7"/>
        <v/>
      </c>
      <c r="D114" t="str">
        <f t="shared" si="8"/>
        <v/>
      </c>
      <c r="E114" t="str">
        <f>IF(Entry!$B117="","",IF(ISNUMBER(Entry!$B117),IF(AND(Entry!$B117&gt;=10000101,Entry!$B117&lt;=99991231),INT(Entry!$B117/10000)&amp;"/"&amp;RIGHT("00"&amp;INT(MOD(Entry!$B117,10000)/100),2)&amp;"/"&amp;RIGHT("00"&amp;MOD(Entry!$B117,100),2),"نامعتبر"),IF(LEN(Entry!$B117)=10,Entry!$B117,"نامعتبر")))</f>
        <v/>
      </c>
      <c r="F114" t="str">
        <f>IF(Entry!$B117="","",IF(Entry!$C117="","0000",IF(AND(ISNUMBER(Entry!$C117),Entry!$C117&gt;=0,Entry!$C117&lt;1),RIGHT("00"&amp;HOUR(Entry!$C117),2)&amp;RIGHT("00"&amp;MINUTE(Entry!$C117),2),IFERROR(RIGHT("00"&amp;VALUE(LEFT(Entry!$C117,FIND(":",Entry!$C117)-1)),2)&amp;RIGHT("00"&amp;VALUE(MID(Entry!$C117,FIND(":",Entry!$C117)+1,2)),2),"0000"))))</f>
        <v/>
      </c>
      <c r="G114" t="str">
        <f>IF($A114="","",Entry!$G117)</f>
        <v/>
      </c>
      <c r="H114" t="str">
        <f>IF($A114="","",IF(Entry!$H117="",0,Entry!$H117))</f>
        <v/>
      </c>
      <c r="I114" t="str">
        <f>IF($A114="","",IF(Entry!$I117="",0,Entry!$I117))</f>
        <v/>
      </c>
      <c r="J114" t="str">
        <f t="shared" si="9"/>
        <v/>
      </c>
      <c r="K114" t="str">
        <f>IF($A114="","",Entry!$D117)</f>
        <v/>
      </c>
      <c r="L114" t="str">
        <f>IF($A114="","",Entry!$L117)</f>
        <v/>
      </c>
      <c r="N114" t="str">
        <f>IF(OR(Sync!$M114="",$Q114="",$Q114="نامعتبر"),"",Sync!$M114)</f>
        <v/>
      </c>
      <c r="O114" t="str">
        <f t="shared" si="10"/>
        <v/>
      </c>
      <c r="P114" t="str">
        <f>IF($N114="","",LEFT($Q114,4)&amp;MID($Q114,6,2)&amp;RIGHT($Q114,2)&amp;IF(Sync!$K114="","0000",IF(AND(ISNUMBER(Sync!$K114),Sync!$K114&gt;=0,Sync!$K114&lt;1),RIGHT("00"&amp;HOUR(Sync!$K114),2)&amp;RIGHT("00"&amp;MINUTE(Sync!$K114),2),IFERROR(RIGHT("00"&amp;VALUE(LEFT(Sync!$K114,FIND(":",Sync!$K114)-1)),2)&amp;RIGHT("00"&amp;VALUE(MID(Sync!$K114,FIND(":",Sync!$K114)+1,2)),2),"0000")))&amp;"|"&amp;"2"&amp;RIGHT("00000"&amp;109,5))</f>
        <v/>
      </c>
      <c r="Q114" t="str">
        <f>IF(Sync!$J114="","",IF(ISNUMBER(Sync!$J114),IF(AND(Sync!$J114&gt;=10000101,Sync!$J114&lt;=99991231),INT(Sync!$J114/10000)&amp;"/"&amp;RIGHT("00"&amp;INT(MOD(Sync!$J114,10000)/100),2)&amp;"/"&amp;RIGHT("00"&amp;MOD(Sync!$J114,100),2),"نامعتبر"),IF(LEN(Sync!$J114)=10,Sync!$J114,"نامعتبر")))</f>
        <v/>
      </c>
      <c r="R114" t="str">
        <f t="shared" si="11"/>
        <v/>
      </c>
      <c r="S114" t="str">
        <f t="shared" si="12"/>
        <v/>
      </c>
      <c r="T114" t="str">
        <f>IF($N114="","",IF(Sync!$N114="",0,Sync!$N114))</f>
        <v/>
      </c>
      <c r="U114" t="str">
        <f>IF($N114="","",IF(Sync!$O114="",0,Sync!$O114))</f>
        <v/>
      </c>
      <c r="V114" t="str">
        <f>IF($N114="","",Sync!$L114)</f>
        <v/>
      </c>
      <c r="W114" t="str">
        <f>IF($N114="","",Sync!$P114)</f>
        <v/>
      </c>
      <c r="AA114" t="str">
        <f>IF($A114="","",IF(COUNTIF($A$6:$A114,$A114)=1,1,0))</f>
        <v/>
      </c>
      <c r="AB114">
        <f>SUM($AA$6:$AA114)</f>
        <v>3</v>
      </c>
      <c r="AC114" t="str">
        <f t="shared" si="13"/>
        <v/>
      </c>
    </row>
    <row r="115" spans="1:29" x14ac:dyDescent="0.2">
      <c r="A115" t="str">
        <f>IF(OR(Entry!$B118="",Entry!$E118="",$E115="نامعتبر"),"",Entry!$E118)</f>
        <v/>
      </c>
      <c r="B115" t="str">
        <f>IF($A115="","",LEFT($E115,4)&amp;MID($E115,6,2)&amp;RIGHT($E115,2)&amp;$F115&amp;"|"&amp;"1"&amp;RIGHT("00000"&amp;110,5))</f>
        <v/>
      </c>
      <c r="C115" t="str">
        <f t="shared" si="7"/>
        <v/>
      </c>
      <c r="D115" t="str">
        <f t="shared" si="8"/>
        <v/>
      </c>
      <c r="E115" t="str">
        <f>IF(Entry!$B118="","",IF(ISNUMBER(Entry!$B118),IF(AND(Entry!$B118&gt;=10000101,Entry!$B118&lt;=99991231),INT(Entry!$B118/10000)&amp;"/"&amp;RIGHT("00"&amp;INT(MOD(Entry!$B118,10000)/100),2)&amp;"/"&amp;RIGHT("00"&amp;MOD(Entry!$B118,100),2),"نامعتبر"),IF(LEN(Entry!$B118)=10,Entry!$B118,"نامعتبر")))</f>
        <v/>
      </c>
      <c r="F115" t="str">
        <f>IF(Entry!$B118="","",IF(Entry!$C118="","0000",IF(AND(ISNUMBER(Entry!$C118),Entry!$C118&gt;=0,Entry!$C118&lt;1),RIGHT("00"&amp;HOUR(Entry!$C118),2)&amp;RIGHT("00"&amp;MINUTE(Entry!$C118),2),IFERROR(RIGHT("00"&amp;VALUE(LEFT(Entry!$C118,FIND(":",Entry!$C118)-1)),2)&amp;RIGHT("00"&amp;VALUE(MID(Entry!$C118,FIND(":",Entry!$C118)+1,2)),2),"0000"))))</f>
        <v/>
      </c>
      <c r="G115" t="str">
        <f>IF($A115="","",Entry!$G118)</f>
        <v/>
      </c>
      <c r="H115" t="str">
        <f>IF($A115="","",IF(Entry!$H118="",0,Entry!$H118))</f>
        <v/>
      </c>
      <c r="I115" t="str">
        <f>IF($A115="","",IF(Entry!$I118="",0,Entry!$I118))</f>
        <v/>
      </c>
      <c r="J115" t="str">
        <f t="shared" si="9"/>
        <v/>
      </c>
      <c r="K115" t="str">
        <f>IF($A115="","",Entry!$D118)</f>
        <v/>
      </c>
      <c r="L115" t="str">
        <f>IF($A115="","",Entry!$L118)</f>
        <v/>
      </c>
      <c r="N115" t="str">
        <f>IF(OR(Sync!$M115="",$Q115="",$Q115="نامعتبر"),"",Sync!$M115)</f>
        <v/>
      </c>
      <c r="O115" t="str">
        <f t="shared" si="10"/>
        <v/>
      </c>
      <c r="P115" t="str">
        <f>IF($N115="","",LEFT($Q115,4)&amp;MID($Q115,6,2)&amp;RIGHT($Q115,2)&amp;IF(Sync!$K115="","0000",IF(AND(ISNUMBER(Sync!$K115),Sync!$K115&gt;=0,Sync!$K115&lt;1),RIGHT("00"&amp;HOUR(Sync!$K115),2)&amp;RIGHT("00"&amp;MINUTE(Sync!$K115),2),IFERROR(RIGHT("00"&amp;VALUE(LEFT(Sync!$K115,FIND(":",Sync!$K115)-1)),2)&amp;RIGHT("00"&amp;VALUE(MID(Sync!$K115,FIND(":",Sync!$K115)+1,2)),2),"0000")))&amp;"|"&amp;"2"&amp;RIGHT("00000"&amp;110,5))</f>
        <v/>
      </c>
      <c r="Q115" t="str">
        <f>IF(Sync!$J115="","",IF(ISNUMBER(Sync!$J115),IF(AND(Sync!$J115&gt;=10000101,Sync!$J115&lt;=99991231),INT(Sync!$J115/10000)&amp;"/"&amp;RIGHT("00"&amp;INT(MOD(Sync!$J115,10000)/100),2)&amp;"/"&amp;RIGHT("00"&amp;MOD(Sync!$J115,100),2),"نامعتبر"),IF(LEN(Sync!$J115)=10,Sync!$J115,"نامعتبر")))</f>
        <v/>
      </c>
      <c r="R115" t="str">
        <f t="shared" si="11"/>
        <v/>
      </c>
      <c r="S115" t="str">
        <f t="shared" si="12"/>
        <v/>
      </c>
      <c r="T115" t="str">
        <f>IF($N115="","",IF(Sync!$N115="",0,Sync!$N115))</f>
        <v/>
      </c>
      <c r="U115" t="str">
        <f>IF($N115="","",IF(Sync!$O115="",0,Sync!$O115))</f>
        <v/>
      </c>
      <c r="V115" t="str">
        <f>IF($N115="","",Sync!$L115)</f>
        <v/>
      </c>
      <c r="W115" t="str">
        <f>IF($N115="","",Sync!$P115)</f>
        <v/>
      </c>
      <c r="AA115" t="str">
        <f>IF($A115="","",IF(COUNTIF($A$6:$A115,$A115)=1,1,0))</f>
        <v/>
      </c>
      <c r="AB115">
        <f>SUM($AA$6:$AA115)</f>
        <v>3</v>
      </c>
      <c r="AC115" t="str">
        <f t="shared" si="13"/>
        <v/>
      </c>
    </row>
    <row r="116" spans="1:29" x14ac:dyDescent="0.2">
      <c r="A116" t="str">
        <f>IF(OR(Entry!$B119="",Entry!$E119="",$E116="نامعتبر"),"",Entry!$E119)</f>
        <v/>
      </c>
      <c r="B116" t="str">
        <f>IF($A116="","",LEFT($E116,4)&amp;MID($E116,6,2)&amp;RIGHT($E116,2)&amp;$F116&amp;"|"&amp;"1"&amp;RIGHT("00000"&amp;111,5))</f>
        <v/>
      </c>
      <c r="C116" t="str">
        <f t="shared" si="7"/>
        <v/>
      </c>
      <c r="D116" t="str">
        <f t="shared" si="8"/>
        <v/>
      </c>
      <c r="E116" t="str">
        <f>IF(Entry!$B119="","",IF(ISNUMBER(Entry!$B119),IF(AND(Entry!$B119&gt;=10000101,Entry!$B119&lt;=99991231),INT(Entry!$B119/10000)&amp;"/"&amp;RIGHT("00"&amp;INT(MOD(Entry!$B119,10000)/100),2)&amp;"/"&amp;RIGHT("00"&amp;MOD(Entry!$B119,100),2),"نامعتبر"),IF(LEN(Entry!$B119)=10,Entry!$B119,"نامعتبر")))</f>
        <v/>
      </c>
      <c r="F116" t="str">
        <f>IF(Entry!$B119="","",IF(Entry!$C119="","0000",IF(AND(ISNUMBER(Entry!$C119),Entry!$C119&gt;=0,Entry!$C119&lt;1),RIGHT("00"&amp;HOUR(Entry!$C119),2)&amp;RIGHT("00"&amp;MINUTE(Entry!$C119),2),IFERROR(RIGHT("00"&amp;VALUE(LEFT(Entry!$C119,FIND(":",Entry!$C119)-1)),2)&amp;RIGHT("00"&amp;VALUE(MID(Entry!$C119,FIND(":",Entry!$C119)+1,2)),2),"0000"))))</f>
        <v/>
      </c>
      <c r="G116" t="str">
        <f>IF($A116="","",Entry!$G119)</f>
        <v/>
      </c>
      <c r="H116" t="str">
        <f>IF($A116="","",IF(Entry!$H119="",0,Entry!$H119))</f>
        <v/>
      </c>
      <c r="I116" t="str">
        <f>IF($A116="","",IF(Entry!$I119="",0,Entry!$I119))</f>
        <v/>
      </c>
      <c r="J116" t="str">
        <f t="shared" si="9"/>
        <v/>
      </c>
      <c r="K116" t="str">
        <f>IF($A116="","",Entry!$D119)</f>
        <v/>
      </c>
      <c r="L116" t="str">
        <f>IF($A116="","",Entry!$L119)</f>
        <v/>
      </c>
      <c r="N116" t="str">
        <f>IF(OR(Sync!$M116="",$Q116="",$Q116="نامعتبر"),"",Sync!$M116)</f>
        <v/>
      </c>
      <c r="O116" t="str">
        <f t="shared" si="10"/>
        <v/>
      </c>
      <c r="P116" t="str">
        <f>IF($N116="","",LEFT($Q116,4)&amp;MID($Q116,6,2)&amp;RIGHT($Q116,2)&amp;IF(Sync!$K116="","0000",IF(AND(ISNUMBER(Sync!$K116),Sync!$K116&gt;=0,Sync!$K116&lt;1),RIGHT("00"&amp;HOUR(Sync!$K116),2)&amp;RIGHT("00"&amp;MINUTE(Sync!$K116),2),IFERROR(RIGHT("00"&amp;VALUE(LEFT(Sync!$K116,FIND(":",Sync!$K116)-1)),2)&amp;RIGHT("00"&amp;VALUE(MID(Sync!$K116,FIND(":",Sync!$K116)+1,2)),2),"0000")))&amp;"|"&amp;"2"&amp;RIGHT("00000"&amp;111,5))</f>
        <v/>
      </c>
      <c r="Q116" t="str">
        <f>IF(Sync!$J116="","",IF(ISNUMBER(Sync!$J116),IF(AND(Sync!$J116&gt;=10000101,Sync!$J116&lt;=99991231),INT(Sync!$J116/10000)&amp;"/"&amp;RIGHT("00"&amp;INT(MOD(Sync!$J116,10000)/100),2)&amp;"/"&amp;RIGHT("00"&amp;MOD(Sync!$J116,100),2),"نامعتبر"),IF(LEN(Sync!$J116)=10,Sync!$J116,"نامعتبر")))</f>
        <v/>
      </c>
      <c r="R116" t="str">
        <f t="shared" si="11"/>
        <v/>
      </c>
      <c r="S116" t="str">
        <f t="shared" si="12"/>
        <v/>
      </c>
      <c r="T116" t="str">
        <f>IF($N116="","",IF(Sync!$N116="",0,Sync!$N116))</f>
        <v/>
      </c>
      <c r="U116" t="str">
        <f>IF($N116="","",IF(Sync!$O116="",0,Sync!$O116))</f>
        <v/>
      </c>
      <c r="V116" t="str">
        <f>IF($N116="","",Sync!$L116)</f>
        <v/>
      </c>
      <c r="W116" t="str">
        <f>IF($N116="","",Sync!$P116)</f>
        <v/>
      </c>
      <c r="AA116" t="str">
        <f>IF($A116="","",IF(COUNTIF($A$6:$A116,$A116)=1,1,0))</f>
        <v/>
      </c>
      <c r="AB116">
        <f>SUM($AA$6:$AA116)</f>
        <v>3</v>
      </c>
      <c r="AC116" t="str">
        <f t="shared" si="13"/>
        <v/>
      </c>
    </row>
    <row r="117" spans="1:29" x14ac:dyDescent="0.2">
      <c r="A117" t="str">
        <f>IF(OR(Entry!$B120="",Entry!$E120="",$E117="نامعتبر"),"",Entry!$E120)</f>
        <v/>
      </c>
      <c r="B117" t="str">
        <f>IF($A117="","",LEFT($E117,4)&amp;MID($E117,6,2)&amp;RIGHT($E117,2)&amp;$F117&amp;"|"&amp;"1"&amp;RIGHT("00000"&amp;112,5))</f>
        <v/>
      </c>
      <c r="C117" t="str">
        <f t="shared" si="7"/>
        <v/>
      </c>
      <c r="D117" t="str">
        <f t="shared" si="8"/>
        <v/>
      </c>
      <c r="E117" t="str">
        <f>IF(Entry!$B120="","",IF(ISNUMBER(Entry!$B120),IF(AND(Entry!$B120&gt;=10000101,Entry!$B120&lt;=99991231),INT(Entry!$B120/10000)&amp;"/"&amp;RIGHT("00"&amp;INT(MOD(Entry!$B120,10000)/100),2)&amp;"/"&amp;RIGHT("00"&amp;MOD(Entry!$B120,100),2),"نامعتبر"),IF(LEN(Entry!$B120)=10,Entry!$B120,"نامعتبر")))</f>
        <v/>
      </c>
      <c r="F117" t="str">
        <f>IF(Entry!$B120="","",IF(Entry!$C120="","0000",IF(AND(ISNUMBER(Entry!$C120),Entry!$C120&gt;=0,Entry!$C120&lt;1),RIGHT("00"&amp;HOUR(Entry!$C120),2)&amp;RIGHT("00"&amp;MINUTE(Entry!$C120),2),IFERROR(RIGHT("00"&amp;VALUE(LEFT(Entry!$C120,FIND(":",Entry!$C120)-1)),2)&amp;RIGHT("00"&amp;VALUE(MID(Entry!$C120,FIND(":",Entry!$C120)+1,2)),2),"0000"))))</f>
        <v/>
      </c>
      <c r="G117" t="str">
        <f>IF($A117="","",Entry!$G120)</f>
        <v/>
      </c>
      <c r="H117" t="str">
        <f>IF($A117="","",IF(Entry!$H120="",0,Entry!$H120))</f>
        <v/>
      </c>
      <c r="I117" t="str">
        <f>IF($A117="","",IF(Entry!$I120="",0,Entry!$I120))</f>
        <v/>
      </c>
      <c r="J117" t="str">
        <f t="shared" si="9"/>
        <v/>
      </c>
      <c r="K117" t="str">
        <f>IF($A117="","",Entry!$D120)</f>
        <v/>
      </c>
      <c r="L117" t="str">
        <f>IF($A117="","",Entry!$L120)</f>
        <v/>
      </c>
      <c r="N117" t="str">
        <f>IF(OR(Sync!$M117="",$Q117="",$Q117="نامعتبر"),"",Sync!$M117)</f>
        <v/>
      </c>
      <c r="O117" t="str">
        <f t="shared" si="10"/>
        <v/>
      </c>
      <c r="P117" t="str">
        <f>IF($N117="","",LEFT($Q117,4)&amp;MID($Q117,6,2)&amp;RIGHT($Q117,2)&amp;IF(Sync!$K117="","0000",IF(AND(ISNUMBER(Sync!$K117),Sync!$K117&gt;=0,Sync!$K117&lt;1),RIGHT("00"&amp;HOUR(Sync!$K117),2)&amp;RIGHT("00"&amp;MINUTE(Sync!$K117),2),IFERROR(RIGHT("00"&amp;VALUE(LEFT(Sync!$K117,FIND(":",Sync!$K117)-1)),2)&amp;RIGHT("00"&amp;VALUE(MID(Sync!$K117,FIND(":",Sync!$K117)+1,2)),2),"0000")))&amp;"|"&amp;"2"&amp;RIGHT("00000"&amp;112,5))</f>
        <v/>
      </c>
      <c r="Q117" t="str">
        <f>IF(Sync!$J117="","",IF(ISNUMBER(Sync!$J117),IF(AND(Sync!$J117&gt;=10000101,Sync!$J117&lt;=99991231),INT(Sync!$J117/10000)&amp;"/"&amp;RIGHT("00"&amp;INT(MOD(Sync!$J117,10000)/100),2)&amp;"/"&amp;RIGHT("00"&amp;MOD(Sync!$J117,100),2),"نامعتبر"),IF(LEN(Sync!$J117)=10,Sync!$J117,"نامعتبر")))</f>
        <v/>
      </c>
      <c r="R117" t="str">
        <f t="shared" si="11"/>
        <v/>
      </c>
      <c r="S117" t="str">
        <f t="shared" si="12"/>
        <v/>
      </c>
      <c r="T117" t="str">
        <f>IF($N117="","",IF(Sync!$N117="",0,Sync!$N117))</f>
        <v/>
      </c>
      <c r="U117" t="str">
        <f>IF($N117="","",IF(Sync!$O117="",0,Sync!$O117))</f>
        <v/>
      </c>
      <c r="V117" t="str">
        <f>IF($N117="","",Sync!$L117)</f>
        <v/>
      </c>
      <c r="W117" t="str">
        <f>IF($N117="","",Sync!$P117)</f>
        <v/>
      </c>
      <c r="AA117" t="str">
        <f>IF($A117="","",IF(COUNTIF($A$6:$A117,$A117)=1,1,0))</f>
        <v/>
      </c>
      <c r="AB117">
        <f>SUM($AA$6:$AA117)</f>
        <v>3</v>
      </c>
      <c r="AC117" t="str">
        <f t="shared" si="13"/>
        <v/>
      </c>
    </row>
    <row r="118" spans="1:29" x14ac:dyDescent="0.2">
      <c r="A118" t="str">
        <f>IF(OR(Entry!$B121="",Entry!$E121="",$E118="نامعتبر"),"",Entry!$E121)</f>
        <v/>
      </c>
      <c r="B118" t="str">
        <f>IF($A118="","",LEFT($E118,4)&amp;MID($E118,6,2)&amp;RIGHT($E118,2)&amp;$F118&amp;"|"&amp;"1"&amp;RIGHT("00000"&amp;113,5))</f>
        <v/>
      </c>
      <c r="C118" t="str">
        <f t="shared" si="7"/>
        <v/>
      </c>
      <c r="D118" t="str">
        <f t="shared" si="8"/>
        <v/>
      </c>
      <c r="E118" t="str">
        <f>IF(Entry!$B121="","",IF(ISNUMBER(Entry!$B121),IF(AND(Entry!$B121&gt;=10000101,Entry!$B121&lt;=99991231),INT(Entry!$B121/10000)&amp;"/"&amp;RIGHT("00"&amp;INT(MOD(Entry!$B121,10000)/100),2)&amp;"/"&amp;RIGHT("00"&amp;MOD(Entry!$B121,100),2),"نامعتبر"),IF(LEN(Entry!$B121)=10,Entry!$B121,"نامعتبر")))</f>
        <v/>
      </c>
      <c r="F118" t="str">
        <f>IF(Entry!$B121="","",IF(Entry!$C121="","0000",IF(AND(ISNUMBER(Entry!$C121),Entry!$C121&gt;=0,Entry!$C121&lt;1),RIGHT("00"&amp;HOUR(Entry!$C121),2)&amp;RIGHT("00"&amp;MINUTE(Entry!$C121),2),IFERROR(RIGHT("00"&amp;VALUE(LEFT(Entry!$C121,FIND(":",Entry!$C121)-1)),2)&amp;RIGHT("00"&amp;VALUE(MID(Entry!$C121,FIND(":",Entry!$C121)+1,2)),2),"0000"))))</f>
        <v/>
      </c>
      <c r="G118" t="str">
        <f>IF($A118="","",Entry!$G121)</f>
        <v/>
      </c>
      <c r="H118" t="str">
        <f>IF($A118="","",IF(Entry!$H121="",0,Entry!$H121))</f>
        <v/>
      </c>
      <c r="I118" t="str">
        <f>IF($A118="","",IF(Entry!$I121="",0,Entry!$I121))</f>
        <v/>
      </c>
      <c r="J118" t="str">
        <f t="shared" si="9"/>
        <v/>
      </c>
      <c r="K118" t="str">
        <f>IF($A118="","",Entry!$D121)</f>
        <v/>
      </c>
      <c r="L118" t="str">
        <f>IF($A118="","",Entry!$L121)</f>
        <v/>
      </c>
      <c r="N118" t="str">
        <f>IF(OR(Sync!$M118="",$Q118="",$Q118="نامعتبر"),"",Sync!$M118)</f>
        <v/>
      </c>
      <c r="O118" t="str">
        <f t="shared" si="10"/>
        <v/>
      </c>
      <c r="P118" t="str">
        <f>IF($N118="","",LEFT($Q118,4)&amp;MID($Q118,6,2)&amp;RIGHT($Q118,2)&amp;IF(Sync!$K118="","0000",IF(AND(ISNUMBER(Sync!$K118),Sync!$K118&gt;=0,Sync!$K118&lt;1),RIGHT("00"&amp;HOUR(Sync!$K118),2)&amp;RIGHT("00"&amp;MINUTE(Sync!$K118),2),IFERROR(RIGHT("00"&amp;VALUE(LEFT(Sync!$K118,FIND(":",Sync!$K118)-1)),2)&amp;RIGHT("00"&amp;VALUE(MID(Sync!$K118,FIND(":",Sync!$K118)+1,2)),2),"0000")))&amp;"|"&amp;"2"&amp;RIGHT("00000"&amp;113,5))</f>
        <v/>
      </c>
      <c r="Q118" t="str">
        <f>IF(Sync!$J118="","",IF(ISNUMBER(Sync!$J118),IF(AND(Sync!$J118&gt;=10000101,Sync!$J118&lt;=99991231),INT(Sync!$J118/10000)&amp;"/"&amp;RIGHT("00"&amp;INT(MOD(Sync!$J118,10000)/100),2)&amp;"/"&amp;RIGHT("00"&amp;MOD(Sync!$J118,100),2),"نامعتبر"),IF(LEN(Sync!$J118)=10,Sync!$J118,"نامعتبر")))</f>
        <v/>
      </c>
      <c r="R118" t="str">
        <f t="shared" si="11"/>
        <v/>
      </c>
      <c r="S118" t="str">
        <f t="shared" si="12"/>
        <v/>
      </c>
      <c r="T118" t="str">
        <f>IF($N118="","",IF(Sync!$N118="",0,Sync!$N118))</f>
        <v/>
      </c>
      <c r="U118" t="str">
        <f>IF($N118="","",IF(Sync!$O118="",0,Sync!$O118))</f>
        <v/>
      </c>
      <c r="V118" t="str">
        <f>IF($N118="","",Sync!$L118)</f>
        <v/>
      </c>
      <c r="W118" t="str">
        <f>IF($N118="","",Sync!$P118)</f>
        <v/>
      </c>
      <c r="AA118" t="str">
        <f>IF($A118="","",IF(COUNTIF($A$6:$A118,$A118)=1,1,0))</f>
        <v/>
      </c>
      <c r="AB118">
        <f>SUM($AA$6:$AA118)</f>
        <v>3</v>
      </c>
      <c r="AC118" t="str">
        <f t="shared" si="13"/>
        <v/>
      </c>
    </row>
    <row r="119" spans="1:29" x14ac:dyDescent="0.2">
      <c r="A119" t="str">
        <f>IF(OR(Entry!$B122="",Entry!$E122="",$E119="نامعتبر"),"",Entry!$E122)</f>
        <v/>
      </c>
      <c r="B119" t="str">
        <f>IF($A119="","",LEFT($E119,4)&amp;MID($E119,6,2)&amp;RIGHT($E119,2)&amp;$F119&amp;"|"&amp;"1"&amp;RIGHT("00000"&amp;114,5))</f>
        <v/>
      </c>
      <c r="C119" t="str">
        <f t="shared" si="7"/>
        <v/>
      </c>
      <c r="D119" t="str">
        <f t="shared" si="8"/>
        <v/>
      </c>
      <c r="E119" t="str">
        <f>IF(Entry!$B122="","",IF(ISNUMBER(Entry!$B122),IF(AND(Entry!$B122&gt;=10000101,Entry!$B122&lt;=99991231),INT(Entry!$B122/10000)&amp;"/"&amp;RIGHT("00"&amp;INT(MOD(Entry!$B122,10000)/100),2)&amp;"/"&amp;RIGHT("00"&amp;MOD(Entry!$B122,100),2),"نامعتبر"),IF(LEN(Entry!$B122)=10,Entry!$B122,"نامعتبر")))</f>
        <v/>
      </c>
      <c r="F119" t="str">
        <f>IF(Entry!$B122="","",IF(Entry!$C122="","0000",IF(AND(ISNUMBER(Entry!$C122),Entry!$C122&gt;=0,Entry!$C122&lt;1),RIGHT("00"&amp;HOUR(Entry!$C122),2)&amp;RIGHT("00"&amp;MINUTE(Entry!$C122),2),IFERROR(RIGHT("00"&amp;VALUE(LEFT(Entry!$C122,FIND(":",Entry!$C122)-1)),2)&amp;RIGHT("00"&amp;VALUE(MID(Entry!$C122,FIND(":",Entry!$C122)+1,2)),2),"0000"))))</f>
        <v/>
      </c>
      <c r="G119" t="str">
        <f>IF($A119="","",Entry!$G122)</f>
        <v/>
      </c>
      <c r="H119" t="str">
        <f>IF($A119="","",IF(Entry!$H122="",0,Entry!$H122))</f>
        <v/>
      </c>
      <c r="I119" t="str">
        <f>IF($A119="","",IF(Entry!$I122="",0,Entry!$I122))</f>
        <v/>
      </c>
      <c r="J119" t="str">
        <f t="shared" si="9"/>
        <v/>
      </c>
      <c r="K119" t="str">
        <f>IF($A119="","",Entry!$D122)</f>
        <v/>
      </c>
      <c r="L119" t="str">
        <f>IF($A119="","",Entry!$L122)</f>
        <v/>
      </c>
      <c r="N119" t="str">
        <f>IF(OR(Sync!$M119="",$Q119="",$Q119="نامعتبر"),"",Sync!$M119)</f>
        <v/>
      </c>
      <c r="O119" t="str">
        <f t="shared" si="10"/>
        <v/>
      </c>
      <c r="P119" t="str">
        <f>IF($N119="","",LEFT($Q119,4)&amp;MID($Q119,6,2)&amp;RIGHT($Q119,2)&amp;IF(Sync!$K119="","0000",IF(AND(ISNUMBER(Sync!$K119),Sync!$K119&gt;=0,Sync!$K119&lt;1),RIGHT("00"&amp;HOUR(Sync!$K119),2)&amp;RIGHT("00"&amp;MINUTE(Sync!$K119),2),IFERROR(RIGHT("00"&amp;VALUE(LEFT(Sync!$K119,FIND(":",Sync!$K119)-1)),2)&amp;RIGHT("00"&amp;VALUE(MID(Sync!$K119,FIND(":",Sync!$K119)+1,2)),2),"0000")))&amp;"|"&amp;"2"&amp;RIGHT("00000"&amp;114,5))</f>
        <v/>
      </c>
      <c r="Q119" t="str">
        <f>IF(Sync!$J119="","",IF(ISNUMBER(Sync!$J119),IF(AND(Sync!$J119&gt;=10000101,Sync!$J119&lt;=99991231),INT(Sync!$J119/10000)&amp;"/"&amp;RIGHT("00"&amp;INT(MOD(Sync!$J119,10000)/100),2)&amp;"/"&amp;RIGHT("00"&amp;MOD(Sync!$J119,100),2),"نامعتبر"),IF(LEN(Sync!$J119)=10,Sync!$J119,"نامعتبر")))</f>
        <v/>
      </c>
      <c r="R119" t="str">
        <f t="shared" si="11"/>
        <v/>
      </c>
      <c r="S119" t="str">
        <f t="shared" si="12"/>
        <v/>
      </c>
      <c r="T119" t="str">
        <f>IF($N119="","",IF(Sync!$N119="",0,Sync!$N119))</f>
        <v/>
      </c>
      <c r="U119" t="str">
        <f>IF($N119="","",IF(Sync!$O119="",0,Sync!$O119))</f>
        <v/>
      </c>
      <c r="V119" t="str">
        <f>IF($N119="","",Sync!$L119)</f>
        <v/>
      </c>
      <c r="W119" t="str">
        <f>IF($N119="","",Sync!$P119)</f>
        <v/>
      </c>
      <c r="AA119" t="str">
        <f>IF($A119="","",IF(COUNTIF($A$6:$A119,$A119)=1,1,0))</f>
        <v/>
      </c>
      <c r="AB119">
        <f>SUM($AA$6:$AA119)</f>
        <v>3</v>
      </c>
      <c r="AC119" t="str">
        <f t="shared" si="13"/>
        <v/>
      </c>
    </row>
    <row r="120" spans="1:29" x14ac:dyDescent="0.2">
      <c r="A120" t="str">
        <f>IF(OR(Entry!$B123="",Entry!$E123="",$E120="نامعتبر"),"",Entry!$E123)</f>
        <v/>
      </c>
      <c r="B120" t="str">
        <f>IF($A120="","",LEFT($E120,4)&amp;MID($E120,6,2)&amp;RIGHT($E120,2)&amp;$F120&amp;"|"&amp;"1"&amp;RIGHT("00000"&amp;115,5))</f>
        <v/>
      </c>
      <c r="C120" t="str">
        <f t="shared" si="7"/>
        <v/>
      </c>
      <c r="D120" t="str">
        <f t="shared" si="8"/>
        <v/>
      </c>
      <c r="E120" t="str">
        <f>IF(Entry!$B123="","",IF(ISNUMBER(Entry!$B123),IF(AND(Entry!$B123&gt;=10000101,Entry!$B123&lt;=99991231),INT(Entry!$B123/10000)&amp;"/"&amp;RIGHT("00"&amp;INT(MOD(Entry!$B123,10000)/100),2)&amp;"/"&amp;RIGHT("00"&amp;MOD(Entry!$B123,100),2),"نامعتبر"),IF(LEN(Entry!$B123)=10,Entry!$B123,"نامعتبر")))</f>
        <v/>
      </c>
      <c r="F120" t="str">
        <f>IF(Entry!$B123="","",IF(Entry!$C123="","0000",IF(AND(ISNUMBER(Entry!$C123),Entry!$C123&gt;=0,Entry!$C123&lt;1),RIGHT("00"&amp;HOUR(Entry!$C123),2)&amp;RIGHT("00"&amp;MINUTE(Entry!$C123),2),IFERROR(RIGHT("00"&amp;VALUE(LEFT(Entry!$C123,FIND(":",Entry!$C123)-1)),2)&amp;RIGHT("00"&amp;VALUE(MID(Entry!$C123,FIND(":",Entry!$C123)+1,2)),2),"0000"))))</f>
        <v/>
      </c>
      <c r="G120" t="str">
        <f>IF($A120="","",Entry!$G123)</f>
        <v/>
      </c>
      <c r="H120" t="str">
        <f>IF($A120="","",IF(Entry!$H123="",0,Entry!$H123))</f>
        <v/>
      </c>
      <c r="I120" t="str">
        <f>IF($A120="","",IF(Entry!$I123="",0,Entry!$I123))</f>
        <v/>
      </c>
      <c r="J120" t="str">
        <f t="shared" si="9"/>
        <v/>
      </c>
      <c r="K120" t="str">
        <f>IF($A120="","",Entry!$D123)</f>
        <v/>
      </c>
      <c r="L120" t="str">
        <f>IF($A120="","",Entry!$L123)</f>
        <v/>
      </c>
      <c r="N120" t="str">
        <f>IF(OR(Sync!$M120="",$Q120="",$Q120="نامعتبر"),"",Sync!$M120)</f>
        <v/>
      </c>
      <c r="O120" t="str">
        <f t="shared" si="10"/>
        <v/>
      </c>
      <c r="P120" t="str">
        <f>IF($N120="","",LEFT($Q120,4)&amp;MID($Q120,6,2)&amp;RIGHT($Q120,2)&amp;IF(Sync!$K120="","0000",IF(AND(ISNUMBER(Sync!$K120),Sync!$K120&gt;=0,Sync!$K120&lt;1),RIGHT("00"&amp;HOUR(Sync!$K120),2)&amp;RIGHT("00"&amp;MINUTE(Sync!$K120),2),IFERROR(RIGHT("00"&amp;VALUE(LEFT(Sync!$K120,FIND(":",Sync!$K120)-1)),2)&amp;RIGHT("00"&amp;VALUE(MID(Sync!$K120,FIND(":",Sync!$K120)+1,2)),2),"0000")))&amp;"|"&amp;"2"&amp;RIGHT("00000"&amp;115,5))</f>
        <v/>
      </c>
      <c r="Q120" t="str">
        <f>IF(Sync!$J120="","",IF(ISNUMBER(Sync!$J120),IF(AND(Sync!$J120&gt;=10000101,Sync!$J120&lt;=99991231),INT(Sync!$J120/10000)&amp;"/"&amp;RIGHT("00"&amp;INT(MOD(Sync!$J120,10000)/100),2)&amp;"/"&amp;RIGHT("00"&amp;MOD(Sync!$J120,100),2),"نامعتبر"),IF(LEN(Sync!$J120)=10,Sync!$J120,"نامعتبر")))</f>
        <v/>
      </c>
      <c r="R120" t="str">
        <f t="shared" si="11"/>
        <v/>
      </c>
      <c r="S120" t="str">
        <f t="shared" si="12"/>
        <v/>
      </c>
      <c r="T120" t="str">
        <f>IF($N120="","",IF(Sync!$N120="",0,Sync!$N120))</f>
        <v/>
      </c>
      <c r="U120" t="str">
        <f>IF($N120="","",IF(Sync!$O120="",0,Sync!$O120))</f>
        <v/>
      </c>
      <c r="V120" t="str">
        <f>IF($N120="","",Sync!$L120)</f>
        <v/>
      </c>
      <c r="W120" t="str">
        <f>IF($N120="","",Sync!$P120)</f>
        <v/>
      </c>
      <c r="AA120" t="str">
        <f>IF($A120="","",IF(COUNTIF($A$6:$A120,$A120)=1,1,0))</f>
        <v/>
      </c>
      <c r="AB120">
        <f>SUM($AA$6:$AA120)</f>
        <v>3</v>
      </c>
      <c r="AC120" t="str">
        <f t="shared" si="13"/>
        <v/>
      </c>
    </row>
    <row r="121" spans="1:29" x14ac:dyDescent="0.2">
      <c r="A121" t="str">
        <f>IF(OR(Entry!$B124="",Entry!$E124="",$E121="نامعتبر"),"",Entry!$E124)</f>
        <v/>
      </c>
      <c r="B121" t="str">
        <f>IF($A121="","",LEFT($E121,4)&amp;MID($E121,6,2)&amp;RIGHT($E121,2)&amp;$F121&amp;"|"&amp;"1"&amp;RIGHT("00000"&amp;116,5))</f>
        <v/>
      </c>
      <c r="C121" t="str">
        <f t="shared" si="7"/>
        <v/>
      </c>
      <c r="D121" t="str">
        <f t="shared" si="8"/>
        <v/>
      </c>
      <c r="E121" t="str">
        <f>IF(Entry!$B124="","",IF(ISNUMBER(Entry!$B124),IF(AND(Entry!$B124&gt;=10000101,Entry!$B124&lt;=99991231),INT(Entry!$B124/10000)&amp;"/"&amp;RIGHT("00"&amp;INT(MOD(Entry!$B124,10000)/100),2)&amp;"/"&amp;RIGHT("00"&amp;MOD(Entry!$B124,100),2),"نامعتبر"),IF(LEN(Entry!$B124)=10,Entry!$B124,"نامعتبر")))</f>
        <v/>
      </c>
      <c r="F121" t="str">
        <f>IF(Entry!$B124="","",IF(Entry!$C124="","0000",IF(AND(ISNUMBER(Entry!$C124),Entry!$C124&gt;=0,Entry!$C124&lt;1),RIGHT("00"&amp;HOUR(Entry!$C124),2)&amp;RIGHT("00"&amp;MINUTE(Entry!$C124),2),IFERROR(RIGHT("00"&amp;VALUE(LEFT(Entry!$C124,FIND(":",Entry!$C124)-1)),2)&amp;RIGHT("00"&amp;VALUE(MID(Entry!$C124,FIND(":",Entry!$C124)+1,2)),2),"0000"))))</f>
        <v/>
      </c>
      <c r="G121" t="str">
        <f>IF($A121="","",Entry!$G124)</f>
        <v/>
      </c>
      <c r="H121" t="str">
        <f>IF($A121="","",IF(Entry!$H124="",0,Entry!$H124))</f>
        <v/>
      </c>
      <c r="I121" t="str">
        <f>IF($A121="","",IF(Entry!$I124="",0,Entry!$I124))</f>
        <v/>
      </c>
      <c r="J121" t="str">
        <f t="shared" si="9"/>
        <v/>
      </c>
      <c r="K121" t="str">
        <f>IF($A121="","",Entry!$D124)</f>
        <v/>
      </c>
      <c r="L121" t="str">
        <f>IF($A121="","",Entry!$L124)</f>
        <v/>
      </c>
      <c r="N121" t="str">
        <f>IF(OR(Sync!$M121="",$Q121="",$Q121="نامعتبر"),"",Sync!$M121)</f>
        <v/>
      </c>
      <c r="O121" t="str">
        <f t="shared" si="10"/>
        <v/>
      </c>
      <c r="P121" t="str">
        <f>IF($N121="","",LEFT($Q121,4)&amp;MID($Q121,6,2)&amp;RIGHT($Q121,2)&amp;IF(Sync!$K121="","0000",IF(AND(ISNUMBER(Sync!$K121),Sync!$K121&gt;=0,Sync!$K121&lt;1),RIGHT("00"&amp;HOUR(Sync!$K121),2)&amp;RIGHT("00"&amp;MINUTE(Sync!$K121),2),IFERROR(RIGHT("00"&amp;VALUE(LEFT(Sync!$K121,FIND(":",Sync!$K121)-1)),2)&amp;RIGHT("00"&amp;VALUE(MID(Sync!$K121,FIND(":",Sync!$K121)+1,2)),2),"0000")))&amp;"|"&amp;"2"&amp;RIGHT("00000"&amp;116,5))</f>
        <v/>
      </c>
      <c r="Q121" t="str">
        <f>IF(Sync!$J121="","",IF(ISNUMBER(Sync!$J121),IF(AND(Sync!$J121&gt;=10000101,Sync!$J121&lt;=99991231),INT(Sync!$J121/10000)&amp;"/"&amp;RIGHT("00"&amp;INT(MOD(Sync!$J121,10000)/100),2)&amp;"/"&amp;RIGHT("00"&amp;MOD(Sync!$J121,100),2),"نامعتبر"),IF(LEN(Sync!$J121)=10,Sync!$J121,"نامعتبر")))</f>
        <v/>
      </c>
      <c r="R121" t="str">
        <f t="shared" si="11"/>
        <v/>
      </c>
      <c r="S121" t="str">
        <f t="shared" si="12"/>
        <v/>
      </c>
      <c r="T121" t="str">
        <f>IF($N121="","",IF(Sync!$N121="",0,Sync!$N121))</f>
        <v/>
      </c>
      <c r="U121" t="str">
        <f>IF($N121="","",IF(Sync!$O121="",0,Sync!$O121))</f>
        <v/>
      </c>
      <c r="V121" t="str">
        <f>IF($N121="","",Sync!$L121)</f>
        <v/>
      </c>
      <c r="W121" t="str">
        <f>IF($N121="","",Sync!$P121)</f>
        <v/>
      </c>
      <c r="AA121" t="str">
        <f>IF($A121="","",IF(COUNTIF($A$6:$A121,$A121)=1,1,0))</f>
        <v/>
      </c>
      <c r="AB121">
        <f>SUM($AA$6:$AA121)</f>
        <v>3</v>
      </c>
      <c r="AC121" t="str">
        <f t="shared" si="13"/>
        <v/>
      </c>
    </row>
    <row r="122" spans="1:29" x14ac:dyDescent="0.2">
      <c r="A122" t="str">
        <f>IF(OR(Entry!$B125="",Entry!$E125="",$E122="نامعتبر"),"",Entry!$E125)</f>
        <v/>
      </c>
      <c r="B122" t="str">
        <f>IF($A122="","",LEFT($E122,4)&amp;MID($E122,6,2)&amp;RIGHT($E122,2)&amp;$F122&amp;"|"&amp;"1"&amp;RIGHT("00000"&amp;117,5))</f>
        <v/>
      </c>
      <c r="C122" t="str">
        <f t="shared" si="7"/>
        <v/>
      </c>
      <c r="D122" t="str">
        <f t="shared" si="8"/>
        <v/>
      </c>
      <c r="E122" t="str">
        <f>IF(Entry!$B125="","",IF(ISNUMBER(Entry!$B125),IF(AND(Entry!$B125&gt;=10000101,Entry!$B125&lt;=99991231),INT(Entry!$B125/10000)&amp;"/"&amp;RIGHT("00"&amp;INT(MOD(Entry!$B125,10000)/100),2)&amp;"/"&amp;RIGHT("00"&amp;MOD(Entry!$B125,100),2),"نامعتبر"),IF(LEN(Entry!$B125)=10,Entry!$B125,"نامعتبر")))</f>
        <v/>
      </c>
      <c r="F122" t="str">
        <f>IF(Entry!$B125="","",IF(Entry!$C125="","0000",IF(AND(ISNUMBER(Entry!$C125),Entry!$C125&gt;=0,Entry!$C125&lt;1),RIGHT("00"&amp;HOUR(Entry!$C125),2)&amp;RIGHT("00"&amp;MINUTE(Entry!$C125),2),IFERROR(RIGHT("00"&amp;VALUE(LEFT(Entry!$C125,FIND(":",Entry!$C125)-1)),2)&amp;RIGHT("00"&amp;VALUE(MID(Entry!$C125,FIND(":",Entry!$C125)+1,2)),2),"0000"))))</f>
        <v/>
      </c>
      <c r="G122" t="str">
        <f>IF($A122="","",Entry!$G125)</f>
        <v/>
      </c>
      <c r="H122" t="str">
        <f>IF($A122="","",IF(Entry!$H125="",0,Entry!$H125))</f>
        <v/>
      </c>
      <c r="I122" t="str">
        <f>IF($A122="","",IF(Entry!$I125="",0,Entry!$I125))</f>
        <v/>
      </c>
      <c r="J122" t="str">
        <f t="shared" si="9"/>
        <v/>
      </c>
      <c r="K122" t="str">
        <f>IF($A122="","",Entry!$D125)</f>
        <v/>
      </c>
      <c r="L122" t="str">
        <f>IF($A122="","",Entry!$L125)</f>
        <v/>
      </c>
      <c r="N122" t="str">
        <f>IF(OR(Sync!$M122="",$Q122="",$Q122="نامعتبر"),"",Sync!$M122)</f>
        <v/>
      </c>
      <c r="O122" t="str">
        <f t="shared" si="10"/>
        <v/>
      </c>
      <c r="P122" t="str">
        <f>IF($N122="","",LEFT($Q122,4)&amp;MID($Q122,6,2)&amp;RIGHT($Q122,2)&amp;IF(Sync!$K122="","0000",IF(AND(ISNUMBER(Sync!$K122),Sync!$K122&gt;=0,Sync!$K122&lt;1),RIGHT("00"&amp;HOUR(Sync!$K122),2)&amp;RIGHT("00"&amp;MINUTE(Sync!$K122),2),IFERROR(RIGHT("00"&amp;VALUE(LEFT(Sync!$K122,FIND(":",Sync!$K122)-1)),2)&amp;RIGHT("00"&amp;VALUE(MID(Sync!$K122,FIND(":",Sync!$K122)+1,2)),2),"0000")))&amp;"|"&amp;"2"&amp;RIGHT("00000"&amp;117,5))</f>
        <v/>
      </c>
      <c r="Q122" t="str">
        <f>IF(Sync!$J122="","",IF(ISNUMBER(Sync!$J122),IF(AND(Sync!$J122&gt;=10000101,Sync!$J122&lt;=99991231),INT(Sync!$J122/10000)&amp;"/"&amp;RIGHT("00"&amp;INT(MOD(Sync!$J122,10000)/100),2)&amp;"/"&amp;RIGHT("00"&amp;MOD(Sync!$J122,100),2),"نامعتبر"),IF(LEN(Sync!$J122)=10,Sync!$J122,"نامعتبر")))</f>
        <v/>
      </c>
      <c r="R122" t="str">
        <f t="shared" si="11"/>
        <v/>
      </c>
      <c r="S122" t="str">
        <f t="shared" si="12"/>
        <v/>
      </c>
      <c r="T122" t="str">
        <f>IF($N122="","",IF(Sync!$N122="",0,Sync!$N122))</f>
        <v/>
      </c>
      <c r="U122" t="str">
        <f>IF($N122="","",IF(Sync!$O122="",0,Sync!$O122))</f>
        <v/>
      </c>
      <c r="V122" t="str">
        <f>IF($N122="","",Sync!$L122)</f>
        <v/>
      </c>
      <c r="W122" t="str">
        <f>IF($N122="","",Sync!$P122)</f>
        <v/>
      </c>
      <c r="AA122" t="str">
        <f>IF($A122="","",IF(COUNTIF($A$6:$A122,$A122)=1,1,0))</f>
        <v/>
      </c>
      <c r="AB122">
        <f>SUM($AA$6:$AA122)</f>
        <v>3</v>
      </c>
      <c r="AC122" t="str">
        <f t="shared" si="13"/>
        <v/>
      </c>
    </row>
    <row r="123" spans="1:29" x14ac:dyDescent="0.2">
      <c r="A123" t="str">
        <f>IF(OR(Entry!$B126="",Entry!$E126="",$E123="نامعتبر"),"",Entry!$E126)</f>
        <v/>
      </c>
      <c r="B123" t="str">
        <f>IF($A123="","",LEFT($E123,4)&amp;MID($E123,6,2)&amp;RIGHT($E123,2)&amp;$F123&amp;"|"&amp;"1"&amp;RIGHT("00000"&amp;118,5))</f>
        <v/>
      </c>
      <c r="C123" t="str">
        <f t="shared" si="7"/>
        <v/>
      </c>
      <c r="D123" t="str">
        <f t="shared" si="8"/>
        <v/>
      </c>
      <c r="E123" t="str">
        <f>IF(Entry!$B126="","",IF(ISNUMBER(Entry!$B126),IF(AND(Entry!$B126&gt;=10000101,Entry!$B126&lt;=99991231),INT(Entry!$B126/10000)&amp;"/"&amp;RIGHT("00"&amp;INT(MOD(Entry!$B126,10000)/100),2)&amp;"/"&amp;RIGHT("00"&amp;MOD(Entry!$B126,100),2),"نامعتبر"),IF(LEN(Entry!$B126)=10,Entry!$B126,"نامعتبر")))</f>
        <v/>
      </c>
      <c r="F123" t="str">
        <f>IF(Entry!$B126="","",IF(Entry!$C126="","0000",IF(AND(ISNUMBER(Entry!$C126),Entry!$C126&gt;=0,Entry!$C126&lt;1),RIGHT("00"&amp;HOUR(Entry!$C126),2)&amp;RIGHT("00"&amp;MINUTE(Entry!$C126),2),IFERROR(RIGHT("00"&amp;VALUE(LEFT(Entry!$C126,FIND(":",Entry!$C126)-1)),2)&amp;RIGHT("00"&amp;VALUE(MID(Entry!$C126,FIND(":",Entry!$C126)+1,2)),2),"0000"))))</f>
        <v/>
      </c>
      <c r="G123" t="str">
        <f>IF($A123="","",Entry!$G126)</f>
        <v/>
      </c>
      <c r="H123" t="str">
        <f>IF($A123="","",IF(Entry!$H126="",0,Entry!$H126))</f>
        <v/>
      </c>
      <c r="I123" t="str">
        <f>IF($A123="","",IF(Entry!$I126="",0,Entry!$I126))</f>
        <v/>
      </c>
      <c r="J123" t="str">
        <f t="shared" si="9"/>
        <v/>
      </c>
      <c r="K123" t="str">
        <f>IF($A123="","",Entry!$D126)</f>
        <v/>
      </c>
      <c r="L123" t="str">
        <f>IF($A123="","",Entry!$L126)</f>
        <v/>
      </c>
      <c r="N123" t="str">
        <f>IF(OR(Sync!$M123="",$Q123="",$Q123="نامعتبر"),"",Sync!$M123)</f>
        <v/>
      </c>
      <c r="O123" t="str">
        <f t="shared" si="10"/>
        <v/>
      </c>
      <c r="P123" t="str">
        <f>IF($N123="","",LEFT($Q123,4)&amp;MID($Q123,6,2)&amp;RIGHT($Q123,2)&amp;IF(Sync!$K123="","0000",IF(AND(ISNUMBER(Sync!$K123),Sync!$K123&gt;=0,Sync!$K123&lt;1),RIGHT("00"&amp;HOUR(Sync!$K123),2)&amp;RIGHT("00"&amp;MINUTE(Sync!$K123),2),IFERROR(RIGHT("00"&amp;VALUE(LEFT(Sync!$K123,FIND(":",Sync!$K123)-1)),2)&amp;RIGHT("00"&amp;VALUE(MID(Sync!$K123,FIND(":",Sync!$K123)+1,2)),2),"0000")))&amp;"|"&amp;"2"&amp;RIGHT("00000"&amp;118,5))</f>
        <v/>
      </c>
      <c r="Q123" t="str">
        <f>IF(Sync!$J123="","",IF(ISNUMBER(Sync!$J123),IF(AND(Sync!$J123&gt;=10000101,Sync!$J123&lt;=99991231),INT(Sync!$J123/10000)&amp;"/"&amp;RIGHT("00"&amp;INT(MOD(Sync!$J123,10000)/100),2)&amp;"/"&amp;RIGHT("00"&amp;MOD(Sync!$J123,100),2),"نامعتبر"),IF(LEN(Sync!$J123)=10,Sync!$J123,"نامعتبر")))</f>
        <v/>
      </c>
      <c r="R123" t="str">
        <f t="shared" si="11"/>
        <v/>
      </c>
      <c r="S123" t="str">
        <f t="shared" si="12"/>
        <v/>
      </c>
      <c r="T123" t="str">
        <f>IF($N123="","",IF(Sync!$N123="",0,Sync!$N123))</f>
        <v/>
      </c>
      <c r="U123" t="str">
        <f>IF($N123="","",IF(Sync!$O123="",0,Sync!$O123))</f>
        <v/>
      </c>
      <c r="V123" t="str">
        <f>IF($N123="","",Sync!$L123)</f>
        <v/>
      </c>
      <c r="W123" t="str">
        <f>IF($N123="","",Sync!$P123)</f>
        <v/>
      </c>
      <c r="AA123" t="str">
        <f>IF($A123="","",IF(COUNTIF($A$6:$A123,$A123)=1,1,0))</f>
        <v/>
      </c>
      <c r="AB123">
        <f>SUM($AA$6:$AA123)</f>
        <v>3</v>
      </c>
      <c r="AC123" t="str">
        <f t="shared" si="13"/>
        <v/>
      </c>
    </row>
    <row r="124" spans="1:29" x14ac:dyDescent="0.2">
      <c r="A124" t="str">
        <f>IF(OR(Entry!$B127="",Entry!$E127="",$E124="نامعتبر"),"",Entry!$E127)</f>
        <v/>
      </c>
      <c r="B124" t="str">
        <f>IF($A124="","",LEFT($E124,4)&amp;MID($E124,6,2)&amp;RIGHT($E124,2)&amp;$F124&amp;"|"&amp;"1"&amp;RIGHT("00000"&amp;119,5))</f>
        <v/>
      </c>
      <c r="C124" t="str">
        <f t="shared" si="7"/>
        <v/>
      </c>
      <c r="D124" t="str">
        <f t="shared" si="8"/>
        <v/>
      </c>
      <c r="E124" t="str">
        <f>IF(Entry!$B127="","",IF(ISNUMBER(Entry!$B127),IF(AND(Entry!$B127&gt;=10000101,Entry!$B127&lt;=99991231),INT(Entry!$B127/10000)&amp;"/"&amp;RIGHT("00"&amp;INT(MOD(Entry!$B127,10000)/100),2)&amp;"/"&amp;RIGHT("00"&amp;MOD(Entry!$B127,100),2),"نامعتبر"),IF(LEN(Entry!$B127)=10,Entry!$B127,"نامعتبر")))</f>
        <v/>
      </c>
      <c r="F124" t="str">
        <f>IF(Entry!$B127="","",IF(Entry!$C127="","0000",IF(AND(ISNUMBER(Entry!$C127),Entry!$C127&gt;=0,Entry!$C127&lt;1),RIGHT("00"&amp;HOUR(Entry!$C127),2)&amp;RIGHT("00"&amp;MINUTE(Entry!$C127),2),IFERROR(RIGHT("00"&amp;VALUE(LEFT(Entry!$C127,FIND(":",Entry!$C127)-1)),2)&amp;RIGHT("00"&amp;VALUE(MID(Entry!$C127,FIND(":",Entry!$C127)+1,2)),2),"0000"))))</f>
        <v/>
      </c>
      <c r="G124" t="str">
        <f>IF($A124="","",Entry!$G127)</f>
        <v/>
      </c>
      <c r="H124" t="str">
        <f>IF($A124="","",IF(Entry!$H127="",0,Entry!$H127))</f>
        <v/>
      </c>
      <c r="I124" t="str">
        <f>IF($A124="","",IF(Entry!$I127="",0,Entry!$I127))</f>
        <v/>
      </c>
      <c r="J124" t="str">
        <f t="shared" si="9"/>
        <v/>
      </c>
      <c r="K124" t="str">
        <f>IF($A124="","",Entry!$D127)</f>
        <v/>
      </c>
      <c r="L124" t="str">
        <f>IF($A124="","",Entry!$L127)</f>
        <v/>
      </c>
      <c r="N124" t="str">
        <f>IF(OR(Sync!$M124="",$Q124="",$Q124="نامعتبر"),"",Sync!$M124)</f>
        <v/>
      </c>
      <c r="O124" t="str">
        <f t="shared" si="10"/>
        <v/>
      </c>
      <c r="P124" t="str">
        <f>IF($N124="","",LEFT($Q124,4)&amp;MID($Q124,6,2)&amp;RIGHT($Q124,2)&amp;IF(Sync!$K124="","0000",IF(AND(ISNUMBER(Sync!$K124),Sync!$K124&gt;=0,Sync!$K124&lt;1),RIGHT("00"&amp;HOUR(Sync!$K124),2)&amp;RIGHT("00"&amp;MINUTE(Sync!$K124),2),IFERROR(RIGHT("00"&amp;VALUE(LEFT(Sync!$K124,FIND(":",Sync!$K124)-1)),2)&amp;RIGHT("00"&amp;VALUE(MID(Sync!$K124,FIND(":",Sync!$K124)+1,2)),2),"0000")))&amp;"|"&amp;"2"&amp;RIGHT("00000"&amp;119,5))</f>
        <v/>
      </c>
      <c r="Q124" t="str">
        <f>IF(Sync!$J124="","",IF(ISNUMBER(Sync!$J124),IF(AND(Sync!$J124&gt;=10000101,Sync!$J124&lt;=99991231),INT(Sync!$J124/10000)&amp;"/"&amp;RIGHT("00"&amp;INT(MOD(Sync!$J124,10000)/100),2)&amp;"/"&amp;RIGHT("00"&amp;MOD(Sync!$J124,100),2),"نامعتبر"),IF(LEN(Sync!$J124)=10,Sync!$J124,"نامعتبر")))</f>
        <v/>
      </c>
      <c r="R124" t="str">
        <f t="shared" si="11"/>
        <v/>
      </c>
      <c r="S124" t="str">
        <f t="shared" si="12"/>
        <v/>
      </c>
      <c r="T124" t="str">
        <f>IF($N124="","",IF(Sync!$N124="",0,Sync!$N124))</f>
        <v/>
      </c>
      <c r="U124" t="str">
        <f>IF($N124="","",IF(Sync!$O124="",0,Sync!$O124))</f>
        <v/>
      </c>
      <c r="V124" t="str">
        <f>IF($N124="","",Sync!$L124)</f>
        <v/>
      </c>
      <c r="W124" t="str">
        <f>IF($N124="","",Sync!$P124)</f>
        <v/>
      </c>
      <c r="AA124" t="str">
        <f>IF($A124="","",IF(COUNTIF($A$6:$A124,$A124)=1,1,0))</f>
        <v/>
      </c>
      <c r="AB124">
        <f>SUM($AA$6:$AA124)</f>
        <v>3</v>
      </c>
      <c r="AC124" t="str">
        <f t="shared" si="13"/>
        <v/>
      </c>
    </row>
    <row r="125" spans="1:29" x14ac:dyDescent="0.2">
      <c r="A125" t="str">
        <f>IF(OR(Entry!$B128="",Entry!$E128="",$E125="نامعتبر"),"",Entry!$E128)</f>
        <v/>
      </c>
      <c r="B125" t="str">
        <f>IF($A125="","",LEFT($E125,4)&amp;MID($E125,6,2)&amp;RIGHT($E125,2)&amp;$F125&amp;"|"&amp;"1"&amp;RIGHT("00000"&amp;120,5))</f>
        <v/>
      </c>
      <c r="C125" t="str">
        <f t="shared" si="7"/>
        <v/>
      </c>
      <c r="D125" t="str">
        <f t="shared" si="8"/>
        <v/>
      </c>
      <c r="E125" t="str">
        <f>IF(Entry!$B128="","",IF(ISNUMBER(Entry!$B128),IF(AND(Entry!$B128&gt;=10000101,Entry!$B128&lt;=99991231),INT(Entry!$B128/10000)&amp;"/"&amp;RIGHT("00"&amp;INT(MOD(Entry!$B128,10000)/100),2)&amp;"/"&amp;RIGHT("00"&amp;MOD(Entry!$B128,100),2),"نامعتبر"),IF(LEN(Entry!$B128)=10,Entry!$B128,"نامعتبر")))</f>
        <v/>
      </c>
      <c r="F125" t="str">
        <f>IF(Entry!$B128="","",IF(Entry!$C128="","0000",IF(AND(ISNUMBER(Entry!$C128),Entry!$C128&gt;=0,Entry!$C128&lt;1),RIGHT("00"&amp;HOUR(Entry!$C128),2)&amp;RIGHT("00"&amp;MINUTE(Entry!$C128),2),IFERROR(RIGHT("00"&amp;VALUE(LEFT(Entry!$C128,FIND(":",Entry!$C128)-1)),2)&amp;RIGHT("00"&amp;VALUE(MID(Entry!$C128,FIND(":",Entry!$C128)+1,2)),2),"0000"))))</f>
        <v/>
      </c>
      <c r="G125" t="str">
        <f>IF($A125="","",Entry!$G128)</f>
        <v/>
      </c>
      <c r="H125" t="str">
        <f>IF($A125="","",IF(Entry!$H128="",0,Entry!$H128))</f>
        <v/>
      </c>
      <c r="I125" t="str">
        <f>IF($A125="","",IF(Entry!$I128="",0,Entry!$I128))</f>
        <v/>
      </c>
      <c r="J125" t="str">
        <f t="shared" si="9"/>
        <v/>
      </c>
      <c r="K125" t="str">
        <f>IF($A125="","",Entry!$D128)</f>
        <v/>
      </c>
      <c r="L125" t="str">
        <f>IF($A125="","",Entry!$L128)</f>
        <v/>
      </c>
      <c r="N125" t="str">
        <f>IF(OR(Sync!$M125="",$Q125="",$Q125="نامعتبر"),"",Sync!$M125)</f>
        <v/>
      </c>
      <c r="O125" t="str">
        <f t="shared" si="10"/>
        <v/>
      </c>
      <c r="P125" t="str">
        <f>IF($N125="","",LEFT($Q125,4)&amp;MID($Q125,6,2)&amp;RIGHT($Q125,2)&amp;IF(Sync!$K125="","0000",IF(AND(ISNUMBER(Sync!$K125),Sync!$K125&gt;=0,Sync!$K125&lt;1),RIGHT("00"&amp;HOUR(Sync!$K125),2)&amp;RIGHT("00"&amp;MINUTE(Sync!$K125),2),IFERROR(RIGHT("00"&amp;VALUE(LEFT(Sync!$K125,FIND(":",Sync!$K125)-1)),2)&amp;RIGHT("00"&amp;VALUE(MID(Sync!$K125,FIND(":",Sync!$K125)+1,2)),2),"0000")))&amp;"|"&amp;"2"&amp;RIGHT("00000"&amp;120,5))</f>
        <v/>
      </c>
      <c r="Q125" t="str">
        <f>IF(Sync!$J125="","",IF(ISNUMBER(Sync!$J125),IF(AND(Sync!$J125&gt;=10000101,Sync!$J125&lt;=99991231),INT(Sync!$J125/10000)&amp;"/"&amp;RIGHT("00"&amp;INT(MOD(Sync!$J125,10000)/100),2)&amp;"/"&amp;RIGHT("00"&amp;MOD(Sync!$J125,100),2),"نامعتبر"),IF(LEN(Sync!$J125)=10,Sync!$J125,"نامعتبر")))</f>
        <v/>
      </c>
      <c r="R125" t="str">
        <f t="shared" si="11"/>
        <v/>
      </c>
      <c r="S125" t="str">
        <f t="shared" si="12"/>
        <v/>
      </c>
      <c r="T125" t="str">
        <f>IF($N125="","",IF(Sync!$N125="",0,Sync!$N125))</f>
        <v/>
      </c>
      <c r="U125" t="str">
        <f>IF($N125="","",IF(Sync!$O125="",0,Sync!$O125))</f>
        <v/>
      </c>
      <c r="V125" t="str">
        <f>IF($N125="","",Sync!$L125)</f>
        <v/>
      </c>
      <c r="W125" t="str">
        <f>IF($N125="","",Sync!$P125)</f>
        <v/>
      </c>
      <c r="AA125" t="str">
        <f>IF($A125="","",IF(COUNTIF($A$6:$A125,$A125)=1,1,0))</f>
        <v/>
      </c>
      <c r="AB125">
        <f>SUM($AA$6:$AA125)</f>
        <v>3</v>
      </c>
      <c r="AC125" t="str">
        <f t="shared" si="13"/>
        <v/>
      </c>
    </row>
    <row r="126" spans="1:29" x14ac:dyDescent="0.2">
      <c r="A126" t="str">
        <f>IF(OR(Entry!$B129="",Entry!$E129="",$E126="نامعتبر"),"",Entry!$E129)</f>
        <v/>
      </c>
      <c r="B126" t="str">
        <f>IF($A126="","",LEFT($E126,4)&amp;MID($E126,6,2)&amp;RIGHT($E126,2)&amp;$F126&amp;"|"&amp;"1"&amp;RIGHT("00000"&amp;121,5))</f>
        <v/>
      </c>
      <c r="C126" t="str">
        <f t="shared" si="7"/>
        <v/>
      </c>
      <c r="D126" t="str">
        <f t="shared" si="8"/>
        <v/>
      </c>
      <c r="E126" t="str">
        <f>IF(Entry!$B129="","",IF(ISNUMBER(Entry!$B129),IF(AND(Entry!$B129&gt;=10000101,Entry!$B129&lt;=99991231),INT(Entry!$B129/10000)&amp;"/"&amp;RIGHT("00"&amp;INT(MOD(Entry!$B129,10000)/100),2)&amp;"/"&amp;RIGHT("00"&amp;MOD(Entry!$B129,100),2),"نامعتبر"),IF(LEN(Entry!$B129)=10,Entry!$B129,"نامعتبر")))</f>
        <v/>
      </c>
      <c r="F126" t="str">
        <f>IF(Entry!$B129="","",IF(Entry!$C129="","0000",IF(AND(ISNUMBER(Entry!$C129),Entry!$C129&gt;=0,Entry!$C129&lt;1),RIGHT("00"&amp;HOUR(Entry!$C129),2)&amp;RIGHT("00"&amp;MINUTE(Entry!$C129),2),IFERROR(RIGHT("00"&amp;VALUE(LEFT(Entry!$C129,FIND(":",Entry!$C129)-1)),2)&amp;RIGHT("00"&amp;VALUE(MID(Entry!$C129,FIND(":",Entry!$C129)+1,2)),2),"0000"))))</f>
        <v/>
      </c>
      <c r="G126" t="str">
        <f>IF($A126="","",Entry!$G129)</f>
        <v/>
      </c>
      <c r="H126" t="str">
        <f>IF($A126="","",IF(Entry!$H129="",0,Entry!$H129))</f>
        <v/>
      </c>
      <c r="I126" t="str">
        <f>IF($A126="","",IF(Entry!$I129="",0,Entry!$I129))</f>
        <v/>
      </c>
      <c r="J126" t="str">
        <f t="shared" si="9"/>
        <v/>
      </c>
      <c r="K126" t="str">
        <f>IF($A126="","",Entry!$D129)</f>
        <v/>
      </c>
      <c r="L126" t="str">
        <f>IF($A126="","",Entry!$L129)</f>
        <v/>
      </c>
      <c r="N126" t="str">
        <f>IF(OR(Sync!$M126="",$Q126="",$Q126="نامعتبر"),"",Sync!$M126)</f>
        <v/>
      </c>
      <c r="O126" t="str">
        <f t="shared" si="10"/>
        <v/>
      </c>
      <c r="P126" t="str">
        <f>IF($N126="","",LEFT($Q126,4)&amp;MID($Q126,6,2)&amp;RIGHT($Q126,2)&amp;IF(Sync!$K126="","0000",IF(AND(ISNUMBER(Sync!$K126),Sync!$K126&gt;=0,Sync!$K126&lt;1),RIGHT("00"&amp;HOUR(Sync!$K126),2)&amp;RIGHT("00"&amp;MINUTE(Sync!$K126),2),IFERROR(RIGHT("00"&amp;VALUE(LEFT(Sync!$K126,FIND(":",Sync!$K126)-1)),2)&amp;RIGHT("00"&amp;VALUE(MID(Sync!$K126,FIND(":",Sync!$K126)+1,2)),2),"0000")))&amp;"|"&amp;"2"&amp;RIGHT("00000"&amp;121,5))</f>
        <v/>
      </c>
      <c r="Q126" t="str">
        <f>IF(Sync!$J126="","",IF(ISNUMBER(Sync!$J126),IF(AND(Sync!$J126&gt;=10000101,Sync!$J126&lt;=99991231),INT(Sync!$J126/10000)&amp;"/"&amp;RIGHT("00"&amp;INT(MOD(Sync!$J126,10000)/100),2)&amp;"/"&amp;RIGHT("00"&amp;MOD(Sync!$J126,100),2),"نامعتبر"),IF(LEN(Sync!$J126)=10,Sync!$J126,"نامعتبر")))</f>
        <v/>
      </c>
      <c r="R126" t="str">
        <f t="shared" si="11"/>
        <v/>
      </c>
      <c r="S126" t="str">
        <f t="shared" si="12"/>
        <v/>
      </c>
      <c r="T126" t="str">
        <f>IF($N126="","",IF(Sync!$N126="",0,Sync!$N126))</f>
        <v/>
      </c>
      <c r="U126" t="str">
        <f>IF($N126="","",IF(Sync!$O126="",0,Sync!$O126))</f>
        <v/>
      </c>
      <c r="V126" t="str">
        <f>IF($N126="","",Sync!$L126)</f>
        <v/>
      </c>
      <c r="W126" t="str">
        <f>IF($N126="","",Sync!$P126)</f>
        <v/>
      </c>
      <c r="AA126" t="str">
        <f>IF($A126="","",IF(COUNTIF($A$6:$A126,$A126)=1,1,0))</f>
        <v/>
      </c>
      <c r="AB126">
        <f>SUM($AA$6:$AA126)</f>
        <v>3</v>
      </c>
      <c r="AC126" t="str">
        <f t="shared" si="13"/>
        <v/>
      </c>
    </row>
    <row r="127" spans="1:29" x14ac:dyDescent="0.2">
      <c r="A127" t="str">
        <f>IF(OR(Entry!$B130="",Entry!$E130="",$E127="نامعتبر"),"",Entry!$E130)</f>
        <v/>
      </c>
      <c r="B127" t="str">
        <f>IF($A127="","",LEFT($E127,4)&amp;MID($E127,6,2)&amp;RIGHT($E127,2)&amp;$F127&amp;"|"&amp;"1"&amp;RIGHT("00000"&amp;122,5))</f>
        <v/>
      </c>
      <c r="C127" t="str">
        <f t="shared" si="7"/>
        <v/>
      </c>
      <c r="D127" t="str">
        <f t="shared" si="8"/>
        <v/>
      </c>
      <c r="E127" t="str">
        <f>IF(Entry!$B130="","",IF(ISNUMBER(Entry!$B130),IF(AND(Entry!$B130&gt;=10000101,Entry!$B130&lt;=99991231),INT(Entry!$B130/10000)&amp;"/"&amp;RIGHT("00"&amp;INT(MOD(Entry!$B130,10000)/100),2)&amp;"/"&amp;RIGHT("00"&amp;MOD(Entry!$B130,100),2),"نامعتبر"),IF(LEN(Entry!$B130)=10,Entry!$B130,"نامعتبر")))</f>
        <v/>
      </c>
      <c r="F127" t="str">
        <f>IF(Entry!$B130="","",IF(Entry!$C130="","0000",IF(AND(ISNUMBER(Entry!$C130),Entry!$C130&gt;=0,Entry!$C130&lt;1),RIGHT("00"&amp;HOUR(Entry!$C130),2)&amp;RIGHT("00"&amp;MINUTE(Entry!$C130),2),IFERROR(RIGHT("00"&amp;VALUE(LEFT(Entry!$C130,FIND(":",Entry!$C130)-1)),2)&amp;RIGHT("00"&amp;VALUE(MID(Entry!$C130,FIND(":",Entry!$C130)+1,2)),2),"0000"))))</f>
        <v/>
      </c>
      <c r="G127" t="str">
        <f>IF($A127="","",Entry!$G130)</f>
        <v/>
      </c>
      <c r="H127" t="str">
        <f>IF($A127="","",IF(Entry!$H130="",0,Entry!$H130))</f>
        <v/>
      </c>
      <c r="I127" t="str">
        <f>IF($A127="","",IF(Entry!$I130="",0,Entry!$I130))</f>
        <v/>
      </c>
      <c r="J127" t="str">
        <f t="shared" si="9"/>
        <v/>
      </c>
      <c r="K127" t="str">
        <f>IF($A127="","",Entry!$D130)</f>
        <v/>
      </c>
      <c r="L127" t="str">
        <f>IF($A127="","",Entry!$L130)</f>
        <v/>
      </c>
      <c r="N127" t="str">
        <f>IF(OR(Sync!$M127="",$Q127="",$Q127="نامعتبر"),"",Sync!$M127)</f>
        <v/>
      </c>
      <c r="O127" t="str">
        <f t="shared" si="10"/>
        <v/>
      </c>
      <c r="P127" t="str">
        <f>IF($N127="","",LEFT($Q127,4)&amp;MID($Q127,6,2)&amp;RIGHT($Q127,2)&amp;IF(Sync!$K127="","0000",IF(AND(ISNUMBER(Sync!$K127),Sync!$K127&gt;=0,Sync!$K127&lt;1),RIGHT("00"&amp;HOUR(Sync!$K127),2)&amp;RIGHT("00"&amp;MINUTE(Sync!$K127),2),IFERROR(RIGHT("00"&amp;VALUE(LEFT(Sync!$K127,FIND(":",Sync!$K127)-1)),2)&amp;RIGHT("00"&amp;VALUE(MID(Sync!$K127,FIND(":",Sync!$K127)+1,2)),2),"0000")))&amp;"|"&amp;"2"&amp;RIGHT("00000"&amp;122,5))</f>
        <v/>
      </c>
      <c r="Q127" t="str">
        <f>IF(Sync!$J127="","",IF(ISNUMBER(Sync!$J127),IF(AND(Sync!$J127&gt;=10000101,Sync!$J127&lt;=99991231),INT(Sync!$J127/10000)&amp;"/"&amp;RIGHT("00"&amp;INT(MOD(Sync!$J127,10000)/100),2)&amp;"/"&amp;RIGHT("00"&amp;MOD(Sync!$J127,100),2),"نامعتبر"),IF(LEN(Sync!$J127)=10,Sync!$J127,"نامعتبر")))</f>
        <v/>
      </c>
      <c r="R127" t="str">
        <f t="shared" si="11"/>
        <v/>
      </c>
      <c r="S127" t="str">
        <f t="shared" si="12"/>
        <v/>
      </c>
      <c r="T127" t="str">
        <f>IF($N127="","",IF(Sync!$N127="",0,Sync!$N127))</f>
        <v/>
      </c>
      <c r="U127" t="str">
        <f>IF($N127="","",IF(Sync!$O127="",0,Sync!$O127))</f>
        <v/>
      </c>
      <c r="V127" t="str">
        <f>IF($N127="","",Sync!$L127)</f>
        <v/>
      </c>
      <c r="W127" t="str">
        <f>IF($N127="","",Sync!$P127)</f>
        <v/>
      </c>
      <c r="AA127" t="str">
        <f>IF($A127="","",IF(COUNTIF($A$6:$A127,$A127)=1,1,0))</f>
        <v/>
      </c>
      <c r="AB127">
        <f>SUM($AA$6:$AA127)</f>
        <v>3</v>
      </c>
      <c r="AC127" t="str">
        <f t="shared" si="13"/>
        <v/>
      </c>
    </row>
    <row r="128" spans="1:29" x14ac:dyDescent="0.2">
      <c r="A128" t="str">
        <f>IF(OR(Entry!$B131="",Entry!$E131="",$E128="نامعتبر"),"",Entry!$E131)</f>
        <v/>
      </c>
      <c r="B128" t="str">
        <f>IF($A128="","",LEFT($E128,4)&amp;MID($E128,6,2)&amp;RIGHT($E128,2)&amp;$F128&amp;"|"&amp;"1"&amp;RIGHT("00000"&amp;123,5))</f>
        <v/>
      </c>
      <c r="C128" t="str">
        <f t="shared" si="7"/>
        <v/>
      </c>
      <c r="D128" t="str">
        <f t="shared" si="8"/>
        <v/>
      </c>
      <c r="E128" t="str">
        <f>IF(Entry!$B131="","",IF(ISNUMBER(Entry!$B131),IF(AND(Entry!$B131&gt;=10000101,Entry!$B131&lt;=99991231),INT(Entry!$B131/10000)&amp;"/"&amp;RIGHT("00"&amp;INT(MOD(Entry!$B131,10000)/100),2)&amp;"/"&amp;RIGHT("00"&amp;MOD(Entry!$B131,100),2),"نامعتبر"),IF(LEN(Entry!$B131)=10,Entry!$B131,"نامعتبر")))</f>
        <v/>
      </c>
      <c r="F128" t="str">
        <f>IF(Entry!$B131="","",IF(Entry!$C131="","0000",IF(AND(ISNUMBER(Entry!$C131),Entry!$C131&gt;=0,Entry!$C131&lt;1),RIGHT("00"&amp;HOUR(Entry!$C131),2)&amp;RIGHT("00"&amp;MINUTE(Entry!$C131),2),IFERROR(RIGHT("00"&amp;VALUE(LEFT(Entry!$C131,FIND(":",Entry!$C131)-1)),2)&amp;RIGHT("00"&amp;VALUE(MID(Entry!$C131,FIND(":",Entry!$C131)+1,2)),2),"0000"))))</f>
        <v/>
      </c>
      <c r="G128" t="str">
        <f>IF($A128="","",Entry!$G131)</f>
        <v/>
      </c>
      <c r="H128" t="str">
        <f>IF($A128="","",IF(Entry!$H131="",0,Entry!$H131))</f>
        <v/>
      </c>
      <c r="I128" t="str">
        <f>IF($A128="","",IF(Entry!$I131="",0,Entry!$I131))</f>
        <v/>
      </c>
      <c r="J128" t="str">
        <f t="shared" si="9"/>
        <v/>
      </c>
      <c r="K128" t="str">
        <f>IF($A128="","",Entry!$D131)</f>
        <v/>
      </c>
      <c r="L128" t="str">
        <f>IF($A128="","",Entry!$L131)</f>
        <v/>
      </c>
      <c r="N128" t="str">
        <f>IF(OR(Sync!$M128="",$Q128="",$Q128="نامعتبر"),"",Sync!$M128)</f>
        <v/>
      </c>
      <c r="O128" t="str">
        <f t="shared" si="10"/>
        <v/>
      </c>
      <c r="P128" t="str">
        <f>IF($N128="","",LEFT($Q128,4)&amp;MID($Q128,6,2)&amp;RIGHT($Q128,2)&amp;IF(Sync!$K128="","0000",IF(AND(ISNUMBER(Sync!$K128),Sync!$K128&gt;=0,Sync!$K128&lt;1),RIGHT("00"&amp;HOUR(Sync!$K128),2)&amp;RIGHT("00"&amp;MINUTE(Sync!$K128),2),IFERROR(RIGHT("00"&amp;VALUE(LEFT(Sync!$K128,FIND(":",Sync!$K128)-1)),2)&amp;RIGHT("00"&amp;VALUE(MID(Sync!$K128,FIND(":",Sync!$K128)+1,2)),2),"0000")))&amp;"|"&amp;"2"&amp;RIGHT("00000"&amp;123,5))</f>
        <v/>
      </c>
      <c r="Q128" t="str">
        <f>IF(Sync!$J128="","",IF(ISNUMBER(Sync!$J128),IF(AND(Sync!$J128&gt;=10000101,Sync!$J128&lt;=99991231),INT(Sync!$J128/10000)&amp;"/"&amp;RIGHT("00"&amp;INT(MOD(Sync!$J128,10000)/100),2)&amp;"/"&amp;RIGHT("00"&amp;MOD(Sync!$J128,100),2),"نامعتبر"),IF(LEN(Sync!$J128)=10,Sync!$J128,"نامعتبر")))</f>
        <v/>
      </c>
      <c r="R128" t="str">
        <f t="shared" si="11"/>
        <v/>
      </c>
      <c r="S128" t="str">
        <f t="shared" si="12"/>
        <v/>
      </c>
      <c r="T128" t="str">
        <f>IF($N128="","",IF(Sync!$N128="",0,Sync!$N128))</f>
        <v/>
      </c>
      <c r="U128" t="str">
        <f>IF($N128="","",IF(Sync!$O128="",0,Sync!$O128))</f>
        <v/>
      </c>
      <c r="V128" t="str">
        <f>IF($N128="","",Sync!$L128)</f>
        <v/>
      </c>
      <c r="W128" t="str">
        <f>IF($N128="","",Sync!$P128)</f>
        <v/>
      </c>
      <c r="AA128" t="str">
        <f>IF($A128="","",IF(COUNTIF($A$6:$A128,$A128)=1,1,0))</f>
        <v/>
      </c>
      <c r="AB128">
        <f>SUM($AA$6:$AA128)</f>
        <v>3</v>
      </c>
      <c r="AC128" t="str">
        <f t="shared" si="13"/>
        <v/>
      </c>
    </row>
    <row r="129" spans="1:29" x14ac:dyDescent="0.2">
      <c r="A129" t="str">
        <f>IF(OR(Entry!$B132="",Entry!$E132="",$E129="نامعتبر"),"",Entry!$E132)</f>
        <v/>
      </c>
      <c r="B129" t="str">
        <f>IF($A129="","",LEFT($E129,4)&amp;MID($E129,6,2)&amp;RIGHT($E129,2)&amp;$F129&amp;"|"&amp;"1"&amp;RIGHT("00000"&amp;124,5))</f>
        <v/>
      </c>
      <c r="C129" t="str">
        <f t="shared" si="7"/>
        <v/>
      </c>
      <c r="D129" t="str">
        <f t="shared" si="8"/>
        <v/>
      </c>
      <c r="E129" t="str">
        <f>IF(Entry!$B132="","",IF(ISNUMBER(Entry!$B132),IF(AND(Entry!$B132&gt;=10000101,Entry!$B132&lt;=99991231),INT(Entry!$B132/10000)&amp;"/"&amp;RIGHT("00"&amp;INT(MOD(Entry!$B132,10000)/100),2)&amp;"/"&amp;RIGHT("00"&amp;MOD(Entry!$B132,100),2),"نامعتبر"),IF(LEN(Entry!$B132)=10,Entry!$B132,"نامعتبر")))</f>
        <v/>
      </c>
      <c r="F129" t="str">
        <f>IF(Entry!$B132="","",IF(Entry!$C132="","0000",IF(AND(ISNUMBER(Entry!$C132),Entry!$C132&gt;=0,Entry!$C132&lt;1),RIGHT("00"&amp;HOUR(Entry!$C132),2)&amp;RIGHT("00"&amp;MINUTE(Entry!$C132),2),IFERROR(RIGHT("00"&amp;VALUE(LEFT(Entry!$C132,FIND(":",Entry!$C132)-1)),2)&amp;RIGHT("00"&amp;VALUE(MID(Entry!$C132,FIND(":",Entry!$C132)+1,2)),2),"0000"))))</f>
        <v/>
      </c>
      <c r="G129" t="str">
        <f>IF($A129="","",Entry!$G132)</f>
        <v/>
      </c>
      <c r="H129" t="str">
        <f>IF($A129="","",IF(Entry!$H132="",0,Entry!$H132))</f>
        <v/>
      </c>
      <c r="I129" t="str">
        <f>IF($A129="","",IF(Entry!$I132="",0,Entry!$I132))</f>
        <v/>
      </c>
      <c r="J129" t="str">
        <f t="shared" si="9"/>
        <v/>
      </c>
      <c r="K129" t="str">
        <f>IF($A129="","",Entry!$D132)</f>
        <v/>
      </c>
      <c r="L129" t="str">
        <f>IF($A129="","",Entry!$L132)</f>
        <v/>
      </c>
      <c r="N129" t="str">
        <f>IF(OR(Sync!$M129="",$Q129="",$Q129="نامعتبر"),"",Sync!$M129)</f>
        <v/>
      </c>
      <c r="O129" t="str">
        <f t="shared" si="10"/>
        <v/>
      </c>
      <c r="P129" t="str">
        <f>IF($N129="","",LEFT($Q129,4)&amp;MID($Q129,6,2)&amp;RIGHT($Q129,2)&amp;IF(Sync!$K129="","0000",IF(AND(ISNUMBER(Sync!$K129),Sync!$K129&gt;=0,Sync!$K129&lt;1),RIGHT("00"&amp;HOUR(Sync!$K129),2)&amp;RIGHT("00"&amp;MINUTE(Sync!$K129),2),IFERROR(RIGHT("00"&amp;VALUE(LEFT(Sync!$K129,FIND(":",Sync!$K129)-1)),2)&amp;RIGHT("00"&amp;VALUE(MID(Sync!$K129,FIND(":",Sync!$K129)+1,2)),2),"0000")))&amp;"|"&amp;"2"&amp;RIGHT("00000"&amp;124,5))</f>
        <v/>
      </c>
      <c r="Q129" t="str">
        <f>IF(Sync!$J129="","",IF(ISNUMBER(Sync!$J129),IF(AND(Sync!$J129&gt;=10000101,Sync!$J129&lt;=99991231),INT(Sync!$J129/10000)&amp;"/"&amp;RIGHT("00"&amp;INT(MOD(Sync!$J129,10000)/100),2)&amp;"/"&amp;RIGHT("00"&amp;MOD(Sync!$J129,100),2),"نامعتبر"),IF(LEN(Sync!$J129)=10,Sync!$J129,"نامعتبر")))</f>
        <v/>
      </c>
      <c r="R129" t="str">
        <f t="shared" si="11"/>
        <v/>
      </c>
      <c r="S129" t="str">
        <f t="shared" si="12"/>
        <v/>
      </c>
      <c r="T129" t="str">
        <f>IF($N129="","",IF(Sync!$N129="",0,Sync!$N129))</f>
        <v/>
      </c>
      <c r="U129" t="str">
        <f>IF($N129="","",IF(Sync!$O129="",0,Sync!$O129))</f>
        <v/>
      </c>
      <c r="V129" t="str">
        <f>IF($N129="","",Sync!$L129)</f>
        <v/>
      </c>
      <c r="W129" t="str">
        <f>IF($N129="","",Sync!$P129)</f>
        <v/>
      </c>
      <c r="AA129" t="str">
        <f>IF($A129="","",IF(COUNTIF($A$6:$A129,$A129)=1,1,0))</f>
        <v/>
      </c>
      <c r="AB129">
        <f>SUM($AA$6:$AA129)</f>
        <v>3</v>
      </c>
      <c r="AC129" t="str">
        <f t="shared" si="13"/>
        <v/>
      </c>
    </row>
    <row r="130" spans="1:29" x14ac:dyDescent="0.2">
      <c r="A130" t="str">
        <f>IF(OR(Entry!$B133="",Entry!$E133="",$E130="نامعتبر"),"",Entry!$E133)</f>
        <v/>
      </c>
      <c r="B130" t="str">
        <f>IF($A130="","",LEFT($E130,4)&amp;MID($E130,6,2)&amp;RIGHT($E130,2)&amp;$F130&amp;"|"&amp;"1"&amp;RIGHT("00000"&amp;125,5))</f>
        <v/>
      </c>
      <c r="C130" t="str">
        <f t="shared" si="7"/>
        <v/>
      </c>
      <c r="D130" t="str">
        <f t="shared" si="8"/>
        <v/>
      </c>
      <c r="E130" t="str">
        <f>IF(Entry!$B133="","",IF(ISNUMBER(Entry!$B133),IF(AND(Entry!$B133&gt;=10000101,Entry!$B133&lt;=99991231),INT(Entry!$B133/10000)&amp;"/"&amp;RIGHT("00"&amp;INT(MOD(Entry!$B133,10000)/100),2)&amp;"/"&amp;RIGHT("00"&amp;MOD(Entry!$B133,100),2),"نامعتبر"),IF(LEN(Entry!$B133)=10,Entry!$B133,"نامعتبر")))</f>
        <v/>
      </c>
      <c r="F130" t="str">
        <f>IF(Entry!$B133="","",IF(Entry!$C133="","0000",IF(AND(ISNUMBER(Entry!$C133),Entry!$C133&gt;=0,Entry!$C133&lt;1),RIGHT("00"&amp;HOUR(Entry!$C133),2)&amp;RIGHT("00"&amp;MINUTE(Entry!$C133),2),IFERROR(RIGHT("00"&amp;VALUE(LEFT(Entry!$C133,FIND(":",Entry!$C133)-1)),2)&amp;RIGHT("00"&amp;VALUE(MID(Entry!$C133,FIND(":",Entry!$C133)+1,2)),2),"0000"))))</f>
        <v/>
      </c>
      <c r="G130" t="str">
        <f>IF($A130="","",Entry!$G133)</f>
        <v/>
      </c>
      <c r="H130" t="str">
        <f>IF($A130="","",IF(Entry!$H133="",0,Entry!$H133))</f>
        <v/>
      </c>
      <c r="I130" t="str">
        <f>IF($A130="","",IF(Entry!$I133="",0,Entry!$I133))</f>
        <v/>
      </c>
      <c r="J130" t="str">
        <f t="shared" si="9"/>
        <v/>
      </c>
      <c r="K130" t="str">
        <f>IF($A130="","",Entry!$D133)</f>
        <v/>
      </c>
      <c r="L130" t="str">
        <f>IF($A130="","",Entry!$L133)</f>
        <v/>
      </c>
      <c r="N130" t="str">
        <f>IF(OR(Sync!$M130="",$Q130="",$Q130="نامعتبر"),"",Sync!$M130)</f>
        <v/>
      </c>
      <c r="O130" t="str">
        <f t="shared" si="10"/>
        <v/>
      </c>
      <c r="P130" t="str">
        <f>IF($N130="","",LEFT($Q130,4)&amp;MID($Q130,6,2)&amp;RIGHT($Q130,2)&amp;IF(Sync!$K130="","0000",IF(AND(ISNUMBER(Sync!$K130),Sync!$K130&gt;=0,Sync!$K130&lt;1),RIGHT("00"&amp;HOUR(Sync!$K130),2)&amp;RIGHT("00"&amp;MINUTE(Sync!$K130),2),IFERROR(RIGHT("00"&amp;VALUE(LEFT(Sync!$K130,FIND(":",Sync!$K130)-1)),2)&amp;RIGHT("00"&amp;VALUE(MID(Sync!$K130,FIND(":",Sync!$K130)+1,2)),2),"0000")))&amp;"|"&amp;"2"&amp;RIGHT("00000"&amp;125,5))</f>
        <v/>
      </c>
      <c r="Q130" t="str">
        <f>IF(Sync!$J130="","",IF(ISNUMBER(Sync!$J130),IF(AND(Sync!$J130&gt;=10000101,Sync!$J130&lt;=99991231),INT(Sync!$J130/10000)&amp;"/"&amp;RIGHT("00"&amp;INT(MOD(Sync!$J130,10000)/100),2)&amp;"/"&amp;RIGHT("00"&amp;MOD(Sync!$J130,100),2),"نامعتبر"),IF(LEN(Sync!$J130)=10,Sync!$J130,"نامعتبر")))</f>
        <v/>
      </c>
      <c r="R130" t="str">
        <f t="shared" si="11"/>
        <v/>
      </c>
      <c r="S130" t="str">
        <f t="shared" si="12"/>
        <v/>
      </c>
      <c r="T130" t="str">
        <f>IF($N130="","",IF(Sync!$N130="",0,Sync!$N130))</f>
        <v/>
      </c>
      <c r="U130" t="str">
        <f>IF($N130="","",IF(Sync!$O130="",0,Sync!$O130))</f>
        <v/>
      </c>
      <c r="V130" t="str">
        <f>IF($N130="","",Sync!$L130)</f>
        <v/>
      </c>
      <c r="W130" t="str">
        <f>IF($N130="","",Sync!$P130)</f>
        <v/>
      </c>
      <c r="AA130" t="str">
        <f>IF($A130="","",IF(COUNTIF($A$6:$A130,$A130)=1,1,0))</f>
        <v/>
      </c>
      <c r="AB130">
        <f>SUM($AA$6:$AA130)</f>
        <v>3</v>
      </c>
      <c r="AC130" t="str">
        <f t="shared" si="13"/>
        <v/>
      </c>
    </row>
    <row r="131" spans="1:29" x14ac:dyDescent="0.2">
      <c r="A131" t="str">
        <f>IF(OR(Entry!$B134="",Entry!$E134="",$E131="نامعتبر"),"",Entry!$E134)</f>
        <v/>
      </c>
      <c r="B131" t="str">
        <f>IF($A131="","",LEFT($E131,4)&amp;MID($E131,6,2)&amp;RIGHT($E131,2)&amp;$F131&amp;"|"&amp;"1"&amp;RIGHT("00000"&amp;126,5))</f>
        <v/>
      </c>
      <c r="C131" t="str">
        <f t="shared" si="7"/>
        <v/>
      </c>
      <c r="D131" t="str">
        <f t="shared" si="8"/>
        <v/>
      </c>
      <c r="E131" t="str">
        <f>IF(Entry!$B134="","",IF(ISNUMBER(Entry!$B134),IF(AND(Entry!$B134&gt;=10000101,Entry!$B134&lt;=99991231),INT(Entry!$B134/10000)&amp;"/"&amp;RIGHT("00"&amp;INT(MOD(Entry!$B134,10000)/100),2)&amp;"/"&amp;RIGHT("00"&amp;MOD(Entry!$B134,100),2),"نامعتبر"),IF(LEN(Entry!$B134)=10,Entry!$B134,"نامعتبر")))</f>
        <v/>
      </c>
      <c r="F131" t="str">
        <f>IF(Entry!$B134="","",IF(Entry!$C134="","0000",IF(AND(ISNUMBER(Entry!$C134),Entry!$C134&gt;=0,Entry!$C134&lt;1),RIGHT("00"&amp;HOUR(Entry!$C134),2)&amp;RIGHT("00"&amp;MINUTE(Entry!$C134),2),IFERROR(RIGHT("00"&amp;VALUE(LEFT(Entry!$C134,FIND(":",Entry!$C134)-1)),2)&amp;RIGHT("00"&amp;VALUE(MID(Entry!$C134,FIND(":",Entry!$C134)+1,2)),2),"0000"))))</f>
        <v/>
      </c>
      <c r="G131" t="str">
        <f>IF($A131="","",Entry!$G134)</f>
        <v/>
      </c>
      <c r="H131" t="str">
        <f>IF($A131="","",IF(Entry!$H134="",0,Entry!$H134))</f>
        <v/>
      </c>
      <c r="I131" t="str">
        <f>IF($A131="","",IF(Entry!$I134="",0,Entry!$I134))</f>
        <v/>
      </c>
      <c r="J131" t="str">
        <f t="shared" si="9"/>
        <v/>
      </c>
      <c r="K131" t="str">
        <f>IF($A131="","",Entry!$D134)</f>
        <v/>
      </c>
      <c r="L131" t="str">
        <f>IF($A131="","",Entry!$L134)</f>
        <v/>
      </c>
      <c r="N131" t="str">
        <f>IF(OR(Sync!$M131="",$Q131="",$Q131="نامعتبر"),"",Sync!$M131)</f>
        <v/>
      </c>
      <c r="O131" t="str">
        <f t="shared" si="10"/>
        <v/>
      </c>
      <c r="P131" t="str">
        <f>IF($N131="","",LEFT($Q131,4)&amp;MID($Q131,6,2)&amp;RIGHT($Q131,2)&amp;IF(Sync!$K131="","0000",IF(AND(ISNUMBER(Sync!$K131),Sync!$K131&gt;=0,Sync!$K131&lt;1),RIGHT("00"&amp;HOUR(Sync!$K131),2)&amp;RIGHT("00"&amp;MINUTE(Sync!$K131),2),IFERROR(RIGHT("00"&amp;VALUE(LEFT(Sync!$K131,FIND(":",Sync!$K131)-1)),2)&amp;RIGHT("00"&amp;VALUE(MID(Sync!$K131,FIND(":",Sync!$K131)+1,2)),2),"0000")))&amp;"|"&amp;"2"&amp;RIGHT("00000"&amp;126,5))</f>
        <v/>
      </c>
      <c r="Q131" t="str">
        <f>IF(Sync!$J131="","",IF(ISNUMBER(Sync!$J131),IF(AND(Sync!$J131&gt;=10000101,Sync!$J131&lt;=99991231),INT(Sync!$J131/10000)&amp;"/"&amp;RIGHT("00"&amp;INT(MOD(Sync!$J131,10000)/100),2)&amp;"/"&amp;RIGHT("00"&amp;MOD(Sync!$J131,100),2),"نامعتبر"),IF(LEN(Sync!$J131)=10,Sync!$J131,"نامعتبر")))</f>
        <v/>
      </c>
      <c r="R131" t="str">
        <f t="shared" si="11"/>
        <v/>
      </c>
      <c r="S131" t="str">
        <f t="shared" si="12"/>
        <v/>
      </c>
      <c r="T131" t="str">
        <f>IF($N131="","",IF(Sync!$N131="",0,Sync!$N131))</f>
        <v/>
      </c>
      <c r="U131" t="str">
        <f>IF($N131="","",IF(Sync!$O131="",0,Sync!$O131))</f>
        <v/>
      </c>
      <c r="V131" t="str">
        <f>IF($N131="","",Sync!$L131)</f>
        <v/>
      </c>
      <c r="W131" t="str">
        <f>IF($N131="","",Sync!$P131)</f>
        <v/>
      </c>
      <c r="AA131" t="str">
        <f>IF($A131="","",IF(COUNTIF($A$6:$A131,$A131)=1,1,0))</f>
        <v/>
      </c>
      <c r="AB131">
        <f>SUM($AA$6:$AA131)</f>
        <v>3</v>
      </c>
      <c r="AC131" t="str">
        <f t="shared" si="13"/>
        <v/>
      </c>
    </row>
    <row r="132" spans="1:29" x14ac:dyDescent="0.2">
      <c r="A132" t="str">
        <f>IF(OR(Entry!$B135="",Entry!$E135="",$E132="نامعتبر"),"",Entry!$E135)</f>
        <v/>
      </c>
      <c r="B132" t="str">
        <f>IF($A132="","",LEFT($E132,4)&amp;MID($E132,6,2)&amp;RIGHT($E132,2)&amp;$F132&amp;"|"&amp;"1"&amp;RIGHT("00000"&amp;127,5))</f>
        <v/>
      </c>
      <c r="C132" t="str">
        <f t="shared" si="7"/>
        <v/>
      </c>
      <c r="D132" t="str">
        <f t="shared" si="8"/>
        <v/>
      </c>
      <c r="E132" t="str">
        <f>IF(Entry!$B135="","",IF(ISNUMBER(Entry!$B135),IF(AND(Entry!$B135&gt;=10000101,Entry!$B135&lt;=99991231),INT(Entry!$B135/10000)&amp;"/"&amp;RIGHT("00"&amp;INT(MOD(Entry!$B135,10000)/100),2)&amp;"/"&amp;RIGHT("00"&amp;MOD(Entry!$B135,100),2),"نامعتبر"),IF(LEN(Entry!$B135)=10,Entry!$B135,"نامعتبر")))</f>
        <v/>
      </c>
      <c r="F132" t="str">
        <f>IF(Entry!$B135="","",IF(Entry!$C135="","0000",IF(AND(ISNUMBER(Entry!$C135),Entry!$C135&gt;=0,Entry!$C135&lt;1),RIGHT("00"&amp;HOUR(Entry!$C135),2)&amp;RIGHT("00"&amp;MINUTE(Entry!$C135),2),IFERROR(RIGHT("00"&amp;VALUE(LEFT(Entry!$C135,FIND(":",Entry!$C135)-1)),2)&amp;RIGHT("00"&amp;VALUE(MID(Entry!$C135,FIND(":",Entry!$C135)+1,2)),2),"0000"))))</f>
        <v/>
      </c>
      <c r="G132" t="str">
        <f>IF($A132="","",Entry!$G135)</f>
        <v/>
      </c>
      <c r="H132" t="str">
        <f>IF($A132="","",IF(Entry!$H135="",0,Entry!$H135))</f>
        <v/>
      </c>
      <c r="I132" t="str">
        <f>IF($A132="","",IF(Entry!$I135="",0,Entry!$I135))</f>
        <v/>
      </c>
      <c r="J132" t="str">
        <f t="shared" si="9"/>
        <v/>
      </c>
      <c r="K132" t="str">
        <f>IF($A132="","",Entry!$D135)</f>
        <v/>
      </c>
      <c r="L132" t="str">
        <f>IF($A132="","",Entry!$L135)</f>
        <v/>
      </c>
      <c r="N132" t="str">
        <f>IF(OR(Sync!$M132="",$Q132="",$Q132="نامعتبر"),"",Sync!$M132)</f>
        <v/>
      </c>
      <c r="O132" t="str">
        <f t="shared" si="10"/>
        <v/>
      </c>
      <c r="P132" t="str">
        <f>IF($N132="","",LEFT($Q132,4)&amp;MID($Q132,6,2)&amp;RIGHT($Q132,2)&amp;IF(Sync!$K132="","0000",IF(AND(ISNUMBER(Sync!$K132),Sync!$K132&gt;=0,Sync!$K132&lt;1),RIGHT("00"&amp;HOUR(Sync!$K132),2)&amp;RIGHT("00"&amp;MINUTE(Sync!$K132),2),IFERROR(RIGHT("00"&amp;VALUE(LEFT(Sync!$K132,FIND(":",Sync!$K132)-1)),2)&amp;RIGHT("00"&amp;VALUE(MID(Sync!$K132,FIND(":",Sync!$K132)+1,2)),2),"0000")))&amp;"|"&amp;"2"&amp;RIGHT("00000"&amp;127,5))</f>
        <v/>
      </c>
      <c r="Q132" t="str">
        <f>IF(Sync!$J132="","",IF(ISNUMBER(Sync!$J132),IF(AND(Sync!$J132&gt;=10000101,Sync!$J132&lt;=99991231),INT(Sync!$J132/10000)&amp;"/"&amp;RIGHT("00"&amp;INT(MOD(Sync!$J132,10000)/100),2)&amp;"/"&amp;RIGHT("00"&amp;MOD(Sync!$J132,100),2),"نامعتبر"),IF(LEN(Sync!$J132)=10,Sync!$J132,"نامعتبر")))</f>
        <v/>
      </c>
      <c r="R132" t="str">
        <f t="shared" si="11"/>
        <v/>
      </c>
      <c r="S132" t="str">
        <f t="shared" si="12"/>
        <v/>
      </c>
      <c r="T132" t="str">
        <f>IF($N132="","",IF(Sync!$N132="",0,Sync!$N132))</f>
        <v/>
      </c>
      <c r="U132" t="str">
        <f>IF($N132="","",IF(Sync!$O132="",0,Sync!$O132))</f>
        <v/>
      </c>
      <c r="V132" t="str">
        <f>IF($N132="","",Sync!$L132)</f>
        <v/>
      </c>
      <c r="W132" t="str">
        <f>IF($N132="","",Sync!$P132)</f>
        <v/>
      </c>
      <c r="AA132" t="str">
        <f>IF($A132="","",IF(COUNTIF($A$6:$A132,$A132)=1,1,0))</f>
        <v/>
      </c>
      <c r="AB132">
        <f>SUM($AA$6:$AA132)</f>
        <v>3</v>
      </c>
      <c r="AC132" t="str">
        <f t="shared" si="13"/>
        <v/>
      </c>
    </row>
    <row r="133" spans="1:29" x14ac:dyDescent="0.2">
      <c r="A133" t="str">
        <f>IF(OR(Entry!$B136="",Entry!$E136="",$E133="نامعتبر"),"",Entry!$E136)</f>
        <v/>
      </c>
      <c r="B133" t="str">
        <f>IF($A133="","",LEFT($E133,4)&amp;MID($E133,6,2)&amp;RIGHT($E133,2)&amp;$F133&amp;"|"&amp;"1"&amp;RIGHT("00000"&amp;128,5))</f>
        <v/>
      </c>
      <c r="C133" t="str">
        <f t="shared" si="7"/>
        <v/>
      </c>
      <c r="D133" t="str">
        <f t="shared" si="8"/>
        <v/>
      </c>
      <c r="E133" t="str">
        <f>IF(Entry!$B136="","",IF(ISNUMBER(Entry!$B136),IF(AND(Entry!$B136&gt;=10000101,Entry!$B136&lt;=99991231),INT(Entry!$B136/10000)&amp;"/"&amp;RIGHT("00"&amp;INT(MOD(Entry!$B136,10000)/100),2)&amp;"/"&amp;RIGHT("00"&amp;MOD(Entry!$B136,100),2),"نامعتبر"),IF(LEN(Entry!$B136)=10,Entry!$B136,"نامعتبر")))</f>
        <v/>
      </c>
      <c r="F133" t="str">
        <f>IF(Entry!$B136="","",IF(Entry!$C136="","0000",IF(AND(ISNUMBER(Entry!$C136),Entry!$C136&gt;=0,Entry!$C136&lt;1),RIGHT("00"&amp;HOUR(Entry!$C136),2)&amp;RIGHT("00"&amp;MINUTE(Entry!$C136),2),IFERROR(RIGHT("00"&amp;VALUE(LEFT(Entry!$C136,FIND(":",Entry!$C136)-1)),2)&amp;RIGHT("00"&amp;VALUE(MID(Entry!$C136,FIND(":",Entry!$C136)+1,2)),2),"0000"))))</f>
        <v/>
      </c>
      <c r="G133" t="str">
        <f>IF($A133="","",Entry!$G136)</f>
        <v/>
      </c>
      <c r="H133" t="str">
        <f>IF($A133="","",IF(Entry!$H136="",0,Entry!$H136))</f>
        <v/>
      </c>
      <c r="I133" t="str">
        <f>IF($A133="","",IF(Entry!$I136="",0,Entry!$I136))</f>
        <v/>
      </c>
      <c r="J133" t="str">
        <f t="shared" si="9"/>
        <v/>
      </c>
      <c r="K133" t="str">
        <f>IF($A133="","",Entry!$D136)</f>
        <v/>
      </c>
      <c r="L133" t="str">
        <f>IF($A133="","",Entry!$L136)</f>
        <v/>
      </c>
      <c r="N133" t="str">
        <f>IF(OR(Sync!$M133="",$Q133="",$Q133="نامعتبر"),"",Sync!$M133)</f>
        <v/>
      </c>
      <c r="O133" t="str">
        <f t="shared" si="10"/>
        <v/>
      </c>
      <c r="P133" t="str">
        <f>IF($N133="","",LEFT($Q133,4)&amp;MID($Q133,6,2)&amp;RIGHT($Q133,2)&amp;IF(Sync!$K133="","0000",IF(AND(ISNUMBER(Sync!$K133),Sync!$K133&gt;=0,Sync!$K133&lt;1),RIGHT("00"&amp;HOUR(Sync!$K133),2)&amp;RIGHT("00"&amp;MINUTE(Sync!$K133),2),IFERROR(RIGHT("00"&amp;VALUE(LEFT(Sync!$K133,FIND(":",Sync!$K133)-1)),2)&amp;RIGHT("00"&amp;VALUE(MID(Sync!$K133,FIND(":",Sync!$K133)+1,2)),2),"0000")))&amp;"|"&amp;"2"&amp;RIGHT("00000"&amp;128,5))</f>
        <v/>
      </c>
      <c r="Q133" t="str">
        <f>IF(Sync!$J133="","",IF(ISNUMBER(Sync!$J133),IF(AND(Sync!$J133&gt;=10000101,Sync!$J133&lt;=99991231),INT(Sync!$J133/10000)&amp;"/"&amp;RIGHT("00"&amp;INT(MOD(Sync!$J133,10000)/100),2)&amp;"/"&amp;RIGHT("00"&amp;MOD(Sync!$J133,100),2),"نامعتبر"),IF(LEN(Sync!$J133)=10,Sync!$J133,"نامعتبر")))</f>
        <v/>
      </c>
      <c r="R133" t="str">
        <f t="shared" si="11"/>
        <v/>
      </c>
      <c r="S133" t="str">
        <f t="shared" si="12"/>
        <v/>
      </c>
      <c r="T133" t="str">
        <f>IF($N133="","",IF(Sync!$N133="",0,Sync!$N133))</f>
        <v/>
      </c>
      <c r="U133" t="str">
        <f>IF($N133="","",IF(Sync!$O133="",0,Sync!$O133))</f>
        <v/>
      </c>
      <c r="V133" t="str">
        <f>IF($N133="","",Sync!$L133)</f>
        <v/>
      </c>
      <c r="W133" t="str">
        <f>IF($N133="","",Sync!$P133)</f>
        <v/>
      </c>
      <c r="AA133" t="str">
        <f>IF($A133="","",IF(COUNTIF($A$6:$A133,$A133)=1,1,0))</f>
        <v/>
      </c>
      <c r="AB133">
        <f>SUM($AA$6:$AA133)</f>
        <v>3</v>
      </c>
      <c r="AC133" t="str">
        <f t="shared" si="13"/>
        <v/>
      </c>
    </row>
    <row r="134" spans="1:29" x14ac:dyDescent="0.2">
      <c r="A134" t="str">
        <f>IF(OR(Entry!$B137="",Entry!$E137="",$E134="نامعتبر"),"",Entry!$E137)</f>
        <v/>
      </c>
      <c r="B134" t="str">
        <f>IF($A134="","",LEFT($E134,4)&amp;MID($E134,6,2)&amp;RIGHT($E134,2)&amp;$F134&amp;"|"&amp;"1"&amp;RIGHT("00000"&amp;129,5))</f>
        <v/>
      </c>
      <c r="C134" t="str">
        <f t="shared" ref="C134:C197" si="14">IF($B134="","",COUNTIFS($A$6:$A$1005,$A134,$B$6:$B$1005,"&lt;"&amp;$B134)+COUNTIFS($N$6:$N$2005,$A134,$P$6:$P$2005,"&lt;"&amp;$B134)+1)</f>
        <v/>
      </c>
      <c r="D134" t="str">
        <f t="shared" ref="D134:D197" si="15">IF($C134="","",$A134&amp;"|"&amp;RIGHT("000000"&amp;$C134,6))</f>
        <v/>
      </c>
      <c r="E134" t="str">
        <f>IF(Entry!$B137="","",IF(ISNUMBER(Entry!$B137),IF(AND(Entry!$B137&gt;=10000101,Entry!$B137&lt;=99991231),INT(Entry!$B137/10000)&amp;"/"&amp;RIGHT("00"&amp;INT(MOD(Entry!$B137,10000)/100),2)&amp;"/"&amp;RIGHT("00"&amp;MOD(Entry!$B137,100),2),"نامعتبر"),IF(LEN(Entry!$B137)=10,Entry!$B137,"نامعتبر")))</f>
        <v/>
      </c>
      <c r="F134" t="str">
        <f>IF(Entry!$B137="","",IF(Entry!$C137="","0000",IF(AND(ISNUMBER(Entry!$C137),Entry!$C137&gt;=0,Entry!$C137&lt;1),RIGHT("00"&amp;HOUR(Entry!$C137),2)&amp;RIGHT("00"&amp;MINUTE(Entry!$C137),2),IFERROR(RIGHT("00"&amp;VALUE(LEFT(Entry!$C137,FIND(":",Entry!$C137)-1)),2)&amp;RIGHT("00"&amp;VALUE(MID(Entry!$C137,FIND(":",Entry!$C137)+1,2)),2),"0000"))))</f>
        <v/>
      </c>
      <c r="G134" t="str">
        <f>IF($A134="","",Entry!$G137)</f>
        <v/>
      </c>
      <c r="H134" t="str">
        <f>IF($A134="","",IF(Entry!$H137="",0,Entry!$H137))</f>
        <v/>
      </c>
      <c r="I134" t="str">
        <f>IF($A134="","",IF(Entry!$I137="",0,Entry!$I137))</f>
        <v/>
      </c>
      <c r="J134" t="str">
        <f t="shared" ref="J134:J197" si="16">IF($A134="","",ROUND($H134*$I134,0))</f>
        <v/>
      </c>
      <c r="K134" t="str">
        <f>IF($A134="","",Entry!$D137)</f>
        <v/>
      </c>
      <c r="L134" t="str">
        <f>IF($A134="","",Entry!$L137)</f>
        <v/>
      </c>
      <c r="N134" t="str">
        <f>IF(OR(Sync!$M134="",$Q134="",$Q134="نامعتبر"),"",Sync!$M134)</f>
        <v/>
      </c>
      <c r="O134" t="str">
        <f t="shared" ref="O134:O197" si="17">IF($N134="","",$Q134)</f>
        <v/>
      </c>
      <c r="P134" t="str">
        <f>IF($N134="","",LEFT($Q134,4)&amp;MID($Q134,6,2)&amp;RIGHT($Q134,2)&amp;IF(Sync!$K134="","0000",IF(AND(ISNUMBER(Sync!$K134),Sync!$K134&gt;=0,Sync!$K134&lt;1),RIGHT("00"&amp;HOUR(Sync!$K134),2)&amp;RIGHT("00"&amp;MINUTE(Sync!$K134),2),IFERROR(RIGHT("00"&amp;VALUE(LEFT(Sync!$K134,FIND(":",Sync!$K134)-1)),2)&amp;RIGHT("00"&amp;VALUE(MID(Sync!$K134,FIND(":",Sync!$K134)+1,2)),2),"0000")))&amp;"|"&amp;"2"&amp;RIGHT("00000"&amp;129,5))</f>
        <v/>
      </c>
      <c r="Q134" t="str">
        <f>IF(Sync!$J134="","",IF(ISNUMBER(Sync!$J134),IF(AND(Sync!$J134&gt;=10000101,Sync!$J134&lt;=99991231),INT(Sync!$J134/10000)&amp;"/"&amp;RIGHT("00"&amp;INT(MOD(Sync!$J134,10000)/100),2)&amp;"/"&amp;RIGHT("00"&amp;MOD(Sync!$J134,100),2),"نامعتبر"),IF(LEN(Sync!$J134)=10,Sync!$J134,"نامعتبر")))</f>
        <v/>
      </c>
      <c r="R134" t="str">
        <f t="shared" ref="R134:R197" si="18">IF($P134="","",COUNTIFS($N$6:$N$2005,$N134,$P$6:$P$2005,"&lt;"&amp;$P134)+COUNTIFS($A$6:$A$1005,$N134,$B$6:$B$1005,"&lt;"&amp;$P134)+1)</f>
        <v/>
      </c>
      <c r="S134" t="str">
        <f t="shared" ref="S134:S197" si="19">IF($N134="","",$N134&amp;"|"&amp;RIGHT("000000"&amp;$R134,6))</f>
        <v/>
      </c>
      <c r="T134" t="str">
        <f>IF($N134="","",IF(Sync!$N134="",0,Sync!$N134))</f>
        <v/>
      </c>
      <c r="U134" t="str">
        <f>IF($N134="","",IF(Sync!$O134="",0,Sync!$O134))</f>
        <v/>
      </c>
      <c r="V134" t="str">
        <f>IF($N134="","",Sync!$L134)</f>
        <v/>
      </c>
      <c r="W134" t="str">
        <f>IF($N134="","",Sync!$P134)</f>
        <v/>
      </c>
      <c r="AA134" t="str">
        <f>IF($A134="","",IF(COUNTIF($A$6:$A134,$A134)=1,1,0))</f>
        <v/>
      </c>
      <c r="AB134">
        <f>SUM($AA$6:$AA134)</f>
        <v>3</v>
      </c>
      <c r="AC134" t="str">
        <f t="shared" ref="AC134:AC197" si="20">IFERROR(INDEX($A$6:$A$1005,MATCH(ROW()-5,$AB$6:$AB$1005,0)),"")</f>
        <v/>
      </c>
    </row>
    <row r="135" spans="1:29" x14ac:dyDescent="0.2">
      <c r="A135" t="str">
        <f>IF(OR(Entry!$B138="",Entry!$E138="",$E135="نامعتبر"),"",Entry!$E138)</f>
        <v/>
      </c>
      <c r="B135" t="str">
        <f>IF($A135="","",LEFT($E135,4)&amp;MID($E135,6,2)&amp;RIGHT($E135,2)&amp;$F135&amp;"|"&amp;"1"&amp;RIGHT("00000"&amp;130,5))</f>
        <v/>
      </c>
      <c r="C135" t="str">
        <f t="shared" si="14"/>
        <v/>
      </c>
      <c r="D135" t="str">
        <f t="shared" si="15"/>
        <v/>
      </c>
      <c r="E135" t="str">
        <f>IF(Entry!$B138="","",IF(ISNUMBER(Entry!$B138),IF(AND(Entry!$B138&gt;=10000101,Entry!$B138&lt;=99991231),INT(Entry!$B138/10000)&amp;"/"&amp;RIGHT("00"&amp;INT(MOD(Entry!$B138,10000)/100),2)&amp;"/"&amp;RIGHT("00"&amp;MOD(Entry!$B138,100),2),"نامعتبر"),IF(LEN(Entry!$B138)=10,Entry!$B138,"نامعتبر")))</f>
        <v/>
      </c>
      <c r="F135" t="str">
        <f>IF(Entry!$B138="","",IF(Entry!$C138="","0000",IF(AND(ISNUMBER(Entry!$C138),Entry!$C138&gt;=0,Entry!$C138&lt;1),RIGHT("00"&amp;HOUR(Entry!$C138),2)&amp;RIGHT("00"&amp;MINUTE(Entry!$C138),2),IFERROR(RIGHT("00"&amp;VALUE(LEFT(Entry!$C138,FIND(":",Entry!$C138)-1)),2)&amp;RIGHT("00"&amp;VALUE(MID(Entry!$C138,FIND(":",Entry!$C138)+1,2)),2),"0000"))))</f>
        <v/>
      </c>
      <c r="G135" t="str">
        <f>IF($A135="","",Entry!$G138)</f>
        <v/>
      </c>
      <c r="H135" t="str">
        <f>IF($A135="","",IF(Entry!$H138="",0,Entry!$H138))</f>
        <v/>
      </c>
      <c r="I135" t="str">
        <f>IF($A135="","",IF(Entry!$I138="",0,Entry!$I138))</f>
        <v/>
      </c>
      <c r="J135" t="str">
        <f t="shared" si="16"/>
        <v/>
      </c>
      <c r="K135" t="str">
        <f>IF($A135="","",Entry!$D138)</f>
        <v/>
      </c>
      <c r="L135" t="str">
        <f>IF($A135="","",Entry!$L138)</f>
        <v/>
      </c>
      <c r="N135" t="str">
        <f>IF(OR(Sync!$M135="",$Q135="",$Q135="نامعتبر"),"",Sync!$M135)</f>
        <v/>
      </c>
      <c r="O135" t="str">
        <f t="shared" si="17"/>
        <v/>
      </c>
      <c r="P135" t="str">
        <f>IF($N135="","",LEFT($Q135,4)&amp;MID($Q135,6,2)&amp;RIGHT($Q135,2)&amp;IF(Sync!$K135="","0000",IF(AND(ISNUMBER(Sync!$K135),Sync!$K135&gt;=0,Sync!$K135&lt;1),RIGHT("00"&amp;HOUR(Sync!$K135),2)&amp;RIGHT("00"&amp;MINUTE(Sync!$K135),2),IFERROR(RIGHT("00"&amp;VALUE(LEFT(Sync!$K135,FIND(":",Sync!$K135)-1)),2)&amp;RIGHT("00"&amp;VALUE(MID(Sync!$K135,FIND(":",Sync!$K135)+1,2)),2),"0000")))&amp;"|"&amp;"2"&amp;RIGHT("00000"&amp;130,5))</f>
        <v/>
      </c>
      <c r="Q135" t="str">
        <f>IF(Sync!$J135="","",IF(ISNUMBER(Sync!$J135),IF(AND(Sync!$J135&gt;=10000101,Sync!$J135&lt;=99991231),INT(Sync!$J135/10000)&amp;"/"&amp;RIGHT("00"&amp;INT(MOD(Sync!$J135,10000)/100),2)&amp;"/"&amp;RIGHT("00"&amp;MOD(Sync!$J135,100),2),"نامعتبر"),IF(LEN(Sync!$J135)=10,Sync!$J135,"نامعتبر")))</f>
        <v/>
      </c>
      <c r="R135" t="str">
        <f t="shared" si="18"/>
        <v/>
      </c>
      <c r="S135" t="str">
        <f t="shared" si="19"/>
        <v/>
      </c>
      <c r="T135" t="str">
        <f>IF($N135="","",IF(Sync!$N135="",0,Sync!$N135))</f>
        <v/>
      </c>
      <c r="U135" t="str">
        <f>IF($N135="","",IF(Sync!$O135="",0,Sync!$O135))</f>
        <v/>
      </c>
      <c r="V135" t="str">
        <f>IF($N135="","",Sync!$L135)</f>
        <v/>
      </c>
      <c r="W135" t="str">
        <f>IF($N135="","",Sync!$P135)</f>
        <v/>
      </c>
      <c r="AA135" t="str">
        <f>IF($A135="","",IF(COUNTIF($A$6:$A135,$A135)=1,1,0))</f>
        <v/>
      </c>
      <c r="AB135">
        <f>SUM($AA$6:$AA135)</f>
        <v>3</v>
      </c>
      <c r="AC135" t="str">
        <f t="shared" si="20"/>
        <v/>
      </c>
    </row>
    <row r="136" spans="1:29" x14ac:dyDescent="0.2">
      <c r="A136" t="str">
        <f>IF(OR(Entry!$B139="",Entry!$E139="",$E136="نامعتبر"),"",Entry!$E139)</f>
        <v/>
      </c>
      <c r="B136" t="str">
        <f>IF($A136="","",LEFT($E136,4)&amp;MID($E136,6,2)&amp;RIGHT($E136,2)&amp;$F136&amp;"|"&amp;"1"&amp;RIGHT("00000"&amp;131,5))</f>
        <v/>
      </c>
      <c r="C136" t="str">
        <f t="shared" si="14"/>
        <v/>
      </c>
      <c r="D136" t="str">
        <f t="shared" si="15"/>
        <v/>
      </c>
      <c r="E136" t="str">
        <f>IF(Entry!$B139="","",IF(ISNUMBER(Entry!$B139),IF(AND(Entry!$B139&gt;=10000101,Entry!$B139&lt;=99991231),INT(Entry!$B139/10000)&amp;"/"&amp;RIGHT("00"&amp;INT(MOD(Entry!$B139,10000)/100),2)&amp;"/"&amp;RIGHT("00"&amp;MOD(Entry!$B139,100),2),"نامعتبر"),IF(LEN(Entry!$B139)=10,Entry!$B139,"نامعتبر")))</f>
        <v/>
      </c>
      <c r="F136" t="str">
        <f>IF(Entry!$B139="","",IF(Entry!$C139="","0000",IF(AND(ISNUMBER(Entry!$C139),Entry!$C139&gt;=0,Entry!$C139&lt;1),RIGHT("00"&amp;HOUR(Entry!$C139),2)&amp;RIGHT("00"&amp;MINUTE(Entry!$C139),2),IFERROR(RIGHT("00"&amp;VALUE(LEFT(Entry!$C139,FIND(":",Entry!$C139)-1)),2)&amp;RIGHT("00"&amp;VALUE(MID(Entry!$C139,FIND(":",Entry!$C139)+1,2)),2),"0000"))))</f>
        <v/>
      </c>
      <c r="G136" t="str">
        <f>IF($A136="","",Entry!$G139)</f>
        <v/>
      </c>
      <c r="H136" t="str">
        <f>IF($A136="","",IF(Entry!$H139="",0,Entry!$H139))</f>
        <v/>
      </c>
      <c r="I136" t="str">
        <f>IF($A136="","",IF(Entry!$I139="",0,Entry!$I139))</f>
        <v/>
      </c>
      <c r="J136" t="str">
        <f t="shared" si="16"/>
        <v/>
      </c>
      <c r="K136" t="str">
        <f>IF($A136="","",Entry!$D139)</f>
        <v/>
      </c>
      <c r="L136" t="str">
        <f>IF($A136="","",Entry!$L139)</f>
        <v/>
      </c>
      <c r="N136" t="str">
        <f>IF(OR(Sync!$M136="",$Q136="",$Q136="نامعتبر"),"",Sync!$M136)</f>
        <v/>
      </c>
      <c r="O136" t="str">
        <f t="shared" si="17"/>
        <v/>
      </c>
      <c r="P136" t="str">
        <f>IF($N136="","",LEFT($Q136,4)&amp;MID($Q136,6,2)&amp;RIGHT($Q136,2)&amp;IF(Sync!$K136="","0000",IF(AND(ISNUMBER(Sync!$K136),Sync!$K136&gt;=0,Sync!$K136&lt;1),RIGHT("00"&amp;HOUR(Sync!$K136),2)&amp;RIGHT("00"&amp;MINUTE(Sync!$K136),2),IFERROR(RIGHT("00"&amp;VALUE(LEFT(Sync!$K136,FIND(":",Sync!$K136)-1)),2)&amp;RIGHT("00"&amp;VALUE(MID(Sync!$K136,FIND(":",Sync!$K136)+1,2)),2),"0000")))&amp;"|"&amp;"2"&amp;RIGHT("00000"&amp;131,5))</f>
        <v/>
      </c>
      <c r="Q136" t="str">
        <f>IF(Sync!$J136="","",IF(ISNUMBER(Sync!$J136),IF(AND(Sync!$J136&gt;=10000101,Sync!$J136&lt;=99991231),INT(Sync!$J136/10000)&amp;"/"&amp;RIGHT("00"&amp;INT(MOD(Sync!$J136,10000)/100),2)&amp;"/"&amp;RIGHT("00"&amp;MOD(Sync!$J136,100),2),"نامعتبر"),IF(LEN(Sync!$J136)=10,Sync!$J136,"نامعتبر")))</f>
        <v/>
      </c>
      <c r="R136" t="str">
        <f t="shared" si="18"/>
        <v/>
      </c>
      <c r="S136" t="str">
        <f t="shared" si="19"/>
        <v/>
      </c>
      <c r="T136" t="str">
        <f>IF($N136="","",IF(Sync!$N136="",0,Sync!$N136))</f>
        <v/>
      </c>
      <c r="U136" t="str">
        <f>IF($N136="","",IF(Sync!$O136="",0,Sync!$O136))</f>
        <v/>
      </c>
      <c r="V136" t="str">
        <f>IF($N136="","",Sync!$L136)</f>
        <v/>
      </c>
      <c r="W136" t="str">
        <f>IF($N136="","",Sync!$P136)</f>
        <v/>
      </c>
      <c r="AA136" t="str">
        <f>IF($A136="","",IF(COUNTIF($A$6:$A136,$A136)=1,1,0))</f>
        <v/>
      </c>
      <c r="AB136">
        <f>SUM($AA$6:$AA136)</f>
        <v>3</v>
      </c>
      <c r="AC136" t="str">
        <f t="shared" si="20"/>
        <v/>
      </c>
    </row>
    <row r="137" spans="1:29" x14ac:dyDescent="0.2">
      <c r="A137" t="str">
        <f>IF(OR(Entry!$B140="",Entry!$E140="",$E137="نامعتبر"),"",Entry!$E140)</f>
        <v/>
      </c>
      <c r="B137" t="str">
        <f>IF($A137="","",LEFT($E137,4)&amp;MID($E137,6,2)&amp;RIGHT($E137,2)&amp;$F137&amp;"|"&amp;"1"&amp;RIGHT("00000"&amp;132,5))</f>
        <v/>
      </c>
      <c r="C137" t="str">
        <f t="shared" si="14"/>
        <v/>
      </c>
      <c r="D137" t="str">
        <f t="shared" si="15"/>
        <v/>
      </c>
      <c r="E137" t="str">
        <f>IF(Entry!$B140="","",IF(ISNUMBER(Entry!$B140),IF(AND(Entry!$B140&gt;=10000101,Entry!$B140&lt;=99991231),INT(Entry!$B140/10000)&amp;"/"&amp;RIGHT("00"&amp;INT(MOD(Entry!$B140,10000)/100),2)&amp;"/"&amp;RIGHT("00"&amp;MOD(Entry!$B140,100),2),"نامعتبر"),IF(LEN(Entry!$B140)=10,Entry!$B140,"نامعتبر")))</f>
        <v/>
      </c>
      <c r="F137" t="str">
        <f>IF(Entry!$B140="","",IF(Entry!$C140="","0000",IF(AND(ISNUMBER(Entry!$C140),Entry!$C140&gt;=0,Entry!$C140&lt;1),RIGHT("00"&amp;HOUR(Entry!$C140),2)&amp;RIGHT("00"&amp;MINUTE(Entry!$C140),2),IFERROR(RIGHT("00"&amp;VALUE(LEFT(Entry!$C140,FIND(":",Entry!$C140)-1)),2)&amp;RIGHT("00"&amp;VALUE(MID(Entry!$C140,FIND(":",Entry!$C140)+1,2)),2),"0000"))))</f>
        <v/>
      </c>
      <c r="G137" t="str">
        <f>IF($A137="","",Entry!$G140)</f>
        <v/>
      </c>
      <c r="H137" t="str">
        <f>IF($A137="","",IF(Entry!$H140="",0,Entry!$H140))</f>
        <v/>
      </c>
      <c r="I137" t="str">
        <f>IF($A137="","",IF(Entry!$I140="",0,Entry!$I140))</f>
        <v/>
      </c>
      <c r="J137" t="str">
        <f t="shared" si="16"/>
        <v/>
      </c>
      <c r="K137" t="str">
        <f>IF($A137="","",Entry!$D140)</f>
        <v/>
      </c>
      <c r="L137" t="str">
        <f>IF($A137="","",Entry!$L140)</f>
        <v/>
      </c>
      <c r="N137" t="str">
        <f>IF(OR(Sync!$M137="",$Q137="",$Q137="نامعتبر"),"",Sync!$M137)</f>
        <v/>
      </c>
      <c r="O137" t="str">
        <f t="shared" si="17"/>
        <v/>
      </c>
      <c r="P137" t="str">
        <f>IF($N137="","",LEFT($Q137,4)&amp;MID($Q137,6,2)&amp;RIGHT($Q137,2)&amp;IF(Sync!$K137="","0000",IF(AND(ISNUMBER(Sync!$K137),Sync!$K137&gt;=0,Sync!$K137&lt;1),RIGHT("00"&amp;HOUR(Sync!$K137),2)&amp;RIGHT("00"&amp;MINUTE(Sync!$K137),2),IFERROR(RIGHT("00"&amp;VALUE(LEFT(Sync!$K137,FIND(":",Sync!$K137)-1)),2)&amp;RIGHT("00"&amp;VALUE(MID(Sync!$K137,FIND(":",Sync!$K137)+1,2)),2),"0000")))&amp;"|"&amp;"2"&amp;RIGHT("00000"&amp;132,5))</f>
        <v/>
      </c>
      <c r="Q137" t="str">
        <f>IF(Sync!$J137="","",IF(ISNUMBER(Sync!$J137),IF(AND(Sync!$J137&gt;=10000101,Sync!$J137&lt;=99991231),INT(Sync!$J137/10000)&amp;"/"&amp;RIGHT("00"&amp;INT(MOD(Sync!$J137,10000)/100),2)&amp;"/"&amp;RIGHT("00"&amp;MOD(Sync!$J137,100),2),"نامعتبر"),IF(LEN(Sync!$J137)=10,Sync!$J137,"نامعتبر")))</f>
        <v/>
      </c>
      <c r="R137" t="str">
        <f t="shared" si="18"/>
        <v/>
      </c>
      <c r="S137" t="str">
        <f t="shared" si="19"/>
        <v/>
      </c>
      <c r="T137" t="str">
        <f>IF($N137="","",IF(Sync!$N137="",0,Sync!$N137))</f>
        <v/>
      </c>
      <c r="U137" t="str">
        <f>IF($N137="","",IF(Sync!$O137="",0,Sync!$O137))</f>
        <v/>
      </c>
      <c r="V137" t="str">
        <f>IF($N137="","",Sync!$L137)</f>
        <v/>
      </c>
      <c r="W137" t="str">
        <f>IF($N137="","",Sync!$P137)</f>
        <v/>
      </c>
      <c r="AA137" t="str">
        <f>IF($A137="","",IF(COUNTIF($A$6:$A137,$A137)=1,1,0))</f>
        <v/>
      </c>
      <c r="AB137">
        <f>SUM($AA$6:$AA137)</f>
        <v>3</v>
      </c>
      <c r="AC137" t="str">
        <f t="shared" si="20"/>
        <v/>
      </c>
    </row>
    <row r="138" spans="1:29" x14ac:dyDescent="0.2">
      <c r="A138" t="str">
        <f>IF(OR(Entry!$B141="",Entry!$E141="",$E138="نامعتبر"),"",Entry!$E141)</f>
        <v/>
      </c>
      <c r="B138" t="str">
        <f>IF($A138="","",LEFT($E138,4)&amp;MID($E138,6,2)&amp;RIGHT($E138,2)&amp;$F138&amp;"|"&amp;"1"&amp;RIGHT("00000"&amp;133,5))</f>
        <v/>
      </c>
      <c r="C138" t="str">
        <f t="shared" si="14"/>
        <v/>
      </c>
      <c r="D138" t="str">
        <f t="shared" si="15"/>
        <v/>
      </c>
      <c r="E138" t="str">
        <f>IF(Entry!$B141="","",IF(ISNUMBER(Entry!$B141),IF(AND(Entry!$B141&gt;=10000101,Entry!$B141&lt;=99991231),INT(Entry!$B141/10000)&amp;"/"&amp;RIGHT("00"&amp;INT(MOD(Entry!$B141,10000)/100),2)&amp;"/"&amp;RIGHT("00"&amp;MOD(Entry!$B141,100),2),"نامعتبر"),IF(LEN(Entry!$B141)=10,Entry!$B141,"نامعتبر")))</f>
        <v/>
      </c>
      <c r="F138" t="str">
        <f>IF(Entry!$B141="","",IF(Entry!$C141="","0000",IF(AND(ISNUMBER(Entry!$C141),Entry!$C141&gt;=0,Entry!$C141&lt;1),RIGHT("00"&amp;HOUR(Entry!$C141),2)&amp;RIGHT("00"&amp;MINUTE(Entry!$C141),2),IFERROR(RIGHT("00"&amp;VALUE(LEFT(Entry!$C141,FIND(":",Entry!$C141)-1)),2)&amp;RIGHT("00"&amp;VALUE(MID(Entry!$C141,FIND(":",Entry!$C141)+1,2)),2),"0000"))))</f>
        <v/>
      </c>
      <c r="G138" t="str">
        <f>IF($A138="","",Entry!$G141)</f>
        <v/>
      </c>
      <c r="H138" t="str">
        <f>IF($A138="","",IF(Entry!$H141="",0,Entry!$H141))</f>
        <v/>
      </c>
      <c r="I138" t="str">
        <f>IF($A138="","",IF(Entry!$I141="",0,Entry!$I141))</f>
        <v/>
      </c>
      <c r="J138" t="str">
        <f t="shared" si="16"/>
        <v/>
      </c>
      <c r="K138" t="str">
        <f>IF($A138="","",Entry!$D141)</f>
        <v/>
      </c>
      <c r="L138" t="str">
        <f>IF($A138="","",Entry!$L141)</f>
        <v/>
      </c>
      <c r="N138" t="str">
        <f>IF(OR(Sync!$M138="",$Q138="",$Q138="نامعتبر"),"",Sync!$M138)</f>
        <v/>
      </c>
      <c r="O138" t="str">
        <f t="shared" si="17"/>
        <v/>
      </c>
      <c r="P138" t="str">
        <f>IF($N138="","",LEFT($Q138,4)&amp;MID($Q138,6,2)&amp;RIGHT($Q138,2)&amp;IF(Sync!$K138="","0000",IF(AND(ISNUMBER(Sync!$K138),Sync!$K138&gt;=0,Sync!$K138&lt;1),RIGHT("00"&amp;HOUR(Sync!$K138),2)&amp;RIGHT("00"&amp;MINUTE(Sync!$K138),2),IFERROR(RIGHT("00"&amp;VALUE(LEFT(Sync!$K138,FIND(":",Sync!$K138)-1)),2)&amp;RIGHT("00"&amp;VALUE(MID(Sync!$K138,FIND(":",Sync!$K138)+1,2)),2),"0000")))&amp;"|"&amp;"2"&amp;RIGHT("00000"&amp;133,5))</f>
        <v/>
      </c>
      <c r="Q138" t="str">
        <f>IF(Sync!$J138="","",IF(ISNUMBER(Sync!$J138),IF(AND(Sync!$J138&gt;=10000101,Sync!$J138&lt;=99991231),INT(Sync!$J138/10000)&amp;"/"&amp;RIGHT("00"&amp;INT(MOD(Sync!$J138,10000)/100),2)&amp;"/"&amp;RIGHT("00"&amp;MOD(Sync!$J138,100),2),"نامعتبر"),IF(LEN(Sync!$J138)=10,Sync!$J138,"نامعتبر")))</f>
        <v/>
      </c>
      <c r="R138" t="str">
        <f t="shared" si="18"/>
        <v/>
      </c>
      <c r="S138" t="str">
        <f t="shared" si="19"/>
        <v/>
      </c>
      <c r="T138" t="str">
        <f>IF($N138="","",IF(Sync!$N138="",0,Sync!$N138))</f>
        <v/>
      </c>
      <c r="U138" t="str">
        <f>IF($N138="","",IF(Sync!$O138="",0,Sync!$O138))</f>
        <v/>
      </c>
      <c r="V138" t="str">
        <f>IF($N138="","",Sync!$L138)</f>
        <v/>
      </c>
      <c r="W138" t="str">
        <f>IF($N138="","",Sync!$P138)</f>
        <v/>
      </c>
      <c r="AA138" t="str">
        <f>IF($A138="","",IF(COUNTIF($A$6:$A138,$A138)=1,1,0))</f>
        <v/>
      </c>
      <c r="AB138">
        <f>SUM($AA$6:$AA138)</f>
        <v>3</v>
      </c>
      <c r="AC138" t="str">
        <f t="shared" si="20"/>
        <v/>
      </c>
    </row>
    <row r="139" spans="1:29" x14ac:dyDescent="0.2">
      <c r="A139" t="str">
        <f>IF(OR(Entry!$B142="",Entry!$E142="",$E139="نامعتبر"),"",Entry!$E142)</f>
        <v/>
      </c>
      <c r="B139" t="str">
        <f>IF($A139="","",LEFT($E139,4)&amp;MID($E139,6,2)&amp;RIGHT($E139,2)&amp;$F139&amp;"|"&amp;"1"&amp;RIGHT("00000"&amp;134,5))</f>
        <v/>
      </c>
      <c r="C139" t="str">
        <f t="shared" si="14"/>
        <v/>
      </c>
      <c r="D139" t="str">
        <f t="shared" si="15"/>
        <v/>
      </c>
      <c r="E139" t="str">
        <f>IF(Entry!$B142="","",IF(ISNUMBER(Entry!$B142),IF(AND(Entry!$B142&gt;=10000101,Entry!$B142&lt;=99991231),INT(Entry!$B142/10000)&amp;"/"&amp;RIGHT("00"&amp;INT(MOD(Entry!$B142,10000)/100),2)&amp;"/"&amp;RIGHT("00"&amp;MOD(Entry!$B142,100),2),"نامعتبر"),IF(LEN(Entry!$B142)=10,Entry!$B142,"نامعتبر")))</f>
        <v/>
      </c>
      <c r="F139" t="str">
        <f>IF(Entry!$B142="","",IF(Entry!$C142="","0000",IF(AND(ISNUMBER(Entry!$C142),Entry!$C142&gt;=0,Entry!$C142&lt;1),RIGHT("00"&amp;HOUR(Entry!$C142),2)&amp;RIGHT("00"&amp;MINUTE(Entry!$C142),2),IFERROR(RIGHT("00"&amp;VALUE(LEFT(Entry!$C142,FIND(":",Entry!$C142)-1)),2)&amp;RIGHT("00"&amp;VALUE(MID(Entry!$C142,FIND(":",Entry!$C142)+1,2)),2),"0000"))))</f>
        <v/>
      </c>
      <c r="G139" t="str">
        <f>IF($A139="","",Entry!$G142)</f>
        <v/>
      </c>
      <c r="H139" t="str">
        <f>IF($A139="","",IF(Entry!$H142="",0,Entry!$H142))</f>
        <v/>
      </c>
      <c r="I139" t="str">
        <f>IF($A139="","",IF(Entry!$I142="",0,Entry!$I142))</f>
        <v/>
      </c>
      <c r="J139" t="str">
        <f t="shared" si="16"/>
        <v/>
      </c>
      <c r="K139" t="str">
        <f>IF($A139="","",Entry!$D142)</f>
        <v/>
      </c>
      <c r="L139" t="str">
        <f>IF($A139="","",Entry!$L142)</f>
        <v/>
      </c>
      <c r="N139" t="str">
        <f>IF(OR(Sync!$M139="",$Q139="",$Q139="نامعتبر"),"",Sync!$M139)</f>
        <v/>
      </c>
      <c r="O139" t="str">
        <f t="shared" si="17"/>
        <v/>
      </c>
      <c r="P139" t="str">
        <f>IF($N139="","",LEFT($Q139,4)&amp;MID($Q139,6,2)&amp;RIGHT($Q139,2)&amp;IF(Sync!$K139="","0000",IF(AND(ISNUMBER(Sync!$K139),Sync!$K139&gt;=0,Sync!$K139&lt;1),RIGHT("00"&amp;HOUR(Sync!$K139),2)&amp;RIGHT("00"&amp;MINUTE(Sync!$K139),2),IFERROR(RIGHT("00"&amp;VALUE(LEFT(Sync!$K139,FIND(":",Sync!$K139)-1)),2)&amp;RIGHT("00"&amp;VALUE(MID(Sync!$K139,FIND(":",Sync!$K139)+1,2)),2),"0000")))&amp;"|"&amp;"2"&amp;RIGHT("00000"&amp;134,5))</f>
        <v/>
      </c>
      <c r="Q139" t="str">
        <f>IF(Sync!$J139="","",IF(ISNUMBER(Sync!$J139),IF(AND(Sync!$J139&gt;=10000101,Sync!$J139&lt;=99991231),INT(Sync!$J139/10000)&amp;"/"&amp;RIGHT("00"&amp;INT(MOD(Sync!$J139,10000)/100),2)&amp;"/"&amp;RIGHT("00"&amp;MOD(Sync!$J139,100),2),"نامعتبر"),IF(LEN(Sync!$J139)=10,Sync!$J139,"نامعتبر")))</f>
        <v/>
      </c>
      <c r="R139" t="str">
        <f t="shared" si="18"/>
        <v/>
      </c>
      <c r="S139" t="str">
        <f t="shared" si="19"/>
        <v/>
      </c>
      <c r="T139" t="str">
        <f>IF($N139="","",IF(Sync!$N139="",0,Sync!$N139))</f>
        <v/>
      </c>
      <c r="U139" t="str">
        <f>IF($N139="","",IF(Sync!$O139="",0,Sync!$O139))</f>
        <v/>
      </c>
      <c r="V139" t="str">
        <f>IF($N139="","",Sync!$L139)</f>
        <v/>
      </c>
      <c r="W139" t="str">
        <f>IF($N139="","",Sync!$P139)</f>
        <v/>
      </c>
      <c r="AA139" t="str">
        <f>IF($A139="","",IF(COUNTIF($A$6:$A139,$A139)=1,1,0))</f>
        <v/>
      </c>
      <c r="AB139">
        <f>SUM($AA$6:$AA139)</f>
        <v>3</v>
      </c>
      <c r="AC139" t="str">
        <f t="shared" si="20"/>
        <v/>
      </c>
    </row>
    <row r="140" spans="1:29" x14ac:dyDescent="0.2">
      <c r="A140" t="str">
        <f>IF(OR(Entry!$B143="",Entry!$E143="",$E140="نامعتبر"),"",Entry!$E143)</f>
        <v/>
      </c>
      <c r="B140" t="str">
        <f>IF($A140="","",LEFT($E140,4)&amp;MID($E140,6,2)&amp;RIGHT($E140,2)&amp;$F140&amp;"|"&amp;"1"&amp;RIGHT("00000"&amp;135,5))</f>
        <v/>
      </c>
      <c r="C140" t="str">
        <f t="shared" si="14"/>
        <v/>
      </c>
      <c r="D140" t="str">
        <f t="shared" si="15"/>
        <v/>
      </c>
      <c r="E140" t="str">
        <f>IF(Entry!$B143="","",IF(ISNUMBER(Entry!$B143),IF(AND(Entry!$B143&gt;=10000101,Entry!$B143&lt;=99991231),INT(Entry!$B143/10000)&amp;"/"&amp;RIGHT("00"&amp;INT(MOD(Entry!$B143,10000)/100),2)&amp;"/"&amp;RIGHT("00"&amp;MOD(Entry!$B143,100),2),"نامعتبر"),IF(LEN(Entry!$B143)=10,Entry!$B143,"نامعتبر")))</f>
        <v/>
      </c>
      <c r="F140" t="str">
        <f>IF(Entry!$B143="","",IF(Entry!$C143="","0000",IF(AND(ISNUMBER(Entry!$C143),Entry!$C143&gt;=0,Entry!$C143&lt;1),RIGHT("00"&amp;HOUR(Entry!$C143),2)&amp;RIGHT("00"&amp;MINUTE(Entry!$C143),2),IFERROR(RIGHT("00"&amp;VALUE(LEFT(Entry!$C143,FIND(":",Entry!$C143)-1)),2)&amp;RIGHT("00"&amp;VALUE(MID(Entry!$C143,FIND(":",Entry!$C143)+1,2)),2),"0000"))))</f>
        <v/>
      </c>
      <c r="G140" t="str">
        <f>IF($A140="","",Entry!$G143)</f>
        <v/>
      </c>
      <c r="H140" t="str">
        <f>IF($A140="","",IF(Entry!$H143="",0,Entry!$H143))</f>
        <v/>
      </c>
      <c r="I140" t="str">
        <f>IF($A140="","",IF(Entry!$I143="",0,Entry!$I143))</f>
        <v/>
      </c>
      <c r="J140" t="str">
        <f t="shared" si="16"/>
        <v/>
      </c>
      <c r="K140" t="str">
        <f>IF($A140="","",Entry!$D143)</f>
        <v/>
      </c>
      <c r="L140" t="str">
        <f>IF($A140="","",Entry!$L143)</f>
        <v/>
      </c>
      <c r="N140" t="str">
        <f>IF(OR(Sync!$M140="",$Q140="",$Q140="نامعتبر"),"",Sync!$M140)</f>
        <v/>
      </c>
      <c r="O140" t="str">
        <f t="shared" si="17"/>
        <v/>
      </c>
      <c r="P140" t="str">
        <f>IF($N140="","",LEFT($Q140,4)&amp;MID($Q140,6,2)&amp;RIGHT($Q140,2)&amp;IF(Sync!$K140="","0000",IF(AND(ISNUMBER(Sync!$K140),Sync!$K140&gt;=0,Sync!$K140&lt;1),RIGHT("00"&amp;HOUR(Sync!$K140),2)&amp;RIGHT("00"&amp;MINUTE(Sync!$K140),2),IFERROR(RIGHT("00"&amp;VALUE(LEFT(Sync!$K140,FIND(":",Sync!$K140)-1)),2)&amp;RIGHT("00"&amp;VALUE(MID(Sync!$K140,FIND(":",Sync!$K140)+1,2)),2),"0000")))&amp;"|"&amp;"2"&amp;RIGHT("00000"&amp;135,5))</f>
        <v/>
      </c>
      <c r="Q140" t="str">
        <f>IF(Sync!$J140="","",IF(ISNUMBER(Sync!$J140),IF(AND(Sync!$J140&gt;=10000101,Sync!$J140&lt;=99991231),INT(Sync!$J140/10000)&amp;"/"&amp;RIGHT("00"&amp;INT(MOD(Sync!$J140,10000)/100),2)&amp;"/"&amp;RIGHT("00"&amp;MOD(Sync!$J140,100),2),"نامعتبر"),IF(LEN(Sync!$J140)=10,Sync!$J140,"نامعتبر")))</f>
        <v/>
      </c>
      <c r="R140" t="str">
        <f t="shared" si="18"/>
        <v/>
      </c>
      <c r="S140" t="str">
        <f t="shared" si="19"/>
        <v/>
      </c>
      <c r="T140" t="str">
        <f>IF($N140="","",IF(Sync!$N140="",0,Sync!$N140))</f>
        <v/>
      </c>
      <c r="U140" t="str">
        <f>IF($N140="","",IF(Sync!$O140="",0,Sync!$O140))</f>
        <v/>
      </c>
      <c r="V140" t="str">
        <f>IF($N140="","",Sync!$L140)</f>
        <v/>
      </c>
      <c r="W140" t="str">
        <f>IF($N140="","",Sync!$P140)</f>
        <v/>
      </c>
      <c r="AA140" t="str">
        <f>IF($A140="","",IF(COUNTIF($A$6:$A140,$A140)=1,1,0))</f>
        <v/>
      </c>
      <c r="AB140">
        <f>SUM($AA$6:$AA140)</f>
        <v>3</v>
      </c>
      <c r="AC140" t="str">
        <f t="shared" si="20"/>
        <v/>
      </c>
    </row>
    <row r="141" spans="1:29" x14ac:dyDescent="0.2">
      <c r="A141" t="str">
        <f>IF(OR(Entry!$B144="",Entry!$E144="",$E141="نامعتبر"),"",Entry!$E144)</f>
        <v/>
      </c>
      <c r="B141" t="str">
        <f>IF($A141="","",LEFT($E141,4)&amp;MID($E141,6,2)&amp;RIGHT($E141,2)&amp;$F141&amp;"|"&amp;"1"&amp;RIGHT("00000"&amp;136,5))</f>
        <v/>
      </c>
      <c r="C141" t="str">
        <f t="shared" si="14"/>
        <v/>
      </c>
      <c r="D141" t="str">
        <f t="shared" si="15"/>
        <v/>
      </c>
      <c r="E141" t="str">
        <f>IF(Entry!$B144="","",IF(ISNUMBER(Entry!$B144),IF(AND(Entry!$B144&gt;=10000101,Entry!$B144&lt;=99991231),INT(Entry!$B144/10000)&amp;"/"&amp;RIGHT("00"&amp;INT(MOD(Entry!$B144,10000)/100),2)&amp;"/"&amp;RIGHT("00"&amp;MOD(Entry!$B144,100),2),"نامعتبر"),IF(LEN(Entry!$B144)=10,Entry!$B144,"نامعتبر")))</f>
        <v/>
      </c>
      <c r="F141" t="str">
        <f>IF(Entry!$B144="","",IF(Entry!$C144="","0000",IF(AND(ISNUMBER(Entry!$C144),Entry!$C144&gt;=0,Entry!$C144&lt;1),RIGHT("00"&amp;HOUR(Entry!$C144),2)&amp;RIGHT("00"&amp;MINUTE(Entry!$C144),2),IFERROR(RIGHT("00"&amp;VALUE(LEFT(Entry!$C144,FIND(":",Entry!$C144)-1)),2)&amp;RIGHT("00"&amp;VALUE(MID(Entry!$C144,FIND(":",Entry!$C144)+1,2)),2),"0000"))))</f>
        <v/>
      </c>
      <c r="G141" t="str">
        <f>IF($A141="","",Entry!$G144)</f>
        <v/>
      </c>
      <c r="H141" t="str">
        <f>IF($A141="","",IF(Entry!$H144="",0,Entry!$H144))</f>
        <v/>
      </c>
      <c r="I141" t="str">
        <f>IF($A141="","",IF(Entry!$I144="",0,Entry!$I144))</f>
        <v/>
      </c>
      <c r="J141" t="str">
        <f t="shared" si="16"/>
        <v/>
      </c>
      <c r="K141" t="str">
        <f>IF($A141="","",Entry!$D144)</f>
        <v/>
      </c>
      <c r="L141" t="str">
        <f>IF($A141="","",Entry!$L144)</f>
        <v/>
      </c>
      <c r="N141" t="str">
        <f>IF(OR(Sync!$M141="",$Q141="",$Q141="نامعتبر"),"",Sync!$M141)</f>
        <v/>
      </c>
      <c r="O141" t="str">
        <f t="shared" si="17"/>
        <v/>
      </c>
      <c r="P141" t="str">
        <f>IF($N141="","",LEFT($Q141,4)&amp;MID($Q141,6,2)&amp;RIGHT($Q141,2)&amp;IF(Sync!$K141="","0000",IF(AND(ISNUMBER(Sync!$K141),Sync!$K141&gt;=0,Sync!$K141&lt;1),RIGHT("00"&amp;HOUR(Sync!$K141),2)&amp;RIGHT("00"&amp;MINUTE(Sync!$K141),2),IFERROR(RIGHT("00"&amp;VALUE(LEFT(Sync!$K141,FIND(":",Sync!$K141)-1)),2)&amp;RIGHT("00"&amp;VALUE(MID(Sync!$K141,FIND(":",Sync!$K141)+1,2)),2),"0000")))&amp;"|"&amp;"2"&amp;RIGHT("00000"&amp;136,5))</f>
        <v/>
      </c>
      <c r="Q141" t="str">
        <f>IF(Sync!$J141="","",IF(ISNUMBER(Sync!$J141),IF(AND(Sync!$J141&gt;=10000101,Sync!$J141&lt;=99991231),INT(Sync!$J141/10000)&amp;"/"&amp;RIGHT("00"&amp;INT(MOD(Sync!$J141,10000)/100),2)&amp;"/"&amp;RIGHT("00"&amp;MOD(Sync!$J141,100),2),"نامعتبر"),IF(LEN(Sync!$J141)=10,Sync!$J141,"نامعتبر")))</f>
        <v/>
      </c>
      <c r="R141" t="str">
        <f t="shared" si="18"/>
        <v/>
      </c>
      <c r="S141" t="str">
        <f t="shared" si="19"/>
        <v/>
      </c>
      <c r="T141" t="str">
        <f>IF($N141="","",IF(Sync!$N141="",0,Sync!$N141))</f>
        <v/>
      </c>
      <c r="U141" t="str">
        <f>IF($N141="","",IF(Sync!$O141="",0,Sync!$O141))</f>
        <v/>
      </c>
      <c r="V141" t="str">
        <f>IF($N141="","",Sync!$L141)</f>
        <v/>
      </c>
      <c r="W141" t="str">
        <f>IF($N141="","",Sync!$P141)</f>
        <v/>
      </c>
      <c r="AA141" t="str">
        <f>IF($A141="","",IF(COUNTIF($A$6:$A141,$A141)=1,1,0))</f>
        <v/>
      </c>
      <c r="AB141">
        <f>SUM($AA$6:$AA141)</f>
        <v>3</v>
      </c>
      <c r="AC141" t="str">
        <f t="shared" si="20"/>
        <v/>
      </c>
    </row>
    <row r="142" spans="1:29" x14ac:dyDescent="0.2">
      <c r="A142" t="str">
        <f>IF(OR(Entry!$B145="",Entry!$E145="",$E142="نامعتبر"),"",Entry!$E145)</f>
        <v/>
      </c>
      <c r="B142" t="str">
        <f>IF($A142="","",LEFT($E142,4)&amp;MID($E142,6,2)&amp;RIGHT($E142,2)&amp;$F142&amp;"|"&amp;"1"&amp;RIGHT("00000"&amp;137,5))</f>
        <v/>
      </c>
      <c r="C142" t="str">
        <f t="shared" si="14"/>
        <v/>
      </c>
      <c r="D142" t="str">
        <f t="shared" si="15"/>
        <v/>
      </c>
      <c r="E142" t="str">
        <f>IF(Entry!$B145="","",IF(ISNUMBER(Entry!$B145),IF(AND(Entry!$B145&gt;=10000101,Entry!$B145&lt;=99991231),INT(Entry!$B145/10000)&amp;"/"&amp;RIGHT("00"&amp;INT(MOD(Entry!$B145,10000)/100),2)&amp;"/"&amp;RIGHT("00"&amp;MOD(Entry!$B145,100),2),"نامعتبر"),IF(LEN(Entry!$B145)=10,Entry!$B145,"نامعتبر")))</f>
        <v/>
      </c>
      <c r="F142" t="str">
        <f>IF(Entry!$B145="","",IF(Entry!$C145="","0000",IF(AND(ISNUMBER(Entry!$C145),Entry!$C145&gt;=0,Entry!$C145&lt;1),RIGHT("00"&amp;HOUR(Entry!$C145),2)&amp;RIGHT("00"&amp;MINUTE(Entry!$C145),2),IFERROR(RIGHT("00"&amp;VALUE(LEFT(Entry!$C145,FIND(":",Entry!$C145)-1)),2)&amp;RIGHT("00"&amp;VALUE(MID(Entry!$C145,FIND(":",Entry!$C145)+1,2)),2),"0000"))))</f>
        <v/>
      </c>
      <c r="G142" t="str">
        <f>IF($A142="","",Entry!$G145)</f>
        <v/>
      </c>
      <c r="H142" t="str">
        <f>IF($A142="","",IF(Entry!$H145="",0,Entry!$H145))</f>
        <v/>
      </c>
      <c r="I142" t="str">
        <f>IF($A142="","",IF(Entry!$I145="",0,Entry!$I145))</f>
        <v/>
      </c>
      <c r="J142" t="str">
        <f t="shared" si="16"/>
        <v/>
      </c>
      <c r="K142" t="str">
        <f>IF($A142="","",Entry!$D145)</f>
        <v/>
      </c>
      <c r="L142" t="str">
        <f>IF($A142="","",Entry!$L145)</f>
        <v/>
      </c>
      <c r="N142" t="str">
        <f>IF(OR(Sync!$M142="",$Q142="",$Q142="نامعتبر"),"",Sync!$M142)</f>
        <v/>
      </c>
      <c r="O142" t="str">
        <f t="shared" si="17"/>
        <v/>
      </c>
      <c r="P142" t="str">
        <f>IF($N142="","",LEFT($Q142,4)&amp;MID($Q142,6,2)&amp;RIGHT($Q142,2)&amp;IF(Sync!$K142="","0000",IF(AND(ISNUMBER(Sync!$K142),Sync!$K142&gt;=0,Sync!$K142&lt;1),RIGHT("00"&amp;HOUR(Sync!$K142),2)&amp;RIGHT("00"&amp;MINUTE(Sync!$K142),2),IFERROR(RIGHT("00"&amp;VALUE(LEFT(Sync!$K142,FIND(":",Sync!$K142)-1)),2)&amp;RIGHT("00"&amp;VALUE(MID(Sync!$K142,FIND(":",Sync!$K142)+1,2)),2),"0000")))&amp;"|"&amp;"2"&amp;RIGHT("00000"&amp;137,5))</f>
        <v/>
      </c>
      <c r="Q142" t="str">
        <f>IF(Sync!$J142="","",IF(ISNUMBER(Sync!$J142),IF(AND(Sync!$J142&gt;=10000101,Sync!$J142&lt;=99991231),INT(Sync!$J142/10000)&amp;"/"&amp;RIGHT("00"&amp;INT(MOD(Sync!$J142,10000)/100),2)&amp;"/"&amp;RIGHT("00"&amp;MOD(Sync!$J142,100),2),"نامعتبر"),IF(LEN(Sync!$J142)=10,Sync!$J142,"نامعتبر")))</f>
        <v/>
      </c>
      <c r="R142" t="str">
        <f t="shared" si="18"/>
        <v/>
      </c>
      <c r="S142" t="str">
        <f t="shared" si="19"/>
        <v/>
      </c>
      <c r="T142" t="str">
        <f>IF($N142="","",IF(Sync!$N142="",0,Sync!$N142))</f>
        <v/>
      </c>
      <c r="U142" t="str">
        <f>IF($N142="","",IF(Sync!$O142="",0,Sync!$O142))</f>
        <v/>
      </c>
      <c r="V142" t="str">
        <f>IF($N142="","",Sync!$L142)</f>
        <v/>
      </c>
      <c r="W142" t="str">
        <f>IF($N142="","",Sync!$P142)</f>
        <v/>
      </c>
      <c r="AA142" t="str">
        <f>IF($A142="","",IF(COUNTIF($A$6:$A142,$A142)=1,1,0))</f>
        <v/>
      </c>
      <c r="AB142">
        <f>SUM($AA$6:$AA142)</f>
        <v>3</v>
      </c>
      <c r="AC142" t="str">
        <f t="shared" si="20"/>
        <v/>
      </c>
    </row>
    <row r="143" spans="1:29" x14ac:dyDescent="0.2">
      <c r="A143" t="str">
        <f>IF(OR(Entry!$B146="",Entry!$E146="",$E143="نامعتبر"),"",Entry!$E146)</f>
        <v/>
      </c>
      <c r="B143" t="str">
        <f>IF($A143="","",LEFT($E143,4)&amp;MID($E143,6,2)&amp;RIGHT($E143,2)&amp;$F143&amp;"|"&amp;"1"&amp;RIGHT("00000"&amp;138,5))</f>
        <v/>
      </c>
      <c r="C143" t="str">
        <f t="shared" si="14"/>
        <v/>
      </c>
      <c r="D143" t="str">
        <f t="shared" si="15"/>
        <v/>
      </c>
      <c r="E143" t="str">
        <f>IF(Entry!$B146="","",IF(ISNUMBER(Entry!$B146),IF(AND(Entry!$B146&gt;=10000101,Entry!$B146&lt;=99991231),INT(Entry!$B146/10000)&amp;"/"&amp;RIGHT("00"&amp;INT(MOD(Entry!$B146,10000)/100),2)&amp;"/"&amp;RIGHT("00"&amp;MOD(Entry!$B146,100),2),"نامعتبر"),IF(LEN(Entry!$B146)=10,Entry!$B146,"نامعتبر")))</f>
        <v/>
      </c>
      <c r="F143" t="str">
        <f>IF(Entry!$B146="","",IF(Entry!$C146="","0000",IF(AND(ISNUMBER(Entry!$C146),Entry!$C146&gt;=0,Entry!$C146&lt;1),RIGHT("00"&amp;HOUR(Entry!$C146),2)&amp;RIGHT("00"&amp;MINUTE(Entry!$C146),2),IFERROR(RIGHT("00"&amp;VALUE(LEFT(Entry!$C146,FIND(":",Entry!$C146)-1)),2)&amp;RIGHT("00"&amp;VALUE(MID(Entry!$C146,FIND(":",Entry!$C146)+1,2)),2),"0000"))))</f>
        <v/>
      </c>
      <c r="G143" t="str">
        <f>IF($A143="","",Entry!$G146)</f>
        <v/>
      </c>
      <c r="H143" t="str">
        <f>IF($A143="","",IF(Entry!$H146="",0,Entry!$H146))</f>
        <v/>
      </c>
      <c r="I143" t="str">
        <f>IF($A143="","",IF(Entry!$I146="",0,Entry!$I146))</f>
        <v/>
      </c>
      <c r="J143" t="str">
        <f t="shared" si="16"/>
        <v/>
      </c>
      <c r="K143" t="str">
        <f>IF($A143="","",Entry!$D146)</f>
        <v/>
      </c>
      <c r="L143" t="str">
        <f>IF($A143="","",Entry!$L146)</f>
        <v/>
      </c>
      <c r="N143" t="str">
        <f>IF(OR(Sync!$M143="",$Q143="",$Q143="نامعتبر"),"",Sync!$M143)</f>
        <v/>
      </c>
      <c r="O143" t="str">
        <f t="shared" si="17"/>
        <v/>
      </c>
      <c r="P143" t="str">
        <f>IF($N143="","",LEFT($Q143,4)&amp;MID($Q143,6,2)&amp;RIGHT($Q143,2)&amp;IF(Sync!$K143="","0000",IF(AND(ISNUMBER(Sync!$K143),Sync!$K143&gt;=0,Sync!$K143&lt;1),RIGHT("00"&amp;HOUR(Sync!$K143),2)&amp;RIGHT("00"&amp;MINUTE(Sync!$K143),2),IFERROR(RIGHT("00"&amp;VALUE(LEFT(Sync!$K143,FIND(":",Sync!$K143)-1)),2)&amp;RIGHT("00"&amp;VALUE(MID(Sync!$K143,FIND(":",Sync!$K143)+1,2)),2),"0000")))&amp;"|"&amp;"2"&amp;RIGHT("00000"&amp;138,5))</f>
        <v/>
      </c>
      <c r="Q143" t="str">
        <f>IF(Sync!$J143="","",IF(ISNUMBER(Sync!$J143),IF(AND(Sync!$J143&gt;=10000101,Sync!$J143&lt;=99991231),INT(Sync!$J143/10000)&amp;"/"&amp;RIGHT("00"&amp;INT(MOD(Sync!$J143,10000)/100),2)&amp;"/"&amp;RIGHT("00"&amp;MOD(Sync!$J143,100),2),"نامعتبر"),IF(LEN(Sync!$J143)=10,Sync!$J143,"نامعتبر")))</f>
        <v/>
      </c>
      <c r="R143" t="str">
        <f t="shared" si="18"/>
        <v/>
      </c>
      <c r="S143" t="str">
        <f t="shared" si="19"/>
        <v/>
      </c>
      <c r="T143" t="str">
        <f>IF($N143="","",IF(Sync!$N143="",0,Sync!$N143))</f>
        <v/>
      </c>
      <c r="U143" t="str">
        <f>IF($N143="","",IF(Sync!$O143="",0,Sync!$O143))</f>
        <v/>
      </c>
      <c r="V143" t="str">
        <f>IF($N143="","",Sync!$L143)</f>
        <v/>
      </c>
      <c r="W143" t="str">
        <f>IF($N143="","",Sync!$P143)</f>
        <v/>
      </c>
      <c r="AA143" t="str">
        <f>IF($A143="","",IF(COUNTIF($A$6:$A143,$A143)=1,1,0))</f>
        <v/>
      </c>
      <c r="AB143">
        <f>SUM($AA$6:$AA143)</f>
        <v>3</v>
      </c>
      <c r="AC143" t="str">
        <f t="shared" si="20"/>
        <v/>
      </c>
    </row>
    <row r="144" spans="1:29" x14ac:dyDescent="0.2">
      <c r="A144" t="str">
        <f>IF(OR(Entry!$B147="",Entry!$E147="",$E144="نامعتبر"),"",Entry!$E147)</f>
        <v/>
      </c>
      <c r="B144" t="str">
        <f>IF($A144="","",LEFT($E144,4)&amp;MID($E144,6,2)&amp;RIGHT($E144,2)&amp;$F144&amp;"|"&amp;"1"&amp;RIGHT("00000"&amp;139,5))</f>
        <v/>
      </c>
      <c r="C144" t="str">
        <f t="shared" si="14"/>
        <v/>
      </c>
      <c r="D144" t="str">
        <f t="shared" si="15"/>
        <v/>
      </c>
      <c r="E144" t="str">
        <f>IF(Entry!$B147="","",IF(ISNUMBER(Entry!$B147),IF(AND(Entry!$B147&gt;=10000101,Entry!$B147&lt;=99991231),INT(Entry!$B147/10000)&amp;"/"&amp;RIGHT("00"&amp;INT(MOD(Entry!$B147,10000)/100),2)&amp;"/"&amp;RIGHT("00"&amp;MOD(Entry!$B147,100),2),"نامعتبر"),IF(LEN(Entry!$B147)=10,Entry!$B147,"نامعتبر")))</f>
        <v/>
      </c>
      <c r="F144" t="str">
        <f>IF(Entry!$B147="","",IF(Entry!$C147="","0000",IF(AND(ISNUMBER(Entry!$C147),Entry!$C147&gt;=0,Entry!$C147&lt;1),RIGHT("00"&amp;HOUR(Entry!$C147),2)&amp;RIGHT("00"&amp;MINUTE(Entry!$C147),2),IFERROR(RIGHT("00"&amp;VALUE(LEFT(Entry!$C147,FIND(":",Entry!$C147)-1)),2)&amp;RIGHT("00"&amp;VALUE(MID(Entry!$C147,FIND(":",Entry!$C147)+1,2)),2),"0000"))))</f>
        <v/>
      </c>
      <c r="G144" t="str">
        <f>IF($A144="","",Entry!$G147)</f>
        <v/>
      </c>
      <c r="H144" t="str">
        <f>IF($A144="","",IF(Entry!$H147="",0,Entry!$H147))</f>
        <v/>
      </c>
      <c r="I144" t="str">
        <f>IF($A144="","",IF(Entry!$I147="",0,Entry!$I147))</f>
        <v/>
      </c>
      <c r="J144" t="str">
        <f t="shared" si="16"/>
        <v/>
      </c>
      <c r="K144" t="str">
        <f>IF($A144="","",Entry!$D147)</f>
        <v/>
      </c>
      <c r="L144" t="str">
        <f>IF($A144="","",Entry!$L147)</f>
        <v/>
      </c>
      <c r="N144" t="str">
        <f>IF(OR(Sync!$M144="",$Q144="",$Q144="نامعتبر"),"",Sync!$M144)</f>
        <v/>
      </c>
      <c r="O144" t="str">
        <f t="shared" si="17"/>
        <v/>
      </c>
      <c r="P144" t="str">
        <f>IF($N144="","",LEFT($Q144,4)&amp;MID($Q144,6,2)&amp;RIGHT($Q144,2)&amp;IF(Sync!$K144="","0000",IF(AND(ISNUMBER(Sync!$K144),Sync!$K144&gt;=0,Sync!$K144&lt;1),RIGHT("00"&amp;HOUR(Sync!$K144),2)&amp;RIGHT("00"&amp;MINUTE(Sync!$K144),2),IFERROR(RIGHT("00"&amp;VALUE(LEFT(Sync!$K144,FIND(":",Sync!$K144)-1)),2)&amp;RIGHT("00"&amp;VALUE(MID(Sync!$K144,FIND(":",Sync!$K144)+1,2)),2),"0000")))&amp;"|"&amp;"2"&amp;RIGHT("00000"&amp;139,5))</f>
        <v/>
      </c>
      <c r="Q144" t="str">
        <f>IF(Sync!$J144="","",IF(ISNUMBER(Sync!$J144),IF(AND(Sync!$J144&gt;=10000101,Sync!$J144&lt;=99991231),INT(Sync!$J144/10000)&amp;"/"&amp;RIGHT("00"&amp;INT(MOD(Sync!$J144,10000)/100),2)&amp;"/"&amp;RIGHT("00"&amp;MOD(Sync!$J144,100),2),"نامعتبر"),IF(LEN(Sync!$J144)=10,Sync!$J144,"نامعتبر")))</f>
        <v/>
      </c>
      <c r="R144" t="str">
        <f t="shared" si="18"/>
        <v/>
      </c>
      <c r="S144" t="str">
        <f t="shared" si="19"/>
        <v/>
      </c>
      <c r="T144" t="str">
        <f>IF($N144="","",IF(Sync!$N144="",0,Sync!$N144))</f>
        <v/>
      </c>
      <c r="U144" t="str">
        <f>IF($N144="","",IF(Sync!$O144="",0,Sync!$O144))</f>
        <v/>
      </c>
      <c r="V144" t="str">
        <f>IF($N144="","",Sync!$L144)</f>
        <v/>
      </c>
      <c r="W144" t="str">
        <f>IF($N144="","",Sync!$P144)</f>
        <v/>
      </c>
      <c r="AA144" t="str">
        <f>IF($A144="","",IF(COUNTIF($A$6:$A144,$A144)=1,1,0))</f>
        <v/>
      </c>
      <c r="AB144">
        <f>SUM($AA$6:$AA144)</f>
        <v>3</v>
      </c>
      <c r="AC144" t="str">
        <f t="shared" si="20"/>
        <v/>
      </c>
    </row>
    <row r="145" spans="1:29" x14ac:dyDescent="0.2">
      <c r="A145" t="str">
        <f>IF(OR(Entry!$B148="",Entry!$E148="",$E145="نامعتبر"),"",Entry!$E148)</f>
        <v/>
      </c>
      <c r="B145" t="str">
        <f>IF($A145="","",LEFT($E145,4)&amp;MID($E145,6,2)&amp;RIGHT($E145,2)&amp;$F145&amp;"|"&amp;"1"&amp;RIGHT("00000"&amp;140,5))</f>
        <v/>
      </c>
      <c r="C145" t="str">
        <f t="shared" si="14"/>
        <v/>
      </c>
      <c r="D145" t="str">
        <f t="shared" si="15"/>
        <v/>
      </c>
      <c r="E145" t="str">
        <f>IF(Entry!$B148="","",IF(ISNUMBER(Entry!$B148),IF(AND(Entry!$B148&gt;=10000101,Entry!$B148&lt;=99991231),INT(Entry!$B148/10000)&amp;"/"&amp;RIGHT("00"&amp;INT(MOD(Entry!$B148,10000)/100),2)&amp;"/"&amp;RIGHT("00"&amp;MOD(Entry!$B148,100),2),"نامعتبر"),IF(LEN(Entry!$B148)=10,Entry!$B148,"نامعتبر")))</f>
        <v/>
      </c>
      <c r="F145" t="str">
        <f>IF(Entry!$B148="","",IF(Entry!$C148="","0000",IF(AND(ISNUMBER(Entry!$C148),Entry!$C148&gt;=0,Entry!$C148&lt;1),RIGHT("00"&amp;HOUR(Entry!$C148),2)&amp;RIGHT("00"&amp;MINUTE(Entry!$C148),2),IFERROR(RIGHT("00"&amp;VALUE(LEFT(Entry!$C148,FIND(":",Entry!$C148)-1)),2)&amp;RIGHT("00"&amp;VALUE(MID(Entry!$C148,FIND(":",Entry!$C148)+1,2)),2),"0000"))))</f>
        <v/>
      </c>
      <c r="G145" t="str">
        <f>IF($A145="","",Entry!$G148)</f>
        <v/>
      </c>
      <c r="H145" t="str">
        <f>IF($A145="","",IF(Entry!$H148="",0,Entry!$H148))</f>
        <v/>
      </c>
      <c r="I145" t="str">
        <f>IF($A145="","",IF(Entry!$I148="",0,Entry!$I148))</f>
        <v/>
      </c>
      <c r="J145" t="str">
        <f t="shared" si="16"/>
        <v/>
      </c>
      <c r="K145" t="str">
        <f>IF($A145="","",Entry!$D148)</f>
        <v/>
      </c>
      <c r="L145" t="str">
        <f>IF($A145="","",Entry!$L148)</f>
        <v/>
      </c>
      <c r="N145" t="str">
        <f>IF(OR(Sync!$M145="",$Q145="",$Q145="نامعتبر"),"",Sync!$M145)</f>
        <v/>
      </c>
      <c r="O145" t="str">
        <f t="shared" si="17"/>
        <v/>
      </c>
      <c r="P145" t="str">
        <f>IF($N145="","",LEFT($Q145,4)&amp;MID($Q145,6,2)&amp;RIGHT($Q145,2)&amp;IF(Sync!$K145="","0000",IF(AND(ISNUMBER(Sync!$K145),Sync!$K145&gt;=0,Sync!$K145&lt;1),RIGHT("00"&amp;HOUR(Sync!$K145),2)&amp;RIGHT("00"&amp;MINUTE(Sync!$K145),2),IFERROR(RIGHT("00"&amp;VALUE(LEFT(Sync!$K145,FIND(":",Sync!$K145)-1)),2)&amp;RIGHT("00"&amp;VALUE(MID(Sync!$K145,FIND(":",Sync!$K145)+1,2)),2),"0000")))&amp;"|"&amp;"2"&amp;RIGHT("00000"&amp;140,5))</f>
        <v/>
      </c>
      <c r="Q145" t="str">
        <f>IF(Sync!$J145="","",IF(ISNUMBER(Sync!$J145),IF(AND(Sync!$J145&gt;=10000101,Sync!$J145&lt;=99991231),INT(Sync!$J145/10000)&amp;"/"&amp;RIGHT("00"&amp;INT(MOD(Sync!$J145,10000)/100),2)&amp;"/"&amp;RIGHT("00"&amp;MOD(Sync!$J145,100),2),"نامعتبر"),IF(LEN(Sync!$J145)=10,Sync!$J145,"نامعتبر")))</f>
        <v/>
      </c>
      <c r="R145" t="str">
        <f t="shared" si="18"/>
        <v/>
      </c>
      <c r="S145" t="str">
        <f t="shared" si="19"/>
        <v/>
      </c>
      <c r="T145" t="str">
        <f>IF($N145="","",IF(Sync!$N145="",0,Sync!$N145))</f>
        <v/>
      </c>
      <c r="U145" t="str">
        <f>IF($N145="","",IF(Sync!$O145="",0,Sync!$O145))</f>
        <v/>
      </c>
      <c r="V145" t="str">
        <f>IF($N145="","",Sync!$L145)</f>
        <v/>
      </c>
      <c r="W145" t="str">
        <f>IF($N145="","",Sync!$P145)</f>
        <v/>
      </c>
      <c r="AA145" t="str">
        <f>IF($A145="","",IF(COUNTIF($A$6:$A145,$A145)=1,1,0))</f>
        <v/>
      </c>
      <c r="AB145">
        <f>SUM($AA$6:$AA145)</f>
        <v>3</v>
      </c>
      <c r="AC145" t="str">
        <f t="shared" si="20"/>
        <v/>
      </c>
    </row>
    <row r="146" spans="1:29" x14ac:dyDescent="0.2">
      <c r="A146" t="str">
        <f>IF(OR(Entry!$B149="",Entry!$E149="",$E146="نامعتبر"),"",Entry!$E149)</f>
        <v/>
      </c>
      <c r="B146" t="str">
        <f>IF($A146="","",LEFT($E146,4)&amp;MID($E146,6,2)&amp;RIGHT($E146,2)&amp;$F146&amp;"|"&amp;"1"&amp;RIGHT("00000"&amp;141,5))</f>
        <v/>
      </c>
      <c r="C146" t="str">
        <f t="shared" si="14"/>
        <v/>
      </c>
      <c r="D146" t="str">
        <f t="shared" si="15"/>
        <v/>
      </c>
      <c r="E146" t="str">
        <f>IF(Entry!$B149="","",IF(ISNUMBER(Entry!$B149),IF(AND(Entry!$B149&gt;=10000101,Entry!$B149&lt;=99991231),INT(Entry!$B149/10000)&amp;"/"&amp;RIGHT("00"&amp;INT(MOD(Entry!$B149,10000)/100),2)&amp;"/"&amp;RIGHT("00"&amp;MOD(Entry!$B149,100),2),"نامعتبر"),IF(LEN(Entry!$B149)=10,Entry!$B149,"نامعتبر")))</f>
        <v/>
      </c>
      <c r="F146" t="str">
        <f>IF(Entry!$B149="","",IF(Entry!$C149="","0000",IF(AND(ISNUMBER(Entry!$C149),Entry!$C149&gt;=0,Entry!$C149&lt;1),RIGHT("00"&amp;HOUR(Entry!$C149),2)&amp;RIGHT("00"&amp;MINUTE(Entry!$C149),2),IFERROR(RIGHT("00"&amp;VALUE(LEFT(Entry!$C149,FIND(":",Entry!$C149)-1)),2)&amp;RIGHT("00"&amp;VALUE(MID(Entry!$C149,FIND(":",Entry!$C149)+1,2)),2),"0000"))))</f>
        <v/>
      </c>
      <c r="G146" t="str">
        <f>IF($A146="","",Entry!$G149)</f>
        <v/>
      </c>
      <c r="H146" t="str">
        <f>IF($A146="","",IF(Entry!$H149="",0,Entry!$H149))</f>
        <v/>
      </c>
      <c r="I146" t="str">
        <f>IF($A146="","",IF(Entry!$I149="",0,Entry!$I149))</f>
        <v/>
      </c>
      <c r="J146" t="str">
        <f t="shared" si="16"/>
        <v/>
      </c>
      <c r="K146" t="str">
        <f>IF($A146="","",Entry!$D149)</f>
        <v/>
      </c>
      <c r="L146" t="str">
        <f>IF($A146="","",Entry!$L149)</f>
        <v/>
      </c>
      <c r="N146" t="str">
        <f>IF(OR(Sync!$M146="",$Q146="",$Q146="نامعتبر"),"",Sync!$M146)</f>
        <v/>
      </c>
      <c r="O146" t="str">
        <f t="shared" si="17"/>
        <v/>
      </c>
      <c r="P146" t="str">
        <f>IF($N146="","",LEFT($Q146,4)&amp;MID($Q146,6,2)&amp;RIGHT($Q146,2)&amp;IF(Sync!$K146="","0000",IF(AND(ISNUMBER(Sync!$K146),Sync!$K146&gt;=0,Sync!$K146&lt;1),RIGHT("00"&amp;HOUR(Sync!$K146),2)&amp;RIGHT("00"&amp;MINUTE(Sync!$K146),2),IFERROR(RIGHT("00"&amp;VALUE(LEFT(Sync!$K146,FIND(":",Sync!$K146)-1)),2)&amp;RIGHT("00"&amp;VALUE(MID(Sync!$K146,FIND(":",Sync!$K146)+1,2)),2),"0000")))&amp;"|"&amp;"2"&amp;RIGHT("00000"&amp;141,5))</f>
        <v/>
      </c>
      <c r="Q146" t="str">
        <f>IF(Sync!$J146="","",IF(ISNUMBER(Sync!$J146),IF(AND(Sync!$J146&gt;=10000101,Sync!$J146&lt;=99991231),INT(Sync!$J146/10000)&amp;"/"&amp;RIGHT("00"&amp;INT(MOD(Sync!$J146,10000)/100),2)&amp;"/"&amp;RIGHT("00"&amp;MOD(Sync!$J146,100),2),"نامعتبر"),IF(LEN(Sync!$J146)=10,Sync!$J146,"نامعتبر")))</f>
        <v/>
      </c>
      <c r="R146" t="str">
        <f t="shared" si="18"/>
        <v/>
      </c>
      <c r="S146" t="str">
        <f t="shared" si="19"/>
        <v/>
      </c>
      <c r="T146" t="str">
        <f>IF($N146="","",IF(Sync!$N146="",0,Sync!$N146))</f>
        <v/>
      </c>
      <c r="U146" t="str">
        <f>IF($N146="","",IF(Sync!$O146="",0,Sync!$O146))</f>
        <v/>
      </c>
      <c r="V146" t="str">
        <f>IF($N146="","",Sync!$L146)</f>
        <v/>
      </c>
      <c r="W146" t="str">
        <f>IF($N146="","",Sync!$P146)</f>
        <v/>
      </c>
      <c r="AA146" t="str">
        <f>IF($A146="","",IF(COUNTIF($A$6:$A146,$A146)=1,1,0))</f>
        <v/>
      </c>
      <c r="AB146">
        <f>SUM($AA$6:$AA146)</f>
        <v>3</v>
      </c>
      <c r="AC146" t="str">
        <f t="shared" si="20"/>
        <v/>
      </c>
    </row>
    <row r="147" spans="1:29" x14ac:dyDescent="0.2">
      <c r="A147" t="str">
        <f>IF(OR(Entry!$B150="",Entry!$E150="",$E147="نامعتبر"),"",Entry!$E150)</f>
        <v/>
      </c>
      <c r="B147" t="str">
        <f>IF($A147="","",LEFT($E147,4)&amp;MID($E147,6,2)&amp;RIGHT($E147,2)&amp;$F147&amp;"|"&amp;"1"&amp;RIGHT("00000"&amp;142,5))</f>
        <v/>
      </c>
      <c r="C147" t="str">
        <f t="shared" si="14"/>
        <v/>
      </c>
      <c r="D147" t="str">
        <f t="shared" si="15"/>
        <v/>
      </c>
      <c r="E147" t="str">
        <f>IF(Entry!$B150="","",IF(ISNUMBER(Entry!$B150),IF(AND(Entry!$B150&gt;=10000101,Entry!$B150&lt;=99991231),INT(Entry!$B150/10000)&amp;"/"&amp;RIGHT("00"&amp;INT(MOD(Entry!$B150,10000)/100),2)&amp;"/"&amp;RIGHT("00"&amp;MOD(Entry!$B150,100),2),"نامعتبر"),IF(LEN(Entry!$B150)=10,Entry!$B150,"نامعتبر")))</f>
        <v/>
      </c>
      <c r="F147" t="str">
        <f>IF(Entry!$B150="","",IF(Entry!$C150="","0000",IF(AND(ISNUMBER(Entry!$C150),Entry!$C150&gt;=0,Entry!$C150&lt;1),RIGHT("00"&amp;HOUR(Entry!$C150),2)&amp;RIGHT("00"&amp;MINUTE(Entry!$C150),2),IFERROR(RIGHT("00"&amp;VALUE(LEFT(Entry!$C150,FIND(":",Entry!$C150)-1)),2)&amp;RIGHT("00"&amp;VALUE(MID(Entry!$C150,FIND(":",Entry!$C150)+1,2)),2),"0000"))))</f>
        <v/>
      </c>
      <c r="G147" t="str">
        <f>IF($A147="","",Entry!$G150)</f>
        <v/>
      </c>
      <c r="H147" t="str">
        <f>IF($A147="","",IF(Entry!$H150="",0,Entry!$H150))</f>
        <v/>
      </c>
      <c r="I147" t="str">
        <f>IF($A147="","",IF(Entry!$I150="",0,Entry!$I150))</f>
        <v/>
      </c>
      <c r="J147" t="str">
        <f t="shared" si="16"/>
        <v/>
      </c>
      <c r="K147" t="str">
        <f>IF($A147="","",Entry!$D150)</f>
        <v/>
      </c>
      <c r="L147" t="str">
        <f>IF($A147="","",Entry!$L150)</f>
        <v/>
      </c>
      <c r="N147" t="str">
        <f>IF(OR(Sync!$M147="",$Q147="",$Q147="نامعتبر"),"",Sync!$M147)</f>
        <v/>
      </c>
      <c r="O147" t="str">
        <f t="shared" si="17"/>
        <v/>
      </c>
      <c r="P147" t="str">
        <f>IF($N147="","",LEFT($Q147,4)&amp;MID($Q147,6,2)&amp;RIGHT($Q147,2)&amp;IF(Sync!$K147="","0000",IF(AND(ISNUMBER(Sync!$K147),Sync!$K147&gt;=0,Sync!$K147&lt;1),RIGHT("00"&amp;HOUR(Sync!$K147),2)&amp;RIGHT("00"&amp;MINUTE(Sync!$K147),2),IFERROR(RIGHT("00"&amp;VALUE(LEFT(Sync!$K147,FIND(":",Sync!$K147)-1)),2)&amp;RIGHT("00"&amp;VALUE(MID(Sync!$K147,FIND(":",Sync!$K147)+1,2)),2),"0000")))&amp;"|"&amp;"2"&amp;RIGHT("00000"&amp;142,5))</f>
        <v/>
      </c>
      <c r="Q147" t="str">
        <f>IF(Sync!$J147="","",IF(ISNUMBER(Sync!$J147),IF(AND(Sync!$J147&gt;=10000101,Sync!$J147&lt;=99991231),INT(Sync!$J147/10000)&amp;"/"&amp;RIGHT("00"&amp;INT(MOD(Sync!$J147,10000)/100),2)&amp;"/"&amp;RIGHT("00"&amp;MOD(Sync!$J147,100),2),"نامعتبر"),IF(LEN(Sync!$J147)=10,Sync!$J147,"نامعتبر")))</f>
        <v/>
      </c>
      <c r="R147" t="str">
        <f t="shared" si="18"/>
        <v/>
      </c>
      <c r="S147" t="str">
        <f t="shared" si="19"/>
        <v/>
      </c>
      <c r="T147" t="str">
        <f>IF($N147="","",IF(Sync!$N147="",0,Sync!$N147))</f>
        <v/>
      </c>
      <c r="U147" t="str">
        <f>IF($N147="","",IF(Sync!$O147="",0,Sync!$O147))</f>
        <v/>
      </c>
      <c r="V147" t="str">
        <f>IF($N147="","",Sync!$L147)</f>
        <v/>
      </c>
      <c r="W147" t="str">
        <f>IF($N147="","",Sync!$P147)</f>
        <v/>
      </c>
      <c r="AA147" t="str">
        <f>IF($A147="","",IF(COUNTIF($A$6:$A147,$A147)=1,1,0))</f>
        <v/>
      </c>
      <c r="AB147">
        <f>SUM($AA$6:$AA147)</f>
        <v>3</v>
      </c>
      <c r="AC147" t="str">
        <f t="shared" si="20"/>
        <v/>
      </c>
    </row>
    <row r="148" spans="1:29" x14ac:dyDescent="0.2">
      <c r="A148" t="str">
        <f>IF(OR(Entry!$B151="",Entry!$E151="",$E148="نامعتبر"),"",Entry!$E151)</f>
        <v/>
      </c>
      <c r="B148" t="str">
        <f>IF($A148="","",LEFT($E148,4)&amp;MID($E148,6,2)&amp;RIGHT($E148,2)&amp;$F148&amp;"|"&amp;"1"&amp;RIGHT("00000"&amp;143,5))</f>
        <v/>
      </c>
      <c r="C148" t="str">
        <f t="shared" si="14"/>
        <v/>
      </c>
      <c r="D148" t="str">
        <f t="shared" si="15"/>
        <v/>
      </c>
      <c r="E148" t="str">
        <f>IF(Entry!$B151="","",IF(ISNUMBER(Entry!$B151),IF(AND(Entry!$B151&gt;=10000101,Entry!$B151&lt;=99991231),INT(Entry!$B151/10000)&amp;"/"&amp;RIGHT("00"&amp;INT(MOD(Entry!$B151,10000)/100),2)&amp;"/"&amp;RIGHT("00"&amp;MOD(Entry!$B151,100),2),"نامعتبر"),IF(LEN(Entry!$B151)=10,Entry!$B151,"نامعتبر")))</f>
        <v/>
      </c>
      <c r="F148" t="str">
        <f>IF(Entry!$B151="","",IF(Entry!$C151="","0000",IF(AND(ISNUMBER(Entry!$C151),Entry!$C151&gt;=0,Entry!$C151&lt;1),RIGHT("00"&amp;HOUR(Entry!$C151),2)&amp;RIGHT("00"&amp;MINUTE(Entry!$C151),2),IFERROR(RIGHT("00"&amp;VALUE(LEFT(Entry!$C151,FIND(":",Entry!$C151)-1)),2)&amp;RIGHT("00"&amp;VALUE(MID(Entry!$C151,FIND(":",Entry!$C151)+1,2)),2),"0000"))))</f>
        <v/>
      </c>
      <c r="G148" t="str">
        <f>IF($A148="","",Entry!$G151)</f>
        <v/>
      </c>
      <c r="H148" t="str">
        <f>IF($A148="","",IF(Entry!$H151="",0,Entry!$H151))</f>
        <v/>
      </c>
      <c r="I148" t="str">
        <f>IF($A148="","",IF(Entry!$I151="",0,Entry!$I151))</f>
        <v/>
      </c>
      <c r="J148" t="str">
        <f t="shared" si="16"/>
        <v/>
      </c>
      <c r="K148" t="str">
        <f>IF($A148="","",Entry!$D151)</f>
        <v/>
      </c>
      <c r="L148" t="str">
        <f>IF($A148="","",Entry!$L151)</f>
        <v/>
      </c>
      <c r="N148" t="str">
        <f>IF(OR(Sync!$M148="",$Q148="",$Q148="نامعتبر"),"",Sync!$M148)</f>
        <v/>
      </c>
      <c r="O148" t="str">
        <f t="shared" si="17"/>
        <v/>
      </c>
      <c r="P148" t="str">
        <f>IF($N148="","",LEFT($Q148,4)&amp;MID($Q148,6,2)&amp;RIGHT($Q148,2)&amp;IF(Sync!$K148="","0000",IF(AND(ISNUMBER(Sync!$K148),Sync!$K148&gt;=0,Sync!$K148&lt;1),RIGHT("00"&amp;HOUR(Sync!$K148),2)&amp;RIGHT("00"&amp;MINUTE(Sync!$K148),2),IFERROR(RIGHT("00"&amp;VALUE(LEFT(Sync!$K148,FIND(":",Sync!$K148)-1)),2)&amp;RIGHT("00"&amp;VALUE(MID(Sync!$K148,FIND(":",Sync!$K148)+1,2)),2),"0000")))&amp;"|"&amp;"2"&amp;RIGHT("00000"&amp;143,5))</f>
        <v/>
      </c>
      <c r="Q148" t="str">
        <f>IF(Sync!$J148="","",IF(ISNUMBER(Sync!$J148),IF(AND(Sync!$J148&gt;=10000101,Sync!$J148&lt;=99991231),INT(Sync!$J148/10000)&amp;"/"&amp;RIGHT("00"&amp;INT(MOD(Sync!$J148,10000)/100),2)&amp;"/"&amp;RIGHT("00"&amp;MOD(Sync!$J148,100),2),"نامعتبر"),IF(LEN(Sync!$J148)=10,Sync!$J148,"نامعتبر")))</f>
        <v/>
      </c>
      <c r="R148" t="str">
        <f t="shared" si="18"/>
        <v/>
      </c>
      <c r="S148" t="str">
        <f t="shared" si="19"/>
        <v/>
      </c>
      <c r="T148" t="str">
        <f>IF($N148="","",IF(Sync!$N148="",0,Sync!$N148))</f>
        <v/>
      </c>
      <c r="U148" t="str">
        <f>IF($N148="","",IF(Sync!$O148="",0,Sync!$O148))</f>
        <v/>
      </c>
      <c r="V148" t="str">
        <f>IF($N148="","",Sync!$L148)</f>
        <v/>
      </c>
      <c r="W148" t="str">
        <f>IF($N148="","",Sync!$P148)</f>
        <v/>
      </c>
      <c r="AA148" t="str">
        <f>IF($A148="","",IF(COUNTIF($A$6:$A148,$A148)=1,1,0))</f>
        <v/>
      </c>
      <c r="AB148">
        <f>SUM($AA$6:$AA148)</f>
        <v>3</v>
      </c>
      <c r="AC148" t="str">
        <f t="shared" si="20"/>
        <v/>
      </c>
    </row>
    <row r="149" spans="1:29" x14ac:dyDescent="0.2">
      <c r="A149" t="str">
        <f>IF(OR(Entry!$B152="",Entry!$E152="",$E149="نامعتبر"),"",Entry!$E152)</f>
        <v/>
      </c>
      <c r="B149" t="str">
        <f>IF($A149="","",LEFT($E149,4)&amp;MID($E149,6,2)&amp;RIGHT($E149,2)&amp;$F149&amp;"|"&amp;"1"&amp;RIGHT("00000"&amp;144,5))</f>
        <v/>
      </c>
      <c r="C149" t="str">
        <f t="shared" si="14"/>
        <v/>
      </c>
      <c r="D149" t="str">
        <f t="shared" si="15"/>
        <v/>
      </c>
      <c r="E149" t="str">
        <f>IF(Entry!$B152="","",IF(ISNUMBER(Entry!$B152),IF(AND(Entry!$B152&gt;=10000101,Entry!$B152&lt;=99991231),INT(Entry!$B152/10000)&amp;"/"&amp;RIGHT("00"&amp;INT(MOD(Entry!$B152,10000)/100),2)&amp;"/"&amp;RIGHT("00"&amp;MOD(Entry!$B152,100),2),"نامعتبر"),IF(LEN(Entry!$B152)=10,Entry!$B152,"نامعتبر")))</f>
        <v/>
      </c>
      <c r="F149" t="str">
        <f>IF(Entry!$B152="","",IF(Entry!$C152="","0000",IF(AND(ISNUMBER(Entry!$C152),Entry!$C152&gt;=0,Entry!$C152&lt;1),RIGHT("00"&amp;HOUR(Entry!$C152),2)&amp;RIGHT("00"&amp;MINUTE(Entry!$C152),2),IFERROR(RIGHT("00"&amp;VALUE(LEFT(Entry!$C152,FIND(":",Entry!$C152)-1)),2)&amp;RIGHT("00"&amp;VALUE(MID(Entry!$C152,FIND(":",Entry!$C152)+1,2)),2),"0000"))))</f>
        <v/>
      </c>
      <c r="G149" t="str">
        <f>IF($A149="","",Entry!$G152)</f>
        <v/>
      </c>
      <c r="H149" t="str">
        <f>IF($A149="","",IF(Entry!$H152="",0,Entry!$H152))</f>
        <v/>
      </c>
      <c r="I149" t="str">
        <f>IF($A149="","",IF(Entry!$I152="",0,Entry!$I152))</f>
        <v/>
      </c>
      <c r="J149" t="str">
        <f t="shared" si="16"/>
        <v/>
      </c>
      <c r="K149" t="str">
        <f>IF($A149="","",Entry!$D152)</f>
        <v/>
      </c>
      <c r="L149" t="str">
        <f>IF($A149="","",Entry!$L152)</f>
        <v/>
      </c>
      <c r="N149" t="str">
        <f>IF(OR(Sync!$M149="",$Q149="",$Q149="نامعتبر"),"",Sync!$M149)</f>
        <v/>
      </c>
      <c r="O149" t="str">
        <f t="shared" si="17"/>
        <v/>
      </c>
      <c r="P149" t="str">
        <f>IF($N149="","",LEFT($Q149,4)&amp;MID($Q149,6,2)&amp;RIGHT($Q149,2)&amp;IF(Sync!$K149="","0000",IF(AND(ISNUMBER(Sync!$K149),Sync!$K149&gt;=0,Sync!$K149&lt;1),RIGHT("00"&amp;HOUR(Sync!$K149),2)&amp;RIGHT("00"&amp;MINUTE(Sync!$K149),2),IFERROR(RIGHT("00"&amp;VALUE(LEFT(Sync!$K149,FIND(":",Sync!$K149)-1)),2)&amp;RIGHT("00"&amp;VALUE(MID(Sync!$K149,FIND(":",Sync!$K149)+1,2)),2),"0000")))&amp;"|"&amp;"2"&amp;RIGHT("00000"&amp;144,5))</f>
        <v/>
      </c>
      <c r="Q149" t="str">
        <f>IF(Sync!$J149="","",IF(ISNUMBER(Sync!$J149),IF(AND(Sync!$J149&gt;=10000101,Sync!$J149&lt;=99991231),INT(Sync!$J149/10000)&amp;"/"&amp;RIGHT("00"&amp;INT(MOD(Sync!$J149,10000)/100),2)&amp;"/"&amp;RIGHT("00"&amp;MOD(Sync!$J149,100),2),"نامعتبر"),IF(LEN(Sync!$J149)=10,Sync!$J149,"نامعتبر")))</f>
        <v/>
      </c>
      <c r="R149" t="str">
        <f t="shared" si="18"/>
        <v/>
      </c>
      <c r="S149" t="str">
        <f t="shared" si="19"/>
        <v/>
      </c>
      <c r="T149" t="str">
        <f>IF($N149="","",IF(Sync!$N149="",0,Sync!$N149))</f>
        <v/>
      </c>
      <c r="U149" t="str">
        <f>IF($N149="","",IF(Sync!$O149="",0,Sync!$O149))</f>
        <v/>
      </c>
      <c r="V149" t="str">
        <f>IF($N149="","",Sync!$L149)</f>
        <v/>
      </c>
      <c r="W149" t="str">
        <f>IF($N149="","",Sync!$P149)</f>
        <v/>
      </c>
      <c r="AA149" t="str">
        <f>IF($A149="","",IF(COUNTIF($A$6:$A149,$A149)=1,1,0))</f>
        <v/>
      </c>
      <c r="AB149">
        <f>SUM($AA$6:$AA149)</f>
        <v>3</v>
      </c>
      <c r="AC149" t="str">
        <f t="shared" si="20"/>
        <v/>
      </c>
    </row>
    <row r="150" spans="1:29" x14ac:dyDescent="0.2">
      <c r="A150" t="str">
        <f>IF(OR(Entry!$B153="",Entry!$E153="",$E150="نامعتبر"),"",Entry!$E153)</f>
        <v/>
      </c>
      <c r="B150" t="str">
        <f>IF($A150="","",LEFT($E150,4)&amp;MID($E150,6,2)&amp;RIGHT($E150,2)&amp;$F150&amp;"|"&amp;"1"&amp;RIGHT("00000"&amp;145,5))</f>
        <v/>
      </c>
      <c r="C150" t="str">
        <f t="shared" si="14"/>
        <v/>
      </c>
      <c r="D150" t="str">
        <f t="shared" si="15"/>
        <v/>
      </c>
      <c r="E150" t="str">
        <f>IF(Entry!$B153="","",IF(ISNUMBER(Entry!$B153),IF(AND(Entry!$B153&gt;=10000101,Entry!$B153&lt;=99991231),INT(Entry!$B153/10000)&amp;"/"&amp;RIGHT("00"&amp;INT(MOD(Entry!$B153,10000)/100),2)&amp;"/"&amp;RIGHT("00"&amp;MOD(Entry!$B153,100),2),"نامعتبر"),IF(LEN(Entry!$B153)=10,Entry!$B153,"نامعتبر")))</f>
        <v/>
      </c>
      <c r="F150" t="str">
        <f>IF(Entry!$B153="","",IF(Entry!$C153="","0000",IF(AND(ISNUMBER(Entry!$C153),Entry!$C153&gt;=0,Entry!$C153&lt;1),RIGHT("00"&amp;HOUR(Entry!$C153),2)&amp;RIGHT("00"&amp;MINUTE(Entry!$C153),2),IFERROR(RIGHT("00"&amp;VALUE(LEFT(Entry!$C153,FIND(":",Entry!$C153)-1)),2)&amp;RIGHT("00"&amp;VALUE(MID(Entry!$C153,FIND(":",Entry!$C153)+1,2)),2),"0000"))))</f>
        <v/>
      </c>
      <c r="G150" t="str">
        <f>IF($A150="","",Entry!$G153)</f>
        <v/>
      </c>
      <c r="H150" t="str">
        <f>IF($A150="","",IF(Entry!$H153="",0,Entry!$H153))</f>
        <v/>
      </c>
      <c r="I150" t="str">
        <f>IF($A150="","",IF(Entry!$I153="",0,Entry!$I153))</f>
        <v/>
      </c>
      <c r="J150" t="str">
        <f t="shared" si="16"/>
        <v/>
      </c>
      <c r="K150" t="str">
        <f>IF($A150="","",Entry!$D153)</f>
        <v/>
      </c>
      <c r="L150" t="str">
        <f>IF($A150="","",Entry!$L153)</f>
        <v/>
      </c>
      <c r="N150" t="str">
        <f>IF(OR(Sync!$M150="",$Q150="",$Q150="نامعتبر"),"",Sync!$M150)</f>
        <v/>
      </c>
      <c r="O150" t="str">
        <f t="shared" si="17"/>
        <v/>
      </c>
      <c r="P150" t="str">
        <f>IF($N150="","",LEFT($Q150,4)&amp;MID($Q150,6,2)&amp;RIGHT($Q150,2)&amp;IF(Sync!$K150="","0000",IF(AND(ISNUMBER(Sync!$K150),Sync!$K150&gt;=0,Sync!$K150&lt;1),RIGHT("00"&amp;HOUR(Sync!$K150),2)&amp;RIGHT("00"&amp;MINUTE(Sync!$K150),2),IFERROR(RIGHT("00"&amp;VALUE(LEFT(Sync!$K150,FIND(":",Sync!$K150)-1)),2)&amp;RIGHT("00"&amp;VALUE(MID(Sync!$K150,FIND(":",Sync!$K150)+1,2)),2),"0000")))&amp;"|"&amp;"2"&amp;RIGHT("00000"&amp;145,5))</f>
        <v/>
      </c>
      <c r="Q150" t="str">
        <f>IF(Sync!$J150="","",IF(ISNUMBER(Sync!$J150),IF(AND(Sync!$J150&gt;=10000101,Sync!$J150&lt;=99991231),INT(Sync!$J150/10000)&amp;"/"&amp;RIGHT("00"&amp;INT(MOD(Sync!$J150,10000)/100),2)&amp;"/"&amp;RIGHT("00"&amp;MOD(Sync!$J150,100),2),"نامعتبر"),IF(LEN(Sync!$J150)=10,Sync!$J150,"نامعتبر")))</f>
        <v/>
      </c>
      <c r="R150" t="str">
        <f t="shared" si="18"/>
        <v/>
      </c>
      <c r="S150" t="str">
        <f t="shared" si="19"/>
        <v/>
      </c>
      <c r="T150" t="str">
        <f>IF($N150="","",IF(Sync!$N150="",0,Sync!$N150))</f>
        <v/>
      </c>
      <c r="U150" t="str">
        <f>IF($N150="","",IF(Sync!$O150="",0,Sync!$O150))</f>
        <v/>
      </c>
      <c r="V150" t="str">
        <f>IF($N150="","",Sync!$L150)</f>
        <v/>
      </c>
      <c r="W150" t="str">
        <f>IF($N150="","",Sync!$P150)</f>
        <v/>
      </c>
      <c r="AA150" t="str">
        <f>IF($A150="","",IF(COUNTIF($A$6:$A150,$A150)=1,1,0))</f>
        <v/>
      </c>
      <c r="AB150">
        <f>SUM($AA$6:$AA150)</f>
        <v>3</v>
      </c>
      <c r="AC150" t="str">
        <f t="shared" si="20"/>
        <v/>
      </c>
    </row>
    <row r="151" spans="1:29" x14ac:dyDescent="0.2">
      <c r="A151" t="str">
        <f>IF(OR(Entry!$B154="",Entry!$E154="",$E151="نامعتبر"),"",Entry!$E154)</f>
        <v/>
      </c>
      <c r="B151" t="str">
        <f>IF($A151="","",LEFT($E151,4)&amp;MID($E151,6,2)&amp;RIGHT($E151,2)&amp;$F151&amp;"|"&amp;"1"&amp;RIGHT("00000"&amp;146,5))</f>
        <v/>
      </c>
      <c r="C151" t="str">
        <f t="shared" si="14"/>
        <v/>
      </c>
      <c r="D151" t="str">
        <f t="shared" si="15"/>
        <v/>
      </c>
      <c r="E151" t="str">
        <f>IF(Entry!$B154="","",IF(ISNUMBER(Entry!$B154),IF(AND(Entry!$B154&gt;=10000101,Entry!$B154&lt;=99991231),INT(Entry!$B154/10000)&amp;"/"&amp;RIGHT("00"&amp;INT(MOD(Entry!$B154,10000)/100),2)&amp;"/"&amp;RIGHT("00"&amp;MOD(Entry!$B154,100),2),"نامعتبر"),IF(LEN(Entry!$B154)=10,Entry!$B154,"نامعتبر")))</f>
        <v/>
      </c>
      <c r="F151" t="str">
        <f>IF(Entry!$B154="","",IF(Entry!$C154="","0000",IF(AND(ISNUMBER(Entry!$C154),Entry!$C154&gt;=0,Entry!$C154&lt;1),RIGHT("00"&amp;HOUR(Entry!$C154),2)&amp;RIGHT("00"&amp;MINUTE(Entry!$C154),2),IFERROR(RIGHT("00"&amp;VALUE(LEFT(Entry!$C154,FIND(":",Entry!$C154)-1)),2)&amp;RIGHT("00"&amp;VALUE(MID(Entry!$C154,FIND(":",Entry!$C154)+1,2)),2),"0000"))))</f>
        <v/>
      </c>
      <c r="G151" t="str">
        <f>IF($A151="","",Entry!$G154)</f>
        <v/>
      </c>
      <c r="H151" t="str">
        <f>IF($A151="","",IF(Entry!$H154="",0,Entry!$H154))</f>
        <v/>
      </c>
      <c r="I151" t="str">
        <f>IF($A151="","",IF(Entry!$I154="",0,Entry!$I154))</f>
        <v/>
      </c>
      <c r="J151" t="str">
        <f t="shared" si="16"/>
        <v/>
      </c>
      <c r="K151" t="str">
        <f>IF($A151="","",Entry!$D154)</f>
        <v/>
      </c>
      <c r="L151" t="str">
        <f>IF($A151="","",Entry!$L154)</f>
        <v/>
      </c>
      <c r="N151" t="str">
        <f>IF(OR(Sync!$M151="",$Q151="",$Q151="نامعتبر"),"",Sync!$M151)</f>
        <v/>
      </c>
      <c r="O151" t="str">
        <f t="shared" si="17"/>
        <v/>
      </c>
      <c r="P151" t="str">
        <f>IF($N151="","",LEFT($Q151,4)&amp;MID($Q151,6,2)&amp;RIGHT($Q151,2)&amp;IF(Sync!$K151="","0000",IF(AND(ISNUMBER(Sync!$K151),Sync!$K151&gt;=0,Sync!$K151&lt;1),RIGHT("00"&amp;HOUR(Sync!$K151),2)&amp;RIGHT("00"&amp;MINUTE(Sync!$K151),2),IFERROR(RIGHT("00"&amp;VALUE(LEFT(Sync!$K151,FIND(":",Sync!$K151)-1)),2)&amp;RIGHT("00"&amp;VALUE(MID(Sync!$K151,FIND(":",Sync!$K151)+1,2)),2),"0000")))&amp;"|"&amp;"2"&amp;RIGHT("00000"&amp;146,5))</f>
        <v/>
      </c>
      <c r="Q151" t="str">
        <f>IF(Sync!$J151="","",IF(ISNUMBER(Sync!$J151),IF(AND(Sync!$J151&gt;=10000101,Sync!$J151&lt;=99991231),INT(Sync!$J151/10000)&amp;"/"&amp;RIGHT("00"&amp;INT(MOD(Sync!$J151,10000)/100),2)&amp;"/"&amp;RIGHT("00"&amp;MOD(Sync!$J151,100),2),"نامعتبر"),IF(LEN(Sync!$J151)=10,Sync!$J151,"نامعتبر")))</f>
        <v/>
      </c>
      <c r="R151" t="str">
        <f t="shared" si="18"/>
        <v/>
      </c>
      <c r="S151" t="str">
        <f t="shared" si="19"/>
        <v/>
      </c>
      <c r="T151" t="str">
        <f>IF($N151="","",IF(Sync!$N151="",0,Sync!$N151))</f>
        <v/>
      </c>
      <c r="U151" t="str">
        <f>IF($N151="","",IF(Sync!$O151="",0,Sync!$O151))</f>
        <v/>
      </c>
      <c r="V151" t="str">
        <f>IF($N151="","",Sync!$L151)</f>
        <v/>
      </c>
      <c r="W151" t="str">
        <f>IF($N151="","",Sync!$P151)</f>
        <v/>
      </c>
      <c r="AA151" t="str">
        <f>IF($A151="","",IF(COUNTIF($A$6:$A151,$A151)=1,1,0))</f>
        <v/>
      </c>
      <c r="AB151">
        <f>SUM($AA$6:$AA151)</f>
        <v>3</v>
      </c>
      <c r="AC151" t="str">
        <f t="shared" si="20"/>
        <v/>
      </c>
    </row>
    <row r="152" spans="1:29" x14ac:dyDescent="0.2">
      <c r="A152" t="str">
        <f>IF(OR(Entry!$B155="",Entry!$E155="",$E152="نامعتبر"),"",Entry!$E155)</f>
        <v/>
      </c>
      <c r="B152" t="str">
        <f>IF($A152="","",LEFT($E152,4)&amp;MID($E152,6,2)&amp;RIGHT($E152,2)&amp;$F152&amp;"|"&amp;"1"&amp;RIGHT("00000"&amp;147,5))</f>
        <v/>
      </c>
      <c r="C152" t="str">
        <f t="shared" si="14"/>
        <v/>
      </c>
      <c r="D152" t="str">
        <f t="shared" si="15"/>
        <v/>
      </c>
      <c r="E152" t="str">
        <f>IF(Entry!$B155="","",IF(ISNUMBER(Entry!$B155),IF(AND(Entry!$B155&gt;=10000101,Entry!$B155&lt;=99991231),INT(Entry!$B155/10000)&amp;"/"&amp;RIGHT("00"&amp;INT(MOD(Entry!$B155,10000)/100),2)&amp;"/"&amp;RIGHT("00"&amp;MOD(Entry!$B155,100),2),"نامعتبر"),IF(LEN(Entry!$B155)=10,Entry!$B155,"نامعتبر")))</f>
        <v/>
      </c>
      <c r="F152" t="str">
        <f>IF(Entry!$B155="","",IF(Entry!$C155="","0000",IF(AND(ISNUMBER(Entry!$C155),Entry!$C155&gt;=0,Entry!$C155&lt;1),RIGHT("00"&amp;HOUR(Entry!$C155),2)&amp;RIGHT("00"&amp;MINUTE(Entry!$C155),2),IFERROR(RIGHT("00"&amp;VALUE(LEFT(Entry!$C155,FIND(":",Entry!$C155)-1)),2)&amp;RIGHT("00"&amp;VALUE(MID(Entry!$C155,FIND(":",Entry!$C155)+1,2)),2),"0000"))))</f>
        <v/>
      </c>
      <c r="G152" t="str">
        <f>IF($A152="","",Entry!$G155)</f>
        <v/>
      </c>
      <c r="H152" t="str">
        <f>IF($A152="","",IF(Entry!$H155="",0,Entry!$H155))</f>
        <v/>
      </c>
      <c r="I152" t="str">
        <f>IF($A152="","",IF(Entry!$I155="",0,Entry!$I155))</f>
        <v/>
      </c>
      <c r="J152" t="str">
        <f t="shared" si="16"/>
        <v/>
      </c>
      <c r="K152" t="str">
        <f>IF($A152="","",Entry!$D155)</f>
        <v/>
      </c>
      <c r="L152" t="str">
        <f>IF($A152="","",Entry!$L155)</f>
        <v/>
      </c>
      <c r="N152" t="str">
        <f>IF(OR(Sync!$M152="",$Q152="",$Q152="نامعتبر"),"",Sync!$M152)</f>
        <v/>
      </c>
      <c r="O152" t="str">
        <f t="shared" si="17"/>
        <v/>
      </c>
      <c r="P152" t="str">
        <f>IF($N152="","",LEFT($Q152,4)&amp;MID($Q152,6,2)&amp;RIGHT($Q152,2)&amp;IF(Sync!$K152="","0000",IF(AND(ISNUMBER(Sync!$K152),Sync!$K152&gt;=0,Sync!$K152&lt;1),RIGHT("00"&amp;HOUR(Sync!$K152),2)&amp;RIGHT("00"&amp;MINUTE(Sync!$K152),2),IFERROR(RIGHT("00"&amp;VALUE(LEFT(Sync!$K152,FIND(":",Sync!$K152)-1)),2)&amp;RIGHT("00"&amp;VALUE(MID(Sync!$K152,FIND(":",Sync!$K152)+1,2)),2),"0000")))&amp;"|"&amp;"2"&amp;RIGHT("00000"&amp;147,5))</f>
        <v/>
      </c>
      <c r="Q152" t="str">
        <f>IF(Sync!$J152="","",IF(ISNUMBER(Sync!$J152),IF(AND(Sync!$J152&gt;=10000101,Sync!$J152&lt;=99991231),INT(Sync!$J152/10000)&amp;"/"&amp;RIGHT("00"&amp;INT(MOD(Sync!$J152,10000)/100),2)&amp;"/"&amp;RIGHT("00"&amp;MOD(Sync!$J152,100),2),"نامعتبر"),IF(LEN(Sync!$J152)=10,Sync!$J152,"نامعتبر")))</f>
        <v/>
      </c>
      <c r="R152" t="str">
        <f t="shared" si="18"/>
        <v/>
      </c>
      <c r="S152" t="str">
        <f t="shared" si="19"/>
        <v/>
      </c>
      <c r="T152" t="str">
        <f>IF($N152="","",IF(Sync!$N152="",0,Sync!$N152))</f>
        <v/>
      </c>
      <c r="U152" t="str">
        <f>IF($N152="","",IF(Sync!$O152="",0,Sync!$O152))</f>
        <v/>
      </c>
      <c r="V152" t="str">
        <f>IF($N152="","",Sync!$L152)</f>
        <v/>
      </c>
      <c r="W152" t="str">
        <f>IF($N152="","",Sync!$P152)</f>
        <v/>
      </c>
      <c r="AA152" t="str">
        <f>IF($A152="","",IF(COUNTIF($A$6:$A152,$A152)=1,1,0))</f>
        <v/>
      </c>
      <c r="AB152">
        <f>SUM($AA$6:$AA152)</f>
        <v>3</v>
      </c>
      <c r="AC152" t="str">
        <f t="shared" si="20"/>
        <v/>
      </c>
    </row>
    <row r="153" spans="1:29" x14ac:dyDescent="0.2">
      <c r="A153" t="str">
        <f>IF(OR(Entry!$B156="",Entry!$E156="",$E153="نامعتبر"),"",Entry!$E156)</f>
        <v/>
      </c>
      <c r="B153" t="str">
        <f>IF($A153="","",LEFT($E153,4)&amp;MID($E153,6,2)&amp;RIGHT($E153,2)&amp;$F153&amp;"|"&amp;"1"&amp;RIGHT("00000"&amp;148,5))</f>
        <v/>
      </c>
      <c r="C153" t="str">
        <f t="shared" si="14"/>
        <v/>
      </c>
      <c r="D153" t="str">
        <f t="shared" si="15"/>
        <v/>
      </c>
      <c r="E153" t="str">
        <f>IF(Entry!$B156="","",IF(ISNUMBER(Entry!$B156),IF(AND(Entry!$B156&gt;=10000101,Entry!$B156&lt;=99991231),INT(Entry!$B156/10000)&amp;"/"&amp;RIGHT("00"&amp;INT(MOD(Entry!$B156,10000)/100),2)&amp;"/"&amp;RIGHT("00"&amp;MOD(Entry!$B156,100),2),"نامعتبر"),IF(LEN(Entry!$B156)=10,Entry!$B156,"نامعتبر")))</f>
        <v/>
      </c>
      <c r="F153" t="str">
        <f>IF(Entry!$B156="","",IF(Entry!$C156="","0000",IF(AND(ISNUMBER(Entry!$C156),Entry!$C156&gt;=0,Entry!$C156&lt;1),RIGHT("00"&amp;HOUR(Entry!$C156),2)&amp;RIGHT("00"&amp;MINUTE(Entry!$C156),2),IFERROR(RIGHT("00"&amp;VALUE(LEFT(Entry!$C156,FIND(":",Entry!$C156)-1)),2)&amp;RIGHT("00"&amp;VALUE(MID(Entry!$C156,FIND(":",Entry!$C156)+1,2)),2),"0000"))))</f>
        <v/>
      </c>
      <c r="G153" t="str">
        <f>IF($A153="","",Entry!$G156)</f>
        <v/>
      </c>
      <c r="H153" t="str">
        <f>IF($A153="","",IF(Entry!$H156="",0,Entry!$H156))</f>
        <v/>
      </c>
      <c r="I153" t="str">
        <f>IF($A153="","",IF(Entry!$I156="",0,Entry!$I156))</f>
        <v/>
      </c>
      <c r="J153" t="str">
        <f t="shared" si="16"/>
        <v/>
      </c>
      <c r="K153" t="str">
        <f>IF($A153="","",Entry!$D156)</f>
        <v/>
      </c>
      <c r="L153" t="str">
        <f>IF($A153="","",Entry!$L156)</f>
        <v/>
      </c>
      <c r="N153" t="str">
        <f>IF(OR(Sync!$M153="",$Q153="",$Q153="نامعتبر"),"",Sync!$M153)</f>
        <v/>
      </c>
      <c r="O153" t="str">
        <f t="shared" si="17"/>
        <v/>
      </c>
      <c r="P153" t="str">
        <f>IF($N153="","",LEFT($Q153,4)&amp;MID($Q153,6,2)&amp;RIGHT($Q153,2)&amp;IF(Sync!$K153="","0000",IF(AND(ISNUMBER(Sync!$K153),Sync!$K153&gt;=0,Sync!$K153&lt;1),RIGHT("00"&amp;HOUR(Sync!$K153),2)&amp;RIGHT("00"&amp;MINUTE(Sync!$K153),2),IFERROR(RIGHT("00"&amp;VALUE(LEFT(Sync!$K153,FIND(":",Sync!$K153)-1)),2)&amp;RIGHT("00"&amp;VALUE(MID(Sync!$K153,FIND(":",Sync!$K153)+1,2)),2),"0000")))&amp;"|"&amp;"2"&amp;RIGHT("00000"&amp;148,5))</f>
        <v/>
      </c>
      <c r="Q153" t="str">
        <f>IF(Sync!$J153="","",IF(ISNUMBER(Sync!$J153),IF(AND(Sync!$J153&gt;=10000101,Sync!$J153&lt;=99991231),INT(Sync!$J153/10000)&amp;"/"&amp;RIGHT("00"&amp;INT(MOD(Sync!$J153,10000)/100),2)&amp;"/"&amp;RIGHT("00"&amp;MOD(Sync!$J153,100),2),"نامعتبر"),IF(LEN(Sync!$J153)=10,Sync!$J153,"نامعتبر")))</f>
        <v/>
      </c>
      <c r="R153" t="str">
        <f t="shared" si="18"/>
        <v/>
      </c>
      <c r="S153" t="str">
        <f t="shared" si="19"/>
        <v/>
      </c>
      <c r="T153" t="str">
        <f>IF($N153="","",IF(Sync!$N153="",0,Sync!$N153))</f>
        <v/>
      </c>
      <c r="U153" t="str">
        <f>IF($N153="","",IF(Sync!$O153="",0,Sync!$O153))</f>
        <v/>
      </c>
      <c r="V153" t="str">
        <f>IF($N153="","",Sync!$L153)</f>
        <v/>
      </c>
      <c r="W153" t="str">
        <f>IF($N153="","",Sync!$P153)</f>
        <v/>
      </c>
      <c r="AA153" t="str">
        <f>IF($A153="","",IF(COUNTIF($A$6:$A153,$A153)=1,1,0))</f>
        <v/>
      </c>
      <c r="AB153">
        <f>SUM($AA$6:$AA153)</f>
        <v>3</v>
      </c>
      <c r="AC153" t="str">
        <f t="shared" si="20"/>
        <v/>
      </c>
    </row>
    <row r="154" spans="1:29" x14ac:dyDescent="0.2">
      <c r="A154" t="str">
        <f>IF(OR(Entry!$B157="",Entry!$E157="",$E154="نامعتبر"),"",Entry!$E157)</f>
        <v/>
      </c>
      <c r="B154" t="str">
        <f>IF($A154="","",LEFT($E154,4)&amp;MID($E154,6,2)&amp;RIGHT($E154,2)&amp;$F154&amp;"|"&amp;"1"&amp;RIGHT("00000"&amp;149,5))</f>
        <v/>
      </c>
      <c r="C154" t="str">
        <f t="shared" si="14"/>
        <v/>
      </c>
      <c r="D154" t="str">
        <f t="shared" si="15"/>
        <v/>
      </c>
      <c r="E154" t="str">
        <f>IF(Entry!$B157="","",IF(ISNUMBER(Entry!$B157),IF(AND(Entry!$B157&gt;=10000101,Entry!$B157&lt;=99991231),INT(Entry!$B157/10000)&amp;"/"&amp;RIGHT("00"&amp;INT(MOD(Entry!$B157,10000)/100),2)&amp;"/"&amp;RIGHT("00"&amp;MOD(Entry!$B157,100),2),"نامعتبر"),IF(LEN(Entry!$B157)=10,Entry!$B157,"نامعتبر")))</f>
        <v/>
      </c>
      <c r="F154" t="str">
        <f>IF(Entry!$B157="","",IF(Entry!$C157="","0000",IF(AND(ISNUMBER(Entry!$C157),Entry!$C157&gt;=0,Entry!$C157&lt;1),RIGHT("00"&amp;HOUR(Entry!$C157),2)&amp;RIGHT("00"&amp;MINUTE(Entry!$C157),2),IFERROR(RIGHT("00"&amp;VALUE(LEFT(Entry!$C157,FIND(":",Entry!$C157)-1)),2)&amp;RIGHT("00"&amp;VALUE(MID(Entry!$C157,FIND(":",Entry!$C157)+1,2)),2),"0000"))))</f>
        <v/>
      </c>
      <c r="G154" t="str">
        <f>IF($A154="","",Entry!$G157)</f>
        <v/>
      </c>
      <c r="H154" t="str">
        <f>IF($A154="","",IF(Entry!$H157="",0,Entry!$H157))</f>
        <v/>
      </c>
      <c r="I154" t="str">
        <f>IF($A154="","",IF(Entry!$I157="",0,Entry!$I157))</f>
        <v/>
      </c>
      <c r="J154" t="str">
        <f t="shared" si="16"/>
        <v/>
      </c>
      <c r="K154" t="str">
        <f>IF($A154="","",Entry!$D157)</f>
        <v/>
      </c>
      <c r="L154" t="str">
        <f>IF($A154="","",Entry!$L157)</f>
        <v/>
      </c>
      <c r="N154" t="str">
        <f>IF(OR(Sync!$M154="",$Q154="",$Q154="نامعتبر"),"",Sync!$M154)</f>
        <v/>
      </c>
      <c r="O154" t="str">
        <f t="shared" si="17"/>
        <v/>
      </c>
      <c r="P154" t="str">
        <f>IF($N154="","",LEFT($Q154,4)&amp;MID($Q154,6,2)&amp;RIGHT($Q154,2)&amp;IF(Sync!$K154="","0000",IF(AND(ISNUMBER(Sync!$K154),Sync!$K154&gt;=0,Sync!$K154&lt;1),RIGHT("00"&amp;HOUR(Sync!$K154),2)&amp;RIGHT("00"&amp;MINUTE(Sync!$K154),2),IFERROR(RIGHT("00"&amp;VALUE(LEFT(Sync!$K154,FIND(":",Sync!$K154)-1)),2)&amp;RIGHT("00"&amp;VALUE(MID(Sync!$K154,FIND(":",Sync!$K154)+1,2)),2),"0000")))&amp;"|"&amp;"2"&amp;RIGHT("00000"&amp;149,5))</f>
        <v/>
      </c>
      <c r="Q154" t="str">
        <f>IF(Sync!$J154="","",IF(ISNUMBER(Sync!$J154),IF(AND(Sync!$J154&gt;=10000101,Sync!$J154&lt;=99991231),INT(Sync!$J154/10000)&amp;"/"&amp;RIGHT("00"&amp;INT(MOD(Sync!$J154,10000)/100),2)&amp;"/"&amp;RIGHT("00"&amp;MOD(Sync!$J154,100),2),"نامعتبر"),IF(LEN(Sync!$J154)=10,Sync!$J154,"نامعتبر")))</f>
        <v/>
      </c>
      <c r="R154" t="str">
        <f t="shared" si="18"/>
        <v/>
      </c>
      <c r="S154" t="str">
        <f t="shared" si="19"/>
        <v/>
      </c>
      <c r="T154" t="str">
        <f>IF($N154="","",IF(Sync!$N154="",0,Sync!$N154))</f>
        <v/>
      </c>
      <c r="U154" t="str">
        <f>IF($N154="","",IF(Sync!$O154="",0,Sync!$O154))</f>
        <v/>
      </c>
      <c r="V154" t="str">
        <f>IF($N154="","",Sync!$L154)</f>
        <v/>
      </c>
      <c r="W154" t="str">
        <f>IF($N154="","",Sync!$P154)</f>
        <v/>
      </c>
      <c r="AA154" t="str">
        <f>IF($A154="","",IF(COUNTIF($A$6:$A154,$A154)=1,1,0))</f>
        <v/>
      </c>
      <c r="AB154">
        <f>SUM($AA$6:$AA154)</f>
        <v>3</v>
      </c>
      <c r="AC154" t="str">
        <f t="shared" si="20"/>
        <v/>
      </c>
    </row>
    <row r="155" spans="1:29" x14ac:dyDescent="0.2">
      <c r="A155" t="str">
        <f>IF(OR(Entry!$B158="",Entry!$E158="",$E155="نامعتبر"),"",Entry!$E158)</f>
        <v/>
      </c>
      <c r="B155" t="str">
        <f>IF($A155="","",LEFT($E155,4)&amp;MID($E155,6,2)&amp;RIGHT($E155,2)&amp;$F155&amp;"|"&amp;"1"&amp;RIGHT("00000"&amp;150,5))</f>
        <v/>
      </c>
      <c r="C155" t="str">
        <f t="shared" si="14"/>
        <v/>
      </c>
      <c r="D155" t="str">
        <f t="shared" si="15"/>
        <v/>
      </c>
      <c r="E155" t="str">
        <f>IF(Entry!$B158="","",IF(ISNUMBER(Entry!$B158),IF(AND(Entry!$B158&gt;=10000101,Entry!$B158&lt;=99991231),INT(Entry!$B158/10000)&amp;"/"&amp;RIGHT("00"&amp;INT(MOD(Entry!$B158,10000)/100),2)&amp;"/"&amp;RIGHT("00"&amp;MOD(Entry!$B158,100),2),"نامعتبر"),IF(LEN(Entry!$B158)=10,Entry!$B158,"نامعتبر")))</f>
        <v/>
      </c>
      <c r="F155" t="str">
        <f>IF(Entry!$B158="","",IF(Entry!$C158="","0000",IF(AND(ISNUMBER(Entry!$C158),Entry!$C158&gt;=0,Entry!$C158&lt;1),RIGHT("00"&amp;HOUR(Entry!$C158),2)&amp;RIGHT("00"&amp;MINUTE(Entry!$C158),2),IFERROR(RIGHT("00"&amp;VALUE(LEFT(Entry!$C158,FIND(":",Entry!$C158)-1)),2)&amp;RIGHT("00"&amp;VALUE(MID(Entry!$C158,FIND(":",Entry!$C158)+1,2)),2),"0000"))))</f>
        <v/>
      </c>
      <c r="G155" t="str">
        <f>IF($A155="","",Entry!$G158)</f>
        <v/>
      </c>
      <c r="H155" t="str">
        <f>IF($A155="","",IF(Entry!$H158="",0,Entry!$H158))</f>
        <v/>
      </c>
      <c r="I155" t="str">
        <f>IF($A155="","",IF(Entry!$I158="",0,Entry!$I158))</f>
        <v/>
      </c>
      <c r="J155" t="str">
        <f t="shared" si="16"/>
        <v/>
      </c>
      <c r="K155" t="str">
        <f>IF($A155="","",Entry!$D158)</f>
        <v/>
      </c>
      <c r="L155" t="str">
        <f>IF($A155="","",Entry!$L158)</f>
        <v/>
      </c>
      <c r="N155" t="str">
        <f>IF(OR(Sync!$M155="",$Q155="",$Q155="نامعتبر"),"",Sync!$M155)</f>
        <v/>
      </c>
      <c r="O155" t="str">
        <f t="shared" si="17"/>
        <v/>
      </c>
      <c r="P155" t="str">
        <f>IF($N155="","",LEFT($Q155,4)&amp;MID($Q155,6,2)&amp;RIGHT($Q155,2)&amp;IF(Sync!$K155="","0000",IF(AND(ISNUMBER(Sync!$K155),Sync!$K155&gt;=0,Sync!$K155&lt;1),RIGHT("00"&amp;HOUR(Sync!$K155),2)&amp;RIGHT("00"&amp;MINUTE(Sync!$K155),2),IFERROR(RIGHT("00"&amp;VALUE(LEFT(Sync!$K155,FIND(":",Sync!$K155)-1)),2)&amp;RIGHT("00"&amp;VALUE(MID(Sync!$K155,FIND(":",Sync!$K155)+1,2)),2),"0000")))&amp;"|"&amp;"2"&amp;RIGHT("00000"&amp;150,5))</f>
        <v/>
      </c>
      <c r="Q155" t="str">
        <f>IF(Sync!$J155="","",IF(ISNUMBER(Sync!$J155),IF(AND(Sync!$J155&gt;=10000101,Sync!$J155&lt;=99991231),INT(Sync!$J155/10000)&amp;"/"&amp;RIGHT("00"&amp;INT(MOD(Sync!$J155,10000)/100),2)&amp;"/"&amp;RIGHT("00"&amp;MOD(Sync!$J155,100),2),"نامعتبر"),IF(LEN(Sync!$J155)=10,Sync!$J155,"نامعتبر")))</f>
        <v/>
      </c>
      <c r="R155" t="str">
        <f t="shared" si="18"/>
        <v/>
      </c>
      <c r="S155" t="str">
        <f t="shared" si="19"/>
        <v/>
      </c>
      <c r="T155" t="str">
        <f>IF($N155="","",IF(Sync!$N155="",0,Sync!$N155))</f>
        <v/>
      </c>
      <c r="U155" t="str">
        <f>IF($N155="","",IF(Sync!$O155="",0,Sync!$O155))</f>
        <v/>
      </c>
      <c r="V155" t="str">
        <f>IF($N155="","",Sync!$L155)</f>
        <v/>
      </c>
      <c r="W155" t="str">
        <f>IF($N155="","",Sync!$P155)</f>
        <v/>
      </c>
      <c r="AA155" t="str">
        <f>IF($A155="","",IF(COUNTIF($A$6:$A155,$A155)=1,1,0))</f>
        <v/>
      </c>
      <c r="AB155">
        <f>SUM($AA$6:$AA155)</f>
        <v>3</v>
      </c>
      <c r="AC155" t="str">
        <f t="shared" si="20"/>
        <v/>
      </c>
    </row>
    <row r="156" spans="1:29" x14ac:dyDescent="0.2">
      <c r="A156" t="str">
        <f>IF(OR(Entry!$B159="",Entry!$E159="",$E156="نامعتبر"),"",Entry!$E159)</f>
        <v/>
      </c>
      <c r="B156" t="str">
        <f>IF($A156="","",LEFT($E156,4)&amp;MID($E156,6,2)&amp;RIGHT($E156,2)&amp;$F156&amp;"|"&amp;"1"&amp;RIGHT("00000"&amp;151,5))</f>
        <v/>
      </c>
      <c r="C156" t="str">
        <f t="shared" si="14"/>
        <v/>
      </c>
      <c r="D156" t="str">
        <f t="shared" si="15"/>
        <v/>
      </c>
      <c r="E156" t="str">
        <f>IF(Entry!$B159="","",IF(ISNUMBER(Entry!$B159),IF(AND(Entry!$B159&gt;=10000101,Entry!$B159&lt;=99991231),INT(Entry!$B159/10000)&amp;"/"&amp;RIGHT("00"&amp;INT(MOD(Entry!$B159,10000)/100),2)&amp;"/"&amp;RIGHT("00"&amp;MOD(Entry!$B159,100),2),"نامعتبر"),IF(LEN(Entry!$B159)=10,Entry!$B159,"نامعتبر")))</f>
        <v/>
      </c>
      <c r="F156" t="str">
        <f>IF(Entry!$B159="","",IF(Entry!$C159="","0000",IF(AND(ISNUMBER(Entry!$C159),Entry!$C159&gt;=0,Entry!$C159&lt;1),RIGHT("00"&amp;HOUR(Entry!$C159),2)&amp;RIGHT("00"&amp;MINUTE(Entry!$C159),2),IFERROR(RIGHT("00"&amp;VALUE(LEFT(Entry!$C159,FIND(":",Entry!$C159)-1)),2)&amp;RIGHT("00"&amp;VALUE(MID(Entry!$C159,FIND(":",Entry!$C159)+1,2)),2),"0000"))))</f>
        <v/>
      </c>
      <c r="G156" t="str">
        <f>IF($A156="","",Entry!$G159)</f>
        <v/>
      </c>
      <c r="H156" t="str">
        <f>IF($A156="","",IF(Entry!$H159="",0,Entry!$H159))</f>
        <v/>
      </c>
      <c r="I156" t="str">
        <f>IF($A156="","",IF(Entry!$I159="",0,Entry!$I159))</f>
        <v/>
      </c>
      <c r="J156" t="str">
        <f t="shared" si="16"/>
        <v/>
      </c>
      <c r="K156" t="str">
        <f>IF($A156="","",Entry!$D159)</f>
        <v/>
      </c>
      <c r="L156" t="str">
        <f>IF($A156="","",Entry!$L159)</f>
        <v/>
      </c>
      <c r="N156" t="str">
        <f>IF(OR(Sync!$M156="",$Q156="",$Q156="نامعتبر"),"",Sync!$M156)</f>
        <v/>
      </c>
      <c r="O156" t="str">
        <f t="shared" si="17"/>
        <v/>
      </c>
      <c r="P156" t="str">
        <f>IF($N156="","",LEFT($Q156,4)&amp;MID($Q156,6,2)&amp;RIGHT($Q156,2)&amp;IF(Sync!$K156="","0000",IF(AND(ISNUMBER(Sync!$K156),Sync!$K156&gt;=0,Sync!$K156&lt;1),RIGHT("00"&amp;HOUR(Sync!$K156),2)&amp;RIGHT("00"&amp;MINUTE(Sync!$K156),2),IFERROR(RIGHT("00"&amp;VALUE(LEFT(Sync!$K156,FIND(":",Sync!$K156)-1)),2)&amp;RIGHT("00"&amp;VALUE(MID(Sync!$K156,FIND(":",Sync!$K156)+1,2)),2),"0000")))&amp;"|"&amp;"2"&amp;RIGHT("00000"&amp;151,5))</f>
        <v/>
      </c>
      <c r="Q156" t="str">
        <f>IF(Sync!$J156="","",IF(ISNUMBER(Sync!$J156),IF(AND(Sync!$J156&gt;=10000101,Sync!$J156&lt;=99991231),INT(Sync!$J156/10000)&amp;"/"&amp;RIGHT("00"&amp;INT(MOD(Sync!$J156,10000)/100),2)&amp;"/"&amp;RIGHT("00"&amp;MOD(Sync!$J156,100),2),"نامعتبر"),IF(LEN(Sync!$J156)=10,Sync!$J156,"نامعتبر")))</f>
        <v/>
      </c>
      <c r="R156" t="str">
        <f t="shared" si="18"/>
        <v/>
      </c>
      <c r="S156" t="str">
        <f t="shared" si="19"/>
        <v/>
      </c>
      <c r="T156" t="str">
        <f>IF($N156="","",IF(Sync!$N156="",0,Sync!$N156))</f>
        <v/>
      </c>
      <c r="U156" t="str">
        <f>IF($N156="","",IF(Sync!$O156="",0,Sync!$O156))</f>
        <v/>
      </c>
      <c r="V156" t="str">
        <f>IF($N156="","",Sync!$L156)</f>
        <v/>
      </c>
      <c r="W156" t="str">
        <f>IF($N156="","",Sync!$P156)</f>
        <v/>
      </c>
      <c r="AA156" t="str">
        <f>IF($A156="","",IF(COUNTIF($A$6:$A156,$A156)=1,1,0))</f>
        <v/>
      </c>
      <c r="AB156">
        <f>SUM($AA$6:$AA156)</f>
        <v>3</v>
      </c>
      <c r="AC156" t="str">
        <f t="shared" si="20"/>
        <v/>
      </c>
    </row>
    <row r="157" spans="1:29" x14ac:dyDescent="0.2">
      <c r="A157" t="str">
        <f>IF(OR(Entry!$B160="",Entry!$E160="",$E157="نامعتبر"),"",Entry!$E160)</f>
        <v/>
      </c>
      <c r="B157" t="str">
        <f>IF($A157="","",LEFT($E157,4)&amp;MID($E157,6,2)&amp;RIGHT($E157,2)&amp;$F157&amp;"|"&amp;"1"&amp;RIGHT("00000"&amp;152,5))</f>
        <v/>
      </c>
      <c r="C157" t="str">
        <f t="shared" si="14"/>
        <v/>
      </c>
      <c r="D157" t="str">
        <f t="shared" si="15"/>
        <v/>
      </c>
      <c r="E157" t="str">
        <f>IF(Entry!$B160="","",IF(ISNUMBER(Entry!$B160),IF(AND(Entry!$B160&gt;=10000101,Entry!$B160&lt;=99991231),INT(Entry!$B160/10000)&amp;"/"&amp;RIGHT("00"&amp;INT(MOD(Entry!$B160,10000)/100),2)&amp;"/"&amp;RIGHT("00"&amp;MOD(Entry!$B160,100),2),"نامعتبر"),IF(LEN(Entry!$B160)=10,Entry!$B160,"نامعتبر")))</f>
        <v/>
      </c>
      <c r="F157" t="str">
        <f>IF(Entry!$B160="","",IF(Entry!$C160="","0000",IF(AND(ISNUMBER(Entry!$C160),Entry!$C160&gt;=0,Entry!$C160&lt;1),RIGHT("00"&amp;HOUR(Entry!$C160),2)&amp;RIGHT("00"&amp;MINUTE(Entry!$C160),2),IFERROR(RIGHT("00"&amp;VALUE(LEFT(Entry!$C160,FIND(":",Entry!$C160)-1)),2)&amp;RIGHT("00"&amp;VALUE(MID(Entry!$C160,FIND(":",Entry!$C160)+1,2)),2),"0000"))))</f>
        <v/>
      </c>
      <c r="G157" t="str">
        <f>IF($A157="","",Entry!$G160)</f>
        <v/>
      </c>
      <c r="H157" t="str">
        <f>IF($A157="","",IF(Entry!$H160="",0,Entry!$H160))</f>
        <v/>
      </c>
      <c r="I157" t="str">
        <f>IF($A157="","",IF(Entry!$I160="",0,Entry!$I160))</f>
        <v/>
      </c>
      <c r="J157" t="str">
        <f t="shared" si="16"/>
        <v/>
      </c>
      <c r="K157" t="str">
        <f>IF($A157="","",Entry!$D160)</f>
        <v/>
      </c>
      <c r="L157" t="str">
        <f>IF($A157="","",Entry!$L160)</f>
        <v/>
      </c>
      <c r="N157" t="str">
        <f>IF(OR(Sync!$M157="",$Q157="",$Q157="نامعتبر"),"",Sync!$M157)</f>
        <v/>
      </c>
      <c r="O157" t="str">
        <f t="shared" si="17"/>
        <v/>
      </c>
      <c r="P157" t="str">
        <f>IF($N157="","",LEFT($Q157,4)&amp;MID($Q157,6,2)&amp;RIGHT($Q157,2)&amp;IF(Sync!$K157="","0000",IF(AND(ISNUMBER(Sync!$K157),Sync!$K157&gt;=0,Sync!$K157&lt;1),RIGHT("00"&amp;HOUR(Sync!$K157),2)&amp;RIGHT("00"&amp;MINUTE(Sync!$K157),2),IFERROR(RIGHT("00"&amp;VALUE(LEFT(Sync!$K157,FIND(":",Sync!$K157)-1)),2)&amp;RIGHT("00"&amp;VALUE(MID(Sync!$K157,FIND(":",Sync!$K157)+1,2)),2),"0000")))&amp;"|"&amp;"2"&amp;RIGHT("00000"&amp;152,5))</f>
        <v/>
      </c>
      <c r="Q157" t="str">
        <f>IF(Sync!$J157="","",IF(ISNUMBER(Sync!$J157),IF(AND(Sync!$J157&gt;=10000101,Sync!$J157&lt;=99991231),INT(Sync!$J157/10000)&amp;"/"&amp;RIGHT("00"&amp;INT(MOD(Sync!$J157,10000)/100),2)&amp;"/"&amp;RIGHT("00"&amp;MOD(Sync!$J157,100),2),"نامعتبر"),IF(LEN(Sync!$J157)=10,Sync!$J157,"نامعتبر")))</f>
        <v/>
      </c>
      <c r="R157" t="str">
        <f t="shared" si="18"/>
        <v/>
      </c>
      <c r="S157" t="str">
        <f t="shared" si="19"/>
        <v/>
      </c>
      <c r="T157" t="str">
        <f>IF($N157="","",IF(Sync!$N157="",0,Sync!$N157))</f>
        <v/>
      </c>
      <c r="U157" t="str">
        <f>IF($N157="","",IF(Sync!$O157="",0,Sync!$O157))</f>
        <v/>
      </c>
      <c r="V157" t="str">
        <f>IF($N157="","",Sync!$L157)</f>
        <v/>
      </c>
      <c r="W157" t="str">
        <f>IF($N157="","",Sync!$P157)</f>
        <v/>
      </c>
      <c r="AA157" t="str">
        <f>IF($A157="","",IF(COUNTIF($A$6:$A157,$A157)=1,1,0))</f>
        <v/>
      </c>
      <c r="AB157">
        <f>SUM($AA$6:$AA157)</f>
        <v>3</v>
      </c>
      <c r="AC157" t="str">
        <f t="shared" si="20"/>
        <v/>
      </c>
    </row>
    <row r="158" spans="1:29" x14ac:dyDescent="0.2">
      <c r="A158" t="str">
        <f>IF(OR(Entry!$B161="",Entry!$E161="",$E158="نامعتبر"),"",Entry!$E161)</f>
        <v/>
      </c>
      <c r="B158" t="str">
        <f>IF($A158="","",LEFT($E158,4)&amp;MID($E158,6,2)&amp;RIGHT($E158,2)&amp;$F158&amp;"|"&amp;"1"&amp;RIGHT("00000"&amp;153,5))</f>
        <v/>
      </c>
      <c r="C158" t="str">
        <f t="shared" si="14"/>
        <v/>
      </c>
      <c r="D158" t="str">
        <f t="shared" si="15"/>
        <v/>
      </c>
      <c r="E158" t="str">
        <f>IF(Entry!$B161="","",IF(ISNUMBER(Entry!$B161),IF(AND(Entry!$B161&gt;=10000101,Entry!$B161&lt;=99991231),INT(Entry!$B161/10000)&amp;"/"&amp;RIGHT("00"&amp;INT(MOD(Entry!$B161,10000)/100),2)&amp;"/"&amp;RIGHT("00"&amp;MOD(Entry!$B161,100),2),"نامعتبر"),IF(LEN(Entry!$B161)=10,Entry!$B161,"نامعتبر")))</f>
        <v/>
      </c>
      <c r="F158" t="str">
        <f>IF(Entry!$B161="","",IF(Entry!$C161="","0000",IF(AND(ISNUMBER(Entry!$C161),Entry!$C161&gt;=0,Entry!$C161&lt;1),RIGHT("00"&amp;HOUR(Entry!$C161),2)&amp;RIGHT("00"&amp;MINUTE(Entry!$C161),2),IFERROR(RIGHT("00"&amp;VALUE(LEFT(Entry!$C161,FIND(":",Entry!$C161)-1)),2)&amp;RIGHT("00"&amp;VALUE(MID(Entry!$C161,FIND(":",Entry!$C161)+1,2)),2),"0000"))))</f>
        <v/>
      </c>
      <c r="G158" t="str">
        <f>IF($A158="","",Entry!$G161)</f>
        <v/>
      </c>
      <c r="H158" t="str">
        <f>IF($A158="","",IF(Entry!$H161="",0,Entry!$H161))</f>
        <v/>
      </c>
      <c r="I158" t="str">
        <f>IF($A158="","",IF(Entry!$I161="",0,Entry!$I161))</f>
        <v/>
      </c>
      <c r="J158" t="str">
        <f t="shared" si="16"/>
        <v/>
      </c>
      <c r="K158" t="str">
        <f>IF($A158="","",Entry!$D161)</f>
        <v/>
      </c>
      <c r="L158" t="str">
        <f>IF($A158="","",Entry!$L161)</f>
        <v/>
      </c>
      <c r="N158" t="str">
        <f>IF(OR(Sync!$M158="",$Q158="",$Q158="نامعتبر"),"",Sync!$M158)</f>
        <v/>
      </c>
      <c r="O158" t="str">
        <f t="shared" si="17"/>
        <v/>
      </c>
      <c r="P158" t="str">
        <f>IF($N158="","",LEFT($Q158,4)&amp;MID($Q158,6,2)&amp;RIGHT($Q158,2)&amp;IF(Sync!$K158="","0000",IF(AND(ISNUMBER(Sync!$K158),Sync!$K158&gt;=0,Sync!$K158&lt;1),RIGHT("00"&amp;HOUR(Sync!$K158),2)&amp;RIGHT("00"&amp;MINUTE(Sync!$K158),2),IFERROR(RIGHT("00"&amp;VALUE(LEFT(Sync!$K158,FIND(":",Sync!$K158)-1)),2)&amp;RIGHT("00"&amp;VALUE(MID(Sync!$K158,FIND(":",Sync!$K158)+1,2)),2),"0000")))&amp;"|"&amp;"2"&amp;RIGHT("00000"&amp;153,5))</f>
        <v/>
      </c>
      <c r="Q158" t="str">
        <f>IF(Sync!$J158="","",IF(ISNUMBER(Sync!$J158),IF(AND(Sync!$J158&gt;=10000101,Sync!$J158&lt;=99991231),INT(Sync!$J158/10000)&amp;"/"&amp;RIGHT("00"&amp;INT(MOD(Sync!$J158,10000)/100),2)&amp;"/"&amp;RIGHT("00"&amp;MOD(Sync!$J158,100),2),"نامعتبر"),IF(LEN(Sync!$J158)=10,Sync!$J158,"نامعتبر")))</f>
        <v/>
      </c>
      <c r="R158" t="str">
        <f t="shared" si="18"/>
        <v/>
      </c>
      <c r="S158" t="str">
        <f t="shared" si="19"/>
        <v/>
      </c>
      <c r="T158" t="str">
        <f>IF($N158="","",IF(Sync!$N158="",0,Sync!$N158))</f>
        <v/>
      </c>
      <c r="U158" t="str">
        <f>IF($N158="","",IF(Sync!$O158="",0,Sync!$O158))</f>
        <v/>
      </c>
      <c r="V158" t="str">
        <f>IF($N158="","",Sync!$L158)</f>
        <v/>
      </c>
      <c r="W158" t="str">
        <f>IF($N158="","",Sync!$P158)</f>
        <v/>
      </c>
      <c r="AA158" t="str">
        <f>IF($A158="","",IF(COUNTIF($A$6:$A158,$A158)=1,1,0))</f>
        <v/>
      </c>
      <c r="AB158">
        <f>SUM($AA$6:$AA158)</f>
        <v>3</v>
      </c>
      <c r="AC158" t="str">
        <f t="shared" si="20"/>
        <v/>
      </c>
    </row>
    <row r="159" spans="1:29" x14ac:dyDescent="0.2">
      <c r="A159" t="str">
        <f>IF(OR(Entry!$B162="",Entry!$E162="",$E159="نامعتبر"),"",Entry!$E162)</f>
        <v/>
      </c>
      <c r="B159" t="str">
        <f>IF($A159="","",LEFT($E159,4)&amp;MID($E159,6,2)&amp;RIGHT($E159,2)&amp;$F159&amp;"|"&amp;"1"&amp;RIGHT("00000"&amp;154,5))</f>
        <v/>
      </c>
      <c r="C159" t="str">
        <f t="shared" si="14"/>
        <v/>
      </c>
      <c r="D159" t="str">
        <f t="shared" si="15"/>
        <v/>
      </c>
      <c r="E159" t="str">
        <f>IF(Entry!$B162="","",IF(ISNUMBER(Entry!$B162),IF(AND(Entry!$B162&gt;=10000101,Entry!$B162&lt;=99991231),INT(Entry!$B162/10000)&amp;"/"&amp;RIGHT("00"&amp;INT(MOD(Entry!$B162,10000)/100),2)&amp;"/"&amp;RIGHT("00"&amp;MOD(Entry!$B162,100),2),"نامعتبر"),IF(LEN(Entry!$B162)=10,Entry!$B162,"نامعتبر")))</f>
        <v/>
      </c>
      <c r="F159" t="str">
        <f>IF(Entry!$B162="","",IF(Entry!$C162="","0000",IF(AND(ISNUMBER(Entry!$C162),Entry!$C162&gt;=0,Entry!$C162&lt;1),RIGHT("00"&amp;HOUR(Entry!$C162),2)&amp;RIGHT("00"&amp;MINUTE(Entry!$C162),2),IFERROR(RIGHT("00"&amp;VALUE(LEFT(Entry!$C162,FIND(":",Entry!$C162)-1)),2)&amp;RIGHT("00"&amp;VALUE(MID(Entry!$C162,FIND(":",Entry!$C162)+1,2)),2),"0000"))))</f>
        <v/>
      </c>
      <c r="G159" t="str">
        <f>IF($A159="","",Entry!$G162)</f>
        <v/>
      </c>
      <c r="H159" t="str">
        <f>IF($A159="","",IF(Entry!$H162="",0,Entry!$H162))</f>
        <v/>
      </c>
      <c r="I159" t="str">
        <f>IF($A159="","",IF(Entry!$I162="",0,Entry!$I162))</f>
        <v/>
      </c>
      <c r="J159" t="str">
        <f t="shared" si="16"/>
        <v/>
      </c>
      <c r="K159" t="str">
        <f>IF($A159="","",Entry!$D162)</f>
        <v/>
      </c>
      <c r="L159" t="str">
        <f>IF($A159="","",Entry!$L162)</f>
        <v/>
      </c>
      <c r="N159" t="str">
        <f>IF(OR(Sync!$M159="",$Q159="",$Q159="نامعتبر"),"",Sync!$M159)</f>
        <v/>
      </c>
      <c r="O159" t="str">
        <f t="shared" si="17"/>
        <v/>
      </c>
      <c r="P159" t="str">
        <f>IF($N159="","",LEFT($Q159,4)&amp;MID($Q159,6,2)&amp;RIGHT($Q159,2)&amp;IF(Sync!$K159="","0000",IF(AND(ISNUMBER(Sync!$K159),Sync!$K159&gt;=0,Sync!$K159&lt;1),RIGHT("00"&amp;HOUR(Sync!$K159),2)&amp;RIGHT("00"&amp;MINUTE(Sync!$K159),2),IFERROR(RIGHT("00"&amp;VALUE(LEFT(Sync!$K159,FIND(":",Sync!$K159)-1)),2)&amp;RIGHT("00"&amp;VALUE(MID(Sync!$K159,FIND(":",Sync!$K159)+1,2)),2),"0000")))&amp;"|"&amp;"2"&amp;RIGHT("00000"&amp;154,5))</f>
        <v/>
      </c>
      <c r="Q159" t="str">
        <f>IF(Sync!$J159="","",IF(ISNUMBER(Sync!$J159),IF(AND(Sync!$J159&gt;=10000101,Sync!$J159&lt;=99991231),INT(Sync!$J159/10000)&amp;"/"&amp;RIGHT("00"&amp;INT(MOD(Sync!$J159,10000)/100),2)&amp;"/"&amp;RIGHT("00"&amp;MOD(Sync!$J159,100),2),"نامعتبر"),IF(LEN(Sync!$J159)=10,Sync!$J159,"نامعتبر")))</f>
        <v/>
      </c>
      <c r="R159" t="str">
        <f t="shared" si="18"/>
        <v/>
      </c>
      <c r="S159" t="str">
        <f t="shared" si="19"/>
        <v/>
      </c>
      <c r="T159" t="str">
        <f>IF($N159="","",IF(Sync!$N159="",0,Sync!$N159))</f>
        <v/>
      </c>
      <c r="U159" t="str">
        <f>IF($N159="","",IF(Sync!$O159="",0,Sync!$O159))</f>
        <v/>
      </c>
      <c r="V159" t="str">
        <f>IF($N159="","",Sync!$L159)</f>
        <v/>
      </c>
      <c r="W159" t="str">
        <f>IF($N159="","",Sync!$P159)</f>
        <v/>
      </c>
      <c r="AA159" t="str">
        <f>IF($A159="","",IF(COUNTIF($A$6:$A159,$A159)=1,1,0))</f>
        <v/>
      </c>
      <c r="AB159">
        <f>SUM($AA$6:$AA159)</f>
        <v>3</v>
      </c>
      <c r="AC159" t="str">
        <f t="shared" si="20"/>
        <v/>
      </c>
    </row>
    <row r="160" spans="1:29" x14ac:dyDescent="0.2">
      <c r="A160" t="str">
        <f>IF(OR(Entry!$B163="",Entry!$E163="",$E160="نامعتبر"),"",Entry!$E163)</f>
        <v/>
      </c>
      <c r="B160" t="str">
        <f>IF($A160="","",LEFT($E160,4)&amp;MID($E160,6,2)&amp;RIGHT($E160,2)&amp;$F160&amp;"|"&amp;"1"&amp;RIGHT("00000"&amp;155,5))</f>
        <v/>
      </c>
      <c r="C160" t="str">
        <f t="shared" si="14"/>
        <v/>
      </c>
      <c r="D160" t="str">
        <f t="shared" si="15"/>
        <v/>
      </c>
      <c r="E160" t="str">
        <f>IF(Entry!$B163="","",IF(ISNUMBER(Entry!$B163),IF(AND(Entry!$B163&gt;=10000101,Entry!$B163&lt;=99991231),INT(Entry!$B163/10000)&amp;"/"&amp;RIGHT("00"&amp;INT(MOD(Entry!$B163,10000)/100),2)&amp;"/"&amp;RIGHT("00"&amp;MOD(Entry!$B163,100),2),"نامعتبر"),IF(LEN(Entry!$B163)=10,Entry!$B163,"نامعتبر")))</f>
        <v/>
      </c>
      <c r="F160" t="str">
        <f>IF(Entry!$B163="","",IF(Entry!$C163="","0000",IF(AND(ISNUMBER(Entry!$C163),Entry!$C163&gt;=0,Entry!$C163&lt;1),RIGHT("00"&amp;HOUR(Entry!$C163),2)&amp;RIGHT("00"&amp;MINUTE(Entry!$C163),2),IFERROR(RIGHT("00"&amp;VALUE(LEFT(Entry!$C163,FIND(":",Entry!$C163)-1)),2)&amp;RIGHT("00"&amp;VALUE(MID(Entry!$C163,FIND(":",Entry!$C163)+1,2)),2),"0000"))))</f>
        <v/>
      </c>
      <c r="G160" t="str">
        <f>IF($A160="","",Entry!$G163)</f>
        <v/>
      </c>
      <c r="H160" t="str">
        <f>IF($A160="","",IF(Entry!$H163="",0,Entry!$H163))</f>
        <v/>
      </c>
      <c r="I160" t="str">
        <f>IF($A160="","",IF(Entry!$I163="",0,Entry!$I163))</f>
        <v/>
      </c>
      <c r="J160" t="str">
        <f t="shared" si="16"/>
        <v/>
      </c>
      <c r="K160" t="str">
        <f>IF($A160="","",Entry!$D163)</f>
        <v/>
      </c>
      <c r="L160" t="str">
        <f>IF($A160="","",Entry!$L163)</f>
        <v/>
      </c>
      <c r="N160" t="str">
        <f>IF(OR(Sync!$M160="",$Q160="",$Q160="نامعتبر"),"",Sync!$M160)</f>
        <v/>
      </c>
      <c r="O160" t="str">
        <f t="shared" si="17"/>
        <v/>
      </c>
      <c r="P160" t="str">
        <f>IF($N160="","",LEFT($Q160,4)&amp;MID($Q160,6,2)&amp;RIGHT($Q160,2)&amp;IF(Sync!$K160="","0000",IF(AND(ISNUMBER(Sync!$K160),Sync!$K160&gt;=0,Sync!$K160&lt;1),RIGHT("00"&amp;HOUR(Sync!$K160),2)&amp;RIGHT("00"&amp;MINUTE(Sync!$K160),2),IFERROR(RIGHT("00"&amp;VALUE(LEFT(Sync!$K160,FIND(":",Sync!$K160)-1)),2)&amp;RIGHT("00"&amp;VALUE(MID(Sync!$K160,FIND(":",Sync!$K160)+1,2)),2),"0000")))&amp;"|"&amp;"2"&amp;RIGHT("00000"&amp;155,5))</f>
        <v/>
      </c>
      <c r="Q160" t="str">
        <f>IF(Sync!$J160="","",IF(ISNUMBER(Sync!$J160),IF(AND(Sync!$J160&gt;=10000101,Sync!$J160&lt;=99991231),INT(Sync!$J160/10000)&amp;"/"&amp;RIGHT("00"&amp;INT(MOD(Sync!$J160,10000)/100),2)&amp;"/"&amp;RIGHT("00"&amp;MOD(Sync!$J160,100),2),"نامعتبر"),IF(LEN(Sync!$J160)=10,Sync!$J160,"نامعتبر")))</f>
        <v/>
      </c>
      <c r="R160" t="str">
        <f t="shared" si="18"/>
        <v/>
      </c>
      <c r="S160" t="str">
        <f t="shared" si="19"/>
        <v/>
      </c>
      <c r="T160" t="str">
        <f>IF($N160="","",IF(Sync!$N160="",0,Sync!$N160))</f>
        <v/>
      </c>
      <c r="U160" t="str">
        <f>IF($N160="","",IF(Sync!$O160="",0,Sync!$O160))</f>
        <v/>
      </c>
      <c r="V160" t="str">
        <f>IF($N160="","",Sync!$L160)</f>
        <v/>
      </c>
      <c r="W160" t="str">
        <f>IF($N160="","",Sync!$P160)</f>
        <v/>
      </c>
      <c r="AA160" t="str">
        <f>IF($A160="","",IF(COUNTIF($A$6:$A160,$A160)=1,1,0))</f>
        <v/>
      </c>
      <c r="AB160">
        <f>SUM($AA$6:$AA160)</f>
        <v>3</v>
      </c>
      <c r="AC160" t="str">
        <f t="shared" si="20"/>
        <v/>
      </c>
    </row>
    <row r="161" spans="1:29" x14ac:dyDescent="0.2">
      <c r="A161" t="str">
        <f>IF(OR(Entry!$B164="",Entry!$E164="",$E161="نامعتبر"),"",Entry!$E164)</f>
        <v/>
      </c>
      <c r="B161" t="str">
        <f>IF($A161="","",LEFT($E161,4)&amp;MID($E161,6,2)&amp;RIGHT($E161,2)&amp;$F161&amp;"|"&amp;"1"&amp;RIGHT("00000"&amp;156,5))</f>
        <v/>
      </c>
      <c r="C161" t="str">
        <f t="shared" si="14"/>
        <v/>
      </c>
      <c r="D161" t="str">
        <f t="shared" si="15"/>
        <v/>
      </c>
      <c r="E161" t="str">
        <f>IF(Entry!$B164="","",IF(ISNUMBER(Entry!$B164),IF(AND(Entry!$B164&gt;=10000101,Entry!$B164&lt;=99991231),INT(Entry!$B164/10000)&amp;"/"&amp;RIGHT("00"&amp;INT(MOD(Entry!$B164,10000)/100),2)&amp;"/"&amp;RIGHT("00"&amp;MOD(Entry!$B164,100),2),"نامعتبر"),IF(LEN(Entry!$B164)=10,Entry!$B164,"نامعتبر")))</f>
        <v/>
      </c>
      <c r="F161" t="str">
        <f>IF(Entry!$B164="","",IF(Entry!$C164="","0000",IF(AND(ISNUMBER(Entry!$C164),Entry!$C164&gt;=0,Entry!$C164&lt;1),RIGHT("00"&amp;HOUR(Entry!$C164),2)&amp;RIGHT("00"&amp;MINUTE(Entry!$C164),2),IFERROR(RIGHT("00"&amp;VALUE(LEFT(Entry!$C164,FIND(":",Entry!$C164)-1)),2)&amp;RIGHT("00"&amp;VALUE(MID(Entry!$C164,FIND(":",Entry!$C164)+1,2)),2),"0000"))))</f>
        <v/>
      </c>
      <c r="G161" t="str">
        <f>IF($A161="","",Entry!$G164)</f>
        <v/>
      </c>
      <c r="H161" t="str">
        <f>IF($A161="","",IF(Entry!$H164="",0,Entry!$H164))</f>
        <v/>
      </c>
      <c r="I161" t="str">
        <f>IF($A161="","",IF(Entry!$I164="",0,Entry!$I164))</f>
        <v/>
      </c>
      <c r="J161" t="str">
        <f t="shared" si="16"/>
        <v/>
      </c>
      <c r="K161" t="str">
        <f>IF($A161="","",Entry!$D164)</f>
        <v/>
      </c>
      <c r="L161" t="str">
        <f>IF($A161="","",Entry!$L164)</f>
        <v/>
      </c>
      <c r="N161" t="str">
        <f>IF(OR(Sync!$M161="",$Q161="",$Q161="نامعتبر"),"",Sync!$M161)</f>
        <v/>
      </c>
      <c r="O161" t="str">
        <f t="shared" si="17"/>
        <v/>
      </c>
      <c r="P161" t="str">
        <f>IF($N161="","",LEFT($Q161,4)&amp;MID($Q161,6,2)&amp;RIGHT($Q161,2)&amp;IF(Sync!$K161="","0000",IF(AND(ISNUMBER(Sync!$K161),Sync!$K161&gt;=0,Sync!$K161&lt;1),RIGHT("00"&amp;HOUR(Sync!$K161),2)&amp;RIGHT("00"&amp;MINUTE(Sync!$K161),2),IFERROR(RIGHT("00"&amp;VALUE(LEFT(Sync!$K161,FIND(":",Sync!$K161)-1)),2)&amp;RIGHT("00"&amp;VALUE(MID(Sync!$K161,FIND(":",Sync!$K161)+1,2)),2),"0000")))&amp;"|"&amp;"2"&amp;RIGHT("00000"&amp;156,5))</f>
        <v/>
      </c>
      <c r="Q161" t="str">
        <f>IF(Sync!$J161="","",IF(ISNUMBER(Sync!$J161),IF(AND(Sync!$J161&gt;=10000101,Sync!$J161&lt;=99991231),INT(Sync!$J161/10000)&amp;"/"&amp;RIGHT("00"&amp;INT(MOD(Sync!$J161,10000)/100),2)&amp;"/"&amp;RIGHT("00"&amp;MOD(Sync!$J161,100),2),"نامعتبر"),IF(LEN(Sync!$J161)=10,Sync!$J161,"نامعتبر")))</f>
        <v/>
      </c>
      <c r="R161" t="str">
        <f t="shared" si="18"/>
        <v/>
      </c>
      <c r="S161" t="str">
        <f t="shared" si="19"/>
        <v/>
      </c>
      <c r="T161" t="str">
        <f>IF($N161="","",IF(Sync!$N161="",0,Sync!$N161))</f>
        <v/>
      </c>
      <c r="U161" t="str">
        <f>IF($N161="","",IF(Sync!$O161="",0,Sync!$O161))</f>
        <v/>
      </c>
      <c r="V161" t="str">
        <f>IF($N161="","",Sync!$L161)</f>
        <v/>
      </c>
      <c r="W161" t="str">
        <f>IF($N161="","",Sync!$P161)</f>
        <v/>
      </c>
      <c r="AA161" t="str">
        <f>IF($A161="","",IF(COUNTIF($A$6:$A161,$A161)=1,1,0))</f>
        <v/>
      </c>
      <c r="AB161">
        <f>SUM($AA$6:$AA161)</f>
        <v>3</v>
      </c>
      <c r="AC161" t="str">
        <f t="shared" si="20"/>
        <v/>
      </c>
    </row>
    <row r="162" spans="1:29" x14ac:dyDescent="0.2">
      <c r="A162" t="str">
        <f>IF(OR(Entry!$B165="",Entry!$E165="",$E162="نامعتبر"),"",Entry!$E165)</f>
        <v/>
      </c>
      <c r="B162" t="str">
        <f>IF($A162="","",LEFT($E162,4)&amp;MID($E162,6,2)&amp;RIGHT($E162,2)&amp;$F162&amp;"|"&amp;"1"&amp;RIGHT("00000"&amp;157,5))</f>
        <v/>
      </c>
      <c r="C162" t="str">
        <f t="shared" si="14"/>
        <v/>
      </c>
      <c r="D162" t="str">
        <f t="shared" si="15"/>
        <v/>
      </c>
      <c r="E162" t="str">
        <f>IF(Entry!$B165="","",IF(ISNUMBER(Entry!$B165),IF(AND(Entry!$B165&gt;=10000101,Entry!$B165&lt;=99991231),INT(Entry!$B165/10000)&amp;"/"&amp;RIGHT("00"&amp;INT(MOD(Entry!$B165,10000)/100),2)&amp;"/"&amp;RIGHT("00"&amp;MOD(Entry!$B165,100),2),"نامعتبر"),IF(LEN(Entry!$B165)=10,Entry!$B165,"نامعتبر")))</f>
        <v/>
      </c>
      <c r="F162" t="str">
        <f>IF(Entry!$B165="","",IF(Entry!$C165="","0000",IF(AND(ISNUMBER(Entry!$C165),Entry!$C165&gt;=0,Entry!$C165&lt;1),RIGHT("00"&amp;HOUR(Entry!$C165),2)&amp;RIGHT("00"&amp;MINUTE(Entry!$C165),2),IFERROR(RIGHT("00"&amp;VALUE(LEFT(Entry!$C165,FIND(":",Entry!$C165)-1)),2)&amp;RIGHT("00"&amp;VALUE(MID(Entry!$C165,FIND(":",Entry!$C165)+1,2)),2),"0000"))))</f>
        <v/>
      </c>
      <c r="G162" t="str">
        <f>IF($A162="","",Entry!$G165)</f>
        <v/>
      </c>
      <c r="H162" t="str">
        <f>IF($A162="","",IF(Entry!$H165="",0,Entry!$H165))</f>
        <v/>
      </c>
      <c r="I162" t="str">
        <f>IF($A162="","",IF(Entry!$I165="",0,Entry!$I165))</f>
        <v/>
      </c>
      <c r="J162" t="str">
        <f t="shared" si="16"/>
        <v/>
      </c>
      <c r="K162" t="str">
        <f>IF($A162="","",Entry!$D165)</f>
        <v/>
      </c>
      <c r="L162" t="str">
        <f>IF($A162="","",Entry!$L165)</f>
        <v/>
      </c>
      <c r="N162" t="str">
        <f>IF(OR(Sync!$M162="",$Q162="",$Q162="نامعتبر"),"",Sync!$M162)</f>
        <v/>
      </c>
      <c r="O162" t="str">
        <f t="shared" si="17"/>
        <v/>
      </c>
      <c r="P162" t="str">
        <f>IF($N162="","",LEFT($Q162,4)&amp;MID($Q162,6,2)&amp;RIGHT($Q162,2)&amp;IF(Sync!$K162="","0000",IF(AND(ISNUMBER(Sync!$K162),Sync!$K162&gt;=0,Sync!$K162&lt;1),RIGHT("00"&amp;HOUR(Sync!$K162),2)&amp;RIGHT("00"&amp;MINUTE(Sync!$K162),2),IFERROR(RIGHT("00"&amp;VALUE(LEFT(Sync!$K162,FIND(":",Sync!$K162)-1)),2)&amp;RIGHT("00"&amp;VALUE(MID(Sync!$K162,FIND(":",Sync!$K162)+1,2)),2),"0000")))&amp;"|"&amp;"2"&amp;RIGHT("00000"&amp;157,5))</f>
        <v/>
      </c>
      <c r="Q162" t="str">
        <f>IF(Sync!$J162="","",IF(ISNUMBER(Sync!$J162),IF(AND(Sync!$J162&gt;=10000101,Sync!$J162&lt;=99991231),INT(Sync!$J162/10000)&amp;"/"&amp;RIGHT("00"&amp;INT(MOD(Sync!$J162,10000)/100),2)&amp;"/"&amp;RIGHT("00"&amp;MOD(Sync!$J162,100),2),"نامعتبر"),IF(LEN(Sync!$J162)=10,Sync!$J162,"نامعتبر")))</f>
        <v/>
      </c>
      <c r="R162" t="str">
        <f t="shared" si="18"/>
        <v/>
      </c>
      <c r="S162" t="str">
        <f t="shared" si="19"/>
        <v/>
      </c>
      <c r="T162" t="str">
        <f>IF($N162="","",IF(Sync!$N162="",0,Sync!$N162))</f>
        <v/>
      </c>
      <c r="U162" t="str">
        <f>IF($N162="","",IF(Sync!$O162="",0,Sync!$O162))</f>
        <v/>
      </c>
      <c r="V162" t="str">
        <f>IF($N162="","",Sync!$L162)</f>
        <v/>
      </c>
      <c r="W162" t="str">
        <f>IF($N162="","",Sync!$P162)</f>
        <v/>
      </c>
      <c r="AA162" t="str">
        <f>IF($A162="","",IF(COUNTIF($A$6:$A162,$A162)=1,1,0))</f>
        <v/>
      </c>
      <c r="AB162">
        <f>SUM($AA$6:$AA162)</f>
        <v>3</v>
      </c>
      <c r="AC162" t="str">
        <f t="shared" si="20"/>
        <v/>
      </c>
    </row>
    <row r="163" spans="1:29" x14ac:dyDescent="0.2">
      <c r="A163" t="str">
        <f>IF(OR(Entry!$B166="",Entry!$E166="",$E163="نامعتبر"),"",Entry!$E166)</f>
        <v/>
      </c>
      <c r="B163" t="str">
        <f>IF($A163="","",LEFT($E163,4)&amp;MID($E163,6,2)&amp;RIGHT($E163,2)&amp;$F163&amp;"|"&amp;"1"&amp;RIGHT("00000"&amp;158,5))</f>
        <v/>
      </c>
      <c r="C163" t="str">
        <f t="shared" si="14"/>
        <v/>
      </c>
      <c r="D163" t="str">
        <f t="shared" si="15"/>
        <v/>
      </c>
      <c r="E163" t="str">
        <f>IF(Entry!$B166="","",IF(ISNUMBER(Entry!$B166),IF(AND(Entry!$B166&gt;=10000101,Entry!$B166&lt;=99991231),INT(Entry!$B166/10000)&amp;"/"&amp;RIGHT("00"&amp;INT(MOD(Entry!$B166,10000)/100),2)&amp;"/"&amp;RIGHT("00"&amp;MOD(Entry!$B166,100),2),"نامعتبر"),IF(LEN(Entry!$B166)=10,Entry!$B166,"نامعتبر")))</f>
        <v/>
      </c>
      <c r="F163" t="str">
        <f>IF(Entry!$B166="","",IF(Entry!$C166="","0000",IF(AND(ISNUMBER(Entry!$C166),Entry!$C166&gt;=0,Entry!$C166&lt;1),RIGHT("00"&amp;HOUR(Entry!$C166),2)&amp;RIGHT("00"&amp;MINUTE(Entry!$C166),2),IFERROR(RIGHT("00"&amp;VALUE(LEFT(Entry!$C166,FIND(":",Entry!$C166)-1)),2)&amp;RIGHT("00"&amp;VALUE(MID(Entry!$C166,FIND(":",Entry!$C166)+1,2)),2),"0000"))))</f>
        <v/>
      </c>
      <c r="G163" t="str">
        <f>IF($A163="","",Entry!$G166)</f>
        <v/>
      </c>
      <c r="H163" t="str">
        <f>IF($A163="","",IF(Entry!$H166="",0,Entry!$H166))</f>
        <v/>
      </c>
      <c r="I163" t="str">
        <f>IF($A163="","",IF(Entry!$I166="",0,Entry!$I166))</f>
        <v/>
      </c>
      <c r="J163" t="str">
        <f t="shared" si="16"/>
        <v/>
      </c>
      <c r="K163" t="str">
        <f>IF($A163="","",Entry!$D166)</f>
        <v/>
      </c>
      <c r="L163" t="str">
        <f>IF($A163="","",Entry!$L166)</f>
        <v/>
      </c>
      <c r="N163" t="str">
        <f>IF(OR(Sync!$M163="",$Q163="",$Q163="نامعتبر"),"",Sync!$M163)</f>
        <v/>
      </c>
      <c r="O163" t="str">
        <f t="shared" si="17"/>
        <v/>
      </c>
      <c r="P163" t="str">
        <f>IF($N163="","",LEFT($Q163,4)&amp;MID($Q163,6,2)&amp;RIGHT($Q163,2)&amp;IF(Sync!$K163="","0000",IF(AND(ISNUMBER(Sync!$K163),Sync!$K163&gt;=0,Sync!$K163&lt;1),RIGHT("00"&amp;HOUR(Sync!$K163),2)&amp;RIGHT("00"&amp;MINUTE(Sync!$K163),2),IFERROR(RIGHT("00"&amp;VALUE(LEFT(Sync!$K163,FIND(":",Sync!$K163)-1)),2)&amp;RIGHT("00"&amp;VALUE(MID(Sync!$K163,FIND(":",Sync!$K163)+1,2)),2),"0000")))&amp;"|"&amp;"2"&amp;RIGHT("00000"&amp;158,5))</f>
        <v/>
      </c>
      <c r="Q163" t="str">
        <f>IF(Sync!$J163="","",IF(ISNUMBER(Sync!$J163),IF(AND(Sync!$J163&gt;=10000101,Sync!$J163&lt;=99991231),INT(Sync!$J163/10000)&amp;"/"&amp;RIGHT("00"&amp;INT(MOD(Sync!$J163,10000)/100),2)&amp;"/"&amp;RIGHT("00"&amp;MOD(Sync!$J163,100),2),"نامعتبر"),IF(LEN(Sync!$J163)=10,Sync!$J163,"نامعتبر")))</f>
        <v/>
      </c>
      <c r="R163" t="str">
        <f t="shared" si="18"/>
        <v/>
      </c>
      <c r="S163" t="str">
        <f t="shared" si="19"/>
        <v/>
      </c>
      <c r="T163" t="str">
        <f>IF($N163="","",IF(Sync!$N163="",0,Sync!$N163))</f>
        <v/>
      </c>
      <c r="U163" t="str">
        <f>IF($N163="","",IF(Sync!$O163="",0,Sync!$O163))</f>
        <v/>
      </c>
      <c r="V163" t="str">
        <f>IF($N163="","",Sync!$L163)</f>
        <v/>
      </c>
      <c r="W163" t="str">
        <f>IF($N163="","",Sync!$P163)</f>
        <v/>
      </c>
      <c r="AA163" t="str">
        <f>IF($A163="","",IF(COUNTIF($A$6:$A163,$A163)=1,1,0))</f>
        <v/>
      </c>
      <c r="AB163">
        <f>SUM($AA$6:$AA163)</f>
        <v>3</v>
      </c>
      <c r="AC163" t="str">
        <f t="shared" si="20"/>
        <v/>
      </c>
    </row>
    <row r="164" spans="1:29" x14ac:dyDescent="0.2">
      <c r="A164" t="str">
        <f>IF(OR(Entry!$B167="",Entry!$E167="",$E164="نامعتبر"),"",Entry!$E167)</f>
        <v/>
      </c>
      <c r="B164" t="str">
        <f>IF($A164="","",LEFT($E164,4)&amp;MID($E164,6,2)&amp;RIGHT($E164,2)&amp;$F164&amp;"|"&amp;"1"&amp;RIGHT("00000"&amp;159,5))</f>
        <v/>
      </c>
      <c r="C164" t="str">
        <f t="shared" si="14"/>
        <v/>
      </c>
      <c r="D164" t="str">
        <f t="shared" si="15"/>
        <v/>
      </c>
      <c r="E164" t="str">
        <f>IF(Entry!$B167="","",IF(ISNUMBER(Entry!$B167),IF(AND(Entry!$B167&gt;=10000101,Entry!$B167&lt;=99991231),INT(Entry!$B167/10000)&amp;"/"&amp;RIGHT("00"&amp;INT(MOD(Entry!$B167,10000)/100),2)&amp;"/"&amp;RIGHT("00"&amp;MOD(Entry!$B167,100),2),"نامعتبر"),IF(LEN(Entry!$B167)=10,Entry!$B167,"نامعتبر")))</f>
        <v/>
      </c>
      <c r="F164" t="str">
        <f>IF(Entry!$B167="","",IF(Entry!$C167="","0000",IF(AND(ISNUMBER(Entry!$C167),Entry!$C167&gt;=0,Entry!$C167&lt;1),RIGHT("00"&amp;HOUR(Entry!$C167),2)&amp;RIGHT("00"&amp;MINUTE(Entry!$C167),2),IFERROR(RIGHT("00"&amp;VALUE(LEFT(Entry!$C167,FIND(":",Entry!$C167)-1)),2)&amp;RIGHT("00"&amp;VALUE(MID(Entry!$C167,FIND(":",Entry!$C167)+1,2)),2),"0000"))))</f>
        <v/>
      </c>
      <c r="G164" t="str">
        <f>IF($A164="","",Entry!$G167)</f>
        <v/>
      </c>
      <c r="H164" t="str">
        <f>IF($A164="","",IF(Entry!$H167="",0,Entry!$H167))</f>
        <v/>
      </c>
      <c r="I164" t="str">
        <f>IF($A164="","",IF(Entry!$I167="",0,Entry!$I167))</f>
        <v/>
      </c>
      <c r="J164" t="str">
        <f t="shared" si="16"/>
        <v/>
      </c>
      <c r="K164" t="str">
        <f>IF($A164="","",Entry!$D167)</f>
        <v/>
      </c>
      <c r="L164" t="str">
        <f>IF($A164="","",Entry!$L167)</f>
        <v/>
      </c>
      <c r="N164" t="str">
        <f>IF(OR(Sync!$M164="",$Q164="",$Q164="نامعتبر"),"",Sync!$M164)</f>
        <v/>
      </c>
      <c r="O164" t="str">
        <f t="shared" si="17"/>
        <v/>
      </c>
      <c r="P164" t="str">
        <f>IF($N164="","",LEFT($Q164,4)&amp;MID($Q164,6,2)&amp;RIGHT($Q164,2)&amp;IF(Sync!$K164="","0000",IF(AND(ISNUMBER(Sync!$K164),Sync!$K164&gt;=0,Sync!$K164&lt;1),RIGHT("00"&amp;HOUR(Sync!$K164),2)&amp;RIGHT("00"&amp;MINUTE(Sync!$K164),2),IFERROR(RIGHT("00"&amp;VALUE(LEFT(Sync!$K164,FIND(":",Sync!$K164)-1)),2)&amp;RIGHT("00"&amp;VALUE(MID(Sync!$K164,FIND(":",Sync!$K164)+1,2)),2),"0000")))&amp;"|"&amp;"2"&amp;RIGHT("00000"&amp;159,5))</f>
        <v/>
      </c>
      <c r="Q164" t="str">
        <f>IF(Sync!$J164="","",IF(ISNUMBER(Sync!$J164),IF(AND(Sync!$J164&gt;=10000101,Sync!$J164&lt;=99991231),INT(Sync!$J164/10000)&amp;"/"&amp;RIGHT("00"&amp;INT(MOD(Sync!$J164,10000)/100),2)&amp;"/"&amp;RIGHT("00"&amp;MOD(Sync!$J164,100),2),"نامعتبر"),IF(LEN(Sync!$J164)=10,Sync!$J164,"نامعتبر")))</f>
        <v/>
      </c>
      <c r="R164" t="str">
        <f t="shared" si="18"/>
        <v/>
      </c>
      <c r="S164" t="str">
        <f t="shared" si="19"/>
        <v/>
      </c>
      <c r="T164" t="str">
        <f>IF($N164="","",IF(Sync!$N164="",0,Sync!$N164))</f>
        <v/>
      </c>
      <c r="U164" t="str">
        <f>IF($N164="","",IF(Sync!$O164="",0,Sync!$O164))</f>
        <v/>
      </c>
      <c r="V164" t="str">
        <f>IF($N164="","",Sync!$L164)</f>
        <v/>
      </c>
      <c r="W164" t="str">
        <f>IF($N164="","",Sync!$P164)</f>
        <v/>
      </c>
      <c r="AA164" t="str">
        <f>IF($A164="","",IF(COUNTIF($A$6:$A164,$A164)=1,1,0))</f>
        <v/>
      </c>
      <c r="AB164">
        <f>SUM($AA$6:$AA164)</f>
        <v>3</v>
      </c>
      <c r="AC164" t="str">
        <f t="shared" si="20"/>
        <v/>
      </c>
    </row>
    <row r="165" spans="1:29" x14ac:dyDescent="0.2">
      <c r="A165" t="str">
        <f>IF(OR(Entry!$B168="",Entry!$E168="",$E165="نامعتبر"),"",Entry!$E168)</f>
        <v/>
      </c>
      <c r="B165" t="str">
        <f>IF($A165="","",LEFT($E165,4)&amp;MID($E165,6,2)&amp;RIGHT($E165,2)&amp;$F165&amp;"|"&amp;"1"&amp;RIGHT("00000"&amp;160,5))</f>
        <v/>
      </c>
      <c r="C165" t="str">
        <f t="shared" si="14"/>
        <v/>
      </c>
      <c r="D165" t="str">
        <f t="shared" si="15"/>
        <v/>
      </c>
      <c r="E165" t="str">
        <f>IF(Entry!$B168="","",IF(ISNUMBER(Entry!$B168),IF(AND(Entry!$B168&gt;=10000101,Entry!$B168&lt;=99991231),INT(Entry!$B168/10000)&amp;"/"&amp;RIGHT("00"&amp;INT(MOD(Entry!$B168,10000)/100),2)&amp;"/"&amp;RIGHT("00"&amp;MOD(Entry!$B168,100),2),"نامعتبر"),IF(LEN(Entry!$B168)=10,Entry!$B168,"نامعتبر")))</f>
        <v/>
      </c>
      <c r="F165" t="str">
        <f>IF(Entry!$B168="","",IF(Entry!$C168="","0000",IF(AND(ISNUMBER(Entry!$C168),Entry!$C168&gt;=0,Entry!$C168&lt;1),RIGHT("00"&amp;HOUR(Entry!$C168),2)&amp;RIGHT("00"&amp;MINUTE(Entry!$C168),2),IFERROR(RIGHT("00"&amp;VALUE(LEFT(Entry!$C168,FIND(":",Entry!$C168)-1)),2)&amp;RIGHT("00"&amp;VALUE(MID(Entry!$C168,FIND(":",Entry!$C168)+1,2)),2),"0000"))))</f>
        <v/>
      </c>
      <c r="G165" t="str">
        <f>IF($A165="","",Entry!$G168)</f>
        <v/>
      </c>
      <c r="H165" t="str">
        <f>IF($A165="","",IF(Entry!$H168="",0,Entry!$H168))</f>
        <v/>
      </c>
      <c r="I165" t="str">
        <f>IF($A165="","",IF(Entry!$I168="",0,Entry!$I168))</f>
        <v/>
      </c>
      <c r="J165" t="str">
        <f t="shared" si="16"/>
        <v/>
      </c>
      <c r="K165" t="str">
        <f>IF($A165="","",Entry!$D168)</f>
        <v/>
      </c>
      <c r="L165" t="str">
        <f>IF($A165="","",Entry!$L168)</f>
        <v/>
      </c>
      <c r="N165" t="str">
        <f>IF(OR(Sync!$M165="",$Q165="",$Q165="نامعتبر"),"",Sync!$M165)</f>
        <v/>
      </c>
      <c r="O165" t="str">
        <f t="shared" si="17"/>
        <v/>
      </c>
      <c r="P165" t="str">
        <f>IF($N165="","",LEFT($Q165,4)&amp;MID($Q165,6,2)&amp;RIGHT($Q165,2)&amp;IF(Sync!$K165="","0000",IF(AND(ISNUMBER(Sync!$K165),Sync!$K165&gt;=0,Sync!$K165&lt;1),RIGHT("00"&amp;HOUR(Sync!$K165),2)&amp;RIGHT("00"&amp;MINUTE(Sync!$K165),2),IFERROR(RIGHT("00"&amp;VALUE(LEFT(Sync!$K165,FIND(":",Sync!$K165)-1)),2)&amp;RIGHT("00"&amp;VALUE(MID(Sync!$K165,FIND(":",Sync!$K165)+1,2)),2),"0000")))&amp;"|"&amp;"2"&amp;RIGHT("00000"&amp;160,5))</f>
        <v/>
      </c>
      <c r="Q165" t="str">
        <f>IF(Sync!$J165="","",IF(ISNUMBER(Sync!$J165),IF(AND(Sync!$J165&gt;=10000101,Sync!$J165&lt;=99991231),INT(Sync!$J165/10000)&amp;"/"&amp;RIGHT("00"&amp;INT(MOD(Sync!$J165,10000)/100),2)&amp;"/"&amp;RIGHT("00"&amp;MOD(Sync!$J165,100),2),"نامعتبر"),IF(LEN(Sync!$J165)=10,Sync!$J165,"نامعتبر")))</f>
        <v/>
      </c>
      <c r="R165" t="str">
        <f t="shared" si="18"/>
        <v/>
      </c>
      <c r="S165" t="str">
        <f t="shared" si="19"/>
        <v/>
      </c>
      <c r="T165" t="str">
        <f>IF($N165="","",IF(Sync!$N165="",0,Sync!$N165))</f>
        <v/>
      </c>
      <c r="U165" t="str">
        <f>IF($N165="","",IF(Sync!$O165="",0,Sync!$O165))</f>
        <v/>
      </c>
      <c r="V165" t="str">
        <f>IF($N165="","",Sync!$L165)</f>
        <v/>
      </c>
      <c r="W165" t="str">
        <f>IF($N165="","",Sync!$P165)</f>
        <v/>
      </c>
      <c r="AA165" t="str">
        <f>IF($A165="","",IF(COUNTIF($A$6:$A165,$A165)=1,1,0))</f>
        <v/>
      </c>
      <c r="AB165">
        <f>SUM($AA$6:$AA165)</f>
        <v>3</v>
      </c>
      <c r="AC165" t="str">
        <f t="shared" si="20"/>
        <v/>
      </c>
    </row>
    <row r="166" spans="1:29" x14ac:dyDescent="0.2">
      <c r="A166" t="str">
        <f>IF(OR(Entry!$B169="",Entry!$E169="",$E166="نامعتبر"),"",Entry!$E169)</f>
        <v/>
      </c>
      <c r="B166" t="str">
        <f>IF($A166="","",LEFT($E166,4)&amp;MID($E166,6,2)&amp;RIGHT($E166,2)&amp;$F166&amp;"|"&amp;"1"&amp;RIGHT("00000"&amp;161,5))</f>
        <v/>
      </c>
      <c r="C166" t="str">
        <f t="shared" si="14"/>
        <v/>
      </c>
      <c r="D166" t="str">
        <f t="shared" si="15"/>
        <v/>
      </c>
      <c r="E166" t="str">
        <f>IF(Entry!$B169="","",IF(ISNUMBER(Entry!$B169),IF(AND(Entry!$B169&gt;=10000101,Entry!$B169&lt;=99991231),INT(Entry!$B169/10000)&amp;"/"&amp;RIGHT("00"&amp;INT(MOD(Entry!$B169,10000)/100),2)&amp;"/"&amp;RIGHT("00"&amp;MOD(Entry!$B169,100),2),"نامعتبر"),IF(LEN(Entry!$B169)=10,Entry!$B169,"نامعتبر")))</f>
        <v/>
      </c>
      <c r="F166" t="str">
        <f>IF(Entry!$B169="","",IF(Entry!$C169="","0000",IF(AND(ISNUMBER(Entry!$C169),Entry!$C169&gt;=0,Entry!$C169&lt;1),RIGHT("00"&amp;HOUR(Entry!$C169),2)&amp;RIGHT("00"&amp;MINUTE(Entry!$C169),2),IFERROR(RIGHT("00"&amp;VALUE(LEFT(Entry!$C169,FIND(":",Entry!$C169)-1)),2)&amp;RIGHT("00"&amp;VALUE(MID(Entry!$C169,FIND(":",Entry!$C169)+1,2)),2),"0000"))))</f>
        <v/>
      </c>
      <c r="G166" t="str">
        <f>IF($A166="","",Entry!$G169)</f>
        <v/>
      </c>
      <c r="H166" t="str">
        <f>IF($A166="","",IF(Entry!$H169="",0,Entry!$H169))</f>
        <v/>
      </c>
      <c r="I166" t="str">
        <f>IF($A166="","",IF(Entry!$I169="",0,Entry!$I169))</f>
        <v/>
      </c>
      <c r="J166" t="str">
        <f t="shared" si="16"/>
        <v/>
      </c>
      <c r="K166" t="str">
        <f>IF($A166="","",Entry!$D169)</f>
        <v/>
      </c>
      <c r="L166" t="str">
        <f>IF($A166="","",Entry!$L169)</f>
        <v/>
      </c>
      <c r="N166" t="str">
        <f>IF(OR(Sync!$M166="",$Q166="",$Q166="نامعتبر"),"",Sync!$M166)</f>
        <v/>
      </c>
      <c r="O166" t="str">
        <f t="shared" si="17"/>
        <v/>
      </c>
      <c r="P166" t="str">
        <f>IF($N166="","",LEFT($Q166,4)&amp;MID($Q166,6,2)&amp;RIGHT($Q166,2)&amp;IF(Sync!$K166="","0000",IF(AND(ISNUMBER(Sync!$K166),Sync!$K166&gt;=0,Sync!$K166&lt;1),RIGHT("00"&amp;HOUR(Sync!$K166),2)&amp;RIGHT("00"&amp;MINUTE(Sync!$K166),2),IFERROR(RIGHT("00"&amp;VALUE(LEFT(Sync!$K166,FIND(":",Sync!$K166)-1)),2)&amp;RIGHT("00"&amp;VALUE(MID(Sync!$K166,FIND(":",Sync!$K166)+1,2)),2),"0000")))&amp;"|"&amp;"2"&amp;RIGHT("00000"&amp;161,5))</f>
        <v/>
      </c>
      <c r="Q166" t="str">
        <f>IF(Sync!$J166="","",IF(ISNUMBER(Sync!$J166),IF(AND(Sync!$J166&gt;=10000101,Sync!$J166&lt;=99991231),INT(Sync!$J166/10000)&amp;"/"&amp;RIGHT("00"&amp;INT(MOD(Sync!$J166,10000)/100),2)&amp;"/"&amp;RIGHT("00"&amp;MOD(Sync!$J166,100),2),"نامعتبر"),IF(LEN(Sync!$J166)=10,Sync!$J166,"نامعتبر")))</f>
        <v/>
      </c>
      <c r="R166" t="str">
        <f t="shared" si="18"/>
        <v/>
      </c>
      <c r="S166" t="str">
        <f t="shared" si="19"/>
        <v/>
      </c>
      <c r="T166" t="str">
        <f>IF($N166="","",IF(Sync!$N166="",0,Sync!$N166))</f>
        <v/>
      </c>
      <c r="U166" t="str">
        <f>IF($N166="","",IF(Sync!$O166="",0,Sync!$O166))</f>
        <v/>
      </c>
      <c r="V166" t="str">
        <f>IF($N166="","",Sync!$L166)</f>
        <v/>
      </c>
      <c r="W166" t="str">
        <f>IF($N166="","",Sync!$P166)</f>
        <v/>
      </c>
      <c r="AA166" t="str">
        <f>IF($A166="","",IF(COUNTIF($A$6:$A166,$A166)=1,1,0))</f>
        <v/>
      </c>
      <c r="AB166">
        <f>SUM($AA$6:$AA166)</f>
        <v>3</v>
      </c>
      <c r="AC166" t="str">
        <f t="shared" si="20"/>
        <v/>
      </c>
    </row>
    <row r="167" spans="1:29" x14ac:dyDescent="0.2">
      <c r="A167" t="str">
        <f>IF(OR(Entry!$B170="",Entry!$E170="",$E167="نامعتبر"),"",Entry!$E170)</f>
        <v/>
      </c>
      <c r="B167" t="str">
        <f>IF($A167="","",LEFT($E167,4)&amp;MID($E167,6,2)&amp;RIGHT($E167,2)&amp;$F167&amp;"|"&amp;"1"&amp;RIGHT("00000"&amp;162,5))</f>
        <v/>
      </c>
      <c r="C167" t="str">
        <f t="shared" si="14"/>
        <v/>
      </c>
      <c r="D167" t="str">
        <f t="shared" si="15"/>
        <v/>
      </c>
      <c r="E167" t="str">
        <f>IF(Entry!$B170="","",IF(ISNUMBER(Entry!$B170),IF(AND(Entry!$B170&gt;=10000101,Entry!$B170&lt;=99991231),INT(Entry!$B170/10000)&amp;"/"&amp;RIGHT("00"&amp;INT(MOD(Entry!$B170,10000)/100),2)&amp;"/"&amp;RIGHT("00"&amp;MOD(Entry!$B170,100),2),"نامعتبر"),IF(LEN(Entry!$B170)=10,Entry!$B170,"نامعتبر")))</f>
        <v/>
      </c>
      <c r="F167" t="str">
        <f>IF(Entry!$B170="","",IF(Entry!$C170="","0000",IF(AND(ISNUMBER(Entry!$C170),Entry!$C170&gt;=0,Entry!$C170&lt;1),RIGHT("00"&amp;HOUR(Entry!$C170),2)&amp;RIGHT("00"&amp;MINUTE(Entry!$C170),2),IFERROR(RIGHT("00"&amp;VALUE(LEFT(Entry!$C170,FIND(":",Entry!$C170)-1)),2)&amp;RIGHT("00"&amp;VALUE(MID(Entry!$C170,FIND(":",Entry!$C170)+1,2)),2),"0000"))))</f>
        <v/>
      </c>
      <c r="G167" t="str">
        <f>IF($A167="","",Entry!$G170)</f>
        <v/>
      </c>
      <c r="H167" t="str">
        <f>IF($A167="","",IF(Entry!$H170="",0,Entry!$H170))</f>
        <v/>
      </c>
      <c r="I167" t="str">
        <f>IF($A167="","",IF(Entry!$I170="",0,Entry!$I170))</f>
        <v/>
      </c>
      <c r="J167" t="str">
        <f t="shared" si="16"/>
        <v/>
      </c>
      <c r="K167" t="str">
        <f>IF($A167="","",Entry!$D170)</f>
        <v/>
      </c>
      <c r="L167" t="str">
        <f>IF($A167="","",Entry!$L170)</f>
        <v/>
      </c>
      <c r="N167" t="str">
        <f>IF(OR(Sync!$M167="",$Q167="",$Q167="نامعتبر"),"",Sync!$M167)</f>
        <v/>
      </c>
      <c r="O167" t="str">
        <f t="shared" si="17"/>
        <v/>
      </c>
      <c r="P167" t="str">
        <f>IF($N167="","",LEFT($Q167,4)&amp;MID($Q167,6,2)&amp;RIGHT($Q167,2)&amp;IF(Sync!$K167="","0000",IF(AND(ISNUMBER(Sync!$K167),Sync!$K167&gt;=0,Sync!$K167&lt;1),RIGHT("00"&amp;HOUR(Sync!$K167),2)&amp;RIGHT("00"&amp;MINUTE(Sync!$K167),2),IFERROR(RIGHT("00"&amp;VALUE(LEFT(Sync!$K167,FIND(":",Sync!$K167)-1)),2)&amp;RIGHT("00"&amp;VALUE(MID(Sync!$K167,FIND(":",Sync!$K167)+1,2)),2),"0000")))&amp;"|"&amp;"2"&amp;RIGHT("00000"&amp;162,5))</f>
        <v/>
      </c>
      <c r="Q167" t="str">
        <f>IF(Sync!$J167="","",IF(ISNUMBER(Sync!$J167),IF(AND(Sync!$J167&gt;=10000101,Sync!$J167&lt;=99991231),INT(Sync!$J167/10000)&amp;"/"&amp;RIGHT("00"&amp;INT(MOD(Sync!$J167,10000)/100),2)&amp;"/"&amp;RIGHT("00"&amp;MOD(Sync!$J167,100),2),"نامعتبر"),IF(LEN(Sync!$J167)=10,Sync!$J167,"نامعتبر")))</f>
        <v/>
      </c>
      <c r="R167" t="str">
        <f t="shared" si="18"/>
        <v/>
      </c>
      <c r="S167" t="str">
        <f t="shared" si="19"/>
        <v/>
      </c>
      <c r="T167" t="str">
        <f>IF($N167="","",IF(Sync!$N167="",0,Sync!$N167))</f>
        <v/>
      </c>
      <c r="U167" t="str">
        <f>IF($N167="","",IF(Sync!$O167="",0,Sync!$O167))</f>
        <v/>
      </c>
      <c r="V167" t="str">
        <f>IF($N167="","",Sync!$L167)</f>
        <v/>
      </c>
      <c r="W167" t="str">
        <f>IF($N167="","",Sync!$P167)</f>
        <v/>
      </c>
      <c r="AA167" t="str">
        <f>IF($A167="","",IF(COUNTIF($A$6:$A167,$A167)=1,1,0))</f>
        <v/>
      </c>
      <c r="AB167">
        <f>SUM($AA$6:$AA167)</f>
        <v>3</v>
      </c>
      <c r="AC167" t="str">
        <f t="shared" si="20"/>
        <v/>
      </c>
    </row>
    <row r="168" spans="1:29" x14ac:dyDescent="0.2">
      <c r="A168" t="str">
        <f>IF(OR(Entry!$B171="",Entry!$E171="",$E168="نامعتبر"),"",Entry!$E171)</f>
        <v/>
      </c>
      <c r="B168" t="str">
        <f>IF($A168="","",LEFT($E168,4)&amp;MID($E168,6,2)&amp;RIGHT($E168,2)&amp;$F168&amp;"|"&amp;"1"&amp;RIGHT("00000"&amp;163,5))</f>
        <v/>
      </c>
      <c r="C168" t="str">
        <f t="shared" si="14"/>
        <v/>
      </c>
      <c r="D168" t="str">
        <f t="shared" si="15"/>
        <v/>
      </c>
      <c r="E168" t="str">
        <f>IF(Entry!$B171="","",IF(ISNUMBER(Entry!$B171),IF(AND(Entry!$B171&gt;=10000101,Entry!$B171&lt;=99991231),INT(Entry!$B171/10000)&amp;"/"&amp;RIGHT("00"&amp;INT(MOD(Entry!$B171,10000)/100),2)&amp;"/"&amp;RIGHT("00"&amp;MOD(Entry!$B171,100),2),"نامعتبر"),IF(LEN(Entry!$B171)=10,Entry!$B171,"نامعتبر")))</f>
        <v/>
      </c>
      <c r="F168" t="str">
        <f>IF(Entry!$B171="","",IF(Entry!$C171="","0000",IF(AND(ISNUMBER(Entry!$C171),Entry!$C171&gt;=0,Entry!$C171&lt;1),RIGHT("00"&amp;HOUR(Entry!$C171),2)&amp;RIGHT("00"&amp;MINUTE(Entry!$C171),2),IFERROR(RIGHT("00"&amp;VALUE(LEFT(Entry!$C171,FIND(":",Entry!$C171)-1)),2)&amp;RIGHT("00"&amp;VALUE(MID(Entry!$C171,FIND(":",Entry!$C171)+1,2)),2),"0000"))))</f>
        <v/>
      </c>
      <c r="G168" t="str">
        <f>IF($A168="","",Entry!$G171)</f>
        <v/>
      </c>
      <c r="H168" t="str">
        <f>IF($A168="","",IF(Entry!$H171="",0,Entry!$H171))</f>
        <v/>
      </c>
      <c r="I168" t="str">
        <f>IF($A168="","",IF(Entry!$I171="",0,Entry!$I171))</f>
        <v/>
      </c>
      <c r="J168" t="str">
        <f t="shared" si="16"/>
        <v/>
      </c>
      <c r="K168" t="str">
        <f>IF($A168="","",Entry!$D171)</f>
        <v/>
      </c>
      <c r="L168" t="str">
        <f>IF($A168="","",Entry!$L171)</f>
        <v/>
      </c>
      <c r="N168" t="str">
        <f>IF(OR(Sync!$M168="",$Q168="",$Q168="نامعتبر"),"",Sync!$M168)</f>
        <v/>
      </c>
      <c r="O168" t="str">
        <f t="shared" si="17"/>
        <v/>
      </c>
      <c r="P168" t="str">
        <f>IF($N168="","",LEFT($Q168,4)&amp;MID($Q168,6,2)&amp;RIGHT($Q168,2)&amp;IF(Sync!$K168="","0000",IF(AND(ISNUMBER(Sync!$K168),Sync!$K168&gt;=0,Sync!$K168&lt;1),RIGHT("00"&amp;HOUR(Sync!$K168),2)&amp;RIGHT("00"&amp;MINUTE(Sync!$K168),2),IFERROR(RIGHT("00"&amp;VALUE(LEFT(Sync!$K168,FIND(":",Sync!$K168)-1)),2)&amp;RIGHT("00"&amp;VALUE(MID(Sync!$K168,FIND(":",Sync!$K168)+1,2)),2),"0000")))&amp;"|"&amp;"2"&amp;RIGHT("00000"&amp;163,5))</f>
        <v/>
      </c>
      <c r="Q168" t="str">
        <f>IF(Sync!$J168="","",IF(ISNUMBER(Sync!$J168),IF(AND(Sync!$J168&gt;=10000101,Sync!$J168&lt;=99991231),INT(Sync!$J168/10000)&amp;"/"&amp;RIGHT("00"&amp;INT(MOD(Sync!$J168,10000)/100),2)&amp;"/"&amp;RIGHT("00"&amp;MOD(Sync!$J168,100),2),"نامعتبر"),IF(LEN(Sync!$J168)=10,Sync!$J168,"نامعتبر")))</f>
        <v/>
      </c>
      <c r="R168" t="str">
        <f t="shared" si="18"/>
        <v/>
      </c>
      <c r="S168" t="str">
        <f t="shared" si="19"/>
        <v/>
      </c>
      <c r="T168" t="str">
        <f>IF($N168="","",IF(Sync!$N168="",0,Sync!$N168))</f>
        <v/>
      </c>
      <c r="U168" t="str">
        <f>IF($N168="","",IF(Sync!$O168="",0,Sync!$O168))</f>
        <v/>
      </c>
      <c r="V168" t="str">
        <f>IF($N168="","",Sync!$L168)</f>
        <v/>
      </c>
      <c r="W168" t="str">
        <f>IF($N168="","",Sync!$P168)</f>
        <v/>
      </c>
      <c r="AA168" t="str">
        <f>IF($A168="","",IF(COUNTIF($A$6:$A168,$A168)=1,1,0))</f>
        <v/>
      </c>
      <c r="AB168">
        <f>SUM($AA$6:$AA168)</f>
        <v>3</v>
      </c>
      <c r="AC168" t="str">
        <f t="shared" si="20"/>
        <v/>
      </c>
    </row>
    <row r="169" spans="1:29" x14ac:dyDescent="0.2">
      <c r="A169" t="str">
        <f>IF(OR(Entry!$B172="",Entry!$E172="",$E169="نامعتبر"),"",Entry!$E172)</f>
        <v/>
      </c>
      <c r="B169" t="str">
        <f>IF($A169="","",LEFT($E169,4)&amp;MID($E169,6,2)&amp;RIGHT($E169,2)&amp;$F169&amp;"|"&amp;"1"&amp;RIGHT("00000"&amp;164,5))</f>
        <v/>
      </c>
      <c r="C169" t="str">
        <f t="shared" si="14"/>
        <v/>
      </c>
      <c r="D169" t="str">
        <f t="shared" si="15"/>
        <v/>
      </c>
      <c r="E169" t="str">
        <f>IF(Entry!$B172="","",IF(ISNUMBER(Entry!$B172),IF(AND(Entry!$B172&gt;=10000101,Entry!$B172&lt;=99991231),INT(Entry!$B172/10000)&amp;"/"&amp;RIGHT("00"&amp;INT(MOD(Entry!$B172,10000)/100),2)&amp;"/"&amp;RIGHT("00"&amp;MOD(Entry!$B172,100),2),"نامعتبر"),IF(LEN(Entry!$B172)=10,Entry!$B172,"نامعتبر")))</f>
        <v/>
      </c>
      <c r="F169" t="str">
        <f>IF(Entry!$B172="","",IF(Entry!$C172="","0000",IF(AND(ISNUMBER(Entry!$C172),Entry!$C172&gt;=0,Entry!$C172&lt;1),RIGHT("00"&amp;HOUR(Entry!$C172),2)&amp;RIGHT("00"&amp;MINUTE(Entry!$C172),2),IFERROR(RIGHT("00"&amp;VALUE(LEFT(Entry!$C172,FIND(":",Entry!$C172)-1)),2)&amp;RIGHT("00"&amp;VALUE(MID(Entry!$C172,FIND(":",Entry!$C172)+1,2)),2),"0000"))))</f>
        <v/>
      </c>
      <c r="G169" t="str">
        <f>IF($A169="","",Entry!$G172)</f>
        <v/>
      </c>
      <c r="H169" t="str">
        <f>IF($A169="","",IF(Entry!$H172="",0,Entry!$H172))</f>
        <v/>
      </c>
      <c r="I169" t="str">
        <f>IF($A169="","",IF(Entry!$I172="",0,Entry!$I172))</f>
        <v/>
      </c>
      <c r="J169" t="str">
        <f t="shared" si="16"/>
        <v/>
      </c>
      <c r="K169" t="str">
        <f>IF($A169="","",Entry!$D172)</f>
        <v/>
      </c>
      <c r="L169" t="str">
        <f>IF($A169="","",Entry!$L172)</f>
        <v/>
      </c>
      <c r="N169" t="str">
        <f>IF(OR(Sync!$M169="",$Q169="",$Q169="نامعتبر"),"",Sync!$M169)</f>
        <v/>
      </c>
      <c r="O169" t="str">
        <f t="shared" si="17"/>
        <v/>
      </c>
      <c r="P169" t="str">
        <f>IF($N169="","",LEFT($Q169,4)&amp;MID($Q169,6,2)&amp;RIGHT($Q169,2)&amp;IF(Sync!$K169="","0000",IF(AND(ISNUMBER(Sync!$K169),Sync!$K169&gt;=0,Sync!$K169&lt;1),RIGHT("00"&amp;HOUR(Sync!$K169),2)&amp;RIGHT("00"&amp;MINUTE(Sync!$K169),2),IFERROR(RIGHT("00"&amp;VALUE(LEFT(Sync!$K169,FIND(":",Sync!$K169)-1)),2)&amp;RIGHT("00"&amp;VALUE(MID(Sync!$K169,FIND(":",Sync!$K169)+1,2)),2),"0000")))&amp;"|"&amp;"2"&amp;RIGHT("00000"&amp;164,5))</f>
        <v/>
      </c>
      <c r="Q169" t="str">
        <f>IF(Sync!$J169="","",IF(ISNUMBER(Sync!$J169),IF(AND(Sync!$J169&gt;=10000101,Sync!$J169&lt;=99991231),INT(Sync!$J169/10000)&amp;"/"&amp;RIGHT("00"&amp;INT(MOD(Sync!$J169,10000)/100),2)&amp;"/"&amp;RIGHT("00"&amp;MOD(Sync!$J169,100),2),"نامعتبر"),IF(LEN(Sync!$J169)=10,Sync!$J169,"نامعتبر")))</f>
        <v/>
      </c>
      <c r="R169" t="str">
        <f t="shared" si="18"/>
        <v/>
      </c>
      <c r="S169" t="str">
        <f t="shared" si="19"/>
        <v/>
      </c>
      <c r="T169" t="str">
        <f>IF($N169="","",IF(Sync!$N169="",0,Sync!$N169))</f>
        <v/>
      </c>
      <c r="U169" t="str">
        <f>IF($N169="","",IF(Sync!$O169="",0,Sync!$O169))</f>
        <v/>
      </c>
      <c r="V169" t="str">
        <f>IF($N169="","",Sync!$L169)</f>
        <v/>
      </c>
      <c r="W169" t="str">
        <f>IF($N169="","",Sync!$P169)</f>
        <v/>
      </c>
      <c r="AA169" t="str">
        <f>IF($A169="","",IF(COUNTIF($A$6:$A169,$A169)=1,1,0))</f>
        <v/>
      </c>
      <c r="AB169">
        <f>SUM($AA$6:$AA169)</f>
        <v>3</v>
      </c>
      <c r="AC169" t="str">
        <f t="shared" si="20"/>
        <v/>
      </c>
    </row>
    <row r="170" spans="1:29" x14ac:dyDescent="0.2">
      <c r="A170" t="str">
        <f>IF(OR(Entry!$B173="",Entry!$E173="",$E170="نامعتبر"),"",Entry!$E173)</f>
        <v/>
      </c>
      <c r="B170" t="str">
        <f>IF($A170="","",LEFT($E170,4)&amp;MID($E170,6,2)&amp;RIGHT($E170,2)&amp;$F170&amp;"|"&amp;"1"&amp;RIGHT("00000"&amp;165,5))</f>
        <v/>
      </c>
      <c r="C170" t="str">
        <f t="shared" si="14"/>
        <v/>
      </c>
      <c r="D170" t="str">
        <f t="shared" si="15"/>
        <v/>
      </c>
      <c r="E170" t="str">
        <f>IF(Entry!$B173="","",IF(ISNUMBER(Entry!$B173),IF(AND(Entry!$B173&gt;=10000101,Entry!$B173&lt;=99991231),INT(Entry!$B173/10000)&amp;"/"&amp;RIGHT("00"&amp;INT(MOD(Entry!$B173,10000)/100),2)&amp;"/"&amp;RIGHT("00"&amp;MOD(Entry!$B173,100),2),"نامعتبر"),IF(LEN(Entry!$B173)=10,Entry!$B173,"نامعتبر")))</f>
        <v/>
      </c>
      <c r="F170" t="str">
        <f>IF(Entry!$B173="","",IF(Entry!$C173="","0000",IF(AND(ISNUMBER(Entry!$C173),Entry!$C173&gt;=0,Entry!$C173&lt;1),RIGHT("00"&amp;HOUR(Entry!$C173),2)&amp;RIGHT("00"&amp;MINUTE(Entry!$C173),2),IFERROR(RIGHT("00"&amp;VALUE(LEFT(Entry!$C173,FIND(":",Entry!$C173)-1)),2)&amp;RIGHT("00"&amp;VALUE(MID(Entry!$C173,FIND(":",Entry!$C173)+1,2)),2),"0000"))))</f>
        <v/>
      </c>
      <c r="G170" t="str">
        <f>IF($A170="","",Entry!$G173)</f>
        <v/>
      </c>
      <c r="H170" t="str">
        <f>IF($A170="","",IF(Entry!$H173="",0,Entry!$H173))</f>
        <v/>
      </c>
      <c r="I170" t="str">
        <f>IF($A170="","",IF(Entry!$I173="",0,Entry!$I173))</f>
        <v/>
      </c>
      <c r="J170" t="str">
        <f t="shared" si="16"/>
        <v/>
      </c>
      <c r="K170" t="str">
        <f>IF($A170="","",Entry!$D173)</f>
        <v/>
      </c>
      <c r="L170" t="str">
        <f>IF($A170="","",Entry!$L173)</f>
        <v/>
      </c>
      <c r="N170" t="str">
        <f>IF(OR(Sync!$M170="",$Q170="",$Q170="نامعتبر"),"",Sync!$M170)</f>
        <v/>
      </c>
      <c r="O170" t="str">
        <f t="shared" si="17"/>
        <v/>
      </c>
      <c r="P170" t="str">
        <f>IF($N170="","",LEFT($Q170,4)&amp;MID($Q170,6,2)&amp;RIGHT($Q170,2)&amp;IF(Sync!$K170="","0000",IF(AND(ISNUMBER(Sync!$K170),Sync!$K170&gt;=0,Sync!$K170&lt;1),RIGHT("00"&amp;HOUR(Sync!$K170),2)&amp;RIGHT("00"&amp;MINUTE(Sync!$K170),2),IFERROR(RIGHT("00"&amp;VALUE(LEFT(Sync!$K170,FIND(":",Sync!$K170)-1)),2)&amp;RIGHT("00"&amp;VALUE(MID(Sync!$K170,FIND(":",Sync!$K170)+1,2)),2),"0000")))&amp;"|"&amp;"2"&amp;RIGHT("00000"&amp;165,5))</f>
        <v/>
      </c>
      <c r="Q170" t="str">
        <f>IF(Sync!$J170="","",IF(ISNUMBER(Sync!$J170),IF(AND(Sync!$J170&gt;=10000101,Sync!$J170&lt;=99991231),INT(Sync!$J170/10000)&amp;"/"&amp;RIGHT("00"&amp;INT(MOD(Sync!$J170,10000)/100),2)&amp;"/"&amp;RIGHT("00"&amp;MOD(Sync!$J170,100),2),"نامعتبر"),IF(LEN(Sync!$J170)=10,Sync!$J170,"نامعتبر")))</f>
        <v/>
      </c>
      <c r="R170" t="str">
        <f t="shared" si="18"/>
        <v/>
      </c>
      <c r="S170" t="str">
        <f t="shared" si="19"/>
        <v/>
      </c>
      <c r="T170" t="str">
        <f>IF($N170="","",IF(Sync!$N170="",0,Sync!$N170))</f>
        <v/>
      </c>
      <c r="U170" t="str">
        <f>IF($N170="","",IF(Sync!$O170="",0,Sync!$O170))</f>
        <v/>
      </c>
      <c r="V170" t="str">
        <f>IF($N170="","",Sync!$L170)</f>
        <v/>
      </c>
      <c r="W170" t="str">
        <f>IF($N170="","",Sync!$P170)</f>
        <v/>
      </c>
      <c r="AA170" t="str">
        <f>IF($A170="","",IF(COUNTIF($A$6:$A170,$A170)=1,1,0))</f>
        <v/>
      </c>
      <c r="AB170">
        <f>SUM($AA$6:$AA170)</f>
        <v>3</v>
      </c>
      <c r="AC170" t="str">
        <f t="shared" si="20"/>
        <v/>
      </c>
    </row>
    <row r="171" spans="1:29" x14ac:dyDescent="0.2">
      <c r="A171" t="str">
        <f>IF(OR(Entry!$B174="",Entry!$E174="",$E171="نامعتبر"),"",Entry!$E174)</f>
        <v/>
      </c>
      <c r="B171" t="str">
        <f>IF($A171="","",LEFT($E171,4)&amp;MID($E171,6,2)&amp;RIGHT($E171,2)&amp;$F171&amp;"|"&amp;"1"&amp;RIGHT("00000"&amp;166,5))</f>
        <v/>
      </c>
      <c r="C171" t="str">
        <f t="shared" si="14"/>
        <v/>
      </c>
      <c r="D171" t="str">
        <f t="shared" si="15"/>
        <v/>
      </c>
      <c r="E171" t="str">
        <f>IF(Entry!$B174="","",IF(ISNUMBER(Entry!$B174),IF(AND(Entry!$B174&gt;=10000101,Entry!$B174&lt;=99991231),INT(Entry!$B174/10000)&amp;"/"&amp;RIGHT("00"&amp;INT(MOD(Entry!$B174,10000)/100),2)&amp;"/"&amp;RIGHT("00"&amp;MOD(Entry!$B174,100),2),"نامعتبر"),IF(LEN(Entry!$B174)=10,Entry!$B174,"نامعتبر")))</f>
        <v/>
      </c>
      <c r="F171" t="str">
        <f>IF(Entry!$B174="","",IF(Entry!$C174="","0000",IF(AND(ISNUMBER(Entry!$C174),Entry!$C174&gt;=0,Entry!$C174&lt;1),RIGHT("00"&amp;HOUR(Entry!$C174),2)&amp;RIGHT("00"&amp;MINUTE(Entry!$C174),2),IFERROR(RIGHT("00"&amp;VALUE(LEFT(Entry!$C174,FIND(":",Entry!$C174)-1)),2)&amp;RIGHT("00"&amp;VALUE(MID(Entry!$C174,FIND(":",Entry!$C174)+1,2)),2),"0000"))))</f>
        <v/>
      </c>
      <c r="G171" t="str">
        <f>IF($A171="","",Entry!$G174)</f>
        <v/>
      </c>
      <c r="H171" t="str">
        <f>IF($A171="","",IF(Entry!$H174="",0,Entry!$H174))</f>
        <v/>
      </c>
      <c r="I171" t="str">
        <f>IF($A171="","",IF(Entry!$I174="",0,Entry!$I174))</f>
        <v/>
      </c>
      <c r="J171" t="str">
        <f t="shared" si="16"/>
        <v/>
      </c>
      <c r="K171" t="str">
        <f>IF($A171="","",Entry!$D174)</f>
        <v/>
      </c>
      <c r="L171" t="str">
        <f>IF($A171="","",Entry!$L174)</f>
        <v/>
      </c>
      <c r="N171" t="str">
        <f>IF(OR(Sync!$M171="",$Q171="",$Q171="نامعتبر"),"",Sync!$M171)</f>
        <v/>
      </c>
      <c r="O171" t="str">
        <f t="shared" si="17"/>
        <v/>
      </c>
      <c r="P171" t="str">
        <f>IF($N171="","",LEFT($Q171,4)&amp;MID($Q171,6,2)&amp;RIGHT($Q171,2)&amp;IF(Sync!$K171="","0000",IF(AND(ISNUMBER(Sync!$K171),Sync!$K171&gt;=0,Sync!$K171&lt;1),RIGHT("00"&amp;HOUR(Sync!$K171),2)&amp;RIGHT("00"&amp;MINUTE(Sync!$K171),2),IFERROR(RIGHT("00"&amp;VALUE(LEFT(Sync!$K171,FIND(":",Sync!$K171)-1)),2)&amp;RIGHT("00"&amp;VALUE(MID(Sync!$K171,FIND(":",Sync!$K171)+1,2)),2),"0000")))&amp;"|"&amp;"2"&amp;RIGHT("00000"&amp;166,5))</f>
        <v/>
      </c>
      <c r="Q171" t="str">
        <f>IF(Sync!$J171="","",IF(ISNUMBER(Sync!$J171),IF(AND(Sync!$J171&gt;=10000101,Sync!$J171&lt;=99991231),INT(Sync!$J171/10000)&amp;"/"&amp;RIGHT("00"&amp;INT(MOD(Sync!$J171,10000)/100),2)&amp;"/"&amp;RIGHT("00"&amp;MOD(Sync!$J171,100),2),"نامعتبر"),IF(LEN(Sync!$J171)=10,Sync!$J171,"نامعتبر")))</f>
        <v/>
      </c>
      <c r="R171" t="str">
        <f t="shared" si="18"/>
        <v/>
      </c>
      <c r="S171" t="str">
        <f t="shared" si="19"/>
        <v/>
      </c>
      <c r="T171" t="str">
        <f>IF($N171="","",IF(Sync!$N171="",0,Sync!$N171))</f>
        <v/>
      </c>
      <c r="U171" t="str">
        <f>IF($N171="","",IF(Sync!$O171="",0,Sync!$O171))</f>
        <v/>
      </c>
      <c r="V171" t="str">
        <f>IF($N171="","",Sync!$L171)</f>
        <v/>
      </c>
      <c r="W171" t="str">
        <f>IF($N171="","",Sync!$P171)</f>
        <v/>
      </c>
      <c r="AA171" t="str">
        <f>IF($A171="","",IF(COUNTIF($A$6:$A171,$A171)=1,1,0))</f>
        <v/>
      </c>
      <c r="AB171">
        <f>SUM($AA$6:$AA171)</f>
        <v>3</v>
      </c>
      <c r="AC171" t="str">
        <f t="shared" si="20"/>
        <v/>
      </c>
    </row>
    <row r="172" spans="1:29" x14ac:dyDescent="0.2">
      <c r="A172" t="str">
        <f>IF(OR(Entry!$B175="",Entry!$E175="",$E172="نامعتبر"),"",Entry!$E175)</f>
        <v/>
      </c>
      <c r="B172" t="str">
        <f>IF($A172="","",LEFT($E172,4)&amp;MID($E172,6,2)&amp;RIGHT($E172,2)&amp;$F172&amp;"|"&amp;"1"&amp;RIGHT("00000"&amp;167,5))</f>
        <v/>
      </c>
      <c r="C172" t="str">
        <f t="shared" si="14"/>
        <v/>
      </c>
      <c r="D172" t="str">
        <f t="shared" si="15"/>
        <v/>
      </c>
      <c r="E172" t="str">
        <f>IF(Entry!$B175="","",IF(ISNUMBER(Entry!$B175),IF(AND(Entry!$B175&gt;=10000101,Entry!$B175&lt;=99991231),INT(Entry!$B175/10000)&amp;"/"&amp;RIGHT("00"&amp;INT(MOD(Entry!$B175,10000)/100),2)&amp;"/"&amp;RIGHT("00"&amp;MOD(Entry!$B175,100),2),"نامعتبر"),IF(LEN(Entry!$B175)=10,Entry!$B175,"نامعتبر")))</f>
        <v/>
      </c>
      <c r="F172" t="str">
        <f>IF(Entry!$B175="","",IF(Entry!$C175="","0000",IF(AND(ISNUMBER(Entry!$C175),Entry!$C175&gt;=0,Entry!$C175&lt;1),RIGHT("00"&amp;HOUR(Entry!$C175),2)&amp;RIGHT("00"&amp;MINUTE(Entry!$C175),2),IFERROR(RIGHT("00"&amp;VALUE(LEFT(Entry!$C175,FIND(":",Entry!$C175)-1)),2)&amp;RIGHT("00"&amp;VALUE(MID(Entry!$C175,FIND(":",Entry!$C175)+1,2)),2),"0000"))))</f>
        <v/>
      </c>
      <c r="G172" t="str">
        <f>IF($A172="","",Entry!$G175)</f>
        <v/>
      </c>
      <c r="H172" t="str">
        <f>IF($A172="","",IF(Entry!$H175="",0,Entry!$H175))</f>
        <v/>
      </c>
      <c r="I172" t="str">
        <f>IF($A172="","",IF(Entry!$I175="",0,Entry!$I175))</f>
        <v/>
      </c>
      <c r="J172" t="str">
        <f t="shared" si="16"/>
        <v/>
      </c>
      <c r="K172" t="str">
        <f>IF($A172="","",Entry!$D175)</f>
        <v/>
      </c>
      <c r="L172" t="str">
        <f>IF($A172="","",Entry!$L175)</f>
        <v/>
      </c>
      <c r="N172" t="str">
        <f>IF(OR(Sync!$M172="",$Q172="",$Q172="نامعتبر"),"",Sync!$M172)</f>
        <v/>
      </c>
      <c r="O172" t="str">
        <f t="shared" si="17"/>
        <v/>
      </c>
      <c r="P172" t="str">
        <f>IF($N172="","",LEFT($Q172,4)&amp;MID($Q172,6,2)&amp;RIGHT($Q172,2)&amp;IF(Sync!$K172="","0000",IF(AND(ISNUMBER(Sync!$K172),Sync!$K172&gt;=0,Sync!$K172&lt;1),RIGHT("00"&amp;HOUR(Sync!$K172),2)&amp;RIGHT("00"&amp;MINUTE(Sync!$K172),2),IFERROR(RIGHT("00"&amp;VALUE(LEFT(Sync!$K172,FIND(":",Sync!$K172)-1)),2)&amp;RIGHT("00"&amp;VALUE(MID(Sync!$K172,FIND(":",Sync!$K172)+1,2)),2),"0000")))&amp;"|"&amp;"2"&amp;RIGHT("00000"&amp;167,5))</f>
        <v/>
      </c>
      <c r="Q172" t="str">
        <f>IF(Sync!$J172="","",IF(ISNUMBER(Sync!$J172),IF(AND(Sync!$J172&gt;=10000101,Sync!$J172&lt;=99991231),INT(Sync!$J172/10000)&amp;"/"&amp;RIGHT("00"&amp;INT(MOD(Sync!$J172,10000)/100),2)&amp;"/"&amp;RIGHT("00"&amp;MOD(Sync!$J172,100),2),"نامعتبر"),IF(LEN(Sync!$J172)=10,Sync!$J172,"نامعتبر")))</f>
        <v/>
      </c>
      <c r="R172" t="str">
        <f t="shared" si="18"/>
        <v/>
      </c>
      <c r="S172" t="str">
        <f t="shared" si="19"/>
        <v/>
      </c>
      <c r="T172" t="str">
        <f>IF($N172="","",IF(Sync!$N172="",0,Sync!$N172))</f>
        <v/>
      </c>
      <c r="U172" t="str">
        <f>IF($N172="","",IF(Sync!$O172="",0,Sync!$O172))</f>
        <v/>
      </c>
      <c r="V172" t="str">
        <f>IF($N172="","",Sync!$L172)</f>
        <v/>
      </c>
      <c r="W172" t="str">
        <f>IF($N172="","",Sync!$P172)</f>
        <v/>
      </c>
      <c r="AA172" t="str">
        <f>IF($A172="","",IF(COUNTIF($A$6:$A172,$A172)=1,1,0))</f>
        <v/>
      </c>
      <c r="AB172">
        <f>SUM($AA$6:$AA172)</f>
        <v>3</v>
      </c>
      <c r="AC172" t="str">
        <f t="shared" si="20"/>
        <v/>
      </c>
    </row>
    <row r="173" spans="1:29" x14ac:dyDescent="0.2">
      <c r="A173" t="str">
        <f>IF(OR(Entry!$B176="",Entry!$E176="",$E173="نامعتبر"),"",Entry!$E176)</f>
        <v/>
      </c>
      <c r="B173" t="str">
        <f>IF($A173="","",LEFT($E173,4)&amp;MID($E173,6,2)&amp;RIGHT($E173,2)&amp;$F173&amp;"|"&amp;"1"&amp;RIGHT("00000"&amp;168,5))</f>
        <v/>
      </c>
      <c r="C173" t="str">
        <f t="shared" si="14"/>
        <v/>
      </c>
      <c r="D173" t="str">
        <f t="shared" si="15"/>
        <v/>
      </c>
      <c r="E173" t="str">
        <f>IF(Entry!$B176="","",IF(ISNUMBER(Entry!$B176),IF(AND(Entry!$B176&gt;=10000101,Entry!$B176&lt;=99991231),INT(Entry!$B176/10000)&amp;"/"&amp;RIGHT("00"&amp;INT(MOD(Entry!$B176,10000)/100),2)&amp;"/"&amp;RIGHT("00"&amp;MOD(Entry!$B176,100),2),"نامعتبر"),IF(LEN(Entry!$B176)=10,Entry!$B176,"نامعتبر")))</f>
        <v/>
      </c>
      <c r="F173" t="str">
        <f>IF(Entry!$B176="","",IF(Entry!$C176="","0000",IF(AND(ISNUMBER(Entry!$C176),Entry!$C176&gt;=0,Entry!$C176&lt;1),RIGHT("00"&amp;HOUR(Entry!$C176),2)&amp;RIGHT("00"&amp;MINUTE(Entry!$C176),2),IFERROR(RIGHT("00"&amp;VALUE(LEFT(Entry!$C176,FIND(":",Entry!$C176)-1)),2)&amp;RIGHT("00"&amp;VALUE(MID(Entry!$C176,FIND(":",Entry!$C176)+1,2)),2),"0000"))))</f>
        <v/>
      </c>
      <c r="G173" t="str">
        <f>IF($A173="","",Entry!$G176)</f>
        <v/>
      </c>
      <c r="H173" t="str">
        <f>IF($A173="","",IF(Entry!$H176="",0,Entry!$H176))</f>
        <v/>
      </c>
      <c r="I173" t="str">
        <f>IF($A173="","",IF(Entry!$I176="",0,Entry!$I176))</f>
        <v/>
      </c>
      <c r="J173" t="str">
        <f t="shared" si="16"/>
        <v/>
      </c>
      <c r="K173" t="str">
        <f>IF($A173="","",Entry!$D176)</f>
        <v/>
      </c>
      <c r="L173" t="str">
        <f>IF($A173="","",Entry!$L176)</f>
        <v/>
      </c>
      <c r="N173" t="str">
        <f>IF(OR(Sync!$M173="",$Q173="",$Q173="نامعتبر"),"",Sync!$M173)</f>
        <v/>
      </c>
      <c r="O173" t="str">
        <f t="shared" si="17"/>
        <v/>
      </c>
      <c r="P173" t="str">
        <f>IF($N173="","",LEFT($Q173,4)&amp;MID($Q173,6,2)&amp;RIGHT($Q173,2)&amp;IF(Sync!$K173="","0000",IF(AND(ISNUMBER(Sync!$K173),Sync!$K173&gt;=0,Sync!$K173&lt;1),RIGHT("00"&amp;HOUR(Sync!$K173),2)&amp;RIGHT("00"&amp;MINUTE(Sync!$K173),2),IFERROR(RIGHT("00"&amp;VALUE(LEFT(Sync!$K173,FIND(":",Sync!$K173)-1)),2)&amp;RIGHT("00"&amp;VALUE(MID(Sync!$K173,FIND(":",Sync!$K173)+1,2)),2),"0000")))&amp;"|"&amp;"2"&amp;RIGHT("00000"&amp;168,5))</f>
        <v/>
      </c>
      <c r="Q173" t="str">
        <f>IF(Sync!$J173="","",IF(ISNUMBER(Sync!$J173),IF(AND(Sync!$J173&gt;=10000101,Sync!$J173&lt;=99991231),INT(Sync!$J173/10000)&amp;"/"&amp;RIGHT("00"&amp;INT(MOD(Sync!$J173,10000)/100),2)&amp;"/"&amp;RIGHT("00"&amp;MOD(Sync!$J173,100),2),"نامعتبر"),IF(LEN(Sync!$J173)=10,Sync!$J173,"نامعتبر")))</f>
        <v/>
      </c>
      <c r="R173" t="str">
        <f t="shared" si="18"/>
        <v/>
      </c>
      <c r="S173" t="str">
        <f t="shared" si="19"/>
        <v/>
      </c>
      <c r="T173" t="str">
        <f>IF($N173="","",IF(Sync!$N173="",0,Sync!$N173))</f>
        <v/>
      </c>
      <c r="U173" t="str">
        <f>IF($N173="","",IF(Sync!$O173="",0,Sync!$O173))</f>
        <v/>
      </c>
      <c r="V173" t="str">
        <f>IF($N173="","",Sync!$L173)</f>
        <v/>
      </c>
      <c r="W173" t="str">
        <f>IF($N173="","",Sync!$P173)</f>
        <v/>
      </c>
      <c r="AA173" t="str">
        <f>IF($A173="","",IF(COUNTIF($A$6:$A173,$A173)=1,1,0))</f>
        <v/>
      </c>
      <c r="AB173">
        <f>SUM($AA$6:$AA173)</f>
        <v>3</v>
      </c>
      <c r="AC173" t="str">
        <f t="shared" si="20"/>
        <v/>
      </c>
    </row>
    <row r="174" spans="1:29" x14ac:dyDescent="0.2">
      <c r="A174" t="str">
        <f>IF(OR(Entry!$B177="",Entry!$E177="",$E174="نامعتبر"),"",Entry!$E177)</f>
        <v/>
      </c>
      <c r="B174" t="str">
        <f>IF($A174="","",LEFT($E174,4)&amp;MID($E174,6,2)&amp;RIGHT($E174,2)&amp;$F174&amp;"|"&amp;"1"&amp;RIGHT("00000"&amp;169,5))</f>
        <v/>
      </c>
      <c r="C174" t="str">
        <f t="shared" si="14"/>
        <v/>
      </c>
      <c r="D174" t="str">
        <f t="shared" si="15"/>
        <v/>
      </c>
      <c r="E174" t="str">
        <f>IF(Entry!$B177="","",IF(ISNUMBER(Entry!$B177),IF(AND(Entry!$B177&gt;=10000101,Entry!$B177&lt;=99991231),INT(Entry!$B177/10000)&amp;"/"&amp;RIGHT("00"&amp;INT(MOD(Entry!$B177,10000)/100),2)&amp;"/"&amp;RIGHT("00"&amp;MOD(Entry!$B177,100),2),"نامعتبر"),IF(LEN(Entry!$B177)=10,Entry!$B177,"نامعتبر")))</f>
        <v/>
      </c>
      <c r="F174" t="str">
        <f>IF(Entry!$B177="","",IF(Entry!$C177="","0000",IF(AND(ISNUMBER(Entry!$C177),Entry!$C177&gt;=0,Entry!$C177&lt;1),RIGHT("00"&amp;HOUR(Entry!$C177),2)&amp;RIGHT("00"&amp;MINUTE(Entry!$C177),2),IFERROR(RIGHT("00"&amp;VALUE(LEFT(Entry!$C177,FIND(":",Entry!$C177)-1)),2)&amp;RIGHT("00"&amp;VALUE(MID(Entry!$C177,FIND(":",Entry!$C177)+1,2)),2),"0000"))))</f>
        <v/>
      </c>
      <c r="G174" t="str">
        <f>IF($A174="","",Entry!$G177)</f>
        <v/>
      </c>
      <c r="H174" t="str">
        <f>IF($A174="","",IF(Entry!$H177="",0,Entry!$H177))</f>
        <v/>
      </c>
      <c r="I174" t="str">
        <f>IF($A174="","",IF(Entry!$I177="",0,Entry!$I177))</f>
        <v/>
      </c>
      <c r="J174" t="str">
        <f t="shared" si="16"/>
        <v/>
      </c>
      <c r="K174" t="str">
        <f>IF($A174="","",Entry!$D177)</f>
        <v/>
      </c>
      <c r="L174" t="str">
        <f>IF($A174="","",Entry!$L177)</f>
        <v/>
      </c>
      <c r="N174" t="str">
        <f>IF(OR(Sync!$M174="",$Q174="",$Q174="نامعتبر"),"",Sync!$M174)</f>
        <v/>
      </c>
      <c r="O174" t="str">
        <f t="shared" si="17"/>
        <v/>
      </c>
      <c r="P174" t="str">
        <f>IF($N174="","",LEFT($Q174,4)&amp;MID($Q174,6,2)&amp;RIGHT($Q174,2)&amp;IF(Sync!$K174="","0000",IF(AND(ISNUMBER(Sync!$K174),Sync!$K174&gt;=0,Sync!$K174&lt;1),RIGHT("00"&amp;HOUR(Sync!$K174),2)&amp;RIGHT("00"&amp;MINUTE(Sync!$K174),2),IFERROR(RIGHT("00"&amp;VALUE(LEFT(Sync!$K174,FIND(":",Sync!$K174)-1)),2)&amp;RIGHT("00"&amp;VALUE(MID(Sync!$K174,FIND(":",Sync!$K174)+1,2)),2),"0000")))&amp;"|"&amp;"2"&amp;RIGHT("00000"&amp;169,5))</f>
        <v/>
      </c>
      <c r="Q174" t="str">
        <f>IF(Sync!$J174="","",IF(ISNUMBER(Sync!$J174),IF(AND(Sync!$J174&gt;=10000101,Sync!$J174&lt;=99991231),INT(Sync!$J174/10000)&amp;"/"&amp;RIGHT("00"&amp;INT(MOD(Sync!$J174,10000)/100),2)&amp;"/"&amp;RIGHT("00"&amp;MOD(Sync!$J174,100),2),"نامعتبر"),IF(LEN(Sync!$J174)=10,Sync!$J174,"نامعتبر")))</f>
        <v/>
      </c>
      <c r="R174" t="str">
        <f t="shared" si="18"/>
        <v/>
      </c>
      <c r="S174" t="str">
        <f t="shared" si="19"/>
        <v/>
      </c>
      <c r="T174" t="str">
        <f>IF($N174="","",IF(Sync!$N174="",0,Sync!$N174))</f>
        <v/>
      </c>
      <c r="U174" t="str">
        <f>IF($N174="","",IF(Sync!$O174="",0,Sync!$O174))</f>
        <v/>
      </c>
      <c r="V174" t="str">
        <f>IF($N174="","",Sync!$L174)</f>
        <v/>
      </c>
      <c r="W174" t="str">
        <f>IF($N174="","",Sync!$P174)</f>
        <v/>
      </c>
      <c r="AA174" t="str">
        <f>IF($A174="","",IF(COUNTIF($A$6:$A174,$A174)=1,1,0))</f>
        <v/>
      </c>
      <c r="AB174">
        <f>SUM($AA$6:$AA174)</f>
        <v>3</v>
      </c>
      <c r="AC174" t="str">
        <f t="shared" si="20"/>
        <v/>
      </c>
    </row>
    <row r="175" spans="1:29" x14ac:dyDescent="0.2">
      <c r="A175" t="str">
        <f>IF(OR(Entry!$B178="",Entry!$E178="",$E175="نامعتبر"),"",Entry!$E178)</f>
        <v/>
      </c>
      <c r="B175" t="str">
        <f>IF($A175="","",LEFT($E175,4)&amp;MID($E175,6,2)&amp;RIGHT($E175,2)&amp;$F175&amp;"|"&amp;"1"&amp;RIGHT("00000"&amp;170,5))</f>
        <v/>
      </c>
      <c r="C175" t="str">
        <f t="shared" si="14"/>
        <v/>
      </c>
      <c r="D175" t="str">
        <f t="shared" si="15"/>
        <v/>
      </c>
      <c r="E175" t="str">
        <f>IF(Entry!$B178="","",IF(ISNUMBER(Entry!$B178),IF(AND(Entry!$B178&gt;=10000101,Entry!$B178&lt;=99991231),INT(Entry!$B178/10000)&amp;"/"&amp;RIGHT("00"&amp;INT(MOD(Entry!$B178,10000)/100),2)&amp;"/"&amp;RIGHT("00"&amp;MOD(Entry!$B178,100),2),"نامعتبر"),IF(LEN(Entry!$B178)=10,Entry!$B178,"نامعتبر")))</f>
        <v/>
      </c>
      <c r="F175" t="str">
        <f>IF(Entry!$B178="","",IF(Entry!$C178="","0000",IF(AND(ISNUMBER(Entry!$C178),Entry!$C178&gt;=0,Entry!$C178&lt;1),RIGHT("00"&amp;HOUR(Entry!$C178),2)&amp;RIGHT("00"&amp;MINUTE(Entry!$C178),2),IFERROR(RIGHT("00"&amp;VALUE(LEFT(Entry!$C178,FIND(":",Entry!$C178)-1)),2)&amp;RIGHT("00"&amp;VALUE(MID(Entry!$C178,FIND(":",Entry!$C178)+1,2)),2),"0000"))))</f>
        <v/>
      </c>
      <c r="G175" t="str">
        <f>IF($A175="","",Entry!$G178)</f>
        <v/>
      </c>
      <c r="H175" t="str">
        <f>IF($A175="","",IF(Entry!$H178="",0,Entry!$H178))</f>
        <v/>
      </c>
      <c r="I175" t="str">
        <f>IF($A175="","",IF(Entry!$I178="",0,Entry!$I178))</f>
        <v/>
      </c>
      <c r="J175" t="str">
        <f t="shared" si="16"/>
        <v/>
      </c>
      <c r="K175" t="str">
        <f>IF($A175="","",Entry!$D178)</f>
        <v/>
      </c>
      <c r="L175" t="str">
        <f>IF($A175="","",Entry!$L178)</f>
        <v/>
      </c>
      <c r="N175" t="str">
        <f>IF(OR(Sync!$M175="",$Q175="",$Q175="نامعتبر"),"",Sync!$M175)</f>
        <v/>
      </c>
      <c r="O175" t="str">
        <f t="shared" si="17"/>
        <v/>
      </c>
      <c r="P175" t="str">
        <f>IF($N175="","",LEFT($Q175,4)&amp;MID($Q175,6,2)&amp;RIGHT($Q175,2)&amp;IF(Sync!$K175="","0000",IF(AND(ISNUMBER(Sync!$K175),Sync!$K175&gt;=0,Sync!$K175&lt;1),RIGHT("00"&amp;HOUR(Sync!$K175),2)&amp;RIGHT("00"&amp;MINUTE(Sync!$K175),2),IFERROR(RIGHT("00"&amp;VALUE(LEFT(Sync!$K175,FIND(":",Sync!$K175)-1)),2)&amp;RIGHT("00"&amp;VALUE(MID(Sync!$K175,FIND(":",Sync!$K175)+1,2)),2),"0000")))&amp;"|"&amp;"2"&amp;RIGHT("00000"&amp;170,5))</f>
        <v/>
      </c>
      <c r="Q175" t="str">
        <f>IF(Sync!$J175="","",IF(ISNUMBER(Sync!$J175),IF(AND(Sync!$J175&gt;=10000101,Sync!$J175&lt;=99991231),INT(Sync!$J175/10000)&amp;"/"&amp;RIGHT("00"&amp;INT(MOD(Sync!$J175,10000)/100),2)&amp;"/"&amp;RIGHT("00"&amp;MOD(Sync!$J175,100),2),"نامعتبر"),IF(LEN(Sync!$J175)=10,Sync!$J175,"نامعتبر")))</f>
        <v/>
      </c>
      <c r="R175" t="str">
        <f t="shared" si="18"/>
        <v/>
      </c>
      <c r="S175" t="str">
        <f t="shared" si="19"/>
        <v/>
      </c>
      <c r="T175" t="str">
        <f>IF($N175="","",IF(Sync!$N175="",0,Sync!$N175))</f>
        <v/>
      </c>
      <c r="U175" t="str">
        <f>IF($N175="","",IF(Sync!$O175="",0,Sync!$O175))</f>
        <v/>
      </c>
      <c r="V175" t="str">
        <f>IF($N175="","",Sync!$L175)</f>
        <v/>
      </c>
      <c r="W175" t="str">
        <f>IF($N175="","",Sync!$P175)</f>
        <v/>
      </c>
      <c r="AA175" t="str">
        <f>IF($A175="","",IF(COUNTIF($A$6:$A175,$A175)=1,1,0))</f>
        <v/>
      </c>
      <c r="AB175">
        <f>SUM($AA$6:$AA175)</f>
        <v>3</v>
      </c>
      <c r="AC175" t="str">
        <f t="shared" si="20"/>
        <v/>
      </c>
    </row>
    <row r="176" spans="1:29" x14ac:dyDescent="0.2">
      <c r="A176" t="str">
        <f>IF(OR(Entry!$B179="",Entry!$E179="",$E176="نامعتبر"),"",Entry!$E179)</f>
        <v/>
      </c>
      <c r="B176" t="str">
        <f>IF($A176="","",LEFT($E176,4)&amp;MID($E176,6,2)&amp;RIGHT($E176,2)&amp;$F176&amp;"|"&amp;"1"&amp;RIGHT("00000"&amp;171,5))</f>
        <v/>
      </c>
      <c r="C176" t="str">
        <f t="shared" si="14"/>
        <v/>
      </c>
      <c r="D176" t="str">
        <f t="shared" si="15"/>
        <v/>
      </c>
      <c r="E176" t="str">
        <f>IF(Entry!$B179="","",IF(ISNUMBER(Entry!$B179),IF(AND(Entry!$B179&gt;=10000101,Entry!$B179&lt;=99991231),INT(Entry!$B179/10000)&amp;"/"&amp;RIGHT("00"&amp;INT(MOD(Entry!$B179,10000)/100),2)&amp;"/"&amp;RIGHT("00"&amp;MOD(Entry!$B179,100),2),"نامعتبر"),IF(LEN(Entry!$B179)=10,Entry!$B179,"نامعتبر")))</f>
        <v/>
      </c>
      <c r="F176" t="str">
        <f>IF(Entry!$B179="","",IF(Entry!$C179="","0000",IF(AND(ISNUMBER(Entry!$C179),Entry!$C179&gt;=0,Entry!$C179&lt;1),RIGHT("00"&amp;HOUR(Entry!$C179),2)&amp;RIGHT("00"&amp;MINUTE(Entry!$C179),2),IFERROR(RIGHT("00"&amp;VALUE(LEFT(Entry!$C179,FIND(":",Entry!$C179)-1)),2)&amp;RIGHT("00"&amp;VALUE(MID(Entry!$C179,FIND(":",Entry!$C179)+1,2)),2),"0000"))))</f>
        <v/>
      </c>
      <c r="G176" t="str">
        <f>IF($A176="","",Entry!$G179)</f>
        <v/>
      </c>
      <c r="H176" t="str">
        <f>IF($A176="","",IF(Entry!$H179="",0,Entry!$H179))</f>
        <v/>
      </c>
      <c r="I176" t="str">
        <f>IF($A176="","",IF(Entry!$I179="",0,Entry!$I179))</f>
        <v/>
      </c>
      <c r="J176" t="str">
        <f t="shared" si="16"/>
        <v/>
      </c>
      <c r="K176" t="str">
        <f>IF($A176="","",Entry!$D179)</f>
        <v/>
      </c>
      <c r="L176" t="str">
        <f>IF($A176="","",Entry!$L179)</f>
        <v/>
      </c>
      <c r="N176" t="str">
        <f>IF(OR(Sync!$M176="",$Q176="",$Q176="نامعتبر"),"",Sync!$M176)</f>
        <v/>
      </c>
      <c r="O176" t="str">
        <f t="shared" si="17"/>
        <v/>
      </c>
      <c r="P176" t="str">
        <f>IF($N176="","",LEFT($Q176,4)&amp;MID($Q176,6,2)&amp;RIGHT($Q176,2)&amp;IF(Sync!$K176="","0000",IF(AND(ISNUMBER(Sync!$K176),Sync!$K176&gt;=0,Sync!$K176&lt;1),RIGHT("00"&amp;HOUR(Sync!$K176),2)&amp;RIGHT("00"&amp;MINUTE(Sync!$K176),2),IFERROR(RIGHT("00"&amp;VALUE(LEFT(Sync!$K176,FIND(":",Sync!$K176)-1)),2)&amp;RIGHT("00"&amp;VALUE(MID(Sync!$K176,FIND(":",Sync!$K176)+1,2)),2),"0000")))&amp;"|"&amp;"2"&amp;RIGHT("00000"&amp;171,5))</f>
        <v/>
      </c>
      <c r="Q176" t="str">
        <f>IF(Sync!$J176="","",IF(ISNUMBER(Sync!$J176),IF(AND(Sync!$J176&gt;=10000101,Sync!$J176&lt;=99991231),INT(Sync!$J176/10000)&amp;"/"&amp;RIGHT("00"&amp;INT(MOD(Sync!$J176,10000)/100),2)&amp;"/"&amp;RIGHT("00"&amp;MOD(Sync!$J176,100),2),"نامعتبر"),IF(LEN(Sync!$J176)=10,Sync!$J176,"نامعتبر")))</f>
        <v/>
      </c>
      <c r="R176" t="str">
        <f t="shared" si="18"/>
        <v/>
      </c>
      <c r="S176" t="str">
        <f t="shared" si="19"/>
        <v/>
      </c>
      <c r="T176" t="str">
        <f>IF($N176="","",IF(Sync!$N176="",0,Sync!$N176))</f>
        <v/>
      </c>
      <c r="U176" t="str">
        <f>IF($N176="","",IF(Sync!$O176="",0,Sync!$O176))</f>
        <v/>
      </c>
      <c r="V176" t="str">
        <f>IF($N176="","",Sync!$L176)</f>
        <v/>
      </c>
      <c r="W176" t="str">
        <f>IF($N176="","",Sync!$P176)</f>
        <v/>
      </c>
      <c r="AA176" t="str">
        <f>IF($A176="","",IF(COUNTIF($A$6:$A176,$A176)=1,1,0))</f>
        <v/>
      </c>
      <c r="AB176">
        <f>SUM($AA$6:$AA176)</f>
        <v>3</v>
      </c>
      <c r="AC176" t="str">
        <f t="shared" si="20"/>
        <v/>
      </c>
    </row>
    <row r="177" spans="1:29" x14ac:dyDescent="0.2">
      <c r="A177" t="str">
        <f>IF(OR(Entry!$B180="",Entry!$E180="",$E177="نامعتبر"),"",Entry!$E180)</f>
        <v/>
      </c>
      <c r="B177" t="str">
        <f>IF($A177="","",LEFT($E177,4)&amp;MID($E177,6,2)&amp;RIGHT($E177,2)&amp;$F177&amp;"|"&amp;"1"&amp;RIGHT("00000"&amp;172,5))</f>
        <v/>
      </c>
      <c r="C177" t="str">
        <f t="shared" si="14"/>
        <v/>
      </c>
      <c r="D177" t="str">
        <f t="shared" si="15"/>
        <v/>
      </c>
      <c r="E177" t="str">
        <f>IF(Entry!$B180="","",IF(ISNUMBER(Entry!$B180),IF(AND(Entry!$B180&gt;=10000101,Entry!$B180&lt;=99991231),INT(Entry!$B180/10000)&amp;"/"&amp;RIGHT("00"&amp;INT(MOD(Entry!$B180,10000)/100),2)&amp;"/"&amp;RIGHT("00"&amp;MOD(Entry!$B180,100),2),"نامعتبر"),IF(LEN(Entry!$B180)=10,Entry!$B180,"نامعتبر")))</f>
        <v/>
      </c>
      <c r="F177" t="str">
        <f>IF(Entry!$B180="","",IF(Entry!$C180="","0000",IF(AND(ISNUMBER(Entry!$C180),Entry!$C180&gt;=0,Entry!$C180&lt;1),RIGHT("00"&amp;HOUR(Entry!$C180),2)&amp;RIGHT("00"&amp;MINUTE(Entry!$C180),2),IFERROR(RIGHT("00"&amp;VALUE(LEFT(Entry!$C180,FIND(":",Entry!$C180)-1)),2)&amp;RIGHT("00"&amp;VALUE(MID(Entry!$C180,FIND(":",Entry!$C180)+1,2)),2),"0000"))))</f>
        <v/>
      </c>
      <c r="G177" t="str">
        <f>IF($A177="","",Entry!$G180)</f>
        <v/>
      </c>
      <c r="H177" t="str">
        <f>IF($A177="","",IF(Entry!$H180="",0,Entry!$H180))</f>
        <v/>
      </c>
      <c r="I177" t="str">
        <f>IF($A177="","",IF(Entry!$I180="",0,Entry!$I180))</f>
        <v/>
      </c>
      <c r="J177" t="str">
        <f t="shared" si="16"/>
        <v/>
      </c>
      <c r="K177" t="str">
        <f>IF($A177="","",Entry!$D180)</f>
        <v/>
      </c>
      <c r="L177" t="str">
        <f>IF($A177="","",Entry!$L180)</f>
        <v/>
      </c>
      <c r="N177" t="str">
        <f>IF(OR(Sync!$M177="",$Q177="",$Q177="نامعتبر"),"",Sync!$M177)</f>
        <v/>
      </c>
      <c r="O177" t="str">
        <f t="shared" si="17"/>
        <v/>
      </c>
      <c r="P177" t="str">
        <f>IF($N177="","",LEFT($Q177,4)&amp;MID($Q177,6,2)&amp;RIGHT($Q177,2)&amp;IF(Sync!$K177="","0000",IF(AND(ISNUMBER(Sync!$K177),Sync!$K177&gt;=0,Sync!$K177&lt;1),RIGHT("00"&amp;HOUR(Sync!$K177),2)&amp;RIGHT("00"&amp;MINUTE(Sync!$K177),2),IFERROR(RIGHT("00"&amp;VALUE(LEFT(Sync!$K177,FIND(":",Sync!$K177)-1)),2)&amp;RIGHT("00"&amp;VALUE(MID(Sync!$K177,FIND(":",Sync!$K177)+1,2)),2),"0000")))&amp;"|"&amp;"2"&amp;RIGHT("00000"&amp;172,5))</f>
        <v/>
      </c>
      <c r="Q177" t="str">
        <f>IF(Sync!$J177="","",IF(ISNUMBER(Sync!$J177),IF(AND(Sync!$J177&gt;=10000101,Sync!$J177&lt;=99991231),INT(Sync!$J177/10000)&amp;"/"&amp;RIGHT("00"&amp;INT(MOD(Sync!$J177,10000)/100),2)&amp;"/"&amp;RIGHT("00"&amp;MOD(Sync!$J177,100),2),"نامعتبر"),IF(LEN(Sync!$J177)=10,Sync!$J177,"نامعتبر")))</f>
        <v/>
      </c>
      <c r="R177" t="str">
        <f t="shared" si="18"/>
        <v/>
      </c>
      <c r="S177" t="str">
        <f t="shared" si="19"/>
        <v/>
      </c>
      <c r="T177" t="str">
        <f>IF($N177="","",IF(Sync!$N177="",0,Sync!$N177))</f>
        <v/>
      </c>
      <c r="U177" t="str">
        <f>IF($N177="","",IF(Sync!$O177="",0,Sync!$O177))</f>
        <v/>
      </c>
      <c r="V177" t="str">
        <f>IF($N177="","",Sync!$L177)</f>
        <v/>
      </c>
      <c r="W177" t="str">
        <f>IF($N177="","",Sync!$P177)</f>
        <v/>
      </c>
      <c r="AA177" t="str">
        <f>IF($A177="","",IF(COUNTIF($A$6:$A177,$A177)=1,1,0))</f>
        <v/>
      </c>
      <c r="AB177">
        <f>SUM($AA$6:$AA177)</f>
        <v>3</v>
      </c>
      <c r="AC177" t="str">
        <f t="shared" si="20"/>
        <v/>
      </c>
    </row>
    <row r="178" spans="1:29" x14ac:dyDescent="0.2">
      <c r="A178" t="str">
        <f>IF(OR(Entry!$B181="",Entry!$E181="",$E178="نامعتبر"),"",Entry!$E181)</f>
        <v/>
      </c>
      <c r="B178" t="str">
        <f>IF($A178="","",LEFT($E178,4)&amp;MID($E178,6,2)&amp;RIGHT($E178,2)&amp;$F178&amp;"|"&amp;"1"&amp;RIGHT("00000"&amp;173,5))</f>
        <v/>
      </c>
      <c r="C178" t="str">
        <f t="shared" si="14"/>
        <v/>
      </c>
      <c r="D178" t="str">
        <f t="shared" si="15"/>
        <v/>
      </c>
      <c r="E178" t="str">
        <f>IF(Entry!$B181="","",IF(ISNUMBER(Entry!$B181),IF(AND(Entry!$B181&gt;=10000101,Entry!$B181&lt;=99991231),INT(Entry!$B181/10000)&amp;"/"&amp;RIGHT("00"&amp;INT(MOD(Entry!$B181,10000)/100),2)&amp;"/"&amp;RIGHT("00"&amp;MOD(Entry!$B181,100),2),"نامعتبر"),IF(LEN(Entry!$B181)=10,Entry!$B181,"نامعتبر")))</f>
        <v/>
      </c>
      <c r="F178" t="str">
        <f>IF(Entry!$B181="","",IF(Entry!$C181="","0000",IF(AND(ISNUMBER(Entry!$C181),Entry!$C181&gt;=0,Entry!$C181&lt;1),RIGHT("00"&amp;HOUR(Entry!$C181),2)&amp;RIGHT("00"&amp;MINUTE(Entry!$C181),2),IFERROR(RIGHT("00"&amp;VALUE(LEFT(Entry!$C181,FIND(":",Entry!$C181)-1)),2)&amp;RIGHT("00"&amp;VALUE(MID(Entry!$C181,FIND(":",Entry!$C181)+1,2)),2),"0000"))))</f>
        <v/>
      </c>
      <c r="G178" t="str">
        <f>IF($A178="","",Entry!$G181)</f>
        <v/>
      </c>
      <c r="H178" t="str">
        <f>IF($A178="","",IF(Entry!$H181="",0,Entry!$H181))</f>
        <v/>
      </c>
      <c r="I178" t="str">
        <f>IF($A178="","",IF(Entry!$I181="",0,Entry!$I181))</f>
        <v/>
      </c>
      <c r="J178" t="str">
        <f t="shared" si="16"/>
        <v/>
      </c>
      <c r="K178" t="str">
        <f>IF($A178="","",Entry!$D181)</f>
        <v/>
      </c>
      <c r="L178" t="str">
        <f>IF($A178="","",Entry!$L181)</f>
        <v/>
      </c>
      <c r="N178" t="str">
        <f>IF(OR(Sync!$M178="",$Q178="",$Q178="نامعتبر"),"",Sync!$M178)</f>
        <v/>
      </c>
      <c r="O178" t="str">
        <f t="shared" si="17"/>
        <v/>
      </c>
      <c r="P178" t="str">
        <f>IF($N178="","",LEFT($Q178,4)&amp;MID($Q178,6,2)&amp;RIGHT($Q178,2)&amp;IF(Sync!$K178="","0000",IF(AND(ISNUMBER(Sync!$K178),Sync!$K178&gt;=0,Sync!$K178&lt;1),RIGHT("00"&amp;HOUR(Sync!$K178),2)&amp;RIGHT("00"&amp;MINUTE(Sync!$K178),2),IFERROR(RIGHT("00"&amp;VALUE(LEFT(Sync!$K178,FIND(":",Sync!$K178)-1)),2)&amp;RIGHT("00"&amp;VALUE(MID(Sync!$K178,FIND(":",Sync!$K178)+1,2)),2),"0000")))&amp;"|"&amp;"2"&amp;RIGHT("00000"&amp;173,5))</f>
        <v/>
      </c>
      <c r="Q178" t="str">
        <f>IF(Sync!$J178="","",IF(ISNUMBER(Sync!$J178),IF(AND(Sync!$J178&gt;=10000101,Sync!$J178&lt;=99991231),INT(Sync!$J178/10000)&amp;"/"&amp;RIGHT("00"&amp;INT(MOD(Sync!$J178,10000)/100),2)&amp;"/"&amp;RIGHT("00"&amp;MOD(Sync!$J178,100),2),"نامعتبر"),IF(LEN(Sync!$J178)=10,Sync!$J178,"نامعتبر")))</f>
        <v/>
      </c>
      <c r="R178" t="str">
        <f t="shared" si="18"/>
        <v/>
      </c>
      <c r="S178" t="str">
        <f t="shared" si="19"/>
        <v/>
      </c>
      <c r="T178" t="str">
        <f>IF($N178="","",IF(Sync!$N178="",0,Sync!$N178))</f>
        <v/>
      </c>
      <c r="U178" t="str">
        <f>IF($N178="","",IF(Sync!$O178="",0,Sync!$O178))</f>
        <v/>
      </c>
      <c r="V178" t="str">
        <f>IF($N178="","",Sync!$L178)</f>
        <v/>
      </c>
      <c r="W178" t="str">
        <f>IF($N178="","",Sync!$P178)</f>
        <v/>
      </c>
      <c r="AA178" t="str">
        <f>IF($A178="","",IF(COUNTIF($A$6:$A178,$A178)=1,1,0))</f>
        <v/>
      </c>
      <c r="AB178">
        <f>SUM($AA$6:$AA178)</f>
        <v>3</v>
      </c>
      <c r="AC178" t="str">
        <f t="shared" si="20"/>
        <v/>
      </c>
    </row>
    <row r="179" spans="1:29" x14ac:dyDescent="0.2">
      <c r="A179" t="str">
        <f>IF(OR(Entry!$B182="",Entry!$E182="",$E179="نامعتبر"),"",Entry!$E182)</f>
        <v/>
      </c>
      <c r="B179" t="str">
        <f>IF($A179="","",LEFT($E179,4)&amp;MID($E179,6,2)&amp;RIGHT($E179,2)&amp;$F179&amp;"|"&amp;"1"&amp;RIGHT("00000"&amp;174,5))</f>
        <v/>
      </c>
      <c r="C179" t="str">
        <f t="shared" si="14"/>
        <v/>
      </c>
      <c r="D179" t="str">
        <f t="shared" si="15"/>
        <v/>
      </c>
      <c r="E179" t="str">
        <f>IF(Entry!$B182="","",IF(ISNUMBER(Entry!$B182),IF(AND(Entry!$B182&gt;=10000101,Entry!$B182&lt;=99991231),INT(Entry!$B182/10000)&amp;"/"&amp;RIGHT("00"&amp;INT(MOD(Entry!$B182,10000)/100),2)&amp;"/"&amp;RIGHT("00"&amp;MOD(Entry!$B182,100),2),"نامعتبر"),IF(LEN(Entry!$B182)=10,Entry!$B182,"نامعتبر")))</f>
        <v/>
      </c>
      <c r="F179" t="str">
        <f>IF(Entry!$B182="","",IF(Entry!$C182="","0000",IF(AND(ISNUMBER(Entry!$C182),Entry!$C182&gt;=0,Entry!$C182&lt;1),RIGHT("00"&amp;HOUR(Entry!$C182),2)&amp;RIGHT("00"&amp;MINUTE(Entry!$C182),2),IFERROR(RIGHT("00"&amp;VALUE(LEFT(Entry!$C182,FIND(":",Entry!$C182)-1)),2)&amp;RIGHT("00"&amp;VALUE(MID(Entry!$C182,FIND(":",Entry!$C182)+1,2)),2),"0000"))))</f>
        <v/>
      </c>
      <c r="G179" t="str">
        <f>IF($A179="","",Entry!$G182)</f>
        <v/>
      </c>
      <c r="H179" t="str">
        <f>IF($A179="","",IF(Entry!$H182="",0,Entry!$H182))</f>
        <v/>
      </c>
      <c r="I179" t="str">
        <f>IF($A179="","",IF(Entry!$I182="",0,Entry!$I182))</f>
        <v/>
      </c>
      <c r="J179" t="str">
        <f t="shared" si="16"/>
        <v/>
      </c>
      <c r="K179" t="str">
        <f>IF($A179="","",Entry!$D182)</f>
        <v/>
      </c>
      <c r="L179" t="str">
        <f>IF($A179="","",Entry!$L182)</f>
        <v/>
      </c>
      <c r="N179" t="str">
        <f>IF(OR(Sync!$M179="",$Q179="",$Q179="نامعتبر"),"",Sync!$M179)</f>
        <v/>
      </c>
      <c r="O179" t="str">
        <f t="shared" si="17"/>
        <v/>
      </c>
      <c r="P179" t="str">
        <f>IF($N179="","",LEFT($Q179,4)&amp;MID($Q179,6,2)&amp;RIGHT($Q179,2)&amp;IF(Sync!$K179="","0000",IF(AND(ISNUMBER(Sync!$K179),Sync!$K179&gt;=0,Sync!$K179&lt;1),RIGHT("00"&amp;HOUR(Sync!$K179),2)&amp;RIGHT("00"&amp;MINUTE(Sync!$K179),2),IFERROR(RIGHT("00"&amp;VALUE(LEFT(Sync!$K179,FIND(":",Sync!$K179)-1)),2)&amp;RIGHT("00"&amp;VALUE(MID(Sync!$K179,FIND(":",Sync!$K179)+1,2)),2),"0000")))&amp;"|"&amp;"2"&amp;RIGHT("00000"&amp;174,5))</f>
        <v/>
      </c>
      <c r="Q179" t="str">
        <f>IF(Sync!$J179="","",IF(ISNUMBER(Sync!$J179),IF(AND(Sync!$J179&gt;=10000101,Sync!$J179&lt;=99991231),INT(Sync!$J179/10000)&amp;"/"&amp;RIGHT("00"&amp;INT(MOD(Sync!$J179,10000)/100),2)&amp;"/"&amp;RIGHT("00"&amp;MOD(Sync!$J179,100),2),"نامعتبر"),IF(LEN(Sync!$J179)=10,Sync!$J179,"نامعتبر")))</f>
        <v/>
      </c>
      <c r="R179" t="str">
        <f t="shared" si="18"/>
        <v/>
      </c>
      <c r="S179" t="str">
        <f t="shared" si="19"/>
        <v/>
      </c>
      <c r="T179" t="str">
        <f>IF($N179="","",IF(Sync!$N179="",0,Sync!$N179))</f>
        <v/>
      </c>
      <c r="U179" t="str">
        <f>IF($N179="","",IF(Sync!$O179="",0,Sync!$O179))</f>
        <v/>
      </c>
      <c r="V179" t="str">
        <f>IF($N179="","",Sync!$L179)</f>
        <v/>
      </c>
      <c r="W179" t="str">
        <f>IF($N179="","",Sync!$P179)</f>
        <v/>
      </c>
      <c r="AA179" t="str">
        <f>IF($A179="","",IF(COUNTIF($A$6:$A179,$A179)=1,1,0))</f>
        <v/>
      </c>
      <c r="AB179">
        <f>SUM($AA$6:$AA179)</f>
        <v>3</v>
      </c>
      <c r="AC179" t="str">
        <f t="shared" si="20"/>
        <v/>
      </c>
    </row>
    <row r="180" spans="1:29" x14ac:dyDescent="0.2">
      <c r="A180" t="str">
        <f>IF(OR(Entry!$B183="",Entry!$E183="",$E180="نامعتبر"),"",Entry!$E183)</f>
        <v/>
      </c>
      <c r="B180" t="str">
        <f>IF($A180="","",LEFT($E180,4)&amp;MID($E180,6,2)&amp;RIGHT($E180,2)&amp;$F180&amp;"|"&amp;"1"&amp;RIGHT("00000"&amp;175,5))</f>
        <v/>
      </c>
      <c r="C180" t="str">
        <f t="shared" si="14"/>
        <v/>
      </c>
      <c r="D180" t="str">
        <f t="shared" si="15"/>
        <v/>
      </c>
      <c r="E180" t="str">
        <f>IF(Entry!$B183="","",IF(ISNUMBER(Entry!$B183),IF(AND(Entry!$B183&gt;=10000101,Entry!$B183&lt;=99991231),INT(Entry!$B183/10000)&amp;"/"&amp;RIGHT("00"&amp;INT(MOD(Entry!$B183,10000)/100),2)&amp;"/"&amp;RIGHT("00"&amp;MOD(Entry!$B183,100),2),"نامعتبر"),IF(LEN(Entry!$B183)=10,Entry!$B183,"نامعتبر")))</f>
        <v/>
      </c>
      <c r="F180" t="str">
        <f>IF(Entry!$B183="","",IF(Entry!$C183="","0000",IF(AND(ISNUMBER(Entry!$C183),Entry!$C183&gt;=0,Entry!$C183&lt;1),RIGHT("00"&amp;HOUR(Entry!$C183),2)&amp;RIGHT("00"&amp;MINUTE(Entry!$C183),2),IFERROR(RIGHT("00"&amp;VALUE(LEFT(Entry!$C183,FIND(":",Entry!$C183)-1)),2)&amp;RIGHT("00"&amp;VALUE(MID(Entry!$C183,FIND(":",Entry!$C183)+1,2)),2),"0000"))))</f>
        <v/>
      </c>
      <c r="G180" t="str">
        <f>IF($A180="","",Entry!$G183)</f>
        <v/>
      </c>
      <c r="H180" t="str">
        <f>IF($A180="","",IF(Entry!$H183="",0,Entry!$H183))</f>
        <v/>
      </c>
      <c r="I180" t="str">
        <f>IF($A180="","",IF(Entry!$I183="",0,Entry!$I183))</f>
        <v/>
      </c>
      <c r="J180" t="str">
        <f t="shared" si="16"/>
        <v/>
      </c>
      <c r="K180" t="str">
        <f>IF($A180="","",Entry!$D183)</f>
        <v/>
      </c>
      <c r="L180" t="str">
        <f>IF($A180="","",Entry!$L183)</f>
        <v/>
      </c>
      <c r="N180" t="str">
        <f>IF(OR(Sync!$M180="",$Q180="",$Q180="نامعتبر"),"",Sync!$M180)</f>
        <v/>
      </c>
      <c r="O180" t="str">
        <f t="shared" si="17"/>
        <v/>
      </c>
      <c r="P180" t="str">
        <f>IF($N180="","",LEFT($Q180,4)&amp;MID($Q180,6,2)&amp;RIGHT($Q180,2)&amp;IF(Sync!$K180="","0000",IF(AND(ISNUMBER(Sync!$K180),Sync!$K180&gt;=0,Sync!$K180&lt;1),RIGHT("00"&amp;HOUR(Sync!$K180),2)&amp;RIGHT("00"&amp;MINUTE(Sync!$K180),2),IFERROR(RIGHT("00"&amp;VALUE(LEFT(Sync!$K180,FIND(":",Sync!$K180)-1)),2)&amp;RIGHT("00"&amp;VALUE(MID(Sync!$K180,FIND(":",Sync!$K180)+1,2)),2),"0000")))&amp;"|"&amp;"2"&amp;RIGHT("00000"&amp;175,5))</f>
        <v/>
      </c>
      <c r="Q180" t="str">
        <f>IF(Sync!$J180="","",IF(ISNUMBER(Sync!$J180),IF(AND(Sync!$J180&gt;=10000101,Sync!$J180&lt;=99991231),INT(Sync!$J180/10000)&amp;"/"&amp;RIGHT("00"&amp;INT(MOD(Sync!$J180,10000)/100),2)&amp;"/"&amp;RIGHT("00"&amp;MOD(Sync!$J180,100),2),"نامعتبر"),IF(LEN(Sync!$J180)=10,Sync!$J180,"نامعتبر")))</f>
        <v/>
      </c>
      <c r="R180" t="str">
        <f t="shared" si="18"/>
        <v/>
      </c>
      <c r="S180" t="str">
        <f t="shared" si="19"/>
        <v/>
      </c>
      <c r="T180" t="str">
        <f>IF($N180="","",IF(Sync!$N180="",0,Sync!$N180))</f>
        <v/>
      </c>
      <c r="U180" t="str">
        <f>IF($N180="","",IF(Sync!$O180="",0,Sync!$O180))</f>
        <v/>
      </c>
      <c r="V180" t="str">
        <f>IF($N180="","",Sync!$L180)</f>
        <v/>
      </c>
      <c r="W180" t="str">
        <f>IF($N180="","",Sync!$P180)</f>
        <v/>
      </c>
      <c r="AA180" t="str">
        <f>IF($A180="","",IF(COUNTIF($A$6:$A180,$A180)=1,1,0))</f>
        <v/>
      </c>
      <c r="AB180">
        <f>SUM($AA$6:$AA180)</f>
        <v>3</v>
      </c>
      <c r="AC180" t="str">
        <f t="shared" si="20"/>
        <v/>
      </c>
    </row>
    <row r="181" spans="1:29" x14ac:dyDescent="0.2">
      <c r="A181" t="str">
        <f>IF(OR(Entry!$B184="",Entry!$E184="",$E181="نامعتبر"),"",Entry!$E184)</f>
        <v/>
      </c>
      <c r="B181" t="str">
        <f>IF($A181="","",LEFT($E181,4)&amp;MID($E181,6,2)&amp;RIGHT($E181,2)&amp;$F181&amp;"|"&amp;"1"&amp;RIGHT("00000"&amp;176,5))</f>
        <v/>
      </c>
      <c r="C181" t="str">
        <f t="shared" si="14"/>
        <v/>
      </c>
      <c r="D181" t="str">
        <f t="shared" si="15"/>
        <v/>
      </c>
      <c r="E181" t="str">
        <f>IF(Entry!$B184="","",IF(ISNUMBER(Entry!$B184),IF(AND(Entry!$B184&gt;=10000101,Entry!$B184&lt;=99991231),INT(Entry!$B184/10000)&amp;"/"&amp;RIGHT("00"&amp;INT(MOD(Entry!$B184,10000)/100),2)&amp;"/"&amp;RIGHT("00"&amp;MOD(Entry!$B184,100),2),"نامعتبر"),IF(LEN(Entry!$B184)=10,Entry!$B184,"نامعتبر")))</f>
        <v/>
      </c>
      <c r="F181" t="str">
        <f>IF(Entry!$B184="","",IF(Entry!$C184="","0000",IF(AND(ISNUMBER(Entry!$C184),Entry!$C184&gt;=0,Entry!$C184&lt;1),RIGHT("00"&amp;HOUR(Entry!$C184),2)&amp;RIGHT("00"&amp;MINUTE(Entry!$C184),2),IFERROR(RIGHT("00"&amp;VALUE(LEFT(Entry!$C184,FIND(":",Entry!$C184)-1)),2)&amp;RIGHT("00"&amp;VALUE(MID(Entry!$C184,FIND(":",Entry!$C184)+1,2)),2),"0000"))))</f>
        <v/>
      </c>
      <c r="G181" t="str">
        <f>IF($A181="","",Entry!$G184)</f>
        <v/>
      </c>
      <c r="H181" t="str">
        <f>IF($A181="","",IF(Entry!$H184="",0,Entry!$H184))</f>
        <v/>
      </c>
      <c r="I181" t="str">
        <f>IF($A181="","",IF(Entry!$I184="",0,Entry!$I184))</f>
        <v/>
      </c>
      <c r="J181" t="str">
        <f t="shared" si="16"/>
        <v/>
      </c>
      <c r="K181" t="str">
        <f>IF($A181="","",Entry!$D184)</f>
        <v/>
      </c>
      <c r="L181" t="str">
        <f>IF($A181="","",Entry!$L184)</f>
        <v/>
      </c>
      <c r="N181" t="str">
        <f>IF(OR(Sync!$M181="",$Q181="",$Q181="نامعتبر"),"",Sync!$M181)</f>
        <v/>
      </c>
      <c r="O181" t="str">
        <f t="shared" si="17"/>
        <v/>
      </c>
      <c r="P181" t="str">
        <f>IF($N181="","",LEFT($Q181,4)&amp;MID($Q181,6,2)&amp;RIGHT($Q181,2)&amp;IF(Sync!$K181="","0000",IF(AND(ISNUMBER(Sync!$K181),Sync!$K181&gt;=0,Sync!$K181&lt;1),RIGHT("00"&amp;HOUR(Sync!$K181),2)&amp;RIGHT("00"&amp;MINUTE(Sync!$K181),2),IFERROR(RIGHT("00"&amp;VALUE(LEFT(Sync!$K181,FIND(":",Sync!$K181)-1)),2)&amp;RIGHT("00"&amp;VALUE(MID(Sync!$K181,FIND(":",Sync!$K181)+1,2)),2),"0000")))&amp;"|"&amp;"2"&amp;RIGHT("00000"&amp;176,5))</f>
        <v/>
      </c>
      <c r="Q181" t="str">
        <f>IF(Sync!$J181="","",IF(ISNUMBER(Sync!$J181),IF(AND(Sync!$J181&gt;=10000101,Sync!$J181&lt;=99991231),INT(Sync!$J181/10000)&amp;"/"&amp;RIGHT("00"&amp;INT(MOD(Sync!$J181,10000)/100),2)&amp;"/"&amp;RIGHT("00"&amp;MOD(Sync!$J181,100),2),"نامعتبر"),IF(LEN(Sync!$J181)=10,Sync!$J181,"نامعتبر")))</f>
        <v/>
      </c>
      <c r="R181" t="str">
        <f t="shared" si="18"/>
        <v/>
      </c>
      <c r="S181" t="str">
        <f t="shared" si="19"/>
        <v/>
      </c>
      <c r="T181" t="str">
        <f>IF($N181="","",IF(Sync!$N181="",0,Sync!$N181))</f>
        <v/>
      </c>
      <c r="U181" t="str">
        <f>IF($N181="","",IF(Sync!$O181="",0,Sync!$O181))</f>
        <v/>
      </c>
      <c r="V181" t="str">
        <f>IF($N181="","",Sync!$L181)</f>
        <v/>
      </c>
      <c r="W181" t="str">
        <f>IF($N181="","",Sync!$P181)</f>
        <v/>
      </c>
      <c r="AA181" t="str">
        <f>IF($A181="","",IF(COUNTIF($A$6:$A181,$A181)=1,1,0))</f>
        <v/>
      </c>
      <c r="AB181">
        <f>SUM($AA$6:$AA181)</f>
        <v>3</v>
      </c>
      <c r="AC181" t="str">
        <f t="shared" si="20"/>
        <v/>
      </c>
    </row>
    <row r="182" spans="1:29" x14ac:dyDescent="0.2">
      <c r="A182" t="str">
        <f>IF(OR(Entry!$B185="",Entry!$E185="",$E182="نامعتبر"),"",Entry!$E185)</f>
        <v/>
      </c>
      <c r="B182" t="str">
        <f>IF($A182="","",LEFT($E182,4)&amp;MID($E182,6,2)&amp;RIGHT($E182,2)&amp;$F182&amp;"|"&amp;"1"&amp;RIGHT("00000"&amp;177,5))</f>
        <v/>
      </c>
      <c r="C182" t="str">
        <f t="shared" si="14"/>
        <v/>
      </c>
      <c r="D182" t="str">
        <f t="shared" si="15"/>
        <v/>
      </c>
      <c r="E182" t="str">
        <f>IF(Entry!$B185="","",IF(ISNUMBER(Entry!$B185),IF(AND(Entry!$B185&gt;=10000101,Entry!$B185&lt;=99991231),INT(Entry!$B185/10000)&amp;"/"&amp;RIGHT("00"&amp;INT(MOD(Entry!$B185,10000)/100),2)&amp;"/"&amp;RIGHT("00"&amp;MOD(Entry!$B185,100),2),"نامعتبر"),IF(LEN(Entry!$B185)=10,Entry!$B185,"نامعتبر")))</f>
        <v/>
      </c>
      <c r="F182" t="str">
        <f>IF(Entry!$B185="","",IF(Entry!$C185="","0000",IF(AND(ISNUMBER(Entry!$C185),Entry!$C185&gt;=0,Entry!$C185&lt;1),RIGHT("00"&amp;HOUR(Entry!$C185),2)&amp;RIGHT("00"&amp;MINUTE(Entry!$C185),2),IFERROR(RIGHT("00"&amp;VALUE(LEFT(Entry!$C185,FIND(":",Entry!$C185)-1)),2)&amp;RIGHT("00"&amp;VALUE(MID(Entry!$C185,FIND(":",Entry!$C185)+1,2)),2),"0000"))))</f>
        <v/>
      </c>
      <c r="G182" t="str">
        <f>IF($A182="","",Entry!$G185)</f>
        <v/>
      </c>
      <c r="H182" t="str">
        <f>IF($A182="","",IF(Entry!$H185="",0,Entry!$H185))</f>
        <v/>
      </c>
      <c r="I182" t="str">
        <f>IF($A182="","",IF(Entry!$I185="",0,Entry!$I185))</f>
        <v/>
      </c>
      <c r="J182" t="str">
        <f t="shared" si="16"/>
        <v/>
      </c>
      <c r="K182" t="str">
        <f>IF($A182="","",Entry!$D185)</f>
        <v/>
      </c>
      <c r="L182" t="str">
        <f>IF($A182="","",Entry!$L185)</f>
        <v/>
      </c>
      <c r="N182" t="str">
        <f>IF(OR(Sync!$M182="",$Q182="",$Q182="نامعتبر"),"",Sync!$M182)</f>
        <v/>
      </c>
      <c r="O182" t="str">
        <f t="shared" si="17"/>
        <v/>
      </c>
      <c r="P182" t="str">
        <f>IF($N182="","",LEFT($Q182,4)&amp;MID($Q182,6,2)&amp;RIGHT($Q182,2)&amp;IF(Sync!$K182="","0000",IF(AND(ISNUMBER(Sync!$K182),Sync!$K182&gt;=0,Sync!$K182&lt;1),RIGHT("00"&amp;HOUR(Sync!$K182),2)&amp;RIGHT("00"&amp;MINUTE(Sync!$K182),2),IFERROR(RIGHT("00"&amp;VALUE(LEFT(Sync!$K182,FIND(":",Sync!$K182)-1)),2)&amp;RIGHT("00"&amp;VALUE(MID(Sync!$K182,FIND(":",Sync!$K182)+1,2)),2),"0000")))&amp;"|"&amp;"2"&amp;RIGHT("00000"&amp;177,5))</f>
        <v/>
      </c>
      <c r="Q182" t="str">
        <f>IF(Sync!$J182="","",IF(ISNUMBER(Sync!$J182),IF(AND(Sync!$J182&gt;=10000101,Sync!$J182&lt;=99991231),INT(Sync!$J182/10000)&amp;"/"&amp;RIGHT("00"&amp;INT(MOD(Sync!$J182,10000)/100),2)&amp;"/"&amp;RIGHT("00"&amp;MOD(Sync!$J182,100),2),"نامعتبر"),IF(LEN(Sync!$J182)=10,Sync!$J182,"نامعتبر")))</f>
        <v/>
      </c>
      <c r="R182" t="str">
        <f t="shared" si="18"/>
        <v/>
      </c>
      <c r="S182" t="str">
        <f t="shared" si="19"/>
        <v/>
      </c>
      <c r="T182" t="str">
        <f>IF($N182="","",IF(Sync!$N182="",0,Sync!$N182))</f>
        <v/>
      </c>
      <c r="U182" t="str">
        <f>IF($N182="","",IF(Sync!$O182="",0,Sync!$O182))</f>
        <v/>
      </c>
      <c r="V182" t="str">
        <f>IF($N182="","",Sync!$L182)</f>
        <v/>
      </c>
      <c r="W182" t="str">
        <f>IF($N182="","",Sync!$P182)</f>
        <v/>
      </c>
      <c r="AA182" t="str">
        <f>IF($A182="","",IF(COUNTIF($A$6:$A182,$A182)=1,1,0))</f>
        <v/>
      </c>
      <c r="AB182">
        <f>SUM($AA$6:$AA182)</f>
        <v>3</v>
      </c>
      <c r="AC182" t="str">
        <f t="shared" si="20"/>
        <v/>
      </c>
    </row>
    <row r="183" spans="1:29" x14ac:dyDescent="0.2">
      <c r="A183" t="str">
        <f>IF(OR(Entry!$B186="",Entry!$E186="",$E183="نامعتبر"),"",Entry!$E186)</f>
        <v/>
      </c>
      <c r="B183" t="str">
        <f>IF($A183="","",LEFT($E183,4)&amp;MID($E183,6,2)&amp;RIGHT($E183,2)&amp;$F183&amp;"|"&amp;"1"&amp;RIGHT("00000"&amp;178,5))</f>
        <v/>
      </c>
      <c r="C183" t="str">
        <f t="shared" si="14"/>
        <v/>
      </c>
      <c r="D183" t="str">
        <f t="shared" si="15"/>
        <v/>
      </c>
      <c r="E183" t="str">
        <f>IF(Entry!$B186="","",IF(ISNUMBER(Entry!$B186),IF(AND(Entry!$B186&gt;=10000101,Entry!$B186&lt;=99991231),INT(Entry!$B186/10000)&amp;"/"&amp;RIGHT("00"&amp;INT(MOD(Entry!$B186,10000)/100),2)&amp;"/"&amp;RIGHT("00"&amp;MOD(Entry!$B186,100),2),"نامعتبر"),IF(LEN(Entry!$B186)=10,Entry!$B186,"نامعتبر")))</f>
        <v/>
      </c>
      <c r="F183" t="str">
        <f>IF(Entry!$B186="","",IF(Entry!$C186="","0000",IF(AND(ISNUMBER(Entry!$C186),Entry!$C186&gt;=0,Entry!$C186&lt;1),RIGHT("00"&amp;HOUR(Entry!$C186),2)&amp;RIGHT("00"&amp;MINUTE(Entry!$C186),2),IFERROR(RIGHT("00"&amp;VALUE(LEFT(Entry!$C186,FIND(":",Entry!$C186)-1)),2)&amp;RIGHT("00"&amp;VALUE(MID(Entry!$C186,FIND(":",Entry!$C186)+1,2)),2),"0000"))))</f>
        <v/>
      </c>
      <c r="G183" t="str">
        <f>IF($A183="","",Entry!$G186)</f>
        <v/>
      </c>
      <c r="H183" t="str">
        <f>IF($A183="","",IF(Entry!$H186="",0,Entry!$H186))</f>
        <v/>
      </c>
      <c r="I183" t="str">
        <f>IF($A183="","",IF(Entry!$I186="",0,Entry!$I186))</f>
        <v/>
      </c>
      <c r="J183" t="str">
        <f t="shared" si="16"/>
        <v/>
      </c>
      <c r="K183" t="str">
        <f>IF($A183="","",Entry!$D186)</f>
        <v/>
      </c>
      <c r="L183" t="str">
        <f>IF($A183="","",Entry!$L186)</f>
        <v/>
      </c>
      <c r="N183" t="str">
        <f>IF(OR(Sync!$M183="",$Q183="",$Q183="نامعتبر"),"",Sync!$M183)</f>
        <v/>
      </c>
      <c r="O183" t="str">
        <f t="shared" si="17"/>
        <v/>
      </c>
      <c r="P183" t="str">
        <f>IF($N183="","",LEFT($Q183,4)&amp;MID($Q183,6,2)&amp;RIGHT($Q183,2)&amp;IF(Sync!$K183="","0000",IF(AND(ISNUMBER(Sync!$K183),Sync!$K183&gt;=0,Sync!$K183&lt;1),RIGHT("00"&amp;HOUR(Sync!$K183),2)&amp;RIGHT("00"&amp;MINUTE(Sync!$K183),2),IFERROR(RIGHT("00"&amp;VALUE(LEFT(Sync!$K183,FIND(":",Sync!$K183)-1)),2)&amp;RIGHT("00"&amp;VALUE(MID(Sync!$K183,FIND(":",Sync!$K183)+1,2)),2),"0000")))&amp;"|"&amp;"2"&amp;RIGHT("00000"&amp;178,5))</f>
        <v/>
      </c>
      <c r="Q183" t="str">
        <f>IF(Sync!$J183="","",IF(ISNUMBER(Sync!$J183),IF(AND(Sync!$J183&gt;=10000101,Sync!$J183&lt;=99991231),INT(Sync!$J183/10000)&amp;"/"&amp;RIGHT("00"&amp;INT(MOD(Sync!$J183,10000)/100),2)&amp;"/"&amp;RIGHT("00"&amp;MOD(Sync!$J183,100),2),"نامعتبر"),IF(LEN(Sync!$J183)=10,Sync!$J183,"نامعتبر")))</f>
        <v/>
      </c>
      <c r="R183" t="str">
        <f t="shared" si="18"/>
        <v/>
      </c>
      <c r="S183" t="str">
        <f t="shared" si="19"/>
        <v/>
      </c>
      <c r="T183" t="str">
        <f>IF($N183="","",IF(Sync!$N183="",0,Sync!$N183))</f>
        <v/>
      </c>
      <c r="U183" t="str">
        <f>IF($N183="","",IF(Sync!$O183="",0,Sync!$O183))</f>
        <v/>
      </c>
      <c r="V183" t="str">
        <f>IF($N183="","",Sync!$L183)</f>
        <v/>
      </c>
      <c r="W183" t="str">
        <f>IF($N183="","",Sync!$P183)</f>
        <v/>
      </c>
      <c r="AA183" t="str">
        <f>IF($A183="","",IF(COUNTIF($A$6:$A183,$A183)=1,1,0))</f>
        <v/>
      </c>
      <c r="AB183">
        <f>SUM($AA$6:$AA183)</f>
        <v>3</v>
      </c>
      <c r="AC183" t="str">
        <f t="shared" si="20"/>
        <v/>
      </c>
    </row>
    <row r="184" spans="1:29" x14ac:dyDescent="0.2">
      <c r="A184" t="str">
        <f>IF(OR(Entry!$B187="",Entry!$E187="",$E184="نامعتبر"),"",Entry!$E187)</f>
        <v/>
      </c>
      <c r="B184" t="str">
        <f>IF($A184="","",LEFT($E184,4)&amp;MID($E184,6,2)&amp;RIGHT($E184,2)&amp;$F184&amp;"|"&amp;"1"&amp;RIGHT("00000"&amp;179,5))</f>
        <v/>
      </c>
      <c r="C184" t="str">
        <f t="shared" si="14"/>
        <v/>
      </c>
      <c r="D184" t="str">
        <f t="shared" si="15"/>
        <v/>
      </c>
      <c r="E184" t="str">
        <f>IF(Entry!$B187="","",IF(ISNUMBER(Entry!$B187),IF(AND(Entry!$B187&gt;=10000101,Entry!$B187&lt;=99991231),INT(Entry!$B187/10000)&amp;"/"&amp;RIGHT("00"&amp;INT(MOD(Entry!$B187,10000)/100),2)&amp;"/"&amp;RIGHT("00"&amp;MOD(Entry!$B187,100),2),"نامعتبر"),IF(LEN(Entry!$B187)=10,Entry!$B187,"نامعتبر")))</f>
        <v/>
      </c>
      <c r="F184" t="str">
        <f>IF(Entry!$B187="","",IF(Entry!$C187="","0000",IF(AND(ISNUMBER(Entry!$C187),Entry!$C187&gt;=0,Entry!$C187&lt;1),RIGHT("00"&amp;HOUR(Entry!$C187),2)&amp;RIGHT("00"&amp;MINUTE(Entry!$C187),2),IFERROR(RIGHT("00"&amp;VALUE(LEFT(Entry!$C187,FIND(":",Entry!$C187)-1)),2)&amp;RIGHT("00"&amp;VALUE(MID(Entry!$C187,FIND(":",Entry!$C187)+1,2)),2),"0000"))))</f>
        <v/>
      </c>
      <c r="G184" t="str">
        <f>IF($A184="","",Entry!$G187)</f>
        <v/>
      </c>
      <c r="H184" t="str">
        <f>IF($A184="","",IF(Entry!$H187="",0,Entry!$H187))</f>
        <v/>
      </c>
      <c r="I184" t="str">
        <f>IF($A184="","",IF(Entry!$I187="",0,Entry!$I187))</f>
        <v/>
      </c>
      <c r="J184" t="str">
        <f t="shared" si="16"/>
        <v/>
      </c>
      <c r="K184" t="str">
        <f>IF($A184="","",Entry!$D187)</f>
        <v/>
      </c>
      <c r="L184" t="str">
        <f>IF($A184="","",Entry!$L187)</f>
        <v/>
      </c>
      <c r="N184" t="str">
        <f>IF(OR(Sync!$M184="",$Q184="",$Q184="نامعتبر"),"",Sync!$M184)</f>
        <v/>
      </c>
      <c r="O184" t="str">
        <f t="shared" si="17"/>
        <v/>
      </c>
      <c r="P184" t="str">
        <f>IF($N184="","",LEFT($Q184,4)&amp;MID($Q184,6,2)&amp;RIGHT($Q184,2)&amp;IF(Sync!$K184="","0000",IF(AND(ISNUMBER(Sync!$K184),Sync!$K184&gt;=0,Sync!$K184&lt;1),RIGHT("00"&amp;HOUR(Sync!$K184),2)&amp;RIGHT("00"&amp;MINUTE(Sync!$K184),2),IFERROR(RIGHT("00"&amp;VALUE(LEFT(Sync!$K184,FIND(":",Sync!$K184)-1)),2)&amp;RIGHT("00"&amp;VALUE(MID(Sync!$K184,FIND(":",Sync!$K184)+1,2)),2),"0000")))&amp;"|"&amp;"2"&amp;RIGHT("00000"&amp;179,5))</f>
        <v/>
      </c>
      <c r="Q184" t="str">
        <f>IF(Sync!$J184="","",IF(ISNUMBER(Sync!$J184),IF(AND(Sync!$J184&gt;=10000101,Sync!$J184&lt;=99991231),INT(Sync!$J184/10000)&amp;"/"&amp;RIGHT("00"&amp;INT(MOD(Sync!$J184,10000)/100),2)&amp;"/"&amp;RIGHT("00"&amp;MOD(Sync!$J184,100),2),"نامعتبر"),IF(LEN(Sync!$J184)=10,Sync!$J184,"نامعتبر")))</f>
        <v/>
      </c>
      <c r="R184" t="str">
        <f t="shared" si="18"/>
        <v/>
      </c>
      <c r="S184" t="str">
        <f t="shared" si="19"/>
        <v/>
      </c>
      <c r="T184" t="str">
        <f>IF($N184="","",IF(Sync!$N184="",0,Sync!$N184))</f>
        <v/>
      </c>
      <c r="U184" t="str">
        <f>IF($N184="","",IF(Sync!$O184="",0,Sync!$O184))</f>
        <v/>
      </c>
      <c r="V184" t="str">
        <f>IF($N184="","",Sync!$L184)</f>
        <v/>
      </c>
      <c r="W184" t="str">
        <f>IF($N184="","",Sync!$P184)</f>
        <v/>
      </c>
      <c r="AA184" t="str">
        <f>IF($A184="","",IF(COUNTIF($A$6:$A184,$A184)=1,1,0))</f>
        <v/>
      </c>
      <c r="AB184">
        <f>SUM($AA$6:$AA184)</f>
        <v>3</v>
      </c>
      <c r="AC184" t="str">
        <f t="shared" si="20"/>
        <v/>
      </c>
    </row>
    <row r="185" spans="1:29" x14ac:dyDescent="0.2">
      <c r="A185" t="str">
        <f>IF(OR(Entry!$B188="",Entry!$E188="",$E185="نامعتبر"),"",Entry!$E188)</f>
        <v/>
      </c>
      <c r="B185" t="str">
        <f>IF($A185="","",LEFT($E185,4)&amp;MID($E185,6,2)&amp;RIGHT($E185,2)&amp;$F185&amp;"|"&amp;"1"&amp;RIGHT("00000"&amp;180,5))</f>
        <v/>
      </c>
      <c r="C185" t="str">
        <f t="shared" si="14"/>
        <v/>
      </c>
      <c r="D185" t="str">
        <f t="shared" si="15"/>
        <v/>
      </c>
      <c r="E185" t="str">
        <f>IF(Entry!$B188="","",IF(ISNUMBER(Entry!$B188),IF(AND(Entry!$B188&gt;=10000101,Entry!$B188&lt;=99991231),INT(Entry!$B188/10000)&amp;"/"&amp;RIGHT("00"&amp;INT(MOD(Entry!$B188,10000)/100),2)&amp;"/"&amp;RIGHT("00"&amp;MOD(Entry!$B188,100),2),"نامعتبر"),IF(LEN(Entry!$B188)=10,Entry!$B188,"نامعتبر")))</f>
        <v/>
      </c>
      <c r="F185" t="str">
        <f>IF(Entry!$B188="","",IF(Entry!$C188="","0000",IF(AND(ISNUMBER(Entry!$C188),Entry!$C188&gt;=0,Entry!$C188&lt;1),RIGHT("00"&amp;HOUR(Entry!$C188),2)&amp;RIGHT("00"&amp;MINUTE(Entry!$C188),2),IFERROR(RIGHT("00"&amp;VALUE(LEFT(Entry!$C188,FIND(":",Entry!$C188)-1)),2)&amp;RIGHT("00"&amp;VALUE(MID(Entry!$C188,FIND(":",Entry!$C188)+1,2)),2),"0000"))))</f>
        <v/>
      </c>
      <c r="G185" t="str">
        <f>IF($A185="","",Entry!$G188)</f>
        <v/>
      </c>
      <c r="H185" t="str">
        <f>IF($A185="","",IF(Entry!$H188="",0,Entry!$H188))</f>
        <v/>
      </c>
      <c r="I185" t="str">
        <f>IF($A185="","",IF(Entry!$I188="",0,Entry!$I188))</f>
        <v/>
      </c>
      <c r="J185" t="str">
        <f t="shared" si="16"/>
        <v/>
      </c>
      <c r="K185" t="str">
        <f>IF($A185="","",Entry!$D188)</f>
        <v/>
      </c>
      <c r="L185" t="str">
        <f>IF($A185="","",Entry!$L188)</f>
        <v/>
      </c>
      <c r="N185" t="str">
        <f>IF(OR(Sync!$M185="",$Q185="",$Q185="نامعتبر"),"",Sync!$M185)</f>
        <v/>
      </c>
      <c r="O185" t="str">
        <f t="shared" si="17"/>
        <v/>
      </c>
      <c r="P185" t="str">
        <f>IF($N185="","",LEFT($Q185,4)&amp;MID($Q185,6,2)&amp;RIGHT($Q185,2)&amp;IF(Sync!$K185="","0000",IF(AND(ISNUMBER(Sync!$K185),Sync!$K185&gt;=0,Sync!$K185&lt;1),RIGHT("00"&amp;HOUR(Sync!$K185),2)&amp;RIGHT("00"&amp;MINUTE(Sync!$K185),2),IFERROR(RIGHT("00"&amp;VALUE(LEFT(Sync!$K185,FIND(":",Sync!$K185)-1)),2)&amp;RIGHT("00"&amp;VALUE(MID(Sync!$K185,FIND(":",Sync!$K185)+1,2)),2),"0000")))&amp;"|"&amp;"2"&amp;RIGHT("00000"&amp;180,5))</f>
        <v/>
      </c>
      <c r="Q185" t="str">
        <f>IF(Sync!$J185="","",IF(ISNUMBER(Sync!$J185),IF(AND(Sync!$J185&gt;=10000101,Sync!$J185&lt;=99991231),INT(Sync!$J185/10000)&amp;"/"&amp;RIGHT("00"&amp;INT(MOD(Sync!$J185,10000)/100),2)&amp;"/"&amp;RIGHT("00"&amp;MOD(Sync!$J185,100),2),"نامعتبر"),IF(LEN(Sync!$J185)=10,Sync!$J185,"نامعتبر")))</f>
        <v/>
      </c>
      <c r="R185" t="str">
        <f t="shared" si="18"/>
        <v/>
      </c>
      <c r="S185" t="str">
        <f t="shared" si="19"/>
        <v/>
      </c>
      <c r="T185" t="str">
        <f>IF($N185="","",IF(Sync!$N185="",0,Sync!$N185))</f>
        <v/>
      </c>
      <c r="U185" t="str">
        <f>IF($N185="","",IF(Sync!$O185="",0,Sync!$O185))</f>
        <v/>
      </c>
      <c r="V185" t="str">
        <f>IF($N185="","",Sync!$L185)</f>
        <v/>
      </c>
      <c r="W185" t="str">
        <f>IF($N185="","",Sync!$P185)</f>
        <v/>
      </c>
      <c r="AA185" t="str">
        <f>IF($A185="","",IF(COUNTIF($A$6:$A185,$A185)=1,1,0))</f>
        <v/>
      </c>
      <c r="AB185">
        <f>SUM($AA$6:$AA185)</f>
        <v>3</v>
      </c>
      <c r="AC185" t="str">
        <f t="shared" si="20"/>
        <v/>
      </c>
    </row>
    <row r="186" spans="1:29" x14ac:dyDescent="0.2">
      <c r="A186" t="str">
        <f>IF(OR(Entry!$B189="",Entry!$E189="",$E186="نامعتبر"),"",Entry!$E189)</f>
        <v/>
      </c>
      <c r="B186" t="str">
        <f>IF($A186="","",LEFT($E186,4)&amp;MID($E186,6,2)&amp;RIGHT($E186,2)&amp;$F186&amp;"|"&amp;"1"&amp;RIGHT("00000"&amp;181,5))</f>
        <v/>
      </c>
      <c r="C186" t="str">
        <f t="shared" si="14"/>
        <v/>
      </c>
      <c r="D186" t="str">
        <f t="shared" si="15"/>
        <v/>
      </c>
      <c r="E186" t="str">
        <f>IF(Entry!$B189="","",IF(ISNUMBER(Entry!$B189),IF(AND(Entry!$B189&gt;=10000101,Entry!$B189&lt;=99991231),INT(Entry!$B189/10000)&amp;"/"&amp;RIGHT("00"&amp;INT(MOD(Entry!$B189,10000)/100),2)&amp;"/"&amp;RIGHT("00"&amp;MOD(Entry!$B189,100),2),"نامعتبر"),IF(LEN(Entry!$B189)=10,Entry!$B189,"نامعتبر")))</f>
        <v/>
      </c>
      <c r="F186" t="str">
        <f>IF(Entry!$B189="","",IF(Entry!$C189="","0000",IF(AND(ISNUMBER(Entry!$C189),Entry!$C189&gt;=0,Entry!$C189&lt;1),RIGHT("00"&amp;HOUR(Entry!$C189),2)&amp;RIGHT("00"&amp;MINUTE(Entry!$C189),2),IFERROR(RIGHT("00"&amp;VALUE(LEFT(Entry!$C189,FIND(":",Entry!$C189)-1)),2)&amp;RIGHT("00"&amp;VALUE(MID(Entry!$C189,FIND(":",Entry!$C189)+1,2)),2),"0000"))))</f>
        <v/>
      </c>
      <c r="G186" t="str">
        <f>IF($A186="","",Entry!$G189)</f>
        <v/>
      </c>
      <c r="H186" t="str">
        <f>IF($A186="","",IF(Entry!$H189="",0,Entry!$H189))</f>
        <v/>
      </c>
      <c r="I186" t="str">
        <f>IF($A186="","",IF(Entry!$I189="",0,Entry!$I189))</f>
        <v/>
      </c>
      <c r="J186" t="str">
        <f t="shared" si="16"/>
        <v/>
      </c>
      <c r="K186" t="str">
        <f>IF($A186="","",Entry!$D189)</f>
        <v/>
      </c>
      <c r="L186" t="str">
        <f>IF($A186="","",Entry!$L189)</f>
        <v/>
      </c>
      <c r="N186" t="str">
        <f>IF(OR(Sync!$M186="",$Q186="",$Q186="نامعتبر"),"",Sync!$M186)</f>
        <v/>
      </c>
      <c r="O186" t="str">
        <f t="shared" si="17"/>
        <v/>
      </c>
      <c r="P186" t="str">
        <f>IF($N186="","",LEFT($Q186,4)&amp;MID($Q186,6,2)&amp;RIGHT($Q186,2)&amp;IF(Sync!$K186="","0000",IF(AND(ISNUMBER(Sync!$K186),Sync!$K186&gt;=0,Sync!$K186&lt;1),RIGHT("00"&amp;HOUR(Sync!$K186),2)&amp;RIGHT("00"&amp;MINUTE(Sync!$K186),2),IFERROR(RIGHT("00"&amp;VALUE(LEFT(Sync!$K186,FIND(":",Sync!$K186)-1)),2)&amp;RIGHT("00"&amp;VALUE(MID(Sync!$K186,FIND(":",Sync!$K186)+1,2)),2),"0000")))&amp;"|"&amp;"2"&amp;RIGHT("00000"&amp;181,5))</f>
        <v/>
      </c>
      <c r="Q186" t="str">
        <f>IF(Sync!$J186="","",IF(ISNUMBER(Sync!$J186),IF(AND(Sync!$J186&gt;=10000101,Sync!$J186&lt;=99991231),INT(Sync!$J186/10000)&amp;"/"&amp;RIGHT("00"&amp;INT(MOD(Sync!$J186,10000)/100),2)&amp;"/"&amp;RIGHT("00"&amp;MOD(Sync!$J186,100),2),"نامعتبر"),IF(LEN(Sync!$J186)=10,Sync!$J186,"نامعتبر")))</f>
        <v/>
      </c>
      <c r="R186" t="str">
        <f t="shared" si="18"/>
        <v/>
      </c>
      <c r="S186" t="str">
        <f t="shared" si="19"/>
        <v/>
      </c>
      <c r="T186" t="str">
        <f>IF($N186="","",IF(Sync!$N186="",0,Sync!$N186))</f>
        <v/>
      </c>
      <c r="U186" t="str">
        <f>IF($N186="","",IF(Sync!$O186="",0,Sync!$O186))</f>
        <v/>
      </c>
      <c r="V186" t="str">
        <f>IF($N186="","",Sync!$L186)</f>
        <v/>
      </c>
      <c r="W186" t="str">
        <f>IF($N186="","",Sync!$P186)</f>
        <v/>
      </c>
      <c r="AA186" t="str">
        <f>IF($A186="","",IF(COUNTIF($A$6:$A186,$A186)=1,1,0))</f>
        <v/>
      </c>
      <c r="AB186">
        <f>SUM($AA$6:$AA186)</f>
        <v>3</v>
      </c>
      <c r="AC186" t="str">
        <f t="shared" si="20"/>
        <v/>
      </c>
    </row>
    <row r="187" spans="1:29" x14ac:dyDescent="0.2">
      <c r="A187" t="str">
        <f>IF(OR(Entry!$B190="",Entry!$E190="",$E187="نامعتبر"),"",Entry!$E190)</f>
        <v/>
      </c>
      <c r="B187" t="str">
        <f>IF($A187="","",LEFT($E187,4)&amp;MID($E187,6,2)&amp;RIGHT($E187,2)&amp;$F187&amp;"|"&amp;"1"&amp;RIGHT("00000"&amp;182,5))</f>
        <v/>
      </c>
      <c r="C187" t="str">
        <f t="shared" si="14"/>
        <v/>
      </c>
      <c r="D187" t="str">
        <f t="shared" si="15"/>
        <v/>
      </c>
      <c r="E187" t="str">
        <f>IF(Entry!$B190="","",IF(ISNUMBER(Entry!$B190),IF(AND(Entry!$B190&gt;=10000101,Entry!$B190&lt;=99991231),INT(Entry!$B190/10000)&amp;"/"&amp;RIGHT("00"&amp;INT(MOD(Entry!$B190,10000)/100),2)&amp;"/"&amp;RIGHT("00"&amp;MOD(Entry!$B190,100),2),"نامعتبر"),IF(LEN(Entry!$B190)=10,Entry!$B190,"نامعتبر")))</f>
        <v/>
      </c>
      <c r="F187" t="str">
        <f>IF(Entry!$B190="","",IF(Entry!$C190="","0000",IF(AND(ISNUMBER(Entry!$C190),Entry!$C190&gt;=0,Entry!$C190&lt;1),RIGHT("00"&amp;HOUR(Entry!$C190),2)&amp;RIGHT("00"&amp;MINUTE(Entry!$C190),2),IFERROR(RIGHT("00"&amp;VALUE(LEFT(Entry!$C190,FIND(":",Entry!$C190)-1)),2)&amp;RIGHT("00"&amp;VALUE(MID(Entry!$C190,FIND(":",Entry!$C190)+1,2)),2),"0000"))))</f>
        <v/>
      </c>
      <c r="G187" t="str">
        <f>IF($A187="","",Entry!$G190)</f>
        <v/>
      </c>
      <c r="H187" t="str">
        <f>IF($A187="","",IF(Entry!$H190="",0,Entry!$H190))</f>
        <v/>
      </c>
      <c r="I187" t="str">
        <f>IF($A187="","",IF(Entry!$I190="",0,Entry!$I190))</f>
        <v/>
      </c>
      <c r="J187" t="str">
        <f t="shared" si="16"/>
        <v/>
      </c>
      <c r="K187" t="str">
        <f>IF($A187="","",Entry!$D190)</f>
        <v/>
      </c>
      <c r="L187" t="str">
        <f>IF($A187="","",Entry!$L190)</f>
        <v/>
      </c>
      <c r="N187" t="str">
        <f>IF(OR(Sync!$M187="",$Q187="",$Q187="نامعتبر"),"",Sync!$M187)</f>
        <v/>
      </c>
      <c r="O187" t="str">
        <f t="shared" si="17"/>
        <v/>
      </c>
      <c r="P187" t="str">
        <f>IF($N187="","",LEFT($Q187,4)&amp;MID($Q187,6,2)&amp;RIGHT($Q187,2)&amp;IF(Sync!$K187="","0000",IF(AND(ISNUMBER(Sync!$K187),Sync!$K187&gt;=0,Sync!$K187&lt;1),RIGHT("00"&amp;HOUR(Sync!$K187),2)&amp;RIGHT("00"&amp;MINUTE(Sync!$K187),2),IFERROR(RIGHT("00"&amp;VALUE(LEFT(Sync!$K187,FIND(":",Sync!$K187)-1)),2)&amp;RIGHT("00"&amp;VALUE(MID(Sync!$K187,FIND(":",Sync!$K187)+1,2)),2),"0000")))&amp;"|"&amp;"2"&amp;RIGHT("00000"&amp;182,5))</f>
        <v/>
      </c>
      <c r="Q187" t="str">
        <f>IF(Sync!$J187="","",IF(ISNUMBER(Sync!$J187),IF(AND(Sync!$J187&gt;=10000101,Sync!$J187&lt;=99991231),INT(Sync!$J187/10000)&amp;"/"&amp;RIGHT("00"&amp;INT(MOD(Sync!$J187,10000)/100),2)&amp;"/"&amp;RIGHT("00"&amp;MOD(Sync!$J187,100),2),"نامعتبر"),IF(LEN(Sync!$J187)=10,Sync!$J187,"نامعتبر")))</f>
        <v/>
      </c>
      <c r="R187" t="str">
        <f t="shared" si="18"/>
        <v/>
      </c>
      <c r="S187" t="str">
        <f t="shared" si="19"/>
        <v/>
      </c>
      <c r="T187" t="str">
        <f>IF($N187="","",IF(Sync!$N187="",0,Sync!$N187))</f>
        <v/>
      </c>
      <c r="U187" t="str">
        <f>IF($N187="","",IF(Sync!$O187="",0,Sync!$O187))</f>
        <v/>
      </c>
      <c r="V187" t="str">
        <f>IF($N187="","",Sync!$L187)</f>
        <v/>
      </c>
      <c r="W187" t="str">
        <f>IF($N187="","",Sync!$P187)</f>
        <v/>
      </c>
      <c r="AA187" t="str">
        <f>IF($A187="","",IF(COUNTIF($A$6:$A187,$A187)=1,1,0))</f>
        <v/>
      </c>
      <c r="AB187">
        <f>SUM($AA$6:$AA187)</f>
        <v>3</v>
      </c>
      <c r="AC187" t="str">
        <f t="shared" si="20"/>
        <v/>
      </c>
    </row>
    <row r="188" spans="1:29" x14ac:dyDescent="0.2">
      <c r="A188" t="str">
        <f>IF(OR(Entry!$B191="",Entry!$E191="",$E188="نامعتبر"),"",Entry!$E191)</f>
        <v/>
      </c>
      <c r="B188" t="str">
        <f>IF($A188="","",LEFT($E188,4)&amp;MID($E188,6,2)&amp;RIGHT($E188,2)&amp;$F188&amp;"|"&amp;"1"&amp;RIGHT("00000"&amp;183,5))</f>
        <v/>
      </c>
      <c r="C188" t="str">
        <f t="shared" si="14"/>
        <v/>
      </c>
      <c r="D188" t="str">
        <f t="shared" si="15"/>
        <v/>
      </c>
      <c r="E188" t="str">
        <f>IF(Entry!$B191="","",IF(ISNUMBER(Entry!$B191),IF(AND(Entry!$B191&gt;=10000101,Entry!$B191&lt;=99991231),INT(Entry!$B191/10000)&amp;"/"&amp;RIGHT("00"&amp;INT(MOD(Entry!$B191,10000)/100),2)&amp;"/"&amp;RIGHT("00"&amp;MOD(Entry!$B191,100),2),"نامعتبر"),IF(LEN(Entry!$B191)=10,Entry!$B191,"نامعتبر")))</f>
        <v/>
      </c>
      <c r="F188" t="str">
        <f>IF(Entry!$B191="","",IF(Entry!$C191="","0000",IF(AND(ISNUMBER(Entry!$C191),Entry!$C191&gt;=0,Entry!$C191&lt;1),RIGHT("00"&amp;HOUR(Entry!$C191),2)&amp;RIGHT("00"&amp;MINUTE(Entry!$C191),2),IFERROR(RIGHT("00"&amp;VALUE(LEFT(Entry!$C191,FIND(":",Entry!$C191)-1)),2)&amp;RIGHT("00"&amp;VALUE(MID(Entry!$C191,FIND(":",Entry!$C191)+1,2)),2),"0000"))))</f>
        <v/>
      </c>
      <c r="G188" t="str">
        <f>IF($A188="","",Entry!$G191)</f>
        <v/>
      </c>
      <c r="H188" t="str">
        <f>IF($A188="","",IF(Entry!$H191="",0,Entry!$H191))</f>
        <v/>
      </c>
      <c r="I188" t="str">
        <f>IF($A188="","",IF(Entry!$I191="",0,Entry!$I191))</f>
        <v/>
      </c>
      <c r="J188" t="str">
        <f t="shared" si="16"/>
        <v/>
      </c>
      <c r="K188" t="str">
        <f>IF($A188="","",Entry!$D191)</f>
        <v/>
      </c>
      <c r="L188" t="str">
        <f>IF($A188="","",Entry!$L191)</f>
        <v/>
      </c>
      <c r="N188" t="str">
        <f>IF(OR(Sync!$M188="",$Q188="",$Q188="نامعتبر"),"",Sync!$M188)</f>
        <v/>
      </c>
      <c r="O188" t="str">
        <f t="shared" si="17"/>
        <v/>
      </c>
      <c r="P188" t="str">
        <f>IF($N188="","",LEFT($Q188,4)&amp;MID($Q188,6,2)&amp;RIGHT($Q188,2)&amp;IF(Sync!$K188="","0000",IF(AND(ISNUMBER(Sync!$K188),Sync!$K188&gt;=0,Sync!$K188&lt;1),RIGHT("00"&amp;HOUR(Sync!$K188),2)&amp;RIGHT("00"&amp;MINUTE(Sync!$K188),2),IFERROR(RIGHT("00"&amp;VALUE(LEFT(Sync!$K188,FIND(":",Sync!$K188)-1)),2)&amp;RIGHT("00"&amp;VALUE(MID(Sync!$K188,FIND(":",Sync!$K188)+1,2)),2),"0000")))&amp;"|"&amp;"2"&amp;RIGHT("00000"&amp;183,5))</f>
        <v/>
      </c>
      <c r="Q188" t="str">
        <f>IF(Sync!$J188="","",IF(ISNUMBER(Sync!$J188),IF(AND(Sync!$J188&gt;=10000101,Sync!$J188&lt;=99991231),INT(Sync!$J188/10000)&amp;"/"&amp;RIGHT("00"&amp;INT(MOD(Sync!$J188,10000)/100),2)&amp;"/"&amp;RIGHT("00"&amp;MOD(Sync!$J188,100),2),"نامعتبر"),IF(LEN(Sync!$J188)=10,Sync!$J188,"نامعتبر")))</f>
        <v/>
      </c>
      <c r="R188" t="str">
        <f t="shared" si="18"/>
        <v/>
      </c>
      <c r="S188" t="str">
        <f t="shared" si="19"/>
        <v/>
      </c>
      <c r="T188" t="str">
        <f>IF($N188="","",IF(Sync!$N188="",0,Sync!$N188))</f>
        <v/>
      </c>
      <c r="U188" t="str">
        <f>IF($N188="","",IF(Sync!$O188="",0,Sync!$O188))</f>
        <v/>
      </c>
      <c r="V188" t="str">
        <f>IF($N188="","",Sync!$L188)</f>
        <v/>
      </c>
      <c r="W188" t="str">
        <f>IF($N188="","",Sync!$P188)</f>
        <v/>
      </c>
      <c r="AA188" t="str">
        <f>IF($A188="","",IF(COUNTIF($A$6:$A188,$A188)=1,1,0))</f>
        <v/>
      </c>
      <c r="AB188">
        <f>SUM($AA$6:$AA188)</f>
        <v>3</v>
      </c>
      <c r="AC188" t="str">
        <f t="shared" si="20"/>
        <v/>
      </c>
    </row>
    <row r="189" spans="1:29" x14ac:dyDescent="0.2">
      <c r="A189" t="str">
        <f>IF(OR(Entry!$B192="",Entry!$E192="",$E189="نامعتبر"),"",Entry!$E192)</f>
        <v/>
      </c>
      <c r="B189" t="str">
        <f>IF($A189="","",LEFT($E189,4)&amp;MID($E189,6,2)&amp;RIGHT($E189,2)&amp;$F189&amp;"|"&amp;"1"&amp;RIGHT("00000"&amp;184,5))</f>
        <v/>
      </c>
      <c r="C189" t="str">
        <f t="shared" si="14"/>
        <v/>
      </c>
      <c r="D189" t="str">
        <f t="shared" si="15"/>
        <v/>
      </c>
      <c r="E189" t="str">
        <f>IF(Entry!$B192="","",IF(ISNUMBER(Entry!$B192),IF(AND(Entry!$B192&gt;=10000101,Entry!$B192&lt;=99991231),INT(Entry!$B192/10000)&amp;"/"&amp;RIGHT("00"&amp;INT(MOD(Entry!$B192,10000)/100),2)&amp;"/"&amp;RIGHT("00"&amp;MOD(Entry!$B192,100),2),"نامعتبر"),IF(LEN(Entry!$B192)=10,Entry!$B192,"نامعتبر")))</f>
        <v/>
      </c>
      <c r="F189" t="str">
        <f>IF(Entry!$B192="","",IF(Entry!$C192="","0000",IF(AND(ISNUMBER(Entry!$C192),Entry!$C192&gt;=0,Entry!$C192&lt;1),RIGHT("00"&amp;HOUR(Entry!$C192),2)&amp;RIGHT("00"&amp;MINUTE(Entry!$C192),2),IFERROR(RIGHT("00"&amp;VALUE(LEFT(Entry!$C192,FIND(":",Entry!$C192)-1)),2)&amp;RIGHT("00"&amp;VALUE(MID(Entry!$C192,FIND(":",Entry!$C192)+1,2)),2),"0000"))))</f>
        <v/>
      </c>
      <c r="G189" t="str">
        <f>IF($A189="","",Entry!$G192)</f>
        <v/>
      </c>
      <c r="H189" t="str">
        <f>IF($A189="","",IF(Entry!$H192="",0,Entry!$H192))</f>
        <v/>
      </c>
      <c r="I189" t="str">
        <f>IF($A189="","",IF(Entry!$I192="",0,Entry!$I192))</f>
        <v/>
      </c>
      <c r="J189" t="str">
        <f t="shared" si="16"/>
        <v/>
      </c>
      <c r="K189" t="str">
        <f>IF($A189="","",Entry!$D192)</f>
        <v/>
      </c>
      <c r="L189" t="str">
        <f>IF($A189="","",Entry!$L192)</f>
        <v/>
      </c>
      <c r="N189" t="str">
        <f>IF(OR(Sync!$M189="",$Q189="",$Q189="نامعتبر"),"",Sync!$M189)</f>
        <v/>
      </c>
      <c r="O189" t="str">
        <f t="shared" si="17"/>
        <v/>
      </c>
      <c r="P189" t="str">
        <f>IF($N189="","",LEFT($Q189,4)&amp;MID($Q189,6,2)&amp;RIGHT($Q189,2)&amp;IF(Sync!$K189="","0000",IF(AND(ISNUMBER(Sync!$K189),Sync!$K189&gt;=0,Sync!$K189&lt;1),RIGHT("00"&amp;HOUR(Sync!$K189),2)&amp;RIGHT("00"&amp;MINUTE(Sync!$K189),2),IFERROR(RIGHT("00"&amp;VALUE(LEFT(Sync!$K189,FIND(":",Sync!$K189)-1)),2)&amp;RIGHT("00"&amp;VALUE(MID(Sync!$K189,FIND(":",Sync!$K189)+1,2)),2),"0000")))&amp;"|"&amp;"2"&amp;RIGHT("00000"&amp;184,5))</f>
        <v/>
      </c>
      <c r="Q189" t="str">
        <f>IF(Sync!$J189="","",IF(ISNUMBER(Sync!$J189),IF(AND(Sync!$J189&gt;=10000101,Sync!$J189&lt;=99991231),INT(Sync!$J189/10000)&amp;"/"&amp;RIGHT("00"&amp;INT(MOD(Sync!$J189,10000)/100),2)&amp;"/"&amp;RIGHT("00"&amp;MOD(Sync!$J189,100),2),"نامعتبر"),IF(LEN(Sync!$J189)=10,Sync!$J189,"نامعتبر")))</f>
        <v/>
      </c>
      <c r="R189" t="str">
        <f t="shared" si="18"/>
        <v/>
      </c>
      <c r="S189" t="str">
        <f t="shared" si="19"/>
        <v/>
      </c>
      <c r="T189" t="str">
        <f>IF($N189="","",IF(Sync!$N189="",0,Sync!$N189))</f>
        <v/>
      </c>
      <c r="U189" t="str">
        <f>IF($N189="","",IF(Sync!$O189="",0,Sync!$O189))</f>
        <v/>
      </c>
      <c r="V189" t="str">
        <f>IF($N189="","",Sync!$L189)</f>
        <v/>
      </c>
      <c r="W189" t="str">
        <f>IF($N189="","",Sync!$P189)</f>
        <v/>
      </c>
      <c r="AA189" t="str">
        <f>IF($A189="","",IF(COUNTIF($A$6:$A189,$A189)=1,1,0))</f>
        <v/>
      </c>
      <c r="AB189">
        <f>SUM($AA$6:$AA189)</f>
        <v>3</v>
      </c>
      <c r="AC189" t="str">
        <f t="shared" si="20"/>
        <v/>
      </c>
    </row>
    <row r="190" spans="1:29" x14ac:dyDescent="0.2">
      <c r="A190" t="str">
        <f>IF(OR(Entry!$B193="",Entry!$E193="",$E190="نامعتبر"),"",Entry!$E193)</f>
        <v/>
      </c>
      <c r="B190" t="str">
        <f>IF($A190="","",LEFT($E190,4)&amp;MID($E190,6,2)&amp;RIGHT($E190,2)&amp;$F190&amp;"|"&amp;"1"&amp;RIGHT("00000"&amp;185,5))</f>
        <v/>
      </c>
      <c r="C190" t="str">
        <f t="shared" si="14"/>
        <v/>
      </c>
      <c r="D190" t="str">
        <f t="shared" si="15"/>
        <v/>
      </c>
      <c r="E190" t="str">
        <f>IF(Entry!$B193="","",IF(ISNUMBER(Entry!$B193),IF(AND(Entry!$B193&gt;=10000101,Entry!$B193&lt;=99991231),INT(Entry!$B193/10000)&amp;"/"&amp;RIGHT("00"&amp;INT(MOD(Entry!$B193,10000)/100),2)&amp;"/"&amp;RIGHT("00"&amp;MOD(Entry!$B193,100),2),"نامعتبر"),IF(LEN(Entry!$B193)=10,Entry!$B193,"نامعتبر")))</f>
        <v/>
      </c>
      <c r="F190" t="str">
        <f>IF(Entry!$B193="","",IF(Entry!$C193="","0000",IF(AND(ISNUMBER(Entry!$C193),Entry!$C193&gt;=0,Entry!$C193&lt;1),RIGHT("00"&amp;HOUR(Entry!$C193),2)&amp;RIGHT("00"&amp;MINUTE(Entry!$C193),2),IFERROR(RIGHT("00"&amp;VALUE(LEFT(Entry!$C193,FIND(":",Entry!$C193)-1)),2)&amp;RIGHT("00"&amp;VALUE(MID(Entry!$C193,FIND(":",Entry!$C193)+1,2)),2),"0000"))))</f>
        <v/>
      </c>
      <c r="G190" t="str">
        <f>IF($A190="","",Entry!$G193)</f>
        <v/>
      </c>
      <c r="H190" t="str">
        <f>IF($A190="","",IF(Entry!$H193="",0,Entry!$H193))</f>
        <v/>
      </c>
      <c r="I190" t="str">
        <f>IF($A190="","",IF(Entry!$I193="",0,Entry!$I193))</f>
        <v/>
      </c>
      <c r="J190" t="str">
        <f t="shared" si="16"/>
        <v/>
      </c>
      <c r="K190" t="str">
        <f>IF($A190="","",Entry!$D193)</f>
        <v/>
      </c>
      <c r="L190" t="str">
        <f>IF($A190="","",Entry!$L193)</f>
        <v/>
      </c>
      <c r="N190" t="str">
        <f>IF(OR(Sync!$M190="",$Q190="",$Q190="نامعتبر"),"",Sync!$M190)</f>
        <v/>
      </c>
      <c r="O190" t="str">
        <f t="shared" si="17"/>
        <v/>
      </c>
      <c r="P190" t="str">
        <f>IF($N190="","",LEFT($Q190,4)&amp;MID($Q190,6,2)&amp;RIGHT($Q190,2)&amp;IF(Sync!$K190="","0000",IF(AND(ISNUMBER(Sync!$K190),Sync!$K190&gt;=0,Sync!$K190&lt;1),RIGHT("00"&amp;HOUR(Sync!$K190),2)&amp;RIGHT("00"&amp;MINUTE(Sync!$K190),2),IFERROR(RIGHT("00"&amp;VALUE(LEFT(Sync!$K190,FIND(":",Sync!$K190)-1)),2)&amp;RIGHT("00"&amp;VALUE(MID(Sync!$K190,FIND(":",Sync!$K190)+1,2)),2),"0000")))&amp;"|"&amp;"2"&amp;RIGHT("00000"&amp;185,5))</f>
        <v/>
      </c>
      <c r="Q190" t="str">
        <f>IF(Sync!$J190="","",IF(ISNUMBER(Sync!$J190),IF(AND(Sync!$J190&gt;=10000101,Sync!$J190&lt;=99991231),INT(Sync!$J190/10000)&amp;"/"&amp;RIGHT("00"&amp;INT(MOD(Sync!$J190,10000)/100),2)&amp;"/"&amp;RIGHT("00"&amp;MOD(Sync!$J190,100),2),"نامعتبر"),IF(LEN(Sync!$J190)=10,Sync!$J190,"نامعتبر")))</f>
        <v/>
      </c>
      <c r="R190" t="str">
        <f t="shared" si="18"/>
        <v/>
      </c>
      <c r="S190" t="str">
        <f t="shared" si="19"/>
        <v/>
      </c>
      <c r="T190" t="str">
        <f>IF($N190="","",IF(Sync!$N190="",0,Sync!$N190))</f>
        <v/>
      </c>
      <c r="U190" t="str">
        <f>IF($N190="","",IF(Sync!$O190="",0,Sync!$O190))</f>
        <v/>
      </c>
      <c r="V190" t="str">
        <f>IF($N190="","",Sync!$L190)</f>
        <v/>
      </c>
      <c r="W190" t="str">
        <f>IF($N190="","",Sync!$P190)</f>
        <v/>
      </c>
      <c r="AA190" t="str">
        <f>IF($A190="","",IF(COUNTIF($A$6:$A190,$A190)=1,1,0))</f>
        <v/>
      </c>
      <c r="AB190">
        <f>SUM($AA$6:$AA190)</f>
        <v>3</v>
      </c>
      <c r="AC190" t="str">
        <f t="shared" si="20"/>
        <v/>
      </c>
    </row>
    <row r="191" spans="1:29" x14ac:dyDescent="0.2">
      <c r="A191" t="str">
        <f>IF(OR(Entry!$B194="",Entry!$E194="",$E191="نامعتبر"),"",Entry!$E194)</f>
        <v/>
      </c>
      <c r="B191" t="str">
        <f>IF($A191="","",LEFT($E191,4)&amp;MID($E191,6,2)&amp;RIGHT($E191,2)&amp;$F191&amp;"|"&amp;"1"&amp;RIGHT("00000"&amp;186,5))</f>
        <v/>
      </c>
      <c r="C191" t="str">
        <f t="shared" si="14"/>
        <v/>
      </c>
      <c r="D191" t="str">
        <f t="shared" si="15"/>
        <v/>
      </c>
      <c r="E191" t="str">
        <f>IF(Entry!$B194="","",IF(ISNUMBER(Entry!$B194),IF(AND(Entry!$B194&gt;=10000101,Entry!$B194&lt;=99991231),INT(Entry!$B194/10000)&amp;"/"&amp;RIGHT("00"&amp;INT(MOD(Entry!$B194,10000)/100),2)&amp;"/"&amp;RIGHT("00"&amp;MOD(Entry!$B194,100),2),"نامعتبر"),IF(LEN(Entry!$B194)=10,Entry!$B194,"نامعتبر")))</f>
        <v/>
      </c>
      <c r="F191" t="str">
        <f>IF(Entry!$B194="","",IF(Entry!$C194="","0000",IF(AND(ISNUMBER(Entry!$C194),Entry!$C194&gt;=0,Entry!$C194&lt;1),RIGHT("00"&amp;HOUR(Entry!$C194),2)&amp;RIGHT("00"&amp;MINUTE(Entry!$C194),2),IFERROR(RIGHT("00"&amp;VALUE(LEFT(Entry!$C194,FIND(":",Entry!$C194)-1)),2)&amp;RIGHT("00"&amp;VALUE(MID(Entry!$C194,FIND(":",Entry!$C194)+1,2)),2),"0000"))))</f>
        <v/>
      </c>
      <c r="G191" t="str">
        <f>IF($A191="","",Entry!$G194)</f>
        <v/>
      </c>
      <c r="H191" t="str">
        <f>IF($A191="","",IF(Entry!$H194="",0,Entry!$H194))</f>
        <v/>
      </c>
      <c r="I191" t="str">
        <f>IF($A191="","",IF(Entry!$I194="",0,Entry!$I194))</f>
        <v/>
      </c>
      <c r="J191" t="str">
        <f t="shared" si="16"/>
        <v/>
      </c>
      <c r="K191" t="str">
        <f>IF($A191="","",Entry!$D194)</f>
        <v/>
      </c>
      <c r="L191" t="str">
        <f>IF($A191="","",Entry!$L194)</f>
        <v/>
      </c>
      <c r="N191" t="str">
        <f>IF(OR(Sync!$M191="",$Q191="",$Q191="نامعتبر"),"",Sync!$M191)</f>
        <v/>
      </c>
      <c r="O191" t="str">
        <f t="shared" si="17"/>
        <v/>
      </c>
      <c r="P191" t="str">
        <f>IF($N191="","",LEFT($Q191,4)&amp;MID($Q191,6,2)&amp;RIGHT($Q191,2)&amp;IF(Sync!$K191="","0000",IF(AND(ISNUMBER(Sync!$K191),Sync!$K191&gt;=0,Sync!$K191&lt;1),RIGHT("00"&amp;HOUR(Sync!$K191),2)&amp;RIGHT("00"&amp;MINUTE(Sync!$K191),2),IFERROR(RIGHT("00"&amp;VALUE(LEFT(Sync!$K191,FIND(":",Sync!$K191)-1)),2)&amp;RIGHT("00"&amp;VALUE(MID(Sync!$K191,FIND(":",Sync!$K191)+1,2)),2),"0000")))&amp;"|"&amp;"2"&amp;RIGHT("00000"&amp;186,5))</f>
        <v/>
      </c>
      <c r="Q191" t="str">
        <f>IF(Sync!$J191="","",IF(ISNUMBER(Sync!$J191),IF(AND(Sync!$J191&gt;=10000101,Sync!$J191&lt;=99991231),INT(Sync!$J191/10000)&amp;"/"&amp;RIGHT("00"&amp;INT(MOD(Sync!$J191,10000)/100),2)&amp;"/"&amp;RIGHT("00"&amp;MOD(Sync!$J191,100),2),"نامعتبر"),IF(LEN(Sync!$J191)=10,Sync!$J191,"نامعتبر")))</f>
        <v/>
      </c>
      <c r="R191" t="str">
        <f t="shared" si="18"/>
        <v/>
      </c>
      <c r="S191" t="str">
        <f t="shared" si="19"/>
        <v/>
      </c>
      <c r="T191" t="str">
        <f>IF($N191="","",IF(Sync!$N191="",0,Sync!$N191))</f>
        <v/>
      </c>
      <c r="U191" t="str">
        <f>IF($N191="","",IF(Sync!$O191="",0,Sync!$O191))</f>
        <v/>
      </c>
      <c r="V191" t="str">
        <f>IF($N191="","",Sync!$L191)</f>
        <v/>
      </c>
      <c r="W191" t="str">
        <f>IF($N191="","",Sync!$P191)</f>
        <v/>
      </c>
      <c r="AA191" t="str">
        <f>IF($A191="","",IF(COUNTIF($A$6:$A191,$A191)=1,1,0))</f>
        <v/>
      </c>
      <c r="AB191">
        <f>SUM($AA$6:$AA191)</f>
        <v>3</v>
      </c>
      <c r="AC191" t="str">
        <f t="shared" si="20"/>
        <v/>
      </c>
    </row>
    <row r="192" spans="1:29" x14ac:dyDescent="0.2">
      <c r="A192" t="str">
        <f>IF(OR(Entry!$B195="",Entry!$E195="",$E192="نامعتبر"),"",Entry!$E195)</f>
        <v/>
      </c>
      <c r="B192" t="str">
        <f>IF($A192="","",LEFT($E192,4)&amp;MID($E192,6,2)&amp;RIGHT($E192,2)&amp;$F192&amp;"|"&amp;"1"&amp;RIGHT("00000"&amp;187,5))</f>
        <v/>
      </c>
      <c r="C192" t="str">
        <f t="shared" si="14"/>
        <v/>
      </c>
      <c r="D192" t="str">
        <f t="shared" si="15"/>
        <v/>
      </c>
      <c r="E192" t="str">
        <f>IF(Entry!$B195="","",IF(ISNUMBER(Entry!$B195),IF(AND(Entry!$B195&gt;=10000101,Entry!$B195&lt;=99991231),INT(Entry!$B195/10000)&amp;"/"&amp;RIGHT("00"&amp;INT(MOD(Entry!$B195,10000)/100),2)&amp;"/"&amp;RIGHT("00"&amp;MOD(Entry!$B195,100),2),"نامعتبر"),IF(LEN(Entry!$B195)=10,Entry!$B195,"نامعتبر")))</f>
        <v/>
      </c>
      <c r="F192" t="str">
        <f>IF(Entry!$B195="","",IF(Entry!$C195="","0000",IF(AND(ISNUMBER(Entry!$C195),Entry!$C195&gt;=0,Entry!$C195&lt;1),RIGHT("00"&amp;HOUR(Entry!$C195),2)&amp;RIGHT("00"&amp;MINUTE(Entry!$C195),2),IFERROR(RIGHT("00"&amp;VALUE(LEFT(Entry!$C195,FIND(":",Entry!$C195)-1)),2)&amp;RIGHT("00"&amp;VALUE(MID(Entry!$C195,FIND(":",Entry!$C195)+1,2)),2),"0000"))))</f>
        <v/>
      </c>
      <c r="G192" t="str">
        <f>IF($A192="","",Entry!$G195)</f>
        <v/>
      </c>
      <c r="H192" t="str">
        <f>IF($A192="","",IF(Entry!$H195="",0,Entry!$H195))</f>
        <v/>
      </c>
      <c r="I192" t="str">
        <f>IF($A192="","",IF(Entry!$I195="",0,Entry!$I195))</f>
        <v/>
      </c>
      <c r="J192" t="str">
        <f t="shared" si="16"/>
        <v/>
      </c>
      <c r="K192" t="str">
        <f>IF($A192="","",Entry!$D195)</f>
        <v/>
      </c>
      <c r="L192" t="str">
        <f>IF($A192="","",Entry!$L195)</f>
        <v/>
      </c>
      <c r="N192" t="str">
        <f>IF(OR(Sync!$M192="",$Q192="",$Q192="نامعتبر"),"",Sync!$M192)</f>
        <v/>
      </c>
      <c r="O192" t="str">
        <f t="shared" si="17"/>
        <v/>
      </c>
      <c r="P192" t="str">
        <f>IF($N192="","",LEFT($Q192,4)&amp;MID($Q192,6,2)&amp;RIGHT($Q192,2)&amp;IF(Sync!$K192="","0000",IF(AND(ISNUMBER(Sync!$K192),Sync!$K192&gt;=0,Sync!$K192&lt;1),RIGHT("00"&amp;HOUR(Sync!$K192),2)&amp;RIGHT("00"&amp;MINUTE(Sync!$K192),2),IFERROR(RIGHT("00"&amp;VALUE(LEFT(Sync!$K192,FIND(":",Sync!$K192)-1)),2)&amp;RIGHT("00"&amp;VALUE(MID(Sync!$K192,FIND(":",Sync!$K192)+1,2)),2),"0000")))&amp;"|"&amp;"2"&amp;RIGHT("00000"&amp;187,5))</f>
        <v/>
      </c>
      <c r="Q192" t="str">
        <f>IF(Sync!$J192="","",IF(ISNUMBER(Sync!$J192),IF(AND(Sync!$J192&gt;=10000101,Sync!$J192&lt;=99991231),INT(Sync!$J192/10000)&amp;"/"&amp;RIGHT("00"&amp;INT(MOD(Sync!$J192,10000)/100),2)&amp;"/"&amp;RIGHT("00"&amp;MOD(Sync!$J192,100),2),"نامعتبر"),IF(LEN(Sync!$J192)=10,Sync!$J192,"نامعتبر")))</f>
        <v/>
      </c>
      <c r="R192" t="str">
        <f t="shared" si="18"/>
        <v/>
      </c>
      <c r="S192" t="str">
        <f t="shared" si="19"/>
        <v/>
      </c>
      <c r="T192" t="str">
        <f>IF($N192="","",IF(Sync!$N192="",0,Sync!$N192))</f>
        <v/>
      </c>
      <c r="U192" t="str">
        <f>IF($N192="","",IF(Sync!$O192="",0,Sync!$O192))</f>
        <v/>
      </c>
      <c r="V192" t="str">
        <f>IF($N192="","",Sync!$L192)</f>
        <v/>
      </c>
      <c r="W192" t="str">
        <f>IF($N192="","",Sync!$P192)</f>
        <v/>
      </c>
      <c r="AA192" t="str">
        <f>IF($A192="","",IF(COUNTIF($A$6:$A192,$A192)=1,1,0))</f>
        <v/>
      </c>
      <c r="AB192">
        <f>SUM($AA$6:$AA192)</f>
        <v>3</v>
      </c>
      <c r="AC192" t="str">
        <f t="shared" si="20"/>
        <v/>
      </c>
    </row>
    <row r="193" spans="1:29" x14ac:dyDescent="0.2">
      <c r="A193" t="str">
        <f>IF(OR(Entry!$B196="",Entry!$E196="",$E193="نامعتبر"),"",Entry!$E196)</f>
        <v/>
      </c>
      <c r="B193" t="str">
        <f>IF($A193="","",LEFT($E193,4)&amp;MID($E193,6,2)&amp;RIGHT($E193,2)&amp;$F193&amp;"|"&amp;"1"&amp;RIGHT("00000"&amp;188,5))</f>
        <v/>
      </c>
      <c r="C193" t="str">
        <f t="shared" si="14"/>
        <v/>
      </c>
      <c r="D193" t="str">
        <f t="shared" si="15"/>
        <v/>
      </c>
      <c r="E193" t="str">
        <f>IF(Entry!$B196="","",IF(ISNUMBER(Entry!$B196),IF(AND(Entry!$B196&gt;=10000101,Entry!$B196&lt;=99991231),INT(Entry!$B196/10000)&amp;"/"&amp;RIGHT("00"&amp;INT(MOD(Entry!$B196,10000)/100),2)&amp;"/"&amp;RIGHT("00"&amp;MOD(Entry!$B196,100),2),"نامعتبر"),IF(LEN(Entry!$B196)=10,Entry!$B196,"نامعتبر")))</f>
        <v/>
      </c>
      <c r="F193" t="str">
        <f>IF(Entry!$B196="","",IF(Entry!$C196="","0000",IF(AND(ISNUMBER(Entry!$C196),Entry!$C196&gt;=0,Entry!$C196&lt;1),RIGHT("00"&amp;HOUR(Entry!$C196),2)&amp;RIGHT("00"&amp;MINUTE(Entry!$C196),2),IFERROR(RIGHT("00"&amp;VALUE(LEFT(Entry!$C196,FIND(":",Entry!$C196)-1)),2)&amp;RIGHT("00"&amp;VALUE(MID(Entry!$C196,FIND(":",Entry!$C196)+1,2)),2),"0000"))))</f>
        <v/>
      </c>
      <c r="G193" t="str">
        <f>IF($A193="","",Entry!$G196)</f>
        <v/>
      </c>
      <c r="H193" t="str">
        <f>IF($A193="","",IF(Entry!$H196="",0,Entry!$H196))</f>
        <v/>
      </c>
      <c r="I193" t="str">
        <f>IF($A193="","",IF(Entry!$I196="",0,Entry!$I196))</f>
        <v/>
      </c>
      <c r="J193" t="str">
        <f t="shared" si="16"/>
        <v/>
      </c>
      <c r="K193" t="str">
        <f>IF($A193="","",Entry!$D196)</f>
        <v/>
      </c>
      <c r="L193" t="str">
        <f>IF($A193="","",Entry!$L196)</f>
        <v/>
      </c>
      <c r="N193" t="str">
        <f>IF(OR(Sync!$M193="",$Q193="",$Q193="نامعتبر"),"",Sync!$M193)</f>
        <v/>
      </c>
      <c r="O193" t="str">
        <f t="shared" si="17"/>
        <v/>
      </c>
      <c r="P193" t="str">
        <f>IF($N193="","",LEFT($Q193,4)&amp;MID($Q193,6,2)&amp;RIGHT($Q193,2)&amp;IF(Sync!$K193="","0000",IF(AND(ISNUMBER(Sync!$K193),Sync!$K193&gt;=0,Sync!$K193&lt;1),RIGHT("00"&amp;HOUR(Sync!$K193),2)&amp;RIGHT("00"&amp;MINUTE(Sync!$K193),2),IFERROR(RIGHT("00"&amp;VALUE(LEFT(Sync!$K193,FIND(":",Sync!$K193)-1)),2)&amp;RIGHT("00"&amp;VALUE(MID(Sync!$K193,FIND(":",Sync!$K193)+1,2)),2),"0000")))&amp;"|"&amp;"2"&amp;RIGHT("00000"&amp;188,5))</f>
        <v/>
      </c>
      <c r="Q193" t="str">
        <f>IF(Sync!$J193="","",IF(ISNUMBER(Sync!$J193),IF(AND(Sync!$J193&gt;=10000101,Sync!$J193&lt;=99991231),INT(Sync!$J193/10000)&amp;"/"&amp;RIGHT("00"&amp;INT(MOD(Sync!$J193,10000)/100),2)&amp;"/"&amp;RIGHT("00"&amp;MOD(Sync!$J193,100),2),"نامعتبر"),IF(LEN(Sync!$J193)=10,Sync!$J193,"نامعتبر")))</f>
        <v/>
      </c>
      <c r="R193" t="str">
        <f t="shared" si="18"/>
        <v/>
      </c>
      <c r="S193" t="str">
        <f t="shared" si="19"/>
        <v/>
      </c>
      <c r="T193" t="str">
        <f>IF($N193="","",IF(Sync!$N193="",0,Sync!$N193))</f>
        <v/>
      </c>
      <c r="U193" t="str">
        <f>IF($N193="","",IF(Sync!$O193="",0,Sync!$O193))</f>
        <v/>
      </c>
      <c r="V193" t="str">
        <f>IF($N193="","",Sync!$L193)</f>
        <v/>
      </c>
      <c r="W193" t="str">
        <f>IF($N193="","",Sync!$P193)</f>
        <v/>
      </c>
      <c r="AA193" t="str">
        <f>IF($A193="","",IF(COUNTIF($A$6:$A193,$A193)=1,1,0))</f>
        <v/>
      </c>
      <c r="AB193">
        <f>SUM($AA$6:$AA193)</f>
        <v>3</v>
      </c>
      <c r="AC193" t="str">
        <f t="shared" si="20"/>
        <v/>
      </c>
    </row>
    <row r="194" spans="1:29" x14ac:dyDescent="0.2">
      <c r="A194" t="str">
        <f>IF(OR(Entry!$B197="",Entry!$E197="",$E194="نامعتبر"),"",Entry!$E197)</f>
        <v/>
      </c>
      <c r="B194" t="str">
        <f>IF($A194="","",LEFT($E194,4)&amp;MID($E194,6,2)&amp;RIGHT($E194,2)&amp;$F194&amp;"|"&amp;"1"&amp;RIGHT("00000"&amp;189,5))</f>
        <v/>
      </c>
      <c r="C194" t="str">
        <f t="shared" si="14"/>
        <v/>
      </c>
      <c r="D194" t="str">
        <f t="shared" si="15"/>
        <v/>
      </c>
      <c r="E194" t="str">
        <f>IF(Entry!$B197="","",IF(ISNUMBER(Entry!$B197),IF(AND(Entry!$B197&gt;=10000101,Entry!$B197&lt;=99991231),INT(Entry!$B197/10000)&amp;"/"&amp;RIGHT("00"&amp;INT(MOD(Entry!$B197,10000)/100),2)&amp;"/"&amp;RIGHT("00"&amp;MOD(Entry!$B197,100),2),"نامعتبر"),IF(LEN(Entry!$B197)=10,Entry!$B197,"نامعتبر")))</f>
        <v/>
      </c>
      <c r="F194" t="str">
        <f>IF(Entry!$B197="","",IF(Entry!$C197="","0000",IF(AND(ISNUMBER(Entry!$C197),Entry!$C197&gt;=0,Entry!$C197&lt;1),RIGHT("00"&amp;HOUR(Entry!$C197),2)&amp;RIGHT("00"&amp;MINUTE(Entry!$C197),2),IFERROR(RIGHT("00"&amp;VALUE(LEFT(Entry!$C197,FIND(":",Entry!$C197)-1)),2)&amp;RIGHT("00"&amp;VALUE(MID(Entry!$C197,FIND(":",Entry!$C197)+1,2)),2),"0000"))))</f>
        <v/>
      </c>
      <c r="G194" t="str">
        <f>IF($A194="","",Entry!$G197)</f>
        <v/>
      </c>
      <c r="H194" t="str">
        <f>IF($A194="","",IF(Entry!$H197="",0,Entry!$H197))</f>
        <v/>
      </c>
      <c r="I194" t="str">
        <f>IF($A194="","",IF(Entry!$I197="",0,Entry!$I197))</f>
        <v/>
      </c>
      <c r="J194" t="str">
        <f t="shared" si="16"/>
        <v/>
      </c>
      <c r="K194" t="str">
        <f>IF($A194="","",Entry!$D197)</f>
        <v/>
      </c>
      <c r="L194" t="str">
        <f>IF($A194="","",Entry!$L197)</f>
        <v/>
      </c>
      <c r="N194" t="str">
        <f>IF(OR(Sync!$M194="",$Q194="",$Q194="نامعتبر"),"",Sync!$M194)</f>
        <v/>
      </c>
      <c r="O194" t="str">
        <f t="shared" si="17"/>
        <v/>
      </c>
      <c r="P194" t="str">
        <f>IF($N194="","",LEFT($Q194,4)&amp;MID($Q194,6,2)&amp;RIGHT($Q194,2)&amp;IF(Sync!$K194="","0000",IF(AND(ISNUMBER(Sync!$K194),Sync!$K194&gt;=0,Sync!$K194&lt;1),RIGHT("00"&amp;HOUR(Sync!$K194),2)&amp;RIGHT("00"&amp;MINUTE(Sync!$K194),2),IFERROR(RIGHT("00"&amp;VALUE(LEFT(Sync!$K194,FIND(":",Sync!$K194)-1)),2)&amp;RIGHT("00"&amp;VALUE(MID(Sync!$K194,FIND(":",Sync!$K194)+1,2)),2),"0000")))&amp;"|"&amp;"2"&amp;RIGHT("00000"&amp;189,5))</f>
        <v/>
      </c>
      <c r="Q194" t="str">
        <f>IF(Sync!$J194="","",IF(ISNUMBER(Sync!$J194),IF(AND(Sync!$J194&gt;=10000101,Sync!$J194&lt;=99991231),INT(Sync!$J194/10000)&amp;"/"&amp;RIGHT("00"&amp;INT(MOD(Sync!$J194,10000)/100),2)&amp;"/"&amp;RIGHT("00"&amp;MOD(Sync!$J194,100),2),"نامعتبر"),IF(LEN(Sync!$J194)=10,Sync!$J194,"نامعتبر")))</f>
        <v/>
      </c>
      <c r="R194" t="str">
        <f t="shared" si="18"/>
        <v/>
      </c>
      <c r="S194" t="str">
        <f t="shared" si="19"/>
        <v/>
      </c>
      <c r="T194" t="str">
        <f>IF($N194="","",IF(Sync!$N194="",0,Sync!$N194))</f>
        <v/>
      </c>
      <c r="U194" t="str">
        <f>IF($N194="","",IF(Sync!$O194="",0,Sync!$O194))</f>
        <v/>
      </c>
      <c r="V194" t="str">
        <f>IF($N194="","",Sync!$L194)</f>
        <v/>
      </c>
      <c r="W194" t="str">
        <f>IF($N194="","",Sync!$P194)</f>
        <v/>
      </c>
      <c r="AA194" t="str">
        <f>IF($A194="","",IF(COUNTIF($A$6:$A194,$A194)=1,1,0))</f>
        <v/>
      </c>
      <c r="AB194">
        <f>SUM($AA$6:$AA194)</f>
        <v>3</v>
      </c>
      <c r="AC194" t="str">
        <f t="shared" si="20"/>
        <v/>
      </c>
    </row>
    <row r="195" spans="1:29" x14ac:dyDescent="0.2">
      <c r="A195" t="str">
        <f>IF(OR(Entry!$B198="",Entry!$E198="",$E195="نامعتبر"),"",Entry!$E198)</f>
        <v/>
      </c>
      <c r="B195" t="str">
        <f>IF($A195="","",LEFT($E195,4)&amp;MID($E195,6,2)&amp;RIGHT($E195,2)&amp;$F195&amp;"|"&amp;"1"&amp;RIGHT("00000"&amp;190,5))</f>
        <v/>
      </c>
      <c r="C195" t="str">
        <f t="shared" si="14"/>
        <v/>
      </c>
      <c r="D195" t="str">
        <f t="shared" si="15"/>
        <v/>
      </c>
      <c r="E195" t="str">
        <f>IF(Entry!$B198="","",IF(ISNUMBER(Entry!$B198),IF(AND(Entry!$B198&gt;=10000101,Entry!$B198&lt;=99991231),INT(Entry!$B198/10000)&amp;"/"&amp;RIGHT("00"&amp;INT(MOD(Entry!$B198,10000)/100),2)&amp;"/"&amp;RIGHT("00"&amp;MOD(Entry!$B198,100),2),"نامعتبر"),IF(LEN(Entry!$B198)=10,Entry!$B198,"نامعتبر")))</f>
        <v/>
      </c>
      <c r="F195" t="str">
        <f>IF(Entry!$B198="","",IF(Entry!$C198="","0000",IF(AND(ISNUMBER(Entry!$C198),Entry!$C198&gt;=0,Entry!$C198&lt;1),RIGHT("00"&amp;HOUR(Entry!$C198),2)&amp;RIGHT("00"&amp;MINUTE(Entry!$C198),2),IFERROR(RIGHT("00"&amp;VALUE(LEFT(Entry!$C198,FIND(":",Entry!$C198)-1)),2)&amp;RIGHT("00"&amp;VALUE(MID(Entry!$C198,FIND(":",Entry!$C198)+1,2)),2),"0000"))))</f>
        <v/>
      </c>
      <c r="G195" t="str">
        <f>IF($A195="","",Entry!$G198)</f>
        <v/>
      </c>
      <c r="H195" t="str">
        <f>IF($A195="","",IF(Entry!$H198="",0,Entry!$H198))</f>
        <v/>
      </c>
      <c r="I195" t="str">
        <f>IF($A195="","",IF(Entry!$I198="",0,Entry!$I198))</f>
        <v/>
      </c>
      <c r="J195" t="str">
        <f t="shared" si="16"/>
        <v/>
      </c>
      <c r="K195" t="str">
        <f>IF($A195="","",Entry!$D198)</f>
        <v/>
      </c>
      <c r="L195" t="str">
        <f>IF($A195="","",Entry!$L198)</f>
        <v/>
      </c>
      <c r="N195" t="str">
        <f>IF(OR(Sync!$M195="",$Q195="",$Q195="نامعتبر"),"",Sync!$M195)</f>
        <v/>
      </c>
      <c r="O195" t="str">
        <f t="shared" si="17"/>
        <v/>
      </c>
      <c r="P195" t="str">
        <f>IF($N195="","",LEFT($Q195,4)&amp;MID($Q195,6,2)&amp;RIGHT($Q195,2)&amp;IF(Sync!$K195="","0000",IF(AND(ISNUMBER(Sync!$K195),Sync!$K195&gt;=0,Sync!$K195&lt;1),RIGHT("00"&amp;HOUR(Sync!$K195),2)&amp;RIGHT("00"&amp;MINUTE(Sync!$K195),2),IFERROR(RIGHT("00"&amp;VALUE(LEFT(Sync!$K195,FIND(":",Sync!$K195)-1)),2)&amp;RIGHT("00"&amp;VALUE(MID(Sync!$K195,FIND(":",Sync!$K195)+1,2)),2),"0000")))&amp;"|"&amp;"2"&amp;RIGHT("00000"&amp;190,5))</f>
        <v/>
      </c>
      <c r="Q195" t="str">
        <f>IF(Sync!$J195="","",IF(ISNUMBER(Sync!$J195),IF(AND(Sync!$J195&gt;=10000101,Sync!$J195&lt;=99991231),INT(Sync!$J195/10000)&amp;"/"&amp;RIGHT("00"&amp;INT(MOD(Sync!$J195,10000)/100),2)&amp;"/"&amp;RIGHT("00"&amp;MOD(Sync!$J195,100),2),"نامعتبر"),IF(LEN(Sync!$J195)=10,Sync!$J195,"نامعتبر")))</f>
        <v/>
      </c>
      <c r="R195" t="str">
        <f t="shared" si="18"/>
        <v/>
      </c>
      <c r="S195" t="str">
        <f t="shared" si="19"/>
        <v/>
      </c>
      <c r="T195" t="str">
        <f>IF($N195="","",IF(Sync!$N195="",0,Sync!$N195))</f>
        <v/>
      </c>
      <c r="U195" t="str">
        <f>IF($N195="","",IF(Sync!$O195="",0,Sync!$O195))</f>
        <v/>
      </c>
      <c r="V195" t="str">
        <f>IF($N195="","",Sync!$L195)</f>
        <v/>
      </c>
      <c r="W195" t="str">
        <f>IF($N195="","",Sync!$P195)</f>
        <v/>
      </c>
      <c r="AA195" t="str">
        <f>IF($A195="","",IF(COUNTIF($A$6:$A195,$A195)=1,1,0))</f>
        <v/>
      </c>
      <c r="AB195">
        <f>SUM($AA$6:$AA195)</f>
        <v>3</v>
      </c>
      <c r="AC195" t="str">
        <f t="shared" si="20"/>
        <v/>
      </c>
    </row>
    <row r="196" spans="1:29" x14ac:dyDescent="0.2">
      <c r="A196" t="str">
        <f>IF(OR(Entry!$B199="",Entry!$E199="",$E196="نامعتبر"),"",Entry!$E199)</f>
        <v/>
      </c>
      <c r="B196" t="str">
        <f>IF($A196="","",LEFT($E196,4)&amp;MID($E196,6,2)&amp;RIGHT($E196,2)&amp;$F196&amp;"|"&amp;"1"&amp;RIGHT("00000"&amp;191,5))</f>
        <v/>
      </c>
      <c r="C196" t="str">
        <f t="shared" si="14"/>
        <v/>
      </c>
      <c r="D196" t="str">
        <f t="shared" si="15"/>
        <v/>
      </c>
      <c r="E196" t="str">
        <f>IF(Entry!$B199="","",IF(ISNUMBER(Entry!$B199),IF(AND(Entry!$B199&gt;=10000101,Entry!$B199&lt;=99991231),INT(Entry!$B199/10000)&amp;"/"&amp;RIGHT("00"&amp;INT(MOD(Entry!$B199,10000)/100),2)&amp;"/"&amp;RIGHT("00"&amp;MOD(Entry!$B199,100),2),"نامعتبر"),IF(LEN(Entry!$B199)=10,Entry!$B199,"نامعتبر")))</f>
        <v/>
      </c>
      <c r="F196" t="str">
        <f>IF(Entry!$B199="","",IF(Entry!$C199="","0000",IF(AND(ISNUMBER(Entry!$C199),Entry!$C199&gt;=0,Entry!$C199&lt;1),RIGHT("00"&amp;HOUR(Entry!$C199),2)&amp;RIGHT("00"&amp;MINUTE(Entry!$C199),2),IFERROR(RIGHT("00"&amp;VALUE(LEFT(Entry!$C199,FIND(":",Entry!$C199)-1)),2)&amp;RIGHT("00"&amp;VALUE(MID(Entry!$C199,FIND(":",Entry!$C199)+1,2)),2),"0000"))))</f>
        <v/>
      </c>
      <c r="G196" t="str">
        <f>IF($A196="","",Entry!$G199)</f>
        <v/>
      </c>
      <c r="H196" t="str">
        <f>IF($A196="","",IF(Entry!$H199="",0,Entry!$H199))</f>
        <v/>
      </c>
      <c r="I196" t="str">
        <f>IF($A196="","",IF(Entry!$I199="",0,Entry!$I199))</f>
        <v/>
      </c>
      <c r="J196" t="str">
        <f t="shared" si="16"/>
        <v/>
      </c>
      <c r="K196" t="str">
        <f>IF($A196="","",Entry!$D199)</f>
        <v/>
      </c>
      <c r="L196" t="str">
        <f>IF($A196="","",Entry!$L199)</f>
        <v/>
      </c>
      <c r="N196" t="str">
        <f>IF(OR(Sync!$M196="",$Q196="",$Q196="نامعتبر"),"",Sync!$M196)</f>
        <v/>
      </c>
      <c r="O196" t="str">
        <f t="shared" si="17"/>
        <v/>
      </c>
      <c r="P196" t="str">
        <f>IF($N196="","",LEFT($Q196,4)&amp;MID($Q196,6,2)&amp;RIGHT($Q196,2)&amp;IF(Sync!$K196="","0000",IF(AND(ISNUMBER(Sync!$K196),Sync!$K196&gt;=0,Sync!$K196&lt;1),RIGHT("00"&amp;HOUR(Sync!$K196),2)&amp;RIGHT("00"&amp;MINUTE(Sync!$K196),2),IFERROR(RIGHT("00"&amp;VALUE(LEFT(Sync!$K196,FIND(":",Sync!$K196)-1)),2)&amp;RIGHT("00"&amp;VALUE(MID(Sync!$K196,FIND(":",Sync!$K196)+1,2)),2),"0000")))&amp;"|"&amp;"2"&amp;RIGHT("00000"&amp;191,5))</f>
        <v/>
      </c>
      <c r="Q196" t="str">
        <f>IF(Sync!$J196="","",IF(ISNUMBER(Sync!$J196),IF(AND(Sync!$J196&gt;=10000101,Sync!$J196&lt;=99991231),INT(Sync!$J196/10000)&amp;"/"&amp;RIGHT("00"&amp;INT(MOD(Sync!$J196,10000)/100),2)&amp;"/"&amp;RIGHT("00"&amp;MOD(Sync!$J196,100),2),"نامعتبر"),IF(LEN(Sync!$J196)=10,Sync!$J196,"نامعتبر")))</f>
        <v/>
      </c>
      <c r="R196" t="str">
        <f t="shared" si="18"/>
        <v/>
      </c>
      <c r="S196" t="str">
        <f t="shared" si="19"/>
        <v/>
      </c>
      <c r="T196" t="str">
        <f>IF($N196="","",IF(Sync!$N196="",0,Sync!$N196))</f>
        <v/>
      </c>
      <c r="U196" t="str">
        <f>IF($N196="","",IF(Sync!$O196="",0,Sync!$O196))</f>
        <v/>
      </c>
      <c r="V196" t="str">
        <f>IF($N196="","",Sync!$L196)</f>
        <v/>
      </c>
      <c r="W196" t="str">
        <f>IF($N196="","",Sync!$P196)</f>
        <v/>
      </c>
      <c r="AA196" t="str">
        <f>IF($A196="","",IF(COUNTIF($A$6:$A196,$A196)=1,1,0))</f>
        <v/>
      </c>
      <c r="AB196">
        <f>SUM($AA$6:$AA196)</f>
        <v>3</v>
      </c>
      <c r="AC196" t="str">
        <f t="shared" si="20"/>
        <v/>
      </c>
    </row>
    <row r="197" spans="1:29" x14ac:dyDescent="0.2">
      <c r="A197" t="str">
        <f>IF(OR(Entry!$B200="",Entry!$E200="",$E197="نامعتبر"),"",Entry!$E200)</f>
        <v/>
      </c>
      <c r="B197" t="str">
        <f>IF($A197="","",LEFT($E197,4)&amp;MID($E197,6,2)&amp;RIGHT($E197,2)&amp;$F197&amp;"|"&amp;"1"&amp;RIGHT("00000"&amp;192,5))</f>
        <v/>
      </c>
      <c r="C197" t="str">
        <f t="shared" si="14"/>
        <v/>
      </c>
      <c r="D197" t="str">
        <f t="shared" si="15"/>
        <v/>
      </c>
      <c r="E197" t="str">
        <f>IF(Entry!$B200="","",IF(ISNUMBER(Entry!$B200),IF(AND(Entry!$B200&gt;=10000101,Entry!$B200&lt;=99991231),INT(Entry!$B200/10000)&amp;"/"&amp;RIGHT("00"&amp;INT(MOD(Entry!$B200,10000)/100),2)&amp;"/"&amp;RIGHT("00"&amp;MOD(Entry!$B200,100),2),"نامعتبر"),IF(LEN(Entry!$B200)=10,Entry!$B200,"نامعتبر")))</f>
        <v/>
      </c>
      <c r="F197" t="str">
        <f>IF(Entry!$B200="","",IF(Entry!$C200="","0000",IF(AND(ISNUMBER(Entry!$C200),Entry!$C200&gt;=0,Entry!$C200&lt;1),RIGHT("00"&amp;HOUR(Entry!$C200),2)&amp;RIGHT("00"&amp;MINUTE(Entry!$C200),2),IFERROR(RIGHT("00"&amp;VALUE(LEFT(Entry!$C200,FIND(":",Entry!$C200)-1)),2)&amp;RIGHT("00"&amp;VALUE(MID(Entry!$C200,FIND(":",Entry!$C200)+1,2)),2),"0000"))))</f>
        <v/>
      </c>
      <c r="G197" t="str">
        <f>IF($A197="","",Entry!$G200)</f>
        <v/>
      </c>
      <c r="H197" t="str">
        <f>IF($A197="","",IF(Entry!$H200="",0,Entry!$H200))</f>
        <v/>
      </c>
      <c r="I197" t="str">
        <f>IF($A197="","",IF(Entry!$I200="",0,Entry!$I200))</f>
        <v/>
      </c>
      <c r="J197" t="str">
        <f t="shared" si="16"/>
        <v/>
      </c>
      <c r="K197" t="str">
        <f>IF($A197="","",Entry!$D200)</f>
        <v/>
      </c>
      <c r="L197" t="str">
        <f>IF($A197="","",Entry!$L200)</f>
        <v/>
      </c>
      <c r="N197" t="str">
        <f>IF(OR(Sync!$M197="",$Q197="",$Q197="نامعتبر"),"",Sync!$M197)</f>
        <v/>
      </c>
      <c r="O197" t="str">
        <f t="shared" si="17"/>
        <v/>
      </c>
      <c r="P197" t="str">
        <f>IF($N197="","",LEFT($Q197,4)&amp;MID($Q197,6,2)&amp;RIGHT($Q197,2)&amp;IF(Sync!$K197="","0000",IF(AND(ISNUMBER(Sync!$K197),Sync!$K197&gt;=0,Sync!$K197&lt;1),RIGHT("00"&amp;HOUR(Sync!$K197),2)&amp;RIGHT("00"&amp;MINUTE(Sync!$K197),2),IFERROR(RIGHT("00"&amp;VALUE(LEFT(Sync!$K197,FIND(":",Sync!$K197)-1)),2)&amp;RIGHT("00"&amp;VALUE(MID(Sync!$K197,FIND(":",Sync!$K197)+1,2)),2),"0000")))&amp;"|"&amp;"2"&amp;RIGHT("00000"&amp;192,5))</f>
        <v/>
      </c>
      <c r="Q197" t="str">
        <f>IF(Sync!$J197="","",IF(ISNUMBER(Sync!$J197),IF(AND(Sync!$J197&gt;=10000101,Sync!$J197&lt;=99991231),INT(Sync!$J197/10000)&amp;"/"&amp;RIGHT("00"&amp;INT(MOD(Sync!$J197,10000)/100),2)&amp;"/"&amp;RIGHT("00"&amp;MOD(Sync!$J197,100),2),"نامعتبر"),IF(LEN(Sync!$J197)=10,Sync!$J197,"نامعتبر")))</f>
        <v/>
      </c>
      <c r="R197" t="str">
        <f t="shared" si="18"/>
        <v/>
      </c>
      <c r="S197" t="str">
        <f t="shared" si="19"/>
        <v/>
      </c>
      <c r="T197" t="str">
        <f>IF($N197="","",IF(Sync!$N197="",0,Sync!$N197))</f>
        <v/>
      </c>
      <c r="U197" t="str">
        <f>IF($N197="","",IF(Sync!$O197="",0,Sync!$O197))</f>
        <v/>
      </c>
      <c r="V197" t="str">
        <f>IF($N197="","",Sync!$L197)</f>
        <v/>
      </c>
      <c r="W197" t="str">
        <f>IF($N197="","",Sync!$P197)</f>
        <v/>
      </c>
      <c r="AA197" t="str">
        <f>IF($A197="","",IF(COUNTIF($A$6:$A197,$A197)=1,1,0))</f>
        <v/>
      </c>
      <c r="AB197">
        <f>SUM($AA$6:$AA197)</f>
        <v>3</v>
      </c>
      <c r="AC197" t="str">
        <f t="shared" si="20"/>
        <v/>
      </c>
    </row>
    <row r="198" spans="1:29" x14ac:dyDescent="0.2">
      <c r="A198" t="str">
        <f>IF(OR(Entry!$B201="",Entry!$E201="",$E198="نامعتبر"),"",Entry!$E201)</f>
        <v/>
      </c>
      <c r="B198" t="str">
        <f>IF($A198="","",LEFT($E198,4)&amp;MID($E198,6,2)&amp;RIGHT($E198,2)&amp;$F198&amp;"|"&amp;"1"&amp;RIGHT("00000"&amp;193,5))</f>
        <v/>
      </c>
      <c r="C198" t="str">
        <f t="shared" ref="C198:C261" si="21">IF($B198="","",COUNTIFS($A$6:$A$1005,$A198,$B$6:$B$1005,"&lt;"&amp;$B198)+COUNTIFS($N$6:$N$2005,$A198,$P$6:$P$2005,"&lt;"&amp;$B198)+1)</f>
        <v/>
      </c>
      <c r="D198" t="str">
        <f t="shared" ref="D198:D261" si="22">IF($C198="","",$A198&amp;"|"&amp;RIGHT("000000"&amp;$C198,6))</f>
        <v/>
      </c>
      <c r="E198" t="str">
        <f>IF(Entry!$B201="","",IF(ISNUMBER(Entry!$B201),IF(AND(Entry!$B201&gt;=10000101,Entry!$B201&lt;=99991231),INT(Entry!$B201/10000)&amp;"/"&amp;RIGHT("00"&amp;INT(MOD(Entry!$B201,10000)/100),2)&amp;"/"&amp;RIGHT("00"&amp;MOD(Entry!$B201,100),2),"نامعتبر"),IF(LEN(Entry!$B201)=10,Entry!$B201,"نامعتبر")))</f>
        <v/>
      </c>
      <c r="F198" t="str">
        <f>IF(Entry!$B201="","",IF(Entry!$C201="","0000",IF(AND(ISNUMBER(Entry!$C201),Entry!$C201&gt;=0,Entry!$C201&lt;1),RIGHT("00"&amp;HOUR(Entry!$C201),2)&amp;RIGHT("00"&amp;MINUTE(Entry!$C201),2),IFERROR(RIGHT("00"&amp;VALUE(LEFT(Entry!$C201,FIND(":",Entry!$C201)-1)),2)&amp;RIGHT("00"&amp;VALUE(MID(Entry!$C201,FIND(":",Entry!$C201)+1,2)),2),"0000"))))</f>
        <v/>
      </c>
      <c r="G198" t="str">
        <f>IF($A198="","",Entry!$G201)</f>
        <v/>
      </c>
      <c r="H198" t="str">
        <f>IF($A198="","",IF(Entry!$H201="",0,Entry!$H201))</f>
        <v/>
      </c>
      <c r="I198" t="str">
        <f>IF($A198="","",IF(Entry!$I201="",0,Entry!$I201))</f>
        <v/>
      </c>
      <c r="J198" t="str">
        <f t="shared" ref="J198:J261" si="23">IF($A198="","",ROUND($H198*$I198,0))</f>
        <v/>
      </c>
      <c r="K198" t="str">
        <f>IF($A198="","",Entry!$D201)</f>
        <v/>
      </c>
      <c r="L198" t="str">
        <f>IF($A198="","",Entry!$L201)</f>
        <v/>
      </c>
      <c r="N198" t="str">
        <f>IF(OR(Sync!$M198="",$Q198="",$Q198="نامعتبر"),"",Sync!$M198)</f>
        <v/>
      </c>
      <c r="O198" t="str">
        <f t="shared" ref="O198:O261" si="24">IF($N198="","",$Q198)</f>
        <v/>
      </c>
      <c r="P198" t="str">
        <f>IF($N198="","",LEFT($Q198,4)&amp;MID($Q198,6,2)&amp;RIGHT($Q198,2)&amp;IF(Sync!$K198="","0000",IF(AND(ISNUMBER(Sync!$K198),Sync!$K198&gt;=0,Sync!$K198&lt;1),RIGHT("00"&amp;HOUR(Sync!$K198),2)&amp;RIGHT("00"&amp;MINUTE(Sync!$K198),2),IFERROR(RIGHT("00"&amp;VALUE(LEFT(Sync!$K198,FIND(":",Sync!$K198)-1)),2)&amp;RIGHT("00"&amp;VALUE(MID(Sync!$K198,FIND(":",Sync!$K198)+1,2)),2),"0000")))&amp;"|"&amp;"2"&amp;RIGHT("00000"&amp;193,5))</f>
        <v/>
      </c>
      <c r="Q198" t="str">
        <f>IF(Sync!$J198="","",IF(ISNUMBER(Sync!$J198),IF(AND(Sync!$J198&gt;=10000101,Sync!$J198&lt;=99991231),INT(Sync!$J198/10000)&amp;"/"&amp;RIGHT("00"&amp;INT(MOD(Sync!$J198,10000)/100),2)&amp;"/"&amp;RIGHT("00"&amp;MOD(Sync!$J198,100),2),"نامعتبر"),IF(LEN(Sync!$J198)=10,Sync!$J198,"نامعتبر")))</f>
        <v/>
      </c>
      <c r="R198" t="str">
        <f t="shared" ref="R198:R261" si="25">IF($P198="","",COUNTIFS($N$6:$N$2005,$N198,$P$6:$P$2005,"&lt;"&amp;$P198)+COUNTIFS($A$6:$A$1005,$N198,$B$6:$B$1005,"&lt;"&amp;$P198)+1)</f>
        <v/>
      </c>
      <c r="S198" t="str">
        <f t="shared" ref="S198:S261" si="26">IF($N198="","",$N198&amp;"|"&amp;RIGHT("000000"&amp;$R198,6))</f>
        <v/>
      </c>
      <c r="T198" t="str">
        <f>IF($N198="","",IF(Sync!$N198="",0,Sync!$N198))</f>
        <v/>
      </c>
      <c r="U198" t="str">
        <f>IF($N198="","",IF(Sync!$O198="",0,Sync!$O198))</f>
        <v/>
      </c>
      <c r="V198" t="str">
        <f>IF($N198="","",Sync!$L198)</f>
        <v/>
      </c>
      <c r="W198" t="str">
        <f>IF($N198="","",Sync!$P198)</f>
        <v/>
      </c>
      <c r="AA198" t="str">
        <f>IF($A198="","",IF(COUNTIF($A$6:$A198,$A198)=1,1,0))</f>
        <v/>
      </c>
      <c r="AB198">
        <f>SUM($AA$6:$AA198)</f>
        <v>3</v>
      </c>
      <c r="AC198" t="str">
        <f t="shared" ref="AC198:AC261" si="27">IFERROR(INDEX($A$6:$A$1005,MATCH(ROW()-5,$AB$6:$AB$1005,0)),"")</f>
        <v/>
      </c>
    </row>
    <row r="199" spans="1:29" x14ac:dyDescent="0.2">
      <c r="A199" t="str">
        <f>IF(OR(Entry!$B202="",Entry!$E202="",$E199="نامعتبر"),"",Entry!$E202)</f>
        <v/>
      </c>
      <c r="B199" t="str">
        <f>IF($A199="","",LEFT($E199,4)&amp;MID($E199,6,2)&amp;RIGHT($E199,2)&amp;$F199&amp;"|"&amp;"1"&amp;RIGHT("00000"&amp;194,5))</f>
        <v/>
      </c>
      <c r="C199" t="str">
        <f t="shared" si="21"/>
        <v/>
      </c>
      <c r="D199" t="str">
        <f t="shared" si="22"/>
        <v/>
      </c>
      <c r="E199" t="str">
        <f>IF(Entry!$B202="","",IF(ISNUMBER(Entry!$B202),IF(AND(Entry!$B202&gt;=10000101,Entry!$B202&lt;=99991231),INT(Entry!$B202/10000)&amp;"/"&amp;RIGHT("00"&amp;INT(MOD(Entry!$B202,10000)/100),2)&amp;"/"&amp;RIGHT("00"&amp;MOD(Entry!$B202,100),2),"نامعتبر"),IF(LEN(Entry!$B202)=10,Entry!$B202,"نامعتبر")))</f>
        <v/>
      </c>
      <c r="F199" t="str">
        <f>IF(Entry!$B202="","",IF(Entry!$C202="","0000",IF(AND(ISNUMBER(Entry!$C202),Entry!$C202&gt;=0,Entry!$C202&lt;1),RIGHT("00"&amp;HOUR(Entry!$C202),2)&amp;RIGHT("00"&amp;MINUTE(Entry!$C202),2),IFERROR(RIGHT("00"&amp;VALUE(LEFT(Entry!$C202,FIND(":",Entry!$C202)-1)),2)&amp;RIGHT("00"&amp;VALUE(MID(Entry!$C202,FIND(":",Entry!$C202)+1,2)),2),"0000"))))</f>
        <v/>
      </c>
      <c r="G199" t="str">
        <f>IF($A199="","",Entry!$G202)</f>
        <v/>
      </c>
      <c r="H199" t="str">
        <f>IF($A199="","",IF(Entry!$H202="",0,Entry!$H202))</f>
        <v/>
      </c>
      <c r="I199" t="str">
        <f>IF($A199="","",IF(Entry!$I202="",0,Entry!$I202))</f>
        <v/>
      </c>
      <c r="J199" t="str">
        <f t="shared" si="23"/>
        <v/>
      </c>
      <c r="K199" t="str">
        <f>IF($A199="","",Entry!$D202)</f>
        <v/>
      </c>
      <c r="L199" t="str">
        <f>IF($A199="","",Entry!$L202)</f>
        <v/>
      </c>
      <c r="N199" t="str">
        <f>IF(OR(Sync!$M199="",$Q199="",$Q199="نامعتبر"),"",Sync!$M199)</f>
        <v/>
      </c>
      <c r="O199" t="str">
        <f t="shared" si="24"/>
        <v/>
      </c>
      <c r="P199" t="str">
        <f>IF($N199="","",LEFT($Q199,4)&amp;MID($Q199,6,2)&amp;RIGHT($Q199,2)&amp;IF(Sync!$K199="","0000",IF(AND(ISNUMBER(Sync!$K199),Sync!$K199&gt;=0,Sync!$K199&lt;1),RIGHT("00"&amp;HOUR(Sync!$K199),2)&amp;RIGHT("00"&amp;MINUTE(Sync!$K199),2),IFERROR(RIGHT("00"&amp;VALUE(LEFT(Sync!$K199,FIND(":",Sync!$K199)-1)),2)&amp;RIGHT("00"&amp;VALUE(MID(Sync!$K199,FIND(":",Sync!$K199)+1,2)),2),"0000")))&amp;"|"&amp;"2"&amp;RIGHT("00000"&amp;194,5))</f>
        <v/>
      </c>
      <c r="Q199" t="str">
        <f>IF(Sync!$J199="","",IF(ISNUMBER(Sync!$J199),IF(AND(Sync!$J199&gt;=10000101,Sync!$J199&lt;=99991231),INT(Sync!$J199/10000)&amp;"/"&amp;RIGHT("00"&amp;INT(MOD(Sync!$J199,10000)/100),2)&amp;"/"&amp;RIGHT("00"&amp;MOD(Sync!$J199,100),2),"نامعتبر"),IF(LEN(Sync!$J199)=10,Sync!$J199,"نامعتبر")))</f>
        <v/>
      </c>
      <c r="R199" t="str">
        <f t="shared" si="25"/>
        <v/>
      </c>
      <c r="S199" t="str">
        <f t="shared" si="26"/>
        <v/>
      </c>
      <c r="T199" t="str">
        <f>IF($N199="","",IF(Sync!$N199="",0,Sync!$N199))</f>
        <v/>
      </c>
      <c r="U199" t="str">
        <f>IF($N199="","",IF(Sync!$O199="",0,Sync!$O199))</f>
        <v/>
      </c>
      <c r="V199" t="str">
        <f>IF($N199="","",Sync!$L199)</f>
        <v/>
      </c>
      <c r="W199" t="str">
        <f>IF($N199="","",Sync!$P199)</f>
        <v/>
      </c>
      <c r="AA199" t="str">
        <f>IF($A199="","",IF(COUNTIF($A$6:$A199,$A199)=1,1,0))</f>
        <v/>
      </c>
      <c r="AB199">
        <f>SUM($AA$6:$AA199)</f>
        <v>3</v>
      </c>
      <c r="AC199" t="str">
        <f t="shared" si="27"/>
        <v/>
      </c>
    </row>
    <row r="200" spans="1:29" x14ac:dyDescent="0.2">
      <c r="A200" t="str">
        <f>IF(OR(Entry!$B203="",Entry!$E203="",$E200="نامعتبر"),"",Entry!$E203)</f>
        <v/>
      </c>
      <c r="B200" t="str">
        <f>IF($A200="","",LEFT($E200,4)&amp;MID($E200,6,2)&amp;RIGHT($E200,2)&amp;$F200&amp;"|"&amp;"1"&amp;RIGHT("00000"&amp;195,5))</f>
        <v/>
      </c>
      <c r="C200" t="str">
        <f t="shared" si="21"/>
        <v/>
      </c>
      <c r="D200" t="str">
        <f t="shared" si="22"/>
        <v/>
      </c>
      <c r="E200" t="str">
        <f>IF(Entry!$B203="","",IF(ISNUMBER(Entry!$B203),IF(AND(Entry!$B203&gt;=10000101,Entry!$B203&lt;=99991231),INT(Entry!$B203/10000)&amp;"/"&amp;RIGHT("00"&amp;INT(MOD(Entry!$B203,10000)/100),2)&amp;"/"&amp;RIGHT("00"&amp;MOD(Entry!$B203,100),2),"نامعتبر"),IF(LEN(Entry!$B203)=10,Entry!$B203,"نامعتبر")))</f>
        <v/>
      </c>
      <c r="F200" t="str">
        <f>IF(Entry!$B203="","",IF(Entry!$C203="","0000",IF(AND(ISNUMBER(Entry!$C203),Entry!$C203&gt;=0,Entry!$C203&lt;1),RIGHT("00"&amp;HOUR(Entry!$C203),2)&amp;RIGHT("00"&amp;MINUTE(Entry!$C203),2),IFERROR(RIGHT("00"&amp;VALUE(LEFT(Entry!$C203,FIND(":",Entry!$C203)-1)),2)&amp;RIGHT("00"&amp;VALUE(MID(Entry!$C203,FIND(":",Entry!$C203)+1,2)),2),"0000"))))</f>
        <v/>
      </c>
      <c r="G200" t="str">
        <f>IF($A200="","",Entry!$G203)</f>
        <v/>
      </c>
      <c r="H200" t="str">
        <f>IF($A200="","",IF(Entry!$H203="",0,Entry!$H203))</f>
        <v/>
      </c>
      <c r="I200" t="str">
        <f>IF($A200="","",IF(Entry!$I203="",0,Entry!$I203))</f>
        <v/>
      </c>
      <c r="J200" t="str">
        <f t="shared" si="23"/>
        <v/>
      </c>
      <c r="K200" t="str">
        <f>IF($A200="","",Entry!$D203)</f>
        <v/>
      </c>
      <c r="L200" t="str">
        <f>IF($A200="","",Entry!$L203)</f>
        <v/>
      </c>
      <c r="N200" t="str">
        <f>IF(OR(Sync!$M200="",$Q200="",$Q200="نامعتبر"),"",Sync!$M200)</f>
        <v/>
      </c>
      <c r="O200" t="str">
        <f t="shared" si="24"/>
        <v/>
      </c>
      <c r="P200" t="str">
        <f>IF($N200="","",LEFT($Q200,4)&amp;MID($Q200,6,2)&amp;RIGHT($Q200,2)&amp;IF(Sync!$K200="","0000",IF(AND(ISNUMBER(Sync!$K200),Sync!$K200&gt;=0,Sync!$K200&lt;1),RIGHT("00"&amp;HOUR(Sync!$K200),2)&amp;RIGHT("00"&amp;MINUTE(Sync!$K200),2),IFERROR(RIGHT("00"&amp;VALUE(LEFT(Sync!$K200,FIND(":",Sync!$K200)-1)),2)&amp;RIGHT("00"&amp;VALUE(MID(Sync!$K200,FIND(":",Sync!$K200)+1,2)),2),"0000")))&amp;"|"&amp;"2"&amp;RIGHT("00000"&amp;195,5))</f>
        <v/>
      </c>
      <c r="Q200" t="str">
        <f>IF(Sync!$J200="","",IF(ISNUMBER(Sync!$J200),IF(AND(Sync!$J200&gt;=10000101,Sync!$J200&lt;=99991231),INT(Sync!$J200/10000)&amp;"/"&amp;RIGHT("00"&amp;INT(MOD(Sync!$J200,10000)/100),2)&amp;"/"&amp;RIGHT("00"&amp;MOD(Sync!$J200,100),2),"نامعتبر"),IF(LEN(Sync!$J200)=10,Sync!$J200,"نامعتبر")))</f>
        <v/>
      </c>
      <c r="R200" t="str">
        <f t="shared" si="25"/>
        <v/>
      </c>
      <c r="S200" t="str">
        <f t="shared" si="26"/>
        <v/>
      </c>
      <c r="T200" t="str">
        <f>IF($N200="","",IF(Sync!$N200="",0,Sync!$N200))</f>
        <v/>
      </c>
      <c r="U200" t="str">
        <f>IF($N200="","",IF(Sync!$O200="",0,Sync!$O200))</f>
        <v/>
      </c>
      <c r="V200" t="str">
        <f>IF($N200="","",Sync!$L200)</f>
        <v/>
      </c>
      <c r="W200" t="str">
        <f>IF($N200="","",Sync!$P200)</f>
        <v/>
      </c>
      <c r="AA200" t="str">
        <f>IF($A200="","",IF(COUNTIF($A$6:$A200,$A200)=1,1,0))</f>
        <v/>
      </c>
      <c r="AB200">
        <f>SUM($AA$6:$AA200)</f>
        <v>3</v>
      </c>
      <c r="AC200" t="str">
        <f t="shared" si="27"/>
        <v/>
      </c>
    </row>
    <row r="201" spans="1:29" x14ac:dyDescent="0.2">
      <c r="A201" t="str">
        <f>IF(OR(Entry!$B204="",Entry!$E204="",$E201="نامعتبر"),"",Entry!$E204)</f>
        <v/>
      </c>
      <c r="B201" t="str">
        <f>IF($A201="","",LEFT($E201,4)&amp;MID($E201,6,2)&amp;RIGHT($E201,2)&amp;$F201&amp;"|"&amp;"1"&amp;RIGHT("00000"&amp;196,5))</f>
        <v/>
      </c>
      <c r="C201" t="str">
        <f t="shared" si="21"/>
        <v/>
      </c>
      <c r="D201" t="str">
        <f t="shared" si="22"/>
        <v/>
      </c>
      <c r="E201" t="str">
        <f>IF(Entry!$B204="","",IF(ISNUMBER(Entry!$B204),IF(AND(Entry!$B204&gt;=10000101,Entry!$B204&lt;=99991231),INT(Entry!$B204/10000)&amp;"/"&amp;RIGHT("00"&amp;INT(MOD(Entry!$B204,10000)/100),2)&amp;"/"&amp;RIGHT("00"&amp;MOD(Entry!$B204,100),2),"نامعتبر"),IF(LEN(Entry!$B204)=10,Entry!$B204,"نامعتبر")))</f>
        <v/>
      </c>
      <c r="F201" t="str">
        <f>IF(Entry!$B204="","",IF(Entry!$C204="","0000",IF(AND(ISNUMBER(Entry!$C204),Entry!$C204&gt;=0,Entry!$C204&lt;1),RIGHT("00"&amp;HOUR(Entry!$C204),2)&amp;RIGHT("00"&amp;MINUTE(Entry!$C204),2),IFERROR(RIGHT("00"&amp;VALUE(LEFT(Entry!$C204,FIND(":",Entry!$C204)-1)),2)&amp;RIGHT("00"&amp;VALUE(MID(Entry!$C204,FIND(":",Entry!$C204)+1,2)),2),"0000"))))</f>
        <v/>
      </c>
      <c r="G201" t="str">
        <f>IF($A201="","",Entry!$G204)</f>
        <v/>
      </c>
      <c r="H201" t="str">
        <f>IF($A201="","",IF(Entry!$H204="",0,Entry!$H204))</f>
        <v/>
      </c>
      <c r="I201" t="str">
        <f>IF($A201="","",IF(Entry!$I204="",0,Entry!$I204))</f>
        <v/>
      </c>
      <c r="J201" t="str">
        <f t="shared" si="23"/>
        <v/>
      </c>
      <c r="K201" t="str">
        <f>IF($A201="","",Entry!$D204)</f>
        <v/>
      </c>
      <c r="L201" t="str">
        <f>IF($A201="","",Entry!$L204)</f>
        <v/>
      </c>
      <c r="N201" t="str">
        <f>IF(OR(Sync!$M201="",$Q201="",$Q201="نامعتبر"),"",Sync!$M201)</f>
        <v/>
      </c>
      <c r="O201" t="str">
        <f t="shared" si="24"/>
        <v/>
      </c>
      <c r="P201" t="str">
        <f>IF($N201="","",LEFT($Q201,4)&amp;MID($Q201,6,2)&amp;RIGHT($Q201,2)&amp;IF(Sync!$K201="","0000",IF(AND(ISNUMBER(Sync!$K201),Sync!$K201&gt;=0,Sync!$K201&lt;1),RIGHT("00"&amp;HOUR(Sync!$K201),2)&amp;RIGHT("00"&amp;MINUTE(Sync!$K201),2),IFERROR(RIGHT("00"&amp;VALUE(LEFT(Sync!$K201,FIND(":",Sync!$K201)-1)),2)&amp;RIGHT("00"&amp;VALUE(MID(Sync!$K201,FIND(":",Sync!$K201)+1,2)),2),"0000")))&amp;"|"&amp;"2"&amp;RIGHT("00000"&amp;196,5))</f>
        <v/>
      </c>
      <c r="Q201" t="str">
        <f>IF(Sync!$J201="","",IF(ISNUMBER(Sync!$J201),IF(AND(Sync!$J201&gt;=10000101,Sync!$J201&lt;=99991231),INT(Sync!$J201/10000)&amp;"/"&amp;RIGHT("00"&amp;INT(MOD(Sync!$J201,10000)/100),2)&amp;"/"&amp;RIGHT("00"&amp;MOD(Sync!$J201,100),2),"نامعتبر"),IF(LEN(Sync!$J201)=10,Sync!$J201,"نامعتبر")))</f>
        <v/>
      </c>
      <c r="R201" t="str">
        <f t="shared" si="25"/>
        <v/>
      </c>
      <c r="S201" t="str">
        <f t="shared" si="26"/>
        <v/>
      </c>
      <c r="T201" t="str">
        <f>IF($N201="","",IF(Sync!$N201="",0,Sync!$N201))</f>
        <v/>
      </c>
      <c r="U201" t="str">
        <f>IF($N201="","",IF(Sync!$O201="",0,Sync!$O201))</f>
        <v/>
      </c>
      <c r="V201" t="str">
        <f>IF($N201="","",Sync!$L201)</f>
        <v/>
      </c>
      <c r="W201" t="str">
        <f>IF($N201="","",Sync!$P201)</f>
        <v/>
      </c>
      <c r="AA201" t="str">
        <f>IF($A201="","",IF(COUNTIF($A$6:$A201,$A201)=1,1,0))</f>
        <v/>
      </c>
      <c r="AB201">
        <f>SUM($AA$6:$AA201)</f>
        <v>3</v>
      </c>
      <c r="AC201" t="str">
        <f t="shared" si="27"/>
        <v/>
      </c>
    </row>
    <row r="202" spans="1:29" x14ac:dyDescent="0.2">
      <c r="A202" t="str">
        <f>IF(OR(Entry!$B205="",Entry!$E205="",$E202="نامعتبر"),"",Entry!$E205)</f>
        <v/>
      </c>
      <c r="B202" t="str">
        <f>IF($A202="","",LEFT($E202,4)&amp;MID($E202,6,2)&amp;RIGHT($E202,2)&amp;$F202&amp;"|"&amp;"1"&amp;RIGHT("00000"&amp;197,5))</f>
        <v/>
      </c>
      <c r="C202" t="str">
        <f t="shared" si="21"/>
        <v/>
      </c>
      <c r="D202" t="str">
        <f t="shared" si="22"/>
        <v/>
      </c>
      <c r="E202" t="str">
        <f>IF(Entry!$B205="","",IF(ISNUMBER(Entry!$B205),IF(AND(Entry!$B205&gt;=10000101,Entry!$B205&lt;=99991231),INT(Entry!$B205/10000)&amp;"/"&amp;RIGHT("00"&amp;INT(MOD(Entry!$B205,10000)/100),2)&amp;"/"&amp;RIGHT("00"&amp;MOD(Entry!$B205,100),2),"نامعتبر"),IF(LEN(Entry!$B205)=10,Entry!$B205,"نامعتبر")))</f>
        <v/>
      </c>
      <c r="F202" t="str">
        <f>IF(Entry!$B205="","",IF(Entry!$C205="","0000",IF(AND(ISNUMBER(Entry!$C205),Entry!$C205&gt;=0,Entry!$C205&lt;1),RIGHT("00"&amp;HOUR(Entry!$C205),2)&amp;RIGHT("00"&amp;MINUTE(Entry!$C205),2),IFERROR(RIGHT("00"&amp;VALUE(LEFT(Entry!$C205,FIND(":",Entry!$C205)-1)),2)&amp;RIGHT("00"&amp;VALUE(MID(Entry!$C205,FIND(":",Entry!$C205)+1,2)),2),"0000"))))</f>
        <v/>
      </c>
      <c r="G202" t="str">
        <f>IF($A202="","",Entry!$G205)</f>
        <v/>
      </c>
      <c r="H202" t="str">
        <f>IF($A202="","",IF(Entry!$H205="",0,Entry!$H205))</f>
        <v/>
      </c>
      <c r="I202" t="str">
        <f>IF($A202="","",IF(Entry!$I205="",0,Entry!$I205))</f>
        <v/>
      </c>
      <c r="J202" t="str">
        <f t="shared" si="23"/>
        <v/>
      </c>
      <c r="K202" t="str">
        <f>IF($A202="","",Entry!$D205)</f>
        <v/>
      </c>
      <c r="L202" t="str">
        <f>IF($A202="","",Entry!$L205)</f>
        <v/>
      </c>
      <c r="N202" t="str">
        <f>IF(OR(Sync!$M202="",$Q202="",$Q202="نامعتبر"),"",Sync!$M202)</f>
        <v/>
      </c>
      <c r="O202" t="str">
        <f t="shared" si="24"/>
        <v/>
      </c>
      <c r="P202" t="str">
        <f>IF($N202="","",LEFT($Q202,4)&amp;MID($Q202,6,2)&amp;RIGHT($Q202,2)&amp;IF(Sync!$K202="","0000",IF(AND(ISNUMBER(Sync!$K202),Sync!$K202&gt;=0,Sync!$K202&lt;1),RIGHT("00"&amp;HOUR(Sync!$K202),2)&amp;RIGHT("00"&amp;MINUTE(Sync!$K202),2),IFERROR(RIGHT("00"&amp;VALUE(LEFT(Sync!$K202,FIND(":",Sync!$K202)-1)),2)&amp;RIGHT("00"&amp;VALUE(MID(Sync!$K202,FIND(":",Sync!$K202)+1,2)),2),"0000")))&amp;"|"&amp;"2"&amp;RIGHT("00000"&amp;197,5))</f>
        <v/>
      </c>
      <c r="Q202" t="str">
        <f>IF(Sync!$J202="","",IF(ISNUMBER(Sync!$J202),IF(AND(Sync!$J202&gt;=10000101,Sync!$J202&lt;=99991231),INT(Sync!$J202/10000)&amp;"/"&amp;RIGHT("00"&amp;INT(MOD(Sync!$J202,10000)/100),2)&amp;"/"&amp;RIGHT("00"&amp;MOD(Sync!$J202,100),2),"نامعتبر"),IF(LEN(Sync!$J202)=10,Sync!$J202,"نامعتبر")))</f>
        <v/>
      </c>
      <c r="R202" t="str">
        <f t="shared" si="25"/>
        <v/>
      </c>
      <c r="S202" t="str">
        <f t="shared" si="26"/>
        <v/>
      </c>
      <c r="T202" t="str">
        <f>IF($N202="","",IF(Sync!$N202="",0,Sync!$N202))</f>
        <v/>
      </c>
      <c r="U202" t="str">
        <f>IF($N202="","",IF(Sync!$O202="",0,Sync!$O202))</f>
        <v/>
      </c>
      <c r="V202" t="str">
        <f>IF($N202="","",Sync!$L202)</f>
        <v/>
      </c>
      <c r="W202" t="str">
        <f>IF($N202="","",Sync!$P202)</f>
        <v/>
      </c>
      <c r="AA202" t="str">
        <f>IF($A202="","",IF(COUNTIF($A$6:$A202,$A202)=1,1,0))</f>
        <v/>
      </c>
      <c r="AB202">
        <f>SUM($AA$6:$AA202)</f>
        <v>3</v>
      </c>
      <c r="AC202" t="str">
        <f t="shared" si="27"/>
        <v/>
      </c>
    </row>
    <row r="203" spans="1:29" x14ac:dyDescent="0.2">
      <c r="A203" t="str">
        <f>IF(OR(Entry!$B206="",Entry!$E206="",$E203="نامعتبر"),"",Entry!$E206)</f>
        <v/>
      </c>
      <c r="B203" t="str">
        <f>IF($A203="","",LEFT($E203,4)&amp;MID($E203,6,2)&amp;RIGHT($E203,2)&amp;$F203&amp;"|"&amp;"1"&amp;RIGHT("00000"&amp;198,5))</f>
        <v/>
      </c>
      <c r="C203" t="str">
        <f t="shared" si="21"/>
        <v/>
      </c>
      <c r="D203" t="str">
        <f t="shared" si="22"/>
        <v/>
      </c>
      <c r="E203" t="str">
        <f>IF(Entry!$B206="","",IF(ISNUMBER(Entry!$B206),IF(AND(Entry!$B206&gt;=10000101,Entry!$B206&lt;=99991231),INT(Entry!$B206/10000)&amp;"/"&amp;RIGHT("00"&amp;INT(MOD(Entry!$B206,10000)/100),2)&amp;"/"&amp;RIGHT("00"&amp;MOD(Entry!$B206,100),2),"نامعتبر"),IF(LEN(Entry!$B206)=10,Entry!$B206,"نامعتبر")))</f>
        <v/>
      </c>
      <c r="F203" t="str">
        <f>IF(Entry!$B206="","",IF(Entry!$C206="","0000",IF(AND(ISNUMBER(Entry!$C206),Entry!$C206&gt;=0,Entry!$C206&lt;1),RIGHT("00"&amp;HOUR(Entry!$C206),2)&amp;RIGHT("00"&amp;MINUTE(Entry!$C206),2),IFERROR(RIGHT("00"&amp;VALUE(LEFT(Entry!$C206,FIND(":",Entry!$C206)-1)),2)&amp;RIGHT("00"&amp;VALUE(MID(Entry!$C206,FIND(":",Entry!$C206)+1,2)),2),"0000"))))</f>
        <v/>
      </c>
      <c r="G203" t="str">
        <f>IF($A203="","",Entry!$G206)</f>
        <v/>
      </c>
      <c r="H203" t="str">
        <f>IF($A203="","",IF(Entry!$H206="",0,Entry!$H206))</f>
        <v/>
      </c>
      <c r="I203" t="str">
        <f>IF($A203="","",IF(Entry!$I206="",0,Entry!$I206))</f>
        <v/>
      </c>
      <c r="J203" t="str">
        <f t="shared" si="23"/>
        <v/>
      </c>
      <c r="K203" t="str">
        <f>IF($A203="","",Entry!$D206)</f>
        <v/>
      </c>
      <c r="L203" t="str">
        <f>IF($A203="","",Entry!$L206)</f>
        <v/>
      </c>
      <c r="N203" t="str">
        <f>IF(OR(Sync!$M203="",$Q203="",$Q203="نامعتبر"),"",Sync!$M203)</f>
        <v/>
      </c>
      <c r="O203" t="str">
        <f t="shared" si="24"/>
        <v/>
      </c>
      <c r="P203" t="str">
        <f>IF($N203="","",LEFT($Q203,4)&amp;MID($Q203,6,2)&amp;RIGHT($Q203,2)&amp;IF(Sync!$K203="","0000",IF(AND(ISNUMBER(Sync!$K203),Sync!$K203&gt;=0,Sync!$K203&lt;1),RIGHT("00"&amp;HOUR(Sync!$K203),2)&amp;RIGHT("00"&amp;MINUTE(Sync!$K203),2),IFERROR(RIGHT("00"&amp;VALUE(LEFT(Sync!$K203,FIND(":",Sync!$K203)-1)),2)&amp;RIGHT("00"&amp;VALUE(MID(Sync!$K203,FIND(":",Sync!$K203)+1,2)),2),"0000")))&amp;"|"&amp;"2"&amp;RIGHT("00000"&amp;198,5))</f>
        <v/>
      </c>
      <c r="Q203" t="str">
        <f>IF(Sync!$J203="","",IF(ISNUMBER(Sync!$J203),IF(AND(Sync!$J203&gt;=10000101,Sync!$J203&lt;=99991231),INT(Sync!$J203/10000)&amp;"/"&amp;RIGHT("00"&amp;INT(MOD(Sync!$J203,10000)/100),2)&amp;"/"&amp;RIGHT("00"&amp;MOD(Sync!$J203,100),2),"نامعتبر"),IF(LEN(Sync!$J203)=10,Sync!$J203,"نامعتبر")))</f>
        <v/>
      </c>
      <c r="R203" t="str">
        <f t="shared" si="25"/>
        <v/>
      </c>
      <c r="S203" t="str">
        <f t="shared" si="26"/>
        <v/>
      </c>
      <c r="T203" t="str">
        <f>IF($N203="","",IF(Sync!$N203="",0,Sync!$N203))</f>
        <v/>
      </c>
      <c r="U203" t="str">
        <f>IF($N203="","",IF(Sync!$O203="",0,Sync!$O203))</f>
        <v/>
      </c>
      <c r="V203" t="str">
        <f>IF($N203="","",Sync!$L203)</f>
        <v/>
      </c>
      <c r="W203" t="str">
        <f>IF($N203="","",Sync!$P203)</f>
        <v/>
      </c>
      <c r="AA203" t="str">
        <f>IF($A203="","",IF(COUNTIF($A$6:$A203,$A203)=1,1,0))</f>
        <v/>
      </c>
      <c r="AB203">
        <f>SUM($AA$6:$AA203)</f>
        <v>3</v>
      </c>
      <c r="AC203" t="str">
        <f t="shared" si="27"/>
        <v/>
      </c>
    </row>
    <row r="204" spans="1:29" x14ac:dyDescent="0.2">
      <c r="A204" t="str">
        <f>IF(OR(Entry!$B207="",Entry!$E207="",$E204="نامعتبر"),"",Entry!$E207)</f>
        <v/>
      </c>
      <c r="B204" t="str">
        <f>IF($A204="","",LEFT($E204,4)&amp;MID($E204,6,2)&amp;RIGHT($E204,2)&amp;$F204&amp;"|"&amp;"1"&amp;RIGHT("00000"&amp;199,5))</f>
        <v/>
      </c>
      <c r="C204" t="str">
        <f t="shared" si="21"/>
        <v/>
      </c>
      <c r="D204" t="str">
        <f t="shared" si="22"/>
        <v/>
      </c>
      <c r="E204" t="str">
        <f>IF(Entry!$B207="","",IF(ISNUMBER(Entry!$B207),IF(AND(Entry!$B207&gt;=10000101,Entry!$B207&lt;=99991231),INT(Entry!$B207/10000)&amp;"/"&amp;RIGHT("00"&amp;INT(MOD(Entry!$B207,10000)/100),2)&amp;"/"&amp;RIGHT("00"&amp;MOD(Entry!$B207,100),2),"نامعتبر"),IF(LEN(Entry!$B207)=10,Entry!$B207,"نامعتبر")))</f>
        <v/>
      </c>
      <c r="F204" t="str">
        <f>IF(Entry!$B207="","",IF(Entry!$C207="","0000",IF(AND(ISNUMBER(Entry!$C207),Entry!$C207&gt;=0,Entry!$C207&lt;1),RIGHT("00"&amp;HOUR(Entry!$C207),2)&amp;RIGHT("00"&amp;MINUTE(Entry!$C207),2),IFERROR(RIGHT("00"&amp;VALUE(LEFT(Entry!$C207,FIND(":",Entry!$C207)-1)),2)&amp;RIGHT("00"&amp;VALUE(MID(Entry!$C207,FIND(":",Entry!$C207)+1,2)),2),"0000"))))</f>
        <v/>
      </c>
      <c r="G204" t="str">
        <f>IF($A204="","",Entry!$G207)</f>
        <v/>
      </c>
      <c r="H204" t="str">
        <f>IF($A204="","",IF(Entry!$H207="",0,Entry!$H207))</f>
        <v/>
      </c>
      <c r="I204" t="str">
        <f>IF($A204="","",IF(Entry!$I207="",0,Entry!$I207))</f>
        <v/>
      </c>
      <c r="J204" t="str">
        <f t="shared" si="23"/>
        <v/>
      </c>
      <c r="K204" t="str">
        <f>IF($A204="","",Entry!$D207)</f>
        <v/>
      </c>
      <c r="L204" t="str">
        <f>IF($A204="","",Entry!$L207)</f>
        <v/>
      </c>
      <c r="N204" t="str">
        <f>IF(OR(Sync!$M204="",$Q204="",$Q204="نامعتبر"),"",Sync!$M204)</f>
        <v/>
      </c>
      <c r="O204" t="str">
        <f t="shared" si="24"/>
        <v/>
      </c>
      <c r="P204" t="str">
        <f>IF($N204="","",LEFT($Q204,4)&amp;MID($Q204,6,2)&amp;RIGHT($Q204,2)&amp;IF(Sync!$K204="","0000",IF(AND(ISNUMBER(Sync!$K204),Sync!$K204&gt;=0,Sync!$K204&lt;1),RIGHT("00"&amp;HOUR(Sync!$K204),2)&amp;RIGHT("00"&amp;MINUTE(Sync!$K204),2),IFERROR(RIGHT("00"&amp;VALUE(LEFT(Sync!$K204,FIND(":",Sync!$K204)-1)),2)&amp;RIGHT("00"&amp;VALUE(MID(Sync!$K204,FIND(":",Sync!$K204)+1,2)),2),"0000")))&amp;"|"&amp;"2"&amp;RIGHT("00000"&amp;199,5))</f>
        <v/>
      </c>
      <c r="Q204" t="str">
        <f>IF(Sync!$J204="","",IF(ISNUMBER(Sync!$J204),IF(AND(Sync!$J204&gt;=10000101,Sync!$J204&lt;=99991231),INT(Sync!$J204/10000)&amp;"/"&amp;RIGHT("00"&amp;INT(MOD(Sync!$J204,10000)/100),2)&amp;"/"&amp;RIGHT("00"&amp;MOD(Sync!$J204,100),2),"نامعتبر"),IF(LEN(Sync!$J204)=10,Sync!$J204,"نامعتبر")))</f>
        <v/>
      </c>
      <c r="R204" t="str">
        <f t="shared" si="25"/>
        <v/>
      </c>
      <c r="S204" t="str">
        <f t="shared" si="26"/>
        <v/>
      </c>
      <c r="T204" t="str">
        <f>IF($N204="","",IF(Sync!$N204="",0,Sync!$N204))</f>
        <v/>
      </c>
      <c r="U204" t="str">
        <f>IF($N204="","",IF(Sync!$O204="",0,Sync!$O204))</f>
        <v/>
      </c>
      <c r="V204" t="str">
        <f>IF($N204="","",Sync!$L204)</f>
        <v/>
      </c>
      <c r="W204" t="str">
        <f>IF($N204="","",Sync!$P204)</f>
        <v/>
      </c>
      <c r="AA204" t="str">
        <f>IF($A204="","",IF(COUNTIF($A$6:$A204,$A204)=1,1,0))</f>
        <v/>
      </c>
      <c r="AB204">
        <f>SUM($AA$6:$AA204)</f>
        <v>3</v>
      </c>
      <c r="AC204" t="str">
        <f t="shared" si="27"/>
        <v/>
      </c>
    </row>
    <row r="205" spans="1:29" x14ac:dyDescent="0.2">
      <c r="A205" t="str">
        <f>IF(OR(Entry!$B208="",Entry!$E208="",$E205="نامعتبر"),"",Entry!$E208)</f>
        <v/>
      </c>
      <c r="B205" t="str">
        <f>IF($A205="","",LEFT($E205,4)&amp;MID($E205,6,2)&amp;RIGHT($E205,2)&amp;$F205&amp;"|"&amp;"1"&amp;RIGHT("00000"&amp;200,5))</f>
        <v/>
      </c>
      <c r="C205" t="str">
        <f t="shared" si="21"/>
        <v/>
      </c>
      <c r="D205" t="str">
        <f t="shared" si="22"/>
        <v/>
      </c>
      <c r="E205" t="str">
        <f>IF(Entry!$B208="","",IF(ISNUMBER(Entry!$B208),IF(AND(Entry!$B208&gt;=10000101,Entry!$B208&lt;=99991231),INT(Entry!$B208/10000)&amp;"/"&amp;RIGHT("00"&amp;INT(MOD(Entry!$B208,10000)/100),2)&amp;"/"&amp;RIGHT("00"&amp;MOD(Entry!$B208,100),2),"نامعتبر"),IF(LEN(Entry!$B208)=10,Entry!$B208,"نامعتبر")))</f>
        <v/>
      </c>
      <c r="F205" t="str">
        <f>IF(Entry!$B208="","",IF(Entry!$C208="","0000",IF(AND(ISNUMBER(Entry!$C208),Entry!$C208&gt;=0,Entry!$C208&lt;1),RIGHT("00"&amp;HOUR(Entry!$C208),2)&amp;RIGHT("00"&amp;MINUTE(Entry!$C208),2),IFERROR(RIGHT("00"&amp;VALUE(LEFT(Entry!$C208,FIND(":",Entry!$C208)-1)),2)&amp;RIGHT("00"&amp;VALUE(MID(Entry!$C208,FIND(":",Entry!$C208)+1,2)),2),"0000"))))</f>
        <v/>
      </c>
      <c r="G205" t="str">
        <f>IF($A205="","",Entry!$G208)</f>
        <v/>
      </c>
      <c r="H205" t="str">
        <f>IF($A205="","",IF(Entry!$H208="",0,Entry!$H208))</f>
        <v/>
      </c>
      <c r="I205" t="str">
        <f>IF($A205="","",IF(Entry!$I208="",0,Entry!$I208))</f>
        <v/>
      </c>
      <c r="J205" t="str">
        <f t="shared" si="23"/>
        <v/>
      </c>
      <c r="K205" t="str">
        <f>IF($A205="","",Entry!$D208)</f>
        <v/>
      </c>
      <c r="L205" t="str">
        <f>IF($A205="","",Entry!$L208)</f>
        <v/>
      </c>
      <c r="N205" t="str">
        <f>IF(OR(Sync!$M205="",$Q205="",$Q205="نامعتبر"),"",Sync!$M205)</f>
        <v/>
      </c>
      <c r="O205" t="str">
        <f t="shared" si="24"/>
        <v/>
      </c>
      <c r="P205" t="str">
        <f>IF($N205="","",LEFT($Q205,4)&amp;MID($Q205,6,2)&amp;RIGHT($Q205,2)&amp;IF(Sync!$K205="","0000",IF(AND(ISNUMBER(Sync!$K205),Sync!$K205&gt;=0,Sync!$K205&lt;1),RIGHT("00"&amp;HOUR(Sync!$K205),2)&amp;RIGHT("00"&amp;MINUTE(Sync!$K205),2),IFERROR(RIGHT("00"&amp;VALUE(LEFT(Sync!$K205,FIND(":",Sync!$K205)-1)),2)&amp;RIGHT("00"&amp;VALUE(MID(Sync!$K205,FIND(":",Sync!$K205)+1,2)),2),"0000")))&amp;"|"&amp;"2"&amp;RIGHT("00000"&amp;200,5))</f>
        <v/>
      </c>
      <c r="Q205" t="str">
        <f>IF(Sync!$J205="","",IF(ISNUMBER(Sync!$J205),IF(AND(Sync!$J205&gt;=10000101,Sync!$J205&lt;=99991231),INT(Sync!$J205/10000)&amp;"/"&amp;RIGHT("00"&amp;INT(MOD(Sync!$J205,10000)/100),2)&amp;"/"&amp;RIGHT("00"&amp;MOD(Sync!$J205,100),2),"نامعتبر"),IF(LEN(Sync!$J205)=10,Sync!$J205,"نامعتبر")))</f>
        <v/>
      </c>
      <c r="R205" t="str">
        <f t="shared" si="25"/>
        <v/>
      </c>
      <c r="S205" t="str">
        <f t="shared" si="26"/>
        <v/>
      </c>
      <c r="T205" t="str">
        <f>IF($N205="","",IF(Sync!$N205="",0,Sync!$N205))</f>
        <v/>
      </c>
      <c r="U205" t="str">
        <f>IF($N205="","",IF(Sync!$O205="",0,Sync!$O205))</f>
        <v/>
      </c>
      <c r="V205" t="str">
        <f>IF($N205="","",Sync!$L205)</f>
        <v/>
      </c>
      <c r="W205" t="str">
        <f>IF($N205="","",Sync!$P205)</f>
        <v/>
      </c>
      <c r="AA205" t="str">
        <f>IF($A205="","",IF(COUNTIF($A$6:$A205,$A205)=1,1,0))</f>
        <v/>
      </c>
      <c r="AB205">
        <f>SUM($AA$6:$AA205)</f>
        <v>3</v>
      </c>
      <c r="AC205" t="str">
        <f t="shared" si="27"/>
        <v/>
      </c>
    </row>
    <row r="206" spans="1:29" x14ac:dyDescent="0.2">
      <c r="A206" t="str">
        <f>IF(OR(Entry!$B209="",Entry!$E209="",$E206="نامعتبر"),"",Entry!$E209)</f>
        <v/>
      </c>
      <c r="B206" t="str">
        <f>IF($A206="","",LEFT($E206,4)&amp;MID($E206,6,2)&amp;RIGHT($E206,2)&amp;$F206&amp;"|"&amp;"1"&amp;RIGHT("00000"&amp;201,5))</f>
        <v/>
      </c>
      <c r="C206" t="str">
        <f t="shared" si="21"/>
        <v/>
      </c>
      <c r="D206" t="str">
        <f t="shared" si="22"/>
        <v/>
      </c>
      <c r="E206" t="str">
        <f>IF(Entry!$B209="","",IF(ISNUMBER(Entry!$B209),IF(AND(Entry!$B209&gt;=10000101,Entry!$B209&lt;=99991231),INT(Entry!$B209/10000)&amp;"/"&amp;RIGHT("00"&amp;INT(MOD(Entry!$B209,10000)/100),2)&amp;"/"&amp;RIGHT("00"&amp;MOD(Entry!$B209,100),2),"نامعتبر"),IF(LEN(Entry!$B209)=10,Entry!$B209,"نامعتبر")))</f>
        <v/>
      </c>
      <c r="F206" t="str">
        <f>IF(Entry!$B209="","",IF(Entry!$C209="","0000",IF(AND(ISNUMBER(Entry!$C209),Entry!$C209&gt;=0,Entry!$C209&lt;1),RIGHT("00"&amp;HOUR(Entry!$C209),2)&amp;RIGHT("00"&amp;MINUTE(Entry!$C209),2),IFERROR(RIGHT("00"&amp;VALUE(LEFT(Entry!$C209,FIND(":",Entry!$C209)-1)),2)&amp;RIGHT("00"&amp;VALUE(MID(Entry!$C209,FIND(":",Entry!$C209)+1,2)),2),"0000"))))</f>
        <v/>
      </c>
      <c r="G206" t="str">
        <f>IF($A206="","",Entry!$G209)</f>
        <v/>
      </c>
      <c r="H206" t="str">
        <f>IF($A206="","",IF(Entry!$H209="",0,Entry!$H209))</f>
        <v/>
      </c>
      <c r="I206" t="str">
        <f>IF($A206="","",IF(Entry!$I209="",0,Entry!$I209))</f>
        <v/>
      </c>
      <c r="J206" t="str">
        <f t="shared" si="23"/>
        <v/>
      </c>
      <c r="K206" t="str">
        <f>IF($A206="","",Entry!$D209)</f>
        <v/>
      </c>
      <c r="L206" t="str">
        <f>IF($A206="","",Entry!$L209)</f>
        <v/>
      </c>
      <c r="N206" t="str">
        <f>IF(OR(Sync!$M206="",$Q206="",$Q206="نامعتبر"),"",Sync!$M206)</f>
        <v/>
      </c>
      <c r="O206" t="str">
        <f t="shared" si="24"/>
        <v/>
      </c>
      <c r="P206" t="str">
        <f>IF($N206="","",LEFT($Q206,4)&amp;MID($Q206,6,2)&amp;RIGHT($Q206,2)&amp;IF(Sync!$K206="","0000",IF(AND(ISNUMBER(Sync!$K206),Sync!$K206&gt;=0,Sync!$K206&lt;1),RIGHT("00"&amp;HOUR(Sync!$K206),2)&amp;RIGHT("00"&amp;MINUTE(Sync!$K206),2),IFERROR(RIGHT("00"&amp;VALUE(LEFT(Sync!$K206,FIND(":",Sync!$K206)-1)),2)&amp;RIGHT("00"&amp;VALUE(MID(Sync!$K206,FIND(":",Sync!$K206)+1,2)),2),"0000")))&amp;"|"&amp;"2"&amp;RIGHT("00000"&amp;201,5))</f>
        <v/>
      </c>
      <c r="Q206" t="str">
        <f>IF(Sync!$J206="","",IF(ISNUMBER(Sync!$J206),IF(AND(Sync!$J206&gt;=10000101,Sync!$J206&lt;=99991231),INT(Sync!$J206/10000)&amp;"/"&amp;RIGHT("00"&amp;INT(MOD(Sync!$J206,10000)/100),2)&amp;"/"&amp;RIGHT("00"&amp;MOD(Sync!$J206,100),2),"نامعتبر"),IF(LEN(Sync!$J206)=10,Sync!$J206,"نامعتبر")))</f>
        <v/>
      </c>
      <c r="R206" t="str">
        <f t="shared" si="25"/>
        <v/>
      </c>
      <c r="S206" t="str">
        <f t="shared" si="26"/>
        <v/>
      </c>
      <c r="T206" t="str">
        <f>IF($N206="","",IF(Sync!$N206="",0,Sync!$N206))</f>
        <v/>
      </c>
      <c r="U206" t="str">
        <f>IF($N206="","",IF(Sync!$O206="",0,Sync!$O206))</f>
        <v/>
      </c>
      <c r="V206" t="str">
        <f>IF($N206="","",Sync!$L206)</f>
        <v/>
      </c>
      <c r="W206" t="str">
        <f>IF($N206="","",Sync!$P206)</f>
        <v/>
      </c>
      <c r="AA206" t="str">
        <f>IF($A206="","",IF(COUNTIF($A$6:$A206,$A206)=1,1,0))</f>
        <v/>
      </c>
      <c r="AB206">
        <f>SUM($AA$6:$AA206)</f>
        <v>3</v>
      </c>
      <c r="AC206" t="str">
        <f t="shared" si="27"/>
        <v/>
      </c>
    </row>
    <row r="207" spans="1:29" x14ac:dyDescent="0.2">
      <c r="A207" t="str">
        <f>IF(OR(Entry!$B210="",Entry!$E210="",$E207="نامعتبر"),"",Entry!$E210)</f>
        <v/>
      </c>
      <c r="B207" t="str">
        <f>IF($A207="","",LEFT($E207,4)&amp;MID($E207,6,2)&amp;RIGHT($E207,2)&amp;$F207&amp;"|"&amp;"1"&amp;RIGHT("00000"&amp;202,5))</f>
        <v/>
      </c>
      <c r="C207" t="str">
        <f t="shared" si="21"/>
        <v/>
      </c>
      <c r="D207" t="str">
        <f t="shared" si="22"/>
        <v/>
      </c>
      <c r="E207" t="str">
        <f>IF(Entry!$B210="","",IF(ISNUMBER(Entry!$B210),IF(AND(Entry!$B210&gt;=10000101,Entry!$B210&lt;=99991231),INT(Entry!$B210/10000)&amp;"/"&amp;RIGHT("00"&amp;INT(MOD(Entry!$B210,10000)/100),2)&amp;"/"&amp;RIGHT("00"&amp;MOD(Entry!$B210,100),2),"نامعتبر"),IF(LEN(Entry!$B210)=10,Entry!$B210,"نامعتبر")))</f>
        <v/>
      </c>
      <c r="F207" t="str">
        <f>IF(Entry!$B210="","",IF(Entry!$C210="","0000",IF(AND(ISNUMBER(Entry!$C210),Entry!$C210&gt;=0,Entry!$C210&lt;1),RIGHT("00"&amp;HOUR(Entry!$C210),2)&amp;RIGHT("00"&amp;MINUTE(Entry!$C210),2),IFERROR(RIGHT("00"&amp;VALUE(LEFT(Entry!$C210,FIND(":",Entry!$C210)-1)),2)&amp;RIGHT("00"&amp;VALUE(MID(Entry!$C210,FIND(":",Entry!$C210)+1,2)),2),"0000"))))</f>
        <v/>
      </c>
      <c r="G207" t="str">
        <f>IF($A207="","",Entry!$G210)</f>
        <v/>
      </c>
      <c r="H207" t="str">
        <f>IF($A207="","",IF(Entry!$H210="",0,Entry!$H210))</f>
        <v/>
      </c>
      <c r="I207" t="str">
        <f>IF($A207="","",IF(Entry!$I210="",0,Entry!$I210))</f>
        <v/>
      </c>
      <c r="J207" t="str">
        <f t="shared" si="23"/>
        <v/>
      </c>
      <c r="K207" t="str">
        <f>IF($A207="","",Entry!$D210)</f>
        <v/>
      </c>
      <c r="L207" t="str">
        <f>IF($A207="","",Entry!$L210)</f>
        <v/>
      </c>
      <c r="N207" t="str">
        <f>IF(OR(Sync!$M207="",$Q207="",$Q207="نامعتبر"),"",Sync!$M207)</f>
        <v/>
      </c>
      <c r="O207" t="str">
        <f t="shared" si="24"/>
        <v/>
      </c>
      <c r="P207" t="str">
        <f>IF($N207="","",LEFT($Q207,4)&amp;MID($Q207,6,2)&amp;RIGHT($Q207,2)&amp;IF(Sync!$K207="","0000",IF(AND(ISNUMBER(Sync!$K207),Sync!$K207&gt;=0,Sync!$K207&lt;1),RIGHT("00"&amp;HOUR(Sync!$K207),2)&amp;RIGHT("00"&amp;MINUTE(Sync!$K207),2),IFERROR(RIGHT("00"&amp;VALUE(LEFT(Sync!$K207,FIND(":",Sync!$K207)-1)),2)&amp;RIGHT("00"&amp;VALUE(MID(Sync!$K207,FIND(":",Sync!$K207)+1,2)),2),"0000")))&amp;"|"&amp;"2"&amp;RIGHT("00000"&amp;202,5))</f>
        <v/>
      </c>
      <c r="Q207" t="str">
        <f>IF(Sync!$J207="","",IF(ISNUMBER(Sync!$J207),IF(AND(Sync!$J207&gt;=10000101,Sync!$J207&lt;=99991231),INT(Sync!$J207/10000)&amp;"/"&amp;RIGHT("00"&amp;INT(MOD(Sync!$J207,10000)/100),2)&amp;"/"&amp;RIGHT("00"&amp;MOD(Sync!$J207,100),2),"نامعتبر"),IF(LEN(Sync!$J207)=10,Sync!$J207,"نامعتبر")))</f>
        <v/>
      </c>
      <c r="R207" t="str">
        <f t="shared" si="25"/>
        <v/>
      </c>
      <c r="S207" t="str">
        <f t="shared" si="26"/>
        <v/>
      </c>
      <c r="T207" t="str">
        <f>IF($N207="","",IF(Sync!$N207="",0,Sync!$N207))</f>
        <v/>
      </c>
      <c r="U207" t="str">
        <f>IF($N207="","",IF(Sync!$O207="",0,Sync!$O207))</f>
        <v/>
      </c>
      <c r="V207" t="str">
        <f>IF($N207="","",Sync!$L207)</f>
        <v/>
      </c>
      <c r="W207" t="str">
        <f>IF($N207="","",Sync!$P207)</f>
        <v/>
      </c>
      <c r="AA207" t="str">
        <f>IF($A207="","",IF(COUNTIF($A$6:$A207,$A207)=1,1,0))</f>
        <v/>
      </c>
      <c r="AB207">
        <f>SUM($AA$6:$AA207)</f>
        <v>3</v>
      </c>
      <c r="AC207" t="str">
        <f t="shared" si="27"/>
        <v/>
      </c>
    </row>
    <row r="208" spans="1:29" x14ac:dyDescent="0.2">
      <c r="A208" t="str">
        <f>IF(OR(Entry!$B211="",Entry!$E211="",$E208="نامعتبر"),"",Entry!$E211)</f>
        <v/>
      </c>
      <c r="B208" t="str">
        <f>IF($A208="","",LEFT($E208,4)&amp;MID($E208,6,2)&amp;RIGHT($E208,2)&amp;$F208&amp;"|"&amp;"1"&amp;RIGHT("00000"&amp;203,5))</f>
        <v/>
      </c>
      <c r="C208" t="str">
        <f t="shared" si="21"/>
        <v/>
      </c>
      <c r="D208" t="str">
        <f t="shared" si="22"/>
        <v/>
      </c>
      <c r="E208" t="str">
        <f>IF(Entry!$B211="","",IF(ISNUMBER(Entry!$B211),IF(AND(Entry!$B211&gt;=10000101,Entry!$B211&lt;=99991231),INT(Entry!$B211/10000)&amp;"/"&amp;RIGHT("00"&amp;INT(MOD(Entry!$B211,10000)/100),2)&amp;"/"&amp;RIGHT("00"&amp;MOD(Entry!$B211,100),2),"نامعتبر"),IF(LEN(Entry!$B211)=10,Entry!$B211,"نامعتبر")))</f>
        <v/>
      </c>
      <c r="F208" t="str">
        <f>IF(Entry!$B211="","",IF(Entry!$C211="","0000",IF(AND(ISNUMBER(Entry!$C211),Entry!$C211&gt;=0,Entry!$C211&lt;1),RIGHT("00"&amp;HOUR(Entry!$C211),2)&amp;RIGHT("00"&amp;MINUTE(Entry!$C211),2),IFERROR(RIGHT("00"&amp;VALUE(LEFT(Entry!$C211,FIND(":",Entry!$C211)-1)),2)&amp;RIGHT("00"&amp;VALUE(MID(Entry!$C211,FIND(":",Entry!$C211)+1,2)),2),"0000"))))</f>
        <v/>
      </c>
      <c r="G208" t="str">
        <f>IF($A208="","",Entry!$G211)</f>
        <v/>
      </c>
      <c r="H208" t="str">
        <f>IF($A208="","",IF(Entry!$H211="",0,Entry!$H211))</f>
        <v/>
      </c>
      <c r="I208" t="str">
        <f>IF($A208="","",IF(Entry!$I211="",0,Entry!$I211))</f>
        <v/>
      </c>
      <c r="J208" t="str">
        <f t="shared" si="23"/>
        <v/>
      </c>
      <c r="K208" t="str">
        <f>IF($A208="","",Entry!$D211)</f>
        <v/>
      </c>
      <c r="L208" t="str">
        <f>IF($A208="","",Entry!$L211)</f>
        <v/>
      </c>
      <c r="N208" t="str">
        <f>IF(OR(Sync!$M208="",$Q208="",$Q208="نامعتبر"),"",Sync!$M208)</f>
        <v/>
      </c>
      <c r="O208" t="str">
        <f t="shared" si="24"/>
        <v/>
      </c>
      <c r="P208" t="str">
        <f>IF($N208="","",LEFT($Q208,4)&amp;MID($Q208,6,2)&amp;RIGHT($Q208,2)&amp;IF(Sync!$K208="","0000",IF(AND(ISNUMBER(Sync!$K208),Sync!$K208&gt;=0,Sync!$K208&lt;1),RIGHT("00"&amp;HOUR(Sync!$K208),2)&amp;RIGHT("00"&amp;MINUTE(Sync!$K208),2),IFERROR(RIGHT("00"&amp;VALUE(LEFT(Sync!$K208,FIND(":",Sync!$K208)-1)),2)&amp;RIGHT("00"&amp;VALUE(MID(Sync!$K208,FIND(":",Sync!$K208)+1,2)),2),"0000")))&amp;"|"&amp;"2"&amp;RIGHT("00000"&amp;203,5))</f>
        <v/>
      </c>
      <c r="Q208" t="str">
        <f>IF(Sync!$J208="","",IF(ISNUMBER(Sync!$J208),IF(AND(Sync!$J208&gt;=10000101,Sync!$J208&lt;=99991231),INT(Sync!$J208/10000)&amp;"/"&amp;RIGHT("00"&amp;INT(MOD(Sync!$J208,10000)/100),2)&amp;"/"&amp;RIGHT("00"&amp;MOD(Sync!$J208,100),2),"نامعتبر"),IF(LEN(Sync!$J208)=10,Sync!$J208,"نامعتبر")))</f>
        <v/>
      </c>
      <c r="R208" t="str">
        <f t="shared" si="25"/>
        <v/>
      </c>
      <c r="S208" t="str">
        <f t="shared" si="26"/>
        <v/>
      </c>
      <c r="T208" t="str">
        <f>IF($N208="","",IF(Sync!$N208="",0,Sync!$N208))</f>
        <v/>
      </c>
      <c r="U208" t="str">
        <f>IF($N208="","",IF(Sync!$O208="",0,Sync!$O208))</f>
        <v/>
      </c>
      <c r="V208" t="str">
        <f>IF($N208="","",Sync!$L208)</f>
        <v/>
      </c>
      <c r="W208" t="str">
        <f>IF($N208="","",Sync!$P208)</f>
        <v/>
      </c>
      <c r="AA208" t="str">
        <f>IF($A208="","",IF(COUNTIF($A$6:$A208,$A208)=1,1,0))</f>
        <v/>
      </c>
      <c r="AB208">
        <f>SUM($AA$6:$AA208)</f>
        <v>3</v>
      </c>
      <c r="AC208" t="str">
        <f t="shared" si="27"/>
        <v/>
      </c>
    </row>
    <row r="209" spans="1:29" x14ac:dyDescent="0.2">
      <c r="A209" t="str">
        <f>IF(OR(Entry!$B212="",Entry!$E212="",$E209="نامعتبر"),"",Entry!$E212)</f>
        <v/>
      </c>
      <c r="B209" t="str">
        <f>IF($A209="","",LEFT($E209,4)&amp;MID($E209,6,2)&amp;RIGHT($E209,2)&amp;$F209&amp;"|"&amp;"1"&amp;RIGHT("00000"&amp;204,5))</f>
        <v/>
      </c>
      <c r="C209" t="str">
        <f t="shared" si="21"/>
        <v/>
      </c>
      <c r="D209" t="str">
        <f t="shared" si="22"/>
        <v/>
      </c>
      <c r="E209" t="str">
        <f>IF(Entry!$B212="","",IF(ISNUMBER(Entry!$B212),IF(AND(Entry!$B212&gt;=10000101,Entry!$B212&lt;=99991231),INT(Entry!$B212/10000)&amp;"/"&amp;RIGHT("00"&amp;INT(MOD(Entry!$B212,10000)/100),2)&amp;"/"&amp;RIGHT("00"&amp;MOD(Entry!$B212,100),2),"نامعتبر"),IF(LEN(Entry!$B212)=10,Entry!$B212,"نامعتبر")))</f>
        <v/>
      </c>
      <c r="F209" t="str">
        <f>IF(Entry!$B212="","",IF(Entry!$C212="","0000",IF(AND(ISNUMBER(Entry!$C212),Entry!$C212&gt;=0,Entry!$C212&lt;1),RIGHT("00"&amp;HOUR(Entry!$C212),2)&amp;RIGHT("00"&amp;MINUTE(Entry!$C212),2),IFERROR(RIGHT("00"&amp;VALUE(LEFT(Entry!$C212,FIND(":",Entry!$C212)-1)),2)&amp;RIGHT("00"&amp;VALUE(MID(Entry!$C212,FIND(":",Entry!$C212)+1,2)),2),"0000"))))</f>
        <v/>
      </c>
      <c r="G209" t="str">
        <f>IF($A209="","",Entry!$G212)</f>
        <v/>
      </c>
      <c r="H209" t="str">
        <f>IF($A209="","",IF(Entry!$H212="",0,Entry!$H212))</f>
        <v/>
      </c>
      <c r="I209" t="str">
        <f>IF($A209="","",IF(Entry!$I212="",0,Entry!$I212))</f>
        <v/>
      </c>
      <c r="J209" t="str">
        <f t="shared" si="23"/>
        <v/>
      </c>
      <c r="K209" t="str">
        <f>IF($A209="","",Entry!$D212)</f>
        <v/>
      </c>
      <c r="L209" t="str">
        <f>IF($A209="","",Entry!$L212)</f>
        <v/>
      </c>
      <c r="N209" t="str">
        <f>IF(OR(Sync!$M209="",$Q209="",$Q209="نامعتبر"),"",Sync!$M209)</f>
        <v/>
      </c>
      <c r="O209" t="str">
        <f t="shared" si="24"/>
        <v/>
      </c>
      <c r="P209" t="str">
        <f>IF($N209="","",LEFT($Q209,4)&amp;MID($Q209,6,2)&amp;RIGHT($Q209,2)&amp;IF(Sync!$K209="","0000",IF(AND(ISNUMBER(Sync!$K209),Sync!$K209&gt;=0,Sync!$K209&lt;1),RIGHT("00"&amp;HOUR(Sync!$K209),2)&amp;RIGHT("00"&amp;MINUTE(Sync!$K209),2),IFERROR(RIGHT("00"&amp;VALUE(LEFT(Sync!$K209,FIND(":",Sync!$K209)-1)),2)&amp;RIGHT("00"&amp;VALUE(MID(Sync!$K209,FIND(":",Sync!$K209)+1,2)),2),"0000")))&amp;"|"&amp;"2"&amp;RIGHT("00000"&amp;204,5))</f>
        <v/>
      </c>
      <c r="Q209" t="str">
        <f>IF(Sync!$J209="","",IF(ISNUMBER(Sync!$J209),IF(AND(Sync!$J209&gt;=10000101,Sync!$J209&lt;=99991231),INT(Sync!$J209/10000)&amp;"/"&amp;RIGHT("00"&amp;INT(MOD(Sync!$J209,10000)/100),2)&amp;"/"&amp;RIGHT("00"&amp;MOD(Sync!$J209,100),2),"نامعتبر"),IF(LEN(Sync!$J209)=10,Sync!$J209,"نامعتبر")))</f>
        <v/>
      </c>
      <c r="R209" t="str">
        <f t="shared" si="25"/>
        <v/>
      </c>
      <c r="S209" t="str">
        <f t="shared" si="26"/>
        <v/>
      </c>
      <c r="T209" t="str">
        <f>IF($N209="","",IF(Sync!$N209="",0,Sync!$N209))</f>
        <v/>
      </c>
      <c r="U209" t="str">
        <f>IF($N209="","",IF(Sync!$O209="",0,Sync!$O209))</f>
        <v/>
      </c>
      <c r="V209" t="str">
        <f>IF($N209="","",Sync!$L209)</f>
        <v/>
      </c>
      <c r="W209" t="str">
        <f>IF($N209="","",Sync!$P209)</f>
        <v/>
      </c>
      <c r="AA209" t="str">
        <f>IF($A209="","",IF(COUNTIF($A$6:$A209,$A209)=1,1,0))</f>
        <v/>
      </c>
      <c r="AB209">
        <f>SUM($AA$6:$AA209)</f>
        <v>3</v>
      </c>
      <c r="AC209" t="str">
        <f t="shared" si="27"/>
        <v/>
      </c>
    </row>
    <row r="210" spans="1:29" x14ac:dyDescent="0.2">
      <c r="A210" t="str">
        <f>IF(OR(Entry!$B213="",Entry!$E213="",$E210="نامعتبر"),"",Entry!$E213)</f>
        <v/>
      </c>
      <c r="B210" t="str">
        <f>IF($A210="","",LEFT($E210,4)&amp;MID($E210,6,2)&amp;RIGHT($E210,2)&amp;$F210&amp;"|"&amp;"1"&amp;RIGHT("00000"&amp;205,5))</f>
        <v/>
      </c>
      <c r="C210" t="str">
        <f t="shared" si="21"/>
        <v/>
      </c>
      <c r="D210" t="str">
        <f t="shared" si="22"/>
        <v/>
      </c>
      <c r="E210" t="str">
        <f>IF(Entry!$B213="","",IF(ISNUMBER(Entry!$B213),IF(AND(Entry!$B213&gt;=10000101,Entry!$B213&lt;=99991231),INT(Entry!$B213/10000)&amp;"/"&amp;RIGHT("00"&amp;INT(MOD(Entry!$B213,10000)/100),2)&amp;"/"&amp;RIGHT("00"&amp;MOD(Entry!$B213,100),2),"نامعتبر"),IF(LEN(Entry!$B213)=10,Entry!$B213,"نامعتبر")))</f>
        <v/>
      </c>
      <c r="F210" t="str">
        <f>IF(Entry!$B213="","",IF(Entry!$C213="","0000",IF(AND(ISNUMBER(Entry!$C213),Entry!$C213&gt;=0,Entry!$C213&lt;1),RIGHT("00"&amp;HOUR(Entry!$C213),2)&amp;RIGHT("00"&amp;MINUTE(Entry!$C213),2),IFERROR(RIGHT("00"&amp;VALUE(LEFT(Entry!$C213,FIND(":",Entry!$C213)-1)),2)&amp;RIGHT("00"&amp;VALUE(MID(Entry!$C213,FIND(":",Entry!$C213)+1,2)),2),"0000"))))</f>
        <v/>
      </c>
      <c r="G210" t="str">
        <f>IF($A210="","",Entry!$G213)</f>
        <v/>
      </c>
      <c r="H210" t="str">
        <f>IF($A210="","",IF(Entry!$H213="",0,Entry!$H213))</f>
        <v/>
      </c>
      <c r="I210" t="str">
        <f>IF($A210="","",IF(Entry!$I213="",0,Entry!$I213))</f>
        <v/>
      </c>
      <c r="J210" t="str">
        <f t="shared" si="23"/>
        <v/>
      </c>
      <c r="K210" t="str">
        <f>IF($A210="","",Entry!$D213)</f>
        <v/>
      </c>
      <c r="L210" t="str">
        <f>IF($A210="","",Entry!$L213)</f>
        <v/>
      </c>
      <c r="N210" t="str">
        <f>IF(OR(Sync!$M210="",$Q210="",$Q210="نامعتبر"),"",Sync!$M210)</f>
        <v/>
      </c>
      <c r="O210" t="str">
        <f t="shared" si="24"/>
        <v/>
      </c>
      <c r="P210" t="str">
        <f>IF($N210="","",LEFT($Q210,4)&amp;MID($Q210,6,2)&amp;RIGHT($Q210,2)&amp;IF(Sync!$K210="","0000",IF(AND(ISNUMBER(Sync!$K210),Sync!$K210&gt;=0,Sync!$K210&lt;1),RIGHT("00"&amp;HOUR(Sync!$K210),2)&amp;RIGHT("00"&amp;MINUTE(Sync!$K210),2),IFERROR(RIGHT("00"&amp;VALUE(LEFT(Sync!$K210,FIND(":",Sync!$K210)-1)),2)&amp;RIGHT("00"&amp;VALUE(MID(Sync!$K210,FIND(":",Sync!$K210)+1,2)),2),"0000")))&amp;"|"&amp;"2"&amp;RIGHT("00000"&amp;205,5))</f>
        <v/>
      </c>
      <c r="Q210" t="str">
        <f>IF(Sync!$J210="","",IF(ISNUMBER(Sync!$J210),IF(AND(Sync!$J210&gt;=10000101,Sync!$J210&lt;=99991231),INT(Sync!$J210/10000)&amp;"/"&amp;RIGHT("00"&amp;INT(MOD(Sync!$J210,10000)/100),2)&amp;"/"&amp;RIGHT("00"&amp;MOD(Sync!$J210,100),2),"نامعتبر"),IF(LEN(Sync!$J210)=10,Sync!$J210,"نامعتبر")))</f>
        <v/>
      </c>
      <c r="R210" t="str">
        <f t="shared" si="25"/>
        <v/>
      </c>
      <c r="S210" t="str">
        <f t="shared" si="26"/>
        <v/>
      </c>
      <c r="T210" t="str">
        <f>IF($N210="","",IF(Sync!$N210="",0,Sync!$N210))</f>
        <v/>
      </c>
      <c r="U210" t="str">
        <f>IF($N210="","",IF(Sync!$O210="",0,Sync!$O210))</f>
        <v/>
      </c>
      <c r="V210" t="str">
        <f>IF($N210="","",Sync!$L210)</f>
        <v/>
      </c>
      <c r="W210" t="str">
        <f>IF($N210="","",Sync!$P210)</f>
        <v/>
      </c>
      <c r="AA210" t="str">
        <f>IF($A210="","",IF(COUNTIF($A$6:$A210,$A210)=1,1,0))</f>
        <v/>
      </c>
      <c r="AB210">
        <f>SUM($AA$6:$AA210)</f>
        <v>3</v>
      </c>
      <c r="AC210" t="str">
        <f t="shared" si="27"/>
        <v/>
      </c>
    </row>
    <row r="211" spans="1:29" x14ac:dyDescent="0.2">
      <c r="A211" t="str">
        <f>IF(OR(Entry!$B214="",Entry!$E214="",$E211="نامعتبر"),"",Entry!$E214)</f>
        <v/>
      </c>
      <c r="B211" t="str">
        <f>IF($A211="","",LEFT($E211,4)&amp;MID($E211,6,2)&amp;RIGHT($E211,2)&amp;$F211&amp;"|"&amp;"1"&amp;RIGHT("00000"&amp;206,5))</f>
        <v/>
      </c>
      <c r="C211" t="str">
        <f t="shared" si="21"/>
        <v/>
      </c>
      <c r="D211" t="str">
        <f t="shared" si="22"/>
        <v/>
      </c>
      <c r="E211" t="str">
        <f>IF(Entry!$B214="","",IF(ISNUMBER(Entry!$B214),IF(AND(Entry!$B214&gt;=10000101,Entry!$B214&lt;=99991231),INT(Entry!$B214/10000)&amp;"/"&amp;RIGHT("00"&amp;INT(MOD(Entry!$B214,10000)/100),2)&amp;"/"&amp;RIGHT("00"&amp;MOD(Entry!$B214,100),2),"نامعتبر"),IF(LEN(Entry!$B214)=10,Entry!$B214,"نامعتبر")))</f>
        <v/>
      </c>
      <c r="F211" t="str">
        <f>IF(Entry!$B214="","",IF(Entry!$C214="","0000",IF(AND(ISNUMBER(Entry!$C214),Entry!$C214&gt;=0,Entry!$C214&lt;1),RIGHT("00"&amp;HOUR(Entry!$C214),2)&amp;RIGHT("00"&amp;MINUTE(Entry!$C214),2),IFERROR(RIGHT("00"&amp;VALUE(LEFT(Entry!$C214,FIND(":",Entry!$C214)-1)),2)&amp;RIGHT("00"&amp;VALUE(MID(Entry!$C214,FIND(":",Entry!$C214)+1,2)),2),"0000"))))</f>
        <v/>
      </c>
      <c r="G211" t="str">
        <f>IF($A211="","",Entry!$G214)</f>
        <v/>
      </c>
      <c r="H211" t="str">
        <f>IF($A211="","",IF(Entry!$H214="",0,Entry!$H214))</f>
        <v/>
      </c>
      <c r="I211" t="str">
        <f>IF($A211="","",IF(Entry!$I214="",0,Entry!$I214))</f>
        <v/>
      </c>
      <c r="J211" t="str">
        <f t="shared" si="23"/>
        <v/>
      </c>
      <c r="K211" t="str">
        <f>IF($A211="","",Entry!$D214)</f>
        <v/>
      </c>
      <c r="L211" t="str">
        <f>IF($A211="","",Entry!$L214)</f>
        <v/>
      </c>
      <c r="N211" t="str">
        <f>IF(OR(Sync!$M211="",$Q211="",$Q211="نامعتبر"),"",Sync!$M211)</f>
        <v/>
      </c>
      <c r="O211" t="str">
        <f t="shared" si="24"/>
        <v/>
      </c>
      <c r="P211" t="str">
        <f>IF($N211="","",LEFT($Q211,4)&amp;MID($Q211,6,2)&amp;RIGHT($Q211,2)&amp;IF(Sync!$K211="","0000",IF(AND(ISNUMBER(Sync!$K211),Sync!$K211&gt;=0,Sync!$K211&lt;1),RIGHT("00"&amp;HOUR(Sync!$K211),2)&amp;RIGHT("00"&amp;MINUTE(Sync!$K211),2),IFERROR(RIGHT("00"&amp;VALUE(LEFT(Sync!$K211,FIND(":",Sync!$K211)-1)),2)&amp;RIGHT("00"&amp;VALUE(MID(Sync!$K211,FIND(":",Sync!$K211)+1,2)),2),"0000")))&amp;"|"&amp;"2"&amp;RIGHT("00000"&amp;206,5))</f>
        <v/>
      </c>
      <c r="Q211" t="str">
        <f>IF(Sync!$J211="","",IF(ISNUMBER(Sync!$J211),IF(AND(Sync!$J211&gt;=10000101,Sync!$J211&lt;=99991231),INT(Sync!$J211/10000)&amp;"/"&amp;RIGHT("00"&amp;INT(MOD(Sync!$J211,10000)/100),2)&amp;"/"&amp;RIGHT("00"&amp;MOD(Sync!$J211,100),2),"نامعتبر"),IF(LEN(Sync!$J211)=10,Sync!$J211,"نامعتبر")))</f>
        <v/>
      </c>
      <c r="R211" t="str">
        <f t="shared" si="25"/>
        <v/>
      </c>
      <c r="S211" t="str">
        <f t="shared" si="26"/>
        <v/>
      </c>
      <c r="T211" t="str">
        <f>IF($N211="","",IF(Sync!$N211="",0,Sync!$N211))</f>
        <v/>
      </c>
      <c r="U211" t="str">
        <f>IF($N211="","",IF(Sync!$O211="",0,Sync!$O211))</f>
        <v/>
      </c>
      <c r="V211" t="str">
        <f>IF($N211="","",Sync!$L211)</f>
        <v/>
      </c>
      <c r="W211" t="str">
        <f>IF($N211="","",Sync!$P211)</f>
        <v/>
      </c>
      <c r="AA211" t="str">
        <f>IF($A211="","",IF(COUNTIF($A$6:$A211,$A211)=1,1,0))</f>
        <v/>
      </c>
      <c r="AB211">
        <f>SUM($AA$6:$AA211)</f>
        <v>3</v>
      </c>
      <c r="AC211" t="str">
        <f t="shared" si="27"/>
        <v/>
      </c>
    </row>
    <row r="212" spans="1:29" x14ac:dyDescent="0.2">
      <c r="A212" t="str">
        <f>IF(OR(Entry!$B215="",Entry!$E215="",$E212="نامعتبر"),"",Entry!$E215)</f>
        <v/>
      </c>
      <c r="B212" t="str">
        <f>IF($A212="","",LEFT($E212,4)&amp;MID($E212,6,2)&amp;RIGHT($E212,2)&amp;$F212&amp;"|"&amp;"1"&amp;RIGHT("00000"&amp;207,5))</f>
        <v/>
      </c>
      <c r="C212" t="str">
        <f t="shared" si="21"/>
        <v/>
      </c>
      <c r="D212" t="str">
        <f t="shared" si="22"/>
        <v/>
      </c>
      <c r="E212" t="str">
        <f>IF(Entry!$B215="","",IF(ISNUMBER(Entry!$B215),IF(AND(Entry!$B215&gt;=10000101,Entry!$B215&lt;=99991231),INT(Entry!$B215/10000)&amp;"/"&amp;RIGHT("00"&amp;INT(MOD(Entry!$B215,10000)/100),2)&amp;"/"&amp;RIGHT("00"&amp;MOD(Entry!$B215,100),2),"نامعتبر"),IF(LEN(Entry!$B215)=10,Entry!$B215,"نامعتبر")))</f>
        <v/>
      </c>
      <c r="F212" t="str">
        <f>IF(Entry!$B215="","",IF(Entry!$C215="","0000",IF(AND(ISNUMBER(Entry!$C215),Entry!$C215&gt;=0,Entry!$C215&lt;1),RIGHT("00"&amp;HOUR(Entry!$C215),2)&amp;RIGHT("00"&amp;MINUTE(Entry!$C215),2),IFERROR(RIGHT("00"&amp;VALUE(LEFT(Entry!$C215,FIND(":",Entry!$C215)-1)),2)&amp;RIGHT("00"&amp;VALUE(MID(Entry!$C215,FIND(":",Entry!$C215)+1,2)),2),"0000"))))</f>
        <v/>
      </c>
      <c r="G212" t="str">
        <f>IF($A212="","",Entry!$G215)</f>
        <v/>
      </c>
      <c r="H212" t="str">
        <f>IF($A212="","",IF(Entry!$H215="",0,Entry!$H215))</f>
        <v/>
      </c>
      <c r="I212" t="str">
        <f>IF($A212="","",IF(Entry!$I215="",0,Entry!$I215))</f>
        <v/>
      </c>
      <c r="J212" t="str">
        <f t="shared" si="23"/>
        <v/>
      </c>
      <c r="K212" t="str">
        <f>IF($A212="","",Entry!$D215)</f>
        <v/>
      </c>
      <c r="L212" t="str">
        <f>IF($A212="","",Entry!$L215)</f>
        <v/>
      </c>
      <c r="N212" t="str">
        <f>IF(OR(Sync!$M212="",$Q212="",$Q212="نامعتبر"),"",Sync!$M212)</f>
        <v/>
      </c>
      <c r="O212" t="str">
        <f t="shared" si="24"/>
        <v/>
      </c>
      <c r="P212" t="str">
        <f>IF($N212="","",LEFT($Q212,4)&amp;MID($Q212,6,2)&amp;RIGHT($Q212,2)&amp;IF(Sync!$K212="","0000",IF(AND(ISNUMBER(Sync!$K212),Sync!$K212&gt;=0,Sync!$K212&lt;1),RIGHT("00"&amp;HOUR(Sync!$K212),2)&amp;RIGHT("00"&amp;MINUTE(Sync!$K212),2),IFERROR(RIGHT("00"&amp;VALUE(LEFT(Sync!$K212,FIND(":",Sync!$K212)-1)),2)&amp;RIGHT("00"&amp;VALUE(MID(Sync!$K212,FIND(":",Sync!$K212)+1,2)),2),"0000")))&amp;"|"&amp;"2"&amp;RIGHT("00000"&amp;207,5))</f>
        <v/>
      </c>
      <c r="Q212" t="str">
        <f>IF(Sync!$J212="","",IF(ISNUMBER(Sync!$J212),IF(AND(Sync!$J212&gt;=10000101,Sync!$J212&lt;=99991231),INT(Sync!$J212/10000)&amp;"/"&amp;RIGHT("00"&amp;INT(MOD(Sync!$J212,10000)/100),2)&amp;"/"&amp;RIGHT("00"&amp;MOD(Sync!$J212,100),2),"نامعتبر"),IF(LEN(Sync!$J212)=10,Sync!$J212,"نامعتبر")))</f>
        <v/>
      </c>
      <c r="R212" t="str">
        <f t="shared" si="25"/>
        <v/>
      </c>
      <c r="S212" t="str">
        <f t="shared" si="26"/>
        <v/>
      </c>
      <c r="T212" t="str">
        <f>IF($N212="","",IF(Sync!$N212="",0,Sync!$N212))</f>
        <v/>
      </c>
      <c r="U212" t="str">
        <f>IF($N212="","",IF(Sync!$O212="",0,Sync!$O212))</f>
        <v/>
      </c>
      <c r="V212" t="str">
        <f>IF($N212="","",Sync!$L212)</f>
        <v/>
      </c>
      <c r="W212" t="str">
        <f>IF($N212="","",Sync!$P212)</f>
        <v/>
      </c>
      <c r="AA212" t="str">
        <f>IF($A212="","",IF(COUNTIF($A$6:$A212,$A212)=1,1,0))</f>
        <v/>
      </c>
      <c r="AB212">
        <f>SUM($AA$6:$AA212)</f>
        <v>3</v>
      </c>
      <c r="AC212" t="str">
        <f t="shared" si="27"/>
        <v/>
      </c>
    </row>
    <row r="213" spans="1:29" x14ac:dyDescent="0.2">
      <c r="A213" t="str">
        <f>IF(OR(Entry!$B216="",Entry!$E216="",$E213="نامعتبر"),"",Entry!$E216)</f>
        <v/>
      </c>
      <c r="B213" t="str">
        <f>IF($A213="","",LEFT($E213,4)&amp;MID($E213,6,2)&amp;RIGHT($E213,2)&amp;$F213&amp;"|"&amp;"1"&amp;RIGHT("00000"&amp;208,5))</f>
        <v/>
      </c>
      <c r="C213" t="str">
        <f t="shared" si="21"/>
        <v/>
      </c>
      <c r="D213" t="str">
        <f t="shared" si="22"/>
        <v/>
      </c>
      <c r="E213" t="str">
        <f>IF(Entry!$B216="","",IF(ISNUMBER(Entry!$B216),IF(AND(Entry!$B216&gt;=10000101,Entry!$B216&lt;=99991231),INT(Entry!$B216/10000)&amp;"/"&amp;RIGHT("00"&amp;INT(MOD(Entry!$B216,10000)/100),2)&amp;"/"&amp;RIGHT("00"&amp;MOD(Entry!$B216,100),2),"نامعتبر"),IF(LEN(Entry!$B216)=10,Entry!$B216,"نامعتبر")))</f>
        <v/>
      </c>
      <c r="F213" t="str">
        <f>IF(Entry!$B216="","",IF(Entry!$C216="","0000",IF(AND(ISNUMBER(Entry!$C216),Entry!$C216&gt;=0,Entry!$C216&lt;1),RIGHT("00"&amp;HOUR(Entry!$C216),2)&amp;RIGHT("00"&amp;MINUTE(Entry!$C216),2),IFERROR(RIGHT("00"&amp;VALUE(LEFT(Entry!$C216,FIND(":",Entry!$C216)-1)),2)&amp;RIGHT("00"&amp;VALUE(MID(Entry!$C216,FIND(":",Entry!$C216)+1,2)),2),"0000"))))</f>
        <v/>
      </c>
      <c r="G213" t="str">
        <f>IF($A213="","",Entry!$G216)</f>
        <v/>
      </c>
      <c r="H213" t="str">
        <f>IF($A213="","",IF(Entry!$H216="",0,Entry!$H216))</f>
        <v/>
      </c>
      <c r="I213" t="str">
        <f>IF($A213="","",IF(Entry!$I216="",0,Entry!$I216))</f>
        <v/>
      </c>
      <c r="J213" t="str">
        <f t="shared" si="23"/>
        <v/>
      </c>
      <c r="K213" t="str">
        <f>IF($A213="","",Entry!$D216)</f>
        <v/>
      </c>
      <c r="L213" t="str">
        <f>IF($A213="","",Entry!$L216)</f>
        <v/>
      </c>
      <c r="N213" t="str">
        <f>IF(OR(Sync!$M213="",$Q213="",$Q213="نامعتبر"),"",Sync!$M213)</f>
        <v/>
      </c>
      <c r="O213" t="str">
        <f t="shared" si="24"/>
        <v/>
      </c>
      <c r="P213" t="str">
        <f>IF($N213="","",LEFT($Q213,4)&amp;MID($Q213,6,2)&amp;RIGHT($Q213,2)&amp;IF(Sync!$K213="","0000",IF(AND(ISNUMBER(Sync!$K213),Sync!$K213&gt;=0,Sync!$K213&lt;1),RIGHT("00"&amp;HOUR(Sync!$K213),2)&amp;RIGHT("00"&amp;MINUTE(Sync!$K213),2),IFERROR(RIGHT("00"&amp;VALUE(LEFT(Sync!$K213,FIND(":",Sync!$K213)-1)),2)&amp;RIGHT("00"&amp;VALUE(MID(Sync!$K213,FIND(":",Sync!$K213)+1,2)),2),"0000")))&amp;"|"&amp;"2"&amp;RIGHT("00000"&amp;208,5))</f>
        <v/>
      </c>
      <c r="Q213" t="str">
        <f>IF(Sync!$J213="","",IF(ISNUMBER(Sync!$J213),IF(AND(Sync!$J213&gt;=10000101,Sync!$J213&lt;=99991231),INT(Sync!$J213/10000)&amp;"/"&amp;RIGHT("00"&amp;INT(MOD(Sync!$J213,10000)/100),2)&amp;"/"&amp;RIGHT("00"&amp;MOD(Sync!$J213,100),2),"نامعتبر"),IF(LEN(Sync!$J213)=10,Sync!$J213,"نامعتبر")))</f>
        <v/>
      </c>
      <c r="R213" t="str">
        <f t="shared" si="25"/>
        <v/>
      </c>
      <c r="S213" t="str">
        <f t="shared" si="26"/>
        <v/>
      </c>
      <c r="T213" t="str">
        <f>IF($N213="","",IF(Sync!$N213="",0,Sync!$N213))</f>
        <v/>
      </c>
      <c r="U213" t="str">
        <f>IF($N213="","",IF(Sync!$O213="",0,Sync!$O213))</f>
        <v/>
      </c>
      <c r="V213" t="str">
        <f>IF($N213="","",Sync!$L213)</f>
        <v/>
      </c>
      <c r="W213" t="str">
        <f>IF($N213="","",Sync!$P213)</f>
        <v/>
      </c>
      <c r="AA213" t="str">
        <f>IF($A213="","",IF(COUNTIF($A$6:$A213,$A213)=1,1,0))</f>
        <v/>
      </c>
      <c r="AB213">
        <f>SUM($AA$6:$AA213)</f>
        <v>3</v>
      </c>
      <c r="AC213" t="str">
        <f t="shared" si="27"/>
        <v/>
      </c>
    </row>
    <row r="214" spans="1:29" x14ac:dyDescent="0.2">
      <c r="A214" t="str">
        <f>IF(OR(Entry!$B217="",Entry!$E217="",$E214="نامعتبر"),"",Entry!$E217)</f>
        <v/>
      </c>
      <c r="B214" t="str">
        <f>IF($A214="","",LEFT($E214,4)&amp;MID($E214,6,2)&amp;RIGHT($E214,2)&amp;$F214&amp;"|"&amp;"1"&amp;RIGHT("00000"&amp;209,5))</f>
        <v/>
      </c>
      <c r="C214" t="str">
        <f t="shared" si="21"/>
        <v/>
      </c>
      <c r="D214" t="str">
        <f t="shared" si="22"/>
        <v/>
      </c>
      <c r="E214" t="str">
        <f>IF(Entry!$B217="","",IF(ISNUMBER(Entry!$B217),IF(AND(Entry!$B217&gt;=10000101,Entry!$B217&lt;=99991231),INT(Entry!$B217/10000)&amp;"/"&amp;RIGHT("00"&amp;INT(MOD(Entry!$B217,10000)/100),2)&amp;"/"&amp;RIGHT("00"&amp;MOD(Entry!$B217,100),2),"نامعتبر"),IF(LEN(Entry!$B217)=10,Entry!$B217,"نامعتبر")))</f>
        <v/>
      </c>
      <c r="F214" t="str">
        <f>IF(Entry!$B217="","",IF(Entry!$C217="","0000",IF(AND(ISNUMBER(Entry!$C217),Entry!$C217&gt;=0,Entry!$C217&lt;1),RIGHT("00"&amp;HOUR(Entry!$C217),2)&amp;RIGHT("00"&amp;MINUTE(Entry!$C217),2),IFERROR(RIGHT("00"&amp;VALUE(LEFT(Entry!$C217,FIND(":",Entry!$C217)-1)),2)&amp;RIGHT("00"&amp;VALUE(MID(Entry!$C217,FIND(":",Entry!$C217)+1,2)),2),"0000"))))</f>
        <v/>
      </c>
      <c r="G214" t="str">
        <f>IF($A214="","",Entry!$G217)</f>
        <v/>
      </c>
      <c r="H214" t="str">
        <f>IF($A214="","",IF(Entry!$H217="",0,Entry!$H217))</f>
        <v/>
      </c>
      <c r="I214" t="str">
        <f>IF($A214="","",IF(Entry!$I217="",0,Entry!$I217))</f>
        <v/>
      </c>
      <c r="J214" t="str">
        <f t="shared" si="23"/>
        <v/>
      </c>
      <c r="K214" t="str">
        <f>IF($A214="","",Entry!$D217)</f>
        <v/>
      </c>
      <c r="L214" t="str">
        <f>IF($A214="","",Entry!$L217)</f>
        <v/>
      </c>
      <c r="N214" t="str">
        <f>IF(OR(Sync!$M214="",$Q214="",$Q214="نامعتبر"),"",Sync!$M214)</f>
        <v/>
      </c>
      <c r="O214" t="str">
        <f t="shared" si="24"/>
        <v/>
      </c>
      <c r="P214" t="str">
        <f>IF($N214="","",LEFT($Q214,4)&amp;MID($Q214,6,2)&amp;RIGHT($Q214,2)&amp;IF(Sync!$K214="","0000",IF(AND(ISNUMBER(Sync!$K214),Sync!$K214&gt;=0,Sync!$K214&lt;1),RIGHT("00"&amp;HOUR(Sync!$K214),2)&amp;RIGHT("00"&amp;MINUTE(Sync!$K214),2),IFERROR(RIGHT("00"&amp;VALUE(LEFT(Sync!$K214,FIND(":",Sync!$K214)-1)),2)&amp;RIGHT("00"&amp;VALUE(MID(Sync!$K214,FIND(":",Sync!$K214)+1,2)),2),"0000")))&amp;"|"&amp;"2"&amp;RIGHT("00000"&amp;209,5))</f>
        <v/>
      </c>
      <c r="Q214" t="str">
        <f>IF(Sync!$J214="","",IF(ISNUMBER(Sync!$J214),IF(AND(Sync!$J214&gt;=10000101,Sync!$J214&lt;=99991231),INT(Sync!$J214/10000)&amp;"/"&amp;RIGHT("00"&amp;INT(MOD(Sync!$J214,10000)/100),2)&amp;"/"&amp;RIGHT("00"&amp;MOD(Sync!$J214,100),2),"نامعتبر"),IF(LEN(Sync!$J214)=10,Sync!$J214,"نامعتبر")))</f>
        <v/>
      </c>
      <c r="R214" t="str">
        <f t="shared" si="25"/>
        <v/>
      </c>
      <c r="S214" t="str">
        <f t="shared" si="26"/>
        <v/>
      </c>
      <c r="T214" t="str">
        <f>IF($N214="","",IF(Sync!$N214="",0,Sync!$N214))</f>
        <v/>
      </c>
      <c r="U214" t="str">
        <f>IF($N214="","",IF(Sync!$O214="",0,Sync!$O214))</f>
        <v/>
      </c>
      <c r="V214" t="str">
        <f>IF($N214="","",Sync!$L214)</f>
        <v/>
      </c>
      <c r="W214" t="str">
        <f>IF($N214="","",Sync!$P214)</f>
        <v/>
      </c>
      <c r="AA214" t="str">
        <f>IF($A214="","",IF(COUNTIF($A$6:$A214,$A214)=1,1,0))</f>
        <v/>
      </c>
      <c r="AB214">
        <f>SUM($AA$6:$AA214)</f>
        <v>3</v>
      </c>
      <c r="AC214" t="str">
        <f t="shared" si="27"/>
        <v/>
      </c>
    </row>
    <row r="215" spans="1:29" x14ac:dyDescent="0.2">
      <c r="A215" t="str">
        <f>IF(OR(Entry!$B218="",Entry!$E218="",$E215="نامعتبر"),"",Entry!$E218)</f>
        <v/>
      </c>
      <c r="B215" t="str">
        <f>IF($A215="","",LEFT($E215,4)&amp;MID($E215,6,2)&amp;RIGHT($E215,2)&amp;$F215&amp;"|"&amp;"1"&amp;RIGHT("00000"&amp;210,5))</f>
        <v/>
      </c>
      <c r="C215" t="str">
        <f t="shared" si="21"/>
        <v/>
      </c>
      <c r="D215" t="str">
        <f t="shared" si="22"/>
        <v/>
      </c>
      <c r="E215" t="str">
        <f>IF(Entry!$B218="","",IF(ISNUMBER(Entry!$B218),IF(AND(Entry!$B218&gt;=10000101,Entry!$B218&lt;=99991231),INT(Entry!$B218/10000)&amp;"/"&amp;RIGHT("00"&amp;INT(MOD(Entry!$B218,10000)/100),2)&amp;"/"&amp;RIGHT("00"&amp;MOD(Entry!$B218,100),2),"نامعتبر"),IF(LEN(Entry!$B218)=10,Entry!$B218,"نامعتبر")))</f>
        <v/>
      </c>
      <c r="F215" t="str">
        <f>IF(Entry!$B218="","",IF(Entry!$C218="","0000",IF(AND(ISNUMBER(Entry!$C218),Entry!$C218&gt;=0,Entry!$C218&lt;1),RIGHT("00"&amp;HOUR(Entry!$C218),2)&amp;RIGHT("00"&amp;MINUTE(Entry!$C218),2),IFERROR(RIGHT("00"&amp;VALUE(LEFT(Entry!$C218,FIND(":",Entry!$C218)-1)),2)&amp;RIGHT("00"&amp;VALUE(MID(Entry!$C218,FIND(":",Entry!$C218)+1,2)),2),"0000"))))</f>
        <v/>
      </c>
      <c r="G215" t="str">
        <f>IF($A215="","",Entry!$G218)</f>
        <v/>
      </c>
      <c r="H215" t="str">
        <f>IF($A215="","",IF(Entry!$H218="",0,Entry!$H218))</f>
        <v/>
      </c>
      <c r="I215" t="str">
        <f>IF($A215="","",IF(Entry!$I218="",0,Entry!$I218))</f>
        <v/>
      </c>
      <c r="J215" t="str">
        <f t="shared" si="23"/>
        <v/>
      </c>
      <c r="K215" t="str">
        <f>IF($A215="","",Entry!$D218)</f>
        <v/>
      </c>
      <c r="L215" t="str">
        <f>IF($A215="","",Entry!$L218)</f>
        <v/>
      </c>
      <c r="N215" t="str">
        <f>IF(OR(Sync!$M215="",$Q215="",$Q215="نامعتبر"),"",Sync!$M215)</f>
        <v/>
      </c>
      <c r="O215" t="str">
        <f t="shared" si="24"/>
        <v/>
      </c>
      <c r="P215" t="str">
        <f>IF($N215="","",LEFT($Q215,4)&amp;MID($Q215,6,2)&amp;RIGHT($Q215,2)&amp;IF(Sync!$K215="","0000",IF(AND(ISNUMBER(Sync!$K215),Sync!$K215&gt;=0,Sync!$K215&lt;1),RIGHT("00"&amp;HOUR(Sync!$K215),2)&amp;RIGHT("00"&amp;MINUTE(Sync!$K215),2),IFERROR(RIGHT("00"&amp;VALUE(LEFT(Sync!$K215,FIND(":",Sync!$K215)-1)),2)&amp;RIGHT("00"&amp;VALUE(MID(Sync!$K215,FIND(":",Sync!$K215)+1,2)),2),"0000")))&amp;"|"&amp;"2"&amp;RIGHT("00000"&amp;210,5))</f>
        <v/>
      </c>
      <c r="Q215" t="str">
        <f>IF(Sync!$J215="","",IF(ISNUMBER(Sync!$J215),IF(AND(Sync!$J215&gt;=10000101,Sync!$J215&lt;=99991231),INT(Sync!$J215/10000)&amp;"/"&amp;RIGHT("00"&amp;INT(MOD(Sync!$J215,10000)/100),2)&amp;"/"&amp;RIGHT("00"&amp;MOD(Sync!$J215,100),2),"نامعتبر"),IF(LEN(Sync!$J215)=10,Sync!$J215,"نامعتبر")))</f>
        <v/>
      </c>
      <c r="R215" t="str">
        <f t="shared" si="25"/>
        <v/>
      </c>
      <c r="S215" t="str">
        <f t="shared" si="26"/>
        <v/>
      </c>
      <c r="T215" t="str">
        <f>IF($N215="","",IF(Sync!$N215="",0,Sync!$N215))</f>
        <v/>
      </c>
      <c r="U215" t="str">
        <f>IF($N215="","",IF(Sync!$O215="",0,Sync!$O215))</f>
        <v/>
      </c>
      <c r="V215" t="str">
        <f>IF($N215="","",Sync!$L215)</f>
        <v/>
      </c>
      <c r="W215" t="str">
        <f>IF($N215="","",Sync!$P215)</f>
        <v/>
      </c>
      <c r="AA215" t="str">
        <f>IF($A215="","",IF(COUNTIF($A$6:$A215,$A215)=1,1,0))</f>
        <v/>
      </c>
      <c r="AB215">
        <f>SUM($AA$6:$AA215)</f>
        <v>3</v>
      </c>
      <c r="AC215" t="str">
        <f t="shared" si="27"/>
        <v/>
      </c>
    </row>
    <row r="216" spans="1:29" x14ac:dyDescent="0.2">
      <c r="A216" t="str">
        <f>IF(OR(Entry!$B219="",Entry!$E219="",$E216="نامعتبر"),"",Entry!$E219)</f>
        <v/>
      </c>
      <c r="B216" t="str">
        <f>IF($A216="","",LEFT($E216,4)&amp;MID($E216,6,2)&amp;RIGHT($E216,2)&amp;$F216&amp;"|"&amp;"1"&amp;RIGHT("00000"&amp;211,5))</f>
        <v/>
      </c>
      <c r="C216" t="str">
        <f t="shared" si="21"/>
        <v/>
      </c>
      <c r="D216" t="str">
        <f t="shared" si="22"/>
        <v/>
      </c>
      <c r="E216" t="str">
        <f>IF(Entry!$B219="","",IF(ISNUMBER(Entry!$B219),IF(AND(Entry!$B219&gt;=10000101,Entry!$B219&lt;=99991231),INT(Entry!$B219/10000)&amp;"/"&amp;RIGHT("00"&amp;INT(MOD(Entry!$B219,10000)/100),2)&amp;"/"&amp;RIGHT("00"&amp;MOD(Entry!$B219,100),2),"نامعتبر"),IF(LEN(Entry!$B219)=10,Entry!$B219,"نامعتبر")))</f>
        <v/>
      </c>
      <c r="F216" t="str">
        <f>IF(Entry!$B219="","",IF(Entry!$C219="","0000",IF(AND(ISNUMBER(Entry!$C219),Entry!$C219&gt;=0,Entry!$C219&lt;1),RIGHT("00"&amp;HOUR(Entry!$C219),2)&amp;RIGHT("00"&amp;MINUTE(Entry!$C219),2),IFERROR(RIGHT("00"&amp;VALUE(LEFT(Entry!$C219,FIND(":",Entry!$C219)-1)),2)&amp;RIGHT("00"&amp;VALUE(MID(Entry!$C219,FIND(":",Entry!$C219)+1,2)),2),"0000"))))</f>
        <v/>
      </c>
      <c r="G216" t="str">
        <f>IF($A216="","",Entry!$G219)</f>
        <v/>
      </c>
      <c r="H216" t="str">
        <f>IF($A216="","",IF(Entry!$H219="",0,Entry!$H219))</f>
        <v/>
      </c>
      <c r="I216" t="str">
        <f>IF($A216="","",IF(Entry!$I219="",0,Entry!$I219))</f>
        <v/>
      </c>
      <c r="J216" t="str">
        <f t="shared" si="23"/>
        <v/>
      </c>
      <c r="K216" t="str">
        <f>IF($A216="","",Entry!$D219)</f>
        <v/>
      </c>
      <c r="L216" t="str">
        <f>IF($A216="","",Entry!$L219)</f>
        <v/>
      </c>
      <c r="N216" t="str">
        <f>IF(OR(Sync!$M216="",$Q216="",$Q216="نامعتبر"),"",Sync!$M216)</f>
        <v/>
      </c>
      <c r="O216" t="str">
        <f t="shared" si="24"/>
        <v/>
      </c>
      <c r="P216" t="str">
        <f>IF($N216="","",LEFT($Q216,4)&amp;MID($Q216,6,2)&amp;RIGHT($Q216,2)&amp;IF(Sync!$K216="","0000",IF(AND(ISNUMBER(Sync!$K216),Sync!$K216&gt;=0,Sync!$K216&lt;1),RIGHT("00"&amp;HOUR(Sync!$K216),2)&amp;RIGHT("00"&amp;MINUTE(Sync!$K216),2),IFERROR(RIGHT("00"&amp;VALUE(LEFT(Sync!$K216,FIND(":",Sync!$K216)-1)),2)&amp;RIGHT("00"&amp;VALUE(MID(Sync!$K216,FIND(":",Sync!$K216)+1,2)),2),"0000")))&amp;"|"&amp;"2"&amp;RIGHT("00000"&amp;211,5))</f>
        <v/>
      </c>
      <c r="Q216" t="str">
        <f>IF(Sync!$J216="","",IF(ISNUMBER(Sync!$J216),IF(AND(Sync!$J216&gt;=10000101,Sync!$J216&lt;=99991231),INT(Sync!$J216/10000)&amp;"/"&amp;RIGHT("00"&amp;INT(MOD(Sync!$J216,10000)/100),2)&amp;"/"&amp;RIGHT("00"&amp;MOD(Sync!$J216,100),2),"نامعتبر"),IF(LEN(Sync!$J216)=10,Sync!$J216,"نامعتبر")))</f>
        <v/>
      </c>
      <c r="R216" t="str">
        <f t="shared" si="25"/>
        <v/>
      </c>
      <c r="S216" t="str">
        <f t="shared" si="26"/>
        <v/>
      </c>
      <c r="T216" t="str">
        <f>IF($N216="","",IF(Sync!$N216="",0,Sync!$N216))</f>
        <v/>
      </c>
      <c r="U216" t="str">
        <f>IF($N216="","",IF(Sync!$O216="",0,Sync!$O216))</f>
        <v/>
      </c>
      <c r="V216" t="str">
        <f>IF($N216="","",Sync!$L216)</f>
        <v/>
      </c>
      <c r="W216" t="str">
        <f>IF($N216="","",Sync!$P216)</f>
        <v/>
      </c>
      <c r="AA216" t="str">
        <f>IF($A216="","",IF(COUNTIF($A$6:$A216,$A216)=1,1,0))</f>
        <v/>
      </c>
      <c r="AB216">
        <f>SUM($AA$6:$AA216)</f>
        <v>3</v>
      </c>
      <c r="AC216" t="str">
        <f t="shared" si="27"/>
        <v/>
      </c>
    </row>
    <row r="217" spans="1:29" x14ac:dyDescent="0.2">
      <c r="A217" t="str">
        <f>IF(OR(Entry!$B220="",Entry!$E220="",$E217="نامعتبر"),"",Entry!$E220)</f>
        <v/>
      </c>
      <c r="B217" t="str">
        <f>IF($A217="","",LEFT($E217,4)&amp;MID($E217,6,2)&amp;RIGHT($E217,2)&amp;$F217&amp;"|"&amp;"1"&amp;RIGHT("00000"&amp;212,5))</f>
        <v/>
      </c>
      <c r="C217" t="str">
        <f t="shared" si="21"/>
        <v/>
      </c>
      <c r="D217" t="str">
        <f t="shared" si="22"/>
        <v/>
      </c>
      <c r="E217" t="str">
        <f>IF(Entry!$B220="","",IF(ISNUMBER(Entry!$B220),IF(AND(Entry!$B220&gt;=10000101,Entry!$B220&lt;=99991231),INT(Entry!$B220/10000)&amp;"/"&amp;RIGHT("00"&amp;INT(MOD(Entry!$B220,10000)/100),2)&amp;"/"&amp;RIGHT("00"&amp;MOD(Entry!$B220,100),2),"نامعتبر"),IF(LEN(Entry!$B220)=10,Entry!$B220,"نامعتبر")))</f>
        <v/>
      </c>
      <c r="F217" t="str">
        <f>IF(Entry!$B220="","",IF(Entry!$C220="","0000",IF(AND(ISNUMBER(Entry!$C220),Entry!$C220&gt;=0,Entry!$C220&lt;1),RIGHT("00"&amp;HOUR(Entry!$C220),2)&amp;RIGHT("00"&amp;MINUTE(Entry!$C220),2),IFERROR(RIGHT("00"&amp;VALUE(LEFT(Entry!$C220,FIND(":",Entry!$C220)-1)),2)&amp;RIGHT("00"&amp;VALUE(MID(Entry!$C220,FIND(":",Entry!$C220)+1,2)),2),"0000"))))</f>
        <v/>
      </c>
      <c r="G217" t="str">
        <f>IF($A217="","",Entry!$G220)</f>
        <v/>
      </c>
      <c r="H217" t="str">
        <f>IF($A217="","",IF(Entry!$H220="",0,Entry!$H220))</f>
        <v/>
      </c>
      <c r="I217" t="str">
        <f>IF($A217="","",IF(Entry!$I220="",0,Entry!$I220))</f>
        <v/>
      </c>
      <c r="J217" t="str">
        <f t="shared" si="23"/>
        <v/>
      </c>
      <c r="K217" t="str">
        <f>IF($A217="","",Entry!$D220)</f>
        <v/>
      </c>
      <c r="L217" t="str">
        <f>IF($A217="","",Entry!$L220)</f>
        <v/>
      </c>
      <c r="N217" t="str">
        <f>IF(OR(Sync!$M217="",$Q217="",$Q217="نامعتبر"),"",Sync!$M217)</f>
        <v/>
      </c>
      <c r="O217" t="str">
        <f t="shared" si="24"/>
        <v/>
      </c>
      <c r="P217" t="str">
        <f>IF($N217="","",LEFT($Q217,4)&amp;MID($Q217,6,2)&amp;RIGHT($Q217,2)&amp;IF(Sync!$K217="","0000",IF(AND(ISNUMBER(Sync!$K217),Sync!$K217&gt;=0,Sync!$K217&lt;1),RIGHT("00"&amp;HOUR(Sync!$K217),2)&amp;RIGHT("00"&amp;MINUTE(Sync!$K217),2),IFERROR(RIGHT("00"&amp;VALUE(LEFT(Sync!$K217,FIND(":",Sync!$K217)-1)),2)&amp;RIGHT("00"&amp;VALUE(MID(Sync!$K217,FIND(":",Sync!$K217)+1,2)),2),"0000")))&amp;"|"&amp;"2"&amp;RIGHT("00000"&amp;212,5))</f>
        <v/>
      </c>
      <c r="Q217" t="str">
        <f>IF(Sync!$J217="","",IF(ISNUMBER(Sync!$J217),IF(AND(Sync!$J217&gt;=10000101,Sync!$J217&lt;=99991231),INT(Sync!$J217/10000)&amp;"/"&amp;RIGHT("00"&amp;INT(MOD(Sync!$J217,10000)/100),2)&amp;"/"&amp;RIGHT("00"&amp;MOD(Sync!$J217,100),2),"نامعتبر"),IF(LEN(Sync!$J217)=10,Sync!$J217,"نامعتبر")))</f>
        <v/>
      </c>
      <c r="R217" t="str">
        <f t="shared" si="25"/>
        <v/>
      </c>
      <c r="S217" t="str">
        <f t="shared" si="26"/>
        <v/>
      </c>
      <c r="T217" t="str">
        <f>IF($N217="","",IF(Sync!$N217="",0,Sync!$N217))</f>
        <v/>
      </c>
      <c r="U217" t="str">
        <f>IF($N217="","",IF(Sync!$O217="",0,Sync!$O217))</f>
        <v/>
      </c>
      <c r="V217" t="str">
        <f>IF($N217="","",Sync!$L217)</f>
        <v/>
      </c>
      <c r="W217" t="str">
        <f>IF($N217="","",Sync!$P217)</f>
        <v/>
      </c>
      <c r="AA217" t="str">
        <f>IF($A217="","",IF(COUNTIF($A$6:$A217,$A217)=1,1,0))</f>
        <v/>
      </c>
      <c r="AB217">
        <f>SUM($AA$6:$AA217)</f>
        <v>3</v>
      </c>
      <c r="AC217" t="str">
        <f t="shared" si="27"/>
        <v/>
      </c>
    </row>
    <row r="218" spans="1:29" x14ac:dyDescent="0.2">
      <c r="A218" t="str">
        <f>IF(OR(Entry!$B221="",Entry!$E221="",$E218="نامعتبر"),"",Entry!$E221)</f>
        <v/>
      </c>
      <c r="B218" t="str">
        <f>IF($A218="","",LEFT($E218,4)&amp;MID($E218,6,2)&amp;RIGHT($E218,2)&amp;$F218&amp;"|"&amp;"1"&amp;RIGHT("00000"&amp;213,5))</f>
        <v/>
      </c>
      <c r="C218" t="str">
        <f t="shared" si="21"/>
        <v/>
      </c>
      <c r="D218" t="str">
        <f t="shared" si="22"/>
        <v/>
      </c>
      <c r="E218" t="str">
        <f>IF(Entry!$B221="","",IF(ISNUMBER(Entry!$B221),IF(AND(Entry!$B221&gt;=10000101,Entry!$B221&lt;=99991231),INT(Entry!$B221/10000)&amp;"/"&amp;RIGHT("00"&amp;INT(MOD(Entry!$B221,10000)/100),2)&amp;"/"&amp;RIGHT("00"&amp;MOD(Entry!$B221,100),2),"نامعتبر"),IF(LEN(Entry!$B221)=10,Entry!$B221,"نامعتبر")))</f>
        <v/>
      </c>
      <c r="F218" t="str">
        <f>IF(Entry!$B221="","",IF(Entry!$C221="","0000",IF(AND(ISNUMBER(Entry!$C221),Entry!$C221&gt;=0,Entry!$C221&lt;1),RIGHT("00"&amp;HOUR(Entry!$C221),2)&amp;RIGHT("00"&amp;MINUTE(Entry!$C221),2),IFERROR(RIGHT("00"&amp;VALUE(LEFT(Entry!$C221,FIND(":",Entry!$C221)-1)),2)&amp;RIGHT("00"&amp;VALUE(MID(Entry!$C221,FIND(":",Entry!$C221)+1,2)),2),"0000"))))</f>
        <v/>
      </c>
      <c r="G218" t="str">
        <f>IF($A218="","",Entry!$G221)</f>
        <v/>
      </c>
      <c r="H218" t="str">
        <f>IF($A218="","",IF(Entry!$H221="",0,Entry!$H221))</f>
        <v/>
      </c>
      <c r="I218" t="str">
        <f>IF($A218="","",IF(Entry!$I221="",0,Entry!$I221))</f>
        <v/>
      </c>
      <c r="J218" t="str">
        <f t="shared" si="23"/>
        <v/>
      </c>
      <c r="K218" t="str">
        <f>IF($A218="","",Entry!$D221)</f>
        <v/>
      </c>
      <c r="L218" t="str">
        <f>IF($A218="","",Entry!$L221)</f>
        <v/>
      </c>
      <c r="N218" t="str">
        <f>IF(OR(Sync!$M218="",$Q218="",$Q218="نامعتبر"),"",Sync!$M218)</f>
        <v/>
      </c>
      <c r="O218" t="str">
        <f t="shared" si="24"/>
        <v/>
      </c>
      <c r="P218" t="str">
        <f>IF($N218="","",LEFT($Q218,4)&amp;MID($Q218,6,2)&amp;RIGHT($Q218,2)&amp;IF(Sync!$K218="","0000",IF(AND(ISNUMBER(Sync!$K218),Sync!$K218&gt;=0,Sync!$K218&lt;1),RIGHT("00"&amp;HOUR(Sync!$K218),2)&amp;RIGHT("00"&amp;MINUTE(Sync!$K218),2),IFERROR(RIGHT("00"&amp;VALUE(LEFT(Sync!$K218,FIND(":",Sync!$K218)-1)),2)&amp;RIGHT("00"&amp;VALUE(MID(Sync!$K218,FIND(":",Sync!$K218)+1,2)),2),"0000")))&amp;"|"&amp;"2"&amp;RIGHT("00000"&amp;213,5))</f>
        <v/>
      </c>
      <c r="Q218" t="str">
        <f>IF(Sync!$J218="","",IF(ISNUMBER(Sync!$J218),IF(AND(Sync!$J218&gt;=10000101,Sync!$J218&lt;=99991231),INT(Sync!$J218/10000)&amp;"/"&amp;RIGHT("00"&amp;INT(MOD(Sync!$J218,10000)/100),2)&amp;"/"&amp;RIGHT("00"&amp;MOD(Sync!$J218,100),2),"نامعتبر"),IF(LEN(Sync!$J218)=10,Sync!$J218,"نامعتبر")))</f>
        <v/>
      </c>
      <c r="R218" t="str">
        <f t="shared" si="25"/>
        <v/>
      </c>
      <c r="S218" t="str">
        <f t="shared" si="26"/>
        <v/>
      </c>
      <c r="T218" t="str">
        <f>IF($N218="","",IF(Sync!$N218="",0,Sync!$N218))</f>
        <v/>
      </c>
      <c r="U218" t="str">
        <f>IF($N218="","",IF(Sync!$O218="",0,Sync!$O218))</f>
        <v/>
      </c>
      <c r="V218" t="str">
        <f>IF($N218="","",Sync!$L218)</f>
        <v/>
      </c>
      <c r="W218" t="str">
        <f>IF($N218="","",Sync!$P218)</f>
        <v/>
      </c>
      <c r="AA218" t="str">
        <f>IF($A218="","",IF(COUNTIF($A$6:$A218,$A218)=1,1,0))</f>
        <v/>
      </c>
      <c r="AB218">
        <f>SUM($AA$6:$AA218)</f>
        <v>3</v>
      </c>
      <c r="AC218" t="str">
        <f t="shared" si="27"/>
        <v/>
      </c>
    </row>
    <row r="219" spans="1:29" x14ac:dyDescent="0.2">
      <c r="A219" t="str">
        <f>IF(OR(Entry!$B222="",Entry!$E222="",$E219="نامعتبر"),"",Entry!$E222)</f>
        <v/>
      </c>
      <c r="B219" t="str">
        <f>IF($A219="","",LEFT($E219,4)&amp;MID($E219,6,2)&amp;RIGHT($E219,2)&amp;$F219&amp;"|"&amp;"1"&amp;RIGHT("00000"&amp;214,5))</f>
        <v/>
      </c>
      <c r="C219" t="str">
        <f t="shared" si="21"/>
        <v/>
      </c>
      <c r="D219" t="str">
        <f t="shared" si="22"/>
        <v/>
      </c>
      <c r="E219" t="str">
        <f>IF(Entry!$B222="","",IF(ISNUMBER(Entry!$B222),IF(AND(Entry!$B222&gt;=10000101,Entry!$B222&lt;=99991231),INT(Entry!$B222/10000)&amp;"/"&amp;RIGHT("00"&amp;INT(MOD(Entry!$B222,10000)/100),2)&amp;"/"&amp;RIGHT("00"&amp;MOD(Entry!$B222,100),2),"نامعتبر"),IF(LEN(Entry!$B222)=10,Entry!$B222,"نامعتبر")))</f>
        <v/>
      </c>
      <c r="F219" t="str">
        <f>IF(Entry!$B222="","",IF(Entry!$C222="","0000",IF(AND(ISNUMBER(Entry!$C222),Entry!$C222&gt;=0,Entry!$C222&lt;1),RIGHT("00"&amp;HOUR(Entry!$C222),2)&amp;RIGHT("00"&amp;MINUTE(Entry!$C222),2),IFERROR(RIGHT("00"&amp;VALUE(LEFT(Entry!$C222,FIND(":",Entry!$C222)-1)),2)&amp;RIGHT("00"&amp;VALUE(MID(Entry!$C222,FIND(":",Entry!$C222)+1,2)),2),"0000"))))</f>
        <v/>
      </c>
      <c r="G219" t="str">
        <f>IF($A219="","",Entry!$G222)</f>
        <v/>
      </c>
      <c r="H219" t="str">
        <f>IF($A219="","",IF(Entry!$H222="",0,Entry!$H222))</f>
        <v/>
      </c>
      <c r="I219" t="str">
        <f>IF($A219="","",IF(Entry!$I222="",0,Entry!$I222))</f>
        <v/>
      </c>
      <c r="J219" t="str">
        <f t="shared" si="23"/>
        <v/>
      </c>
      <c r="K219" t="str">
        <f>IF($A219="","",Entry!$D222)</f>
        <v/>
      </c>
      <c r="L219" t="str">
        <f>IF($A219="","",Entry!$L222)</f>
        <v/>
      </c>
      <c r="N219" t="str">
        <f>IF(OR(Sync!$M219="",$Q219="",$Q219="نامعتبر"),"",Sync!$M219)</f>
        <v/>
      </c>
      <c r="O219" t="str">
        <f t="shared" si="24"/>
        <v/>
      </c>
      <c r="P219" t="str">
        <f>IF($N219="","",LEFT($Q219,4)&amp;MID($Q219,6,2)&amp;RIGHT($Q219,2)&amp;IF(Sync!$K219="","0000",IF(AND(ISNUMBER(Sync!$K219),Sync!$K219&gt;=0,Sync!$K219&lt;1),RIGHT("00"&amp;HOUR(Sync!$K219),2)&amp;RIGHT("00"&amp;MINUTE(Sync!$K219),2),IFERROR(RIGHT("00"&amp;VALUE(LEFT(Sync!$K219,FIND(":",Sync!$K219)-1)),2)&amp;RIGHT("00"&amp;VALUE(MID(Sync!$K219,FIND(":",Sync!$K219)+1,2)),2),"0000")))&amp;"|"&amp;"2"&amp;RIGHT("00000"&amp;214,5))</f>
        <v/>
      </c>
      <c r="Q219" t="str">
        <f>IF(Sync!$J219="","",IF(ISNUMBER(Sync!$J219),IF(AND(Sync!$J219&gt;=10000101,Sync!$J219&lt;=99991231),INT(Sync!$J219/10000)&amp;"/"&amp;RIGHT("00"&amp;INT(MOD(Sync!$J219,10000)/100),2)&amp;"/"&amp;RIGHT("00"&amp;MOD(Sync!$J219,100),2),"نامعتبر"),IF(LEN(Sync!$J219)=10,Sync!$J219,"نامعتبر")))</f>
        <v/>
      </c>
      <c r="R219" t="str">
        <f t="shared" si="25"/>
        <v/>
      </c>
      <c r="S219" t="str">
        <f t="shared" si="26"/>
        <v/>
      </c>
      <c r="T219" t="str">
        <f>IF($N219="","",IF(Sync!$N219="",0,Sync!$N219))</f>
        <v/>
      </c>
      <c r="U219" t="str">
        <f>IF($N219="","",IF(Sync!$O219="",0,Sync!$O219))</f>
        <v/>
      </c>
      <c r="V219" t="str">
        <f>IF($N219="","",Sync!$L219)</f>
        <v/>
      </c>
      <c r="W219" t="str">
        <f>IF($N219="","",Sync!$P219)</f>
        <v/>
      </c>
      <c r="AA219" t="str">
        <f>IF($A219="","",IF(COUNTIF($A$6:$A219,$A219)=1,1,0))</f>
        <v/>
      </c>
      <c r="AB219">
        <f>SUM($AA$6:$AA219)</f>
        <v>3</v>
      </c>
      <c r="AC219" t="str">
        <f t="shared" si="27"/>
        <v/>
      </c>
    </row>
    <row r="220" spans="1:29" x14ac:dyDescent="0.2">
      <c r="A220" t="str">
        <f>IF(OR(Entry!$B223="",Entry!$E223="",$E220="نامعتبر"),"",Entry!$E223)</f>
        <v/>
      </c>
      <c r="B220" t="str">
        <f>IF($A220="","",LEFT($E220,4)&amp;MID($E220,6,2)&amp;RIGHT($E220,2)&amp;$F220&amp;"|"&amp;"1"&amp;RIGHT("00000"&amp;215,5))</f>
        <v/>
      </c>
      <c r="C220" t="str">
        <f t="shared" si="21"/>
        <v/>
      </c>
      <c r="D220" t="str">
        <f t="shared" si="22"/>
        <v/>
      </c>
      <c r="E220" t="str">
        <f>IF(Entry!$B223="","",IF(ISNUMBER(Entry!$B223),IF(AND(Entry!$B223&gt;=10000101,Entry!$B223&lt;=99991231),INT(Entry!$B223/10000)&amp;"/"&amp;RIGHT("00"&amp;INT(MOD(Entry!$B223,10000)/100),2)&amp;"/"&amp;RIGHT("00"&amp;MOD(Entry!$B223,100),2),"نامعتبر"),IF(LEN(Entry!$B223)=10,Entry!$B223,"نامعتبر")))</f>
        <v/>
      </c>
      <c r="F220" t="str">
        <f>IF(Entry!$B223="","",IF(Entry!$C223="","0000",IF(AND(ISNUMBER(Entry!$C223),Entry!$C223&gt;=0,Entry!$C223&lt;1),RIGHT("00"&amp;HOUR(Entry!$C223),2)&amp;RIGHT("00"&amp;MINUTE(Entry!$C223),2),IFERROR(RIGHT("00"&amp;VALUE(LEFT(Entry!$C223,FIND(":",Entry!$C223)-1)),2)&amp;RIGHT("00"&amp;VALUE(MID(Entry!$C223,FIND(":",Entry!$C223)+1,2)),2),"0000"))))</f>
        <v/>
      </c>
      <c r="G220" t="str">
        <f>IF($A220="","",Entry!$G223)</f>
        <v/>
      </c>
      <c r="H220" t="str">
        <f>IF($A220="","",IF(Entry!$H223="",0,Entry!$H223))</f>
        <v/>
      </c>
      <c r="I220" t="str">
        <f>IF($A220="","",IF(Entry!$I223="",0,Entry!$I223))</f>
        <v/>
      </c>
      <c r="J220" t="str">
        <f t="shared" si="23"/>
        <v/>
      </c>
      <c r="K220" t="str">
        <f>IF($A220="","",Entry!$D223)</f>
        <v/>
      </c>
      <c r="L220" t="str">
        <f>IF($A220="","",Entry!$L223)</f>
        <v/>
      </c>
      <c r="N220" t="str">
        <f>IF(OR(Sync!$M220="",$Q220="",$Q220="نامعتبر"),"",Sync!$M220)</f>
        <v/>
      </c>
      <c r="O220" t="str">
        <f t="shared" si="24"/>
        <v/>
      </c>
      <c r="P220" t="str">
        <f>IF($N220="","",LEFT($Q220,4)&amp;MID($Q220,6,2)&amp;RIGHT($Q220,2)&amp;IF(Sync!$K220="","0000",IF(AND(ISNUMBER(Sync!$K220),Sync!$K220&gt;=0,Sync!$K220&lt;1),RIGHT("00"&amp;HOUR(Sync!$K220),2)&amp;RIGHT("00"&amp;MINUTE(Sync!$K220),2),IFERROR(RIGHT("00"&amp;VALUE(LEFT(Sync!$K220,FIND(":",Sync!$K220)-1)),2)&amp;RIGHT("00"&amp;VALUE(MID(Sync!$K220,FIND(":",Sync!$K220)+1,2)),2),"0000")))&amp;"|"&amp;"2"&amp;RIGHT("00000"&amp;215,5))</f>
        <v/>
      </c>
      <c r="Q220" t="str">
        <f>IF(Sync!$J220="","",IF(ISNUMBER(Sync!$J220),IF(AND(Sync!$J220&gt;=10000101,Sync!$J220&lt;=99991231),INT(Sync!$J220/10000)&amp;"/"&amp;RIGHT("00"&amp;INT(MOD(Sync!$J220,10000)/100),2)&amp;"/"&amp;RIGHT("00"&amp;MOD(Sync!$J220,100),2),"نامعتبر"),IF(LEN(Sync!$J220)=10,Sync!$J220,"نامعتبر")))</f>
        <v/>
      </c>
      <c r="R220" t="str">
        <f t="shared" si="25"/>
        <v/>
      </c>
      <c r="S220" t="str">
        <f t="shared" si="26"/>
        <v/>
      </c>
      <c r="T220" t="str">
        <f>IF($N220="","",IF(Sync!$N220="",0,Sync!$N220))</f>
        <v/>
      </c>
      <c r="U220" t="str">
        <f>IF($N220="","",IF(Sync!$O220="",0,Sync!$O220))</f>
        <v/>
      </c>
      <c r="V220" t="str">
        <f>IF($N220="","",Sync!$L220)</f>
        <v/>
      </c>
      <c r="W220" t="str">
        <f>IF($N220="","",Sync!$P220)</f>
        <v/>
      </c>
      <c r="AA220" t="str">
        <f>IF($A220="","",IF(COUNTIF($A$6:$A220,$A220)=1,1,0))</f>
        <v/>
      </c>
      <c r="AB220">
        <f>SUM($AA$6:$AA220)</f>
        <v>3</v>
      </c>
      <c r="AC220" t="str">
        <f t="shared" si="27"/>
        <v/>
      </c>
    </row>
    <row r="221" spans="1:29" x14ac:dyDescent="0.2">
      <c r="A221" t="str">
        <f>IF(OR(Entry!$B224="",Entry!$E224="",$E221="نامعتبر"),"",Entry!$E224)</f>
        <v/>
      </c>
      <c r="B221" t="str">
        <f>IF($A221="","",LEFT($E221,4)&amp;MID($E221,6,2)&amp;RIGHT($E221,2)&amp;$F221&amp;"|"&amp;"1"&amp;RIGHT("00000"&amp;216,5))</f>
        <v/>
      </c>
      <c r="C221" t="str">
        <f t="shared" si="21"/>
        <v/>
      </c>
      <c r="D221" t="str">
        <f t="shared" si="22"/>
        <v/>
      </c>
      <c r="E221" t="str">
        <f>IF(Entry!$B224="","",IF(ISNUMBER(Entry!$B224),IF(AND(Entry!$B224&gt;=10000101,Entry!$B224&lt;=99991231),INT(Entry!$B224/10000)&amp;"/"&amp;RIGHT("00"&amp;INT(MOD(Entry!$B224,10000)/100),2)&amp;"/"&amp;RIGHT("00"&amp;MOD(Entry!$B224,100),2),"نامعتبر"),IF(LEN(Entry!$B224)=10,Entry!$B224,"نامعتبر")))</f>
        <v/>
      </c>
      <c r="F221" t="str">
        <f>IF(Entry!$B224="","",IF(Entry!$C224="","0000",IF(AND(ISNUMBER(Entry!$C224),Entry!$C224&gt;=0,Entry!$C224&lt;1),RIGHT("00"&amp;HOUR(Entry!$C224),2)&amp;RIGHT("00"&amp;MINUTE(Entry!$C224),2),IFERROR(RIGHT("00"&amp;VALUE(LEFT(Entry!$C224,FIND(":",Entry!$C224)-1)),2)&amp;RIGHT("00"&amp;VALUE(MID(Entry!$C224,FIND(":",Entry!$C224)+1,2)),2),"0000"))))</f>
        <v/>
      </c>
      <c r="G221" t="str">
        <f>IF($A221="","",Entry!$G224)</f>
        <v/>
      </c>
      <c r="H221" t="str">
        <f>IF($A221="","",IF(Entry!$H224="",0,Entry!$H224))</f>
        <v/>
      </c>
      <c r="I221" t="str">
        <f>IF($A221="","",IF(Entry!$I224="",0,Entry!$I224))</f>
        <v/>
      </c>
      <c r="J221" t="str">
        <f t="shared" si="23"/>
        <v/>
      </c>
      <c r="K221" t="str">
        <f>IF($A221="","",Entry!$D224)</f>
        <v/>
      </c>
      <c r="L221" t="str">
        <f>IF($A221="","",Entry!$L224)</f>
        <v/>
      </c>
      <c r="N221" t="str">
        <f>IF(OR(Sync!$M221="",$Q221="",$Q221="نامعتبر"),"",Sync!$M221)</f>
        <v/>
      </c>
      <c r="O221" t="str">
        <f t="shared" si="24"/>
        <v/>
      </c>
      <c r="P221" t="str">
        <f>IF($N221="","",LEFT($Q221,4)&amp;MID($Q221,6,2)&amp;RIGHT($Q221,2)&amp;IF(Sync!$K221="","0000",IF(AND(ISNUMBER(Sync!$K221),Sync!$K221&gt;=0,Sync!$K221&lt;1),RIGHT("00"&amp;HOUR(Sync!$K221),2)&amp;RIGHT("00"&amp;MINUTE(Sync!$K221),2),IFERROR(RIGHT("00"&amp;VALUE(LEFT(Sync!$K221,FIND(":",Sync!$K221)-1)),2)&amp;RIGHT("00"&amp;VALUE(MID(Sync!$K221,FIND(":",Sync!$K221)+1,2)),2),"0000")))&amp;"|"&amp;"2"&amp;RIGHT("00000"&amp;216,5))</f>
        <v/>
      </c>
      <c r="Q221" t="str">
        <f>IF(Sync!$J221="","",IF(ISNUMBER(Sync!$J221),IF(AND(Sync!$J221&gt;=10000101,Sync!$J221&lt;=99991231),INT(Sync!$J221/10000)&amp;"/"&amp;RIGHT("00"&amp;INT(MOD(Sync!$J221,10000)/100),2)&amp;"/"&amp;RIGHT("00"&amp;MOD(Sync!$J221,100),2),"نامعتبر"),IF(LEN(Sync!$J221)=10,Sync!$J221,"نامعتبر")))</f>
        <v/>
      </c>
      <c r="R221" t="str">
        <f t="shared" si="25"/>
        <v/>
      </c>
      <c r="S221" t="str">
        <f t="shared" si="26"/>
        <v/>
      </c>
      <c r="T221" t="str">
        <f>IF($N221="","",IF(Sync!$N221="",0,Sync!$N221))</f>
        <v/>
      </c>
      <c r="U221" t="str">
        <f>IF($N221="","",IF(Sync!$O221="",0,Sync!$O221))</f>
        <v/>
      </c>
      <c r="V221" t="str">
        <f>IF($N221="","",Sync!$L221)</f>
        <v/>
      </c>
      <c r="W221" t="str">
        <f>IF($N221="","",Sync!$P221)</f>
        <v/>
      </c>
      <c r="AA221" t="str">
        <f>IF($A221="","",IF(COUNTIF($A$6:$A221,$A221)=1,1,0))</f>
        <v/>
      </c>
      <c r="AB221">
        <f>SUM($AA$6:$AA221)</f>
        <v>3</v>
      </c>
      <c r="AC221" t="str">
        <f t="shared" si="27"/>
        <v/>
      </c>
    </row>
    <row r="222" spans="1:29" x14ac:dyDescent="0.2">
      <c r="A222" t="str">
        <f>IF(OR(Entry!$B225="",Entry!$E225="",$E222="نامعتبر"),"",Entry!$E225)</f>
        <v/>
      </c>
      <c r="B222" t="str">
        <f>IF($A222="","",LEFT($E222,4)&amp;MID($E222,6,2)&amp;RIGHT($E222,2)&amp;$F222&amp;"|"&amp;"1"&amp;RIGHT("00000"&amp;217,5))</f>
        <v/>
      </c>
      <c r="C222" t="str">
        <f t="shared" si="21"/>
        <v/>
      </c>
      <c r="D222" t="str">
        <f t="shared" si="22"/>
        <v/>
      </c>
      <c r="E222" t="str">
        <f>IF(Entry!$B225="","",IF(ISNUMBER(Entry!$B225),IF(AND(Entry!$B225&gt;=10000101,Entry!$B225&lt;=99991231),INT(Entry!$B225/10000)&amp;"/"&amp;RIGHT("00"&amp;INT(MOD(Entry!$B225,10000)/100),2)&amp;"/"&amp;RIGHT("00"&amp;MOD(Entry!$B225,100),2),"نامعتبر"),IF(LEN(Entry!$B225)=10,Entry!$B225,"نامعتبر")))</f>
        <v/>
      </c>
      <c r="F222" t="str">
        <f>IF(Entry!$B225="","",IF(Entry!$C225="","0000",IF(AND(ISNUMBER(Entry!$C225),Entry!$C225&gt;=0,Entry!$C225&lt;1),RIGHT("00"&amp;HOUR(Entry!$C225),2)&amp;RIGHT("00"&amp;MINUTE(Entry!$C225),2),IFERROR(RIGHT("00"&amp;VALUE(LEFT(Entry!$C225,FIND(":",Entry!$C225)-1)),2)&amp;RIGHT("00"&amp;VALUE(MID(Entry!$C225,FIND(":",Entry!$C225)+1,2)),2),"0000"))))</f>
        <v/>
      </c>
      <c r="G222" t="str">
        <f>IF($A222="","",Entry!$G225)</f>
        <v/>
      </c>
      <c r="H222" t="str">
        <f>IF($A222="","",IF(Entry!$H225="",0,Entry!$H225))</f>
        <v/>
      </c>
      <c r="I222" t="str">
        <f>IF($A222="","",IF(Entry!$I225="",0,Entry!$I225))</f>
        <v/>
      </c>
      <c r="J222" t="str">
        <f t="shared" si="23"/>
        <v/>
      </c>
      <c r="K222" t="str">
        <f>IF($A222="","",Entry!$D225)</f>
        <v/>
      </c>
      <c r="L222" t="str">
        <f>IF($A222="","",Entry!$L225)</f>
        <v/>
      </c>
      <c r="N222" t="str">
        <f>IF(OR(Sync!$M222="",$Q222="",$Q222="نامعتبر"),"",Sync!$M222)</f>
        <v/>
      </c>
      <c r="O222" t="str">
        <f t="shared" si="24"/>
        <v/>
      </c>
      <c r="P222" t="str">
        <f>IF($N222="","",LEFT($Q222,4)&amp;MID($Q222,6,2)&amp;RIGHT($Q222,2)&amp;IF(Sync!$K222="","0000",IF(AND(ISNUMBER(Sync!$K222),Sync!$K222&gt;=0,Sync!$K222&lt;1),RIGHT("00"&amp;HOUR(Sync!$K222),2)&amp;RIGHT("00"&amp;MINUTE(Sync!$K222),2),IFERROR(RIGHT("00"&amp;VALUE(LEFT(Sync!$K222,FIND(":",Sync!$K222)-1)),2)&amp;RIGHT("00"&amp;VALUE(MID(Sync!$K222,FIND(":",Sync!$K222)+1,2)),2),"0000")))&amp;"|"&amp;"2"&amp;RIGHT("00000"&amp;217,5))</f>
        <v/>
      </c>
      <c r="Q222" t="str">
        <f>IF(Sync!$J222="","",IF(ISNUMBER(Sync!$J222),IF(AND(Sync!$J222&gt;=10000101,Sync!$J222&lt;=99991231),INT(Sync!$J222/10000)&amp;"/"&amp;RIGHT("00"&amp;INT(MOD(Sync!$J222,10000)/100),2)&amp;"/"&amp;RIGHT("00"&amp;MOD(Sync!$J222,100),2),"نامعتبر"),IF(LEN(Sync!$J222)=10,Sync!$J222,"نامعتبر")))</f>
        <v/>
      </c>
      <c r="R222" t="str">
        <f t="shared" si="25"/>
        <v/>
      </c>
      <c r="S222" t="str">
        <f t="shared" si="26"/>
        <v/>
      </c>
      <c r="T222" t="str">
        <f>IF($N222="","",IF(Sync!$N222="",0,Sync!$N222))</f>
        <v/>
      </c>
      <c r="U222" t="str">
        <f>IF($N222="","",IF(Sync!$O222="",0,Sync!$O222))</f>
        <v/>
      </c>
      <c r="V222" t="str">
        <f>IF($N222="","",Sync!$L222)</f>
        <v/>
      </c>
      <c r="W222" t="str">
        <f>IF($N222="","",Sync!$P222)</f>
        <v/>
      </c>
      <c r="AA222" t="str">
        <f>IF($A222="","",IF(COUNTIF($A$6:$A222,$A222)=1,1,0))</f>
        <v/>
      </c>
      <c r="AB222">
        <f>SUM($AA$6:$AA222)</f>
        <v>3</v>
      </c>
      <c r="AC222" t="str">
        <f t="shared" si="27"/>
        <v/>
      </c>
    </row>
    <row r="223" spans="1:29" x14ac:dyDescent="0.2">
      <c r="A223" t="str">
        <f>IF(OR(Entry!$B226="",Entry!$E226="",$E223="نامعتبر"),"",Entry!$E226)</f>
        <v/>
      </c>
      <c r="B223" t="str">
        <f>IF($A223="","",LEFT($E223,4)&amp;MID($E223,6,2)&amp;RIGHT($E223,2)&amp;$F223&amp;"|"&amp;"1"&amp;RIGHT("00000"&amp;218,5))</f>
        <v/>
      </c>
      <c r="C223" t="str">
        <f t="shared" si="21"/>
        <v/>
      </c>
      <c r="D223" t="str">
        <f t="shared" si="22"/>
        <v/>
      </c>
      <c r="E223" t="str">
        <f>IF(Entry!$B226="","",IF(ISNUMBER(Entry!$B226),IF(AND(Entry!$B226&gt;=10000101,Entry!$B226&lt;=99991231),INT(Entry!$B226/10000)&amp;"/"&amp;RIGHT("00"&amp;INT(MOD(Entry!$B226,10000)/100),2)&amp;"/"&amp;RIGHT("00"&amp;MOD(Entry!$B226,100),2),"نامعتبر"),IF(LEN(Entry!$B226)=10,Entry!$B226,"نامعتبر")))</f>
        <v/>
      </c>
      <c r="F223" t="str">
        <f>IF(Entry!$B226="","",IF(Entry!$C226="","0000",IF(AND(ISNUMBER(Entry!$C226),Entry!$C226&gt;=0,Entry!$C226&lt;1),RIGHT("00"&amp;HOUR(Entry!$C226),2)&amp;RIGHT("00"&amp;MINUTE(Entry!$C226),2),IFERROR(RIGHT("00"&amp;VALUE(LEFT(Entry!$C226,FIND(":",Entry!$C226)-1)),2)&amp;RIGHT("00"&amp;VALUE(MID(Entry!$C226,FIND(":",Entry!$C226)+1,2)),2),"0000"))))</f>
        <v/>
      </c>
      <c r="G223" t="str">
        <f>IF($A223="","",Entry!$G226)</f>
        <v/>
      </c>
      <c r="H223" t="str">
        <f>IF($A223="","",IF(Entry!$H226="",0,Entry!$H226))</f>
        <v/>
      </c>
      <c r="I223" t="str">
        <f>IF($A223="","",IF(Entry!$I226="",0,Entry!$I226))</f>
        <v/>
      </c>
      <c r="J223" t="str">
        <f t="shared" si="23"/>
        <v/>
      </c>
      <c r="K223" t="str">
        <f>IF($A223="","",Entry!$D226)</f>
        <v/>
      </c>
      <c r="L223" t="str">
        <f>IF($A223="","",Entry!$L226)</f>
        <v/>
      </c>
      <c r="N223" t="str">
        <f>IF(OR(Sync!$M223="",$Q223="",$Q223="نامعتبر"),"",Sync!$M223)</f>
        <v/>
      </c>
      <c r="O223" t="str">
        <f t="shared" si="24"/>
        <v/>
      </c>
      <c r="P223" t="str">
        <f>IF($N223="","",LEFT($Q223,4)&amp;MID($Q223,6,2)&amp;RIGHT($Q223,2)&amp;IF(Sync!$K223="","0000",IF(AND(ISNUMBER(Sync!$K223),Sync!$K223&gt;=0,Sync!$K223&lt;1),RIGHT("00"&amp;HOUR(Sync!$K223),2)&amp;RIGHT("00"&amp;MINUTE(Sync!$K223),2),IFERROR(RIGHT("00"&amp;VALUE(LEFT(Sync!$K223,FIND(":",Sync!$K223)-1)),2)&amp;RIGHT("00"&amp;VALUE(MID(Sync!$K223,FIND(":",Sync!$K223)+1,2)),2),"0000")))&amp;"|"&amp;"2"&amp;RIGHT("00000"&amp;218,5))</f>
        <v/>
      </c>
      <c r="Q223" t="str">
        <f>IF(Sync!$J223="","",IF(ISNUMBER(Sync!$J223),IF(AND(Sync!$J223&gt;=10000101,Sync!$J223&lt;=99991231),INT(Sync!$J223/10000)&amp;"/"&amp;RIGHT("00"&amp;INT(MOD(Sync!$J223,10000)/100),2)&amp;"/"&amp;RIGHT("00"&amp;MOD(Sync!$J223,100),2),"نامعتبر"),IF(LEN(Sync!$J223)=10,Sync!$J223,"نامعتبر")))</f>
        <v/>
      </c>
      <c r="R223" t="str">
        <f t="shared" si="25"/>
        <v/>
      </c>
      <c r="S223" t="str">
        <f t="shared" si="26"/>
        <v/>
      </c>
      <c r="T223" t="str">
        <f>IF($N223="","",IF(Sync!$N223="",0,Sync!$N223))</f>
        <v/>
      </c>
      <c r="U223" t="str">
        <f>IF($N223="","",IF(Sync!$O223="",0,Sync!$O223))</f>
        <v/>
      </c>
      <c r="V223" t="str">
        <f>IF($N223="","",Sync!$L223)</f>
        <v/>
      </c>
      <c r="W223" t="str">
        <f>IF($N223="","",Sync!$P223)</f>
        <v/>
      </c>
      <c r="AA223" t="str">
        <f>IF($A223="","",IF(COUNTIF($A$6:$A223,$A223)=1,1,0))</f>
        <v/>
      </c>
      <c r="AB223">
        <f>SUM($AA$6:$AA223)</f>
        <v>3</v>
      </c>
      <c r="AC223" t="str">
        <f t="shared" si="27"/>
        <v/>
      </c>
    </row>
    <row r="224" spans="1:29" x14ac:dyDescent="0.2">
      <c r="A224" t="str">
        <f>IF(OR(Entry!$B227="",Entry!$E227="",$E224="نامعتبر"),"",Entry!$E227)</f>
        <v/>
      </c>
      <c r="B224" t="str">
        <f>IF($A224="","",LEFT($E224,4)&amp;MID($E224,6,2)&amp;RIGHT($E224,2)&amp;$F224&amp;"|"&amp;"1"&amp;RIGHT("00000"&amp;219,5))</f>
        <v/>
      </c>
      <c r="C224" t="str">
        <f t="shared" si="21"/>
        <v/>
      </c>
      <c r="D224" t="str">
        <f t="shared" si="22"/>
        <v/>
      </c>
      <c r="E224" t="str">
        <f>IF(Entry!$B227="","",IF(ISNUMBER(Entry!$B227),IF(AND(Entry!$B227&gt;=10000101,Entry!$B227&lt;=99991231),INT(Entry!$B227/10000)&amp;"/"&amp;RIGHT("00"&amp;INT(MOD(Entry!$B227,10000)/100),2)&amp;"/"&amp;RIGHT("00"&amp;MOD(Entry!$B227,100),2),"نامعتبر"),IF(LEN(Entry!$B227)=10,Entry!$B227,"نامعتبر")))</f>
        <v/>
      </c>
      <c r="F224" t="str">
        <f>IF(Entry!$B227="","",IF(Entry!$C227="","0000",IF(AND(ISNUMBER(Entry!$C227),Entry!$C227&gt;=0,Entry!$C227&lt;1),RIGHT("00"&amp;HOUR(Entry!$C227),2)&amp;RIGHT("00"&amp;MINUTE(Entry!$C227),2),IFERROR(RIGHT("00"&amp;VALUE(LEFT(Entry!$C227,FIND(":",Entry!$C227)-1)),2)&amp;RIGHT("00"&amp;VALUE(MID(Entry!$C227,FIND(":",Entry!$C227)+1,2)),2),"0000"))))</f>
        <v/>
      </c>
      <c r="G224" t="str">
        <f>IF($A224="","",Entry!$G227)</f>
        <v/>
      </c>
      <c r="H224" t="str">
        <f>IF($A224="","",IF(Entry!$H227="",0,Entry!$H227))</f>
        <v/>
      </c>
      <c r="I224" t="str">
        <f>IF($A224="","",IF(Entry!$I227="",0,Entry!$I227))</f>
        <v/>
      </c>
      <c r="J224" t="str">
        <f t="shared" si="23"/>
        <v/>
      </c>
      <c r="K224" t="str">
        <f>IF($A224="","",Entry!$D227)</f>
        <v/>
      </c>
      <c r="L224" t="str">
        <f>IF($A224="","",Entry!$L227)</f>
        <v/>
      </c>
      <c r="N224" t="str">
        <f>IF(OR(Sync!$M224="",$Q224="",$Q224="نامعتبر"),"",Sync!$M224)</f>
        <v/>
      </c>
      <c r="O224" t="str">
        <f t="shared" si="24"/>
        <v/>
      </c>
      <c r="P224" t="str">
        <f>IF($N224="","",LEFT($Q224,4)&amp;MID($Q224,6,2)&amp;RIGHT($Q224,2)&amp;IF(Sync!$K224="","0000",IF(AND(ISNUMBER(Sync!$K224),Sync!$K224&gt;=0,Sync!$K224&lt;1),RIGHT("00"&amp;HOUR(Sync!$K224),2)&amp;RIGHT("00"&amp;MINUTE(Sync!$K224),2),IFERROR(RIGHT("00"&amp;VALUE(LEFT(Sync!$K224,FIND(":",Sync!$K224)-1)),2)&amp;RIGHT("00"&amp;VALUE(MID(Sync!$K224,FIND(":",Sync!$K224)+1,2)),2),"0000")))&amp;"|"&amp;"2"&amp;RIGHT("00000"&amp;219,5))</f>
        <v/>
      </c>
      <c r="Q224" t="str">
        <f>IF(Sync!$J224="","",IF(ISNUMBER(Sync!$J224),IF(AND(Sync!$J224&gt;=10000101,Sync!$J224&lt;=99991231),INT(Sync!$J224/10000)&amp;"/"&amp;RIGHT("00"&amp;INT(MOD(Sync!$J224,10000)/100),2)&amp;"/"&amp;RIGHT("00"&amp;MOD(Sync!$J224,100),2),"نامعتبر"),IF(LEN(Sync!$J224)=10,Sync!$J224,"نامعتبر")))</f>
        <v/>
      </c>
      <c r="R224" t="str">
        <f t="shared" si="25"/>
        <v/>
      </c>
      <c r="S224" t="str">
        <f t="shared" si="26"/>
        <v/>
      </c>
      <c r="T224" t="str">
        <f>IF($N224="","",IF(Sync!$N224="",0,Sync!$N224))</f>
        <v/>
      </c>
      <c r="U224" t="str">
        <f>IF($N224="","",IF(Sync!$O224="",0,Sync!$O224))</f>
        <v/>
      </c>
      <c r="V224" t="str">
        <f>IF($N224="","",Sync!$L224)</f>
        <v/>
      </c>
      <c r="W224" t="str">
        <f>IF($N224="","",Sync!$P224)</f>
        <v/>
      </c>
      <c r="AA224" t="str">
        <f>IF($A224="","",IF(COUNTIF($A$6:$A224,$A224)=1,1,0))</f>
        <v/>
      </c>
      <c r="AB224">
        <f>SUM($AA$6:$AA224)</f>
        <v>3</v>
      </c>
      <c r="AC224" t="str">
        <f t="shared" si="27"/>
        <v/>
      </c>
    </row>
    <row r="225" spans="1:29" x14ac:dyDescent="0.2">
      <c r="A225" t="str">
        <f>IF(OR(Entry!$B228="",Entry!$E228="",$E225="نامعتبر"),"",Entry!$E228)</f>
        <v/>
      </c>
      <c r="B225" t="str">
        <f>IF($A225="","",LEFT($E225,4)&amp;MID($E225,6,2)&amp;RIGHT($E225,2)&amp;$F225&amp;"|"&amp;"1"&amp;RIGHT("00000"&amp;220,5))</f>
        <v/>
      </c>
      <c r="C225" t="str">
        <f t="shared" si="21"/>
        <v/>
      </c>
      <c r="D225" t="str">
        <f t="shared" si="22"/>
        <v/>
      </c>
      <c r="E225" t="str">
        <f>IF(Entry!$B228="","",IF(ISNUMBER(Entry!$B228),IF(AND(Entry!$B228&gt;=10000101,Entry!$B228&lt;=99991231),INT(Entry!$B228/10000)&amp;"/"&amp;RIGHT("00"&amp;INT(MOD(Entry!$B228,10000)/100),2)&amp;"/"&amp;RIGHT("00"&amp;MOD(Entry!$B228,100),2),"نامعتبر"),IF(LEN(Entry!$B228)=10,Entry!$B228,"نامعتبر")))</f>
        <v/>
      </c>
      <c r="F225" t="str">
        <f>IF(Entry!$B228="","",IF(Entry!$C228="","0000",IF(AND(ISNUMBER(Entry!$C228),Entry!$C228&gt;=0,Entry!$C228&lt;1),RIGHT("00"&amp;HOUR(Entry!$C228),2)&amp;RIGHT("00"&amp;MINUTE(Entry!$C228),2),IFERROR(RIGHT("00"&amp;VALUE(LEFT(Entry!$C228,FIND(":",Entry!$C228)-1)),2)&amp;RIGHT("00"&amp;VALUE(MID(Entry!$C228,FIND(":",Entry!$C228)+1,2)),2),"0000"))))</f>
        <v/>
      </c>
      <c r="G225" t="str">
        <f>IF($A225="","",Entry!$G228)</f>
        <v/>
      </c>
      <c r="H225" t="str">
        <f>IF($A225="","",IF(Entry!$H228="",0,Entry!$H228))</f>
        <v/>
      </c>
      <c r="I225" t="str">
        <f>IF($A225="","",IF(Entry!$I228="",0,Entry!$I228))</f>
        <v/>
      </c>
      <c r="J225" t="str">
        <f t="shared" si="23"/>
        <v/>
      </c>
      <c r="K225" t="str">
        <f>IF($A225="","",Entry!$D228)</f>
        <v/>
      </c>
      <c r="L225" t="str">
        <f>IF($A225="","",Entry!$L228)</f>
        <v/>
      </c>
      <c r="N225" t="str">
        <f>IF(OR(Sync!$M225="",$Q225="",$Q225="نامعتبر"),"",Sync!$M225)</f>
        <v/>
      </c>
      <c r="O225" t="str">
        <f t="shared" si="24"/>
        <v/>
      </c>
      <c r="P225" t="str">
        <f>IF($N225="","",LEFT($Q225,4)&amp;MID($Q225,6,2)&amp;RIGHT($Q225,2)&amp;IF(Sync!$K225="","0000",IF(AND(ISNUMBER(Sync!$K225),Sync!$K225&gt;=0,Sync!$K225&lt;1),RIGHT("00"&amp;HOUR(Sync!$K225),2)&amp;RIGHT("00"&amp;MINUTE(Sync!$K225),2),IFERROR(RIGHT("00"&amp;VALUE(LEFT(Sync!$K225,FIND(":",Sync!$K225)-1)),2)&amp;RIGHT("00"&amp;VALUE(MID(Sync!$K225,FIND(":",Sync!$K225)+1,2)),2),"0000")))&amp;"|"&amp;"2"&amp;RIGHT("00000"&amp;220,5))</f>
        <v/>
      </c>
      <c r="Q225" t="str">
        <f>IF(Sync!$J225="","",IF(ISNUMBER(Sync!$J225),IF(AND(Sync!$J225&gt;=10000101,Sync!$J225&lt;=99991231),INT(Sync!$J225/10000)&amp;"/"&amp;RIGHT("00"&amp;INT(MOD(Sync!$J225,10000)/100),2)&amp;"/"&amp;RIGHT("00"&amp;MOD(Sync!$J225,100),2),"نامعتبر"),IF(LEN(Sync!$J225)=10,Sync!$J225,"نامعتبر")))</f>
        <v/>
      </c>
      <c r="R225" t="str">
        <f t="shared" si="25"/>
        <v/>
      </c>
      <c r="S225" t="str">
        <f t="shared" si="26"/>
        <v/>
      </c>
      <c r="T225" t="str">
        <f>IF($N225="","",IF(Sync!$N225="",0,Sync!$N225))</f>
        <v/>
      </c>
      <c r="U225" t="str">
        <f>IF($N225="","",IF(Sync!$O225="",0,Sync!$O225))</f>
        <v/>
      </c>
      <c r="V225" t="str">
        <f>IF($N225="","",Sync!$L225)</f>
        <v/>
      </c>
      <c r="W225" t="str">
        <f>IF($N225="","",Sync!$P225)</f>
        <v/>
      </c>
      <c r="AA225" t="str">
        <f>IF($A225="","",IF(COUNTIF($A$6:$A225,$A225)=1,1,0))</f>
        <v/>
      </c>
      <c r="AB225">
        <f>SUM($AA$6:$AA225)</f>
        <v>3</v>
      </c>
      <c r="AC225" t="str">
        <f t="shared" si="27"/>
        <v/>
      </c>
    </row>
    <row r="226" spans="1:29" x14ac:dyDescent="0.2">
      <c r="A226" t="str">
        <f>IF(OR(Entry!$B229="",Entry!$E229="",$E226="نامعتبر"),"",Entry!$E229)</f>
        <v/>
      </c>
      <c r="B226" t="str">
        <f>IF($A226="","",LEFT($E226,4)&amp;MID($E226,6,2)&amp;RIGHT($E226,2)&amp;$F226&amp;"|"&amp;"1"&amp;RIGHT("00000"&amp;221,5))</f>
        <v/>
      </c>
      <c r="C226" t="str">
        <f t="shared" si="21"/>
        <v/>
      </c>
      <c r="D226" t="str">
        <f t="shared" si="22"/>
        <v/>
      </c>
      <c r="E226" t="str">
        <f>IF(Entry!$B229="","",IF(ISNUMBER(Entry!$B229),IF(AND(Entry!$B229&gt;=10000101,Entry!$B229&lt;=99991231),INT(Entry!$B229/10000)&amp;"/"&amp;RIGHT("00"&amp;INT(MOD(Entry!$B229,10000)/100),2)&amp;"/"&amp;RIGHT("00"&amp;MOD(Entry!$B229,100),2),"نامعتبر"),IF(LEN(Entry!$B229)=10,Entry!$B229,"نامعتبر")))</f>
        <v/>
      </c>
      <c r="F226" t="str">
        <f>IF(Entry!$B229="","",IF(Entry!$C229="","0000",IF(AND(ISNUMBER(Entry!$C229),Entry!$C229&gt;=0,Entry!$C229&lt;1),RIGHT("00"&amp;HOUR(Entry!$C229),2)&amp;RIGHT("00"&amp;MINUTE(Entry!$C229),2),IFERROR(RIGHT("00"&amp;VALUE(LEFT(Entry!$C229,FIND(":",Entry!$C229)-1)),2)&amp;RIGHT("00"&amp;VALUE(MID(Entry!$C229,FIND(":",Entry!$C229)+1,2)),2),"0000"))))</f>
        <v/>
      </c>
      <c r="G226" t="str">
        <f>IF($A226="","",Entry!$G229)</f>
        <v/>
      </c>
      <c r="H226" t="str">
        <f>IF($A226="","",IF(Entry!$H229="",0,Entry!$H229))</f>
        <v/>
      </c>
      <c r="I226" t="str">
        <f>IF($A226="","",IF(Entry!$I229="",0,Entry!$I229))</f>
        <v/>
      </c>
      <c r="J226" t="str">
        <f t="shared" si="23"/>
        <v/>
      </c>
      <c r="K226" t="str">
        <f>IF($A226="","",Entry!$D229)</f>
        <v/>
      </c>
      <c r="L226" t="str">
        <f>IF($A226="","",Entry!$L229)</f>
        <v/>
      </c>
      <c r="N226" t="str">
        <f>IF(OR(Sync!$M226="",$Q226="",$Q226="نامعتبر"),"",Sync!$M226)</f>
        <v/>
      </c>
      <c r="O226" t="str">
        <f t="shared" si="24"/>
        <v/>
      </c>
      <c r="P226" t="str">
        <f>IF($N226="","",LEFT($Q226,4)&amp;MID($Q226,6,2)&amp;RIGHT($Q226,2)&amp;IF(Sync!$K226="","0000",IF(AND(ISNUMBER(Sync!$K226),Sync!$K226&gt;=0,Sync!$K226&lt;1),RIGHT("00"&amp;HOUR(Sync!$K226),2)&amp;RIGHT("00"&amp;MINUTE(Sync!$K226),2),IFERROR(RIGHT("00"&amp;VALUE(LEFT(Sync!$K226,FIND(":",Sync!$K226)-1)),2)&amp;RIGHT("00"&amp;VALUE(MID(Sync!$K226,FIND(":",Sync!$K226)+1,2)),2),"0000")))&amp;"|"&amp;"2"&amp;RIGHT("00000"&amp;221,5))</f>
        <v/>
      </c>
      <c r="Q226" t="str">
        <f>IF(Sync!$J226="","",IF(ISNUMBER(Sync!$J226),IF(AND(Sync!$J226&gt;=10000101,Sync!$J226&lt;=99991231),INT(Sync!$J226/10000)&amp;"/"&amp;RIGHT("00"&amp;INT(MOD(Sync!$J226,10000)/100),2)&amp;"/"&amp;RIGHT("00"&amp;MOD(Sync!$J226,100),2),"نامعتبر"),IF(LEN(Sync!$J226)=10,Sync!$J226,"نامعتبر")))</f>
        <v/>
      </c>
      <c r="R226" t="str">
        <f t="shared" si="25"/>
        <v/>
      </c>
      <c r="S226" t="str">
        <f t="shared" si="26"/>
        <v/>
      </c>
      <c r="T226" t="str">
        <f>IF($N226="","",IF(Sync!$N226="",0,Sync!$N226))</f>
        <v/>
      </c>
      <c r="U226" t="str">
        <f>IF($N226="","",IF(Sync!$O226="",0,Sync!$O226))</f>
        <v/>
      </c>
      <c r="V226" t="str">
        <f>IF($N226="","",Sync!$L226)</f>
        <v/>
      </c>
      <c r="W226" t="str">
        <f>IF($N226="","",Sync!$P226)</f>
        <v/>
      </c>
      <c r="AA226" t="str">
        <f>IF($A226="","",IF(COUNTIF($A$6:$A226,$A226)=1,1,0))</f>
        <v/>
      </c>
      <c r="AB226">
        <f>SUM($AA$6:$AA226)</f>
        <v>3</v>
      </c>
      <c r="AC226" t="str">
        <f t="shared" si="27"/>
        <v/>
      </c>
    </row>
    <row r="227" spans="1:29" x14ac:dyDescent="0.2">
      <c r="A227" t="str">
        <f>IF(OR(Entry!$B230="",Entry!$E230="",$E227="نامعتبر"),"",Entry!$E230)</f>
        <v/>
      </c>
      <c r="B227" t="str">
        <f>IF($A227="","",LEFT($E227,4)&amp;MID($E227,6,2)&amp;RIGHT($E227,2)&amp;$F227&amp;"|"&amp;"1"&amp;RIGHT("00000"&amp;222,5))</f>
        <v/>
      </c>
      <c r="C227" t="str">
        <f t="shared" si="21"/>
        <v/>
      </c>
      <c r="D227" t="str">
        <f t="shared" si="22"/>
        <v/>
      </c>
      <c r="E227" t="str">
        <f>IF(Entry!$B230="","",IF(ISNUMBER(Entry!$B230),IF(AND(Entry!$B230&gt;=10000101,Entry!$B230&lt;=99991231),INT(Entry!$B230/10000)&amp;"/"&amp;RIGHT("00"&amp;INT(MOD(Entry!$B230,10000)/100),2)&amp;"/"&amp;RIGHT("00"&amp;MOD(Entry!$B230,100),2),"نامعتبر"),IF(LEN(Entry!$B230)=10,Entry!$B230,"نامعتبر")))</f>
        <v/>
      </c>
      <c r="F227" t="str">
        <f>IF(Entry!$B230="","",IF(Entry!$C230="","0000",IF(AND(ISNUMBER(Entry!$C230),Entry!$C230&gt;=0,Entry!$C230&lt;1),RIGHT("00"&amp;HOUR(Entry!$C230),2)&amp;RIGHT("00"&amp;MINUTE(Entry!$C230),2),IFERROR(RIGHT("00"&amp;VALUE(LEFT(Entry!$C230,FIND(":",Entry!$C230)-1)),2)&amp;RIGHT("00"&amp;VALUE(MID(Entry!$C230,FIND(":",Entry!$C230)+1,2)),2),"0000"))))</f>
        <v/>
      </c>
      <c r="G227" t="str">
        <f>IF($A227="","",Entry!$G230)</f>
        <v/>
      </c>
      <c r="H227" t="str">
        <f>IF($A227="","",IF(Entry!$H230="",0,Entry!$H230))</f>
        <v/>
      </c>
      <c r="I227" t="str">
        <f>IF($A227="","",IF(Entry!$I230="",0,Entry!$I230))</f>
        <v/>
      </c>
      <c r="J227" t="str">
        <f t="shared" si="23"/>
        <v/>
      </c>
      <c r="K227" t="str">
        <f>IF($A227="","",Entry!$D230)</f>
        <v/>
      </c>
      <c r="L227" t="str">
        <f>IF($A227="","",Entry!$L230)</f>
        <v/>
      </c>
      <c r="N227" t="str">
        <f>IF(OR(Sync!$M227="",$Q227="",$Q227="نامعتبر"),"",Sync!$M227)</f>
        <v/>
      </c>
      <c r="O227" t="str">
        <f t="shared" si="24"/>
        <v/>
      </c>
      <c r="P227" t="str">
        <f>IF($N227="","",LEFT($Q227,4)&amp;MID($Q227,6,2)&amp;RIGHT($Q227,2)&amp;IF(Sync!$K227="","0000",IF(AND(ISNUMBER(Sync!$K227),Sync!$K227&gt;=0,Sync!$K227&lt;1),RIGHT("00"&amp;HOUR(Sync!$K227),2)&amp;RIGHT("00"&amp;MINUTE(Sync!$K227),2),IFERROR(RIGHT("00"&amp;VALUE(LEFT(Sync!$K227,FIND(":",Sync!$K227)-1)),2)&amp;RIGHT("00"&amp;VALUE(MID(Sync!$K227,FIND(":",Sync!$K227)+1,2)),2),"0000")))&amp;"|"&amp;"2"&amp;RIGHT("00000"&amp;222,5))</f>
        <v/>
      </c>
      <c r="Q227" t="str">
        <f>IF(Sync!$J227="","",IF(ISNUMBER(Sync!$J227),IF(AND(Sync!$J227&gt;=10000101,Sync!$J227&lt;=99991231),INT(Sync!$J227/10000)&amp;"/"&amp;RIGHT("00"&amp;INT(MOD(Sync!$J227,10000)/100),2)&amp;"/"&amp;RIGHT("00"&amp;MOD(Sync!$J227,100),2),"نامعتبر"),IF(LEN(Sync!$J227)=10,Sync!$J227,"نامعتبر")))</f>
        <v/>
      </c>
      <c r="R227" t="str">
        <f t="shared" si="25"/>
        <v/>
      </c>
      <c r="S227" t="str">
        <f t="shared" si="26"/>
        <v/>
      </c>
      <c r="T227" t="str">
        <f>IF($N227="","",IF(Sync!$N227="",0,Sync!$N227))</f>
        <v/>
      </c>
      <c r="U227" t="str">
        <f>IF($N227="","",IF(Sync!$O227="",0,Sync!$O227))</f>
        <v/>
      </c>
      <c r="V227" t="str">
        <f>IF($N227="","",Sync!$L227)</f>
        <v/>
      </c>
      <c r="W227" t="str">
        <f>IF($N227="","",Sync!$P227)</f>
        <v/>
      </c>
      <c r="AA227" t="str">
        <f>IF($A227="","",IF(COUNTIF($A$6:$A227,$A227)=1,1,0))</f>
        <v/>
      </c>
      <c r="AB227">
        <f>SUM($AA$6:$AA227)</f>
        <v>3</v>
      </c>
      <c r="AC227" t="str">
        <f t="shared" si="27"/>
        <v/>
      </c>
    </row>
    <row r="228" spans="1:29" x14ac:dyDescent="0.2">
      <c r="A228" t="str">
        <f>IF(OR(Entry!$B231="",Entry!$E231="",$E228="نامعتبر"),"",Entry!$E231)</f>
        <v/>
      </c>
      <c r="B228" t="str">
        <f>IF($A228="","",LEFT($E228,4)&amp;MID($E228,6,2)&amp;RIGHT($E228,2)&amp;$F228&amp;"|"&amp;"1"&amp;RIGHT("00000"&amp;223,5))</f>
        <v/>
      </c>
      <c r="C228" t="str">
        <f t="shared" si="21"/>
        <v/>
      </c>
      <c r="D228" t="str">
        <f t="shared" si="22"/>
        <v/>
      </c>
      <c r="E228" t="str">
        <f>IF(Entry!$B231="","",IF(ISNUMBER(Entry!$B231),IF(AND(Entry!$B231&gt;=10000101,Entry!$B231&lt;=99991231),INT(Entry!$B231/10000)&amp;"/"&amp;RIGHT("00"&amp;INT(MOD(Entry!$B231,10000)/100),2)&amp;"/"&amp;RIGHT("00"&amp;MOD(Entry!$B231,100),2),"نامعتبر"),IF(LEN(Entry!$B231)=10,Entry!$B231,"نامعتبر")))</f>
        <v/>
      </c>
      <c r="F228" t="str">
        <f>IF(Entry!$B231="","",IF(Entry!$C231="","0000",IF(AND(ISNUMBER(Entry!$C231),Entry!$C231&gt;=0,Entry!$C231&lt;1),RIGHT("00"&amp;HOUR(Entry!$C231),2)&amp;RIGHT("00"&amp;MINUTE(Entry!$C231),2),IFERROR(RIGHT("00"&amp;VALUE(LEFT(Entry!$C231,FIND(":",Entry!$C231)-1)),2)&amp;RIGHT("00"&amp;VALUE(MID(Entry!$C231,FIND(":",Entry!$C231)+1,2)),2),"0000"))))</f>
        <v/>
      </c>
      <c r="G228" t="str">
        <f>IF($A228="","",Entry!$G231)</f>
        <v/>
      </c>
      <c r="H228" t="str">
        <f>IF($A228="","",IF(Entry!$H231="",0,Entry!$H231))</f>
        <v/>
      </c>
      <c r="I228" t="str">
        <f>IF($A228="","",IF(Entry!$I231="",0,Entry!$I231))</f>
        <v/>
      </c>
      <c r="J228" t="str">
        <f t="shared" si="23"/>
        <v/>
      </c>
      <c r="K228" t="str">
        <f>IF($A228="","",Entry!$D231)</f>
        <v/>
      </c>
      <c r="L228" t="str">
        <f>IF($A228="","",Entry!$L231)</f>
        <v/>
      </c>
      <c r="N228" t="str">
        <f>IF(OR(Sync!$M228="",$Q228="",$Q228="نامعتبر"),"",Sync!$M228)</f>
        <v/>
      </c>
      <c r="O228" t="str">
        <f t="shared" si="24"/>
        <v/>
      </c>
      <c r="P228" t="str">
        <f>IF($N228="","",LEFT($Q228,4)&amp;MID($Q228,6,2)&amp;RIGHT($Q228,2)&amp;IF(Sync!$K228="","0000",IF(AND(ISNUMBER(Sync!$K228),Sync!$K228&gt;=0,Sync!$K228&lt;1),RIGHT("00"&amp;HOUR(Sync!$K228),2)&amp;RIGHT("00"&amp;MINUTE(Sync!$K228),2),IFERROR(RIGHT("00"&amp;VALUE(LEFT(Sync!$K228,FIND(":",Sync!$K228)-1)),2)&amp;RIGHT("00"&amp;VALUE(MID(Sync!$K228,FIND(":",Sync!$K228)+1,2)),2),"0000")))&amp;"|"&amp;"2"&amp;RIGHT("00000"&amp;223,5))</f>
        <v/>
      </c>
      <c r="Q228" t="str">
        <f>IF(Sync!$J228="","",IF(ISNUMBER(Sync!$J228),IF(AND(Sync!$J228&gt;=10000101,Sync!$J228&lt;=99991231),INT(Sync!$J228/10000)&amp;"/"&amp;RIGHT("00"&amp;INT(MOD(Sync!$J228,10000)/100),2)&amp;"/"&amp;RIGHT("00"&amp;MOD(Sync!$J228,100),2),"نامعتبر"),IF(LEN(Sync!$J228)=10,Sync!$J228,"نامعتبر")))</f>
        <v/>
      </c>
      <c r="R228" t="str">
        <f t="shared" si="25"/>
        <v/>
      </c>
      <c r="S228" t="str">
        <f t="shared" si="26"/>
        <v/>
      </c>
      <c r="T228" t="str">
        <f>IF($N228="","",IF(Sync!$N228="",0,Sync!$N228))</f>
        <v/>
      </c>
      <c r="U228" t="str">
        <f>IF($N228="","",IF(Sync!$O228="",0,Sync!$O228))</f>
        <v/>
      </c>
      <c r="V228" t="str">
        <f>IF($N228="","",Sync!$L228)</f>
        <v/>
      </c>
      <c r="W228" t="str">
        <f>IF($N228="","",Sync!$P228)</f>
        <v/>
      </c>
      <c r="AA228" t="str">
        <f>IF($A228="","",IF(COUNTIF($A$6:$A228,$A228)=1,1,0))</f>
        <v/>
      </c>
      <c r="AB228">
        <f>SUM($AA$6:$AA228)</f>
        <v>3</v>
      </c>
      <c r="AC228" t="str">
        <f t="shared" si="27"/>
        <v/>
      </c>
    </row>
    <row r="229" spans="1:29" x14ac:dyDescent="0.2">
      <c r="A229" t="str">
        <f>IF(OR(Entry!$B232="",Entry!$E232="",$E229="نامعتبر"),"",Entry!$E232)</f>
        <v/>
      </c>
      <c r="B229" t="str">
        <f>IF($A229="","",LEFT($E229,4)&amp;MID($E229,6,2)&amp;RIGHT($E229,2)&amp;$F229&amp;"|"&amp;"1"&amp;RIGHT("00000"&amp;224,5))</f>
        <v/>
      </c>
      <c r="C229" t="str">
        <f t="shared" si="21"/>
        <v/>
      </c>
      <c r="D229" t="str">
        <f t="shared" si="22"/>
        <v/>
      </c>
      <c r="E229" t="str">
        <f>IF(Entry!$B232="","",IF(ISNUMBER(Entry!$B232),IF(AND(Entry!$B232&gt;=10000101,Entry!$B232&lt;=99991231),INT(Entry!$B232/10000)&amp;"/"&amp;RIGHT("00"&amp;INT(MOD(Entry!$B232,10000)/100),2)&amp;"/"&amp;RIGHT("00"&amp;MOD(Entry!$B232,100),2),"نامعتبر"),IF(LEN(Entry!$B232)=10,Entry!$B232,"نامعتبر")))</f>
        <v/>
      </c>
      <c r="F229" t="str">
        <f>IF(Entry!$B232="","",IF(Entry!$C232="","0000",IF(AND(ISNUMBER(Entry!$C232),Entry!$C232&gt;=0,Entry!$C232&lt;1),RIGHT("00"&amp;HOUR(Entry!$C232),2)&amp;RIGHT("00"&amp;MINUTE(Entry!$C232),2),IFERROR(RIGHT("00"&amp;VALUE(LEFT(Entry!$C232,FIND(":",Entry!$C232)-1)),2)&amp;RIGHT("00"&amp;VALUE(MID(Entry!$C232,FIND(":",Entry!$C232)+1,2)),2),"0000"))))</f>
        <v/>
      </c>
      <c r="G229" t="str">
        <f>IF($A229="","",Entry!$G232)</f>
        <v/>
      </c>
      <c r="H229" t="str">
        <f>IF($A229="","",IF(Entry!$H232="",0,Entry!$H232))</f>
        <v/>
      </c>
      <c r="I229" t="str">
        <f>IF($A229="","",IF(Entry!$I232="",0,Entry!$I232))</f>
        <v/>
      </c>
      <c r="J229" t="str">
        <f t="shared" si="23"/>
        <v/>
      </c>
      <c r="K229" t="str">
        <f>IF($A229="","",Entry!$D232)</f>
        <v/>
      </c>
      <c r="L229" t="str">
        <f>IF($A229="","",Entry!$L232)</f>
        <v/>
      </c>
      <c r="N229" t="str">
        <f>IF(OR(Sync!$M229="",$Q229="",$Q229="نامعتبر"),"",Sync!$M229)</f>
        <v/>
      </c>
      <c r="O229" t="str">
        <f t="shared" si="24"/>
        <v/>
      </c>
      <c r="P229" t="str">
        <f>IF($N229="","",LEFT($Q229,4)&amp;MID($Q229,6,2)&amp;RIGHT($Q229,2)&amp;IF(Sync!$K229="","0000",IF(AND(ISNUMBER(Sync!$K229),Sync!$K229&gt;=0,Sync!$K229&lt;1),RIGHT("00"&amp;HOUR(Sync!$K229),2)&amp;RIGHT("00"&amp;MINUTE(Sync!$K229),2),IFERROR(RIGHT("00"&amp;VALUE(LEFT(Sync!$K229,FIND(":",Sync!$K229)-1)),2)&amp;RIGHT("00"&amp;VALUE(MID(Sync!$K229,FIND(":",Sync!$K229)+1,2)),2),"0000")))&amp;"|"&amp;"2"&amp;RIGHT("00000"&amp;224,5))</f>
        <v/>
      </c>
      <c r="Q229" t="str">
        <f>IF(Sync!$J229="","",IF(ISNUMBER(Sync!$J229),IF(AND(Sync!$J229&gt;=10000101,Sync!$J229&lt;=99991231),INT(Sync!$J229/10000)&amp;"/"&amp;RIGHT("00"&amp;INT(MOD(Sync!$J229,10000)/100),2)&amp;"/"&amp;RIGHT("00"&amp;MOD(Sync!$J229,100),2),"نامعتبر"),IF(LEN(Sync!$J229)=10,Sync!$J229,"نامعتبر")))</f>
        <v/>
      </c>
      <c r="R229" t="str">
        <f t="shared" si="25"/>
        <v/>
      </c>
      <c r="S229" t="str">
        <f t="shared" si="26"/>
        <v/>
      </c>
      <c r="T229" t="str">
        <f>IF($N229="","",IF(Sync!$N229="",0,Sync!$N229))</f>
        <v/>
      </c>
      <c r="U229" t="str">
        <f>IF($N229="","",IF(Sync!$O229="",0,Sync!$O229))</f>
        <v/>
      </c>
      <c r="V229" t="str">
        <f>IF($N229="","",Sync!$L229)</f>
        <v/>
      </c>
      <c r="W229" t="str">
        <f>IF($N229="","",Sync!$P229)</f>
        <v/>
      </c>
      <c r="AA229" t="str">
        <f>IF($A229="","",IF(COUNTIF($A$6:$A229,$A229)=1,1,0))</f>
        <v/>
      </c>
      <c r="AB229">
        <f>SUM($AA$6:$AA229)</f>
        <v>3</v>
      </c>
      <c r="AC229" t="str">
        <f t="shared" si="27"/>
        <v/>
      </c>
    </row>
    <row r="230" spans="1:29" x14ac:dyDescent="0.2">
      <c r="A230" t="str">
        <f>IF(OR(Entry!$B233="",Entry!$E233="",$E230="نامعتبر"),"",Entry!$E233)</f>
        <v/>
      </c>
      <c r="B230" t="str">
        <f>IF($A230="","",LEFT($E230,4)&amp;MID($E230,6,2)&amp;RIGHT($E230,2)&amp;$F230&amp;"|"&amp;"1"&amp;RIGHT("00000"&amp;225,5))</f>
        <v/>
      </c>
      <c r="C230" t="str">
        <f t="shared" si="21"/>
        <v/>
      </c>
      <c r="D230" t="str">
        <f t="shared" si="22"/>
        <v/>
      </c>
      <c r="E230" t="str">
        <f>IF(Entry!$B233="","",IF(ISNUMBER(Entry!$B233),IF(AND(Entry!$B233&gt;=10000101,Entry!$B233&lt;=99991231),INT(Entry!$B233/10000)&amp;"/"&amp;RIGHT("00"&amp;INT(MOD(Entry!$B233,10000)/100),2)&amp;"/"&amp;RIGHT("00"&amp;MOD(Entry!$B233,100),2),"نامعتبر"),IF(LEN(Entry!$B233)=10,Entry!$B233,"نامعتبر")))</f>
        <v/>
      </c>
      <c r="F230" t="str">
        <f>IF(Entry!$B233="","",IF(Entry!$C233="","0000",IF(AND(ISNUMBER(Entry!$C233),Entry!$C233&gt;=0,Entry!$C233&lt;1),RIGHT("00"&amp;HOUR(Entry!$C233),2)&amp;RIGHT("00"&amp;MINUTE(Entry!$C233),2),IFERROR(RIGHT("00"&amp;VALUE(LEFT(Entry!$C233,FIND(":",Entry!$C233)-1)),2)&amp;RIGHT("00"&amp;VALUE(MID(Entry!$C233,FIND(":",Entry!$C233)+1,2)),2),"0000"))))</f>
        <v/>
      </c>
      <c r="G230" t="str">
        <f>IF($A230="","",Entry!$G233)</f>
        <v/>
      </c>
      <c r="H230" t="str">
        <f>IF($A230="","",IF(Entry!$H233="",0,Entry!$H233))</f>
        <v/>
      </c>
      <c r="I230" t="str">
        <f>IF($A230="","",IF(Entry!$I233="",0,Entry!$I233))</f>
        <v/>
      </c>
      <c r="J230" t="str">
        <f t="shared" si="23"/>
        <v/>
      </c>
      <c r="K230" t="str">
        <f>IF($A230="","",Entry!$D233)</f>
        <v/>
      </c>
      <c r="L230" t="str">
        <f>IF($A230="","",Entry!$L233)</f>
        <v/>
      </c>
      <c r="N230" t="str">
        <f>IF(OR(Sync!$M230="",$Q230="",$Q230="نامعتبر"),"",Sync!$M230)</f>
        <v/>
      </c>
      <c r="O230" t="str">
        <f t="shared" si="24"/>
        <v/>
      </c>
      <c r="P230" t="str">
        <f>IF($N230="","",LEFT($Q230,4)&amp;MID($Q230,6,2)&amp;RIGHT($Q230,2)&amp;IF(Sync!$K230="","0000",IF(AND(ISNUMBER(Sync!$K230),Sync!$K230&gt;=0,Sync!$K230&lt;1),RIGHT("00"&amp;HOUR(Sync!$K230),2)&amp;RIGHT("00"&amp;MINUTE(Sync!$K230),2),IFERROR(RIGHT("00"&amp;VALUE(LEFT(Sync!$K230,FIND(":",Sync!$K230)-1)),2)&amp;RIGHT("00"&amp;VALUE(MID(Sync!$K230,FIND(":",Sync!$K230)+1,2)),2),"0000")))&amp;"|"&amp;"2"&amp;RIGHT("00000"&amp;225,5))</f>
        <v/>
      </c>
      <c r="Q230" t="str">
        <f>IF(Sync!$J230="","",IF(ISNUMBER(Sync!$J230),IF(AND(Sync!$J230&gt;=10000101,Sync!$J230&lt;=99991231),INT(Sync!$J230/10000)&amp;"/"&amp;RIGHT("00"&amp;INT(MOD(Sync!$J230,10000)/100),2)&amp;"/"&amp;RIGHT("00"&amp;MOD(Sync!$J230,100),2),"نامعتبر"),IF(LEN(Sync!$J230)=10,Sync!$J230,"نامعتبر")))</f>
        <v/>
      </c>
      <c r="R230" t="str">
        <f t="shared" si="25"/>
        <v/>
      </c>
      <c r="S230" t="str">
        <f t="shared" si="26"/>
        <v/>
      </c>
      <c r="T230" t="str">
        <f>IF($N230="","",IF(Sync!$N230="",0,Sync!$N230))</f>
        <v/>
      </c>
      <c r="U230" t="str">
        <f>IF($N230="","",IF(Sync!$O230="",0,Sync!$O230))</f>
        <v/>
      </c>
      <c r="V230" t="str">
        <f>IF($N230="","",Sync!$L230)</f>
        <v/>
      </c>
      <c r="W230" t="str">
        <f>IF($N230="","",Sync!$P230)</f>
        <v/>
      </c>
      <c r="AA230" t="str">
        <f>IF($A230="","",IF(COUNTIF($A$6:$A230,$A230)=1,1,0))</f>
        <v/>
      </c>
      <c r="AB230">
        <f>SUM($AA$6:$AA230)</f>
        <v>3</v>
      </c>
      <c r="AC230" t="str">
        <f t="shared" si="27"/>
        <v/>
      </c>
    </row>
    <row r="231" spans="1:29" x14ac:dyDescent="0.2">
      <c r="A231" t="str">
        <f>IF(OR(Entry!$B234="",Entry!$E234="",$E231="نامعتبر"),"",Entry!$E234)</f>
        <v/>
      </c>
      <c r="B231" t="str">
        <f>IF($A231="","",LEFT($E231,4)&amp;MID($E231,6,2)&amp;RIGHT($E231,2)&amp;$F231&amp;"|"&amp;"1"&amp;RIGHT("00000"&amp;226,5))</f>
        <v/>
      </c>
      <c r="C231" t="str">
        <f t="shared" si="21"/>
        <v/>
      </c>
      <c r="D231" t="str">
        <f t="shared" si="22"/>
        <v/>
      </c>
      <c r="E231" t="str">
        <f>IF(Entry!$B234="","",IF(ISNUMBER(Entry!$B234),IF(AND(Entry!$B234&gt;=10000101,Entry!$B234&lt;=99991231),INT(Entry!$B234/10000)&amp;"/"&amp;RIGHT("00"&amp;INT(MOD(Entry!$B234,10000)/100),2)&amp;"/"&amp;RIGHT("00"&amp;MOD(Entry!$B234,100),2),"نامعتبر"),IF(LEN(Entry!$B234)=10,Entry!$B234,"نامعتبر")))</f>
        <v/>
      </c>
      <c r="F231" t="str">
        <f>IF(Entry!$B234="","",IF(Entry!$C234="","0000",IF(AND(ISNUMBER(Entry!$C234),Entry!$C234&gt;=0,Entry!$C234&lt;1),RIGHT("00"&amp;HOUR(Entry!$C234),2)&amp;RIGHT("00"&amp;MINUTE(Entry!$C234),2),IFERROR(RIGHT("00"&amp;VALUE(LEFT(Entry!$C234,FIND(":",Entry!$C234)-1)),2)&amp;RIGHT("00"&amp;VALUE(MID(Entry!$C234,FIND(":",Entry!$C234)+1,2)),2),"0000"))))</f>
        <v/>
      </c>
      <c r="G231" t="str">
        <f>IF($A231="","",Entry!$G234)</f>
        <v/>
      </c>
      <c r="H231" t="str">
        <f>IF($A231="","",IF(Entry!$H234="",0,Entry!$H234))</f>
        <v/>
      </c>
      <c r="I231" t="str">
        <f>IF($A231="","",IF(Entry!$I234="",0,Entry!$I234))</f>
        <v/>
      </c>
      <c r="J231" t="str">
        <f t="shared" si="23"/>
        <v/>
      </c>
      <c r="K231" t="str">
        <f>IF($A231="","",Entry!$D234)</f>
        <v/>
      </c>
      <c r="L231" t="str">
        <f>IF($A231="","",Entry!$L234)</f>
        <v/>
      </c>
      <c r="N231" t="str">
        <f>IF(OR(Sync!$M231="",$Q231="",$Q231="نامعتبر"),"",Sync!$M231)</f>
        <v/>
      </c>
      <c r="O231" t="str">
        <f t="shared" si="24"/>
        <v/>
      </c>
      <c r="P231" t="str">
        <f>IF($N231="","",LEFT($Q231,4)&amp;MID($Q231,6,2)&amp;RIGHT($Q231,2)&amp;IF(Sync!$K231="","0000",IF(AND(ISNUMBER(Sync!$K231),Sync!$K231&gt;=0,Sync!$K231&lt;1),RIGHT("00"&amp;HOUR(Sync!$K231),2)&amp;RIGHT("00"&amp;MINUTE(Sync!$K231),2),IFERROR(RIGHT("00"&amp;VALUE(LEFT(Sync!$K231,FIND(":",Sync!$K231)-1)),2)&amp;RIGHT("00"&amp;VALUE(MID(Sync!$K231,FIND(":",Sync!$K231)+1,2)),2),"0000")))&amp;"|"&amp;"2"&amp;RIGHT("00000"&amp;226,5))</f>
        <v/>
      </c>
      <c r="Q231" t="str">
        <f>IF(Sync!$J231="","",IF(ISNUMBER(Sync!$J231),IF(AND(Sync!$J231&gt;=10000101,Sync!$J231&lt;=99991231),INT(Sync!$J231/10000)&amp;"/"&amp;RIGHT("00"&amp;INT(MOD(Sync!$J231,10000)/100),2)&amp;"/"&amp;RIGHT("00"&amp;MOD(Sync!$J231,100),2),"نامعتبر"),IF(LEN(Sync!$J231)=10,Sync!$J231,"نامعتبر")))</f>
        <v/>
      </c>
      <c r="R231" t="str">
        <f t="shared" si="25"/>
        <v/>
      </c>
      <c r="S231" t="str">
        <f t="shared" si="26"/>
        <v/>
      </c>
      <c r="T231" t="str">
        <f>IF($N231="","",IF(Sync!$N231="",0,Sync!$N231))</f>
        <v/>
      </c>
      <c r="U231" t="str">
        <f>IF($N231="","",IF(Sync!$O231="",0,Sync!$O231))</f>
        <v/>
      </c>
      <c r="V231" t="str">
        <f>IF($N231="","",Sync!$L231)</f>
        <v/>
      </c>
      <c r="W231" t="str">
        <f>IF($N231="","",Sync!$P231)</f>
        <v/>
      </c>
      <c r="AA231" t="str">
        <f>IF($A231="","",IF(COUNTIF($A$6:$A231,$A231)=1,1,0))</f>
        <v/>
      </c>
      <c r="AB231">
        <f>SUM($AA$6:$AA231)</f>
        <v>3</v>
      </c>
      <c r="AC231" t="str">
        <f t="shared" si="27"/>
        <v/>
      </c>
    </row>
    <row r="232" spans="1:29" x14ac:dyDescent="0.2">
      <c r="A232" t="str">
        <f>IF(OR(Entry!$B235="",Entry!$E235="",$E232="نامعتبر"),"",Entry!$E235)</f>
        <v/>
      </c>
      <c r="B232" t="str">
        <f>IF($A232="","",LEFT($E232,4)&amp;MID($E232,6,2)&amp;RIGHT($E232,2)&amp;$F232&amp;"|"&amp;"1"&amp;RIGHT("00000"&amp;227,5))</f>
        <v/>
      </c>
      <c r="C232" t="str">
        <f t="shared" si="21"/>
        <v/>
      </c>
      <c r="D232" t="str">
        <f t="shared" si="22"/>
        <v/>
      </c>
      <c r="E232" t="str">
        <f>IF(Entry!$B235="","",IF(ISNUMBER(Entry!$B235),IF(AND(Entry!$B235&gt;=10000101,Entry!$B235&lt;=99991231),INT(Entry!$B235/10000)&amp;"/"&amp;RIGHT("00"&amp;INT(MOD(Entry!$B235,10000)/100),2)&amp;"/"&amp;RIGHT("00"&amp;MOD(Entry!$B235,100),2),"نامعتبر"),IF(LEN(Entry!$B235)=10,Entry!$B235,"نامعتبر")))</f>
        <v/>
      </c>
      <c r="F232" t="str">
        <f>IF(Entry!$B235="","",IF(Entry!$C235="","0000",IF(AND(ISNUMBER(Entry!$C235),Entry!$C235&gt;=0,Entry!$C235&lt;1),RIGHT("00"&amp;HOUR(Entry!$C235),2)&amp;RIGHT("00"&amp;MINUTE(Entry!$C235),2),IFERROR(RIGHT("00"&amp;VALUE(LEFT(Entry!$C235,FIND(":",Entry!$C235)-1)),2)&amp;RIGHT("00"&amp;VALUE(MID(Entry!$C235,FIND(":",Entry!$C235)+1,2)),2),"0000"))))</f>
        <v/>
      </c>
      <c r="G232" t="str">
        <f>IF($A232="","",Entry!$G235)</f>
        <v/>
      </c>
      <c r="H232" t="str">
        <f>IF($A232="","",IF(Entry!$H235="",0,Entry!$H235))</f>
        <v/>
      </c>
      <c r="I232" t="str">
        <f>IF($A232="","",IF(Entry!$I235="",0,Entry!$I235))</f>
        <v/>
      </c>
      <c r="J232" t="str">
        <f t="shared" si="23"/>
        <v/>
      </c>
      <c r="K232" t="str">
        <f>IF($A232="","",Entry!$D235)</f>
        <v/>
      </c>
      <c r="L232" t="str">
        <f>IF($A232="","",Entry!$L235)</f>
        <v/>
      </c>
      <c r="N232" t="str">
        <f>IF(OR(Sync!$M232="",$Q232="",$Q232="نامعتبر"),"",Sync!$M232)</f>
        <v/>
      </c>
      <c r="O232" t="str">
        <f t="shared" si="24"/>
        <v/>
      </c>
      <c r="P232" t="str">
        <f>IF($N232="","",LEFT($Q232,4)&amp;MID($Q232,6,2)&amp;RIGHT($Q232,2)&amp;IF(Sync!$K232="","0000",IF(AND(ISNUMBER(Sync!$K232),Sync!$K232&gt;=0,Sync!$K232&lt;1),RIGHT("00"&amp;HOUR(Sync!$K232),2)&amp;RIGHT("00"&amp;MINUTE(Sync!$K232),2),IFERROR(RIGHT("00"&amp;VALUE(LEFT(Sync!$K232,FIND(":",Sync!$K232)-1)),2)&amp;RIGHT("00"&amp;VALUE(MID(Sync!$K232,FIND(":",Sync!$K232)+1,2)),2),"0000")))&amp;"|"&amp;"2"&amp;RIGHT("00000"&amp;227,5))</f>
        <v/>
      </c>
      <c r="Q232" t="str">
        <f>IF(Sync!$J232="","",IF(ISNUMBER(Sync!$J232),IF(AND(Sync!$J232&gt;=10000101,Sync!$J232&lt;=99991231),INT(Sync!$J232/10000)&amp;"/"&amp;RIGHT("00"&amp;INT(MOD(Sync!$J232,10000)/100),2)&amp;"/"&amp;RIGHT("00"&amp;MOD(Sync!$J232,100),2),"نامعتبر"),IF(LEN(Sync!$J232)=10,Sync!$J232,"نامعتبر")))</f>
        <v/>
      </c>
      <c r="R232" t="str">
        <f t="shared" si="25"/>
        <v/>
      </c>
      <c r="S232" t="str">
        <f t="shared" si="26"/>
        <v/>
      </c>
      <c r="T232" t="str">
        <f>IF($N232="","",IF(Sync!$N232="",0,Sync!$N232))</f>
        <v/>
      </c>
      <c r="U232" t="str">
        <f>IF($N232="","",IF(Sync!$O232="",0,Sync!$O232))</f>
        <v/>
      </c>
      <c r="V232" t="str">
        <f>IF($N232="","",Sync!$L232)</f>
        <v/>
      </c>
      <c r="W232" t="str">
        <f>IF($N232="","",Sync!$P232)</f>
        <v/>
      </c>
      <c r="AA232" t="str">
        <f>IF($A232="","",IF(COUNTIF($A$6:$A232,$A232)=1,1,0))</f>
        <v/>
      </c>
      <c r="AB232">
        <f>SUM($AA$6:$AA232)</f>
        <v>3</v>
      </c>
      <c r="AC232" t="str">
        <f t="shared" si="27"/>
        <v/>
      </c>
    </row>
    <row r="233" spans="1:29" x14ac:dyDescent="0.2">
      <c r="A233" t="str">
        <f>IF(OR(Entry!$B236="",Entry!$E236="",$E233="نامعتبر"),"",Entry!$E236)</f>
        <v/>
      </c>
      <c r="B233" t="str">
        <f>IF($A233="","",LEFT($E233,4)&amp;MID($E233,6,2)&amp;RIGHT($E233,2)&amp;$F233&amp;"|"&amp;"1"&amp;RIGHT("00000"&amp;228,5))</f>
        <v/>
      </c>
      <c r="C233" t="str">
        <f t="shared" si="21"/>
        <v/>
      </c>
      <c r="D233" t="str">
        <f t="shared" si="22"/>
        <v/>
      </c>
      <c r="E233" t="str">
        <f>IF(Entry!$B236="","",IF(ISNUMBER(Entry!$B236),IF(AND(Entry!$B236&gt;=10000101,Entry!$B236&lt;=99991231),INT(Entry!$B236/10000)&amp;"/"&amp;RIGHT("00"&amp;INT(MOD(Entry!$B236,10000)/100),2)&amp;"/"&amp;RIGHT("00"&amp;MOD(Entry!$B236,100),2),"نامعتبر"),IF(LEN(Entry!$B236)=10,Entry!$B236,"نامعتبر")))</f>
        <v/>
      </c>
      <c r="F233" t="str">
        <f>IF(Entry!$B236="","",IF(Entry!$C236="","0000",IF(AND(ISNUMBER(Entry!$C236),Entry!$C236&gt;=0,Entry!$C236&lt;1),RIGHT("00"&amp;HOUR(Entry!$C236),2)&amp;RIGHT("00"&amp;MINUTE(Entry!$C236),2),IFERROR(RIGHT("00"&amp;VALUE(LEFT(Entry!$C236,FIND(":",Entry!$C236)-1)),2)&amp;RIGHT("00"&amp;VALUE(MID(Entry!$C236,FIND(":",Entry!$C236)+1,2)),2),"0000"))))</f>
        <v/>
      </c>
      <c r="G233" t="str">
        <f>IF($A233="","",Entry!$G236)</f>
        <v/>
      </c>
      <c r="H233" t="str">
        <f>IF($A233="","",IF(Entry!$H236="",0,Entry!$H236))</f>
        <v/>
      </c>
      <c r="I233" t="str">
        <f>IF($A233="","",IF(Entry!$I236="",0,Entry!$I236))</f>
        <v/>
      </c>
      <c r="J233" t="str">
        <f t="shared" si="23"/>
        <v/>
      </c>
      <c r="K233" t="str">
        <f>IF($A233="","",Entry!$D236)</f>
        <v/>
      </c>
      <c r="L233" t="str">
        <f>IF($A233="","",Entry!$L236)</f>
        <v/>
      </c>
      <c r="N233" t="str">
        <f>IF(OR(Sync!$M233="",$Q233="",$Q233="نامعتبر"),"",Sync!$M233)</f>
        <v/>
      </c>
      <c r="O233" t="str">
        <f t="shared" si="24"/>
        <v/>
      </c>
      <c r="P233" t="str">
        <f>IF($N233="","",LEFT($Q233,4)&amp;MID($Q233,6,2)&amp;RIGHT($Q233,2)&amp;IF(Sync!$K233="","0000",IF(AND(ISNUMBER(Sync!$K233),Sync!$K233&gt;=0,Sync!$K233&lt;1),RIGHT("00"&amp;HOUR(Sync!$K233),2)&amp;RIGHT("00"&amp;MINUTE(Sync!$K233),2),IFERROR(RIGHT("00"&amp;VALUE(LEFT(Sync!$K233,FIND(":",Sync!$K233)-1)),2)&amp;RIGHT("00"&amp;VALUE(MID(Sync!$K233,FIND(":",Sync!$K233)+1,2)),2),"0000")))&amp;"|"&amp;"2"&amp;RIGHT("00000"&amp;228,5))</f>
        <v/>
      </c>
      <c r="Q233" t="str">
        <f>IF(Sync!$J233="","",IF(ISNUMBER(Sync!$J233),IF(AND(Sync!$J233&gt;=10000101,Sync!$J233&lt;=99991231),INT(Sync!$J233/10000)&amp;"/"&amp;RIGHT("00"&amp;INT(MOD(Sync!$J233,10000)/100),2)&amp;"/"&amp;RIGHT("00"&amp;MOD(Sync!$J233,100),2),"نامعتبر"),IF(LEN(Sync!$J233)=10,Sync!$J233,"نامعتبر")))</f>
        <v/>
      </c>
      <c r="R233" t="str">
        <f t="shared" si="25"/>
        <v/>
      </c>
      <c r="S233" t="str">
        <f t="shared" si="26"/>
        <v/>
      </c>
      <c r="T233" t="str">
        <f>IF($N233="","",IF(Sync!$N233="",0,Sync!$N233))</f>
        <v/>
      </c>
      <c r="U233" t="str">
        <f>IF($N233="","",IF(Sync!$O233="",0,Sync!$O233))</f>
        <v/>
      </c>
      <c r="V233" t="str">
        <f>IF($N233="","",Sync!$L233)</f>
        <v/>
      </c>
      <c r="W233" t="str">
        <f>IF($N233="","",Sync!$P233)</f>
        <v/>
      </c>
      <c r="AA233" t="str">
        <f>IF($A233="","",IF(COUNTIF($A$6:$A233,$A233)=1,1,0))</f>
        <v/>
      </c>
      <c r="AB233">
        <f>SUM($AA$6:$AA233)</f>
        <v>3</v>
      </c>
      <c r="AC233" t="str">
        <f t="shared" si="27"/>
        <v/>
      </c>
    </row>
    <row r="234" spans="1:29" x14ac:dyDescent="0.2">
      <c r="A234" t="str">
        <f>IF(OR(Entry!$B237="",Entry!$E237="",$E234="نامعتبر"),"",Entry!$E237)</f>
        <v/>
      </c>
      <c r="B234" t="str">
        <f>IF($A234="","",LEFT($E234,4)&amp;MID($E234,6,2)&amp;RIGHT($E234,2)&amp;$F234&amp;"|"&amp;"1"&amp;RIGHT("00000"&amp;229,5))</f>
        <v/>
      </c>
      <c r="C234" t="str">
        <f t="shared" si="21"/>
        <v/>
      </c>
      <c r="D234" t="str">
        <f t="shared" si="22"/>
        <v/>
      </c>
      <c r="E234" t="str">
        <f>IF(Entry!$B237="","",IF(ISNUMBER(Entry!$B237),IF(AND(Entry!$B237&gt;=10000101,Entry!$B237&lt;=99991231),INT(Entry!$B237/10000)&amp;"/"&amp;RIGHT("00"&amp;INT(MOD(Entry!$B237,10000)/100),2)&amp;"/"&amp;RIGHT("00"&amp;MOD(Entry!$B237,100),2),"نامعتبر"),IF(LEN(Entry!$B237)=10,Entry!$B237,"نامعتبر")))</f>
        <v/>
      </c>
      <c r="F234" t="str">
        <f>IF(Entry!$B237="","",IF(Entry!$C237="","0000",IF(AND(ISNUMBER(Entry!$C237),Entry!$C237&gt;=0,Entry!$C237&lt;1),RIGHT("00"&amp;HOUR(Entry!$C237),2)&amp;RIGHT("00"&amp;MINUTE(Entry!$C237),2),IFERROR(RIGHT("00"&amp;VALUE(LEFT(Entry!$C237,FIND(":",Entry!$C237)-1)),2)&amp;RIGHT("00"&amp;VALUE(MID(Entry!$C237,FIND(":",Entry!$C237)+1,2)),2),"0000"))))</f>
        <v/>
      </c>
      <c r="G234" t="str">
        <f>IF($A234="","",Entry!$G237)</f>
        <v/>
      </c>
      <c r="H234" t="str">
        <f>IF($A234="","",IF(Entry!$H237="",0,Entry!$H237))</f>
        <v/>
      </c>
      <c r="I234" t="str">
        <f>IF($A234="","",IF(Entry!$I237="",0,Entry!$I237))</f>
        <v/>
      </c>
      <c r="J234" t="str">
        <f t="shared" si="23"/>
        <v/>
      </c>
      <c r="K234" t="str">
        <f>IF($A234="","",Entry!$D237)</f>
        <v/>
      </c>
      <c r="L234" t="str">
        <f>IF($A234="","",Entry!$L237)</f>
        <v/>
      </c>
      <c r="N234" t="str">
        <f>IF(OR(Sync!$M234="",$Q234="",$Q234="نامعتبر"),"",Sync!$M234)</f>
        <v/>
      </c>
      <c r="O234" t="str">
        <f t="shared" si="24"/>
        <v/>
      </c>
      <c r="P234" t="str">
        <f>IF($N234="","",LEFT($Q234,4)&amp;MID($Q234,6,2)&amp;RIGHT($Q234,2)&amp;IF(Sync!$K234="","0000",IF(AND(ISNUMBER(Sync!$K234),Sync!$K234&gt;=0,Sync!$K234&lt;1),RIGHT("00"&amp;HOUR(Sync!$K234),2)&amp;RIGHT("00"&amp;MINUTE(Sync!$K234),2),IFERROR(RIGHT("00"&amp;VALUE(LEFT(Sync!$K234,FIND(":",Sync!$K234)-1)),2)&amp;RIGHT("00"&amp;VALUE(MID(Sync!$K234,FIND(":",Sync!$K234)+1,2)),2),"0000")))&amp;"|"&amp;"2"&amp;RIGHT("00000"&amp;229,5))</f>
        <v/>
      </c>
      <c r="Q234" t="str">
        <f>IF(Sync!$J234="","",IF(ISNUMBER(Sync!$J234),IF(AND(Sync!$J234&gt;=10000101,Sync!$J234&lt;=99991231),INT(Sync!$J234/10000)&amp;"/"&amp;RIGHT("00"&amp;INT(MOD(Sync!$J234,10000)/100),2)&amp;"/"&amp;RIGHT("00"&amp;MOD(Sync!$J234,100),2),"نامعتبر"),IF(LEN(Sync!$J234)=10,Sync!$J234,"نامعتبر")))</f>
        <v/>
      </c>
      <c r="R234" t="str">
        <f t="shared" si="25"/>
        <v/>
      </c>
      <c r="S234" t="str">
        <f t="shared" si="26"/>
        <v/>
      </c>
      <c r="T234" t="str">
        <f>IF($N234="","",IF(Sync!$N234="",0,Sync!$N234))</f>
        <v/>
      </c>
      <c r="U234" t="str">
        <f>IF($N234="","",IF(Sync!$O234="",0,Sync!$O234))</f>
        <v/>
      </c>
      <c r="V234" t="str">
        <f>IF($N234="","",Sync!$L234)</f>
        <v/>
      </c>
      <c r="W234" t="str">
        <f>IF($N234="","",Sync!$P234)</f>
        <v/>
      </c>
      <c r="AA234" t="str">
        <f>IF($A234="","",IF(COUNTIF($A$6:$A234,$A234)=1,1,0))</f>
        <v/>
      </c>
      <c r="AB234">
        <f>SUM($AA$6:$AA234)</f>
        <v>3</v>
      </c>
      <c r="AC234" t="str">
        <f t="shared" si="27"/>
        <v/>
      </c>
    </row>
    <row r="235" spans="1:29" x14ac:dyDescent="0.2">
      <c r="A235" t="str">
        <f>IF(OR(Entry!$B238="",Entry!$E238="",$E235="نامعتبر"),"",Entry!$E238)</f>
        <v/>
      </c>
      <c r="B235" t="str">
        <f>IF($A235="","",LEFT($E235,4)&amp;MID($E235,6,2)&amp;RIGHT($E235,2)&amp;$F235&amp;"|"&amp;"1"&amp;RIGHT("00000"&amp;230,5))</f>
        <v/>
      </c>
      <c r="C235" t="str">
        <f t="shared" si="21"/>
        <v/>
      </c>
      <c r="D235" t="str">
        <f t="shared" si="22"/>
        <v/>
      </c>
      <c r="E235" t="str">
        <f>IF(Entry!$B238="","",IF(ISNUMBER(Entry!$B238),IF(AND(Entry!$B238&gt;=10000101,Entry!$B238&lt;=99991231),INT(Entry!$B238/10000)&amp;"/"&amp;RIGHT("00"&amp;INT(MOD(Entry!$B238,10000)/100),2)&amp;"/"&amp;RIGHT("00"&amp;MOD(Entry!$B238,100),2),"نامعتبر"),IF(LEN(Entry!$B238)=10,Entry!$B238,"نامعتبر")))</f>
        <v/>
      </c>
      <c r="F235" t="str">
        <f>IF(Entry!$B238="","",IF(Entry!$C238="","0000",IF(AND(ISNUMBER(Entry!$C238),Entry!$C238&gt;=0,Entry!$C238&lt;1),RIGHT("00"&amp;HOUR(Entry!$C238),2)&amp;RIGHT("00"&amp;MINUTE(Entry!$C238),2),IFERROR(RIGHT("00"&amp;VALUE(LEFT(Entry!$C238,FIND(":",Entry!$C238)-1)),2)&amp;RIGHT("00"&amp;VALUE(MID(Entry!$C238,FIND(":",Entry!$C238)+1,2)),2),"0000"))))</f>
        <v/>
      </c>
      <c r="G235" t="str">
        <f>IF($A235="","",Entry!$G238)</f>
        <v/>
      </c>
      <c r="H235" t="str">
        <f>IF($A235="","",IF(Entry!$H238="",0,Entry!$H238))</f>
        <v/>
      </c>
      <c r="I235" t="str">
        <f>IF($A235="","",IF(Entry!$I238="",0,Entry!$I238))</f>
        <v/>
      </c>
      <c r="J235" t="str">
        <f t="shared" si="23"/>
        <v/>
      </c>
      <c r="K235" t="str">
        <f>IF($A235="","",Entry!$D238)</f>
        <v/>
      </c>
      <c r="L235" t="str">
        <f>IF($A235="","",Entry!$L238)</f>
        <v/>
      </c>
      <c r="N235" t="str">
        <f>IF(OR(Sync!$M235="",$Q235="",$Q235="نامعتبر"),"",Sync!$M235)</f>
        <v/>
      </c>
      <c r="O235" t="str">
        <f t="shared" si="24"/>
        <v/>
      </c>
      <c r="P235" t="str">
        <f>IF($N235="","",LEFT($Q235,4)&amp;MID($Q235,6,2)&amp;RIGHT($Q235,2)&amp;IF(Sync!$K235="","0000",IF(AND(ISNUMBER(Sync!$K235),Sync!$K235&gt;=0,Sync!$K235&lt;1),RIGHT("00"&amp;HOUR(Sync!$K235),2)&amp;RIGHT("00"&amp;MINUTE(Sync!$K235),2),IFERROR(RIGHT("00"&amp;VALUE(LEFT(Sync!$K235,FIND(":",Sync!$K235)-1)),2)&amp;RIGHT("00"&amp;VALUE(MID(Sync!$K235,FIND(":",Sync!$K235)+1,2)),2),"0000")))&amp;"|"&amp;"2"&amp;RIGHT("00000"&amp;230,5))</f>
        <v/>
      </c>
      <c r="Q235" t="str">
        <f>IF(Sync!$J235="","",IF(ISNUMBER(Sync!$J235),IF(AND(Sync!$J235&gt;=10000101,Sync!$J235&lt;=99991231),INT(Sync!$J235/10000)&amp;"/"&amp;RIGHT("00"&amp;INT(MOD(Sync!$J235,10000)/100),2)&amp;"/"&amp;RIGHT("00"&amp;MOD(Sync!$J235,100),2),"نامعتبر"),IF(LEN(Sync!$J235)=10,Sync!$J235,"نامعتبر")))</f>
        <v/>
      </c>
      <c r="R235" t="str">
        <f t="shared" si="25"/>
        <v/>
      </c>
      <c r="S235" t="str">
        <f t="shared" si="26"/>
        <v/>
      </c>
      <c r="T235" t="str">
        <f>IF($N235="","",IF(Sync!$N235="",0,Sync!$N235))</f>
        <v/>
      </c>
      <c r="U235" t="str">
        <f>IF($N235="","",IF(Sync!$O235="",0,Sync!$O235))</f>
        <v/>
      </c>
      <c r="V235" t="str">
        <f>IF($N235="","",Sync!$L235)</f>
        <v/>
      </c>
      <c r="W235" t="str">
        <f>IF($N235="","",Sync!$P235)</f>
        <v/>
      </c>
      <c r="AA235" t="str">
        <f>IF($A235="","",IF(COUNTIF($A$6:$A235,$A235)=1,1,0))</f>
        <v/>
      </c>
      <c r="AB235">
        <f>SUM($AA$6:$AA235)</f>
        <v>3</v>
      </c>
      <c r="AC235" t="str">
        <f t="shared" si="27"/>
        <v/>
      </c>
    </row>
    <row r="236" spans="1:29" x14ac:dyDescent="0.2">
      <c r="A236" t="str">
        <f>IF(OR(Entry!$B239="",Entry!$E239="",$E236="نامعتبر"),"",Entry!$E239)</f>
        <v/>
      </c>
      <c r="B236" t="str">
        <f>IF($A236="","",LEFT($E236,4)&amp;MID($E236,6,2)&amp;RIGHT($E236,2)&amp;$F236&amp;"|"&amp;"1"&amp;RIGHT("00000"&amp;231,5))</f>
        <v/>
      </c>
      <c r="C236" t="str">
        <f t="shared" si="21"/>
        <v/>
      </c>
      <c r="D236" t="str">
        <f t="shared" si="22"/>
        <v/>
      </c>
      <c r="E236" t="str">
        <f>IF(Entry!$B239="","",IF(ISNUMBER(Entry!$B239),IF(AND(Entry!$B239&gt;=10000101,Entry!$B239&lt;=99991231),INT(Entry!$B239/10000)&amp;"/"&amp;RIGHT("00"&amp;INT(MOD(Entry!$B239,10000)/100),2)&amp;"/"&amp;RIGHT("00"&amp;MOD(Entry!$B239,100),2),"نامعتبر"),IF(LEN(Entry!$B239)=10,Entry!$B239,"نامعتبر")))</f>
        <v/>
      </c>
      <c r="F236" t="str">
        <f>IF(Entry!$B239="","",IF(Entry!$C239="","0000",IF(AND(ISNUMBER(Entry!$C239),Entry!$C239&gt;=0,Entry!$C239&lt;1),RIGHT("00"&amp;HOUR(Entry!$C239),2)&amp;RIGHT("00"&amp;MINUTE(Entry!$C239),2),IFERROR(RIGHT("00"&amp;VALUE(LEFT(Entry!$C239,FIND(":",Entry!$C239)-1)),2)&amp;RIGHT("00"&amp;VALUE(MID(Entry!$C239,FIND(":",Entry!$C239)+1,2)),2),"0000"))))</f>
        <v/>
      </c>
      <c r="G236" t="str">
        <f>IF($A236="","",Entry!$G239)</f>
        <v/>
      </c>
      <c r="H236" t="str">
        <f>IF($A236="","",IF(Entry!$H239="",0,Entry!$H239))</f>
        <v/>
      </c>
      <c r="I236" t="str">
        <f>IF($A236="","",IF(Entry!$I239="",0,Entry!$I239))</f>
        <v/>
      </c>
      <c r="J236" t="str">
        <f t="shared" si="23"/>
        <v/>
      </c>
      <c r="K236" t="str">
        <f>IF($A236="","",Entry!$D239)</f>
        <v/>
      </c>
      <c r="L236" t="str">
        <f>IF($A236="","",Entry!$L239)</f>
        <v/>
      </c>
      <c r="N236" t="str">
        <f>IF(OR(Sync!$M236="",$Q236="",$Q236="نامعتبر"),"",Sync!$M236)</f>
        <v/>
      </c>
      <c r="O236" t="str">
        <f t="shared" si="24"/>
        <v/>
      </c>
      <c r="P236" t="str">
        <f>IF($N236="","",LEFT($Q236,4)&amp;MID($Q236,6,2)&amp;RIGHT($Q236,2)&amp;IF(Sync!$K236="","0000",IF(AND(ISNUMBER(Sync!$K236),Sync!$K236&gt;=0,Sync!$K236&lt;1),RIGHT("00"&amp;HOUR(Sync!$K236),2)&amp;RIGHT("00"&amp;MINUTE(Sync!$K236),2),IFERROR(RIGHT("00"&amp;VALUE(LEFT(Sync!$K236,FIND(":",Sync!$K236)-1)),2)&amp;RIGHT("00"&amp;VALUE(MID(Sync!$K236,FIND(":",Sync!$K236)+1,2)),2),"0000")))&amp;"|"&amp;"2"&amp;RIGHT("00000"&amp;231,5))</f>
        <v/>
      </c>
      <c r="Q236" t="str">
        <f>IF(Sync!$J236="","",IF(ISNUMBER(Sync!$J236),IF(AND(Sync!$J236&gt;=10000101,Sync!$J236&lt;=99991231),INT(Sync!$J236/10000)&amp;"/"&amp;RIGHT("00"&amp;INT(MOD(Sync!$J236,10000)/100),2)&amp;"/"&amp;RIGHT("00"&amp;MOD(Sync!$J236,100),2),"نامعتبر"),IF(LEN(Sync!$J236)=10,Sync!$J236,"نامعتبر")))</f>
        <v/>
      </c>
      <c r="R236" t="str">
        <f t="shared" si="25"/>
        <v/>
      </c>
      <c r="S236" t="str">
        <f t="shared" si="26"/>
        <v/>
      </c>
      <c r="T236" t="str">
        <f>IF($N236="","",IF(Sync!$N236="",0,Sync!$N236))</f>
        <v/>
      </c>
      <c r="U236" t="str">
        <f>IF($N236="","",IF(Sync!$O236="",0,Sync!$O236))</f>
        <v/>
      </c>
      <c r="V236" t="str">
        <f>IF($N236="","",Sync!$L236)</f>
        <v/>
      </c>
      <c r="W236" t="str">
        <f>IF($N236="","",Sync!$P236)</f>
        <v/>
      </c>
      <c r="AA236" t="str">
        <f>IF($A236="","",IF(COUNTIF($A$6:$A236,$A236)=1,1,0))</f>
        <v/>
      </c>
      <c r="AB236">
        <f>SUM($AA$6:$AA236)</f>
        <v>3</v>
      </c>
      <c r="AC236" t="str">
        <f t="shared" si="27"/>
        <v/>
      </c>
    </row>
    <row r="237" spans="1:29" x14ac:dyDescent="0.2">
      <c r="A237" t="str">
        <f>IF(OR(Entry!$B240="",Entry!$E240="",$E237="نامعتبر"),"",Entry!$E240)</f>
        <v/>
      </c>
      <c r="B237" t="str">
        <f>IF($A237="","",LEFT($E237,4)&amp;MID($E237,6,2)&amp;RIGHT($E237,2)&amp;$F237&amp;"|"&amp;"1"&amp;RIGHT("00000"&amp;232,5))</f>
        <v/>
      </c>
      <c r="C237" t="str">
        <f t="shared" si="21"/>
        <v/>
      </c>
      <c r="D237" t="str">
        <f t="shared" si="22"/>
        <v/>
      </c>
      <c r="E237" t="str">
        <f>IF(Entry!$B240="","",IF(ISNUMBER(Entry!$B240),IF(AND(Entry!$B240&gt;=10000101,Entry!$B240&lt;=99991231),INT(Entry!$B240/10000)&amp;"/"&amp;RIGHT("00"&amp;INT(MOD(Entry!$B240,10000)/100),2)&amp;"/"&amp;RIGHT("00"&amp;MOD(Entry!$B240,100),2),"نامعتبر"),IF(LEN(Entry!$B240)=10,Entry!$B240,"نامعتبر")))</f>
        <v/>
      </c>
      <c r="F237" t="str">
        <f>IF(Entry!$B240="","",IF(Entry!$C240="","0000",IF(AND(ISNUMBER(Entry!$C240),Entry!$C240&gt;=0,Entry!$C240&lt;1),RIGHT("00"&amp;HOUR(Entry!$C240),2)&amp;RIGHT("00"&amp;MINUTE(Entry!$C240),2),IFERROR(RIGHT("00"&amp;VALUE(LEFT(Entry!$C240,FIND(":",Entry!$C240)-1)),2)&amp;RIGHT("00"&amp;VALUE(MID(Entry!$C240,FIND(":",Entry!$C240)+1,2)),2),"0000"))))</f>
        <v/>
      </c>
      <c r="G237" t="str">
        <f>IF($A237="","",Entry!$G240)</f>
        <v/>
      </c>
      <c r="H237" t="str">
        <f>IF($A237="","",IF(Entry!$H240="",0,Entry!$H240))</f>
        <v/>
      </c>
      <c r="I237" t="str">
        <f>IF($A237="","",IF(Entry!$I240="",0,Entry!$I240))</f>
        <v/>
      </c>
      <c r="J237" t="str">
        <f t="shared" si="23"/>
        <v/>
      </c>
      <c r="K237" t="str">
        <f>IF($A237="","",Entry!$D240)</f>
        <v/>
      </c>
      <c r="L237" t="str">
        <f>IF($A237="","",Entry!$L240)</f>
        <v/>
      </c>
      <c r="N237" t="str">
        <f>IF(OR(Sync!$M237="",$Q237="",$Q237="نامعتبر"),"",Sync!$M237)</f>
        <v/>
      </c>
      <c r="O237" t="str">
        <f t="shared" si="24"/>
        <v/>
      </c>
      <c r="P237" t="str">
        <f>IF($N237="","",LEFT($Q237,4)&amp;MID($Q237,6,2)&amp;RIGHT($Q237,2)&amp;IF(Sync!$K237="","0000",IF(AND(ISNUMBER(Sync!$K237),Sync!$K237&gt;=0,Sync!$K237&lt;1),RIGHT("00"&amp;HOUR(Sync!$K237),2)&amp;RIGHT("00"&amp;MINUTE(Sync!$K237),2),IFERROR(RIGHT("00"&amp;VALUE(LEFT(Sync!$K237,FIND(":",Sync!$K237)-1)),2)&amp;RIGHT("00"&amp;VALUE(MID(Sync!$K237,FIND(":",Sync!$K237)+1,2)),2),"0000")))&amp;"|"&amp;"2"&amp;RIGHT("00000"&amp;232,5))</f>
        <v/>
      </c>
      <c r="Q237" t="str">
        <f>IF(Sync!$J237="","",IF(ISNUMBER(Sync!$J237),IF(AND(Sync!$J237&gt;=10000101,Sync!$J237&lt;=99991231),INT(Sync!$J237/10000)&amp;"/"&amp;RIGHT("00"&amp;INT(MOD(Sync!$J237,10000)/100),2)&amp;"/"&amp;RIGHT("00"&amp;MOD(Sync!$J237,100),2),"نامعتبر"),IF(LEN(Sync!$J237)=10,Sync!$J237,"نامعتبر")))</f>
        <v/>
      </c>
      <c r="R237" t="str">
        <f t="shared" si="25"/>
        <v/>
      </c>
      <c r="S237" t="str">
        <f t="shared" si="26"/>
        <v/>
      </c>
      <c r="T237" t="str">
        <f>IF($N237="","",IF(Sync!$N237="",0,Sync!$N237))</f>
        <v/>
      </c>
      <c r="U237" t="str">
        <f>IF($N237="","",IF(Sync!$O237="",0,Sync!$O237))</f>
        <v/>
      </c>
      <c r="V237" t="str">
        <f>IF($N237="","",Sync!$L237)</f>
        <v/>
      </c>
      <c r="W237" t="str">
        <f>IF($N237="","",Sync!$P237)</f>
        <v/>
      </c>
      <c r="AA237" t="str">
        <f>IF($A237="","",IF(COUNTIF($A$6:$A237,$A237)=1,1,0))</f>
        <v/>
      </c>
      <c r="AB237">
        <f>SUM($AA$6:$AA237)</f>
        <v>3</v>
      </c>
      <c r="AC237" t="str">
        <f t="shared" si="27"/>
        <v/>
      </c>
    </row>
    <row r="238" spans="1:29" x14ac:dyDescent="0.2">
      <c r="A238" t="str">
        <f>IF(OR(Entry!$B241="",Entry!$E241="",$E238="نامعتبر"),"",Entry!$E241)</f>
        <v/>
      </c>
      <c r="B238" t="str">
        <f>IF($A238="","",LEFT($E238,4)&amp;MID($E238,6,2)&amp;RIGHT($E238,2)&amp;$F238&amp;"|"&amp;"1"&amp;RIGHT("00000"&amp;233,5))</f>
        <v/>
      </c>
      <c r="C238" t="str">
        <f t="shared" si="21"/>
        <v/>
      </c>
      <c r="D238" t="str">
        <f t="shared" si="22"/>
        <v/>
      </c>
      <c r="E238" t="str">
        <f>IF(Entry!$B241="","",IF(ISNUMBER(Entry!$B241),IF(AND(Entry!$B241&gt;=10000101,Entry!$B241&lt;=99991231),INT(Entry!$B241/10000)&amp;"/"&amp;RIGHT("00"&amp;INT(MOD(Entry!$B241,10000)/100),2)&amp;"/"&amp;RIGHT("00"&amp;MOD(Entry!$B241,100),2),"نامعتبر"),IF(LEN(Entry!$B241)=10,Entry!$B241,"نامعتبر")))</f>
        <v/>
      </c>
      <c r="F238" t="str">
        <f>IF(Entry!$B241="","",IF(Entry!$C241="","0000",IF(AND(ISNUMBER(Entry!$C241),Entry!$C241&gt;=0,Entry!$C241&lt;1),RIGHT("00"&amp;HOUR(Entry!$C241),2)&amp;RIGHT("00"&amp;MINUTE(Entry!$C241),2),IFERROR(RIGHT("00"&amp;VALUE(LEFT(Entry!$C241,FIND(":",Entry!$C241)-1)),2)&amp;RIGHT("00"&amp;VALUE(MID(Entry!$C241,FIND(":",Entry!$C241)+1,2)),2),"0000"))))</f>
        <v/>
      </c>
      <c r="G238" t="str">
        <f>IF($A238="","",Entry!$G241)</f>
        <v/>
      </c>
      <c r="H238" t="str">
        <f>IF($A238="","",IF(Entry!$H241="",0,Entry!$H241))</f>
        <v/>
      </c>
      <c r="I238" t="str">
        <f>IF($A238="","",IF(Entry!$I241="",0,Entry!$I241))</f>
        <v/>
      </c>
      <c r="J238" t="str">
        <f t="shared" si="23"/>
        <v/>
      </c>
      <c r="K238" t="str">
        <f>IF($A238="","",Entry!$D241)</f>
        <v/>
      </c>
      <c r="L238" t="str">
        <f>IF($A238="","",Entry!$L241)</f>
        <v/>
      </c>
      <c r="N238" t="str">
        <f>IF(OR(Sync!$M238="",$Q238="",$Q238="نامعتبر"),"",Sync!$M238)</f>
        <v/>
      </c>
      <c r="O238" t="str">
        <f t="shared" si="24"/>
        <v/>
      </c>
      <c r="P238" t="str">
        <f>IF($N238="","",LEFT($Q238,4)&amp;MID($Q238,6,2)&amp;RIGHT($Q238,2)&amp;IF(Sync!$K238="","0000",IF(AND(ISNUMBER(Sync!$K238),Sync!$K238&gt;=0,Sync!$K238&lt;1),RIGHT("00"&amp;HOUR(Sync!$K238),2)&amp;RIGHT("00"&amp;MINUTE(Sync!$K238),2),IFERROR(RIGHT("00"&amp;VALUE(LEFT(Sync!$K238,FIND(":",Sync!$K238)-1)),2)&amp;RIGHT("00"&amp;VALUE(MID(Sync!$K238,FIND(":",Sync!$K238)+1,2)),2),"0000")))&amp;"|"&amp;"2"&amp;RIGHT("00000"&amp;233,5))</f>
        <v/>
      </c>
      <c r="Q238" t="str">
        <f>IF(Sync!$J238="","",IF(ISNUMBER(Sync!$J238),IF(AND(Sync!$J238&gt;=10000101,Sync!$J238&lt;=99991231),INT(Sync!$J238/10000)&amp;"/"&amp;RIGHT("00"&amp;INT(MOD(Sync!$J238,10000)/100),2)&amp;"/"&amp;RIGHT("00"&amp;MOD(Sync!$J238,100),2),"نامعتبر"),IF(LEN(Sync!$J238)=10,Sync!$J238,"نامعتبر")))</f>
        <v/>
      </c>
      <c r="R238" t="str">
        <f t="shared" si="25"/>
        <v/>
      </c>
      <c r="S238" t="str">
        <f t="shared" si="26"/>
        <v/>
      </c>
      <c r="T238" t="str">
        <f>IF($N238="","",IF(Sync!$N238="",0,Sync!$N238))</f>
        <v/>
      </c>
      <c r="U238" t="str">
        <f>IF($N238="","",IF(Sync!$O238="",0,Sync!$O238))</f>
        <v/>
      </c>
      <c r="V238" t="str">
        <f>IF($N238="","",Sync!$L238)</f>
        <v/>
      </c>
      <c r="W238" t="str">
        <f>IF($N238="","",Sync!$P238)</f>
        <v/>
      </c>
      <c r="AA238" t="str">
        <f>IF($A238="","",IF(COUNTIF($A$6:$A238,$A238)=1,1,0))</f>
        <v/>
      </c>
      <c r="AB238">
        <f>SUM($AA$6:$AA238)</f>
        <v>3</v>
      </c>
      <c r="AC238" t="str">
        <f t="shared" si="27"/>
        <v/>
      </c>
    </row>
    <row r="239" spans="1:29" x14ac:dyDescent="0.2">
      <c r="A239" t="str">
        <f>IF(OR(Entry!$B242="",Entry!$E242="",$E239="نامعتبر"),"",Entry!$E242)</f>
        <v/>
      </c>
      <c r="B239" t="str">
        <f>IF($A239="","",LEFT($E239,4)&amp;MID($E239,6,2)&amp;RIGHT($E239,2)&amp;$F239&amp;"|"&amp;"1"&amp;RIGHT("00000"&amp;234,5))</f>
        <v/>
      </c>
      <c r="C239" t="str">
        <f t="shared" si="21"/>
        <v/>
      </c>
      <c r="D239" t="str">
        <f t="shared" si="22"/>
        <v/>
      </c>
      <c r="E239" t="str">
        <f>IF(Entry!$B242="","",IF(ISNUMBER(Entry!$B242),IF(AND(Entry!$B242&gt;=10000101,Entry!$B242&lt;=99991231),INT(Entry!$B242/10000)&amp;"/"&amp;RIGHT("00"&amp;INT(MOD(Entry!$B242,10000)/100),2)&amp;"/"&amp;RIGHT("00"&amp;MOD(Entry!$B242,100),2),"نامعتبر"),IF(LEN(Entry!$B242)=10,Entry!$B242,"نامعتبر")))</f>
        <v/>
      </c>
      <c r="F239" t="str">
        <f>IF(Entry!$B242="","",IF(Entry!$C242="","0000",IF(AND(ISNUMBER(Entry!$C242),Entry!$C242&gt;=0,Entry!$C242&lt;1),RIGHT("00"&amp;HOUR(Entry!$C242),2)&amp;RIGHT("00"&amp;MINUTE(Entry!$C242),2),IFERROR(RIGHT("00"&amp;VALUE(LEFT(Entry!$C242,FIND(":",Entry!$C242)-1)),2)&amp;RIGHT("00"&amp;VALUE(MID(Entry!$C242,FIND(":",Entry!$C242)+1,2)),2),"0000"))))</f>
        <v/>
      </c>
      <c r="G239" t="str">
        <f>IF($A239="","",Entry!$G242)</f>
        <v/>
      </c>
      <c r="H239" t="str">
        <f>IF($A239="","",IF(Entry!$H242="",0,Entry!$H242))</f>
        <v/>
      </c>
      <c r="I239" t="str">
        <f>IF($A239="","",IF(Entry!$I242="",0,Entry!$I242))</f>
        <v/>
      </c>
      <c r="J239" t="str">
        <f t="shared" si="23"/>
        <v/>
      </c>
      <c r="K239" t="str">
        <f>IF($A239="","",Entry!$D242)</f>
        <v/>
      </c>
      <c r="L239" t="str">
        <f>IF($A239="","",Entry!$L242)</f>
        <v/>
      </c>
      <c r="N239" t="str">
        <f>IF(OR(Sync!$M239="",$Q239="",$Q239="نامعتبر"),"",Sync!$M239)</f>
        <v/>
      </c>
      <c r="O239" t="str">
        <f t="shared" si="24"/>
        <v/>
      </c>
      <c r="P239" t="str">
        <f>IF($N239="","",LEFT($Q239,4)&amp;MID($Q239,6,2)&amp;RIGHT($Q239,2)&amp;IF(Sync!$K239="","0000",IF(AND(ISNUMBER(Sync!$K239),Sync!$K239&gt;=0,Sync!$K239&lt;1),RIGHT("00"&amp;HOUR(Sync!$K239),2)&amp;RIGHT("00"&amp;MINUTE(Sync!$K239),2),IFERROR(RIGHT("00"&amp;VALUE(LEFT(Sync!$K239,FIND(":",Sync!$K239)-1)),2)&amp;RIGHT("00"&amp;VALUE(MID(Sync!$K239,FIND(":",Sync!$K239)+1,2)),2),"0000")))&amp;"|"&amp;"2"&amp;RIGHT("00000"&amp;234,5))</f>
        <v/>
      </c>
      <c r="Q239" t="str">
        <f>IF(Sync!$J239="","",IF(ISNUMBER(Sync!$J239),IF(AND(Sync!$J239&gt;=10000101,Sync!$J239&lt;=99991231),INT(Sync!$J239/10000)&amp;"/"&amp;RIGHT("00"&amp;INT(MOD(Sync!$J239,10000)/100),2)&amp;"/"&amp;RIGHT("00"&amp;MOD(Sync!$J239,100),2),"نامعتبر"),IF(LEN(Sync!$J239)=10,Sync!$J239,"نامعتبر")))</f>
        <v/>
      </c>
      <c r="R239" t="str">
        <f t="shared" si="25"/>
        <v/>
      </c>
      <c r="S239" t="str">
        <f t="shared" si="26"/>
        <v/>
      </c>
      <c r="T239" t="str">
        <f>IF($N239="","",IF(Sync!$N239="",0,Sync!$N239))</f>
        <v/>
      </c>
      <c r="U239" t="str">
        <f>IF($N239="","",IF(Sync!$O239="",0,Sync!$O239))</f>
        <v/>
      </c>
      <c r="V239" t="str">
        <f>IF($N239="","",Sync!$L239)</f>
        <v/>
      </c>
      <c r="W239" t="str">
        <f>IF($N239="","",Sync!$P239)</f>
        <v/>
      </c>
      <c r="AA239" t="str">
        <f>IF($A239="","",IF(COUNTIF($A$6:$A239,$A239)=1,1,0))</f>
        <v/>
      </c>
      <c r="AB239">
        <f>SUM($AA$6:$AA239)</f>
        <v>3</v>
      </c>
      <c r="AC239" t="str">
        <f t="shared" si="27"/>
        <v/>
      </c>
    </row>
    <row r="240" spans="1:29" x14ac:dyDescent="0.2">
      <c r="A240" t="str">
        <f>IF(OR(Entry!$B243="",Entry!$E243="",$E240="نامعتبر"),"",Entry!$E243)</f>
        <v/>
      </c>
      <c r="B240" t="str">
        <f>IF($A240="","",LEFT($E240,4)&amp;MID($E240,6,2)&amp;RIGHT($E240,2)&amp;$F240&amp;"|"&amp;"1"&amp;RIGHT("00000"&amp;235,5))</f>
        <v/>
      </c>
      <c r="C240" t="str">
        <f t="shared" si="21"/>
        <v/>
      </c>
      <c r="D240" t="str">
        <f t="shared" si="22"/>
        <v/>
      </c>
      <c r="E240" t="str">
        <f>IF(Entry!$B243="","",IF(ISNUMBER(Entry!$B243),IF(AND(Entry!$B243&gt;=10000101,Entry!$B243&lt;=99991231),INT(Entry!$B243/10000)&amp;"/"&amp;RIGHT("00"&amp;INT(MOD(Entry!$B243,10000)/100),2)&amp;"/"&amp;RIGHT("00"&amp;MOD(Entry!$B243,100),2),"نامعتبر"),IF(LEN(Entry!$B243)=10,Entry!$B243,"نامعتبر")))</f>
        <v/>
      </c>
      <c r="F240" t="str">
        <f>IF(Entry!$B243="","",IF(Entry!$C243="","0000",IF(AND(ISNUMBER(Entry!$C243),Entry!$C243&gt;=0,Entry!$C243&lt;1),RIGHT("00"&amp;HOUR(Entry!$C243),2)&amp;RIGHT("00"&amp;MINUTE(Entry!$C243),2),IFERROR(RIGHT("00"&amp;VALUE(LEFT(Entry!$C243,FIND(":",Entry!$C243)-1)),2)&amp;RIGHT("00"&amp;VALUE(MID(Entry!$C243,FIND(":",Entry!$C243)+1,2)),2),"0000"))))</f>
        <v/>
      </c>
      <c r="G240" t="str">
        <f>IF($A240="","",Entry!$G243)</f>
        <v/>
      </c>
      <c r="H240" t="str">
        <f>IF($A240="","",IF(Entry!$H243="",0,Entry!$H243))</f>
        <v/>
      </c>
      <c r="I240" t="str">
        <f>IF($A240="","",IF(Entry!$I243="",0,Entry!$I243))</f>
        <v/>
      </c>
      <c r="J240" t="str">
        <f t="shared" si="23"/>
        <v/>
      </c>
      <c r="K240" t="str">
        <f>IF($A240="","",Entry!$D243)</f>
        <v/>
      </c>
      <c r="L240" t="str">
        <f>IF($A240="","",Entry!$L243)</f>
        <v/>
      </c>
      <c r="N240" t="str">
        <f>IF(OR(Sync!$M240="",$Q240="",$Q240="نامعتبر"),"",Sync!$M240)</f>
        <v/>
      </c>
      <c r="O240" t="str">
        <f t="shared" si="24"/>
        <v/>
      </c>
      <c r="P240" t="str">
        <f>IF($N240="","",LEFT($Q240,4)&amp;MID($Q240,6,2)&amp;RIGHT($Q240,2)&amp;IF(Sync!$K240="","0000",IF(AND(ISNUMBER(Sync!$K240),Sync!$K240&gt;=0,Sync!$K240&lt;1),RIGHT("00"&amp;HOUR(Sync!$K240),2)&amp;RIGHT("00"&amp;MINUTE(Sync!$K240),2),IFERROR(RIGHT("00"&amp;VALUE(LEFT(Sync!$K240,FIND(":",Sync!$K240)-1)),2)&amp;RIGHT("00"&amp;VALUE(MID(Sync!$K240,FIND(":",Sync!$K240)+1,2)),2),"0000")))&amp;"|"&amp;"2"&amp;RIGHT("00000"&amp;235,5))</f>
        <v/>
      </c>
      <c r="Q240" t="str">
        <f>IF(Sync!$J240="","",IF(ISNUMBER(Sync!$J240),IF(AND(Sync!$J240&gt;=10000101,Sync!$J240&lt;=99991231),INT(Sync!$J240/10000)&amp;"/"&amp;RIGHT("00"&amp;INT(MOD(Sync!$J240,10000)/100),2)&amp;"/"&amp;RIGHT("00"&amp;MOD(Sync!$J240,100),2),"نامعتبر"),IF(LEN(Sync!$J240)=10,Sync!$J240,"نامعتبر")))</f>
        <v/>
      </c>
      <c r="R240" t="str">
        <f t="shared" si="25"/>
        <v/>
      </c>
      <c r="S240" t="str">
        <f t="shared" si="26"/>
        <v/>
      </c>
      <c r="T240" t="str">
        <f>IF($N240="","",IF(Sync!$N240="",0,Sync!$N240))</f>
        <v/>
      </c>
      <c r="U240" t="str">
        <f>IF($N240="","",IF(Sync!$O240="",0,Sync!$O240))</f>
        <v/>
      </c>
      <c r="V240" t="str">
        <f>IF($N240="","",Sync!$L240)</f>
        <v/>
      </c>
      <c r="W240" t="str">
        <f>IF($N240="","",Sync!$P240)</f>
        <v/>
      </c>
      <c r="AA240" t="str">
        <f>IF($A240="","",IF(COUNTIF($A$6:$A240,$A240)=1,1,0))</f>
        <v/>
      </c>
      <c r="AB240">
        <f>SUM($AA$6:$AA240)</f>
        <v>3</v>
      </c>
      <c r="AC240" t="str">
        <f t="shared" si="27"/>
        <v/>
      </c>
    </row>
    <row r="241" spans="1:29" x14ac:dyDescent="0.2">
      <c r="A241" t="str">
        <f>IF(OR(Entry!$B244="",Entry!$E244="",$E241="نامعتبر"),"",Entry!$E244)</f>
        <v/>
      </c>
      <c r="B241" t="str">
        <f>IF($A241="","",LEFT($E241,4)&amp;MID($E241,6,2)&amp;RIGHT($E241,2)&amp;$F241&amp;"|"&amp;"1"&amp;RIGHT("00000"&amp;236,5))</f>
        <v/>
      </c>
      <c r="C241" t="str">
        <f t="shared" si="21"/>
        <v/>
      </c>
      <c r="D241" t="str">
        <f t="shared" si="22"/>
        <v/>
      </c>
      <c r="E241" t="str">
        <f>IF(Entry!$B244="","",IF(ISNUMBER(Entry!$B244),IF(AND(Entry!$B244&gt;=10000101,Entry!$B244&lt;=99991231),INT(Entry!$B244/10000)&amp;"/"&amp;RIGHT("00"&amp;INT(MOD(Entry!$B244,10000)/100),2)&amp;"/"&amp;RIGHT("00"&amp;MOD(Entry!$B244,100),2),"نامعتبر"),IF(LEN(Entry!$B244)=10,Entry!$B244,"نامعتبر")))</f>
        <v/>
      </c>
      <c r="F241" t="str">
        <f>IF(Entry!$B244="","",IF(Entry!$C244="","0000",IF(AND(ISNUMBER(Entry!$C244),Entry!$C244&gt;=0,Entry!$C244&lt;1),RIGHT("00"&amp;HOUR(Entry!$C244),2)&amp;RIGHT("00"&amp;MINUTE(Entry!$C244),2),IFERROR(RIGHT("00"&amp;VALUE(LEFT(Entry!$C244,FIND(":",Entry!$C244)-1)),2)&amp;RIGHT("00"&amp;VALUE(MID(Entry!$C244,FIND(":",Entry!$C244)+1,2)),2),"0000"))))</f>
        <v/>
      </c>
      <c r="G241" t="str">
        <f>IF($A241="","",Entry!$G244)</f>
        <v/>
      </c>
      <c r="H241" t="str">
        <f>IF($A241="","",IF(Entry!$H244="",0,Entry!$H244))</f>
        <v/>
      </c>
      <c r="I241" t="str">
        <f>IF($A241="","",IF(Entry!$I244="",0,Entry!$I244))</f>
        <v/>
      </c>
      <c r="J241" t="str">
        <f t="shared" si="23"/>
        <v/>
      </c>
      <c r="K241" t="str">
        <f>IF($A241="","",Entry!$D244)</f>
        <v/>
      </c>
      <c r="L241" t="str">
        <f>IF($A241="","",Entry!$L244)</f>
        <v/>
      </c>
      <c r="N241" t="str">
        <f>IF(OR(Sync!$M241="",$Q241="",$Q241="نامعتبر"),"",Sync!$M241)</f>
        <v/>
      </c>
      <c r="O241" t="str">
        <f t="shared" si="24"/>
        <v/>
      </c>
      <c r="P241" t="str">
        <f>IF($N241="","",LEFT($Q241,4)&amp;MID($Q241,6,2)&amp;RIGHT($Q241,2)&amp;IF(Sync!$K241="","0000",IF(AND(ISNUMBER(Sync!$K241),Sync!$K241&gt;=0,Sync!$K241&lt;1),RIGHT("00"&amp;HOUR(Sync!$K241),2)&amp;RIGHT("00"&amp;MINUTE(Sync!$K241),2),IFERROR(RIGHT("00"&amp;VALUE(LEFT(Sync!$K241,FIND(":",Sync!$K241)-1)),2)&amp;RIGHT("00"&amp;VALUE(MID(Sync!$K241,FIND(":",Sync!$K241)+1,2)),2),"0000")))&amp;"|"&amp;"2"&amp;RIGHT("00000"&amp;236,5))</f>
        <v/>
      </c>
      <c r="Q241" t="str">
        <f>IF(Sync!$J241="","",IF(ISNUMBER(Sync!$J241),IF(AND(Sync!$J241&gt;=10000101,Sync!$J241&lt;=99991231),INT(Sync!$J241/10000)&amp;"/"&amp;RIGHT("00"&amp;INT(MOD(Sync!$J241,10000)/100),2)&amp;"/"&amp;RIGHT("00"&amp;MOD(Sync!$J241,100),2),"نامعتبر"),IF(LEN(Sync!$J241)=10,Sync!$J241,"نامعتبر")))</f>
        <v/>
      </c>
      <c r="R241" t="str">
        <f t="shared" si="25"/>
        <v/>
      </c>
      <c r="S241" t="str">
        <f t="shared" si="26"/>
        <v/>
      </c>
      <c r="T241" t="str">
        <f>IF($N241="","",IF(Sync!$N241="",0,Sync!$N241))</f>
        <v/>
      </c>
      <c r="U241" t="str">
        <f>IF($N241="","",IF(Sync!$O241="",0,Sync!$O241))</f>
        <v/>
      </c>
      <c r="V241" t="str">
        <f>IF($N241="","",Sync!$L241)</f>
        <v/>
      </c>
      <c r="W241" t="str">
        <f>IF($N241="","",Sync!$P241)</f>
        <v/>
      </c>
      <c r="AA241" t="str">
        <f>IF($A241="","",IF(COUNTIF($A$6:$A241,$A241)=1,1,0))</f>
        <v/>
      </c>
      <c r="AB241">
        <f>SUM($AA$6:$AA241)</f>
        <v>3</v>
      </c>
      <c r="AC241" t="str">
        <f t="shared" si="27"/>
        <v/>
      </c>
    </row>
    <row r="242" spans="1:29" x14ac:dyDescent="0.2">
      <c r="A242" t="str">
        <f>IF(OR(Entry!$B245="",Entry!$E245="",$E242="نامعتبر"),"",Entry!$E245)</f>
        <v/>
      </c>
      <c r="B242" t="str">
        <f>IF($A242="","",LEFT($E242,4)&amp;MID($E242,6,2)&amp;RIGHT($E242,2)&amp;$F242&amp;"|"&amp;"1"&amp;RIGHT("00000"&amp;237,5))</f>
        <v/>
      </c>
      <c r="C242" t="str">
        <f t="shared" si="21"/>
        <v/>
      </c>
      <c r="D242" t="str">
        <f t="shared" si="22"/>
        <v/>
      </c>
      <c r="E242" t="str">
        <f>IF(Entry!$B245="","",IF(ISNUMBER(Entry!$B245),IF(AND(Entry!$B245&gt;=10000101,Entry!$B245&lt;=99991231),INT(Entry!$B245/10000)&amp;"/"&amp;RIGHT("00"&amp;INT(MOD(Entry!$B245,10000)/100),2)&amp;"/"&amp;RIGHT("00"&amp;MOD(Entry!$B245,100),2),"نامعتبر"),IF(LEN(Entry!$B245)=10,Entry!$B245,"نامعتبر")))</f>
        <v/>
      </c>
      <c r="F242" t="str">
        <f>IF(Entry!$B245="","",IF(Entry!$C245="","0000",IF(AND(ISNUMBER(Entry!$C245),Entry!$C245&gt;=0,Entry!$C245&lt;1),RIGHT("00"&amp;HOUR(Entry!$C245),2)&amp;RIGHT("00"&amp;MINUTE(Entry!$C245),2),IFERROR(RIGHT("00"&amp;VALUE(LEFT(Entry!$C245,FIND(":",Entry!$C245)-1)),2)&amp;RIGHT("00"&amp;VALUE(MID(Entry!$C245,FIND(":",Entry!$C245)+1,2)),2),"0000"))))</f>
        <v/>
      </c>
      <c r="G242" t="str">
        <f>IF($A242="","",Entry!$G245)</f>
        <v/>
      </c>
      <c r="H242" t="str">
        <f>IF($A242="","",IF(Entry!$H245="",0,Entry!$H245))</f>
        <v/>
      </c>
      <c r="I242" t="str">
        <f>IF($A242="","",IF(Entry!$I245="",0,Entry!$I245))</f>
        <v/>
      </c>
      <c r="J242" t="str">
        <f t="shared" si="23"/>
        <v/>
      </c>
      <c r="K242" t="str">
        <f>IF($A242="","",Entry!$D245)</f>
        <v/>
      </c>
      <c r="L242" t="str">
        <f>IF($A242="","",Entry!$L245)</f>
        <v/>
      </c>
      <c r="N242" t="str">
        <f>IF(OR(Sync!$M242="",$Q242="",$Q242="نامعتبر"),"",Sync!$M242)</f>
        <v/>
      </c>
      <c r="O242" t="str">
        <f t="shared" si="24"/>
        <v/>
      </c>
      <c r="P242" t="str">
        <f>IF($N242="","",LEFT($Q242,4)&amp;MID($Q242,6,2)&amp;RIGHT($Q242,2)&amp;IF(Sync!$K242="","0000",IF(AND(ISNUMBER(Sync!$K242),Sync!$K242&gt;=0,Sync!$K242&lt;1),RIGHT("00"&amp;HOUR(Sync!$K242),2)&amp;RIGHT("00"&amp;MINUTE(Sync!$K242),2),IFERROR(RIGHT("00"&amp;VALUE(LEFT(Sync!$K242,FIND(":",Sync!$K242)-1)),2)&amp;RIGHT("00"&amp;VALUE(MID(Sync!$K242,FIND(":",Sync!$K242)+1,2)),2),"0000")))&amp;"|"&amp;"2"&amp;RIGHT("00000"&amp;237,5))</f>
        <v/>
      </c>
      <c r="Q242" t="str">
        <f>IF(Sync!$J242="","",IF(ISNUMBER(Sync!$J242),IF(AND(Sync!$J242&gt;=10000101,Sync!$J242&lt;=99991231),INT(Sync!$J242/10000)&amp;"/"&amp;RIGHT("00"&amp;INT(MOD(Sync!$J242,10000)/100),2)&amp;"/"&amp;RIGHT("00"&amp;MOD(Sync!$J242,100),2),"نامعتبر"),IF(LEN(Sync!$J242)=10,Sync!$J242,"نامعتبر")))</f>
        <v/>
      </c>
      <c r="R242" t="str">
        <f t="shared" si="25"/>
        <v/>
      </c>
      <c r="S242" t="str">
        <f t="shared" si="26"/>
        <v/>
      </c>
      <c r="T242" t="str">
        <f>IF($N242="","",IF(Sync!$N242="",0,Sync!$N242))</f>
        <v/>
      </c>
      <c r="U242" t="str">
        <f>IF($N242="","",IF(Sync!$O242="",0,Sync!$O242))</f>
        <v/>
      </c>
      <c r="V242" t="str">
        <f>IF($N242="","",Sync!$L242)</f>
        <v/>
      </c>
      <c r="W242" t="str">
        <f>IF($N242="","",Sync!$P242)</f>
        <v/>
      </c>
      <c r="AA242" t="str">
        <f>IF($A242="","",IF(COUNTIF($A$6:$A242,$A242)=1,1,0))</f>
        <v/>
      </c>
      <c r="AB242">
        <f>SUM($AA$6:$AA242)</f>
        <v>3</v>
      </c>
      <c r="AC242" t="str">
        <f t="shared" si="27"/>
        <v/>
      </c>
    </row>
    <row r="243" spans="1:29" x14ac:dyDescent="0.2">
      <c r="A243" t="str">
        <f>IF(OR(Entry!$B246="",Entry!$E246="",$E243="نامعتبر"),"",Entry!$E246)</f>
        <v/>
      </c>
      <c r="B243" t="str">
        <f>IF($A243="","",LEFT($E243,4)&amp;MID($E243,6,2)&amp;RIGHT($E243,2)&amp;$F243&amp;"|"&amp;"1"&amp;RIGHT("00000"&amp;238,5))</f>
        <v/>
      </c>
      <c r="C243" t="str">
        <f t="shared" si="21"/>
        <v/>
      </c>
      <c r="D243" t="str">
        <f t="shared" si="22"/>
        <v/>
      </c>
      <c r="E243" t="str">
        <f>IF(Entry!$B246="","",IF(ISNUMBER(Entry!$B246),IF(AND(Entry!$B246&gt;=10000101,Entry!$B246&lt;=99991231),INT(Entry!$B246/10000)&amp;"/"&amp;RIGHT("00"&amp;INT(MOD(Entry!$B246,10000)/100),2)&amp;"/"&amp;RIGHT("00"&amp;MOD(Entry!$B246,100),2),"نامعتبر"),IF(LEN(Entry!$B246)=10,Entry!$B246,"نامعتبر")))</f>
        <v/>
      </c>
      <c r="F243" t="str">
        <f>IF(Entry!$B246="","",IF(Entry!$C246="","0000",IF(AND(ISNUMBER(Entry!$C246),Entry!$C246&gt;=0,Entry!$C246&lt;1),RIGHT("00"&amp;HOUR(Entry!$C246),2)&amp;RIGHT("00"&amp;MINUTE(Entry!$C246),2),IFERROR(RIGHT("00"&amp;VALUE(LEFT(Entry!$C246,FIND(":",Entry!$C246)-1)),2)&amp;RIGHT("00"&amp;VALUE(MID(Entry!$C246,FIND(":",Entry!$C246)+1,2)),2),"0000"))))</f>
        <v/>
      </c>
      <c r="G243" t="str">
        <f>IF($A243="","",Entry!$G246)</f>
        <v/>
      </c>
      <c r="H243" t="str">
        <f>IF($A243="","",IF(Entry!$H246="",0,Entry!$H246))</f>
        <v/>
      </c>
      <c r="I243" t="str">
        <f>IF($A243="","",IF(Entry!$I246="",0,Entry!$I246))</f>
        <v/>
      </c>
      <c r="J243" t="str">
        <f t="shared" si="23"/>
        <v/>
      </c>
      <c r="K243" t="str">
        <f>IF($A243="","",Entry!$D246)</f>
        <v/>
      </c>
      <c r="L243" t="str">
        <f>IF($A243="","",Entry!$L246)</f>
        <v/>
      </c>
      <c r="N243" t="str">
        <f>IF(OR(Sync!$M243="",$Q243="",$Q243="نامعتبر"),"",Sync!$M243)</f>
        <v/>
      </c>
      <c r="O243" t="str">
        <f t="shared" si="24"/>
        <v/>
      </c>
      <c r="P243" t="str">
        <f>IF($N243="","",LEFT($Q243,4)&amp;MID($Q243,6,2)&amp;RIGHT($Q243,2)&amp;IF(Sync!$K243="","0000",IF(AND(ISNUMBER(Sync!$K243),Sync!$K243&gt;=0,Sync!$K243&lt;1),RIGHT("00"&amp;HOUR(Sync!$K243),2)&amp;RIGHT("00"&amp;MINUTE(Sync!$K243),2),IFERROR(RIGHT("00"&amp;VALUE(LEFT(Sync!$K243,FIND(":",Sync!$K243)-1)),2)&amp;RIGHT("00"&amp;VALUE(MID(Sync!$K243,FIND(":",Sync!$K243)+1,2)),2),"0000")))&amp;"|"&amp;"2"&amp;RIGHT("00000"&amp;238,5))</f>
        <v/>
      </c>
      <c r="Q243" t="str">
        <f>IF(Sync!$J243="","",IF(ISNUMBER(Sync!$J243),IF(AND(Sync!$J243&gt;=10000101,Sync!$J243&lt;=99991231),INT(Sync!$J243/10000)&amp;"/"&amp;RIGHT("00"&amp;INT(MOD(Sync!$J243,10000)/100),2)&amp;"/"&amp;RIGHT("00"&amp;MOD(Sync!$J243,100),2),"نامعتبر"),IF(LEN(Sync!$J243)=10,Sync!$J243,"نامعتبر")))</f>
        <v/>
      </c>
      <c r="R243" t="str">
        <f t="shared" si="25"/>
        <v/>
      </c>
      <c r="S243" t="str">
        <f t="shared" si="26"/>
        <v/>
      </c>
      <c r="T243" t="str">
        <f>IF($N243="","",IF(Sync!$N243="",0,Sync!$N243))</f>
        <v/>
      </c>
      <c r="U243" t="str">
        <f>IF($N243="","",IF(Sync!$O243="",0,Sync!$O243))</f>
        <v/>
      </c>
      <c r="V243" t="str">
        <f>IF($N243="","",Sync!$L243)</f>
        <v/>
      </c>
      <c r="W243" t="str">
        <f>IF($N243="","",Sync!$P243)</f>
        <v/>
      </c>
      <c r="AA243" t="str">
        <f>IF($A243="","",IF(COUNTIF($A$6:$A243,$A243)=1,1,0))</f>
        <v/>
      </c>
      <c r="AB243">
        <f>SUM($AA$6:$AA243)</f>
        <v>3</v>
      </c>
      <c r="AC243" t="str">
        <f t="shared" si="27"/>
        <v/>
      </c>
    </row>
    <row r="244" spans="1:29" x14ac:dyDescent="0.2">
      <c r="A244" t="str">
        <f>IF(OR(Entry!$B247="",Entry!$E247="",$E244="نامعتبر"),"",Entry!$E247)</f>
        <v/>
      </c>
      <c r="B244" t="str">
        <f>IF($A244="","",LEFT($E244,4)&amp;MID($E244,6,2)&amp;RIGHT($E244,2)&amp;$F244&amp;"|"&amp;"1"&amp;RIGHT("00000"&amp;239,5))</f>
        <v/>
      </c>
      <c r="C244" t="str">
        <f t="shared" si="21"/>
        <v/>
      </c>
      <c r="D244" t="str">
        <f t="shared" si="22"/>
        <v/>
      </c>
      <c r="E244" t="str">
        <f>IF(Entry!$B247="","",IF(ISNUMBER(Entry!$B247),IF(AND(Entry!$B247&gt;=10000101,Entry!$B247&lt;=99991231),INT(Entry!$B247/10000)&amp;"/"&amp;RIGHT("00"&amp;INT(MOD(Entry!$B247,10000)/100),2)&amp;"/"&amp;RIGHT("00"&amp;MOD(Entry!$B247,100),2),"نامعتبر"),IF(LEN(Entry!$B247)=10,Entry!$B247,"نامعتبر")))</f>
        <v/>
      </c>
      <c r="F244" t="str">
        <f>IF(Entry!$B247="","",IF(Entry!$C247="","0000",IF(AND(ISNUMBER(Entry!$C247),Entry!$C247&gt;=0,Entry!$C247&lt;1),RIGHT("00"&amp;HOUR(Entry!$C247),2)&amp;RIGHT("00"&amp;MINUTE(Entry!$C247),2),IFERROR(RIGHT("00"&amp;VALUE(LEFT(Entry!$C247,FIND(":",Entry!$C247)-1)),2)&amp;RIGHT("00"&amp;VALUE(MID(Entry!$C247,FIND(":",Entry!$C247)+1,2)),2),"0000"))))</f>
        <v/>
      </c>
      <c r="G244" t="str">
        <f>IF($A244="","",Entry!$G247)</f>
        <v/>
      </c>
      <c r="H244" t="str">
        <f>IF($A244="","",IF(Entry!$H247="",0,Entry!$H247))</f>
        <v/>
      </c>
      <c r="I244" t="str">
        <f>IF($A244="","",IF(Entry!$I247="",0,Entry!$I247))</f>
        <v/>
      </c>
      <c r="J244" t="str">
        <f t="shared" si="23"/>
        <v/>
      </c>
      <c r="K244" t="str">
        <f>IF($A244="","",Entry!$D247)</f>
        <v/>
      </c>
      <c r="L244" t="str">
        <f>IF($A244="","",Entry!$L247)</f>
        <v/>
      </c>
      <c r="N244" t="str">
        <f>IF(OR(Sync!$M244="",$Q244="",$Q244="نامعتبر"),"",Sync!$M244)</f>
        <v/>
      </c>
      <c r="O244" t="str">
        <f t="shared" si="24"/>
        <v/>
      </c>
      <c r="P244" t="str">
        <f>IF($N244="","",LEFT($Q244,4)&amp;MID($Q244,6,2)&amp;RIGHT($Q244,2)&amp;IF(Sync!$K244="","0000",IF(AND(ISNUMBER(Sync!$K244),Sync!$K244&gt;=0,Sync!$K244&lt;1),RIGHT("00"&amp;HOUR(Sync!$K244),2)&amp;RIGHT("00"&amp;MINUTE(Sync!$K244),2),IFERROR(RIGHT("00"&amp;VALUE(LEFT(Sync!$K244,FIND(":",Sync!$K244)-1)),2)&amp;RIGHT("00"&amp;VALUE(MID(Sync!$K244,FIND(":",Sync!$K244)+1,2)),2),"0000")))&amp;"|"&amp;"2"&amp;RIGHT("00000"&amp;239,5))</f>
        <v/>
      </c>
      <c r="Q244" t="str">
        <f>IF(Sync!$J244="","",IF(ISNUMBER(Sync!$J244),IF(AND(Sync!$J244&gt;=10000101,Sync!$J244&lt;=99991231),INT(Sync!$J244/10000)&amp;"/"&amp;RIGHT("00"&amp;INT(MOD(Sync!$J244,10000)/100),2)&amp;"/"&amp;RIGHT("00"&amp;MOD(Sync!$J244,100),2),"نامعتبر"),IF(LEN(Sync!$J244)=10,Sync!$J244,"نامعتبر")))</f>
        <v/>
      </c>
      <c r="R244" t="str">
        <f t="shared" si="25"/>
        <v/>
      </c>
      <c r="S244" t="str">
        <f t="shared" si="26"/>
        <v/>
      </c>
      <c r="T244" t="str">
        <f>IF($N244="","",IF(Sync!$N244="",0,Sync!$N244))</f>
        <v/>
      </c>
      <c r="U244" t="str">
        <f>IF($N244="","",IF(Sync!$O244="",0,Sync!$O244))</f>
        <v/>
      </c>
      <c r="V244" t="str">
        <f>IF($N244="","",Sync!$L244)</f>
        <v/>
      </c>
      <c r="W244" t="str">
        <f>IF($N244="","",Sync!$P244)</f>
        <v/>
      </c>
      <c r="AA244" t="str">
        <f>IF($A244="","",IF(COUNTIF($A$6:$A244,$A244)=1,1,0))</f>
        <v/>
      </c>
      <c r="AB244">
        <f>SUM($AA$6:$AA244)</f>
        <v>3</v>
      </c>
      <c r="AC244" t="str">
        <f t="shared" si="27"/>
        <v/>
      </c>
    </row>
    <row r="245" spans="1:29" x14ac:dyDescent="0.2">
      <c r="A245" t="str">
        <f>IF(OR(Entry!$B248="",Entry!$E248="",$E245="نامعتبر"),"",Entry!$E248)</f>
        <v/>
      </c>
      <c r="B245" t="str">
        <f>IF($A245="","",LEFT($E245,4)&amp;MID($E245,6,2)&amp;RIGHT($E245,2)&amp;$F245&amp;"|"&amp;"1"&amp;RIGHT("00000"&amp;240,5))</f>
        <v/>
      </c>
      <c r="C245" t="str">
        <f t="shared" si="21"/>
        <v/>
      </c>
      <c r="D245" t="str">
        <f t="shared" si="22"/>
        <v/>
      </c>
      <c r="E245" t="str">
        <f>IF(Entry!$B248="","",IF(ISNUMBER(Entry!$B248),IF(AND(Entry!$B248&gt;=10000101,Entry!$B248&lt;=99991231),INT(Entry!$B248/10000)&amp;"/"&amp;RIGHT("00"&amp;INT(MOD(Entry!$B248,10000)/100),2)&amp;"/"&amp;RIGHT("00"&amp;MOD(Entry!$B248,100),2),"نامعتبر"),IF(LEN(Entry!$B248)=10,Entry!$B248,"نامعتبر")))</f>
        <v/>
      </c>
      <c r="F245" t="str">
        <f>IF(Entry!$B248="","",IF(Entry!$C248="","0000",IF(AND(ISNUMBER(Entry!$C248),Entry!$C248&gt;=0,Entry!$C248&lt;1),RIGHT("00"&amp;HOUR(Entry!$C248),2)&amp;RIGHT("00"&amp;MINUTE(Entry!$C248),2),IFERROR(RIGHT("00"&amp;VALUE(LEFT(Entry!$C248,FIND(":",Entry!$C248)-1)),2)&amp;RIGHT("00"&amp;VALUE(MID(Entry!$C248,FIND(":",Entry!$C248)+1,2)),2),"0000"))))</f>
        <v/>
      </c>
      <c r="G245" t="str">
        <f>IF($A245="","",Entry!$G248)</f>
        <v/>
      </c>
      <c r="H245" t="str">
        <f>IF($A245="","",IF(Entry!$H248="",0,Entry!$H248))</f>
        <v/>
      </c>
      <c r="I245" t="str">
        <f>IF($A245="","",IF(Entry!$I248="",0,Entry!$I248))</f>
        <v/>
      </c>
      <c r="J245" t="str">
        <f t="shared" si="23"/>
        <v/>
      </c>
      <c r="K245" t="str">
        <f>IF($A245="","",Entry!$D248)</f>
        <v/>
      </c>
      <c r="L245" t="str">
        <f>IF($A245="","",Entry!$L248)</f>
        <v/>
      </c>
      <c r="N245" t="str">
        <f>IF(OR(Sync!$M245="",$Q245="",$Q245="نامعتبر"),"",Sync!$M245)</f>
        <v/>
      </c>
      <c r="O245" t="str">
        <f t="shared" si="24"/>
        <v/>
      </c>
      <c r="P245" t="str">
        <f>IF($N245="","",LEFT($Q245,4)&amp;MID($Q245,6,2)&amp;RIGHT($Q245,2)&amp;IF(Sync!$K245="","0000",IF(AND(ISNUMBER(Sync!$K245),Sync!$K245&gt;=0,Sync!$K245&lt;1),RIGHT("00"&amp;HOUR(Sync!$K245),2)&amp;RIGHT("00"&amp;MINUTE(Sync!$K245),2),IFERROR(RIGHT("00"&amp;VALUE(LEFT(Sync!$K245,FIND(":",Sync!$K245)-1)),2)&amp;RIGHT("00"&amp;VALUE(MID(Sync!$K245,FIND(":",Sync!$K245)+1,2)),2),"0000")))&amp;"|"&amp;"2"&amp;RIGHT("00000"&amp;240,5))</f>
        <v/>
      </c>
      <c r="Q245" t="str">
        <f>IF(Sync!$J245="","",IF(ISNUMBER(Sync!$J245),IF(AND(Sync!$J245&gt;=10000101,Sync!$J245&lt;=99991231),INT(Sync!$J245/10000)&amp;"/"&amp;RIGHT("00"&amp;INT(MOD(Sync!$J245,10000)/100),2)&amp;"/"&amp;RIGHT("00"&amp;MOD(Sync!$J245,100),2),"نامعتبر"),IF(LEN(Sync!$J245)=10,Sync!$J245,"نامعتبر")))</f>
        <v/>
      </c>
      <c r="R245" t="str">
        <f t="shared" si="25"/>
        <v/>
      </c>
      <c r="S245" t="str">
        <f t="shared" si="26"/>
        <v/>
      </c>
      <c r="T245" t="str">
        <f>IF($N245="","",IF(Sync!$N245="",0,Sync!$N245))</f>
        <v/>
      </c>
      <c r="U245" t="str">
        <f>IF($N245="","",IF(Sync!$O245="",0,Sync!$O245))</f>
        <v/>
      </c>
      <c r="V245" t="str">
        <f>IF($N245="","",Sync!$L245)</f>
        <v/>
      </c>
      <c r="W245" t="str">
        <f>IF($N245="","",Sync!$P245)</f>
        <v/>
      </c>
      <c r="AA245" t="str">
        <f>IF($A245="","",IF(COUNTIF($A$6:$A245,$A245)=1,1,0))</f>
        <v/>
      </c>
      <c r="AB245">
        <f>SUM($AA$6:$AA245)</f>
        <v>3</v>
      </c>
      <c r="AC245" t="str">
        <f t="shared" si="27"/>
        <v/>
      </c>
    </row>
    <row r="246" spans="1:29" x14ac:dyDescent="0.2">
      <c r="A246" t="str">
        <f>IF(OR(Entry!$B249="",Entry!$E249="",$E246="نامعتبر"),"",Entry!$E249)</f>
        <v/>
      </c>
      <c r="B246" t="str">
        <f>IF($A246="","",LEFT($E246,4)&amp;MID($E246,6,2)&amp;RIGHT($E246,2)&amp;$F246&amp;"|"&amp;"1"&amp;RIGHT("00000"&amp;241,5))</f>
        <v/>
      </c>
      <c r="C246" t="str">
        <f t="shared" si="21"/>
        <v/>
      </c>
      <c r="D246" t="str">
        <f t="shared" si="22"/>
        <v/>
      </c>
      <c r="E246" t="str">
        <f>IF(Entry!$B249="","",IF(ISNUMBER(Entry!$B249),IF(AND(Entry!$B249&gt;=10000101,Entry!$B249&lt;=99991231),INT(Entry!$B249/10000)&amp;"/"&amp;RIGHT("00"&amp;INT(MOD(Entry!$B249,10000)/100),2)&amp;"/"&amp;RIGHT("00"&amp;MOD(Entry!$B249,100),2),"نامعتبر"),IF(LEN(Entry!$B249)=10,Entry!$B249,"نامعتبر")))</f>
        <v/>
      </c>
      <c r="F246" t="str">
        <f>IF(Entry!$B249="","",IF(Entry!$C249="","0000",IF(AND(ISNUMBER(Entry!$C249),Entry!$C249&gt;=0,Entry!$C249&lt;1),RIGHT("00"&amp;HOUR(Entry!$C249),2)&amp;RIGHT("00"&amp;MINUTE(Entry!$C249),2),IFERROR(RIGHT("00"&amp;VALUE(LEFT(Entry!$C249,FIND(":",Entry!$C249)-1)),2)&amp;RIGHT("00"&amp;VALUE(MID(Entry!$C249,FIND(":",Entry!$C249)+1,2)),2),"0000"))))</f>
        <v/>
      </c>
      <c r="G246" t="str">
        <f>IF($A246="","",Entry!$G249)</f>
        <v/>
      </c>
      <c r="H246" t="str">
        <f>IF($A246="","",IF(Entry!$H249="",0,Entry!$H249))</f>
        <v/>
      </c>
      <c r="I246" t="str">
        <f>IF($A246="","",IF(Entry!$I249="",0,Entry!$I249))</f>
        <v/>
      </c>
      <c r="J246" t="str">
        <f t="shared" si="23"/>
        <v/>
      </c>
      <c r="K246" t="str">
        <f>IF($A246="","",Entry!$D249)</f>
        <v/>
      </c>
      <c r="L246" t="str">
        <f>IF($A246="","",Entry!$L249)</f>
        <v/>
      </c>
      <c r="N246" t="str">
        <f>IF(OR(Sync!$M246="",$Q246="",$Q246="نامعتبر"),"",Sync!$M246)</f>
        <v/>
      </c>
      <c r="O246" t="str">
        <f t="shared" si="24"/>
        <v/>
      </c>
      <c r="P246" t="str">
        <f>IF($N246="","",LEFT($Q246,4)&amp;MID($Q246,6,2)&amp;RIGHT($Q246,2)&amp;IF(Sync!$K246="","0000",IF(AND(ISNUMBER(Sync!$K246),Sync!$K246&gt;=0,Sync!$K246&lt;1),RIGHT("00"&amp;HOUR(Sync!$K246),2)&amp;RIGHT("00"&amp;MINUTE(Sync!$K246),2),IFERROR(RIGHT("00"&amp;VALUE(LEFT(Sync!$K246,FIND(":",Sync!$K246)-1)),2)&amp;RIGHT("00"&amp;VALUE(MID(Sync!$K246,FIND(":",Sync!$K246)+1,2)),2),"0000")))&amp;"|"&amp;"2"&amp;RIGHT("00000"&amp;241,5))</f>
        <v/>
      </c>
      <c r="Q246" t="str">
        <f>IF(Sync!$J246="","",IF(ISNUMBER(Sync!$J246),IF(AND(Sync!$J246&gt;=10000101,Sync!$J246&lt;=99991231),INT(Sync!$J246/10000)&amp;"/"&amp;RIGHT("00"&amp;INT(MOD(Sync!$J246,10000)/100),2)&amp;"/"&amp;RIGHT("00"&amp;MOD(Sync!$J246,100),2),"نامعتبر"),IF(LEN(Sync!$J246)=10,Sync!$J246,"نامعتبر")))</f>
        <v/>
      </c>
      <c r="R246" t="str">
        <f t="shared" si="25"/>
        <v/>
      </c>
      <c r="S246" t="str">
        <f t="shared" si="26"/>
        <v/>
      </c>
      <c r="T246" t="str">
        <f>IF($N246="","",IF(Sync!$N246="",0,Sync!$N246))</f>
        <v/>
      </c>
      <c r="U246" t="str">
        <f>IF($N246="","",IF(Sync!$O246="",0,Sync!$O246))</f>
        <v/>
      </c>
      <c r="V246" t="str">
        <f>IF($N246="","",Sync!$L246)</f>
        <v/>
      </c>
      <c r="W246" t="str">
        <f>IF($N246="","",Sync!$P246)</f>
        <v/>
      </c>
      <c r="AA246" t="str">
        <f>IF($A246="","",IF(COUNTIF($A$6:$A246,$A246)=1,1,0))</f>
        <v/>
      </c>
      <c r="AB246">
        <f>SUM($AA$6:$AA246)</f>
        <v>3</v>
      </c>
      <c r="AC246" t="str">
        <f t="shared" si="27"/>
        <v/>
      </c>
    </row>
    <row r="247" spans="1:29" x14ac:dyDescent="0.2">
      <c r="A247" t="str">
        <f>IF(OR(Entry!$B250="",Entry!$E250="",$E247="نامعتبر"),"",Entry!$E250)</f>
        <v/>
      </c>
      <c r="B247" t="str">
        <f>IF($A247="","",LEFT($E247,4)&amp;MID($E247,6,2)&amp;RIGHT($E247,2)&amp;$F247&amp;"|"&amp;"1"&amp;RIGHT("00000"&amp;242,5))</f>
        <v/>
      </c>
      <c r="C247" t="str">
        <f t="shared" si="21"/>
        <v/>
      </c>
      <c r="D247" t="str">
        <f t="shared" si="22"/>
        <v/>
      </c>
      <c r="E247" t="str">
        <f>IF(Entry!$B250="","",IF(ISNUMBER(Entry!$B250),IF(AND(Entry!$B250&gt;=10000101,Entry!$B250&lt;=99991231),INT(Entry!$B250/10000)&amp;"/"&amp;RIGHT("00"&amp;INT(MOD(Entry!$B250,10000)/100),2)&amp;"/"&amp;RIGHT("00"&amp;MOD(Entry!$B250,100),2),"نامعتبر"),IF(LEN(Entry!$B250)=10,Entry!$B250,"نامعتبر")))</f>
        <v/>
      </c>
      <c r="F247" t="str">
        <f>IF(Entry!$B250="","",IF(Entry!$C250="","0000",IF(AND(ISNUMBER(Entry!$C250),Entry!$C250&gt;=0,Entry!$C250&lt;1),RIGHT("00"&amp;HOUR(Entry!$C250),2)&amp;RIGHT("00"&amp;MINUTE(Entry!$C250),2),IFERROR(RIGHT("00"&amp;VALUE(LEFT(Entry!$C250,FIND(":",Entry!$C250)-1)),2)&amp;RIGHT("00"&amp;VALUE(MID(Entry!$C250,FIND(":",Entry!$C250)+1,2)),2),"0000"))))</f>
        <v/>
      </c>
      <c r="G247" t="str">
        <f>IF($A247="","",Entry!$G250)</f>
        <v/>
      </c>
      <c r="H247" t="str">
        <f>IF($A247="","",IF(Entry!$H250="",0,Entry!$H250))</f>
        <v/>
      </c>
      <c r="I247" t="str">
        <f>IF($A247="","",IF(Entry!$I250="",0,Entry!$I250))</f>
        <v/>
      </c>
      <c r="J247" t="str">
        <f t="shared" si="23"/>
        <v/>
      </c>
      <c r="K247" t="str">
        <f>IF($A247="","",Entry!$D250)</f>
        <v/>
      </c>
      <c r="L247" t="str">
        <f>IF($A247="","",Entry!$L250)</f>
        <v/>
      </c>
      <c r="N247" t="str">
        <f>IF(OR(Sync!$M247="",$Q247="",$Q247="نامعتبر"),"",Sync!$M247)</f>
        <v/>
      </c>
      <c r="O247" t="str">
        <f t="shared" si="24"/>
        <v/>
      </c>
      <c r="P247" t="str">
        <f>IF($N247="","",LEFT($Q247,4)&amp;MID($Q247,6,2)&amp;RIGHT($Q247,2)&amp;IF(Sync!$K247="","0000",IF(AND(ISNUMBER(Sync!$K247),Sync!$K247&gt;=0,Sync!$K247&lt;1),RIGHT("00"&amp;HOUR(Sync!$K247),2)&amp;RIGHT("00"&amp;MINUTE(Sync!$K247),2),IFERROR(RIGHT("00"&amp;VALUE(LEFT(Sync!$K247,FIND(":",Sync!$K247)-1)),2)&amp;RIGHT("00"&amp;VALUE(MID(Sync!$K247,FIND(":",Sync!$K247)+1,2)),2),"0000")))&amp;"|"&amp;"2"&amp;RIGHT("00000"&amp;242,5))</f>
        <v/>
      </c>
      <c r="Q247" t="str">
        <f>IF(Sync!$J247="","",IF(ISNUMBER(Sync!$J247),IF(AND(Sync!$J247&gt;=10000101,Sync!$J247&lt;=99991231),INT(Sync!$J247/10000)&amp;"/"&amp;RIGHT("00"&amp;INT(MOD(Sync!$J247,10000)/100),2)&amp;"/"&amp;RIGHT("00"&amp;MOD(Sync!$J247,100),2),"نامعتبر"),IF(LEN(Sync!$J247)=10,Sync!$J247,"نامعتبر")))</f>
        <v/>
      </c>
      <c r="R247" t="str">
        <f t="shared" si="25"/>
        <v/>
      </c>
      <c r="S247" t="str">
        <f t="shared" si="26"/>
        <v/>
      </c>
      <c r="T247" t="str">
        <f>IF($N247="","",IF(Sync!$N247="",0,Sync!$N247))</f>
        <v/>
      </c>
      <c r="U247" t="str">
        <f>IF($N247="","",IF(Sync!$O247="",0,Sync!$O247))</f>
        <v/>
      </c>
      <c r="V247" t="str">
        <f>IF($N247="","",Sync!$L247)</f>
        <v/>
      </c>
      <c r="W247" t="str">
        <f>IF($N247="","",Sync!$P247)</f>
        <v/>
      </c>
      <c r="AA247" t="str">
        <f>IF($A247="","",IF(COUNTIF($A$6:$A247,$A247)=1,1,0))</f>
        <v/>
      </c>
      <c r="AB247">
        <f>SUM($AA$6:$AA247)</f>
        <v>3</v>
      </c>
      <c r="AC247" t="str">
        <f t="shared" si="27"/>
        <v/>
      </c>
    </row>
    <row r="248" spans="1:29" x14ac:dyDescent="0.2">
      <c r="A248" t="str">
        <f>IF(OR(Entry!$B251="",Entry!$E251="",$E248="نامعتبر"),"",Entry!$E251)</f>
        <v/>
      </c>
      <c r="B248" t="str">
        <f>IF($A248="","",LEFT($E248,4)&amp;MID($E248,6,2)&amp;RIGHT($E248,2)&amp;$F248&amp;"|"&amp;"1"&amp;RIGHT("00000"&amp;243,5))</f>
        <v/>
      </c>
      <c r="C248" t="str">
        <f t="shared" si="21"/>
        <v/>
      </c>
      <c r="D248" t="str">
        <f t="shared" si="22"/>
        <v/>
      </c>
      <c r="E248" t="str">
        <f>IF(Entry!$B251="","",IF(ISNUMBER(Entry!$B251),IF(AND(Entry!$B251&gt;=10000101,Entry!$B251&lt;=99991231),INT(Entry!$B251/10000)&amp;"/"&amp;RIGHT("00"&amp;INT(MOD(Entry!$B251,10000)/100),2)&amp;"/"&amp;RIGHT("00"&amp;MOD(Entry!$B251,100),2),"نامعتبر"),IF(LEN(Entry!$B251)=10,Entry!$B251,"نامعتبر")))</f>
        <v/>
      </c>
      <c r="F248" t="str">
        <f>IF(Entry!$B251="","",IF(Entry!$C251="","0000",IF(AND(ISNUMBER(Entry!$C251),Entry!$C251&gt;=0,Entry!$C251&lt;1),RIGHT("00"&amp;HOUR(Entry!$C251),2)&amp;RIGHT("00"&amp;MINUTE(Entry!$C251),2),IFERROR(RIGHT("00"&amp;VALUE(LEFT(Entry!$C251,FIND(":",Entry!$C251)-1)),2)&amp;RIGHT("00"&amp;VALUE(MID(Entry!$C251,FIND(":",Entry!$C251)+1,2)),2),"0000"))))</f>
        <v/>
      </c>
      <c r="G248" t="str">
        <f>IF($A248="","",Entry!$G251)</f>
        <v/>
      </c>
      <c r="H248" t="str">
        <f>IF($A248="","",IF(Entry!$H251="",0,Entry!$H251))</f>
        <v/>
      </c>
      <c r="I248" t="str">
        <f>IF($A248="","",IF(Entry!$I251="",0,Entry!$I251))</f>
        <v/>
      </c>
      <c r="J248" t="str">
        <f t="shared" si="23"/>
        <v/>
      </c>
      <c r="K248" t="str">
        <f>IF($A248="","",Entry!$D251)</f>
        <v/>
      </c>
      <c r="L248" t="str">
        <f>IF($A248="","",Entry!$L251)</f>
        <v/>
      </c>
      <c r="N248" t="str">
        <f>IF(OR(Sync!$M248="",$Q248="",$Q248="نامعتبر"),"",Sync!$M248)</f>
        <v/>
      </c>
      <c r="O248" t="str">
        <f t="shared" si="24"/>
        <v/>
      </c>
      <c r="P248" t="str">
        <f>IF($N248="","",LEFT($Q248,4)&amp;MID($Q248,6,2)&amp;RIGHT($Q248,2)&amp;IF(Sync!$K248="","0000",IF(AND(ISNUMBER(Sync!$K248),Sync!$K248&gt;=0,Sync!$K248&lt;1),RIGHT("00"&amp;HOUR(Sync!$K248),2)&amp;RIGHT("00"&amp;MINUTE(Sync!$K248),2),IFERROR(RIGHT("00"&amp;VALUE(LEFT(Sync!$K248,FIND(":",Sync!$K248)-1)),2)&amp;RIGHT("00"&amp;VALUE(MID(Sync!$K248,FIND(":",Sync!$K248)+1,2)),2),"0000")))&amp;"|"&amp;"2"&amp;RIGHT("00000"&amp;243,5))</f>
        <v/>
      </c>
      <c r="Q248" t="str">
        <f>IF(Sync!$J248="","",IF(ISNUMBER(Sync!$J248),IF(AND(Sync!$J248&gt;=10000101,Sync!$J248&lt;=99991231),INT(Sync!$J248/10000)&amp;"/"&amp;RIGHT("00"&amp;INT(MOD(Sync!$J248,10000)/100),2)&amp;"/"&amp;RIGHT("00"&amp;MOD(Sync!$J248,100),2),"نامعتبر"),IF(LEN(Sync!$J248)=10,Sync!$J248,"نامعتبر")))</f>
        <v/>
      </c>
      <c r="R248" t="str">
        <f t="shared" si="25"/>
        <v/>
      </c>
      <c r="S248" t="str">
        <f t="shared" si="26"/>
        <v/>
      </c>
      <c r="T248" t="str">
        <f>IF($N248="","",IF(Sync!$N248="",0,Sync!$N248))</f>
        <v/>
      </c>
      <c r="U248" t="str">
        <f>IF($N248="","",IF(Sync!$O248="",0,Sync!$O248))</f>
        <v/>
      </c>
      <c r="V248" t="str">
        <f>IF($N248="","",Sync!$L248)</f>
        <v/>
      </c>
      <c r="W248" t="str">
        <f>IF($N248="","",Sync!$P248)</f>
        <v/>
      </c>
      <c r="AA248" t="str">
        <f>IF($A248="","",IF(COUNTIF($A$6:$A248,$A248)=1,1,0))</f>
        <v/>
      </c>
      <c r="AB248">
        <f>SUM($AA$6:$AA248)</f>
        <v>3</v>
      </c>
      <c r="AC248" t="str">
        <f t="shared" si="27"/>
        <v/>
      </c>
    </row>
    <row r="249" spans="1:29" x14ac:dyDescent="0.2">
      <c r="A249" t="str">
        <f>IF(OR(Entry!$B252="",Entry!$E252="",$E249="نامعتبر"),"",Entry!$E252)</f>
        <v/>
      </c>
      <c r="B249" t="str">
        <f>IF($A249="","",LEFT($E249,4)&amp;MID($E249,6,2)&amp;RIGHT($E249,2)&amp;$F249&amp;"|"&amp;"1"&amp;RIGHT("00000"&amp;244,5))</f>
        <v/>
      </c>
      <c r="C249" t="str">
        <f t="shared" si="21"/>
        <v/>
      </c>
      <c r="D249" t="str">
        <f t="shared" si="22"/>
        <v/>
      </c>
      <c r="E249" t="str">
        <f>IF(Entry!$B252="","",IF(ISNUMBER(Entry!$B252),IF(AND(Entry!$B252&gt;=10000101,Entry!$B252&lt;=99991231),INT(Entry!$B252/10000)&amp;"/"&amp;RIGHT("00"&amp;INT(MOD(Entry!$B252,10000)/100),2)&amp;"/"&amp;RIGHT("00"&amp;MOD(Entry!$B252,100),2),"نامعتبر"),IF(LEN(Entry!$B252)=10,Entry!$B252,"نامعتبر")))</f>
        <v/>
      </c>
      <c r="F249" t="str">
        <f>IF(Entry!$B252="","",IF(Entry!$C252="","0000",IF(AND(ISNUMBER(Entry!$C252),Entry!$C252&gt;=0,Entry!$C252&lt;1),RIGHT("00"&amp;HOUR(Entry!$C252),2)&amp;RIGHT("00"&amp;MINUTE(Entry!$C252),2),IFERROR(RIGHT("00"&amp;VALUE(LEFT(Entry!$C252,FIND(":",Entry!$C252)-1)),2)&amp;RIGHT("00"&amp;VALUE(MID(Entry!$C252,FIND(":",Entry!$C252)+1,2)),2),"0000"))))</f>
        <v/>
      </c>
      <c r="G249" t="str">
        <f>IF($A249="","",Entry!$G252)</f>
        <v/>
      </c>
      <c r="H249" t="str">
        <f>IF($A249="","",IF(Entry!$H252="",0,Entry!$H252))</f>
        <v/>
      </c>
      <c r="I249" t="str">
        <f>IF($A249="","",IF(Entry!$I252="",0,Entry!$I252))</f>
        <v/>
      </c>
      <c r="J249" t="str">
        <f t="shared" si="23"/>
        <v/>
      </c>
      <c r="K249" t="str">
        <f>IF($A249="","",Entry!$D252)</f>
        <v/>
      </c>
      <c r="L249" t="str">
        <f>IF($A249="","",Entry!$L252)</f>
        <v/>
      </c>
      <c r="N249" t="str">
        <f>IF(OR(Sync!$M249="",$Q249="",$Q249="نامعتبر"),"",Sync!$M249)</f>
        <v/>
      </c>
      <c r="O249" t="str">
        <f t="shared" si="24"/>
        <v/>
      </c>
      <c r="P249" t="str">
        <f>IF($N249="","",LEFT($Q249,4)&amp;MID($Q249,6,2)&amp;RIGHT($Q249,2)&amp;IF(Sync!$K249="","0000",IF(AND(ISNUMBER(Sync!$K249),Sync!$K249&gt;=0,Sync!$K249&lt;1),RIGHT("00"&amp;HOUR(Sync!$K249),2)&amp;RIGHT("00"&amp;MINUTE(Sync!$K249),2),IFERROR(RIGHT("00"&amp;VALUE(LEFT(Sync!$K249,FIND(":",Sync!$K249)-1)),2)&amp;RIGHT("00"&amp;VALUE(MID(Sync!$K249,FIND(":",Sync!$K249)+1,2)),2),"0000")))&amp;"|"&amp;"2"&amp;RIGHT("00000"&amp;244,5))</f>
        <v/>
      </c>
      <c r="Q249" t="str">
        <f>IF(Sync!$J249="","",IF(ISNUMBER(Sync!$J249),IF(AND(Sync!$J249&gt;=10000101,Sync!$J249&lt;=99991231),INT(Sync!$J249/10000)&amp;"/"&amp;RIGHT("00"&amp;INT(MOD(Sync!$J249,10000)/100),2)&amp;"/"&amp;RIGHT("00"&amp;MOD(Sync!$J249,100),2),"نامعتبر"),IF(LEN(Sync!$J249)=10,Sync!$J249,"نامعتبر")))</f>
        <v/>
      </c>
      <c r="R249" t="str">
        <f t="shared" si="25"/>
        <v/>
      </c>
      <c r="S249" t="str">
        <f t="shared" si="26"/>
        <v/>
      </c>
      <c r="T249" t="str">
        <f>IF($N249="","",IF(Sync!$N249="",0,Sync!$N249))</f>
        <v/>
      </c>
      <c r="U249" t="str">
        <f>IF($N249="","",IF(Sync!$O249="",0,Sync!$O249))</f>
        <v/>
      </c>
      <c r="V249" t="str">
        <f>IF($N249="","",Sync!$L249)</f>
        <v/>
      </c>
      <c r="W249" t="str">
        <f>IF($N249="","",Sync!$P249)</f>
        <v/>
      </c>
      <c r="AA249" t="str">
        <f>IF($A249="","",IF(COUNTIF($A$6:$A249,$A249)=1,1,0))</f>
        <v/>
      </c>
      <c r="AB249">
        <f>SUM($AA$6:$AA249)</f>
        <v>3</v>
      </c>
      <c r="AC249" t="str">
        <f t="shared" si="27"/>
        <v/>
      </c>
    </row>
    <row r="250" spans="1:29" x14ac:dyDescent="0.2">
      <c r="A250" t="str">
        <f>IF(OR(Entry!$B253="",Entry!$E253="",$E250="نامعتبر"),"",Entry!$E253)</f>
        <v/>
      </c>
      <c r="B250" t="str">
        <f>IF($A250="","",LEFT($E250,4)&amp;MID($E250,6,2)&amp;RIGHT($E250,2)&amp;$F250&amp;"|"&amp;"1"&amp;RIGHT("00000"&amp;245,5))</f>
        <v/>
      </c>
      <c r="C250" t="str">
        <f t="shared" si="21"/>
        <v/>
      </c>
      <c r="D250" t="str">
        <f t="shared" si="22"/>
        <v/>
      </c>
      <c r="E250" t="str">
        <f>IF(Entry!$B253="","",IF(ISNUMBER(Entry!$B253),IF(AND(Entry!$B253&gt;=10000101,Entry!$B253&lt;=99991231),INT(Entry!$B253/10000)&amp;"/"&amp;RIGHT("00"&amp;INT(MOD(Entry!$B253,10000)/100),2)&amp;"/"&amp;RIGHT("00"&amp;MOD(Entry!$B253,100),2),"نامعتبر"),IF(LEN(Entry!$B253)=10,Entry!$B253,"نامعتبر")))</f>
        <v/>
      </c>
      <c r="F250" t="str">
        <f>IF(Entry!$B253="","",IF(Entry!$C253="","0000",IF(AND(ISNUMBER(Entry!$C253),Entry!$C253&gt;=0,Entry!$C253&lt;1),RIGHT("00"&amp;HOUR(Entry!$C253),2)&amp;RIGHT("00"&amp;MINUTE(Entry!$C253),2),IFERROR(RIGHT("00"&amp;VALUE(LEFT(Entry!$C253,FIND(":",Entry!$C253)-1)),2)&amp;RIGHT("00"&amp;VALUE(MID(Entry!$C253,FIND(":",Entry!$C253)+1,2)),2),"0000"))))</f>
        <v/>
      </c>
      <c r="G250" t="str">
        <f>IF($A250="","",Entry!$G253)</f>
        <v/>
      </c>
      <c r="H250" t="str">
        <f>IF($A250="","",IF(Entry!$H253="",0,Entry!$H253))</f>
        <v/>
      </c>
      <c r="I250" t="str">
        <f>IF($A250="","",IF(Entry!$I253="",0,Entry!$I253))</f>
        <v/>
      </c>
      <c r="J250" t="str">
        <f t="shared" si="23"/>
        <v/>
      </c>
      <c r="K250" t="str">
        <f>IF($A250="","",Entry!$D253)</f>
        <v/>
      </c>
      <c r="L250" t="str">
        <f>IF($A250="","",Entry!$L253)</f>
        <v/>
      </c>
      <c r="N250" t="str">
        <f>IF(OR(Sync!$M250="",$Q250="",$Q250="نامعتبر"),"",Sync!$M250)</f>
        <v/>
      </c>
      <c r="O250" t="str">
        <f t="shared" si="24"/>
        <v/>
      </c>
      <c r="P250" t="str">
        <f>IF($N250="","",LEFT($Q250,4)&amp;MID($Q250,6,2)&amp;RIGHT($Q250,2)&amp;IF(Sync!$K250="","0000",IF(AND(ISNUMBER(Sync!$K250),Sync!$K250&gt;=0,Sync!$K250&lt;1),RIGHT("00"&amp;HOUR(Sync!$K250),2)&amp;RIGHT("00"&amp;MINUTE(Sync!$K250),2),IFERROR(RIGHT("00"&amp;VALUE(LEFT(Sync!$K250,FIND(":",Sync!$K250)-1)),2)&amp;RIGHT("00"&amp;VALUE(MID(Sync!$K250,FIND(":",Sync!$K250)+1,2)),2),"0000")))&amp;"|"&amp;"2"&amp;RIGHT("00000"&amp;245,5))</f>
        <v/>
      </c>
      <c r="Q250" t="str">
        <f>IF(Sync!$J250="","",IF(ISNUMBER(Sync!$J250),IF(AND(Sync!$J250&gt;=10000101,Sync!$J250&lt;=99991231),INT(Sync!$J250/10000)&amp;"/"&amp;RIGHT("00"&amp;INT(MOD(Sync!$J250,10000)/100),2)&amp;"/"&amp;RIGHT("00"&amp;MOD(Sync!$J250,100),2),"نامعتبر"),IF(LEN(Sync!$J250)=10,Sync!$J250,"نامعتبر")))</f>
        <v/>
      </c>
      <c r="R250" t="str">
        <f t="shared" si="25"/>
        <v/>
      </c>
      <c r="S250" t="str">
        <f t="shared" si="26"/>
        <v/>
      </c>
      <c r="T250" t="str">
        <f>IF($N250="","",IF(Sync!$N250="",0,Sync!$N250))</f>
        <v/>
      </c>
      <c r="U250" t="str">
        <f>IF($N250="","",IF(Sync!$O250="",0,Sync!$O250))</f>
        <v/>
      </c>
      <c r="V250" t="str">
        <f>IF($N250="","",Sync!$L250)</f>
        <v/>
      </c>
      <c r="W250" t="str">
        <f>IF($N250="","",Sync!$P250)</f>
        <v/>
      </c>
      <c r="AA250" t="str">
        <f>IF($A250="","",IF(COUNTIF($A$6:$A250,$A250)=1,1,0))</f>
        <v/>
      </c>
      <c r="AB250">
        <f>SUM($AA$6:$AA250)</f>
        <v>3</v>
      </c>
      <c r="AC250" t="str">
        <f t="shared" si="27"/>
        <v/>
      </c>
    </row>
    <row r="251" spans="1:29" x14ac:dyDescent="0.2">
      <c r="A251" t="str">
        <f>IF(OR(Entry!$B254="",Entry!$E254="",$E251="نامعتبر"),"",Entry!$E254)</f>
        <v/>
      </c>
      <c r="B251" t="str">
        <f>IF($A251="","",LEFT($E251,4)&amp;MID($E251,6,2)&amp;RIGHT($E251,2)&amp;$F251&amp;"|"&amp;"1"&amp;RIGHT("00000"&amp;246,5))</f>
        <v/>
      </c>
      <c r="C251" t="str">
        <f t="shared" si="21"/>
        <v/>
      </c>
      <c r="D251" t="str">
        <f t="shared" si="22"/>
        <v/>
      </c>
      <c r="E251" t="str">
        <f>IF(Entry!$B254="","",IF(ISNUMBER(Entry!$B254),IF(AND(Entry!$B254&gt;=10000101,Entry!$B254&lt;=99991231),INT(Entry!$B254/10000)&amp;"/"&amp;RIGHT("00"&amp;INT(MOD(Entry!$B254,10000)/100),2)&amp;"/"&amp;RIGHT("00"&amp;MOD(Entry!$B254,100),2),"نامعتبر"),IF(LEN(Entry!$B254)=10,Entry!$B254,"نامعتبر")))</f>
        <v/>
      </c>
      <c r="F251" t="str">
        <f>IF(Entry!$B254="","",IF(Entry!$C254="","0000",IF(AND(ISNUMBER(Entry!$C254),Entry!$C254&gt;=0,Entry!$C254&lt;1),RIGHT("00"&amp;HOUR(Entry!$C254),2)&amp;RIGHT("00"&amp;MINUTE(Entry!$C254),2),IFERROR(RIGHT("00"&amp;VALUE(LEFT(Entry!$C254,FIND(":",Entry!$C254)-1)),2)&amp;RIGHT("00"&amp;VALUE(MID(Entry!$C254,FIND(":",Entry!$C254)+1,2)),2),"0000"))))</f>
        <v/>
      </c>
      <c r="G251" t="str">
        <f>IF($A251="","",Entry!$G254)</f>
        <v/>
      </c>
      <c r="H251" t="str">
        <f>IF($A251="","",IF(Entry!$H254="",0,Entry!$H254))</f>
        <v/>
      </c>
      <c r="I251" t="str">
        <f>IF($A251="","",IF(Entry!$I254="",0,Entry!$I254))</f>
        <v/>
      </c>
      <c r="J251" t="str">
        <f t="shared" si="23"/>
        <v/>
      </c>
      <c r="K251" t="str">
        <f>IF($A251="","",Entry!$D254)</f>
        <v/>
      </c>
      <c r="L251" t="str">
        <f>IF($A251="","",Entry!$L254)</f>
        <v/>
      </c>
      <c r="N251" t="str">
        <f>IF(OR(Sync!$M251="",$Q251="",$Q251="نامعتبر"),"",Sync!$M251)</f>
        <v/>
      </c>
      <c r="O251" t="str">
        <f t="shared" si="24"/>
        <v/>
      </c>
      <c r="P251" t="str">
        <f>IF($N251="","",LEFT($Q251,4)&amp;MID($Q251,6,2)&amp;RIGHT($Q251,2)&amp;IF(Sync!$K251="","0000",IF(AND(ISNUMBER(Sync!$K251),Sync!$K251&gt;=0,Sync!$K251&lt;1),RIGHT("00"&amp;HOUR(Sync!$K251),2)&amp;RIGHT("00"&amp;MINUTE(Sync!$K251),2),IFERROR(RIGHT("00"&amp;VALUE(LEFT(Sync!$K251,FIND(":",Sync!$K251)-1)),2)&amp;RIGHT("00"&amp;VALUE(MID(Sync!$K251,FIND(":",Sync!$K251)+1,2)),2),"0000")))&amp;"|"&amp;"2"&amp;RIGHT("00000"&amp;246,5))</f>
        <v/>
      </c>
      <c r="Q251" t="str">
        <f>IF(Sync!$J251="","",IF(ISNUMBER(Sync!$J251),IF(AND(Sync!$J251&gt;=10000101,Sync!$J251&lt;=99991231),INT(Sync!$J251/10000)&amp;"/"&amp;RIGHT("00"&amp;INT(MOD(Sync!$J251,10000)/100),2)&amp;"/"&amp;RIGHT("00"&amp;MOD(Sync!$J251,100),2),"نامعتبر"),IF(LEN(Sync!$J251)=10,Sync!$J251,"نامعتبر")))</f>
        <v/>
      </c>
      <c r="R251" t="str">
        <f t="shared" si="25"/>
        <v/>
      </c>
      <c r="S251" t="str">
        <f t="shared" si="26"/>
        <v/>
      </c>
      <c r="T251" t="str">
        <f>IF($N251="","",IF(Sync!$N251="",0,Sync!$N251))</f>
        <v/>
      </c>
      <c r="U251" t="str">
        <f>IF($N251="","",IF(Sync!$O251="",0,Sync!$O251))</f>
        <v/>
      </c>
      <c r="V251" t="str">
        <f>IF($N251="","",Sync!$L251)</f>
        <v/>
      </c>
      <c r="W251" t="str">
        <f>IF($N251="","",Sync!$P251)</f>
        <v/>
      </c>
      <c r="AA251" t="str">
        <f>IF($A251="","",IF(COUNTIF($A$6:$A251,$A251)=1,1,0))</f>
        <v/>
      </c>
      <c r="AB251">
        <f>SUM($AA$6:$AA251)</f>
        <v>3</v>
      </c>
      <c r="AC251" t="str">
        <f t="shared" si="27"/>
        <v/>
      </c>
    </row>
    <row r="252" spans="1:29" x14ac:dyDescent="0.2">
      <c r="A252" t="str">
        <f>IF(OR(Entry!$B255="",Entry!$E255="",$E252="نامعتبر"),"",Entry!$E255)</f>
        <v/>
      </c>
      <c r="B252" t="str">
        <f>IF($A252="","",LEFT($E252,4)&amp;MID($E252,6,2)&amp;RIGHT($E252,2)&amp;$F252&amp;"|"&amp;"1"&amp;RIGHT("00000"&amp;247,5))</f>
        <v/>
      </c>
      <c r="C252" t="str">
        <f t="shared" si="21"/>
        <v/>
      </c>
      <c r="D252" t="str">
        <f t="shared" si="22"/>
        <v/>
      </c>
      <c r="E252" t="str">
        <f>IF(Entry!$B255="","",IF(ISNUMBER(Entry!$B255),IF(AND(Entry!$B255&gt;=10000101,Entry!$B255&lt;=99991231),INT(Entry!$B255/10000)&amp;"/"&amp;RIGHT("00"&amp;INT(MOD(Entry!$B255,10000)/100),2)&amp;"/"&amp;RIGHT("00"&amp;MOD(Entry!$B255,100),2),"نامعتبر"),IF(LEN(Entry!$B255)=10,Entry!$B255,"نامعتبر")))</f>
        <v/>
      </c>
      <c r="F252" t="str">
        <f>IF(Entry!$B255="","",IF(Entry!$C255="","0000",IF(AND(ISNUMBER(Entry!$C255),Entry!$C255&gt;=0,Entry!$C255&lt;1),RIGHT("00"&amp;HOUR(Entry!$C255),2)&amp;RIGHT("00"&amp;MINUTE(Entry!$C255),2),IFERROR(RIGHT("00"&amp;VALUE(LEFT(Entry!$C255,FIND(":",Entry!$C255)-1)),2)&amp;RIGHT("00"&amp;VALUE(MID(Entry!$C255,FIND(":",Entry!$C255)+1,2)),2),"0000"))))</f>
        <v/>
      </c>
      <c r="G252" t="str">
        <f>IF($A252="","",Entry!$G255)</f>
        <v/>
      </c>
      <c r="H252" t="str">
        <f>IF($A252="","",IF(Entry!$H255="",0,Entry!$H255))</f>
        <v/>
      </c>
      <c r="I252" t="str">
        <f>IF($A252="","",IF(Entry!$I255="",0,Entry!$I255))</f>
        <v/>
      </c>
      <c r="J252" t="str">
        <f t="shared" si="23"/>
        <v/>
      </c>
      <c r="K252" t="str">
        <f>IF($A252="","",Entry!$D255)</f>
        <v/>
      </c>
      <c r="L252" t="str">
        <f>IF($A252="","",Entry!$L255)</f>
        <v/>
      </c>
      <c r="N252" t="str">
        <f>IF(OR(Sync!$M252="",$Q252="",$Q252="نامعتبر"),"",Sync!$M252)</f>
        <v/>
      </c>
      <c r="O252" t="str">
        <f t="shared" si="24"/>
        <v/>
      </c>
      <c r="P252" t="str">
        <f>IF($N252="","",LEFT($Q252,4)&amp;MID($Q252,6,2)&amp;RIGHT($Q252,2)&amp;IF(Sync!$K252="","0000",IF(AND(ISNUMBER(Sync!$K252),Sync!$K252&gt;=0,Sync!$K252&lt;1),RIGHT("00"&amp;HOUR(Sync!$K252),2)&amp;RIGHT("00"&amp;MINUTE(Sync!$K252),2),IFERROR(RIGHT("00"&amp;VALUE(LEFT(Sync!$K252,FIND(":",Sync!$K252)-1)),2)&amp;RIGHT("00"&amp;VALUE(MID(Sync!$K252,FIND(":",Sync!$K252)+1,2)),2),"0000")))&amp;"|"&amp;"2"&amp;RIGHT("00000"&amp;247,5))</f>
        <v/>
      </c>
      <c r="Q252" t="str">
        <f>IF(Sync!$J252="","",IF(ISNUMBER(Sync!$J252),IF(AND(Sync!$J252&gt;=10000101,Sync!$J252&lt;=99991231),INT(Sync!$J252/10000)&amp;"/"&amp;RIGHT("00"&amp;INT(MOD(Sync!$J252,10000)/100),2)&amp;"/"&amp;RIGHT("00"&amp;MOD(Sync!$J252,100),2),"نامعتبر"),IF(LEN(Sync!$J252)=10,Sync!$J252,"نامعتبر")))</f>
        <v/>
      </c>
      <c r="R252" t="str">
        <f t="shared" si="25"/>
        <v/>
      </c>
      <c r="S252" t="str">
        <f t="shared" si="26"/>
        <v/>
      </c>
      <c r="T252" t="str">
        <f>IF($N252="","",IF(Sync!$N252="",0,Sync!$N252))</f>
        <v/>
      </c>
      <c r="U252" t="str">
        <f>IF($N252="","",IF(Sync!$O252="",0,Sync!$O252))</f>
        <v/>
      </c>
      <c r="V252" t="str">
        <f>IF($N252="","",Sync!$L252)</f>
        <v/>
      </c>
      <c r="W252" t="str">
        <f>IF($N252="","",Sync!$P252)</f>
        <v/>
      </c>
      <c r="AA252" t="str">
        <f>IF($A252="","",IF(COUNTIF($A$6:$A252,$A252)=1,1,0))</f>
        <v/>
      </c>
      <c r="AB252">
        <f>SUM($AA$6:$AA252)</f>
        <v>3</v>
      </c>
      <c r="AC252" t="str">
        <f t="shared" si="27"/>
        <v/>
      </c>
    </row>
    <row r="253" spans="1:29" x14ac:dyDescent="0.2">
      <c r="A253" t="str">
        <f>IF(OR(Entry!$B256="",Entry!$E256="",$E253="نامعتبر"),"",Entry!$E256)</f>
        <v/>
      </c>
      <c r="B253" t="str">
        <f>IF($A253="","",LEFT($E253,4)&amp;MID($E253,6,2)&amp;RIGHT($E253,2)&amp;$F253&amp;"|"&amp;"1"&amp;RIGHT("00000"&amp;248,5))</f>
        <v/>
      </c>
      <c r="C253" t="str">
        <f t="shared" si="21"/>
        <v/>
      </c>
      <c r="D253" t="str">
        <f t="shared" si="22"/>
        <v/>
      </c>
      <c r="E253" t="str">
        <f>IF(Entry!$B256="","",IF(ISNUMBER(Entry!$B256),IF(AND(Entry!$B256&gt;=10000101,Entry!$B256&lt;=99991231),INT(Entry!$B256/10000)&amp;"/"&amp;RIGHT("00"&amp;INT(MOD(Entry!$B256,10000)/100),2)&amp;"/"&amp;RIGHT("00"&amp;MOD(Entry!$B256,100),2),"نامعتبر"),IF(LEN(Entry!$B256)=10,Entry!$B256,"نامعتبر")))</f>
        <v/>
      </c>
      <c r="F253" t="str">
        <f>IF(Entry!$B256="","",IF(Entry!$C256="","0000",IF(AND(ISNUMBER(Entry!$C256),Entry!$C256&gt;=0,Entry!$C256&lt;1),RIGHT("00"&amp;HOUR(Entry!$C256),2)&amp;RIGHT("00"&amp;MINUTE(Entry!$C256),2),IFERROR(RIGHT("00"&amp;VALUE(LEFT(Entry!$C256,FIND(":",Entry!$C256)-1)),2)&amp;RIGHT("00"&amp;VALUE(MID(Entry!$C256,FIND(":",Entry!$C256)+1,2)),2),"0000"))))</f>
        <v/>
      </c>
      <c r="G253" t="str">
        <f>IF($A253="","",Entry!$G256)</f>
        <v/>
      </c>
      <c r="H253" t="str">
        <f>IF($A253="","",IF(Entry!$H256="",0,Entry!$H256))</f>
        <v/>
      </c>
      <c r="I253" t="str">
        <f>IF($A253="","",IF(Entry!$I256="",0,Entry!$I256))</f>
        <v/>
      </c>
      <c r="J253" t="str">
        <f t="shared" si="23"/>
        <v/>
      </c>
      <c r="K253" t="str">
        <f>IF($A253="","",Entry!$D256)</f>
        <v/>
      </c>
      <c r="L253" t="str">
        <f>IF($A253="","",Entry!$L256)</f>
        <v/>
      </c>
      <c r="N253" t="str">
        <f>IF(OR(Sync!$M253="",$Q253="",$Q253="نامعتبر"),"",Sync!$M253)</f>
        <v/>
      </c>
      <c r="O253" t="str">
        <f t="shared" si="24"/>
        <v/>
      </c>
      <c r="P253" t="str">
        <f>IF($N253="","",LEFT($Q253,4)&amp;MID($Q253,6,2)&amp;RIGHT($Q253,2)&amp;IF(Sync!$K253="","0000",IF(AND(ISNUMBER(Sync!$K253),Sync!$K253&gt;=0,Sync!$K253&lt;1),RIGHT("00"&amp;HOUR(Sync!$K253),2)&amp;RIGHT("00"&amp;MINUTE(Sync!$K253),2),IFERROR(RIGHT("00"&amp;VALUE(LEFT(Sync!$K253,FIND(":",Sync!$K253)-1)),2)&amp;RIGHT("00"&amp;VALUE(MID(Sync!$K253,FIND(":",Sync!$K253)+1,2)),2),"0000")))&amp;"|"&amp;"2"&amp;RIGHT("00000"&amp;248,5))</f>
        <v/>
      </c>
      <c r="Q253" t="str">
        <f>IF(Sync!$J253="","",IF(ISNUMBER(Sync!$J253),IF(AND(Sync!$J253&gt;=10000101,Sync!$J253&lt;=99991231),INT(Sync!$J253/10000)&amp;"/"&amp;RIGHT("00"&amp;INT(MOD(Sync!$J253,10000)/100),2)&amp;"/"&amp;RIGHT("00"&amp;MOD(Sync!$J253,100),2),"نامعتبر"),IF(LEN(Sync!$J253)=10,Sync!$J253,"نامعتبر")))</f>
        <v/>
      </c>
      <c r="R253" t="str">
        <f t="shared" si="25"/>
        <v/>
      </c>
      <c r="S253" t="str">
        <f t="shared" si="26"/>
        <v/>
      </c>
      <c r="T253" t="str">
        <f>IF($N253="","",IF(Sync!$N253="",0,Sync!$N253))</f>
        <v/>
      </c>
      <c r="U253" t="str">
        <f>IF($N253="","",IF(Sync!$O253="",0,Sync!$O253))</f>
        <v/>
      </c>
      <c r="V253" t="str">
        <f>IF($N253="","",Sync!$L253)</f>
        <v/>
      </c>
      <c r="W253" t="str">
        <f>IF($N253="","",Sync!$P253)</f>
        <v/>
      </c>
      <c r="AA253" t="str">
        <f>IF($A253="","",IF(COUNTIF($A$6:$A253,$A253)=1,1,0))</f>
        <v/>
      </c>
      <c r="AB253">
        <f>SUM($AA$6:$AA253)</f>
        <v>3</v>
      </c>
      <c r="AC253" t="str">
        <f t="shared" si="27"/>
        <v/>
      </c>
    </row>
    <row r="254" spans="1:29" x14ac:dyDescent="0.2">
      <c r="A254" t="str">
        <f>IF(OR(Entry!$B257="",Entry!$E257="",$E254="نامعتبر"),"",Entry!$E257)</f>
        <v/>
      </c>
      <c r="B254" t="str">
        <f>IF($A254="","",LEFT($E254,4)&amp;MID($E254,6,2)&amp;RIGHT($E254,2)&amp;$F254&amp;"|"&amp;"1"&amp;RIGHT("00000"&amp;249,5))</f>
        <v/>
      </c>
      <c r="C254" t="str">
        <f t="shared" si="21"/>
        <v/>
      </c>
      <c r="D254" t="str">
        <f t="shared" si="22"/>
        <v/>
      </c>
      <c r="E254" t="str">
        <f>IF(Entry!$B257="","",IF(ISNUMBER(Entry!$B257),IF(AND(Entry!$B257&gt;=10000101,Entry!$B257&lt;=99991231),INT(Entry!$B257/10000)&amp;"/"&amp;RIGHT("00"&amp;INT(MOD(Entry!$B257,10000)/100),2)&amp;"/"&amp;RIGHT("00"&amp;MOD(Entry!$B257,100),2),"نامعتبر"),IF(LEN(Entry!$B257)=10,Entry!$B257,"نامعتبر")))</f>
        <v/>
      </c>
      <c r="F254" t="str">
        <f>IF(Entry!$B257="","",IF(Entry!$C257="","0000",IF(AND(ISNUMBER(Entry!$C257),Entry!$C257&gt;=0,Entry!$C257&lt;1),RIGHT("00"&amp;HOUR(Entry!$C257),2)&amp;RIGHT("00"&amp;MINUTE(Entry!$C257),2),IFERROR(RIGHT("00"&amp;VALUE(LEFT(Entry!$C257,FIND(":",Entry!$C257)-1)),2)&amp;RIGHT("00"&amp;VALUE(MID(Entry!$C257,FIND(":",Entry!$C257)+1,2)),2),"0000"))))</f>
        <v/>
      </c>
      <c r="G254" t="str">
        <f>IF($A254="","",Entry!$G257)</f>
        <v/>
      </c>
      <c r="H254" t="str">
        <f>IF($A254="","",IF(Entry!$H257="",0,Entry!$H257))</f>
        <v/>
      </c>
      <c r="I254" t="str">
        <f>IF($A254="","",IF(Entry!$I257="",0,Entry!$I257))</f>
        <v/>
      </c>
      <c r="J254" t="str">
        <f t="shared" si="23"/>
        <v/>
      </c>
      <c r="K254" t="str">
        <f>IF($A254="","",Entry!$D257)</f>
        <v/>
      </c>
      <c r="L254" t="str">
        <f>IF($A254="","",Entry!$L257)</f>
        <v/>
      </c>
      <c r="N254" t="str">
        <f>IF(OR(Sync!$M254="",$Q254="",$Q254="نامعتبر"),"",Sync!$M254)</f>
        <v/>
      </c>
      <c r="O254" t="str">
        <f t="shared" si="24"/>
        <v/>
      </c>
      <c r="P254" t="str">
        <f>IF($N254="","",LEFT($Q254,4)&amp;MID($Q254,6,2)&amp;RIGHT($Q254,2)&amp;IF(Sync!$K254="","0000",IF(AND(ISNUMBER(Sync!$K254),Sync!$K254&gt;=0,Sync!$K254&lt;1),RIGHT("00"&amp;HOUR(Sync!$K254),2)&amp;RIGHT("00"&amp;MINUTE(Sync!$K254),2),IFERROR(RIGHT("00"&amp;VALUE(LEFT(Sync!$K254,FIND(":",Sync!$K254)-1)),2)&amp;RIGHT("00"&amp;VALUE(MID(Sync!$K254,FIND(":",Sync!$K254)+1,2)),2),"0000")))&amp;"|"&amp;"2"&amp;RIGHT("00000"&amp;249,5))</f>
        <v/>
      </c>
      <c r="Q254" t="str">
        <f>IF(Sync!$J254="","",IF(ISNUMBER(Sync!$J254),IF(AND(Sync!$J254&gt;=10000101,Sync!$J254&lt;=99991231),INT(Sync!$J254/10000)&amp;"/"&amp;RIGHT("00"&amp;INT(MOD(Sync!$J254,10000)/100),2)&amp;"/"&amp;RIGHT("00"&amp;MOD(Sync!$J254,100),2),"نامعتبر"),IF(LEN(Sync!$J254)=10,Sync!$J254,"نامعتبر")))</f>
        <v/>
      </c>
      <c r="R254" t="str">
        <f t="shared" si="25"/>
        <v/>
      </c>
      <c r="S254" t="str">
        <f t="shared" si="26"/>
        <v/>
      </c>
      <c r="T254" t="str">
        <f>IF($N254="","",IF(Sync!$N254="",0,Sync!$N254))</f>
        <v/>
      </c>
      <c r="U254" t="str">
        <f>IF($N254="","",IF(Sync!$O254="",0,Sync!$O254))</f>
        <v/>
      </c>
      <c r="V254" t="str">
        <f>IF($N254="","",Sync!$L254)</f>
        <v/>
      </c>
      <c r="W254" t="str">
        <f>IF($N254="","",Sync!$P254)</f>
        <v/>
      </c>
      <c r="AA254" t="str">
        <f>IF($A254="","",IF(COUNTIF($A$6:$A254,$A254)=1,1,0))</f>
        <v/>
      </c>
      <c r="AB254">
        <f>SUM($AA$6:$AA254)</f>
        <v>3</v>
      </c>
      <c r="AC254" t="str">
        <f t="shared" si="27"/>
        <v/>
      </c>
    </row>
    <row r="255" spans="1:29" x14ac:dyDescent="0.2">
      <c r="A255" t="str">
        <f>IF(OR(Entry!$B258="",Entry!$E258="",$E255="نامعتبر"),"",Entry!$E258)</f>
        <v/>
      </c>
      <c r="B255" t="str">
        <f>IF($A255="","",LEFT($E255,4)&amp;MID($E255,6,2)&amp;RIGHT($E255,2)&amp;$F255&amp;"|"&amp;"1"&amp;RIGHT("00000"&amp;250,5))</f>
        <v/>
      </c>
      <c r="C255" t="str">
        <f t="shared" si="21"/>
        <v/>
      </c>
      <c r="D255" t="str">
        <f t="shared" si="22"/>
        <v/>
      </c>
      <c r="E255" t="str">
        <f>IF(Entry!$B258="","",IF(ISNUMBER(Entry!$B258),IF(AND(Entry!$B258&gt;=10000101,Entry!$B258&lt;=99991231),INT(Entry!$B258/10000)&amp;"/"&amp;RIGHT("00"&amp;INT(MOD(Entry!$B258,10000)/100),2)&amp;"/"&amp;RIGHT("00"&amp;MOD(Entry!$B258,100),2),"نامعتبر"),IF(LEN(Entry!$B258)=10,Entry!$B258,"نامعتبر")))</f>
        <v/>
      </c>
      <c r="F255" t="str">
        <f>IF(Entry!$B258="","",IF(Entry!$C258="","0000",IF(AND(ISNUMBER(Entry!$C258),Entry!$C258&gt;=0,Entry!$C258&lt;1),RIGHT("00"&amp;HOUR(Entry!$C258),2)&amp;RIGHT("00"&amp;MINUTE(Entry!$C258),2),IFERROR(RIGHT("00"&amp;VALUE(LEFT(Entry!$C258,FIND(":",Entry!$C258)-1)),2)&amp;RIGHT("00"&amp;VALUE(MID(Entry!$C258,FIND(":",Entry!$C258)+1,2)),2),"0000"))))</f>
        <v/>
      </c>
      <c r="G255" t="str">
        <f>IF($A255="","",Entry!$G258)</f>
        <v/>
      </c>
      <c r="H255" t="str">
        <f>IF($A255="","",IF(Entry!$H258="",0,Entry!$H258))</f>
        <v/>
      </c>
      <c r="I255" t="str">
        <f>IF($A255="","",IF(Entry!$I258="",0,Entry!$I258))</f>
        <v/>
      </c>
      <c r="J255" t="str">
        <f t="shared" si="23"/>
        <v/>
      </c>
      <c r="K255" t="str">
        <f>IF($A255="","",Entry!$D258)</f>
        <v/>
      </c>
      <c r="L255" t="str">
        <f>IF($A255="","",Entry!$L258)</f>
        <v/>
      </c>
      <c r="N255" t="str">
        <f>IF(OR(Sync!$M255="",$Q255="",$Q255="نامعتبر"),"",Sync!$M255)</f>
        <v/>
      </c>
      <c r="O255" t="str">
        <f t="shared" si="24"/>
        <v/>
      </c>
      <c r="P255" t="str">
        <f>IF($N255="","",LEFT($Q255,4)&amp;MID($Q255,6,2)&amp;RIGHT($Q255,2)&amp;IF(Sync!$K255="","0000",IF(AND(ISNUMBER(Sync!$K255),Sync!$K255&gt;=0,Sync!$K255&lt;1),RIGHT("00"&amp;HOUR(Sync!$K255),2)&amp;RIGHT("00"&amp;MINUTE(Sync!$K255),2),IFERROR(RIGHT("00"&amp;VALUE(LEFT(Sync!$K255,FIND(":",Sync!$K255)-1)),2)&amp;RIGHT("00"&amp;VALUE(MID(Sync!$K255,FIND(":",Sync!$K255)+1,2)),2),"0000")))&amp;"|"&amp;"2"&amp;RIGHT("00000"&amp;250,5))</f>
        <v/>
      </c>
      <c r="Q255" t="str">
        <f>IF(Sync!$J255="","",IF(ISNUMBER(Sync!$J255),IF(AND(Sync!$J255&gt;=10000101,Sync!$J255&lt;=99991231),INT(Sync!$J255/10000)&amp;"/"&amp;RIGHT("00"&amp;INT(MOD(Sync!$J255,10000)/100),2)&amp;"/"&amp;RIGHT("00"&amp;MOD(Sync!$J255,100),2),"نامعتبر"),IF(LEN(Sync!$J255)=10,Sync!$J255,"نامعتبر")))</f>
        <v/>
      </c>
      <c r="R255" t="str">
        <f t="shared" si="25"/>
        <v/>
      </c>
      <c r="S255" t="str">
        <f t="shared" si="26"/>
        <v/>
      </c>
      <c r="T255" t="str">
        <f>IF($N255="","",IF(Sync!$N255="",0,Sync!$N255))</f>
        <v/>
      </c>
      <c r="U255" t="str">
        <f>IF($N255="","",IF(Sync!$O255="",0,Sync!$O255))</f>
        <v/>
      </c>
      <c r="V255" t="str">
        <f>IF($N255="","",Sync!$L255)</f>
        <v/>
      </c>
      <c r="W255" t="str">
        <f>IF($N255="","",Sync!$P255)</f>
        <v/>
      </c>
      <c r="AA255" t="str">
        <f>IF($A255="","",IF(COUNTIF($A$6:$A255,$A255)=1,1,0))</f>
        <v/>
      </c>
      <c r="AB255">
        <f>SUM($AA$6:$AA255)</f>
        <v>3</v>
      </c>
      <c r="AC255" t="str">
        <f t="shared" si="27"/>
        <v/>
      </c>
    </row>
    <row r="256" spans="1:29" x14ac:dyDescent="0.2">
      <c r="A256" t="str">
        <f>IF(OR(Entry!$B259="",Entry!$E259="",$E256="نامعتبر"),"",Entry!$E259)</f>
        <v/>
      </c>
      <c r="B256" t="str">
        <f>IF($A256="","",LEFT($E256,4)&amp;MID($E256,6,2)&amp;RIGHT($E256,2)&amp;$F256&amp;"|"&amp;"1"&amp;RIGHT("00000"&amp;251,5))</f>
        <v/>
      </c>
      <c r="C256" t="str">
        <f t="shared" si="21"/>
        <v/>
      </c>
      <c r="D256" t="str">
        <f t="shared" si="22"/>
        <v/>
      </c>
      <c r="E256" t="str">
        <f>IF(Entry!$B259="","",IF(ISNUMBER(Entry!$B259),IF(AND(Entry!$B259&gt;=10000101,Entry!$B259&lt;=99991231),INT(Entry!$B259/10000)&amp;"/"&amp;RIGHT("00"&amp;INT(MOD(Entry!$B259,10000)/100),2)&amp;"/"&amp;RIGHT("00"&amp;MOD(Entry!$B259,100),2),"نامعتبر"),IF(LEN(Entry!$B259)=10,Entry!$B259,"نامعتبر")))</f>
        <v/>
      </c>
      <c r="F256" t="str">
        <f>IF(Entry!$B259="","",IF(Entry!$C259="","0000",IF(AND(ISNUMBER(Entry!$C259),Entry!$C259&gt;=0,Entry!$C259&lt;1),RIGHT("00"&amp;HOUR(Entry!$C259),2)&amp;RIGHT("00"&amp;MINUTE(Entry!$C259),2),IFERROR(RIGHT("00"&amp;VALUE(LEFT(Entry!$C259,FIND(":",Entry!$C259)-1)),2)&amp;RIGHT("00"&amp;VALUE(MID(Entry!$C259,FIND(":",Entry!$C259)+1,2)),2),"0000"))))</f>
        <v/>
      </c>
      <c r="G256" t="str">
        <f>IF($A256="","",Entry!$G259)</f>
        <v/>
      </c>
      <c r="H256" t="str">
        <f>IF($A256="","",IF(Entry!$H259="",0,Entry!$H259))</f>
        <v/>
      </c>
      <c r="I256" t="str">
        <f>IF($A256="","",IF(Entry!$I259="",0,Entry!$I259))</f>
        <v/>
      </c>
      <c r="J256" t="str">
        <f t="shared" si="23"/>
        <v/>
      </c>
      <c r="K256" t="str">
        <f>IF($A256="","",Entry!$D259)</f>
        <v/>
      </c>
      <c r="L256" t="str">
        <f>IF($A256="","",Entry!$L259)</f>
        <v/>
      </c>
      <c r="N256" t="str">
        <f>IF(OR(Sync!$M256="",$Q256="",$Q256="نامعتبر"),"",Sync!$M256)</f>
        <v/>
      </c>
      <c r="O256" t="str">
        <f t="shared" si="24"/>
        <v/>
      </c>
      <c r="P256" t="str">
        <f>IF($N256="","",LEFT($Q256,4)&amp;MID($Q256,6,2)&amp;RIGHT($Q256,2)&amp;IF(Sync!$K256="","0000",IF(AND(ISNUMBER(Sync!$K256),Sync!$K256&gt;=0,Sync!$K256&lt;1),RIGHT("00"&amp;HOUR(Sync!$K256),2)&amp;RIGHT("00"&amp;MINUTE(Sync!$K256),2),IFERROR(RIGHT("00"&amp;VALUE(LEFT(Sync!$K256,FIND(":",Sync!$K256)-1)),2)&amp;RIGHT("00"&amp;VALUE(MID(Sync!$K256,FIND(":",Sync!$K256)+1,2)),2),"0000")))&amp;"|"&amp;"2"&amp;RIGHT("00000"&amp;251,5))</f>
        <v/>
      </c>
      <c r="Q256" t="str">
        <f>IF(Sync!$J256="","",IF(ISNUMBER(Sync!$J256),IF(AND(Sync!$J256&gt;=10000101,Sync!$J256&lt;=99991231),INT(Sync!$J256/10000)&amp;"/"&amp;RIGHT("00"&amp;INT(MOD(Sync!$J256,10000)/100),2)&amp;"/"&amp;RIGHT("00"&amp;MOD(Sync!$J256,100),2),"نامعتبر"),IF(LEN(Sync!$J256)=10,Sync!$J256,"نامعتبر")))</f>
        <v/>
      </c>
      <c r="R256" t="str">
        <f t="shared" si="25"/>
        <v/>
      </c>
      <c r="S256" t="str">
        <f t="shared" si="26"/>
        <v/>
      </c>
      <c r="T256" t="str">
        <f>IF($N256="","",IF(Sync!$N256="",0,Sync!$N256))</f>
        <v/>
      </c>
      <c r="U256" t="str">
        <f>IF($N256="","",IF(Sync!$O256="",0,Sync!$O256))</f>
        <v/>
      </c>
      <c r="V256" t="str">
        <f>IF($N256="","",Sync!$L256)</f>
        <v/>
      </c>
      <c r="W256" t="str">
        <f>IF($N256="","",Sync!$P256)</f>
        <v/>
      </c>
      <c r="AA256" t="str">
        <f>IF($A256="","",IF(COUNTIF($A$6:$A256,$A256)=1,1,0))</f>
        <v/>
      </c>
      <c r="AB256">
        <f>SUM($AA$6:$AA256)</f>
        <v>3</v>
      </c>
      <c r="AC256" t="str">
        <f t="shared" si="27"/>
        <v/>
      </c>
    </row>
    <row r="257" spans="1:29" x14ac:dyDescent="0.2">
      <c r="A257" t="str">
        <f>IF(OR(Entry!$B260="",Entry!$E260="",$E257="نامعتبر"),"",Entry!$E260)</f>
        <v/>
      </c>
      <c r="B257" t="str">
        <f>IF($A257="","",LEFT($E257,4)&amp;MID($E257,6,2)&amp;RIGHT($E257,2)&amp;$F257&amp;"|"&amp;"1"&amp;RIGHT("00000"&amp;252,5))</f>
        <v/>
      </c>
      <c r="C257" t="str">
        <f t="shared" si="21"/>
        <v/>
      </c>
      <c r="D257" t="str">
        <f t="shared" si="22"/>
        <v/>
      </c>
      <c r="E257" t="str">
        <f>IF(Entry!$B260="","",IF(ISNUMBER(Entry!$B260),IF(AND(Entry!$B260&gt;=10000101,Entry!$B260&lt;=99991231),INT(Entry!$B260/10000)&amp;"/"&amp;RIGHT("00"&amp;INT(MOD(Entry!$B260,10000)/100),2)&amp;"/"&amp;RIGHT("00"&amp;MOD(Entry!$B260,100),2),"نامعتبر"),IF(LEN(Entry!$B260)=10,Entry!$B260,"نامعتبر")))</f>
        <v/>
      </c>
      <c r="F257" t="str">
        <f>IF(Entry!$B260="","",IF(Entry!$C260="","0000",IF(AND(ISNUMBER(Entry!$C260),Entry!$C260&gt;=0,Entry!$C260&lt;1),RIGHT("00"&amp;HOUR(Entry!$C260),2)&amp;RIGHT("00"&amp;MINUTE(Entry!$C260),2),IFERROR(RIGHT("00"&amp;VALUE(LEFT(Entry!$C260,FIND(":",Entry!$C260)-1)),2)&amp;RIGHT("00"&amp;VALUE(MID(Entry!$C260,FIND(":",Entry!$C260)+1,2)),2),"0000"))))</f>
        <v/>
      </c>
      <c r="G257" t="str">
        <f>IF($A257="","",Entry!$G260)</f>
        <v/>
      </c>
      <c r="H257" t="str">
        <f>IF($A257="","",IF(Entry!$H260="",0,Entry!$H260))</f>
        <v/>
      </c>
      <c r="I257" t="str">
        <f>IF($A257="","",IF(Entry!$I260="",0,Entry!$I260))</f>
        <v/>
      </c>
      <c r="J257" t="str">
        <f t="shared" si="23"/>
        <v/>
      </c>
      <c r="K257" t="str">
        <f>IF($A257="","",Entry!$D260)</f>
        <v/>
      </c>
      <c r="L257" t="str">
        <f>IF($A257="","",Entry!$L260)</f>
        <v/>
      </c>
      <c r="N257" t="str">
        <f>IF(OR(Sync!$M257="",$Q257="",$Q257="نامعتبر"),"",Sync!$M257)</f>
        <v/>
      </c>
      <c r="O257" t="str">
        <f t="shared" si="24"/>
        <v/>
      </c>
      <c r="P257" t="str">
        <f>IF($N257="","",LEFT($Q257,4)&amp;MID($Q257,6,2)&amp;RIGHT($Q257,2)&amp;IF(Sync!$K257="","0000",IF(AND(ISNUMBER(Sync!$K257),Sync!$K257&gt;=0,Sync!$K257&lt;1),RIGHT("00"&amp;HOUR(Sync!$K257),2)&amp;RIGHT("00"&amp;MINUTE(Sync!$K257),2),IFERROR(RIGHT("00"&amp;VALUE(LEFT(Sync!$K257,FIND(":",Sync!$K257)-1)),2)&amp;RIGHT("00"&amp;VALUE(MID(Sync!$K257,FIND(":",Sync!$K257)+1,2)),2),"0000")))&amp;"|"&amp;"2"&amp;RIGHT("00000"&amp;252,5))</f>
        <v/>
      </c>
      <c r="Q257" t="str">
        <f>IF(Sync!$J257="","",IF(ISNUMBER(Sync!$J257),IF(AND(Sync!$J257&gt;=10000101,Sync!$J257&lt;=99991231),INT(Sync!$J257/10000)&amp;"/"&amp;RIGHT("00"&amp;INT(MOD(Sync!$J257,10000)/100),2)&amp;"/"&amp;RIGHT("00"&amp;MOD(Sync!$J257,100),2),"نامعتبر"),IF(LEN(Sync!$J257)=10,Sync!$J257,"نامعتبر")))</f>
        <v/>
      </c>
      <c r="R257" t="str">
        <f t="shared" si="25"/>
        <v/>
      </c>
      <c r="S257" t="str">
        <f t="shared" si="26"/>
        <v/>
      </c>
      <c r="T257" t="str">
        <f>IF($N257="","",IF(Sync!$N257="",0,Sync!$N257))</f>
        <v/>
      </c>
      <c r="U257" t="str">
        <f>IF($N257="","",IF(Sync!$O257="",0,Sync!$O257))</f>
        <v/>
      </c>
      <c r="V257" t="str">
        <f>IF($N257="","",Sync!$L257)</f>
        <v/>
      </c>
      <c r="W257" t="str">
        <f>IF($N257="","",Sync!$P257)</f>
        <v/>
      </c>
      <c r="AA257" t="str">
        <f>IF($A257="","",IF(COUNTIF($A$6:$A257,$A257)=1,1,0))</f>
        <v/>
      </c>
      <c r="AB257">
        <f>SUM($AA$6:$AA257)</f>
        <v>3</v>
      </c>
      <c r="AC257" t="str">
        <f t="shared" si="27"/>
        <v/>
      </c>
    </row>
    <row r="258" spans="1:29" x14ac:dyDescent="0.2">
      <c r="A258" t="str">
        <f>IF(OR(Entry!$B261="",Entry!$E261="",$E258="نامعتبر"),"",Entry!$E261)</f>
        <v/>
      </c>
      <c r="B258" t="str">
        <f>IF($A258="","",LEFT($E258,4)&amp;MID($E258,6,2)&amp;RIGHT($E258,2)&amp;$F258&amp;"|"&amp;"1"&amp;RIGHT("00000"&amp;253,5))</f>
        <v/>
      </c>
      <c r="C258" t="str">
        <f t="shared" si="21"/>
        <v/>
      </c>
      <c r="D258" t="str">
        <f t="shared" si="22"/>
        <v/>
      </c>
      <c r="E258" t="str">
        <f>IF(Entry!$B261="","",IF(ISNUMBER(Entry!$B261),IF(AND(Entry!$B261&gt;=10000101,Entry!$B261&lt;=99991231),INT(Entry!$B261/10000)&amp;"/"&amp;RIGHT("00"&amp;INT(MOD(Entry!$B261,10000)/100),2)&amp;"/"&amp;RIGHT("00"&amp;MOD(Entry!$B261,100),2),"نامعتبر"),IF(LEN(Entry!$B261)=10,Entry!$B261,"نامعتبر")))</f>
        <v/>
      </c>
      <c r="F258" t="str">
        <f>IF(Entry!$B261="","",IF(Entry!$C261="","0000",IF(AND(ISNUMBER(Entry!$C261),Entry!$C261&gt;=0,Entry!$C261&lt;1),RIGHT("00"&amp;HOUR(Entry!$C261),2)&amp;RIGHT("00"&amp;MINUTE(Entry!$C261),2),IFERROR(RIGHT("00"&amp;VALUE(LEFT(Entry!$C261,FIND(":",Entry!$C261)-1)),2)&amp;RIGHT("00"&amp;VALUE(MID(Entry!$C261,FIND(":",Entry!$C261)+1,2)),2),"0000"))))</f>
        <v/>
      </c>
      <c r="G258" t="str">
        <f>IF($A258="","",Entry!$G261)</f>
        <v/>
      </c>
      <c r="H258" t="str">
        <f>IF($A258="","",IF(Entry!$H261="",0,Entry!$H261))</f>
        <v/>
      </c>
      <c r="I258" t="str">
        <f>IF($A258="","",IF(Entry!$I261="",0,Entry!$I261))</f>
        <v/>
      </c>
      <c r="J258" t="str">
        <f t="shared" si="23"/>
        <v/>
      </c>
      <c r="K258" t="str">
        <f>IF($A258="","",Entry!$D261)</f>
        <v/>
      </c>
      <c r="L258" t="str">
        <f>IF($A258="","",Entry!$L261)</f>
        <v/>
      </c>
      <c r="N258" t="str">
        <f>IF(OR(Sync!$M258="",$Q258="",$Q258="نامعتبر"),"",Sync!$M258)</f>
        <v/>
      </c>
      <c r="O258" t="str">
        <f t="shared" si="24"/>
        <v/>
      </c>
      <c r="P258" t="str">
        <f>IF($N258="","",LEFT($Q258,4)&amp;MID($Q258,6,2)&amp;RIGHT($Q258,2)&amp;IF(Sync!$K258="","0000",IF(AND(ISNUMBER(Sync!$K258),Sync!$K258&gt;=0,Sync!$K258&lt;1),RIGHT("00"&amp;HOUR(Sync!$K258),2)&amp;RIGHT("00"&amp;MINUTE(Sync!$K258),2),IFERROR(RIGHT("00"&amp;VALUE(LEFT(Sync!$K258,FIND(":",Sync!$K258)-1)),2)&amp;RIGHT("00"&amp;VALUE(MID(Sync!$K258,FIND(":",Sync!$K258)+1,2)),2),"0000")))&amp;"|"&amp;"2"&amp;RIGHT("00000"&amp;253,5))</f>
        <v/>
      </c>
      <c r="Q258" t="str">
        <f>IF(Sync!$J258="","",IF(ISNUMBER(Sync!$J258),IF(AND(Sync!$J258&gt;=10000101,Sync!$J258&lt;=99991231),INT(Sync!$J258/10000)&amp;"/"&amp;RIGHT("00"&amp;INT(MOD(Sync!$J258,10000)/100),2)&amp;"/"&amp;RIGHT("00"&amp;MOD(Sync!$J258,100),2),"نامعتبر"),IF(LEN(Sync!$J258)=10,Sync!$J258,"نامعتبر")))</f>
        <v/>
      </c>
      <c r="R258" t="str">
        <f t="shared" si="25"/>
        <v/>
      </c>
      <c r="S258" t="str">
        <f t="shared" si="26"/>
        <v/>
      </c>
      <c r="T258" t="str">
        <f>IF($N258="","",IF(Sync!$N258="",0,Sync!$N258))</f>
        <v/>
      </c>
      <c r="U258" t="str">
        <f>IF($N258="","",IF(Sync!$O258="",0,Sync!$O258))</f>
        <v/>
      </c>
      <c r="V258" t="str">
        <f>IF($N258="","",Sync!$L258)</f>
        <v/>
      </c>
      <c r="W258" t="str">
        <f>IF($N258="","",Sync!$P258)</f>
        <v/>
      </c>
      <c r="AA258" t="str">
        <f>IF($A258="","",IF(COUNTIF($A$6:$A258,$A258)=1,1,0))</f>
        <v/>
      </c>
      <c r="AB258">
        <f>SUM($AA$6:$AA258)</f>
        <v>3</v>
      </c>
      <c r="AC258" t="str">
        <f t="shared" si="27"/>
        <v/>
      </c>
    </row>
    <row r="259" spans="1:29" x14ac:dyDescent="0.2">
      <c r="A259" t="str">
        <f>IF(OR(Entry!$B262="",Entry!$E262="",$E259="نامعتبر"),"",Entry!$E262)</f>
        <v/>
      </c>
      <c r="B259" t="str">
        <f>IF($A259="","",LEFT($E259,4)&amp;MID($E259,6,2)&amp;RIGHT($E259,2)&amp;$F259&amp;"|"&amp;"1"&amp;RIGHT("00000"&amp;254,5))</f>
        <v/>
      </c>
      <c r="C259" t="str">
        <f t="shared" si="21"/>
        <v/>
      </c>
      <c r="D259" t="str">
        <f t="shared" si="22"/>
        <v/>
      </c>
      <c r="E259" t="str">
        <f>IF(Entry!$B262="","",IF(ISNUMBER(Entry!$B262),IF(AND(Entry!$B262&gt;=10000101,Entry!$B262&lt;=99991231),INT(Entry!$B262/10000)&amp;"/"&amp;RIGHT("00"&amp;INT(MOD(Entry!$B262,10000)/100),2)&amp;"/"&amp;RIGHT("00"&amp;MOD(Entry!$B262,100),2),"نامعتبر"),IF(LEN(Entry!$B262)=10,Entry!$B262,"نامعتبر")))</f>
        <v/>
      </c>
      <c r="F259" t="str">
        <f>IF(Entry!$B262="","",IF(Entry!$C262="","0000",IF(AND(ISNUMBER(Entry!$C262),Entry!$C262&gt;=0,Entry!$C262&lt;1),RIGHT("00"&amp;HOUR(Entry!$C262),2)&amp;RIGHT("00"&amp;MINUTE(Entry!$C262),2),IFERROR(RIGHT("00"&amp;VALUE(LEFT(Entry!$C262,FIND(":",Entry!$C262)-1)),2)&amp;RIGHT("00"&amp;VALUE(MID(Entry!$C262,FIND(":",Entry!$C262)+1,2)),2),"0000"))))</f>
        <v/>
      </c>
      <c r="G259" t="str">
        <f>IF($A259="","",Entry!$G262)</f>
        <v/>
      </c>
      <c r="H259" t="str">
        <f>IF($A259="","",IF(Entry!$H262="",0,Entry!$H262))</f>
        <v/>
      </c>
      <c r="I259" t="str">
        <f>IF($A259="","",IF(Entry!$I262="",0,Entry!$I262))</f>
        <v/>
      </c>
      <c r="J259" t="str">
        <f t="shared" si="23"/>
        <v/>
      </c>
      <c r="K259" t="str">
        <f>IF($A259="","",Entry!$D262)</f>
        <v/>
      </c>
      <c r="L259" t="str">
        <f>IF($A259="","",Entry!$L262)</f>
        <v/>
      </c>
      <c r="N259" t="str">
        <f>IF(OR(Sync!$M259="",$Q259="",$Q259="نامعتبر"),"",Sync!$M259)</f>
        <v/>
      </c>
      <c r="O259" t="str">
        <f t="shared" si="24"/>
        <v/>
      </c>
      <c r="P259" t="str">
        <f>IF($N259="","",LEFT($Q259,4)&amp;MID($Q259,6,2)&amp;RIGHT($Q259,2)&amp;IF(Sync!$K259="","0000",IF(AND(ISNUMBER(Sync!$K259),Sync!$K259&gt;=0,Sync!$K259&lt;1),RIGHT("00"&amp;HOUR(Sync!$K259),2)&amp;RIGHT("00"&amp;MINUTE(Sync!$K259),2),IFERROR(RIGHT("00"&amp;VALUE(LEFT(Sync!$K259,FIND(":",Sync!$K259)-1)),2)&amp;RIGHT("00"&amp;VALUE(MID(Sync!$K259,FIND(":",Sync!$K259)+1,2)),2),"0000")))&amp;"|"&amp;"2"&amp;RIGHT("00000"&amp;254,5))</f>
        <v/>
      </c>
      <c r="Q259" t="str">
        <f>IF(Sync!$J259="","",IF(ISNUMBER(Sync!$J259),IF(AND(Sync!$J259&gt;=10000101,Sync!$J259&lt;=99991231),INT(Sync!$J259/10000)&amp;"/"&amp;RIGHT("00"&amp;INT(MOD(Sync!$J259,10000)/100),2)&amp;"/"&amp;RIGHT("00"&amp;MOD(Sync!$J259,100),2),"نامعتبر"),IF(LEN(Sync!$J259)=10,Sync!$J259,"نامعتبر")))</f>
        <v/>
      </c>
      <c r="R259" t="str">
        <f t="shared" si="25"/>
        <v/>
      </c>
      <c r="S259" t="str">
        <f t="shared" si="26"/>
        <v/>
      </c>
      <c r="T259" t="str">
        <f>IF($N259="","",IF(Sync!$N259="",0,Sync!$N259))</f>
        <v/>
      </c>
      <c r="U259" t="str">
        <f>IF($N259="","",IF(Sync!$O259="",0,Sync!$O259))</f>
        <v/>
      </c>
      <c r="V259" t="str">
        <f>IF($N259="","",Sync!$L259)</f>
        <v/>
      </c>
      <c r="W259" t="str">
        <f>IF($N259="","",Sync!$P259)</f>
        <v/>
      </c>
      <c r="AA259" t="str">
        <f>IF($A259="","",IF(COUNTIF($A$6:$A259,$A259)=1,1,0))</f>
        <v/>
      </c>
      <c r="AB259">
        <f>SUM($AA$6:$AA259)</f>
        <v>3</v>
      </c>
      <c r="AC259" t="str">
        <f t="shared" si="27"/>
        <v/>
      </c>
    </row>
    <row r="260" spans="1:29" x14ac:dyDescent="0.2">
      <c r="A260" t="str">
        <f>IF(OR(Entry!$B263="",Entry!$E263="",$E260="نامعتبر"),"",Entry!$E263)</f>
        <v/>
      </c>
      <c r="B260" t="str">
        <f>IF($A260="","",LEFT($E260,4)&amp;MID($E260,6,2)&amp;RIGHT($E260,2)&amp;$F260&amp;"|"&amp;"1"&amp;RIGHT("00000"&amp;255,5))</f>
        <v/>
      </c>
      <c r="C260" t="str">
        <f t="shared" si="21"/>
        <v/>
      </c>
      <c r="D260" t="str">
        <f t="shared" si="22"/>
        <v/>
      </c>
      <c r="E260" t="str">
        <f>IF(Entry!$B263="","",IF(ISNUMBER(Entry!$B263),IF(AND(Entry!$B263&gt;=10000101,Entry!$B263&lt;=99991231),INT(Entry!$B263/10000)&amp;"/"&amp;RIGHT("00"&amp;INT(MOD(Entry!$B263,10000)/100),2)&amp;"/"&amp;RIGHT("00"&amp;MOD(Entry!$B263,100),2),"نامعتبر"),IF(LEN(Entry!$B263)=10,Entry!$B263,"نامعتبر")))</f>
        <v/>
      </c>
      <c r="F260" t="str">
        <f>IF(Entry!$B263="","",IF(Entry!$C263="","0000",IF(AND(ISNUMBER(Entry!$C263),Entry!$C263&gt;=0,Entry!$C263&lt;1),RIGHT("00"&amp;HOUR(Entry!$C263),2)&amp;RIGHT("00"&amp;MINUTE(Entry!$C263),2),IFERROR(RIGHT("00"&amp;VALUE(LEFT(Entry!$C263,FIND(":",Entry!$C263)-1)),2)&amp;RIGHT("00"&amp;VALUE(MID(Entry!$C263,FIND(":",Entry!$C263)+1,2)),2),"0000"))))</f>
        <v/>
      </c>
      <c r="G260" t="str">
        <f>IF($A260="","",Entry!$G263)</f>
        <v/>
      </c>
      <c r="H260" t="str">
        <f>IF($A260="","",IF(Entry!$H263="",0,Entry!$H263))</f>
        <v/>
      </c>
      <c r="I260" t="str">
        <f>IF($A260="","",IF(Entry!$I263="",0,Entry!$I263))</f>
        <v/>
      </c>
      <c r="J260" t="str">
        <f t="shared" si="23"/>
        <v/>
      </c>
      <c r="K260" t="str">
        <f>IF($A260="","",Entry!$D263)</f>
        <v/>
      </c>
      <c r="L260" t="str">
        <f>IF($A260="","",Entry!$L263)</f>
        <v/>
      </c>
      <c r="N260" t="str">
        <f>IF(OR(Sync!$M260="",$Q260="",$Q260="نامعتبر"),"",Sync!$M260)</f>
        <v/>
      </c>
      <c r="O260" t="str">
        <f t="shared" si="24"/>
        <v/>
      </c>
      <c r="P260" t="str">
        <f>IF($N260="","",LEFT($Q260,4)&amp;MID($Q260,6,2)&amp;RIGHT($Q260,2)&amp;IF(Sync!$K260="","0000",IF(AND(ISNUMBER(Sync!$K260),Sync!$K260&gt;=0,Sync!$K260&lt;1),RIGHT("00"&amp;HOUR(Sync!$K260),2)&amp;RIGHT("00"&amp;MINUTE(Sync!$K260),2),IFERROR(RIGHT("00"&amp;VALUE(LEFT(Sync!$K260,FIND(":",Sync!$K260)-1)),2)&amp;RIGHT("00"&amp;VALUE(MID(Sync!$K260,FIND(":",Sync!$K260)+1,2)),2),"0000")))&amp;"|"&amp;"2"&amp;RIGHT("00000"&amp;255,5))</f>
        <v/>
      </c>
      <c r="Q260" t="str">
        <f>IF(Sync!$J260="","",IF(ISNUMBER(Sync!$J260),IF(AND(Sync!$J260&gt;=10000101,Sync!$J260&lt;=99991231),INT(Sync!$J260/10000)&amp;"/"&amp;RIGHT("00"&amp;INT(MOD(Sync!$J260,10000)/100),2)&amp;"/"&amp;RIGHT("00"&amp;MOD(Sync!$J260,100),2),"نامعتبر"),IF(LEN(Sync!$J260)=10,Sync!$J260,"نامعتبر")))</f>
        <v/>
      </c>
      <c r="R260" t="str">
        <f t="shared" si="25"/>
        <v/>
      </c>
      <c r="S260" t="str">
        <f t="shared" si="26"/>
        <v/>
      </c>
      <c r="T260" t="str">
        <f>IF($N260="","",IF(Sync!$N260="",0,Sync!$N260))</f>
        <v/>
      </c>
      <c r="U260" t="str">
        <f>IF($N260="","",IF(Sync!$O260="",0,Sync!$O260))</f>
        <v/>
      </c>
      <c r="V260" t="str">
        <f>IF($N260="","",Sync!$L260)</f>
        <v/>
      </c>
      <c r="W260" t="str">
        <f>IF($N260="","",Sync!$P260)</f>
        <v/>
      </c>
      <c r="AA260" t="str">
        <f>IF($A260="","",IF(COUNTIF($A$6:$A260,$A260)=1,1,0))</f>
        <v/>
      </c>
      <c r="AB260">
        <f>SUM($AA$6:$AA260)</f>
        <v>3</v>
      </c>
      <c r="AC260" t="str">
        <f t="shared" si="27"/>
        <v/>
      </c>
    </row>
    <row r="261" spans="1:29" x14ac:dyDescent="0.2">
      <c r="A261" t="str">
        <f>IF(OR(Entry!$B264="",Entry!$E264="",$E261="نامعتبر"),"",Entry!$E264)</f>
        <v/>
      </c>
      <c r="B261" t="str">
        <f>IF($A261="","",LEFT($E261,4)&amp;MID($E261,6,2)&amp;RIGHT($E261,2)&amp;$F261&amp;"|"&amp;"1"&amp;RIGHT("00000"&amp;256,5))</f>
        <v/>
      </c>
      <c r="C261" t="str">
        <f t="shared" si="21"/>
        <v/>
      </c>
      <c r="D261" t="str">
        <f t="shared" si="22"/>
        <v/>
      </c>
      <c r="E261" t="str">
        <f>IF(Entry!$B264="","",IF(ISNUMBER(Entry!$B264),IF(AND(Entry!$B264&gt;=10000101,Entry!$B264&lt;=99991231),INT(Entry!$B264/10000)&amp;"/"&amp;RIGHT("00"&amp;INT(MOD(Entry!$B264,10000)/100),2)&amp;"/"&amp;RIGHT("00"&amp;MOD(Entry!$B264,100),2),"نامعتبر"),IF(LEN(Entry!$B264)=10,Entry!$B264,"نامعتبر")))</f>
        <v/>
      </c>
      <c r="F261" t="str">
        <f>IF(Entry!$B264="","",IF(Entry!$C264="","0000",IF(AND(ISNUMBER(Entry!$C264),Entry!$C264&gt;=0,Entry!$C264&lt;1),RIGHT("00"&amp;HOUR(Entry!$C264),2)&amp;RIGHT("00"&amp;MINUTE(Entry!$C264),2),IFERROR(RIGHT("00"&amp;VALUE(LEFT(Entry!$C264,FIND(":",Entry!$C264)-1)),2)&amp;RIGHT("00"&amp;VALUE(MID(Entry!$C264,FIND(":",Entry!$C264)+1,2)),2),"0000"))))</f>
        <v/>
      </c>
      <c r="G261" t="str">
        <f>IF($A261="","",Entry!$G264)</f>
        <v/>
      </c>
      <c r="H261" t="str">
        <f>IF($A261="","",IF(Entry!$H264="",0,Entry!$H264))</f>
        <v/>
      </c>
      <c r="I261" t="str">
        <f>IF($A261="","",IF(Entry!$I264="",0,Entry!$I264))</f>
        <v/>
      </c>
      <c r="J261" t="str">
        <f t="shared" si="23"/>
        <v/>
      </c>
      <c r="K261" t="str">
        <f>IF($A261="","",Entry!$D264)</f>
        <v/>
      </c>
      <c r="L261" t="str">
        <f>IF($A261="","",Entry!$L264)</f>
        <v/>
      </c>
      <c r="N261" t="str">
        <f>IF(OR(Sync!$M261="",$Q261="",$Q261="نامعتبر"),"",Sync!$M261)</f>
        <v/>
      </c>
      <c r="O261" t="str">
        <f t="shared" si="24"/>
        <v/>
      </c>
      <c r="P261" t="str">
        <f>IF($N261="","",LEFT($Q261,4)&amp;MID($Q261,6,2)&amp;RIGHT($Q261,2)&amp;IF(Sync!$K261="","0000",IF(AND(ISNUMBER(Sync!$K261),Sync!$K261&gt;=0,Sync!$K261&lt;1),RIGHT("00"&amp;HOUR(Sync!$K261),2)&amp;RIGHT("00"&amp;MINUTE(Sync!$K261),2),IFERROR(RIGHT("00"&amp;VALUE(LEFT(Sync!$K261,FIND(":",Sync!$K261)-1)),2)&amp;RIGHT("00"&amp;VALUE(MID(Sync!$K261,FIND(":",Sync!$K261)+1,2)),2),"0000")))&amp;"|"&amp;"2"&amp;RIGHT("00000"&amp;256,5))</f>
        <v/>
      </c>
      <c r="Q261" t="str">
        <f>IF(Sync!$J261="","",IF(ISNUMBER(Sync!$J261),IF(AND(Sync!$J261&gt;=10000101,Sync!$J261&lt;=99991231),INT(Sync!$J261/10000)&amp;"/"&amp;RIGHT("00"&amp;INT(MOD(Sync!$J261,10000)/100),2)&amp;"/"&amp;RIGHT("00"&amp;MOD(Sync!$J261,100),2),"نامعتبر"),IF(LEN(Sync!$J261)=10,Sync!$J261,"نامعتبر")))</f>
        <v/>
      </c>
      <c r="R261" t="str">
        <f t="shared" si="25"/>
        <v/>
      </c>
      <c r="S261" t="str">
        <f t="shared" si="26"/>
        <v/>
      </c>
      <c r="T261" t="str">
        <f>IF($N261="","",IF(Sync!$N261="",0,Sync!$N261))</f>
        <v/>
      </c>
      <c r="U261" t="str">
        <f>IF($N261="","",IF(Sync!$O261="",0,Sync!$O261))</f>
        <v/>
      </c>
      <c r="V261" t="str">
        <f>IF($N261="","",Sync!$L261)</f>
        <v/>
      </c>
      <c r="W261" t="str">
        <f>IF($N261="","",Sync!$P261)</f>
        <v/>
      </c>
      <c r="AA261" t="str">
        <f>IF($A261="","",IF(COUNTIF($A$6:$A261,$A261)=1,1,0))</f>
        <v/>
      </c>
      <c r="AB261">
        <f>SUM($AA$6:$AA261)</f>
        <v>3</v>
      </c>
      <c r="AC261" t="str">
        <f t="shared" si="27"/>
        <v/>
      </c>
    </row>
    <row r="262" spans="1:29" x14ac:dyDescent="0.2">
      <c r="A262" t="str">
        <f>IF(OR(Entry!$B265="",Entry!$E265="",$E262="نامعتبر"),"",Entry!$E265)</f>
        <v/>
      </c>
      <c r="B262" t="str">
        <f>IF($A262="","",LEFT($E262,4)&amp;MID($E262,6,2)&amp;RIGHT($E262,2)&amp;$F262&amp;"|"&amp;"1"&amp;RIGHT("00000"&amp;257,5))</f>
        <v/>
      </c>
      <c r="C262" t="str">
        <f t="shared" ref="C262:C325" si="28">IF($B262="","",COUNTIFS($A$6:$A$1005,$A262,$B$6:$B$1005,"&lt;"&amp;$B262)+COUNTIFS($N$6:$N$2005,$A262,$P$6:$P$2005,"&lt;"&amp;$B262)+1)</f>
        <v/>
      </c>
      <c r="D262" t="str">
        <f t="shared" ref="D262:D325" si="29">IF($C262="","",$A262&amp;"|"&amp;RIGHT("000000"&amp;$C262,6))</f>
        <v/>
      </c>
      <c r="E262" t="str">
        <f>IF(Entry!$B265="","",IF(ISNUMBER(Entry!$B265),IF(AND(Entry!$B265&gt;=10000101,Entry!$B265&lt;=99991231),INT(Entry!$B265/10000)&amp;"/"&amp;RIGHT("00"&amp;INT(MOD(Entry!$B265,10000)/100),2)&amp;"/"&amp;RIGHT("00"&amp;MOD(Entry!$B265,100),2),"نامعتبر"),IF(LEN(Entry!$B265)=10,Entry!$B265,"نامعتبر")))</f>
        <v/>
      </c>
      <c r="F262" t="str">
        <f>IF(Entry!$B265="","",IF(Entry!$C265="","0000",IF(AND(ISNUMBER(Entry!$C265),Entry!$C265&gt;=0,Entry!$C265&lt;1),RIGHT("00"&amp;HOUR(Entry!$C265),2)&amp;RIGHT("00"&amp;MINUTE(Entry!$C265),2),IFERROR(RIGHT("00"&amp;VALUE(LEFT(Entry!$C265,FIND(":",Entry!$C265)-1)),2)&amp;RIGHT("00"&amp;VALUE(MID(Entry!$C265,FIND(":",Entry!$C265)+1,2)),2),"0000"))))</f>
        <v/>
      </c>
      <c r="G262" t="str">
        <f>IF($A262="","",Entry!$G265)</f>
        <v/>
      </c>
      <c r="H262" t="str">
        <f>IF($A262="","",IF(Entry!$H265="",0,Entry!$H265))</f>
        <v/>
      </c>
      <c r="I262" t="str">
        <f>IF($A262="","",IF(Entry!$I265="",0,Entry!$I265))</f>
        <v/>
      </c>
      <c r="J262" t="str">
        <f t="shared" ref="J262:J325" si="30">IF($A262="","",ROUND($H262*$I262,0))</f>
        <v/>
      </c>
      <c r="K262" t="str">
        <f>IF($A262="","",Entry!$D265)</f>
        <v/>
      </c>
      <c r="L262" t="str">
        <f>IF($A262="","",Entry!$L265)</f>
        <v/>
      </c>
      <c r="N262" t="str">
        <f>IF(OR(Sync!$M262="",$Q262="",$Q262="نامعتبر"),"",Sync!$M262)</f>
        <v/>
      </c>
      <c r="O262" t="str">
        <f t="shared" ref="O262:O325" si="31">IF($N262="","",$Q262)</f>
        <v/>
      </c>
      <c r="P262" t="str">
        <f>IF($N262="","",LEFT($Q262,4)&amp;MID($Q262,6,2)&amp;RIGHT($Q262,2)&amp;IF(Sync!$K262="","0000",IF(AND(ISNUMBER(Sync!$K262),Sync!$K262&gt;=0,Sync!$K262&lt;1),RIGHT("00"&amp;HOUR(Sync!$K262),2)&amp;RIGHT("00"&amp;MINUTE(Sync!$K262),2),IFERROR(RIGHT("00"&amp;VALUE(LEFT(Sync!$K262,FIND(":",Sync!$K262)-1)),2)&amp;RIGHT("00"&amp;VALUE(MID(Sync!$K262,FIND(":",Sync!$K262)+1,2)),2),"0000")))&amp;"|"&amp;"2"&amp;RIGHT("00000"&amp;257,5))</f>
        <v/>
      </c>
      <c r="Q262" t="str">
        <f>IF(Sync!$J262="","",IF(ISNUMBER(Sync!$J262),IF(AND(Sync!$J262&gt;=10000101,Sync!$J262&lt;=99991231),INT(Sync!$J262/10000)&amp;"/"&amp;RIGHT("00"&amp;INT(MOD(Sync!$J262,10000)/100),2)&amp;"/"&amp;RIGHT("00"&amp;MOD(Sync!$J262,100),2),"نامعتبر"),IF(LEN(Sync!$J262)=10,Sync!$J262,"نامعتبر")))</f>
        <v/>
      </c>
      <c r="R262" t="str">
        <f t="shared" ref="R262:R325" si="32">IF($P262="","",COUNTIFS($N$6:$N$2005,$N262,$P$6:$P$2005,"&lt;"&amp;$P262)+COUNTIFS($A$6:$A$1005,$N262,$B$6:$B$1005,"&lt;"&amp;$P262)+1)</f>
        <v/>
      </c>
      <c r="S262" t="str">
        <f t="shared" ref="S262:S325" si="33">IF($N262="","",$N262&amp;"|"&amp;RIGHT("000000"&amp;$R262,6))</f>
        <v/>
      </c>
      <c r="T262" t="str">
        <f>IF($N262="","",IF(Sync!$N262="",0,Sync!$N262))</f>
        <v/>
      </c>
      <c r="U262" t="str">
        <f>IF($N262="","",IF(Sync!$O262="",0,Sync!$O262))</f>
        <v/>
      </c>
      <c r="V262" t="str">
        <f>IF($N262="","",Sync!$L262)</f>
        <v/>
      </c>
      <c r="W262" t="str">
        <f>IF($N262="","",Sync!$P262)</f>
        <v/>
      </c>
      <c r="AA262" t="str">
        <f>IF($A262="","",IF(COUNTIF($A$6:$A262,$A262)=1,1,0))</f>
        <v/>
      </c>
      <c r="AB262">
        <f>SUM($AA$6:$AA262)</f>
        <v>3</v>
      </c>
      <c r="AC262" t="str">
        <f t="shared" ref="AC262:AC325" si="34">IFERROR(INDEX($A$6:$A$1005,MATCH(ROW()-5,$AB$6:$AB$1005,0)),"")</f>
        <v/>
      </c>
    </row>
    <row r="263" spans="1:29" x14ac:dyDescent="0.2">
      <c r="A263" t="str">
        <f>IF(OR(Entry!$B266="",Entry!$E266="",$E263="نامعتبر"),"",Entry!$E266)</f>
        <v/>
      </c>
      <c r="B263" t="str">
        <f>IF($A263="","",LEFT($E263,4)&amp;MID($E263,6,2)&amp;RIGHT($E263,2)&amp;$F263&amp;"|"&amp;"1"&amp;RIGHT("00000"&amp;258,5))</f>
        <v/>
      </c>
      <c r="C263" t="str">
        <f t="shared" si="28"/>
        <v/>
      </c>
      <c r="D263" t="str">
        <f t="shared" si="29"/>
        <v/>
      </c>
      <c r="E263" t="str">
        <f>IF(Entry!$B266="","",IF(ISNUMBER(Entry!$B266),IF(AND(Entry!$B266&gt;=10000101,Entry!$B266&lt;=99991231),INT(Entry!$B266/10000)&amp;"/"&amp;RIGHT("00"&amp;INT(MOD(Entry!$B266,10000)/100),2)&amp;"/"&amp;RIGHT("00"&amp;MOD(Entry!$B266,100),2),"نامعتبر"),IF(LEN(Entry!$B266)=10,Entry!$B266,"نامعتبر")))</f>
        <v/>
      </c>
      <c r="F263" t="str">
        <f>IF(Entry!$B266="","",IF(Entry!$C266="","0000",IF(AND(ISNUMBER(Entry!$C266),Entry!$C266&gt;=0,Entry!$C266&lt;1),RIGHT("00"&amp;HOUR(Entry!$C266),2)&amp;RIGHT("00"&amp;MINUTE(Entry!$C266),2),IFERROR(RIGHT("00"&amp;VALUE(LEFT(Entry!$C266,FIND(":",Entry!$C266)-1)),2)&amp;RIGHT("00"&amp;VALUE(MID(Entry!$C266,FIND(":",Entry!$C266)+1,2)),2),"0000"))))</f>
        <v/>
      </c>
      <c r="G263" t="str">
        <f>IF($A263="","",Entry!$G266)</f>
        <v/>
      </c>
      <c r="H263" t="str">
        <f>IF($A263="","",IF(Entry!$H266="",0,Entry!$H266))</f>
        <v/>
      </c>
      <c r="I263" t="str">
        <f>IF($A263="","",IF(Entry!$I266="",0,Entry!$I266))</f>
        <v/>
      </c>
      <c r="J263" t="str">
        <f t="shared" si="30"/>
        <v/>
      </c>
      <c r="K263" t="str">
        <f>IF($A263="","",Entry!$D266)</f>
        <v/>
      </c>
      <c r="L263" t="str">
        <f>IF($A263="","",Entry!$L266)</f>
        <v/>
      </c>
      <c r="N263" t="str">
        <f>IF(OR(Sync!$M263="",$Q263="",$Q263="نامعتبر"),"",Sync!$M263)</f>
        <v/>
      </c>
      <c r="O263" t="str">
        <f t="shared" si="31"/>
        <v/>
      </c>
      <c r="P263" t="str">
        <f>IF($N263="","",LEFT($Q263,4)&amp;MID($Q263,6,2)&amp;RIGHT($Q263,2)&amp;IF(Sync!$K263="","0000",IF(AND(ISNUMBER(Sync!$K263),Sync!$K263&gt;=0,Sync!$K263&lt;1),RIGHT("00"&amp;HOUR(Sync!$K263),2)&amp;RIGHT("00"&amp;MINUTE(Sync!$K263),2),IFERROR(RIGHT("00"&amp;VALUE(LEFT(Sync!$K263,FIND(":",Sync!$K263)-1)),2)&amp;RIGHT("00"&amp;VALUE(MID(Sync!$K263,FIND(":",Sync!$K263)+1,2)),2),"0000")))&amp;"|"&amp;"2"&amp;RIGHT("00000"&amp;258,5))</f>
        <v/>
      </c>
      <c r="Q263" t="str">
        <f>IF(Sync!$J263="","",IF(ISNUMBER(Sync!$J263),IF(AND(Sync!$J263&gt;=10000101,Sync!$J263&lt;=99991231),INT(Sync!$J263/10000)&amp;"/"&amp;RIGHT("00"&amp;INT(MOD(Sync!$J263,10000)/100),2)&amp;"/"&amp;RIGHT("00"&amp;MOD(Sync!$J263,100),2),"نامعتبر"),IF(LEN(Sync!$J263)=10,Sync!$J263,"نامعتبر")))</f>
        <v/>
      </c>
      <c r="R263" t="str">
        <f t="shared" si="32"/>
        <v/>
      </c>
      <c r="S263" t="str">
        <f t="shared" si="33"/>
        <v/>
      </c>
      <c r="T263" t="str">
        <f>IF($N263="","",IF(Sync!$N263="",0,Sync!$N263))</f>
        <v/>
      </c>
      <c r="U263" t="str">
        <f>IF($N263="","",IF(Sync!$O263="",0,Sync!$O263))</f>
        <v/>
      </c>
      <c r="V263" t="str">
        <f>IF($N263="","",Sync!$L263)</f>
        <v/>
      </c>
      <c r="W263" t="str">
        <f>IF($N263="","",Sync!$P263)</f>
        <v/>
      </c>
      <c r="AA263" t="str">
        <f>IF($A263="","",IF(COUNTIF($A$6:$A263,$A263)=1,1,0))</f>
        <v/>
      </c>
      <c r="AB263">
        <f>SUM($AA$6:$AA263)</f>
        <v>3</v>
      </c>
      <c r="AC263" t="str">
        <f t="shared" si="34"/>
        <v/>
      </c>
    </row>
    <row r="264" spans="1:29" x14ac:dyDescent="0.2">
      <c r="A264" t="str">
        <f>IF(OR(Entry!$B267="",Entry!$E267="",$E264="نامعتبر"),"",Entry!$E267)</f>
        <v/>
      </c>
      <c r="B264" t="str">
        <f>IF($A264="","",LEFT($E264,4)&amp;MID($E264,6,2)&amp;RIGHT($E264,2)&amp;$F264&amp;"|"&amp;"1"&amp;RIGHT("00000"&amp;259,5))</f>
        <v/>
      </c>
      <c r="C264" t="str">
        <f t="shared" si="28"/>
        <v/>
      </c>
      <c r="D264" t="str">
        <f t="shared" si="29"/>
        <v/>
      </c>
      <c r="E264" t="str">
        <f>IF(Entry!$B267="","",IF(ISNUMBER(Entry!$B267),IF(AND(Entry!$B267&gt;=10000101,Entry!$B267&lt;=99991231),INT(Entry!$B267/10000)&amp;"/"&amp;RIGHT("00"&amp;INT(MOD(Entry!$B267,10000)/100),2)&amp;"/"&amp;RIGHT("00"&amp;MOD(Entry!$B267,100),2),"نامعتبر"),IF(LEN(Entry!$B267)=10,Entry!$B267,"نامعتبر")))</f>
        <v/>
      </c>
      <c r="F264" t="str">
        <f>IF(Entry!$B267="","",IF(Entry!$C267="","0000",IF(AND(ISNUMBER(Entry!$C267),Entry!$C267&gt;=0,Entry!$C267&lt;1),RIGHT("00"&amp;HOUR(Entry!$C267),2)&amp;RIGHT("00"&amp;MINUTE(Entry!$C267),2),IFERROR(RIGHT("00"&amp;VALUE(LEFT(Entry!$C267,FIND(":",Entry!$C267)-1)),2)&amp;RIGHT("00"&amp;VALUE(MID(Entry!$C267,FIND(":",Entry!$C267)+1,2)),2),"0000"))))</f>
        <v/>
      </c>
      <c r="G264" t="str">
        <f>IF($A264="","",Entry!$G267)</f>
        <v/>
      </c>
      <c r="H264" t="str">
        <f>IF($A264="","",IF(Entry!$H267="",0,Entry!$H267))</f>
        <v/>
      </c>
      <c r="I264" t="str">
        <f>IF($A264="","",IF(Entry!$I267="",0,Entry!$I267))</f>
        <v/>
      </c>
      <c r="J264" t="str">
        <f t="shared" si="30"/>
        <v/>
      </c>
      <c r="K264" t="str">
        <f>IF($A264="","",Entry!$D267)</f>
        <v/>
      </c>
      <c r="L264" t="str">
        <f>IF($A264="","",Entry!$L267)</f>
        <v/>
      </c>
      <c r="N264" t="str">
        <f>IF(OR(Sync!$M264="",$Q264="",$Q264="نامعتبر"),"",Sync!$M264)</f>
        <v/>
      </c>
      <c r="O264" t="str">
        <f t="shared" si="31"/>
        <v/>
      </c>
      <c r="P264" t="str">
        <f>IF($N264="","",LEFT($Q264,4)&amp;MID($Q264,6,2)&amp;RIGHT($Q264,2)&amp;IF(Sync!$K264="","0000",IF(AND(ISNUMBER(Sync!$K264),Sync!$K264&gt;=0,Sync!$K264&lt;1),RIGHT("00"&amp;HOUR(Sync!$K264),2)&amp;RIGHT("00"&amp;MINUTE(Sync!$K264),2),IFERROR(RIGHT("00"&amp;VALUE(LEFT(Sync!$K264,FIND(":",Sync!$K264)-1)),2)&amp;RIGHT("00"&amp;VALUE(MID(Sync!$K264,FIND(":",Sync!$K264)+1,2)),2),"0000")))&amp;"|"&amp;"2"&amp;RIGHT("00000"&amp;259,5))</f>
        <v/>
      </c>
      <c r="Q264" t="str">
        <f>IF(Sync!$J264="","",IF(ISNUMBER(Sync!$J264),IF(AND(Sync!$J264&gt;=10000101,Sync!$J264&lt;=99991231),INT(Sync!$J264/10000)&amp;"/"&amp;RIGHT("00"&amp;INT(MOD(Sync!$J264,10000)/100),2)&amp;"/"&amp;RIGHT("00"&amp;MOD(Sync!$J264,100),2),"نامعتبر"),IF(LEN(Sync!$J264)=10,Sync!$J264,"نامعتبر")))</f>
        <v/>
      </c>
      <c r="R264" t="str">
        <f t="shared" si="32"/>
        <v/>
      </c>
      <c r="S264" t="str">
        <f t="shared" si="33"/>
        <v/>
      </c>
      <c r="T264" t="str">
        <f>IF($N264="","",IF(Sync!$N264="",0,Sync!$N264))</f>
        <v/>
      </c>
      <c r="U264" t="str">
        <f>IF($N264="","",IF(Sync!$O264="",0,Sync!$O264))</f>
        <v/>
      </c>
      <c r="V264" t="str">
        <f>IF($N264="","",Sync!$L264)</f>
        <v/>
      </c>
      <c r="W264" t="str">
        <f>IF($N264="","",Sync!$P264)</f>
        <v/>
      </c>
      <c r="AA264" t="str">
        <f>IF($A264="","",IF(COUNTIF($A$6:$A264,$A264)=1,1,0))</f>
        <v/>
      </c>
      <c r="AB264">
        <f>SUM($AA$6:$AA264)</f>
        <v>3</v>
      </c>
      <c r="AC264" t="str">
        <f t="shared" si="34"/>
        <v/>
      </c>
    </row>
    <row r="265" spans="1:29" x14ac:dyDescent="0.2">
      <c r="A265" t="str">
        <f>IF(OR(Entry!$B268="",Entry!$E268="",$E265="نامعتبر"),"",Entry!$E268)</f>
        <v/>
      </c>
      <c r="B265" t="str">
        <f>IF($A265="","",LEFT($E265,4)&amp;MID($E265,6,2)&amp;RIGHT($E265,2)&amp;$F265&amp;"|"&amp;"1"&amp;RIGHT("00000"&amp;260,5))</f>
        <v/>
      </c>
      <c r="C265" t="str">
        <f t="shared" si="28"/>
        <v/>
      </c>
      <c r="D265" t="str">
        <f t="shared" si="29"/>
        <v/>
      </c>
      <c r="E265" t="str">
        <f>IF(Entry!$B268="","",IF(ISNUMBER(Entry!$B268),IF(AND(Entry!$B268&gt;=10000101,Entry!$B268&lt;=99991231),INT(Entry!$B268/10000)&amp;"/"&amp;RIGHT("00"&amp;INT(MOD(Entry!$B268,10000)/100),2)&amp;"/"&amp;RIGHT("00"&amp;MOD(Entry!$B268,100),2),"نامعتبر"),IF(LEN(Entry!$B268)=10,Entry!$B268,"نامعتبر")))</f>
        <v/>
      </c>
      <c r="F265" t="str">
        <f>IF(Entry!$B268="","",IF(Entry!$C268="","0000",IF(AND(ISNUMBER(Entry!$C268),Entry!$C268&gt;=0,Entry!$C268&lt;1),RIGHT("00"&amp;HOUR(Entry!$C268),2)&amp;RIGHT("00"&amp;MINUTE(Entry!$C268),2),IFERROR(RIGHT("00"&amp;VALUE(LEFT(Entry!$C268,FIND(":",Entry!$C268)-1)),2)&amp;RIGHT("00"&amp;VALUE(MID(Entry!$C268,FIND(":",Entry!$C268)+1,2)),2),"0000"))))</f>
        <v/>
      </c>
      <c r="G265" t="str">
        <f>IF($A265="","",Entry!$G268)</f>
        <v/>
      </c>
      <c r="H265" t="str">
        <f>IF($A265="","",IF(Entry!$H268="",0,Entry!$H268))</f>
        <v/>
      </c>
      <c r="I265" t="str">
        <f>IF($A265="","",IF(Entry!$I268="",0,Entry!$I268))</f>
        <v/>
      </c>
      <c r="J265" t="str">
        <f t="shared" si="30"/>
        <v/>
      </c>
      <c r="K265" t="str">
        <f>IF($A265="","",Entry!$D268)</f>
        <v/>
      </c>
      <c r="L265" t="str">
        <f>IF($A265="","",Entry!$L268)</f>
        <v/>
      </c>
      <c r="N265" t="str">
        <f>IF(OR(Sync!$M265="",$Q265="",$Q265="نامعتبر"),"",Sync!$M265)</f>
        <v/>
      </c>
      <c r="O265" t="str">
        <f t="shared" si="31"/>
        <v/>
      </c>
      <c r="P265" t="str">
        <f>IF($N265="","",LEFT($Q265,4)&amp;MID($Q265,6,2)&amp;RIGHT($Q265,2)&amp;IF(Sync!$K265="","0000",IF(AND(ISNUMBER(Sync!$K265),Sync!$K265&gt;=0,Sync!$K265&lt;1),RIGHT("00"&amp;HOUR(Sync!$K265),2)&amp;RIGHT("00"&amp;MINUTE(Sync!$K265),2),IFERROR(RIGHT("00"&amp;VALUE(LEFT(Sync!$K265,FIND(":",Sync!$K265)-1)),2)&amp;RIGHT("00"&amp;VALUE(MID(Sync!$K265,FIND(":",Sync!$K265)+1,2)),2),"0000")))&amp;"|"&amp;"2"&amp;RIGHT("00000"&amp;260,5))</f>
        <v/>
      </c>
      <c r="Q265" t="str">
        <f>IF(Sync!$J265="","",IF(ISNUMBER(Sync!$J265),IF(AND(Sync!$J265&gt;=10000101,Sync!$J265&lt;=99991231),INT(Sync!$J265/10000)&amp;"/"&amp;RIGHT("00"&amp;INT(MOD(Sync!$J265,10000)/100),2)&amp;"/"&amp;RIGHT("00"&amp;MOD(Sync!$J265,100),2),"نامعتبر"),IF(LEN(Sync!$J265)=10,Sync!$J265,"نامعتبر")))</f>
        <v/>
      </c>
      <c r="R265" t="str">
        <f t="shared" si="32"/>
        <v/>
      </c>
      <c r="S265" t="str">
        <f t="shared" si="33"/>
        <v/>
      </c>
      <c r="T265" t="str">
        <f>IF($N265="","",IF(Sync!$N265="",0,Sync!$N265))</f>
        <v/>
      </c>
      <c r="U265" t="str">
        <f>IF($N265="","",IF(Sync!$O265="",0,Sync!$O265))</f>
        <v/>
      </c>
      <c r="V265" t="str">
        <f>IF($N265="","",Sync!$L265)</f>
        <v/>
      </c>
      <c r="W265" t="str">
        <f>IF($N265="","",Sync!$P265)</f>
        <v/>
      </c>
      <c r="AA265" t="str">
        <f>IF($A265="","",IF(COUNTIF($A$6:$A265,$A265)=1,1,0))</f>
        <v/>
      </c>
      <c r="AB265">
        <f>SUM($AA$6:$AA265)</f>
        <v>3</v>
      </c>
      <c r="AC265" t="str">
        <f t="shared" si="34"/>
        <v/>
      </c>
    </row>
    <row r="266" spans="1:29" x14ac:dyDescent="0.2">
      <c r="A266" t="str">
        <f>IF(OR(Entry!$B269="",Entry!$E269="",$E266="نامعتبر"),"",Entry!$E269)</f>
        <v/>
      </c>
      <c r="B266" t="str">
        <f>IF($A266="","",LEFT($E266,4)&amp;MID($E266,6,2)&amp;RIGHT($E266,2)&amp;$F266&amp;"|"&amp;"1"&amp;RIGHT("00000"&amp;261,5))</f>
        <v/>
      </c>
      <c r="C266" t="str">
        <f t="shared" si="28"/>
        <v/>
      </c>
      <c r="D266" t="str">
        <f t="shared" si="29"/>
        <v/>
      </c>
      <c r="E266" t="str">
        <f>IF(Entry!$B269="","",IF(ISNUMBER(Entry!$B269),IF(AND(Entry!$B269&gt;=10000101,Entry!$B269&lt;=99991231),INT(Entry!$B269/10000)&amp;"/"&amp;RIGHT("00"&amp;INT(MOD(Entry!$B269,10000)/100),2)&amp;"/"&amp;RIGHT("00"&amp;MOD(Entry!$B269,100),2),"نامعتبر"),IF(LEN(Entry!$B269)=10,Entry!$B269,"نامعتبر")))</f>
        <v/>
      </c>
      <c r="F266" t="str">
        <f>IF(Entry!$B269="","",IF(Entry!$C269="","0000",IF(AND(ISNUMBER(Entry!$C269),Entry!$C269&gt;=0,Entry!$C269&lt;1),RIGHT("00"&amp;HOUR(Entry!$C269),2)&amp;RIGHT("00"&amp;MINUTE(Entry!$C269),2),IFERROR(RIGHT("00"&amp;VALUE(LEFT(Entry!$C269,FIND(":",Entry!$C269)-1)),2)&amp;RIGHT("00"&amp;VALUE(MID(Entry!$C269,FIND(":",Entry!$C269)+1,2)),2),"0000"))))</f>
        <v/>
      </c>
      <c r="G266" t="str">
        <f>IF($A266="","",Entry!$G269)</f>
        <v/>
      </c>
      <c r="H266" t="str">
        <f>IF($A266="","",IF(Entry!$H269="",0,Entry!$H269))</f>
        <v/>
      </c>
      <c r="I266" t="str">
        <f>IF($A266="","",IF(Entry!$I269="",0,Entry!$I269))</f>
        <v/>
      </c>
      <c r="J266" t="str">
        <f t="shared" si="30"/>
        <v/>
      </c>
      <c r="K266" t="str">
        <f>IF($A266="","",Entry!$D269)</f>
        <v/>
      </c>
      <c r="L266" t="str">
        <f>IF($A266="","",Entry!$L269)</f>
        <v/>
      </c>
      <c r="N266" t="str">
        <f>IF(OR(Sync!$M266="",$Q266="",$Q266="نامعتبر"),"",Sync!$M266)</f>
        <v/>
      </c>
      <c r="O266" t="str">
        <f t="shared" si="31"/>
        <v/>
      </c>
      <c r="P266" t="str">
        <f>IF($N266="","",LEFT($Q266,4)&amp;MID($Q266,6,2)&amp;RIGHT($Q266,2)&amp;IF(Sync!$K266="","0000",IF(AND(ISNUMBER(Sync!$K266),Sync!$K266&gt;=0,Sync!$K266&lt;1),RIGHT("00"&amp;HOUR(Sync!$K266),2)&amp;RIGHT("00"&amp;MINUTE(Sync!$K266),2),IFERROR(RIGHT("00"&amp;VALUE(LEFT(Sync!$K266,FIND(":",Sync!$K266)-1)),2)&amp;RIGHT("00"&amp;VALUE(MID(Sync!$K266,FIND(":",Sync!$K266)+1,2)),2),"0000")))&amp;"|"&amp;"2"&amp;RIGHT("00000"&amp;261,5))</f>
        <v/>
      </c>
      <c r="Q266" t="str">
        <f>IF(Sync!$J266="","",IF(ISNUMBER(Sync!$J266),IF(AND(Sync!$J266&gt;=10000101,Sync!$J266&lt;=99991231),INT(Sync!$J266/10000)&amp;"/"&amp;RIGHT("00"&amp;INT(MOD(Sync!$J266,10000)/100),2)&amp;"/"&amp;RIGHT("00"&amp;MOD(Sync!$J266,100),2),"نامعتبر"),IF(LEN(Sync!$J266)=10,Sync!$J266,"نامعتبر")))</f>
        <v/>
      </c>
      <c r="R266" t="str">
        <f t="shared" si="32"/>
        <v/>
      </c>
      <c r="S266" t="str">
        <f t="shared" si="33"/>
        <v/>
      </c>
      <c r="T266" t="str">
        <f>IF($N266="","",IF(Sync!$N266="",0,Sync!$N266))</f>
        <v/>
      </c>
      <c r="U266" t="str">
        <f>IF($N266="","",IF(Sync!$O266="",0,Sync!$O266))</f>
        <v/>
      </c>
      <c r="V266" t="str">
        <f>IF($N266="","",Sync!$L266)</f>
        <v/>
      </c>
      <c r="W266" t="str">
        <f>IF($N266="","",Sync!$P266)</f>
        <v/>
      </c>
      <c r="AA266" t="str">
        <f>IF($A266="","",IF(COUNTIF($A$6:$A266,$A266)=1,1,0))</f>
        <v/>
      </c>
      <c r="AB266">
        <f>SUM($AA$6:$AA266)</f>
        <v>3</v>
      </c>
      <c r="AC266" t="str">
        <f t="shared" si="34"/>
        <v/>
      </c>
    </row>
    <row r="267" spans="1:29" x14ac:dyDescent="0.2">
      <c r="A267" t="str">
        <f>IF(OR(Entry!$B270="",Entry!$E270="",$E267="نامعتبر"),"",Entry!$E270)</f>
        <v/>
      </c>
      <c r="B267" t="str">
        <f>IF($A267="","",LEFT($E267,4)&amp;MID($E267,6,2)&amp;RIGHT($E267,2)&amp;$F267&amp;"|"&amp;"1"&amp;RIGHT("00000"&amp;262,5))</f>
        <v/>
      </c>
      <c r="C267" t="str">
        <f t="shared" si="28"/>
        <v/>
      </c>
      <c r="D267" t="str">
        <f t="shared" si="29"/>
        <v/>
      </c>
      <c r="E267" t="str">
        <f>IF(Entry!$B270="","",IF(ISNUMBER(Entry!$B270),IF(AND(Entry!$B270&gt;=10000101,Entry!$B270&lt;=99991231),INT(Entry!$B270/10000)&amp;"/"&amp;RIGHT("00"&amp;INT(MOD(Entry!$B270,10000)/100),2)&amp;"/"&amp;RIGHT("00"&amp;MOD(Entry!$B270,100),2),"نامعتبر"),IF(LEN(Entry!$B270)=10,Entry!$B270,"نامعتبر")))</f>
        <v/>
      </c>
      <c r="F267" t="str">
        <f>IF(Entry!$B270="","",IF(Entry!$C270="","0000",IF(AND(ISNUMBER(Entry!$C270),Entry!$C270&gt;=0,Entry!$C270&lt;1),RIGHT("00"&amp;HOUR(Entry!$C270),2)&amp;RIGHT("00"&amp;MINUTE(Entry!$C270),2),IFERROR(RIGHT("00"&amp;VALUE(LEFT(Entry!$C270,FIND(":",Entry!$C270)-1)),2)&amp;RIGHT("00"&amp;VALUE(MID(Entry!$C270,FIND(":",Entry!$C270)+1,2)),2),"0000"))))</f>
        <v/>
      </c>
      <c r="G267" t="str">
        <f>IF($A267="","",Entry!$G270)</f>
        <v/>
      </c>
      <c r="H267" t="str">
        <f>IF($A267="","",IF(Entry!$H270="",0,Entry!$H270))</f>
        <v/>
      </c>
      <c r="I267" t="str">
        <f>IF($A267="","",IF(Entry!$I270="",0,Entry!$I270))</f>
        <v/>
      </c>
      <c r="J267" t="str">
        <f t="shared" si="30"/>
        <v/>
      </c>
      <c r="K267" t="str">
        <f>IF($A267="","",Entry!$D270)</f>
        <v/>
      </c>
      <c r="L267" t="str">
        <f>IF($A267="","",Entry!$L270)</f>
        <v/>
      </c>
      <c r="N267" t="str">
        <f>IF(OR(Sync!$M267="",$Q267="",$Q267="نامعتبر"),"",Sync!$M267)</f>
        <v/>
      </c>
      <c r="O267" t="str">
        <f t="shared" si="31"/>
        <v/>
      </c>
      <c r="P267" t="str">
        <f>IF($N267="","",LEFT($Q267,4)&amp;MID($Q267,6,2)&amp;RIGHT($Q267,2)&amp;IF(Sync!$K267="","0000",IF(AND(ISNUMBER(Sync!$K267),Sync!$K267&gt;=0,Sync!$K267&lt;1),RIGHT("00"&amp;HOUR(Sync!$K267),2)&amp;RIGHT("00"&amp;MINUTE(Sync!$K267),2),IFERROR(RIGHT("00"&amp;VALUE(LEFT(Sync!$K267,FIND(":",Sync!$K267)-1)),2)&amp;RIGHT("00"&amp;VALUE(MID(Sync!$K267,FIND(":",Sync!$K267)+1,2)),2),"0000")))&amp;"|"&amp;"2"&amp;RIGHT("00000"&amp;262,5))</f>
        <v/>
      </c>
      <c r="Q267" t="str">
        <f>IF(Sync!$J267="","",IF(ISNUMBER(Sync!$J267),IF(AND(Sync!$J267&gt;=10000101,Sync!$J267&lt;=99991231),INT(Sync!$J267/10000)&amp;"/"&amp;RIGHT("00"&amp;INT(MOD(Sync!$J267,10000)/100),2)&amp;"/"&amp;RIGHT("00"&amp;MOD(Sync!$J267,100),2),"نامعتبر"),IF(LEN(Sync!$J267)=10,Sync!$J267,"نامعتبر")))</f>
        <v/>
      </c>
      <c r="R267" t="str">
        <f t="shared" si="32"/>
        <v/>
      </c>
      <c r="S267" t="str">
        <f t="shared" si="33"/>
        <v/>
      </c>
      <c r="T267" t="str">
        <f>IF($N267="","",IF(Sync!$N267="",0,Sync!$N267))</f>
        <v/>
      </c>
      <c r="U267" t="str">
        <f>IF($N267="","",IF(Sync!$O267="",0,Sync!$O267))</f>
        <v/>
      </c>
      <c r="V267" t="str">
        <f>IF($N267="","",Sync!$L267)</f>
        <v/>
      </c>
      <c r="W267" t="str">
        <f>IF($N267="","",Sync!$P267)</f>
        <v/>
      </c>
      <c r="AA267" t="str">
        <f>IF($A267="","",IF(COUNTIF($A$6:$A267,$A267)=1,1,0))</f>
        <v/>
      </c>
      <c r="AB267">
        <f>SUM($AA$6:$AA267)</f>
        <v>3</v>
      </c>
      <c r="AC267" t="str">
        <f t="shared" si="34"/>
        <v/>
      </c>
    </row>
    <row r="268" spans="1:29" x14ac:dyDescent="0.2">
      <c r="A268" t="str">
        <f>IF(OR(Entry!$B271="",Entry!$E271="",$E268="نامعتبر"),"",Entry!$E271)</f>
        <v/>
      </c>
      <c r="B268" t="str">
        <f>IF($A268="","",LEFT($E268,4)&amp;MID($E268,6,2)&amp;RIGHT($E268,2)&amp;$F268&amp;"|"&amp;"1"&amp;RIGHT("00000"&amp;263,5))</f>
        <v/>
      </c>
      <c r="C268" t="str">
        <f t="shared" si="28"/>
        <v/>
      </c>
      <c r="D268" t="str">
        <f t="shared" si="29"/>
        <v/>
      </c>
      <c r="E268" t="str">
        <f>IF(Entry!$B271="","",IF(ISNUMBER(Entry!$B271),IF(AND(Entry!$B271&gt;=10000101,Entry!$B271&lt;=99991231),INT(Entry!$B271/10000)&amp;"/"&amp;RIGHT("00"&amp;INT(MOD(Entry!$B271,10000)/100),2)&amp;"/"&amp;RIGHT("00"&amp;MOD(Entry!$B271,100),2),"نامعتبر"),IF(LEN(Entry!$B271)=10,Entry!$B271,"نامعتبر")))</f>
        <v/>
      </c>
      <c r="F268" t="str">
        <f>IF(Entry!$B271="","",IF(Entry!$C271="","0000",IF(AND(ISNUMBER(Entry!$C271),Entry!$C271&gt;=0,Entry!$C271&lt;1),RIGHT("00"&amp;HOUR(Entry!$C271),2)&amp;RIGHT("00"&amp;MINUTE(Entry!$C271),2),IFERROR(RIGHT("00"&amp;VALUE(LEFT(Entry!$C271,FIND(":",Entry!$C271)-1)),2)&amp;RIGHT("00"&amp;VALUE(MID(Entry!$C271,FIND(":",Entry!$C271)+1,2)),2),"0000"))))</f>
        <v/>
      </c>
      <c r="G268" t="str">
        <f>IF($A268="","",Entry!$G271)</f>
        <v/>
      </c>
      <c r="H268" t="str">
        <f>IF($A268="","",IF(Entry!$H271="",0,Entry!$H271))</f>
        <v/>
      </c>
      <c r="I268" t="str">
        <f>IF($A268="","",IF(Entry!$I271="",0,Entry!$I271))</f>
        <v/>
      </c>
      <c r="J268" t="str">
        <f t="shared" si="30"/>
        <v/>
      </c>
      <c r="K268" t="str">
        <f>IF($A268="","",Entry!$D271)</f>
        <v/>
      </c>
      <c r="L268" t="str">
        <f>IF($A268="","",Entry!$L271)</f>
        <v/>
      </c>
      <c r="N268" t="str">
        <f>IF(OR(Sync!$M268="",$Q268="",$Q268="نامعتبر"),"",Sync!$M268)</f>
        <v/>
      </c>
      <c r="O268" t="str">
        <f t="shared" si="31"/>
        <v/>
      </c>
      <c r="P268" t="str">
        <f>IF($N268="","",LEFT($Q268,4)&amp;MID($Q268,6,2)&amp;RIGHT($Q268,2)&amp;IF(Sync!$K268="","0000",IF(AND(ISNUMBER(Sync!$K268),Sync!$K268&gt;=0,Sync!$K268&lt;1),RIGHT("00"&amp;HOUR(Sync!$K268),2)&amp;RIGHT("00"&amp;MINUTE(Sync!$K268),2),IFERROR(RIGHT("00"&amp;VALUE(LEFT(Sync!$K268,FIND(":",Sync!$K268)-1)),2)&amp;RIGHT("00"&amp;VALUE(MID(Sync!$K268,FIND(":",Sync!$K268)+1,2)),2),"0000")))&amp;"|"&amp;"2"&amp;RIGHT("00000"&amp;263,5))</f>
        <v/>
      </c>
      <c r="Q268" t="str">
        <f>IF(Sync!$J268="","",IF(ISNUMBER(Sync!$J268),IF(AND(Sync!$J268&gt;=10000101,Sync!$J268&lt;=99991231),INT(Sync!$J268/10000)&amp;"/"&amp;RIGHT("00"&amp;INT(MOD(Sync!$J268,10000)/100),2)&amp;"/"&amp;RIGHT("00"&amp;MOD(Sync!$J268,100),2),"نامعتبر"),IF(LEN(Sync!$J268)=10,Sync!$J268,"نامعتبر")))</f>
        <v/>
      </c>
      <c r="R268" t="str">
        <f t="shared" si="32"/>
        <v/>
      </c>
      <c r="S268" t="str">
        <f t="shared" si="33"/>
        <v/>
      </c>
      <c r="T268" t="str">
        <f>IF($N268="","",IF(Sync!$N268="",0,Sync!$N268))</f>
        <v/>
      </c>
      <c r="U268" t="str">
        <f>IF($N268="","",IF(Sync!$O268="",0,Sync!$O268))</f>
        <v/>
      </c>
      <c r="V268" t="str">
        <f>IF($N268="","",Sync!$L268)</f>
        <v/>
      </c>
      <c r="W268" t="str">
        <f>IF($N268="","",Sync!$P268)</f>
        <v/>
      </c>
      <c r="AA268" t="str">
        <f>IF($A268="","",IF(COUNTIF($A$6:$A268,$A268)=1,1,0))</f>
        <v/>
      </c>
      <c r="AB268">
        <f>SUM($AA$6:$AA268)</f>
        <v>3</v>
      </c>
      <c r="AC268" t="str">
        <f t="shared" si="34"/>
        <v/>
      </c>
    </row>
    <row r="269" spans="1:29" x14ac:dyDescent="0.2">
      <c r="A269" t="str">
        <f>IF(OR(Entry!$B272="",Entry!$E272="",$E269="نامعتبر"),"",Entry!$E272)</f>
        <v/>
      </c>
      <c r="B269" t="str">
        <f>IF($A269="","",LEFT($E269,4)&amp;MID($E269,6,2)&amp;RIGHT($E269,2)&amp;$F269&amp;"|"&amp;"1"&amp;RIGHT("00000"&amp;264,5))</f>
        <v/>
      </c>
      <c r="C269" t="str">
        <f t="shared" si="28"/>
        <v/>
      </c>
      <c r="D269" t="str">
        <f t="shared" si="29"/>
        <v/>
      </c>
      <c r="E269" t="str">
        <f>IF(Entry!$B272="","",IF(ISNUMBER(Entry!$B272),IF(AND(Entry!$B272&gt;=10000101,Entry!$B272&lt;=99991231),INT(Entry!$B272/10000)&amp;"/"&amp;RIGHT("00"&amp;INT(MOD(Entry!$B272,10000)/100),2)&amp;"/"&amp;RIGHT("00"&amp;MOD(Entry!$B272,100),2),"نامعتبر"),IF(LEN(Entry!$B272)=10,Entry!$B272,"نامعتبر")))</f>
        <v/>
      </c>
      <c r="F269" t="str">
        <f>IF(Entry!$B272="","",IF(Entry!$C272="","0000",IF(AND(ISNUMBER(Entry!$C272),Entry!$C272&gt;=0,Entry!$C272&lt;1),RIGHT("00"&amp;HOUR(Entry!$C272),2)&amp;RIGHT("00"&amp;MINUTE(Entry!$C272),2),IFERROR(RIGHT("00"&amp;VALUE(LEFT(Entry!$C272,FIND(":",Entry!$C272)-1)),2)&amp;RIGHT("00"&amp;VALUE(MID(Entry!$C272,FIND(":",Entry!$C272)+1,2)),2),"0000"))))</f>
        <v/>
      </c>
      <c r="G269" t="str">
        <f>IF($A269="","",Entry!$G272)</f>
        <v/>
      </c>
      <c r="H269" t="str">
        <f>IF($A269="","",IF(Entry!$H272="",0,Entry!$H272))</f>
        <v/>
      </c>
      <c r="I269" t="str">
        <f>IF($A269="","",IF(Entry!$I272="",0,Entry!$I272))</f>
        <v/>
      </c>
      <c r="J269" t="str">
        <f t="shared" si="30"/>
        <v/>
      </c>
      <c r="K269" t="str">
        <f>IF($A269="","",Entry!$D272)</f>
        <v/>
      </c>
      <c r="L269" t="str">
        <f>IF($A269="","",Entry!$L272)</f>
        <v/>
      </c>
      <c r="N269" t="str">
        <f>IF(OR(Sync!$M269="",$Q269="",$Q269="نامعتبر"),"",Sync!$M269)</f>
        <v/>
      </c>
      <c r="O269" t="str">
        <f t="shared" si="31"/>
        <v/>
      </c>
      <c r="P269" t="str">
        <f>IF($N269="","",LEFT($Q269,4)&amp;MID($Q269,6,2)&amp;RIGHT($Q269,2)&amp;IF(Sync!$K269="","0000",IF(AND(ISNUMBER(Sync!$K269),Sync!$K269&gt;=0,Sync!$K269&lt;1),RIGHT("00"&amp;HOUR(Sync!$K269),2)&amp;RIGHT("00"&amp;MINUTE(Sync!$K269),2),IFERROR(RIGHT("00"&amp;VALUE(LEFT(Sync!$K269,FIND(":",Sync!$K269)-1)),2)&amp;RIGHT("00"&amp;VALUE(MID(Sync!$K269,FIND(":",Sync!$K269)+1,2)),2),"0000")))&amp;"|"&amp;"2"&amp;RIGHT("00000"&amp;264,5))</f>
        <v/>
      </c>
      <c r="Q269" t="str">
        <f>IF(Sync!$J269="","",IF(ISNUMBER(Sync!$J269),IF(AND(Sync!$J269&gt;=10000101,Sync!$J269&lt;=99991231),INT(Sync!$J269/10000)&amp;"/"&amp;RIGHT("00"&amp;INT(MOD(Sync!$J269,10000)/100),2)&amp;"/"&amp;RIGHT("00"&amp;MOD(Sync!$J269,100),2),"نامعتبر"),IF(LEN(Sync!$J269)=10,Sync!$J269,"نامعتبر")))</f>
        <v/>
      </c>
      <c r="R269" t="str">
        <f t="shared" si="32"/>
        <v/>
      </c>
      <c r="S269" t="str">
        <f t="shared" si="33"/>
        <v/>
      </c>
      <c r="T269" t="str">
        <f>IF($N269="","",IF(Sync!$N269="",0,Sync!$N269))</f>
        <v/>
      </c>
      <c r="U269" t="str">
        <f>IF($N269="","",IF(Sync!$O269="",0,Sync!$O269))</f>
        <v/>
      </c>
      <c r="V269" t="str">
        <f>IF($N269="","",Sync!$L269)</f>
        <v/>
      </c>
      <c r="W269" t="str">
        <f>IF($N269="","",Sync!$P269)</f>
        <v/>
      </c>
      <c r="AA269" t="str">
        <f>IF($A269="","",IF(COUNTIF($A$6:$A269,$A269)=1,1,0))</f>
        <v/>
      </c>
      <c r="AB269">
        <f>SUM($AA$6:$AA269)</f>
        <v>3</v>
      </c>
      <c r="AC269" t="str">
        <f t="shared" si="34"/>
        <v/>
      </c>
    </row>
    <row r="270" spans="1:29" x14ac:dyDescent="0.2">
      <c r="A270" t="str">
        <f>IF(OR(Entry!$B273="",Entry!$E273="",$E270="نامعتبر"),"",Entry!$E273)</f>
        <v/>
      </c>
      <c r="B270" t="str">
        <f>IF($A270="","",LEFT($E270,4)&amp;MID($E270,6,2)&amp;RIGHT($E270,2)&amp;$F270&amp;"|"&amp;"1"&amp;RIGHT("00000"&amp;265,5))</f>
        <v/>
      </c>
      <c r="C270" t="str">
        <f t="shared" si="28"/>
        <v/>
      </c>
      <c r="D270" t="str">
        <f t="shared" si="29"/>
        <v/>
      </c>
      <c r="E270" t="str">
        <f>IF(Entry!$B273="","",IF(ISNUMBER(Entry!$B273),IF(AND(Entry!$B273&gt;=10000101,Entry!$B273&lt;=99991231),INT(Entry!$B273/10000)&amp;"/"&amp;RIGHT("00"&amp;INT(MOD(Entry!$B273,10000)/100),2)&amp;"/"&amp;RIGHT("00"&amp;MOD(Entry!$B273,100),2),"نامعتبر"),IF(LEN(Entry!$B273)=10,Entry!$B273,"نامعتبر")))</f>
        <v/>
      </c>
      <c r="F270" t="str">
        <f>IF(Entry!$B273="","",IF(Entry!$C273="","0000",IF(AND(ISNUMBER(Entry!$C273),Entry!$C273&gt;=0,Entry!$C273&lt;1),RIGHT("00"&amp;HOUR(Entry!$C273),2)&amp;RIGHT("00"&amp;MINUTE(Entry!$C273),2),IFERROR(RIGHT("00"&amp;VALUE(LEFT(Entry!$C273,FIND(":",Entry!$C273)-1)),2)&amp;RIGHT("00"&amp;VALUE(MID(Entry!$C273,FIND(":",Entry!$C273)+1,2)),2),"0000"))))</f>
        <v/>
      </c>
      <c r="G270" t="str">
        <f>IF($A270="","",Entry!$G273)</f>
        <v/>
      </c>
      <c r="H270" t="str">
        <f>IF($A270="","",IF(Entry!$H273="",0,Entry!$H273))</f>
        <v/>
      </c>
      <c r="I270" t="str">
        <f>IF($A270="","",IF(Entry!$I273="",0,Entry!$I273))</f>
        <v/>
      </c>
      <c r="J270" t="str">
        <f t="shared" si="30"/>
        <v/>
      </c>
      <c r="K270" t="str">
        <f>IF($A270="","",Entry!$D273)</f>
        <v/>
      </c>
      <c r="L270" t="str">
        <f>IF($A270="","",Entry!$L273)</f>
        <v/>
      </c>
      <c r="N270" t="str">
        <f>IF(OR(Sync!$M270="",$Q270="",$Q270="نامعتبر"),"",Sync!$M270)</f>
        <v/>
      </c>
      <c r="O270" t="str">
        <f t="shared" si="31"/>
        <v/>
      </c>
      <c r="P270" t="str">
        <f>IF($N270="","",LEFT($Q270,4)&amp;MID($Q270,6,2)&amp;RIGHT($Q270,2)&amp;IF(Sync!$K270="","0000",IF(AND(ISNUMBER(Sync!$K270),Sync!$K270&gt;=0,Sync!$K270&lt;1),RIGHT("00"&amp;HOUR(Sync!$K270),2)&amp;RIGHT("00"&amp;MINUTE(Sync!$K270),2),IFERROR(RIGHT("00"&amp;VALUE(LEFT(Sync!$K270,FIND(":",Sync!$K270)-1)),2)&amp;RIGHT("00"&amp;VALUE(MID(Sync!$K270,FIND(":",Sync!$K270)+1,2)),2),"0000")))&amp;"|"&amp;"2"&amp;RIGHT("00000"&amp;265,5))</f>
        <v/>
      </c>
      <c r="Q270" t="str">
        <f>IF(Sync!$J270="","",IF(ISNUMBER(Sync!$J270),IF(AND(Sync!$J270&gt;=10000101,Sync!$J270&lt;=99991231),INT(Sync!$J270/10000)&amp;"/"&amp;RIGHT("00"&amp;INT(MOD(Sync!$J270,10000)/100),2)&amp;"/"&amp;RIGHT("00"&amp;MOD(Sync!$J270,100),2),"نامعتبر"),IF(LEN(Sync!$J270)=10,Sync!$J270,"نامعتبر")))</f>
        <v/>
      </c>
      <c r="R270" t="str">
        <f t="shared" si="32"/>
        <v/>
      </c>
      <c r="S270" t="str">
        <f t="shared" si="33"/>
        <v/>
      </c>
      <c r="T270" t="str">
        <f>IF($N270="","",IF(Sync!$N270="",0,Sync!$N270))</f>
        <v/>
      </c>
      <c r="U270" t="str">
        <f>IF($N270="","",IF(Sync!$O270="",0,Sync!$O270))</f>
        <v/>
      </c>
      <c r="V270" t="str">
        <f>IF($N270="","",Sync!$L270)</f>
        <v/>
      </c>
      <c r="W270" t="str">
        <f>IF($N270="","",Sync!$P270)</f>
        <v/>
      </c>
      <c r="AA270" t="str">
        <f>IF($A270="","",IF(COUNTIF($A$6:$A270,$A270)=1,1,0))</f>
        <v/>
      </c>
      <c r="AB270">
        <f>SUM($AA$6:$AA270)</f>
        <v>3</v>
      </c>
      <c r="AC270" t="str">
        <f t="shared" si="34"/>
        <v/>
      </c>
    </row>
    <row r="271" spans="1:29" x14ac:dyDescent="0.2">
      <c r="A271" t="str">
        <f>IF(OR(Entry!$B274="",Entry!$E274="",$E271="نامعتبر"),"",Entry!$E274)</f>
        <v/>
      </c>
      <c r="B271" t="str">
        <f>IF($A271="","",LEFT($E271,4)&amp;MID($E271,6,2)&amp;RIGHT($E271,2)&amp;$F271&amp;"|"&amp;"1"&amp;RIGHT("00000"&amp;266,5))</f>
        <v/>
      </c>
      <c r="C271" t="str">
        <f t="shared" si="28"/>
        <v/>
      </c>
      <c r="D271" t="str">
        <f t="shared" si="29"/>
        <v/>
      </c>
      <c r="E271" t="str">
        <f>IF(Entry!$B274="","",IF(ISNUMBER(Entry!$B274),IF(AND(Entry!$B274&gt;=10000101,Entry!$B274&lt;=99991231),INT(Entry!$B274/10000)&amp;"/"&amp;RIGHT("00"&amp;INT(MOD(Entry!$B274,10000)/100),2)&amp;"/"&amp;RIGHT("00"&amp;MOD(Entry!$B274,100),2),"نامعتبر"),IF(LEN(Entry!$B274)=10,Entry!$B274,"نامعتبر")))</f>
        <v/>
      </c>
      <c r="F271" t="str">
        <f>IF(Entry!$B274="","",IF(Entry!$C274="","0000",IF(AND(ISNUMBER(Entry!$C274),Entry!$C274&gt;=0,Entry!$C274&lt;1),RIGHT("00"&amp;HOUR(Entry!$C274),2)&amp;RIGHT("00"&amp;MINUTE(Entry!$C274),2),IFERROR(RIGHT("00"&amp;VALUE(LEFT(Entry!$C274,FIND(":",Entry!$C274)-1)),2)&amp;RIGHT("00"&amp;VALUE(MID(Entry!$C274,FIND(":",Entry!$C274)+1,2)),2),"0000"))))</f>
        <v/>
      </c>
      <c r="G271" t="str">
        <f>IF($A271="","",Entry!$G274)</f>
        <v/>
      </c>
      <c r="H271" t="str">
        <f>IF($A271="","",IF(Entry!$H274="",0,Entry!$H274))</f>
        <v/>
      </c>
      <c r="I271" t="str">
        <f>IF($A271="","",IF(Entry!$I274="",0,Entry!$I274))</f>
        <v/>
      </c>
      <c r="J271" t="str">
        <f t="shared" si="30"/>
        <v/>
      </c>
      <c r="K271" t="str">
        <f>IF($A271="","",Entry!$D274)</f>
        <v/>
      </c>
      <c r="L271" t="str">
        <f>IF($A271="","",Entry!$L274)</f>
        <v/>
      </c>
      <c r="N271" t="str">
        <f>IF(OR(Sync!$M271="",$Q271="",$Q271="نامعتبر"),"",Sync!$M271)</f>
        <v/>
      </c>
      <c r="O271" t="str">
        <f t="shared" si="31"/>
        <v/>
      </c>
      <c r="P271" t="str">
        <f>IF($N271="","",LEFT($Q271,4)&amp;MID($Q271,6,2)&amp;RIGHT($Q271,2)&amp;IF(Sync!$K271="","0000",IF(AND(ISNUMBER(Sync!$K271),Sync!$K271&gt;=0,Sync!$K271&lt;1),RIGHT("00"&amp;HOUR(Sync!$K271),2)&amp;RIGHT("00"&amp;MINUTE(Sync!$K271),2),IFERROR(RIGHT("00"&amp;VALUE(LEFT(Sync!$K271,FIND(":",Sync!$K271)-1)),2)&amp;RIGHT("00"&amp;VALUE(MID(Sync!$K271,FIND(":",Sync!$K271)+1,2)),2),"0000")))&amp;"|"&amp;"2"&amp;RIGHT("00000"&amp;266,5))</f>
        <v/>
      </c>
      <c r="Q271" t="str">
        <f>IF(Sync!$J271="","",IF(ISNUMBER(Sync!$J271),IF(AND(Sync!$J271&gt;=10000101,Sync!$J271&lt;=99991231),INT(Sync!$J271/10000)&amp;"/"&amp;RIGHT("00"&amp;INT(MOD(Sync!$J271,10000)/100),2)&amp;"/"&amp;RIGHT("00"&amp;MOD(Sync!$J271,100),2),"نامعتبر"),IF(LEN(Sync!$J271)=10,Sync!$J271,"نامعتبر")))</f>
        <v/>
      </c>
      <c r="R271" t="str">
        <f t="shared" si="32"/>
        <v/>
      </c>
      <c r="S271" t="str">
        <f t="shared" si="33"/>
        <v/>
      </c>
      <c r="T271" t="str">
        <f>IF($N271="","",IF(Sync!$N271="",0,Sync!$N271))</f>
        <v/>
      </c>
      <c r="U271" t="str">
        <f>IF($N271="","",IF(Sync!$O271="",0,Sync!$O271))</f>
        <v/>
      </c>
      <c r="V271" t="str">
        <f>IF($N271="","",Sync!$L271)</f>
        <v/>
      </c>
      <c r="W271" t="str">
        <f>IF($N271="","",Sync!$P271)</f>
        <v/>
      </c>
      <c r="AA271" t="str">
        <f>IF($A271="","",IF(COUNTIF($A$6:$A271,$A271)=1,1,0))</f>
        <v/>
      </c>
      <c r="AB271">
        <f>SUM($AA$6:$AA271)</f>
        <v>3</v>
      </c>
      <c r="AC271" t="str">
        <f t="shared" si="34"/>
        <v/>
      </c>
    </row>
    <row r="272" spans="1:29" x14ac:dyDescent="0.2">
      <c r="A272" t="str">
        <f>IF(OR(Entry!$B275="",Entry!$E275="",$E272="نامعتبر"),"",Entry!$E275)</f>
        <v/>
      </c>
      <c r="B272" t="str">
        <f>IF($A272="","",LEFT($E272,4)&amp;MID($E272,6,2)&amp;RIGHT($E272,2)&amp;$F272&amp;"|"&amp;"1"&amp;RIGHT("00000"&amp;267,5))</f>
        <v/>
      </c>
      <c r="C272" t="str">
        <f t="shared" si="28"/>
        <v/>
      </c>
      <c r="D272" t="str">
        <f t="shared" si="29"/>
        <v/>
      </c>
      <c r="E272" t="str">
        <f>IF(Entry!$B275="","",IF(ISNUMBER(Entry!$B275),IF(AND(Entry!$B275&gt;=10000101,Entry!$B275&lt;=99991231),INT(Entry!$B275/10000)&amp;"/"&amp;RIGHT("00"&amp;INT(MOD(Entry!$B275,10000)/100),2)&amp;"/"&amp;RIGHT("00"&amp;MOD(Entry!$B275,100),2),"نامعتبر"),IF(LEN(Entry!$B275)=10,Entry!$B275,"نامعتبر")))</f>
        <v/>
      </c>
      <c r="F272" t="str">
        <f>IF(Entry!$B275="","",IF(Entry!$C275="","0000",IF(AND(ISNUMBER(Entry!$C275),Entry!$C275&gt;=0,Entry!$C275&lt;1),RIGHT("00"&amp;HOUR(Entry!$C275),2)&amp;RIGHT("00"&amp;MINUTE(Entry!$C275),2),IFERROR(RIGHT("00"&amp;VALUE(LEFT(Entry!$C275,FIND(":",Entry!$C275)-1)),2)&amp;RIGHT("00"&amp;VALUE(MID(Entry!$C275,FIND(":",Entry!$C275)+1,2)),2),"0000"))))</f>
        <v/>
      </c>
      <c r="G272" t="str">
        <f>IF($A272="","",Entry!$G275)</f>
        <v/>
      </c>
      <c r="H272" t="str">
        <f>IF($A272="","",IF(Entry!$H275="",0,Entry!$H275))</f>
        <v/>
      </c>
      <c r="I272" t="str">
        <f>IF($A272="","",IF(Entry!$I275="",0,Entry!$I275))</f>
        <v/>
      </c>
      <c r="J272" t="str">
        <f t="shared" si="30"/>
        <v/>
      </c>
      <c r="K272" t="str">
        <f>IF($A272="","",Entry!$D275)</f>
        <v/>
      </c>
      <c r="L272" t="str">
        <f>IF($A272="","",Entry!$L275)</f>
        <v/>
      </c>
      <c r="N272" t="str">
        <f>IF(OR(Sync!$M272="",$Q272="",$Q272="نامعتبر"),"",Sync!$M272)</f>
        <v/>
      </c>
      <c r="O272" t="str">
        <f t="shared" si="31"/>
        <v/>
      </c>
      <c r="P272" t="str">
        <f>IF($N272="","",LEFT($Q272,4)&amp;MID($Q272,6,2)&amp;RIGHT($Q272,2)&amp;IF(Sync!$K272="","0000",IF(AND(ISNUMBER(Sync!$K272),Sync!$K272&gt;=0,Sync!$K272&lt;1),RIGHT("00"&amp;HOUR(Sync!$K272),2)&amp;RIGHT("00"&amp;MINUTE(Sync!$K272),2),IFERROR(RIGHT("00"&amp;VALUE(LEFT(Sync!$K272,FIND(":",Sync!$K272)-1)),2)&amp;RIGHT("00"&amp;VALUE(MID(Sync!$K272,FIND(":",Sync!$K272)+1,2)),2),"0000")))&amp;"|"&amp;"2"&amp;RIGHT("00000"&amp;267,5))</f>
        <v/>
      </c>
      <c r="Q272" t="str">
        <f>IF(Sync!$J272="","",IF(ISNUMBER(Sync!$J272),IF(AND(Sync!$J272&gt;=10000101,Sync!$J272&lt;=99991231),INT(Sync!$J272/10000)&amp;"/"&amp;RIGHT("00"&amp;INT(MOD(Sync!$J272,10000)/100),2)&amp;"/"&amp;RIGHT("00"&amp;MOD(Sync!$J272,100),2),"نامعتبر"),IF(LEN(Sync!$J272)=10,Sync!$J272,"نامعتبر")))</f>
        <v/>
      </c>
      <c r="R272" t="str">
        <f t="shared" si="32"/>
        <v/>
      </c>
      <c r="S272" t="str">
        <f t="shared" si="33"/>
        <v/>
      </c>
      <c r="T272" t="str">
        <f>IF($N272="","",IF(Sync!$N272="",0,Sync!$N272))</f>
        <v/>
      </c>
      <c r="U272" t="str">
        <f>IF($N272="","",IF(Sync!$O272="",0,Sync!$O272))</f>
        <v/>
      </c>
      <c r="V272" t="str">
        <f>IF($N272="","",Sync!$L272)</f>
        <v/>
      </c>
      <c r="W272" t="str">
        <f>IF($N272="","",Sync!$P272)</f>
        <v/>
      </c>
      <c r="AA272" t="str">
        <f>IF($A272="","",IF(COUNTIF($A$6:$A272,$A272)=1,1,0))</f>
        <v/>
      </c>
      <c r="AB272">
        <f>SUM($AA$6:$AA272)</f>
        <v>3</v>
      </c>
      <c r="AC272" t="str">
        <f t="shared" si="34"/>
        <v/>
      </c>
    </row>
    <row r="273" spans="1:29" x14ac:dyDescent="0.2">
      <c r="A273" t="str">
        <f>IF(OR(Entry!$B276="",Entry!$E276="",$E273="نامعتبر"),"",Entry!$E276)</f>
        <v/>
      </c>
      <c r="B273" t="str">
        <f>IF($A273="","",LEFT($E273,4)&amp;MID($E273,6,2)&amp;RIGHT($E273,2)&amp;$F273&amp;"|"&amp;"1"&amp;RIGHT("00000"&amp;268,5))</f>
        <v/>
      </c>
      <c r="C273" t="str">
        <f t="shared" si="28"/>
        <v/>
      </c>
      <c r="D273" t="str">
        <f t="shared" si="29"/>
        <v/>
      </c>
      <c r="E273" t="str">
        <f>IF(Entry!$B276="","",IF(ISNUMBER(Entry!$B276),IF(AND(Entry!$B276&gt;=10000101,Entry!$B276&lt;=99991231),INT(Entry!$B276/10000)&amp;"/"&amp;RIGHT("00"&amp;INT(MOD(Entry!$B276,10000)/100),2)&amp;"/"&amp;RIGHT("00"&amp;MOD(Entry!$B276,100),2),"نامعتبر"),IF(LEN(Entry!$B276)=10,Entry!$B276,"نامعتبر")))</f>
        <v/>
      </c>
      <c r="F273" t="str">
        <f>IF(Entry!$B276="","",IF(Entry!$C276="","0000",IF(AND(ISNUMBER(Entry!$C276),Entry!$C276&gt;=0,Entry!$C276&lt;1),RIGHT("00"&amp;HOUR(Entry!$C276),2)&amp;RIGHT("00"&amp;MINUTE(Entry!$C276),2),IFERROR(RIGHT("00"&amp;VALUE(LEFT(Entry!$C276,FIND(":",Entry!$C276)-1)),2)&amp;RIGHT("00"&amp;VALUE(MID(Entry!$C276,FIND(":",Entry!$C276)+1,2)),2),"0000"))))</f>
        <v/>
      </c>
      <c r="G273" t="str">
        <f>IF($A273="","",Entry!$G276)</f>
        <v/>
      </c>
      <c r="H273" t="str">
        <f>IF($A273="","",IF(Entry!$H276="",0,Entry!$H276))</f>
        <v/>
      </c>
      <c r="I273" t="str">
        <f>IF($A273="","",IF(Entry!$I276="",0,Entry!$I276))</f>
        <v/>
      </c>
      <c r="J273" t="str">
        <f t="shared" si="30"/>
        <v/>
      </c>
      <c r="K273" t="str">
        <f>IF($A273="","",Entry!$D276)</f>
        <v/>
      </c>
      <c r="L273" t="str">
        <f>IF($A273="","",Entry!$L276)</f>
        <v/>
      </c>
      <c r="N273" t="str">
        <f>IF(OR(Sync!$M273="",$Q273="",$Q273="نامعتبر"),"",Sync!$M273)</f>
        <v/>
      </c>
      <c r="O273" t="str">
        <f t="shared" si="31"/>
        <v/>
      </c>
      <c r="P273" t="str">
        <f>IF($N273="","",LEFT($Q273,4)&amp;MID($Q273,6,2)&amp;RIGHT($Q273,2)&amp;IF(Sync!$K273="","0000",IF(AND(ISNUMBER(Sync!$K273),Sync!$K273&gt;=0,Sync!$K273&lt;1),RIGHT("00"&amp;HOUR(Sync!$K273),2)&amp;RIGHT("00"&amp;MINUTE(Sync!$K273),2),IFERROR(RIGHT("00"&amp;VALUE(LEFT(Sync!$K273,FIND(":",Sync!$K273)-1)),2)&amp;RIGHT("00"&amp;VALUE(MID(Sync!$K273,FIND(":",Sync!$K273)+1,2)),2),"0000")))&amp;"|"&amp;"2"&amp;RIGHT("00000"&amp;268,5))</f>
        <v/>
      </c>
      <c r="Q273" t="str">
        <f>IF(Sync!$J273="","",IF(ISNUMBER(Sync!$J273),IF(AND(Sync!$J273&gt;=10000101,Sync!$J273&lt;=99991231),INT(Sync!$J273/10000)&amp;"/"&amp;RIGHT("00"&amp;INT(MOD(Sync!$J273,10000)/100),2)&amp;"/"&amp;RIGHT("00"&amp;MOD(Sync!$J273,100),2),"نامعتبر"),IF(LEN(Sync!$J273)=10,Sync!$J273,"نامعتبر")))</f>
        <v/>
      </c>
      <c r="R273" t="str">
        <f t="shared" si="32"/>
        <v/>
      </c>
      <c r="S273" t="str">
        <f t="shared" si="33"/>
        <v/>
      </c>
      <c r="T273" t="str">
        <f>IF($N273="","",IF(Sync!$N273="",0,Sync!$N273))</f>
        <v/>
      </c>
      <c r="U273" t="str">
        <f>IF($N273="","",IF(Sync!$O273="",0,Sync!$O273))</f>
        <v/>
      </c>
      <c r="V273" t="str">
        <f>IF($N273="","",Sync!$L273)</f>
        <v/>
      </c>
      <c r="W273" t="str">
        <f>IF($N273="","",Sync!$P273)</f>
        <v/>
      </c>
      <c r="AA273" t="str">
        <f>IF($A273="","",IF(COUNTIF($A$6:$A273,$A273)=1,1,0))</f>
        <v/>
      </c>
      <c r="AB273">
        <f>SUM($AA$6:$AA273)</f>
        <v>3</v>
      </c>
      <c r="AC273" t="str">
        <f t="shared" si="34"/>
        <v/>
      </c>
    </row>
    <row r="274" spans="1:29" x14ac:dyDescent="0.2">
      <c r="A274" t="str">
        <f>IF(OR(Entry!$B277="",Entry!$E277="",$E274="نامعتبر"),"",Entry!$E277)</f>
        <v/>
      </c>
      <c r="B274" t="str">
        <f>IF($A274="","",LEFT($E274,4)&amp;MID($E274,6,2)&amp;RIGHT($E274,2)&amp;$F274&amp;"|"&amp;"1"&amp;RIGHT("00000"&amp;269,5))</f>
        <v/>
      </c>
      <c r="C274" t="str">
        <f t="shared" si="28"/>
        <v/>
      </c>
      <c r="D274" t="str">
        <f t="shared" si="29"/>
        <v/>
      </c>
      <c r="E274" t="str">
        <f>IF(Entry!$B277="","",IF(ISNUMBER(Entry!$B277),IF(AND(Entry!$B277&gt;=10000101,Entry!$B277&lt;=99991231),INT(Entry!$B277/10000)&amp;"/"&amp;RIGHT("00"&amp;INT(MOD(Entry!$B277,10000)/100),2)&amp;"/"&amp;RIGHT("00"&amp;MOD(Entry!$B277,100),2),"نامعتبر"),IF(LEN(Entry!$B277)=10,Entry!$B277,"نامعتبر")))</f>
        <v/>
      </c>
      <c r="F274" t="str">
        <f>IF(Entry!$B277="","",IF(Entry!$C277="","0000",IF(AND(ISNUMBER(Entry!$C277),Entry!$C277&gt;=0,Entry!$C277&lt;1),RIGHT("00"&amp;HOUR(Entry!$C277),2)&amp;RIGHT("00"&amp;MINUTE(Entry!$C277),2),IFERROR(RIGHT("00"&amp;VALUE(LEFT(Entry!$C277,FIND(":",Entry!$C277)-1)),2)&amp;RIGHT("00"&amp;VALUE(MID(Entry!$C277,FIND(":",Entry!$C277)+1,2)),2),"0000"))))</f>
        <v/>
      </c>
      <c r="G274" t="str">
        <f>IF($A274="","",Entry!$G277)</f>
        <v/>
      </c>
      <c r="H274" t="str">
        <f>IF($A274="","",IF(Entry!$H277="",0,Entry!$H277))</f>
        <v/>
      </c>
      <c r="I274" t="str">
        <f>IF($A274="","",IF(Entry!$I277="",0,Entry!$I277))</f>
        <v/>
      </c>
      <c r="J274" t="str">
        <f t="shared" si="30"/>
        <v/>
      </c>
      <c r="K274" t="str">
        <f>IF($A274="","",Entry!$D277)</f>
        <v/>
      </c>
      <c r="L274" t="str">
        <f>IF($A274="","",Entry!$L277)</f>
        <v/>
      </c>
      <c r="N274" t="str">
        <f>IF(OR(Sync!$M274="",$Q274="",$Q274="نامعتبر"),"",Sync!$M274)</f>
        <v/>
      </c>
      <c r="O274" t="str">
        <f t="shared" si="31"/>
        <v/>
      </c>
      <c r="P274" t="str">
        <f>IF($N274="","",LEFT($Q274,4)&amp;MID($Q274,6,2)&amp;RIGHT($Q274,2)&amp;IF(Sync!$K274="","0000",IF(AND(ISNUMBER(Sync!$K274),Sync!$K274&gt;=0,Sync!$K274&lt;1),RIGHT("00"&amp;HOUR(Sync!$K274),2)&amp;RIGHT("00"&amp;MINUTE(Sync!$K274),2),IFERROR(RIGHT("00"&amp;VALUE(LEFT(Sync!$K274,FIND(":",Sync!$K274)-1)),2)&amp;RIGHT("00"&amp;VALUE(MID(Sync!$K274,FIND(":",Sync!$K274)+1,2)),2),"0000")))&amp;"|"&amp;"2"&amp;RIGHT("00000"&amp;269,5))</f>
        <v/>
      </c>
      <c r="Q274" t="str">
        <f>IF(Sync!$J274="","",IF(ISNUMBER(Sync!$J274),IF(AND(Sync!$J274&gt;=10000101,Sync!$J274&lt;=99991231),INT(Sync!$J274/10000)&amp;"/"&amp;RIGHT("00"&amp;INT(MOD(Sync!$J274,10000)/100),2)&amp;"/"&amp;RIGHT("00"&amp;MOD(Sync!$J274,100),2),"نامعتبر"),IF(LEN(Sync!$J274)=10,Sync!$J274,"نامعتبر")))</f>
        <v/>
      </c>
      <c r="R274" t="str">
        <f t="shared" si="32"/>
        <v/>
      </c>
      <c r="S274" t="str">
        <f t="shared" si="33"/>
        <v/>
      </c>
      <c r="T274" t="str">
        <f>IF($N274="","",IF(Sync!$N274="",0,Sync!$N274))</f>
        <v/>
      </c>
      <c r="U274" t="str">
        <f>IF($N274="","",IF(Sync!$O274="",0,Sync!$O274))</f>
        <v/>
      </c>
      <c r="V274" t="str">
        <f>IF($N274="","",Sync!$L274)</f>
        <v/>
      </c>
      <c r="W274" t="str">
        <f>IF($N274="","",Sync!$P274)</f>
        <v/>
      </c>
      <c r="AA274" t="str">
        <f>IF($A274="","",IF(COUNTIF($A$6:$A274,$A274)=1,1,0))</f>
        <v/>
      </c>
      <c r="AB274">
        <f>SUM($AA$6:$AA274)</f>
        <v>3</v>
      </c>
      <c r="AC274" t="str">
        <f t="shared" si="34"/>
        <v/>
      </c>
    </row>
    <row r="275" spans="1:29" x14ac:dyDescent="0.2">
      <c r="A275" t="str">
        <f>IF(OR(Entry!$B278="",Entry!$E278="",$E275="نامعتبر"),"",Entry!$E278)</f>
        <v/>
      </c>
      <c r="B275" t="str">
        <f>IF($A275="","",LEFT($E275,4)&amp;MID($E275,6,2)&amp;RIGHT($E275,2)&amp;$F275&amp;"|"&amp;"1"&amp;RIGHT("00000"&amp;270,5))</f>
        <v/>
      </c>
      <c r="C275" t="str">
        <f t="shared" si="28"/>
        <v/>
      </c>
      <c r="D275" t="str">
        <f t="shared" si="29"/>
        <v/>
      </c>
      <c r="E275" t="str">
        <f>IF(Entry!$B278="","",IF(ISNUMBER(Entry!$B278),IF(AND(Entry!$B278&gt;=10000101,Entry!$B278&lt;=99991231),INT(Entry!$B278/10000)&amp;"/"&amp;RIGHT("00"&amp;INT(MOD(Entry!$B278,10000)/100),2)&amp;"/"&amp;RIGHT("00"&amp;MOD(Entry!$B278,100),2),"نامعتبر"),IF(LEN(Entry!$B278)=10,Entry!$B278,"نامعتبر")))</f>
        <v/>
      </c>
      <c r="F275" t="str">
        <f>IF(Entry!$B278="","",IF(Entry!$C278="","0000",IF(AND(ISNUMBER(Entry!$C278),Entry!$C278&gt;=0,Entry!$C278&lt;1),RIGHT("00"&amp;HOUR(Entry!$C278),2)&amp;RIGHT("00"&amp;MINUTE(Entry!$C278),2),IFERROR(RIGHT("00"&amp;VALUE(LEFT(Entry!$C278,FIND(":",Entry!$C278)-1)),2)&amp;RIGHT("00"&amp;VALUE(MID(Entry!$C278,FIND(":",Entry!$C278)+1,2)),2),"0000"))))</f>
        <v/>
      </c>
      <c r="G275" t="str">
        <f>IF($A275="","",Entry!$G278)</f>
        <v/>
      </c>
      <c r="H275" t="str">
        <f>IF($A275="","",IF(Entry!$H278="",0,Entry!$H278))</f>
        <v/>
      </c>
      <c r="I275" t="str">
        <f>IF($A275="","",IF(Entry!$I278="",0,Entry!$I278))</f>
        <v/>
      </c>
      <c r="J275" t="str">
        <f t="shared" si="30"/>
        <v/>
      </c>
      <c r="K275" t="str">
        <f>IF($A275="","",Entry!$D278)</f>
        <v/>
      </c>
      <c r="L275" t="str">
        <f>IF($A275="","",Entry!$L278)</f>
        <v/>
      </c>
      <c r="N275" t="str">
        <f>IF(OR(Sync!$M275="",$Q275="",$Q275="نامعتبر"),"",Sync!$M275)</f>
        <v/>
      </c>
      <c r="O275" t="str">
        <f t="shared" si="31"/>
        <v/>
      </c>
      <c r="P275" t="str">
        <f>IF($N275="","",LEFT($Q275,4)&amp;MID($Q275,6,2)&amp;RIGHT($Q275,2)&amp;IF(Sync!$K275="","0000",IF(AND(ISNUMBER(Sync!$K275),Sync!$K275&gt;=0,Sync!$K275&lt;1),RIGHT("00"&amp;HOUR(Sync!$K275),2)&amp;RIGHT("00"&amp;MINUTE(Sync!$K275),2),IFERROR(RIGHT("00"&amp;VALUE(LEFT(Sync!$K275,FIND(":",Sync!$K275)-1)),2)&amp;RIGHT("00"&amp;VALUE(MID(Sync!$K275,FIND(":",Sync!$K275)+1,2)),2),"0000")))&amp;"|"&amp;"2"&amp;RIGHT("00000"&amp;270,5))</f>
        <v/>
      </c>
      <c r="Q275" t="str">
        <f>IF(Sync!$J275="","",IF(ISNUMBER(Sync!$J275),IF(AND(Sync!$J275&gt;=10000101,Sync!$J275&lt;=99991231),INT(Sync!$J275/10000)&amp;"/"&amp;RIGHT("00"&amp;INT(MOD(Sync!$J275,10000)/100),2)&amp;"/"&amp;RIGHT("00"&amp;MOD(Sync!$J275,100),2),"نامعتبر"),IF(LEN(Sync!$J275)=10,Sync!$J275,"نامعتبر")))</f>
        <v/>
      </c>
      <c r="R275" t="str">
        <f t="shared" si="32"/>
        <v/>
      </c>
      <c r="S275" t="str">
        <f t="shared" si="33"/>
        <v/>
      </c>
      <c r="T275" t="str">
        <f>IF($N275="","",IF(Sync!$N275="",0,Sync!$N275))</f>
        <v/>
      </c>
      <c r="U275" t="str">
        <f>IF($N275="","",IF(Sync!$O275="",0,Sync!$O275))</f>
        <v/>
      </c>
      <c r="V275" t="str">
        <f>IF($N275="","",Sync!$L275)</f>
        <v/>
      </c>
      <c r="W275" t="str">
        <f>IF($N275="","",Sync!$P275)</f>
        <v/>
      </c>
      <c r="AA275" t="str">
        <f>IF($A275="","",IF(COUNTIF($A$6:$A275,$A275)=1,1,0))</f>
        <v/>
      </c>
      <c r="AB275">
        <f>SUM($AA$6:$AA275)</f>
        <v>3</v>
      </c>
      <c r="AC275" t="str">
        <f t="shared" si="34"/>
        <v/>
      </c>
    </row>
    <row r="276" spans="1:29" x14ac:dyDescent="0.2">
      <c r="A276" t="str">
        <f>IF(OR(Entry!$B279="",Entry!$E279="",$E276="نامعتبر"),"",Entry!$E279)</f>
        <v/>
      </c>
      <c r="B276" t="str">
        <f>IF($A276="","",LEFT($E276,4)&amp;MID($E276,6,2)&amp;RIGHT($E276,2)&amp;$F276&amp;"|"&amp;"1"&amp;RIGHT("00000"&amp;271,5))</f>
        <v/>
      </c>
      <c r="C276" t="str">
        <f t="shared" si="28"/>
        <v/>
      </c>
      <c r="D276" t="str">
        <f t="shared" si="29"/>
        <v/>
      </c>
      <c r="E276" t="str">
        <f>IF(Entry!$B279="","",IF(ISNUMBER(Entry!$B279),IF(AND(Entry!$B279&gt;=10000101,Entry!$B279&lt;=99991231),INT(Entry!$B279/10000)&amp;"/"&amp;RIGHT("00"&amp;INT(MOD(Entry!$B279,10000)/100),2)&amp;"/"&amp;RIGHT("00"&amp;MOD(Entry!$B279,100),2),"نامعتبر"),IF(LEN(Entry!$B279)=10,Entry!$B279,"نامعتبر")))</f>
        <v/>
      </c>
      <c r="F276" t="str">
        <f>IF(Entry!$B279="","",IF(Entry!$C279="","0000",IF(AND(ISNUMBER(Entry!$C279),Entry!$C279&gt;=0,Entry!$C279&lt;1),RIGHT("00"&amp;HOUR(Entry!$C279),2)&amp;RIGHT("00"&amp;MINUTE(Entry!$C279),2),IFERROR(RIGHT("00"&amp;VALUE(LEFT(Entry!$C279,FIND(":",Entry!$C279)-1)),2)&amp;RIGHT("00"&amp;VALUE(MID(Entry!$C279,FIND(":",Entry!$C279)+1,2)),2),"0000"))))</f>
        <v/>
      </c>
      <c r="G276" t="str">
        <f>IF($A276="","",Entry!$G279)</f>
        <v/>
      </c>
      <c r="H276" t="str">
        <f>IF($A276="","",IF(Entry!$H279="",0,Entry!$H279))</f>
        <v/>
      </c>
      <c r="I276" t="str">
        <f>IF($A276="","",IF(Entry!$I279="",0,Entry!$I279))</f>
        <v/>
      </c>
      <c r="J276" t="str">
        <f t="shared" si="30"/>
        <v/>
      </c>
      <c r="K276" t="str">
        <f>IF($A276="","",Entry!$D279)</f>
        <v/>
      </c>
      <c r="L276" t="str">
        <f>IF($A276="","",Entry!$L279)</f>
        <v/>
      </c>
      <c r="N276" t="str">
        <f>IF(OR(Sync!$M276="",$Q276="",$Q276="نامعتبر"),"",Sync!$M276)</f>
        <v/>
      </c>
      <c r="O276" t="str">
        <f t="shared" si="31"/>
        <v/>
      </c>
      <c r="P276" t="str">
        <f>IF($N276="","",LEFT($Q276,4)&amp;MID($Q276,6,2)&amp;RIGHT($Q276,2)&amp;IF(Sync!$K276="","0000",IF(AND(ISNUMBER(Sync!$K276),Sync!$K276&gt;=0,Sync!$K276&lt;1),RIGHT("00"&amp;HOUR(Sync!$K276),2)&amp;RIGHT("00"&amp;MINUTE(Sync!$K276),2),IFERROR(RIGHT("00"&amp;VALUE(LEFT(Sync!$K276,FIND(":",Sync!$K276)-1)),2)&amp;RIGHT("00"&amp;VALUE(MID(Sync!$K276,FIND(":",Sync!$K276)+1,2)),2),"0000")))&amp;"|"&amp;"2"&amp;RIGHT("00000"&amp;271,5))</f>
        <v/>
      </c>
      <c r="Q276" t="str">
        <f>IF(Sync!$J276="","",IF(ISNUMBER(Sync!$J276),IF(AND(Sync!$J276&gt;=10000101,Sync!$J276&lt;=99991231),INT(Sync!$J276/10000)&amp;"/"&amp;RIGHT("00"&amp;INT(MOD(Sync!$J276,10000)/100),2)&amp;"/"&amp;RIGHT("00"&amp;MOD(Sync!$J276,100),2),"نامعتبر"),IF(LEN(Sync!$J276)=10,Sync!$J276,"نامعتبر")))</f>
        <v/>
      </c>
      <c r="R276" t="str">
        <f t="shared" si="32"/>
        <v/>
      </c>
      <c r="S276" t="str">
        <f t="shared" si="33"/>
        <v/>
      </c>
      <c r="T276" t="str">
        <f>IF($N276="","",IF(Sync!$N276="",0,Sync!$N276))</f>
        <v/>
      </c>
      <c r="U276" t="str">
        <f>IF($N276="","",IF(Sync!$O276="",0,Sync!$O276))</f>
        <v/>
      </c>
      <c r="V276" t="str">
        <f>IF($N276="","",Sync!$L276)</f>
        <v/>
      </c>
      <c r="W276" t="str">
        <f>IF($N276="","",Sync!$P276)</f>
        <v/>
      </c>
      <c r="AA276" t="str">
        <f>IF($A276="","",IF(COUNTIF($A$6:$A276,$A276)=1,1,0))</f>
        <v/>
      </c>
      <c r="AB276">
        <f>SUM($AA$6:$AA276)</f>
        <v>3</v>
      </c>
      <c r="AC276" t="str">
        <f t="shared" si="34"/>
        <v/>
      </c>
    </row>
    <row r="277" spans="1:29" x14ac:dyDescent="0.2">
      <c r="A277" t="str">
        <f>IF(OR(Entry!$B280="",Entry!$E280="",$E277="نامعتبر"),"",Entry!$E280)</f>
        <v/>
      </c>
      <c r="B277" t="str">
        <f>IF($A277="","",LEFT($E277,4)&amp;MID($E277,6,2)&amp;RIGHT($E277,2)&amp;$F277&amp;"|"&amp;"1"&amp;RIGHT("00000"&amp;272,5))</f>
        <v/>
      </c>
      <c r="C277" t="str">
        <f t="shared" si="28"/>
        <v/>
      </c>
      <c r="D277" t="str">
        <f t="shared" si="29"/>
        <v/>
      </c>
      <c r="E277" t="str">
        <f>IF(Entry!$B280="","",IF(ISNUMBER(Entry!$B280),IF(AND(Entry!$B280&gt;=10000101,Entry!$B280&lt;=99991231),INT(Entry!$B280/10000)&amp;"/"&amp;RIGHT("00"&amp;INT(MOD(Entry!$B280,10000)/100),2)&amp;"/"&amp;RIGHT("00"&amp;MOD(Entry!$B280,100),2),"نامعتبر"),IF(LEN(Entry!$B280)=10,Entry!$B280,"نامعتبر")))</f>
        <v/>
      </c>
      <c r="F277" t="str">
        <f>IF(Entry!$B280="","",IF(Entry!$C280="","0000",IF(AND(ISNUMBER(Entry!$C280),Entry!$C280&gt;=0,Entry!$C280&lt;1),RIGHT("00"&amp;HOUR(Entry!$C280),2)&amp;RIGHT("00"&amp;MINUTE(Entry!$C280),2),IFERROR(RIGHT("00"&amp;VALUE(LEFT(Entry!$C280,FIND(":",Entry!$C280)-1)),2)&amp;RIGHT("00"&amp;VALUE(MID(Entry!$C280,FIND(":",Entry!$C280)+1,2)),2),"0000"))))</f>
        <v/>
      </c>
      <c r="G277" t="str">
        <f>IF($A277="","",Entry!$G280)</f>
        <v/>
      </c>
      <c r="H277" t="str">
        <f>IF($A277="","",IF(Entry!$H280="",0,Entry!$H280))</f>
        <v/>
      </c>
      <c r="I277" t="str">
        <f>IF($A277="","",IF(Entry!$I280="",0,Entry!$I280))</f>
        <v/>
      </c>
      <c r="J277" t="str">
        <f t="shared" si="30"/>
        <v/>
      </c>
      <c r="K277" t="str">
        <f>IF($A277="","",Entry!$D280)</f>
        <v/>
      </c>
      <c r="L277" t="str">
        <f>IF($A277="","",Entry!$L280)</f>
        <v/>
      </c>
      <c r="N277" t="str">
        <f>IF(OR(Sync!$M277="",$Q277="",$Q277="نامعتبر"),"",Sync!$M277)</f>
        <v/>
      </c>
      <c r="O277" t="str">
        <f t="shared" si="31"/>
        <v/>
      </c>
      <c r="P277" t="str">
        <f>IF($N277="","",LEFT($Q277,4)&amp;MID($Q277,6,2)&amp;RIGHT($Q277,2)&amp;IF(Sync!$K277="","0000",IF(AND(ISNUMBER(Sync!$K277),Sync!$K277&gt;=0,Sync!$K277&lt;1),RIGHT("00"&amp;HOUR(Sync!$K277),2)&amp;RIGHT("00"&amp;MINUTE(Sync!$K277),2),IFERROR(RIGHT("00"&amp;VALUE(LEFT(Sync!$K277,FIND(":",Sync!$K277)-1)),2)&amp;RIGHT("00"&amp;VALUE(MID(Sync!$K277,FIND(":",Sync!$K277)+1,2)),2),"0000")))&amp;"|"&amp;"2"&amp;RIGHT("00000"&amp;272,5))</f>
        <v/>
      </c>
      <c r="Q277" t="str">
        <f>IF(Sync!$J277="","",IF(ISNUMBER(Sync!$J277),IF(AND(Sync!$J277&gt;=10000101,Sync!$J277&lt;=99991231),INT(Sync!$J277/10000)&amp;"/"&amp;RIGHT("00"&amp;INT(MOD(Sync!$J277,10000)/100),2)&amp;"/"&amp;RIGHT("00"&amp;MOD(Sync!$J277,100),2),"نامعتبر"),IF(LEN(Sync!$J277)=10,Sync!$J277,"نامعتبر")))</f>
        <v/>
      </c>
      <c r="R277" t="str">
        <f t="shared" si="32"/>
        <v/>
      </c>
      <c r="S277" t="str">
        <f t="shared" si="33"/>
        <v/>
      </c>
      <c r="T277" t="str">
        <f>IF($N277="","",IF(Sync!$N277="",0,Sync!$N277))</f>
        <v/>
      </c>
      <c r="U277" t="str">
        <f>IF($N277="","",IF(Sync!$O277="",0,Sync!$O277))</f>
        <v/>
      </c>
      <c r="V277" t="str">
        <f>IF($N277="","",Sync!$L277)</f>
        <v/>
      </c>
      <c r="W277" t="str">
        <f>IF($N277="","",Sync!$P277)</f>
        <v/>
      </c>
      <c r="AA277" t="str">
        <f>IF($A277="","",IF(COUNTIF($A$6:$A277,$A277)=1,1,0))</f>
        <v/>
      </c>
      <c r="AB277">
        <f>SUM($AA$6:$AA277)</f>
        <v>3</v>
      </c>
      <c r="AC277" t="str">
        <f t="shared" si="34"/>
        <v/>
      </c>
    </row>
    <row r="278" spans="1:29" x14ac:dyDescent="0.2">
      <c r="A278" t="str">
        <f>IF(OR(Entry!$B281="",Entry!$E281="",$E278="نامعتبر"),"",Entry!$E281)</f>
        <v/>
      </c>
      <c r="B278" t="str">
        <f>IF($A278="","",LEFT($E278,4)&amp;MID($E278,6,2)&amp;RIGHT($E278,2)&amp;$F278&amp;"|"&amp;"1"&amp;RIGHT("00000"&amp;273,5))</f>
        <v/>
      </c>
      <c r="C278" t="str">
        <f t="shared" si="28"/>
        <v/>
      </c>
      <c r="D278" t="str">
        <f t="shared" si="29"/>
        <v/>
      </c>
      <c r="E278" t="str">
        <f>IF(Entry!$B281="","",IF(ISNUMBER(Entry!$B281),IF(AND(Entry!$B281&gt;=10000101,Entry!$B281&lt;=99991231),INT(Entry!$B281/10000)&amp;"/"&amp;RIGHT("00"&amp;INT(MOD(Entry!$B281,10000)/100),2)&amp;"/"&amp;RIGHT("00"&amp;MOD(Entry!$B281,100),2),"نامعتبر"),IF(LEN(Entry!$B281)=10,Entry!$B281,"نامعتبر")))</f>
        <v/>
      </c>
      <c r="F278" t="str">
        <f>IF(Entry!$B281="","",IF(Entry!$C281="","0000",IF(AND(ISNUMBER(Entry!$C281),Entry!$C281&gt;=0,Entry!$C281&lt;1),RIGHT("00"&amp;HOUR(Entry!$C281),2)&amp;RIGHT("00"&amp;MINUTE(Entry!$C281),2),IFERROR(RIGHT("00"&amp;VALUE(LEFT(Entry!$C281,FIND(":",Entry!$C281)-1)),2)&amp;RIGHT("00"&amp;VALUE(MID(Entry!$C281,FIND(":",Entry!$C281)+1,2)),2),"0000"))))</f>
        <v/>
      </c>
      <c r="G278" t="str">
        <f>IF($A278="","",Entry!$G281)</f>
        <v/>
      </c>
      <c r="H278" t="str">
        <f>IF($A278="","",IF(Entry!$H281="",0,Entry!$H281))</f>
        <v/>
      </c>
      <c r="I278" t="str">
        <f>IF($A278="","",IF(Entry!$I281="",0,Entry!$I281))</f>
        <v/>
      </c>
      <c r="J278" t="str">
        <f t="shared" si="30"/>
        <v/>
      </c>
      <c r="K278" t="str">
        <f>IF($A278="","",Entry!$D281)</f>
        <v/>
      </c>
      <c r="L278" t="str">
        <f>IF($A278="","",Entry!$L281)</f>
        <v/>
      </c>
      <c r="N278" t="str">
        <f>IF(OR(Sync!$M278="",$Q278="",$Q278="نامعتبر"),"",Sync!$M278)</f>
        <v/>
      </c>
      <c r="O278" t="str">
        <f t="shared" si="31"/>
        <v/>
      </c>
      <c r="P278" t="str">
        <f>IF($N278="","",LEFT($Q278,4)&amp;MID($Q278,6,2)&amp;RIGHT($Q278,2)&amp;IF(Sync!$K278="","0000",IF(AND(ISNUMBER(Sync!$K278),Sync!$K278&gt;=0,Sync!$K278&lt;1),RIGHT("00"&amp;HOUR(Sync!$K278),2)&amp;RIGHT("00"&amp;MINUTE(Sync!$K278),2),IFERROR(RIGHT("00"&amp;VALUE(LEFT(Sync!$K278,FIND(":",Sync!$K278)-1)),2)&amp;RIGHT("00"&amp;VALUE(MID(Sync!$K278,FIND(":",Sync!$K278)+1,2)),2),"0000")))&amp;"|"&amp;"2"&amp;RIGHT("00000"&amp;273,5))</f>
        <v/>
      </c>
      <c r="Q278" t="str">
        <f>IF(Sync!$J278="","",IF(ISNUMBER(Sync!$J278),IF(AND(Sync!$J278&gt;=10000101,Sync!$J278&lt;=99991231),INT(Sync!$J278/10000)&amp;"/"&amp;RIGHT("00"&amp;INT(MOD(Sync!$J278,10000)/100),2)&amp;"/"&amp;RIGHT("00"&amp;MOD(Sync!$J278,100),2),"نامعتبر"),IF(LEN(Sync!$J278)=10,Sync!$J278,"نامعتبر")))</f>
        <v/>
      </c>
      <c r="R278" t="str">
        <f t="shared" si="32"/>
        <v/>
      </c>
      <c r="S278" t="str">
        <f t="shared" si="33"/>
        <v/>
      </c>
      <c r="T278" t="str">
        <f>IF($N278="","",IF(Sync!$N278="",0,Sync!$N278))</f>
        <v/>
      </c>
      <c r="U278" t="str">
        <f>IF($N278="","",IF(Sync!$O278="",0,Sync!$O278))</f>
        <v/>
      </c>
      <c r="V278" t="str">
        <f>IF($N278="","",Sync!$L278)</f>
        <v/>
      </c>
      <c r="W278" t="str">
        <f>IF($N278="","",Sync!$P278)</f>
        <v/>
      </c>
      <c r="AA278" t="str">
        <f>IF($A278="","",IF(COUNTIF($A$6:$A278,$A278)=1,1,0))</f>
        <v/>
      </c>
      <c r="AB278">
        <f>SUM($AA$6:$AA278)</f>
        <v>3</v>
      </c>
      <c r="AC278" t="str">
        <f t="shared" si="34"/>
        <v/>
      </c>
    </row>
    <row r="279" spans="1:29" x14ac:dyDescent="0.2">
      <c r="A279" t="str">
        <f>IF(OR(Entry!$B282="",Entry!$E282="",$E279="نامعتبر"),"",Entry!$E282)</f>
        <v/>
      </c>
      <c r="B279" t="str">
        <f>IF($A279="","",LEFT($E279,4)&amp;MID($E279,6,2)&amp;RIGHT($E279,2)&amp;$F279&amp;"|"&amp;"1"&amp;RIGHT("00000"&amp;274,5))</f>
        <v/>
      </c>
      <c r="C279" t="str">
        <f t="shared" si="28"/>
        <v/>
      </c>
      <c r="D279" t="str">
        <f t="shared" si="29"/>
        <v/>
      </c>
      <c r="E279" t="str">
        <f>IF(Entry!$B282="","",IF(ISNUMBER(Entry!$B282),IF(AND(Entry!$B282&gt;=10000101,Entry!$B282&lt;=99991231),INT(Entry!$B282/10000)&amp;"/"&amp;RIGHT("00"&amp;INT(MOD(Entry!$B282,10000)/100),2)&amp;"/"&amp;RIGHT("00"&amp;MOD(Entry!$B282,100),2),"نامعتبر"),IF(LEN(Entry!$B282)=10,Entry!$B282,"نامعتبر")))</f>
        <v/>
      </c>
      <c r="F279" t="str">
        <f>IF(Entry!$B282="","",IF(Entry!$C282="","0000",IF(AND(ISNUMBER(Entry!$C282),Entry!$C282&gt;=0,Entry!$C282&lt;1),RIGHT("00"&amp;HOUR(Entry!$C282),2)&amp;RIGHT("00"&amp;MINUTE(Entry!$C282),2),IFERROR(RIGHT("00"&amp;VALUE(LEFT(Entry!$C282,FIND(":",Entry!$C282)-1)),2)&amp;RIGHT("00"&amp;VALUE(MID(Entry!$C282,FIND(":",Entry!$C282)+1,2)),2),"0000"))))</f>
        <v/>
      </c>
      <c r="G279" t="str">
        <f>IF($A279="","",Entry!$G282)</f>
        <v/>
      </c>
      <c r="H279" t="str">
        <f>IF($A279="","",IF(Entry!$H282="",0,Entry!$H282))</f>
        <v/>
      </c>
      <c r="I279" t="str">
        <f>IF($A279="","",IF(Entry!$I282="",0,Entry!$I282))</f>
        <v/>
      </c>
      <c r="J279" t="str">
        <f t="shared" si="30"/>
        <v/>
      </c>
      <c r="K279" t="str">
        <f>IF($A279="","",Entry!$D282)</f>
        <v/>
      </c>
      <c r="L279" t="str">
        <f>IF($A279="","",Entry!$L282)</f>
        <v/>
      </c>
      <c r="N279" t="str">
        <f>IF(OR(Sync!$M279="",$Q279="",$Q279="نامعتبر"),"",Sync!$M279)</f>
        <v/>
      </c>
      <c r="O279" t="str">
        <f t="shared" si="31"/>
        <v/>
      </c>
      <c r="P279" t="str">
        <f>IF($N279="","",LEFT($Q279,4)&amp;MID($Q279,6,2)&amp;RIGHT($Q279,2)&amp;IF(Sync!$K279="","0000",IF(AND(ISNUMBER(Sync!$K279),Sync!$K279&gt;=0,Sync!$K279&lt;1),RIGHT("00"&amp;HOUR(Sync!$K279),2)&amp;RIGHT("00"&amp;MINUTE(Sync!$K279),2),IFERROR(RIGHT("00"&amp;VALUE(LEFT(Sync!$K279,FIND(":",Sync!$K279)-1)),2)&amp;RIGHT("00"&amp;VALUE(MID(Sync!$K279,FIND(":",Sync!$K279)+1,2)),2),"0000")))&amp;"|"&amp;"2"&amp;RIGHT("00000"&amp;274,5))</f>
        <v/>
      </c>
      <c r="Q279" t="str">
        <f>IF(Sync!$J279="","",IF(ISNUMBER(Sync!$J279),IF(AND(Sync!$J279&gt;=10000101,Sync!$J279&lt;=99991231),INT(Sync!$J279/10000)&amp;"/"&amp;RIGHT("00"&amp;INT(MOD(Sync!$J279,10000)/100),2)&amp;"/"&amp;RIGHT("00"&amp;MOD(Sync!$J279,100),2),"نامعتبر"),IF(LEN(Sync!$J279)=10,Sync!$J279,"نامعتبر")))</f>
        <v/>
      </c>
      <c r="R279" t="str">
        <f t="shared" si="32"/>
        <v/>
      </c>
      <c r="S279" t="str">
        <f t="shared" si="33"/>
        <v/>
      </c>
      <c r="T279" t="str">
        <f>IF($N279="","",IF(Sync!$N279="",0,Sync!$N279))</f>
        <v/>
      </c>
      <c r="U279" t="str">
        <f>IF($N279="","",IF(Sync!$O279="",0,Sync!$O279))</f>
        <v/>
      </c>
      <c r="V279" t="str">
        <f>IF($N279="","",Sync!$L279)</f>
        <v/>
      </c>
      <c r="W279" t="str">
        <f>IF($N279="","",Sync!$P279)</f>
        <v/>
      </c>
      <c r="AA279" t="str">
        <f>IF($A279="","",IF(COUNTIF($A$6:$A279,$A279)=1,1,0))</f>
        <v/>
      </c>
      <c r="AB279">
        <f>SUM($AA$6:$AA279)</f>
        <v>3</v>
      </c>
      <c r="AC279" t="str">
        <f t="shared" si="34"/>
        <v/>
      </c>
    </row>
    <row r="280" spans="1:29" x14ac:dyDescent="0.2">
      <c r="A280" t="str">
        <f>IF(OR(Entry!$B283="",Entry!$E283="",$E280="نامعتبر"),"",Entry!$E283)</f>
        <v/>
      </c>
      <c r="B280" t="str">
        <f>IF($A280="","",LEFT($E280,4)&amp;MID($E280,6,2)&amp;RIGHT($E280,2)&amp;$F280&amp;"|"&amp;"1"&amp;RIGHT("00000"&amp;275,5))</f>
        <v/>
      </c>
      <c r="C280" t="str">
        <f t="shared" si="28"/>
        <v/>
      </c>
      <c r="D280" t="str">
        <f t="shared" si="29"/>
        <v/>
      </c>
      <c r="E280" t="str">
        <f>IF(Entry!$B283="","",IF(ISNUMBER(Entry!$B283),IF(AND(Entry!$B283&gt;=10000101,Entry!$B283&lt;=99991231),INT(Entry!$B283/10000)&amp;"/"&amp;RIGHT("00"&amp;INT(MOD(Entry!$B283,10000)/100),2)&amp;"/"&amp;RIGHT("00"&amp;MOD(Entry!$B283,100),2),"نامعتبر"),IF(LEN(Entry!$B283)=10,Entry!$B283,"نامعتبر")))</f>
        <v/>
      </c>
      <c r="F280" t="str">
        <f>IF(Entry!$B283="","",IF(Entry!$C283="","0000",IF(AND(ISNUMBER(Entry!$C283),Entry!$C283&gt;=0,Entry!$C283&lt;1),RIGHT("00"&amp;HOUR(Entry!$C283),2)&amp;RIGHT("00"&amp;MINUTE(Entry!$C283),2),IFERROR(RIGHT("00"&amp;VALUE(LEFT(Entry!$C283,FIND(":",Entry!$C283)-1)),2)&amp;RIGHT("00"&amp;VALUE(MID(Entry!$C283,FIND(":",Entry!$C283)+1,2)),2),"0000"))))</f>
        <v/>
      </c>
      <c r="G280" t="str">
        <f>IF($A280="","",Entry!$G283)</f>
        <v/>
      </c>
      <c r="H280" t="str">
        <f>IF($A280="","",IF(Entry!$H283="",0,Entry!$H283))</f>
        <v/>
      </c>
      <c r="I280" t="str">
        <f>IF($A280="","",IF(Entry!$I283="",0,Entry!$I283))</f>
        <v/>
      </c>
      <c r="J280" t="str">
        <f t="shared" si="30"/>
        <v/>
      </c>
      <c r="K280" t="str">
        <f>IF($A280="","",Entry!$D283)</f>
        <v/>
      </c>
      <c r="L280" t="str">
        <f>IF($A280="","",Entry!$L283)</f>
        <v/>
      </c>
      <c r="N280" t="str">
        <f>IF(OR(Sync!$M280="",$Q280="",$Q280="نامعتبر"),"",Sync!$M280)</f>
        <v/>
      </c>
      <c r="O280" t="str">
        <f t="shared" si="31"/>
        <v/>
      </c>
      <c r="P280" t="str">
        <f>IF($N280="","",LEFT($Q280,4)&amp;MID($Q280,6,2)&amp;RIGHT($Q280,2)&amp;IF(Sync!$K280="","0000",IF(AND(ISNUMBER(Sync!$K280),Sync!$K280&gt;=0,Sync!$K280&lt;1),RIGHT("00"&amp;HOUR(Sync!$K280),2)&amp;RIGHT("00"&amp;MINUTE(Sync!$K280),2),IFERROR(RIGHT("00"&amp;VALUE(LEFT(Sync!$K280,FIND(":",Sync!$K280)-1)),2)&amp;RIGHT("00"&amp;VALUE(MID(Sync!$K280,FIND(":",Sync!$K280)+1,2)),2),"0000")))&amp;"|"&amp;"2"&amp;RIGHT("00000"&amp;275,5))</f>
        <v/>
      </c>
      <c r="Q280" t="str">
        <f>IF(Sync!$J280="","",IF(ISNUMBER(Sync!$J280),IF(AND(Sync!$J280&gt;=10000101,Sync!$J280&lt;=99991231),INT(Sync!$J280/10000)&amp;"/"&amp;RIGHT("00"&amp;INT(MOD(Sync!$J280,10000)/100),2)&amp;"/"&amp;RIGHT("00"&amp;MOD(Sync!$J280,100),2),"نامعتبر"),IF(LEN(Sync!$J280)=10,Sync!$J280,"نامعتبر")))</f>
        <v/>
      </c>
      <c r="R280" t="str">
        <f t="shared" si="32"/>
        <v/>
      </c>
      <c r="S280" t="str">
        <f t="shared" si="33"/>
        <v/>
      </c>
      <c r="T280" t="str">
        <f>IF($N280="","",IF(Sync!$N280="",0,Sync!$N280))</f>
        <v/>
      </c>
      <c r="U280" t="str">
        <f>IF($N280="","",IF(Sync!$O280="",0,Sync!$O280))</f>
        <v/>
      </c>
      <c r="V280" t="str">
        <f>IF($N280="","",Sync!$L280)</f>
        <v/>
      </c>
      <c r="W280" t="str">
        <f>IF($N280="","",Sync!$P280)</f>
        <v/>
      </c>
      <c r="AA280" t="str">
        <f>IF($A280="","",IF(COUNTIF($A$6:$A280,$A280)=1,1,0))</f>
        <v/>
      </c>
      <c r="AB280">
        <f>SUM($AA$6:$AA280)</f>
        <v>3</v>
      </c>
      <c r="AC280" t="str">
        <f t="shared" si="34"/>
        <v/>
      </c>
    </row>
    <row r="281" spans="1:29" x14ac:dyDescent="0.2">
      <c r="A281" t="str">
        <f>IF(OR(Entry!$B284="",Entry!$E284="",$E281="نامعتبر"),"",Entry!$E284)</f>
        <v/>
      </c>
      <c r="B281" t="str">
        <f>IF($A281="","",LEFT($E281,4)&amp;MID($E281,6,2)&amp;RIGHT($E281,2)&amp;$F281&amp;"|"&amp;"1"&amp;RIGHT("00000"&amp;276,5))</f>
        <v/>
      </c>
      <c r="C281" t="str">
        <f t="shared" si="28"/>
        <v/>
      </c>
      <c r="D281" t="str">
        <f t="shared" si="29"/>
        <v/>
      </c>
      <c r="E281" t="str">
        <f>IF(Entry!$B284="","",IF(ISNUMBER(Entry!$B284),IF(AND(Entry!$B284&gt;=10000101,Entry!$B284&lt;=99991231),INT(Entry!$B284/10000)&amp;"/"&amp;RIGHT("00"&amp;INT(MOD(Entry!$B284,10000)/100),2)&amp;"/"&amp;RIGHT("00"&amp;MOD(Entry!$B284,100),2),"نامعتبر"),IF(LEN(Entry!$B284)=10,Entry!$B284,"نامعتبر")))</f>
        <v/>
      </c>
      <c r="F281" t="str">
        <f>IF(Entry!$B284="","",IF(Entry!$C284="","0000",IF(AND(ISNUMBER(Entry!$C284),Entry!$C284&gt;=0,Entry!$C284&lt;1),RIGHT("00"&amp;HOUR(Entry!$C284),2)&amp;RIGHT("00"&amp;MINUTE(Entry!$C284),2),IFERROR(RIGHT("00"&amp;VALUE(LEFT(Entry!$C284,FIND(":",Entry!$C284)-1)),2)&amp;RIGHT("00"&amp;VALUE(MID(Entry!$C284,FIND(":",Entry!$C284)+1,2)),2),"0000"))))</f>
        <v/>
      </c>
      <c r="G281" t="str">
        <f>IF($A281="","",Entry!$G284)</f>
        <v/>
      </c>
      <c r="H281" t="str">
        <f>IF($A281="","",IF(Entry!$H284="",0,Entry!$H284))</f>
        <v/>
      </c>
      <c r="I281" t="str">
        <f>IF($A281="","",IF(Entry!$I284="",0,Entry!$I284))</f>
        <v/>
      </c>
      <c r="J281" t="str">
        <f t="shared" si="30"/>
        <v/>
      </c>
      <c r="K281" t="str">
        <f>IF($A281="","",Entry!$D284)</f>
        <v/>
      </c>
      <c r="L281" t="str">
        <f>IF($A281="","",Entry!$L284)</f>
        <v/>
      </c>
      <c r="N281" t="str">
        <f>IF(OR(Sync!$M281="",$Q281="",$Q281="نامعتبر"),"",Sync!$M281)</f>
        <v/>
      </c>
      <c r="O281" t="str">
        <f t="shared" si="31"/>
        <v/>
      </c>
      <c r="P281" t="str">
        <f>IF($N281="","",LEFT($Q281,4)&amp;MID($Q281,6,2)&amp;RIGHT($Q281,2)&amp;IF(Sync!$K281="","0000",IF(AND(ISNUMBER(Sync!$K281),Sync!$K281&gt;=0,Sync!$K281&lt;1),RIGHT("00"&amp;HOUR(Sync!$K281),2)&amp;RIGHT("00"&amp;MINUTE(Sync!$K281),2),IFERROR(RIGHT("00"&amp;VALUE(LEFT(Sync!$K281,FIND(":",Sync!$K281)-1)),2)&amp;RIGHT("00"&amp;VALUE(MID(Sync!$K281,FIND(":",Sync!$K281)+1,2)),2),"0000")))&amp;"|"&amp;"2"&amp;RIGHT("00000"&amp;276,5))</f>
        <v/>
      </c>
      <c r="Q281" t="str">
        <f>IF(Sync!$J281="","",IF(ISNUMBER(Sync!$J281),IF(AND(Sync!$J281&gt;=10000101,Sync!$J281&lt;=99991231),INT(Sync!$J281/10000)&amp;"/"&amp;RIGHT("00"&amp;INT(MOD(Sync!$J281,10000)/100),2)&amp;"/"&amp;RIGHT("00"&amp;MOD(Sync!$J281,100),2),"نامعتبر"),IF(LEN(Sync!$J281)=10,Sync!$J281,"نامعتبر")))</f>
        <v/>
      </c>
      <c r="R281" t="str">
        <f t="shared" si="32"/>
        <v/>
      </c>
      <c r="S281" t="str">
        <f t="shared" si="33"/>
        <v/>
      </c>
      <c r="T281" t="str">
        <f>IF($N281="","",IF(Sync!$N281="",0,Sync!$N281))</f>
        <v/>
      </c>
      <c r="U281" t="str">
        <f>IF($N281="","",IF(Sync!$O281="",0,Sync!$O281))</f>
        <v/>
      </c>
      <c r="V281" t="str">
        <f>IF($N281="","",Sync!$L281)</f>
        <v/>
      </c>
      <c r="W281" t="str">
        <f>IF($N281="","",Sync!$P281)</f>
        <v/>
      </c>
      <c r="AA281" t="str">
        <f>IF($A281="","",IF(COUNTIF($A$6:$A281,$A281)=1,1,0))</f>
        <v/>
      </c>
      <c r="AB281">
        <f>SUM($AA$6:$AA281)</f>
        <v>3</v>
      </c>
      <c r="AC281" t="str">
        <f t="shared" si="34"/>
        <v/>
      </c>
    </row>
    <row r="282" spans="1:29" x14ac:dyDescent="0.2">
      <c r="A282" t="str">
        <f>IF(OR(Entry!$B285="",Entry!$E285="",$E282="نامعتبر"),"",Entry!$E285)</f>
        <v/>
      </c>
      <c r="B282" t="str">
        <f>IF($A282="","",LEFT($E282,4)&amp;MID($E282,6,2)&amp;RIGHT($E282,2)&amp;$F282&amp;"|"&amp;"1"&amp;RIGHT("00000"&amp;277,5))</f>
        <v/>
      </c>
      <c r="C282" t="str">
        <f t="shared" si="28"/>
        <v/>
      </c>
      <c r="D282" t="str">
        <f t="shared" si="29"/>
        <v/>
      </c>
      <c r="E282" t="str">
        <f>IF(Entry!$B285="","",IF(ISNUMBER(Entry!$B285),IF(AND(Entry!$B285&gt;=10000101,Entry!$B285&lt;=99991231),INT(Entry!$B285/10000)&amp;"/"&amp;RIGHT("00"&amp;INT(MOD(Entry!$B285,10000)/100),2)&amp;"/"&amp;RIGHT("00"&amp;MOD(Entry!$B285,100),2),"نامعتبر"),IF(LEN(Entry!$B285)=10,Entry!$B285,"نامعتبر")))</f>
        <v/>
      </c>
      <c r="F282" t="str">
        <f>IF(Entry!$B285="","",IF(Entry!$C285="","0000",IF(AND(ISNUMBER(Entry!$C285),Entry!$C285&gt;=0,Entry!$C285&lt;1),RIGHT("00"&amp;HOUR(Entry!$C285),2)&amp;RIGHT("00"&amp;MINUTE(Entry!$C285),2),IFERROR(RIGHT("00"&amp;VALUE(LEFT(Entry!$C285,FIND(":",Entry!$C285)-1)),2)&amp;RIGHT("00"&amp;VALUE(MID(Entry!$C285,FIND(":",Entry!$C285)+1,2)),2),"0000"))))</f>
        <v/>
      </c>
      <c r="G282" t="str">
        <f>IF($A282="","",Entry!$G285)</f>
        <v/>
      </c>
      <c r="H282" t="str">
        <f>IF($A282="","",IF(Entry!$H285="",0,Entry!$H285))</f>
        <v/>
      </c>
      <c r="I282" t="str">
        <f>IF($A282="","",IF(Entry!$I285="",0,Entry!$I285))</f>
        <v/>
      </c>
      <c r="J282" t="str">
        <f t="shared" si="30"/>
        <v/>
      </c>
      <c r="K282" t="str">
        <f>IF($A282="","",Entry!$D285)</f>
        <v/>
      </c>
      <c r="L282" t="str">
        <f>IF($A282="","",Entry!$L285)</f>
        <v/>
      </c>
      <c r="N282" t="str">
        <f>IF(OR(Sync!$M282="",$Q282="",$Q282="نامعتبر"),"",Sync!$M282)</f>
        <v/>
      </c>
      <c r="O282" t="str">
        <f t="shared" si="31"/>
        <v/>
      </c>
      <c r="P282" t="str">
        <f>IF($N282="","",LEFT($Q282,4)&amp;MID($Q282,6,2)&amp;RIGHT($Q282,2)&amp;IF(Sync!$K282="","0000",IF(AND(ISNUMBER(Sync!$K282),Sync!$K282&gt;=0,Sync!$K282&lt;1),RIGHT("00"&amp;HOUR(Sync!$K282),2)&amp;RIGHT("00"&amp;MINUTE(Sync!$K282),2),IFERROR(RIGHT("00"&amp;VALUE(LEFT(Sync!$K282,FIND(":",Sync!$K282)-1)),2)&amp;RIGHT("00"&amp;VALUE(MID(Sync!$K282,FIND(":",Sync!$K282)+1,2)),2),"0000")))&amp;"|"&amp;"2"&amp;RIGHT("00000"&amp;277,5))</f>
        <v/>
      </c>
      <c r="Q282" t="str">
        <f>IF(Sync!$J282="","",IF(ISNUMBER(Sync!$J282),IF(AND(Sync!$J282&gt;=10000101,Sync!$J282&lt;=99991231),INT(Sync!$J282/10000)&amp;"/"&amp;RIGHT("00"&amp;INT(MOD(Sync!$J282,10000)/100),2)&amp;"/"&amp;RIGHT("00"&amp;MOD(Sync!$J282,100),2),"نامعتبر"),IF(LEN(Sync!$J282)=10,Sync!$J282,"نامعتبر")))</f>
        <v/>
      </c>
      <c r="R282" t="str">
        <f t="shared" si="32"/>
        <v/>
      </c>
      <c r="S282" t="str">
        <f t="shared" si="33"/>
        <v/>
      </c>
      <c r="T282" t="str">
        <f>IF($N282="","",IF(Sync!$N282="",0,Sync!$N282))</f>
        <v/>
      </c>
      <c r="U282" t="str">
        <f>IF($N282="","",IF(Sync!$O282="",0,Sync!$O282))</f>
        <v/>
      </c>
      <c r="V282" t="str">
        <f>IF($N282="","",Sync!$L282)</f>
        <v/>
      </c>
      <c r="W282" t="str">
        <f>IF($N282="","",Sync!$P282)</f>
        <v/>
      </c>
      <c r="AA282" t="str">
        <f>IF($A282="","",IF(COUNTIF($A$6:$A282,$A282)=1,1,0))</f>
        <v/>
      </c>
      <c r="AB282">
        <f>SUM($AA$6:$AA282)</f>
        <v>3</v>
      </c>
      <c r="AC282" t="str">
        <f t="shared" si="34"/>
        <v/>
      </c>
    </row>
    <row r="283" spans="1:29" x14ac:dyDescent="0.2">
      <c r="A283" t="str">
        <f>IF(OR(Entry!$B286="",Entry!$E286="",$E283="نامعتبر"),"",Entry!$E286)</f>
        <v/>
      </c>
      <c r="B283" t="str">
        <f>IF($A283="","",LEFT($E283,4)&amp;MID($E283,6,2)&amp;RIGHT($E283,2)&amp;$F283&amp;"|"&amp;"1"&amp;RIGHT("00000"&amp;278,5))</f>
        <v/>
      </c>
      <c r="C283" t="str">
        <f t="shared" si="28"/>
        <v/>
      </c>
      <c r="D283" t="str">
        <f t="shared" si="29"/>
        <v/>
      </c>
      <c r="E283" t="str">
        <f>IF(Entry!$B286="","",IF(ISNUMBER(Entry!$B286),IF(AND(Entry!$B286&gt;=10000101,Entry!$B286&lt;=99991231),INT(Entry!$B286/10000)&amp;"/"&amp;RIGHT("00"&amp;INT(MOD(Entry!$B286,10000)/100),2)&amp;"/"&amp;RIGHT("00"&amp;MOD(Entry!$B286,100),2),"نامعتبر"),IF(LEN(Entry!$B286)=10,Entry!$B286,"نامعتبر")))</f>
        <v/>
      </c>
      <c r="F283" t="str">
        <f>IF(Entry!$B286="","",IF(Entry!$C286="","0000",IF(AND(ISNUMBER(Entry!$C286),Entry!$C286&gt;=0,Entry!$C286&lt;1),RIGHT("00"&amp;HOUR(Entry!$C286),2)&amp;RIGHT("00"&amp;MINUTE(Entry!$C286),2),IFERROR(RIGHT("00"&amp;VALUE(LEFT(Entry!$C286,FIND(":",Entry!$C286)-1)),2)&amp;RIGHT("00"&amp;VALUE(MID(Entry!$C286,FIND(":",Entry!$C286)+1,2)),2),"0000"))))</f>
        <v/>
      </c>
      <c r="G283" t="str">
        <f>IF($A283="","",Entry!$G286)</f>
        <v/>
      </c>
      <c r="H283" t="str">
        <f>IF($A283="","",IF(Entry!$H286="",0,Entry!$H286))</f>
        <v/>
      </c>
      <c r="I283" t="str">
        <f>IF($A283="","",IF(Entry!$I286="",0,Entry!$I286))</f>
        <v/>
      </c>
      <c r="J283" t="str">
        <f t="shared" si="30"/>
        <v/>
      </c>
      <c r="K283" t="str">
        <f>IF($A283="","",Entry!$D286)</f>
        <v/>
      </c>
      <c r="L283" t="str">
        <f>IF($A283="","",Entry!$L286)</f>
        <v/>
      </c>
      <c r="N283" t="str">
        <f>IF(OR(Sync!$M283="",$Q283="",$Q283="نامعتبر"),"",Sync!$M283)</f>
        <v/>
      </c>
      <c r="O283" t="str">
        <f t="shared" si="31"/>
        <v/>
      </c>
      <c r="P283" t="str">
        <f>IF($N283="","",LEFT($Q283,4)&amp;MID($Q283,6,2)&amp;RIGHT($Q283,2)&amp;IF(Sync!$K283="","0000",IF(AND(ISNUMBER(Sync!$K283),Sync!$K283&gt;=0,Sync!$K283&lt;1),RIGHT("00"&amp;HOUR(Sync!$K283),2)&amp;RIGHT("00"&amp;MINUTE(Sync!$K283),2),IFERROR(RIGHT("00"&amp;VALUE(LEFT(Sync!$K283,FIND(":",Sync!$K283)-1)),2)&amp;RIGHT("00"&amp;VALUE(MID(Sync!$K283,FIND(":",Sync!$K283)+1,2)),2),"0000")))&amp;"|"&amp;"2"&amp;RIGHT("00000"&amp;278,5))</f>
        <v/>
      </c>
      <c r="Q283" t="str">
        <f>IF(Sync!$J283="","",IF(ISNUMBER(Sync!$J283),IF(AND(Sync!$J283&gt;=10000101,Sync!$J283&lt;=99991231),INT(Sync!$J283/10000)&amp;"/"&amp;RIGHT("00"&amp;INT(MOD(Sync!$J283,10000)/100),2)&amp;"/"&amp;RIGHT("00"&amp;MOD(Sync!$J283,100),2),"نامعتبر"),IF(LEN(Sync!$J283)=10,Sync!$J283,"نامعتبر")))</f>
        <v/>
      </c>
      <c r="R283" t="str">
        <f t="shared" si="32"/>
        <v/>
      </c>
      <c r="S283" t="str">
        <f t="shared" si="33"/>
        <v/>
      </c>
      <c r="T283" t="str">
        <f>IF($N283="","",IF(Sync!$N283="",0,Sync!$N283))</f>
        <v/>
      </c>
      <c r="U283" t="str">
        <f>IF($N283="","",IF(Sync!$O283="",0,Sync!$O283))</f>
        <v/>
      </c>
      <c r="V283" t="str">
        <f>IF($N283="","",Sync!$L283)</f>
        <v/>
      </c>
      <c r="W283" t="str">
        <f>IF($N283="","",Sync!$P283)</f>
        <v/>
      </c>
      <c r="AA283" t="str">
        <f>IF($A283="","",IF(COUNTIF($A$6:$A283,$A283)=1,1,0))</f>
        <v/>
      </c>
      <c r="AB283">
        <f>SUM($AA$6:$AA283)</f>
        <v>3</v>
      </c>
      <c r="AC283" t="str">
        <f t="shared" si="34"/>
        <v/>
      </c>
    </row>
    <row r="284" spans="1:29" x14ac:dyDescent="0.2">
      <c r="A284" t="str">
        <f>IF(OR(Entry!$B287="",Entry!$E287="",$E284="نامعتبر"),"",Entry!$E287)</f>
        <v/>
      </c>
      <c r="B284" t="str">
        <f>IF($A284="","",LEFT($E284,4)&amp;MID($E284,6,2)&amp;RIGHT($E284,2)&amp;$F284&amp;"|"&amp;"1"&amp;RIGHT("00000"&amp;279,5))</f>
        <v/>
      </c>
      <c r="C284" t="str">
        <f t="shared" si="28"/>
        <v/>
      </c>
      <c r="D284" t="str">
        <f t="shared" si="29"/>
        <v/>
      </c>
      <c r="E284" t="str">
        <f>IF(Entry!$B287="","",IF(ISNUMBER(Entry!$B287),IF(AND(Entry!$B287&gt;=10000101,Entry!$B287&lt;=99991231),INT(Entry!$B287/10000)&amp;"/"&amp;RIGHT("00"&amp;INT(MOD(Entry!$B287,10000)/100),2)&amp;"/"&amp;RIGHT("00"&amp;MOD(Entry!$B287,100),2),"نامعتبر"),IF(LEN(Entry!$B287)=10,Entry!$B287,"نامعتبر")))</f>
        <v/>
      </c>
      <c r="F284" t="str">
        <f>IF(Entry!$B287="","",IF(Entry!$C287="","0000",IF(AND(ISNUMBER(Entry!$C287),Entry!$C287&gt;=0,Entry!$C287&lt;1),RIGHT("00"&amp;HOUR(Entry!$C287),2)&amp;RIGHT("00"&amp;MINUTE(Entry!$C287),2),IFERROR(RIGHT("00"&amp;VALUE(LEFT(Entry!$C287,FIND(":",Entry!$C287)-1)),2)&amp;RIGHT("00"&amp;VALUE(MID(Entry!$C287,FIND(":",Entry!$C287)+1,2)),2),"0000"))))</f>
        <v/>
      </c>
      <c r="G284" t="str">
        <f>IF($A284="","",Entry!$G287)</f>
        <v/>
      </c>
      <c r="H284" t="str">
        <f>IF($A284="","",IF(Entry!$H287="",0,Entry!$H287))</f>
        <v/>
      </c>
      <c r="I284" t="str">
        <f>IF($A284="","",IF(Entry!$I287="",0,Entry!$I287))</f>
        <v/>
      </c>
      <c r="J284" t="str">
        <f t="shared" si="30"/>
        <v/>
      </c>
      <c r="K284" t="str">
        <f>IF($A284="","",Entry!$D287)</f>
        <v/>
      </c>
      <c r="L284" t="str">
        <f>IF($A284="","",Entry!$L287)</f>
        <v/>
      </c>
      <c r="N284" t="str">
        <f>IF(OR(Sync!$M284="",$Q284="",$Q284="نامعتبر"),"",Sync!$M284)</f>
        <v/>
      </c>
      <c r="O284" t="str">
        <f t="shared" si="31"/>
        <v/>
      </c>
      <c r="P284" t="str">
        <f>IF($N284="","",LEFT($Q284,4)&amp;MID($Q284,6,2)&amp;RIGHT($Q284,2)&amp;IF(Sync!$K284="","0000",IF(AND(ISNUMBER(Sync!$K284),Sync!$K284&gt;=0,Sync!$K284&lt;1),RIGHT("00"&amp;HOUR(Sync!$K284),2)&amp;RIGHT("00"&amp;MINUTE(Sync!$K284),2),IFERROR(RIGHT("00"&amp;VALUE(LEFT(Sync!$K284,FIND(":",Sync!$K284)-1)),2)&amp;RIGHT("00"&amp;VALUE(MID(Sync!$K284,FIND(":",Sync!$K284)+1,2)),2),"0000")))&amp;"|"&amp;"2"&amp;RIGHT("00000"&amp;279,5))</f>
        <v/>
      </c>
      <c r="Q284" t="str">
        <f>IF(Sync!$J284="","",IF(ISNUMBER(Sync!$J284),IF(AND(Sync!$J284&gt;=10000101,Sync!$J284&lt;=99991231),INT(Sync!$J284/10000)&amp;"/"&amp;RIGHT("00"&amp;INT(MOD(Sync!$J284,10000)/100),2)&amp;"/"&amp;RIGHT("00"&amp;MOD(Sync!$J284,100),2),"نامعتبر"),IF(LEN(Sync!$J284)=10,Sync!$J284,"نامعتبر")))</f>
        <v/>
      </c>
      <c r="R284" t="str">
        <f t="shared" si="32"/>
        <v/>
      </c>
      <c r="S284" t="str">
        <f t="shared" si="33"/>
        <v/>
      </c>
      <c r="T284" t="str">
        <f>IF($N284="","",IF(Sync!$N284="",0,Sync!$N284))</f>
        <v/>
      </c>
      <c r="U284" t="str">
        <f>IF($N284="","",IF(Sync!$O284="",0,Sync!$O284))</f>
        <v/>
      </c>
      <c r="V284" t="str">
        <f>IF($N284="","",Sync!$L284)</f>
        <v/>
      </c>
      <c r="W284" t="str">
        <f>IF($N284="","",Sync!$P284)</f>
        <v/>
      </c>
      <c r="AA284" t="str">
        <f>IF($A284="","",IF(COUNTIF($A$6:$A284,$A284)=1,1,0))</f>
        <v/>
      </c>
      <c r="AB284">
        <f>SUM($AA$6:$AA284)</f>
        <v>3</v>
      </c>
      <c r="AC284" t="str">
        <f t="shared" si="34"/>
        <v/>
      </c>
    </row>
    <row r="285" spans="1:29" x14ac:dyDescent="0.2">
      <c r="A285" t="str">
        <f>IF(OR(Entry!$B288="",Entry!$E288="",$E285="نامعتبر"),"",Entry!$E288)</f>
        <v/>
      </c>
      <c r="B285" t="str">
        <f>IF($A285="","",LEFT($E285,4)&amp;MID($E285,6,2)&amp;RIGHT($E285,2)&amp;$F285&amp;"|"&amp;"1"&amp;RIGHT("00000"&amp;280,5))</f>
        <v/>
      </c>
      <c r="C285" t="str">
        <f t="shared" si="28"/>
        <v/>
      </c>
      <c r="D285" t="str">
        <f t="shared" si="29"/>
        <v/>
      </c>
      <c r="E285" t="str">
        <f>IF(Entry!$B288="","",IF(ISNUMBER(Entry!$B288),IF(AND(Entry!$B288&gt;=10000101,Entry!$B288&lt;=99991231),INT(Entry!$B288/10000)&amp;"/"&amp;RIGHT("00"&amp;INT(MOD(Entry!$B288,10000)/100),2)&amp;"/"&amp;RIGHT("00"&amp;MOD(Entry!$B288,100),2),"نامعتبر"),IF(LEN(Entry!$B288)=10,Entry!$B288,"نامعتبر")))</f>
        <v/>
      </c>
      <c r="F285" t="str">
        <f>IF(Entry!$B288="","",IF(Entry!$C288="","0000",IF(AND(ISNUMBER(Entry!$C288),Entry!$C288&gt;=0,Entry!$C288&lt;1),RIGHT("00"&amp;HOUR(Entry!$C288),2)&amp;RIGHT("00"&amp;MINUTE(Entry!$C288),2),IFERROR(RIGHT("00"&amp;VALUE(LEFT(Entry!$C288,FIND(":",Entry!$C288)-1)),2)&amp;RIGHT("00"&amp;VALUE(MID(Entry!$C288,FIND(":",Entry!$C288)+1,2)),2),"0000"))))</f>
        <v/>
      </c>
      <c r="G285" t="str">
        <f>IF($A285="","",Entry!$G288)</f>
        <v/>
      </c>
      <c r="H285" t="str">
        <f>IF($A285="","",IF(Entry!$H288="",0,Entry!$H288))</f>
        <v/>
      </c>
      <c r="I285" t="str">
        <f>IF($A285="","",IF(Entry!$I288="",0,Entry!$I288))</f>
        <v/>
      </c>
      <c r="J285" t="str">
        <f t="shared" si="30"/>
        <v/>
      </c>
      <c r="K285" t="str">
        <f>IF($A285="","",Entry!$D288)</f>
        <v/>
      </c>
      <c r="L285" t="str">
        <f>IF($A285="","",Entry!$L288)</f>
        <v/>
      </c>
      <c r="N285" t="str">
        <f>IF(OR(Sync!$M285="",$Q285="",$Q285="نامعتبر"),"",Sync!$M285)</f>
        <v/>
      </c>
      <c r="O285" t="str">
        <f t="shared" si="31"/>
        <v/>
      </c>
      <c r="P285" t="str">
        <f>IF($N285="","",LEFT($Q285,4)&amp;MID($Q285,6,2)&amp;RIGHT($Q285,2)&amp;IF(Sync!$K285="","0000",IF(AND(ISNUMBER(Sync!$K285),Sync!$K285&gt;=0,Sync!$K285&lt;1),RIGHT("00"&amp;HOUR(Sync!$K285),2)&amp;RIGHT("00"&amp;MINUTE(Sync!$K285),2),IFERROR(RIGHT("00"&amp;VALUE(LEFT(Sync!$K285,FIND(":",Sync!$K285)-1)),2)&amp;RIGHT("00"&amp;VALUE(MID(Sync!$K285,FIND(":",Sync!$K285)+1,2)),2),"0000")))&amp;"|"&amp;"2"&amp;RIGHT("00000"&amp;280,5))</f>
        <v/>
      </c>
      <c r="Q285" t="str">
        <f>IF(Sync!$J285="","",IF(ISNUMBER(Sync!$J285),IF(AND(Sync!$J285&gt;=10000101,Sync!$J285&lt;=99991231),INT(Sync!$J285/10000)&amp;"/"&amp;RIGHT("00"&amp;INT(MOD(Sync!$J285,10000)/100),2)&amp;"/"&amp;RIGHT("00"&amp;MOD(Sync!$J285,100),2),"نامعتبر"),IF(LEN(Sync!$J285)=10,Sync!$J285,"نامعتبر")))</f>
        <v/>
      </c>
      <c r="R285" t="str">
        <f t="shared" si="32"/>
        <v/>
      </c>
      <c r="S285" t="str">
        <f t="shared" si="33"/>
        <v/>
      </c>
      <c r="T285" t="str">
        <f>IF($N285="","",IF(Sync!$N285="",0,Sync!$N285))</f>
        <v/>
      </c>
      <c r="U285" t="str">
        <f>IF($N285="","",IF(Sync!$O285="",0,Sync!$O285))</f>
        <v/>
      </c>
      <c r="V285" t="str">
        <f>IF($N285="","",Sync!$L285)</f>
        <v/>
      </c>
      <c r="W285" t="str">
        <f>IF($N285="","",Sync!$P285)</f>
        <v/>
      </c>
      <c r="AA285" t="str">
        <f>IF($A285="","",IF(COUNTIF($A$6:$A285,$A285)=1,1,0))</f>
        <v/>
      </c>
      <c r="AB285">
        <f>SUM($AA$6:$AA285)</f>
        <v>3</v>
      </c>
      <c r="AC285" t="str">
        <f t="shared" si="34"/>
        <v/>
      </c>
    </row>
    <row r="286" spans="1:29" x14ac:dyDescent="0.2">
      <c r="A286" t="str">
        <f>IF(OR(Entry!$B289="",Entry!$E289="",$E286="نامعتبر"),"",Entry!$E289)</f>
        <v/>
      </c>
      <c r="B286" t="str">
        <f>IF($A286="","",LEFT($E286,4)&amp;MID($E286,6,2)&amp;RIGHT($E286,2)&amp;$F286&amp;"|"&amp;"1"&amp;RIGHT("00000"&amp;281,5))</f>
        <v/>
      </c>
      <c r="C286" t="str">
        <f t="shared" si="28"/>
        <v/>
      </c>
      <c r="D286" t="str">
        <f t="shared" si="29"/>
        <v/>
      </c>
      <c r="E286" t="str">
        <f>IF(Entry!$B289="","",IF(ISNUMBER(Entry!$B289),IF(AND(Entry!$B289&gt;=10000101,Entry!$B289&lt;=99991231),INT(Entry!$B289/10000)&amp;"/"&amp;RIGHT("00"&amp;INT(MOD(Entry!$B289,10000)/100),2)&amp;"/"&amp;RIGHT("00"&amp;MOD(Entry!$B289,100),2),"نامعتبر"),IF(LEN(Entry!$B289)=10,Entry!$B289,"نامعتبر")))</f>
        <v/>
      </c>
      <c r="F286" t="str">
        <f>IF(Entry!$B289="","",IF(Entry!$C289="","0000",IF(AND(ISNUMBER(Entry!$C289),Entry!$C289&gt;=0,Entry!$C289&lt;1),RIGHT("00"&amp;HOUR(Entry!$C289),2)&amp;RIGHT("00"&amp;MINUTE(Entry!$C289),2),IFERROR(RIGHT("00"&amp;VALUE(LEFT(Entry!$C289,FIND(":",Entry!$C289)-1)),2)&amp;RIGHT("00"&amp;VALUE(MID(Entry!$C289,FIND(":",Entry!$C289)+1,2)),2),"0000"))))</f>
        <v/>
      </c>
      <c r="G286" t="str">
        <f>IF($A286="","",Entry!$G289)</f>
        <v/>
      </c>
      <c r="H286" t="str">
        <f>IF($A286="","",IF(Entry!$H289="",0,Entry!$H289))</f>
        <v/>
      </c>
      <c r="I286" t="str">
        <f>IF($A286="","",IF(Entry!$I289="",0,Entry!$I289))</f>
        <v/>
      </c>
      <c r="J286" t="str">
        <f t="shared" si="30"/>
        <v/>
      </c>
      <c r="K286" t="str">
        <f>IF($A286="","",Entry!$D289)</f>
        <v/>
      </c>
      <c r="L286" t="str">
        <f>IF($A286="","",Entry!$L289)</f>
        <v/>
      </c>
      <c r="N286" t="str">
        <f>IF(OR(Sync!$M286="",$Q286="",$Q286="نامعتبر"),"",Sync!$M286)</f>
        <v/>
      </c>
      <c r="O286" t="str">
        <f t="shared" si="31"/>
        <v/>
      </c>
      <c r="P286" t="str">
        <f>IF($N286="","",LEFT($Q286,4)&amp;MID($Q286,6,2)&amp;RIGHT($Q286,2)&amp;IF(Sync!$K286="","0000",IF(AND(ISNUMBER(Sync!$K286),Sync!$K286&gt;=0,Sync!$K286&lt;1),RIGHT("00"&amp;HOUR(Sync!$K286),2)&amp;RIGHT("00"&amp;MINUTE(Sync!$K286),2),IFERROR(RIGHT("00"&amp;VALUE(LEFT(Sync!$K286,FIND(":",Sync!$K286)-1)),2)&amp;RIGHT("00"&amp;VALUE(MID(Sync!$K286,FIND(":",Sync!$K286)+1,2)),2),"0000")))&amp;"|"&amp;"2"&amp;RIGHT("00000"&amp;281,5))</f>
        <v/>
      </c>
      <c r="Q286" t="str">
        <f>IF(Sync!$J286="","",IF(ISNUMBER(Sync!$J286),IF(AND(Sync!$J286&gt;=10000101,Sync!$J286&lt;=99991231),INT(Sync!$J286/10000)&amp;"/"&amp;RIGHT("00"&amp;INT(MOD(Sync!$J286,10000)/100),2)&amp;"/"&amp;RIGHT("00"&amp;MOD(Sync!$J286,100),2),"نامعتبر"),IF(LEN(Sync!$J286)=10,Sync!$J286,"نامعتبر")))</f>
        <v/>
      </c>
      <c r="R286" t="str">
        <f t="shared" si="32"/>
        <v/>
      </c>
      <c r="S286" t="str">
        <f t="shared" si="33"/>
        <v/>
      </c>
      <c r="T286" t="str">
        <f>IF($N286="","",IF(Sync!$N286="",0,Sync!$N286))</f>
        <v/>
      </c>
      <c r="U286" t="str">
        <f>IF($N286="","",IF(Sync!$O286="",0,Sync!$O286))</f>
        <v/>
      </c>
      <c r="V286" t="str">
        <f>IF($N286="","",Sync!$L286)</f>
        <v/>
      </c>
      <c r="W286" t="str">
        <f>IF($N286="","",Sync!$P286)</f>
        <v/>
      </c>
      <c r="AA286" t="str">
        <f>IF($A286="","",IF(COUNTIF($A$6:$A286,$A286)=1,1,0))</f>
        <v/>
      </c>
      <c r="AB286">
        <f>SUM($AA$6:$AA286)</f>
        <v>3</v>
      </c>
      <c r="AC286" t="str">
        <f t="shared" si="34"/>
        <v/>
      </c>
    </row>
    <row r="287" spans="1:29" x14ac:dyDescent="0.2">
      <c r="A287" t="str">
        <f>IF(OR(Entry!$B290="",Entry!$E290="",$E287="نامعتبر"),"",Entry!$E290)</f>
        <v/>
      </c>
      <c r="B287" t="str">
        <f>IF($A287="","",LEFT($E287,4)&amp;MID($E287,6,2)&amp;RIGHT($E287,2)&amp;$F287&amp;"|"&amp;"1"&amp;RIGHT("00000"&amp;282,5))</f>
        <v/>
      </c>
      <c r="C287" t="str">
        <f t="shared" si="28"/>
        <v/>
      </c>
      <c r="D287" t="str">
        <f t="shared" si="29"/>
        <v/>
      </c>
      <c r="E287" t="str">
        <f>IF(Entry!$B290="","",IF(ISNUMBER(Entry!$B290),IF(AND(Entry!$B290&gt;=10000101,Entry!$B290&lt;=99991231),INT(Entry!$B290/10000)&amp;"/"&amp;RIGHT("00"&amp;INT(MOD(Entry!$B290,10000)/100),2)&amp;"/"&amp;RIGHT("00"&amp;MOD(Entry!$B290,100),2),"نامعتبر"),IF(LEN(Entry!$B290)=10,Entry!$B290,"نامعتبر")))</f>
        <v/>
      </c>
      <c r="F287" t="str">
        <f>IF(Entry!$B290="","",IF(Entry!$C290="","0000",IF(AND(ISNUMBER(Entry!$C290),Entry!$C290&gt;=0,Entry!$C290&lt;1),RIGHT("00"&amp;HOUR(Entry!$C290),2)&amp;RIGHT("00"&amp;MINUTE(Entry!$C290),2),IFERROR(RIGHT("00"&amp;VALUE(LEFT(Entry!$C290,FIND(":",Entry!$C290)-1)),2)&amp;RIGHT("00"&amp;VALUE(MID(Entry!$C290,FIND(":",Entry!$C290)+1,2)),2),"0000"))))</f>
        <v/>
      </c>
      <c r="G287" t="str">
        <f>IF($A287="","",Entry!$G290)</f>
        <v/>
      </c>
      <c r="H287" t="str">
        <f>IF($A287="","",IF(Entry!$H290="",0,Entry!$H290))</f>
        <v/>
      </c>
      <c r="I287" t="str">
        <f>IF($A287="","",IF(Entry!$I290="",0,Entry!$I290))</f>
        <v/>
      </c>
      <c r="J287" t="str">
        <f t="shared" si="30"/>
        <v/>
      </c>
      <c r="K287" t="str">
        <f>IF($A287="","",Entry!$D290)</f>
        <v/>
      </c>
      <c r="L287" t="str">
        <f>IF($A287="","",Entry!$L290)</f>
        <v/>
      </c>
      <c r="N287" t="str">
        <f>IF(OR(Sync!$M287="",$Q287="",$Q287="نامعتبر"),"",Sync!$M287)</f>
        <v/>
      </c>
      <c r="O287" t="str">
        <f t="shared" si="31"/>
        <v/>
      </c>
      <c r="P287" t="str">
        <f>IF($N287="","",LEFT($Q287,4)&amp;MID($Q287,6,2)&amp;RIGHT($Q287,2)&amp;IF(Sync!$K287="","0000",IF(AND(ISNUMBER(Sync!$K287),Sync!$K287&gt;=0,Sync!$K287&lt;1),RIGHT("00"&amp;HOUR(Sync!$K287),2)&amp;RIGHT("00"&amp;MINUTE(Sync!$K287),2),IFERROR(RIGHT("00"&amp;VALUE(LEFT(Sync!$K287,FIND(":",Sync!$K287)-1)),2)&amp;RIGHT("00"&amp;VALUE(MID(Sync!$K287,FIND(":",Sync!$K287)+1,2)),2),"0000")))&amp;"|"&amp;"2"&amp;RIGHT("00000"&amp;282,5))</f>
        <v/>
      </c>
      <c r="Q287" t="str">
        <f>IF(Sync!$J287="","",IF(ISNUMBER(Sync!$J287),IF(AND(Sync!$J287&gt;=10000101,Sync!$J287&lt;=99991231),INT(Sync!$J287/10000)&amp;"/"&amp;RIGHT("00"&amp;INT(MOD(Sync!$J287,10000)/100),2)&amp;"/"&amp;RIGHT("00"&amp;MOD(Sync!$J287,100),2),"نامعتبر"),IF(LEN(Sync!$J287)=10,Sync!$J287,"نامعتبر")))</f>
        <v/>
      </c>
      <c r="R287" t="str">
        <f t="shared" si="32"/>
        <v/>
      </c>
      <c r="S287" t="str">
        <f t="shared" si="33"/>
        <v/>
      </c>
      <c r="T287" t="str">
        <f>IF($N287="","",IF(Sync!$N287="",0,Sync!$N287))</f>
        <v/>
      </c>
      <c r="U287" t="str">
        <f>IF($N287="","",IF(Sync!$O287="",0,Sync!$O287))</f>
        <v/>
      </c>
      <c r="V287" t="str">
        <f>IF($N287="","",Sync!$L287)</f>
        <v/>
      </c>
      <c r="W287" t="str">
        <f>IF($N287="","",Sync!$P287)</f>
        <v/>
      </c>
      <c r="AA287" t="str">
        <f>IF($A287="","",IF(COUNTIF($A$6:$A287,$A287)=1,1,0))</f>
        <v/>
      </c>
      <c r="AB287">
        <f>SUM($AA$6:$AA287)</f>
        <v>3</v>
      </c>
      <c r="AC287" t="str">
        <f t="shared" si="34"/>
        <v/>
      </c>
    </row>
    <row r="288" spans="1:29" x14ac:dyDescent="0.2">
      <c r="A288" t="str">
        <f>IF(OR(Entry!$B291="",Entry!$E291="",$E288="نامعتبر"),"",Entry!$E291)</f>
        <v/>
      </c>
      <c r="B288" t="str">
        <f>IF($A288="","",LEFT($E288,4)&amp;MID($E288,6,2)&amp;RIGHT($E288,2)&amp;$F288&amp;"|"&amp;"1"&amp;RIGHT("00000"&amp;283,5))</f>
        <v/>
      </c>
      <c r="C288" t="str">
        <f t="shared" si="28"/>
        <v/>
      </c>
      <c r="D288" t="str">
        <f t="shared" si="29"/>
        <v/>
      </c>
      <c r="E288" t="str">
        <f>IF(Entry!$B291="","",IF(ISNUMBER(Entry!$B291),IF(AND(Entry!$B291&gt;=10000101,Entry!$B291&lt;=99991231),INT(Entry!$B291/10000)&amp;"/"&amp;RIGHT("00"&amp;INT(MOD(Entry!$B291,10000)/100),2)&amp;"/"&amp;RIGHT("00"&amp;MOD(Entry!$B291,100),2),"نامعتبر"),IF(LEN(Entry!$B291)=10,Entry!$B291,"نامعتبر")))</f>
        <v/>
      </c>
      <c r="F288" t="str">
        <f>IF(Entry!$B291="","",IF(Entry!$C291="","0000",IF(AND(ISNUMBER(Entry!$C291),Entry!$C291&gt;=0,Entry!$C291&lt;1),RIGHT("00"&amp;HOUR(Entry!$C291),2)&amp;RIGHT("00"&amp;MINUTE(Entry!$C291),2),IFERROR(RIGHT("00"&amp;VALUE(LEFT(Entry!$C291,FIND(":",Entry!$C291)-1)),2)&amp;RIGHT("00"&amp;VALUE(MID(Entry!$C291,FIND(":",Entry!$C291)+1,2)),2),"0000"))))</f>
        <v/>
      </c>
      <c r="G288" t="str">
        <f>IF($A288="","",Entry!$G291)</f>
        <v/>
      </c>
      <c r="H288" t="str">
        <f>IF($A288="","",IF(Entry!$H291="",0,Entry!$H291))</f>
        <v/>
      </c>
      <c r="I288" t="str">
        <f>IF($A288="","",IF(Entry!$I291="",0,Entry!$I291))</f>
        <v/>
      </c>
      <c r="J288" t="str">
        <f t="shared" si="30"/>
        <v/>
      </c>
      <c r="K288" t="str">
        <f>IF($A288="","",Entry!$D291)</f>
        <v/>
      </c>
      <c r="L288" t="str">
        <f>IF($A288="","",Entry!$L291)</f>
        <v/>
      </c>
      <c r="N288" t="str">
        <f>IF(OR(Sync!$M288="",$Q288="",$Q288="نامعتبر"),"",Sync!$M288)</f>
        <v/>
      </c>
      <c r="O288" t="str">
        <f t="shared" si="31"/>
        <v/>
      </c>
      <c r="P288" t="str">
        <f>IF($N288="","",LEFT($Q288,4)&amp;MID($Q288,6,2)&amp;RIGHT($Q288,2)&amp;IF(Sync!$K288="","0000",IF(AND(ISNUMBER(Sync!$K288),Sync!$K288&gt;=0,Sync!$K288&lt;1),RIGHT("00"&amp;HOUR(Sync!$K288),2)&amp;RIGHT("00"&amp;MINUTE(Sync!$K288),2),IFERROR(RIGHT("00"&amp;VALUE(LEFT(Sync!$K288,FIND(":",Sync!$K288)-1)),2)&amp;RIGHT("00"&amp;VALUE(MID(Sync!$K288,FIND(":",Sync!$K288)+1,2)),2),"0000")))&amp;"|"&amp;"2"&amp;RIGHT("00000"&amp;283,5))</f>
        <v/>
      </c>
      <c r="Q288" t="str">
        <f>IF(Sync!$J288="","",IF(ISNUMBER(Sync!$J288),IF(AND(Sync!$J288&gt;=10000101,Sync!$J288&lt;=99991231),INT(Sync!$J288/10000)&amp;"/"&amp;RIGHT("00"&amp;INT(MOD(Sync!$J288,10000)/100),2)&amp;"/"&amp;RIGHT("00"&amp;MOD(Sync!$J288,100),2),"نامعتبر"),IF(LEN(Sync!$J288)=10,Sync!$J288,"نامعتبر")))</f>
        <v/>
      </c>
      <c r="R288" t="str">
        <f t="shared" si="32"/>
        <v/>
      </c>
      <c r="S288" t="str">
        <f t="shared" si="33"/>
        <v/>
      </c>
      <c r="T288" t="str">
        <f>IF($N288="","",IF(Sync!$N288="",0,Sync!$N288))</f>
        <v/>
      </c>
      <c r="U288" t="str">
        <f>IF($N288="","",IF(Sync!$O288="",0,Sync!$O288))</f>
        <v/>
      </c>
      <c r="V288" t="str">
        <f>IF($N288="","",Sync!$L288)</f>
        <v/>
      </c>
      <c r="W288" t="str">
        <f>IF($N288="","",Sync!$P288)</f>
        <v/>
      </c>
      <c r="AA288" t="str">
        <f>IF($A288="","",IF(COUNTIF($A$6:$A288,$A288)=1,1,0))</f>
        <v/>
      </c>
      <c r="AB288">
        <f>SUM($AA$6:$AA288)</f>
        <v>3</v>
      </c>
      <c r="AC288" t="str">
        <f t="shared" si="34"/>
        <v/>
      </c>
    </row>
    <row r="289" spans="1:29" x14ac:dyDescent="0.2">
      <c r="A289" t="str">
        <f>IF(OR(Entry!$B292="",Entry!$E292="",$E289="نامعتبر"),"",Entry!$E292)</f>
        <v/>
      </c>
      <c r="B289" t="str">
        <f>IF($A289="","",LEFT($E289,4)&amp;MID($E289,6,2)&amp;RIGHT($E289,2)&amp;$F289&amp;"|"&amp;"1"&amp;RIGHT("00000"&amp;284,5))</f>
        <v/>
      </c>
      <c r="C289" t="str">
        <f t="shared" si="28"/>
        <v/>
      </c>
      <c r="D289" t="str">
        <f t="shared" si="29"/>
        <v/>
      </c>
      <c r="E289" t="str">
        <f>IF(Entry!$B292="","",IF(ISNUMBER(Entry!$B292),IF(AND(Entry!$B292&gt;=10000101,Entry!$B292&lt;=99991231),INT(Entry!$B292/10000)&amp;"/"&amp;RIGHT("00"&amp;INT(MOD(Entry!$B292,10000)/100),2)&amp;"/"&amp;RIGHT("00"&amp;MOD(Entry!$B292,100),2),"نامعتبر"),IF(LEN(Entry!$B292)=10,Entry!$B292,"نامعتبر")))</f>
        <v/>
      </c>
      <c r="F289" t="str">
        <f>IF(Entry!$B292="","",IF(Entry!$C292="","0000",IF(AND(ISNUMBER(Entry!$C292),Entry!$C292&gt;=0,Entry!$C292&lt;1),RIGHT("00"&amp;HOUR(Entry!$C292),2)&amp;RIGHT("00"&amp;MINUTE(Entry!$C292),2),IFERROR(RIGHT("00"&amp;VALUE(LEFT(Entry!$C292,FIND(":",Entry!$C292)-1)),2)&amp;RIGHT("00"&amp;VALUE(MID(Entry!$C292,FIND(":",Entry!$C292)+1,2)),2),"0000"))))</f>
        <v/>
      </c>
      <c r="G289" t="str">
        <f>IF($A289="","",Entry!$G292)</f>
        <v/>
      </c>
      <c r="H289" t="str">
        <f>IF($A289="","",IF(Entry!$H292="",0,Entry!$H292))</f>
        <v/>
      </c>
      <c r="I289" t="str">
        <f>IF($A289="","",IF(Entry!$I292="",0,Entry!$I292))</f>
        <v/>
      </c>
      <c r="J289" t="str">
        <f t="shared" si="30"/>
        <v/>
      </c>
      <c r="K289" t="str">
        <f>IF($A289="","",Entry!$D292)</f>
        <v/>
      </c>
      <c r="L289" t="str">
        <f>IF($A289="","",Entry!$L292)</f>
        <v/>
      </c>
      <c r="N289" t="str">
        <f>IF(OR(Sync!$M289="",$Q289="",$Q289="نامعتبر"),"",Sync!$M289)</f>
        <v/>
      </c>
      <c r="O289" t="str">
        <f t="shared" si="31"/>
        <v/>
      </c>
      <c r="P289" t="str">
        <f>IF($N289="","",LEFT($Q289,4)&amp;MID($Q289,6,2)&amp;RIGHT($Q289,2)&amp;IF(Sync!$K289="","0000",IF(AND(ISNUMBER(Sync!$K289),Sync!$K289&gt;=0,Sync!$K289&lt;1),RIGHT("00"&amp;HOUR(Sync!$K289),2)&amp;RIGHT("00"&amp;MINUTE(Sync!$K289),2),IFERROR(RIGHT("00"&amp;VALUE(LEFT(Sync!$K289,FIND(":",Sync!$K289)-1)),2)&amp;RIGHT("00"&amp;VALUE(MID(Sync!$K289,FIND(":",Sync!$K289)+1,2)),2),"0000")))&amp;"|"&amp;"2"&amp;RIGHT("00000"&amp;284,5))</f>
        <v/>
      </c>
      <c r="Q289" t="str">
        <f>IF(Sync!$J289="","",IF(ISNUMBER(Sync!$J289),IF(AND(Sync!$J289&gt;=10000101,Sync!$J289&lt;=99991231),INT(Sync!$J289/10000)&amp;"/"&amp;RIGHT("00"&amp;INT(MOD(Sync!$J289,10000)/100),2)&amp;"/"&amp;RIGHT("00"&amp;MOD(Sync!$J289,100),2),"نامعتبر"),IF(LEN(Sync!$J289)=10,Sync!$J289,"نامعتبر")))</f>
        <v/>
      </c>
      <c r="R289" t="str">
        <f t="shared" si="32"/>
        <v/>
      </c>
      <c r="S289" t="str">
        <f t="shared" si="33"/>
        <v/>
      </c>
      <c r="T289" t="str">
        <f>IF($N289="","",IF(Sync!$N289="",0,Sync!$N289))</f>
        <v/>
      </c>
      <c r="U289" t="str">
        <f>IF($N289="","",IF(Sync!$O289="",0,Sync!$O289))</f>
        <v/>
      </c>
      <c r="V289" t="str">
        <f>IF($N289="","",Sync!$L289)</f>
        <v/>
      </c>
      <c r="W289" t="str">
        <f>IF($N289="","",Sync!$P289)</f>
        <v/>
      </c>
      <c r="AA289" t="str">
        <f>IF($A289="","",IF(COUNTIF($A$6:$A289,$A289)=1,1,0))</f>
        <v/>
      </c>
      <c r="AB289">
        <f>SUM($AA$6:$AA289)</f>
        <v>3</v>
      </c>
      <c r="AC289" t="str">
        <f t="shared" si="34"/>
        <v/>
      </c>
    </row>
    <row r="290" spans="1:29" x14ac:dyDescent="0.2">
      <c r="A290" t="str">
        <f>IF(OR(Entry!$B293="",Entry!$E293="",$E290="نامعتبر"),"",Entry!$E293)</f>
        <v/>
      </c>
      <c r="B290" t="str">
        <f>IF($A290="","",LEFT($E290,4)&amp;MID($E290,6,2)&amp;RIGHT($E290,2)&amp;$F290&amp;"|"&amp;"1"&amp;RIGHT("00000"&amp;285,5))</f>
        <v/>
      </c>
      <c r="C290" t="str">
        <f t="shared" si="28"/>
        <v/>
      </c>
      <c r="D290" t="str">
        <f t="shared" si="29"/>
        <v/>
      </c>
      <c r="E290" t="str">
        <f>IF(Entry!$B293="","",IF(ISNUMBER(Entry!$B293),IF(AND(Entry!$B293&gt;=10000101,Entry!$B293&lt;=99991231),INT(Entry!$B293/10000)&amp;"/"&amp;RIGHT("00"&amp;INT(MOD(Entry!$B293,10000)/100),2)&amp;"/"&amp;RIGHT("00"&amp;MOD(Entry!$B293,100),2),"نامعتبر"),IF(LEN(Entry!$B293)=10,Entry!$B293,"نامعتبر")))</f>
        <v/>
      </c>
      <c r="F290" t="str">
        <f>IF(Entry!$B293="","",IF(Entry!$C293="","0000",IF(AND(ISNUMBER(Entry!$C293),Entry!$C293&gt;=0,Entry!$C293&lt;1),RIGHT("00"&amp;HOUR(Entry!$C293),2)&amp;RIGHT("00"&amp;MINUTE(Entry!$C293),2),IFERROR(RIGHT("00"&amp;VALUE(LEFT(Entry!$C293,FIND(":",Entry!$C293)-1)),2)&amp;RIGHT("00"&amp;VALUE(MID(Entry!$C293,FIND(":",Entry!$C293)+1,2)),2),"0000"))))</f>
        <v/>
      </c>
      <c r="G290" t="str">
        <f>IF($A290="","",Entry!$G293)</f>
        <v/>
      </c>
      <c r="H290" t="str">
        <f>IF($A290="","",IF(Entry!$H293="",0,Entry!$H293))</f>
        <v/>
      </c>
      <c r="I290" t="str">
        <f>IF($A290="","",IF(Entry!$I293="",0,Entry!$I293))</f>
        <v/>
      </c>
      <c r="J290" t="str">
        <f t="shared" si="30"/>
        <v/>
      </c>
      <c r="K290" t="str">
        <f>IF($A290="","",Entry!$D293)</f>
        <v/>
      </c>
      <c r="L290" t="str">
        <f>IF($A290="","",Entry!$L293)</f>
        <v/>
      </c>
      <c r="N290" t="str">
        <f>IF(OR(Sync!$M290="",$Q290="",$Q290="نامعتبر"),"",Sync!$M290)</f>
        <v/>
      </c>
      <c r="O290" t="str">
        <f t="shared" si="31"/>
        <v/>
      </c>
      <c r="P290" t="str">
        <f>IF($N290="","",LEFT($Q290,4)&amp;MID($Q290,6,2)&amp;RIGHT($Q290,2)&amp;IF(Sync!$K290="","0000",IF(AND(ISNUMBER(Sync!$K290),Sync!$K290&gt;=0,Sync!$K290&lt;1),RIGHT("00"&amp;HOUR(Sync!$K290),2)&amp;RIGHT("00"&amp;MINUTE(Sync!$K290),2),IFERROR(RIGHT("00"&amp;VALUE(LEFT(Sync!$K290,FIND(":",Sync!$K290)-1)),2)&amp;RIGHT("00"&amp;VALUE(MID(Sync!$K290,FIND(":",Sync!$K290)+1,2)),2),"0000")))&amp;"|"&amp;"2"&amp;RIGHT("00000"&amp;285,5))</f>
        <v/>
      </c>
      <c r="Q290" t="str">
        <f>IF(Sync!$J290="","",IF(ISNUMBER(Sync!$J290),IF(AND(Sync!$J290&gt;=10000101,Sync!$J290&lt;=99991231),INT(Sync!$J290/10000)&amp;"/"&amp;RIGHT("00"&amp;INT(MOD(Sync!$J290,10000)/100),2)&amp;"/"&amp;RIGHT("00"&amp;MOD(Sync!$J290,100),2),"نامعتبر"),IF(LEN(Sync!$J290)=10,Sync!$J290,"نامعتبر")))</f>
        <v/>
      </c>
      <c r="R290" t="str">
        <f t="shared" si="32"/>
        <v/>
      </c>
      <c r="S290" t="str">
        <f t="shared" si="33"/>
        <v/>
      </c>
      <c r="T290" t="str">
        <f>IF($N290="","",IF(Sync!$N290="",0,Sync!$N290))</f>
        <v/>
      </c>
      <c r="U290" t="str">
        <f>IF($N290="","",IF(Sync!$O290="",0,Sync!$O290))</f>
        <v/>
      </c>
      <c r="V290" t="str">
        <f>IF($N290="","",Sync!$L290)</f>
        <v/>
      </c>
      <c r="W290" t="str">
        <f>IF($N290="","",Sync!$P290)</f>
        <v/>
      </c>
      <c r="AA290" t="str">
        <f>IF($A290="","",IF(COUNTIF($A$6:$A290,$A290)=1,1,0))</f>
        <v/>
      </c>
      <c r="AB290">
        <f>SUM($AA$6:$AA290)</f>
        <v>3</v>
      </c>
      <c r="AC290" t="str">
        <f t="shared" si="34"/>
        <v/>
      </c>
    </row>
    <row r="291" spans="1:29" x14ac:dyDescent="0.2">
      <c r="A291" t="str">
        <f>IF(OR(Entry!$B294="",Entry!$E294="",$E291="نامعتبر"),"",Entry!$E294)</f>
        <v/>
      </c>
      <c r="B291" t="str">
        <f>IF($A291="","",LEFT($E291,4)&amp;MID($E291,6,2)&amp;RIGHT($E291,2)&amp;$F291&amp;"|"&amp;"1"&amp;RIGHT("00000"&amp;286,5))</f>
        <v/>
      </c>
      <c r="C291" t="str">
        <f t="shared" si="28"/>
        <v/>
      </c>
      <c r="D291" t="str">
        <f t="shared" si="29"/>
        <v/>
      </c>
      <c r="E291" t="str">
        <f>IF(Entry!$B294="","",IF(ISNUMBER(Entry!$B294),IF(AND(Entry!$B294&gt;=10000101,Entry!$B294&lt;=99991231),INT(Entry!$B294/10000)&amp;"/"&amp;RIGHT("00"&amp;INT(MOD(Entry!$B294,10000)/100),2)&amp;"/"&amp;RIGHT("00"&amp;MOD(Entry!$B294,100),2),"نامعتبر"),IF(LEN(Entry!$B294)=10,Entry!$B294,"نامعتبر")))</f>
        <v/>
      </c>
      <c r="F291" t="str">
        <f>IF(Entry!$B294="","",IF(Entry!$C294="","0000",IF(AND(ISNUMBER(Entry!$C294),Entry!$C294&gt;=0,Entry!$C294&lt;1),RIGHT("00"&amp;HOUR(Entry!$C294),2)&amp;RIGHT("00"&amp;MINUTE(Entry!$C294),2),IFERROR(RIGHT("00"&amp;VALUE(LEFT(Entry!$C294,FIND(":",Entry!$C294)-1)),2)&amp;RIGHT("00"&amp;VALUE(MID(Entry!$C294,FIND(":",Entry!$C294)+1,2)),2),"0000"))))</f>
        <v/>
      </c>
      <c r="G291" t="str">
        <f>IF($A291="","",Entry!$G294)</f>
        <v/>
      </c>
      <c r="H291" t="str">
        <f>IF($A291="","",IF(Entry!$H294="",0,Entry!$H294))</f>
        <v/>
      </c>
      <c r="I291" t="str">
        <f>IF($A291="","",IF(Entry!$I294="",0,Entry!$I294))</f>
        <v/>
      </c>
      <c r="J291" t="str">
        <f t="shared" si="30"/>
        <v/>
      </c>
      <c r="K291" t="str">
        <f>IF($A291="","",Entry!$D294)</f>
        <v/>
      </c>
      <c r="L291" t="str">
        <f>IF($A291="","",Entry!$L294)</f>
        <v/>
      </c>
      <c r="N291" t="str">
        <f>IF(OR(Sync!$M291="",$Q291="",$Q291="نامعتبر"),"",Sync!$M291)</f>
        <v/>
      </c>
      <c r="O291" t="str">
        <f t="shared" si="31"/>
        <v/>
      </c>
      <c r="P291" t="str">
        <f>IF($N291="","",LEFT($Q291,4)&amp;MID($Q291,6,2)&amp;RIGHT($Q291,2)&amp;IF(Sync!$K291="","0000",IF(AND(ISNUMBER(Sync!$K291),Sync!$K291&gt;=0,Sync!$K291&lt;1),RIGHT("00"&amp;HOUR(Sync!$K291),2)&amp;RIGHT("00"&amp;MINUTE(Sync!$K291),2),IFERROR(RIGHT("00"&amp;VALUE(LEFT(Sync!$K291,FIND(":",Sync!$K291)-1)),2)&amp;RIGHT("00"&amp;VALUE(MID(Sync!$K291,FIND(":",Sync!$K291)+1,2)),2),"0000")))&amp;"|"&amp;"2"&amp;RIGHT("00000"&amp;286,5))</f>
        <v/>
      </c>
      <c r="Q291" t="str">
        <f>IF(Sync!$J291="","",IF(ISNUMBER(Sync!$J291),IF(AND(Sync!$J291&gt;=10000101,Sync!$J291&lt;=99991231),INT(Sync!$J291/10000)&amp;"/"&amp;RIGHT("00"&amp;INT(MOD(Sync!$J291,10000)/100),2)&amp;"/"&amp;RIGHT("00"&amp;MOD(Sync!$J291,100),2),"نامعتبر"),IF(LEN(Sync!$J291)=10,Sync!$J291,"نامعتبر")))</f>
        <v/>
      </c>
      <c r="R291" t="str">
        <f t="shared" si="32"/>
        <v/>
      </c>
      <c r="S291" t="str">
        <f t="shared" si="33"/>
        <v/>
      </c>
      <c r="T291" t="str">
        <f>IF($N291="","",IF(Sync!$N291="",0,Sync!$N291))</f>
        <v/>
      </c>
      <c r="U291" t="str">
        <f>IF($N291="","",IF(Sync!$O291="",0,Sync!$O291))</f>
        <v/>
      </c>
      <c r="V291" t="str">
        <f>IF($N291="","",Sync!$L291)</f>
        <v/>
      </c>
      <c r="W291" t="str">
        <f>IF($N291="","",Sync!$P291)</f>
        <v/>
      </c>
      <c r="AA291" t="str">
        <f>IF($A291="","",IF(COUNTIF($A$6:$A291,$A291)=1,1,0))</f>
        <v/>
      </c>
      <c r="AB291">
        <f>SUM($AA$6:$AA291)</f>
        <v>3</v>
      </c>
      <c r="AC291" t="str">
        <f t="shared" si="34"/>
        <v/>
      </c>
    </row>
    <row r="292" spans="1:29" x14ac:dyDescent="0.2">
      <c r="A292" t="str">
        <f>IF(OR(Entry!$B295="",Entry!$E295="",$E292="نامعتبر"),"",Entry!$E295)</f>
        <v/>
      </c>
      <c r="B292" t="str">
        <f>IF($A292="","",LEFT($E292,4)&amp;MID($E292,6,2)&amp;RIGHT($E292,2)&amp;$F292&amp;"|"&amp;"1"&amp;RIGHT("00000"&amp;287,5))</f>
        <v/>
      </c>
      <c r="C292" t="str">
        <f t="shared" si="28"/>
        <v/>
      </c>
      <c r="D292" t="str">
        <f t="shared" si="29"/>
        <v/>
      </c>
      <c r="E292" t="str">
        <f>IF(Entry!$B295="","",IF(ISNUMBER(Entry!$B295),IF(AND(Entry!$B295&gt;=10000101,Entry!$B295&lt;=99991231),INT(Entry!$B295/10000)&amp;"/"&amp;RIGHT("00"&amp;INT(MOD(Entry!$B295,10000)/100),2)&amp;"/"&amp;RIGHT("00"&amp;MOD(Entry!$B295,100),2),"نامعتبر"),IF(LEN(Entry!$B295)=10,Entry!$B295,"نامعتبر")))</f>
        <v/>
      </c>
      <c r="F292" t="str">
        <f>IF(Entry!$B295="","",IF(Entry!$C295="","0000",IF(AND(ISNUMBER(Entry!$C295),Entry!$C295&gt;=0,Entry!$C295&lt;1),RIGHT("00"&amp;HOUR(Entry!$C295),2)&amp;RIGHT("00"&amp;MINUTE(Entry!$C295),2),IFERROR(RIGHT("00"&amp;VALUE(LEFT(Entry!$C295,FIND(":",Entry!$C295)-1)),2)&amp;RIGHT("00"&amp;VALUE(MID(Entry!$C295,FIND(":",Entry!$C295)+1,2)),2),"0000"))))</f>
        <v/>
      </c>
      <c r="G292" t="str">
        <f>IF($A292="","",Entry!$G295)</f>
        <v/>
      </c>
      <c r="H292" t="str">
        <f>IF($A292="","",IF(Entry!$H295="",0,Entry!$H295))</f>
        <v/>
      </c>
      <c r="I292" t="str">
        <f>IF($A292="","",IF(Entry!$I295="",0,Entry!$I295))</f>
        <v/>
      </c>
      <c r="J292" t="str">
        <f t="shared" si="30"/>
        <v/>
      </c>
      <c r="K292" t="str">
        <f>IF($A292="","",Entry!$D295)</f>
        <v/>
      </c>
      <c r="L292" t="str">
        <f>IF($A292="","",Entry!$L295)</f>
        <v/>
      </c>
      <c r="N292" t="str">
        <f>IF(OR(Sync!$M292="",$Q292="",$Q292="نامعتبر"),"",Sync!$M292)</f>
        <v/>
      </c>
      <c r="O292" t="str">
        <f t="shared" si="31"/>
        <v/>
      </c>
      <c r="P292" t="str">
        <f>IF($N292="","",LEFT($Q292,4)&amp;MID($Q292,6,2)&amp;RIGHT($Q292,2)&amp;IF(Sync!$K292="","0000",IF(AND(ISNUMBER(Sync!$K292),Sync!$K292&gt;=0,Sync!$K292&lt;1),RIGHT("00"&amp;HOUR(Sync!$K292),2)&amp;RIGHT("00"&amp;MINUTE(Sync!$K292),2),IFERROR(RIGHT("00"&amp;VALUE(LEFT(Sync!$K292,FIND(":",Sync!$K292)-1)),2)&amp;RIGHT("00"&amp;VALUE(MID(Sync!$K292,FIND(":",Sync!$K292)+1,2)),2),"0000")))&amp;"|"&amp;"2"&amp;RIGHT("00000"&amp;287,5))</f>
        <v/>
      </c>
      <c r="Q292" t="str">
        <f>IF(Sync!$J292="","",IF(ISNUMBER(Sync!$J292),IF(AND(Sync!$J292&gt;=10000101,Sync!$J292&lt;=99991231),INT(Sync!$J292/10000)&amp;"/"&amp;RIGHT("00"&amp;INT(MOD(Sync!$J292,10000)/100),2)&amp;"/"&amp;RIGHT("00"&amp;MOD(Sync!$J292,100),2),"نامعتبر"),IF(LEN(Sync!$J292)=10,Sync!$J292,"نامعتبر")))</f>
        <v/>
      </c>
      <c r="R292" t="str">
        <f t="shared" si="32"/>
        <v/>
      </c>
      <c r="S292" t="str">
        <f t="shared" si="33"/>
        <v/>
      </c>
      <c r="T292" t="str">
        <f>IF($N292="","",IF(Sync!$N292="",0,Sync!$N292))</f>
        <v/>
      </c>
      <c r="U292" t="str">
        <f>IF($N292="","",IF(Sync!$O292="",0,Sync!$O292))</f>
        <v/>
      </c>
      <c r="V292" t="str">
        <f>IF($N292="","",Sync!$L292)</f>
        <v/>
      </c>
      <c r="W292" t="str">
        <f>IF($N292="","",Sync!$P292)</f>
        <v/>
      </c>
      <c r="AA292" t="str">
        <f>IF($A292="","",IF(COUNTIF($A$6:$A292,$A292)=1,1,0))</f>
        <v/>
      </c>
      <c r="AB292">
        <f>SUM($AA$6:$AA292)</f>
        <v>3</v>
      </c>
      <c r="AC292" t="str">
        <f t="shared" si="34"/>
        <v/>
      </c>
    </row>
    <row r="293" spans="1:29" x14ac:dyDescent="0.2">
      <c r="A293" t="str">
        <f>IF(OR(Entry!$B296="",Entry!$E296="",$E293="نامعتبر"),"",Entry!$E296)</f>
        <v/>
      </c>
      <c r="B293" t="str">
        <f>IF($A293="","",LEFT($E293,4)&amp;MID($E293,6,2)&amp;RIGHT($E293,2)&amp;$F293&amp;"|"&amp;"1"&amp;RIGHT("00000"&amp;288,5))</f>
        <v/>
      </c>
      <c r="C293" t="str">
        <f t="shared" si="28"/>
        <v/>
      </c>
      <c r="D293" t="str">
        <f t="shared" si="29"/>
        <v/>
      </c>
      <c r="E293" t="str">
        <f>IF(Entry!$B296="","",IF(ISNUMBER(Entry!$B296),IF(AND(Entry!$B296&gt;=10000101,Entry!$B296&lt;=99991231),INT(Entry!$B296/10000)&amp;"/"&amp;RIGHT("00"&amp;INT(MOD(Entry!$B296,10000)/100),2)&amp;"/"&amp;RIGHT("00"&amp;MOD(Entry!$B296,100),2),"نامعتبر"),IF(LEN(Entry!$B296)=10,Entry!$B296,"نامعتبر")))</f>
        <v/>
      </c>
      <c r="F293" t="str">
        <f>IF(Entry!$B296="","",IF(Entry!$C296="","0000",IF(AND(ISNUMBER(Entry!$C296),Entry!$C296&gt;=0,Entry!$C296&lt;1),RIGHT("00"&amp;HOUR(Entry!$C296),2)&amp;RIGHT("00"&amp;MINUTE(Entry!$C296),2),IFERROR(RIGHT("00"&amp;VALUE(LEFT(Entry!$C296,FIND(":",Entry!$C296)-1)),2)&amp;RIGHT("00"&amp;VALUE(MID(Entry!$C296,FIND(":",Entry!$C296)+1,2)),2),"0000"))))</f>
        <v/>
      </c>
      <c r="G293" t="str">
        <f>IF($A293="","",Entry!$G296)</f>
        <v/>
      </c>
      <c r="H293" t="str">
        <f>IF($A293="","",IF(Entry!$H296="",0,Entry!$H296))</f>
        <v/>
      </c>
      <c r="I293" t="str">
        <f>IF($A293="","",IF(Entry!$I296="",0,Entry!$I296))</f>
        <v/>
      </c>
      <c r="J293" t="str">
        <f t="shared" si="30"/>
        <v/>
      </c>
      <c r="K293" t="str">
        <f>IF($A293="","",Entry!$D296)</f>
        <v/>
      </c>
      <c r="L293" t="str">
        <f>IF($A293="","",Entry!$L296)</f>
        <v/>
      </c>
      <c r="N293" t="str">
        <f>IF(OR(Sync!$M293="",$Q293="",$Q293="نامعتبر"),"",Sync!$M293)</f>
        <v/>
      </c>
      <c r="O293" t="str">
        <f t="shared" si="31"/>
        <v/>
      </c>
      <c r="P293" t="str">
        <f>IF($N293="","",LEFT($Q293,4)&amp;MID($Q293,6,2)&amp;RIGHT($Q293,2)&amp;IF(Sync!$K293="","0000",IF(AND(ISNUMBER(Sync!$K293),Sync!$K293&gt;=0,Sync!$K293&lt;1),RIGHT("00"&amp;HOUR(Sync!$K293),2)&amp;RIGHT("00"&amp;MINUTE(Sync!$K293),2),IFERROR(RIGHT("00"&amp;VALUE(LEFT(Sync!$K293,FIND(":",Sync!$K293)-1)),2)&amp;RIGHT("00"&amp;VALUE(MID(Sync!$K293,FIND(":",Sync!$K293)+1,2)),2),"0000")))&amp;"|"&amp;"2"&amp;RIGHT("00000"&amp;288,5))</f>
        <v/>
      </c>
      <c r="Q293" t="str">
        <f>IF(Sync!$J293="","",IF(ISNUMBER(Sync!$J293),IF(AND(Sync!$J293&gt;=10000101,Sync!$J293&lt;=99991231),INT(Sync!$J293/10000)&amp;"/"&amp;RIGHT("00"&amp;INT(MOD(Sync!$J293,10000)/100),2)&amp;"/"&amp;RIGHT("00"&amp;MOD(Sync!$J293,100),2),"نامعتبر"),IF(LEN(Sync!$J293)=10,Sync!$J293,"نامعتبر")))</f>
        <v/>
      </c>
      <c r="R293" t="str">
        <f t="shared" si="32"/>
        <v/>
      </c>
      <c r="S293" t="str">
        <f t="shared" si="33"/>
        <v/>
      </c>
      <c r="T293" t="str">
        <f>IF($N293="","",IF(Sync!$N293="",0,Sync!$N293))</f>
        <v/>
      </c>
      <c r="U293" t="str">
        <f>IF($N293="","",IF(Sync!$O293="",0,Sync!$O293))</f>
        <v/>
      </c>
      <c r="V293" t="str">
        <f>IF($N293="","",Sync!$L293)</f>
        <v/>
      </c>
      <c r="W293" t="str">
        <f>IF($N293="","",Sync!$P293)</f>
        <v/>
      </c>
      <c r="AA293" t="str">
        <f>IF($A293="","",IF(COUNTIF($A$6:$A293,$A293)=1,1,0))</f>
        <v/>
      </c>
      <c r="AB293">
        <f>SUM($AA$6:$AA293)</f>
        <v>3</v>
      </c>
      <c r="AC293" t="str">
        <f t="shared" si="34"/>
        <v/>
      </c>
    </row>
    <row r="294" spans="1:29" x14ac:dyDescent="0.2">
      <c r="A294" t="str">
        <f>IF(OR(Entry!$B297="",Entry!$E297="",$E294="نامعتبر"),"",Entry!$E297)</f>
        <v/>
      </c>
      <c r="B294" t="str">
        <f>IF($A294="","",LEFT($E294,4)&amp;MID($E294,6,2)&amp;RIGHT($E294,2)&amp;$F294&amp;"|"&amp;"1"&amp;RIGHT("00000"&amp;289,5))</f>
        <v/>
      </c>
      <c r="C294" t="str">
        <f t="shared" si="28"/>
        <v/>
      </c>
      <c r="D294" t="str">
        <f t="shared" si="29"/>
        <v/>
      </c>
      <c r="E294" t="str">
        <f>IF(Entry!$B297="","",IF(ISNUMBER(Entry!$B297),IF(AND(Entry!$B297&gt;=10000101,Entry!$B297&lt;=99991231),INT(Entry!$B297/10000)&amp;"/"&amp;RIGHT("00"&amp;INT(MOD(Entry!$B297,10000)/100),2)&amp;"/"&amp;RIGHT("00"&amp;MOD(Entry!$B297,100),2),"نامعتبر"),IF(LEN(Entry!$B297)=10,Entry!$B297,"نامعتبر")))</f>
        <v/>
      </c>
      <c r="F294" t="str">
        <f>IF(Entry!$B297="","",IF(Entry!$C297="","0000",IF(AND(ISNUMBER(Entry!$C297),Entry!$C297&gt;=0,Entry!$C297&lt;1),RIGHT("00"&amp;HOUR(Entry!$C297),2)&amp;RIGHT("00"&amp;MINUTE(Entry!$C297),2),IFERROR(RIGHT("00"&amp;VALUE(LEFT(Entry!$C297,FIND(":",Entry!$C297)-1)),2)&amp;RIGHT("00"&amp;VALUE(MID(Entry!$C297,FIND(":",Entry!$C297)+1,2)),2),"0000"))))</f>
        <v/>
      </c>
      <c r="G294" t="str">
        <f>IF($A294="","",Entry!$G297)</f>
        <v/>
      </c>
      <c r="H294" t="str">
        <f>IF($A294="","",IF(Entry!$H297="",0,Entry!$H297))</f>
        <v/>
      </c>
      <c r="I294" t="str">
        <f>IF($A294="","",IF(Entry!$I297="",0,Entry!$I297))</f>
        <v/>
      </c>
      <c r="J294" t="str">
        <f t="shared" si="30"/>
        <v/>
      </c>
      <c r="K294" t="str">
        <f>IF($A294="","",Entry!$D297)</f>
        <v/>
      </c>
      <c r="L294" t="str">
        <f>IF($A294="","",Entry!$L297)</f>
        <v/>
      </c>
      <c r="N294" t="str">
        <f>IF(OR(Sync!$M294="",$Q294="",$Q294="نامعتبر"),"",Sync!$M294)</f>
        <v/>
      </c>
      <c r="O294" t="str">
        <f t="shared" si="31"/>
        <v/>
      </c>
      <c r="P294" t="str">
        <f>IF($N294="","",LEFT($Q294,4)&amp;MID($Q294,6,2)&amp;RIGHT($Q294,2)&amp;IF(Sync!$K294="","0000",IF(AND(ISNUMBER(Sync!$K294),Sync!$K294&gt;=0,Sync!$K294&lt;1),RIGHT("00"&amp;HOUR(Sync!$K294),2)&amp;RIGHT("00"&amp;MINUTE(Sync!$K294),2),IFERROR(RIGHT("00"&amp;VALUE(LEFT(Sync!$K294,FIND(":",Sync!$K294)-1)),2)&amp;RIGHT("00"&amp;VALUE(MID(Sync!$K294,FIND(":",Sync!$K294)+1,2)),2),"0000")))&amp;"|"&amp;"2"&amp;RIGHT("00000"&amp;289,5))</f>
        <v/>
      </c>
      <c r="Q294" t="str">
        <f>IF(Sync!$J294="","",IF(ISNUMBER(Sync!$J294),IF(AND(Sync!$J294&gt;=10000101,Sync!$J294&lt;=99991231),INT(Sync!$J294/10000)&amp;"/"&amp;RIGHT("00"&amp;INT(MOD(Sync!$J294,10000)/100),2)&amp;"/"&amp;RIGHT("00"&amp;MOD(Sync!$J294,100),2),"نامعتبر"),IF(LEN(Sync!$J294)=10,Sync!$J294,"نامعتبر")))</f>
        <v/>
      </c>
      <c r="R294" t="str">
        <f t="shared" si="32"/>
        <v/>
      </c>
      <c r="S294" t="str">
        <f t="shared" si="33"/>
        <v/>
      </c>
      <c r="T294" t="str">
        <f>IF($N294="","",IF(Sync!$N294="",0,Sync!$N294))</f>
        <v/>
      </c>
      <c r="U294" t="str">
        <f>IF($N294="","",IF(Sync!$O294="",0,Sync!$O294))</f>
        <v/>
      </c>
      <c r="V294" t="str">
        <f>IF($N294="","",Sync!$L294)</f>
        <v/>
      </c>
      <c r="W294" t="str">
        <f>IF($N294="","",Sync!$P294)</f>
        <v/>
      </c>
      <c r="AA294" t="str">
        <f>IF($A294="","",IF(COUNTIF($A$6:$A294,$A294)=1,1,0))</f>
        <v/>
      </c>
      <c r="AB294">
        <f>SUM($AA$6:$AA294)</f>
        <v>3</v>
      </c>
      <c r="AC294" t="str">
        <f t="shared" si="34"/>
        <v/>
      </c>
    </row>
    <row r="295" spans="1:29" x14ac:dyDescent="0.2">
      <c r="A295" t="str">
        <f>IF(OR(Entry!$B298="",Entry!$E298="",$E295="نامعتبر"),"",Entry!$E298)</f>
        <v/>
      </c>
      <c r="B295" t="str">
        <f>IF($A295="","",LEFT($E295,4)&amp;MID($E295,6,2)&amp;RIGHT($E295,2)&amp;$F295&amp;"|"&amp;"1"&amp;RIGHT("00000"&amp;290,5))</f>
        <v/>
      </c>
      <c r="C295" t="str">
        <f t="shared" si="28"/>
        <v/>
      </c>
      <c r="D295" t="str">
        <f t="shared" si="29"/>
        <v/>
      </c>
      <c r="E295" t="str">
        <f>IF(Entry!$B298="","",IF(ISNUMBER(Entry!$B298),IF(AND(Entry!$B298&gt;=10000101,Entry!$B298&lt;=99991231),INT(Entry!$B298/10000)&amp;"/"&amp;RIGHT("00"&amp;INT(MOD(Entry!$B298,10000)/100),2)&amp;"/"&amp;RIGHT("00"&amp;MOD(Entry!$B298,100),2),"نامعتبر"),IF(LEN(Entry!$B298)=10,Entry!$B298,"نامعتبر")))</f>
        <v/>
      </c>
      <c r="F295" t="str">
        <f>IF(Entry!$B298="","",IF(Entry!$C298="","0000",IF(AND(ISNUMBER(Entry!$C298),Entry!$C298&gt;=0,Entry!$C298&lt;1),RIGHT("00"&amp;HOUR(Entry!$C298),2)&amp;RIGHT("00"&amp;MINUTE(Entry!$C298),2),IFERROR(RIGHT("00"&amp;VALUE(LEFT(Entry!$C298,FIND(":",Entry!$C298)-1)),2)&amp;RIGHT("00"&amp;VALUE(MID(Entry!$C298,FIND(":",Entry!$C298)+1,2)),2),"0000"))))</f>
        <v/>
      </c>
      <c r="G295" t="str">
        <f>IF($A295="","",Entry!$G298)</f>
        <v/>
      </c>
      <c r="H295" t="str">
        <f>IF($A295="","",IF(Entry!$H298="",0,Entry!$H298))</f>
        <v/>
      </c>
      <c r="I295" t="str">
        <f>IF($A295="","",IF(Entry!$I298="",0,Entry!$I298))</f>
        <v/>
      </c>
      <c r="J295" t="str">
        <f t="shared" si="30"/>
        <v/>
      </c>
      <c r="K295" t="str">
        <f>IF($A295="","",Entry!$D298)</f>
        <v/>
      </c>
      <c r="L295" t="str">
        <f>IF($A295="","",Entry!$L298)</f>
        <v/>
      </c>
      <c r="N295" t="str">
        <f>IF(OR(Sync!$M295="",$Q295="",$Q295="نامعتبر"),"",Sync!$M295)</f>
        <v/>
      </c>
      <c r="O295" t="str">
        <f t="shared" si="31"/>
        <v/>
      </c>
      <c r="P295" t="str">
        <f>IF($N295="","",LEFT($Q295,4)&amp;MID($Q295,6,2)&amp;RIGHT($Q295,2)&amp;IF(Sync!$K295="","0000",IF(AND(ISNUMBER(Sync!$K295),Sync!$K295&gt;=0,Sync!$K295&lt;1),RIGHT("00"&amp;HOUR(Sync!$K295),2)&amp;RIGHT("00"&amp;MINUTE(Sync!$K295),2),IFERROR(RIGHT("00"&amp;VALUE(LEFT(Sync!$K295,FIND(":",Sync!$K295)-1)),2)&amp;RIGHT("00"&amp;VALUE(MID(Sync!$K295,FIND(":",Sync!$K295)+1,2)),2),"0000")))&amp;"|"&amp;"2"&amp;RIGHT("00000"&amp;290,5))</f>
        <v/>
      </c>
      <c r="Q295" t="str">
        <f>IF(Sync!$J295="","",IF(ISNUMBER(Sync!$J295),IF(AND(Sync!$J295&gt;=10000101,Sync!$J295&lt;=99991231),INT(Sync!$J295/10000)&amp;"/"&amp;RIGHT("00"&amp;INT(MOD(Sync!$J295,10000)/100),2)&amp;"/"&amp;RIGHT("00"&amp;MOD(Sync!$J295,100),2),"نامعتبر"),IF(LEN(Sync!$J295)=10,Sync!$J295,"نامعتبر")))</f>
        <v/>
      </c>
      <c r="R295" t="str">
        <f t="shared" si="32"/>
        <v/>
      </c>
      <c r="S295" t="str">
        <f t="shared" si="33"/>
        <v/>
      </c>
      <c r="T295" t="str">
        <f>IF($N295="","",IF(Sync!$N295="",0,Sync!$N295))</f>
        <v/>
      </c>
      <c r="U295" t="str">
        <f>IF($N295="","",IF(Sync!$O295="",0,Sync!$O295))</f>
        <v/>
      </c>
      <c r="V295" t="str">
        <f>IF($N295="","",Sync!$L295)</f>
        <v/>
      </c>
      <c r="W295" t="str">
        <f>IF($N295="","",Sync!$P295)</f>
        <v/>
      </c>
      <c r="AA295" t="str">
        <f>IF($A295="","",IF(COUNTIF($A$6:$A295,$A295)=1,1,0))</f>
        <v/>
      </c>
      <c r="AB295">
        <f>SUM($AA$6:$AA295)</f>
        <v>3</v>
      </c>
      <c r="AC295" t="str">
        <f t="shared" si="34"/>
        <v/>
      </c>
    </row>
    <row r="296" spans="1:29" x14ac:dyDescent="0.2">
      <c r="A296" t="str">
        <f>IF(OR(Entry!$B299="",Entry!$E299="",$E296="نامعتبر"),"",Entry!$E299)</f>
        <v/>
      </c>
      <c r="B296" t="str">
        <f>IF($A296="","",LEFT($E296,4)&amp;MID($E296,6,2)&amp;RIGHT($E296,2)&amp;$F296&amp;"|"&amp;"1"&amp;RIGHT("00000"&amp;291,5))</f>
        <v/>
      </c>
      <c r="C296" t="str">
        <f t="shared" si="28"/>
        <v/>
      </c>
      <c r="D296" t="str">
        <f t="shared" si="29"/>
        <v/>
      </c>
      <c r="E296" t="str">
        <f>IF(Entry!$B299="","",IF(ISNUMBER(Entry!$B299),IF(AND(Entry!$B299&gt;=10000101,Entry!$B299&lt;=99991231),INT(Entry!$B299/10000)&amp;"/"&amp;RIGHT("00"&amp;INT(MOD(Entry!$B299,10000)/100),2)&amp;"/"&amp;RIGHT("00"&amp;MOD(Entry!$B299,100),2),"نامعتبر"),IF(LEN(Entry!$B299)=10,Entry!$B299,"نامعتبر")))</f>
        <v/>
      </c>
      <c r="F296" t="str">
        <f>IF(Entry!$B299="","",IF(Entry!$C299="","0000",IF(AND(ISNUMBER(Entry!$C299),Entry!$C299&gt;=0,Entry!$C299&lt;1),RIGHT("00"&amp;HOUR(Entry!$C299),2)&amp;RIGHT("00"&amp;MINUTE(Entry!$C299),2),IFERROR(RIGHT("00"&amp;VALUE(LEFT(Entry!$C299,FIND(":",Entry!$C299)-1)),2)&amp;RIGHT("00"&amp;VALUE(MID(Entry!$C299,FIND(":",Entry!$C299)+1,2)),2),"0000"))))</f>
        <v/>
      </c>
      <c r="G296" t="str">
        <f>IF($A296="","",Entry!$G299)</f>
        <v/>
      </c>
      <c r="H296" t="str">
        <f>IF($A296="","",IF(Entry!$H299="",0,Entry!$H299))</f>
        <v/>
      </c>
      <c r="I296" t="str">
        <f>IF($A296="","",IF(Entry!$I299="",0,Entry!$I299))</f>
        <v/>
      </c>
      <c r="J296" t="str">
        <f t="shared" si="30"/>
        <v/>
      </c>
      <c r="K296" t="str">
        <f>IF($A296="","",Entry!$D299)</f>
        <v/>
      </c>
      <c r="L296" t="str">
        <f>IF($A296="","",Entry!$L299)</f>
        <v/>
      </c>
      <c r="N296" t="str">
        <f>IF(OR(Sync!$M296="",$Q296="",$Q296="نامعتبر"),"",Sync!$M296)</f>
        <v/>
      </c>
      <c r="O296" t="str">
        <f t="shared" si="31"/>
        <v/>
      </c>
      <c r="P296" t="str">
        <f>IF($N296="","",LEFT($Q296,4)&amp;MID($Q296,6,2)&amp;RIGHT($Q296,2)&amp;IF(Sync!$K296="","0000",IF(AND(ISNUMBER(Sync!$K296),Sync!$K296&gt;=0,Sync!$K296&lt;1),RIGHT("00"&amp;HOUR(Sync!$K296),2)&amp;RIGHT("00"&amp;MINUTE(Sync!$K296),2),IFERROR(RIGHT("00"&amp;VALUE(LEFT(Sync!$K296,FIND(":",Sync!$K296)-1)),2)&amp;RIGHT("00"&amp;VALUE(MID(Sync!$K296,FIND(":",Sync!$K296)+1,2)),2),"0000")))&amp;"|"&amp;"2"&amp;RIGHT("00000"&amp;291,5))</f>
        <v/>
      </c>
      <c r="Q296" t="str">
        <f>IF(Sync!$J296="","",IF(ISNUMBER(Sync!$J296),IF(AND(Sync!$J296&gt;=10000101,Sync!$J296&lt;=99991231),INT(Sync!$J296/10000)&amp;"/"&amp;RIGHT("00"&amp;INT(MOD(Sync!$J296,10000)/100),2)&amp;"/"&amp;RIGHT("00"&amp;MOD(Sync!$J296,100),2),"نامعتبر"),IF(LEN(Sync!$J296)=10,Sync!$J296,"نامعتبر")))</f>
        <v/>
      </c>
      <c r="R296" t="str">
        <f t="shared" si="32"/>
        <v/>
      </c>
      <c r="S296" t="str">
        <f t="shared" si="33"/>
        <v/>
      </c>
      <c r="T296" t="str">
        <f>IF($N296="","",IF(Sync!$N296="",0,Sync!$N296))</f>
        <v/>
      </c>
      <c r="U296" t="str">
        <f>IF($N296="","",IF(Sync!$O296="",0,Sync!$O296))</f>
        <v/>
      </c>
      <c r="V296" t="str">
        <f>IF($N296="","",Sync!$L296)</f>
        <v/>
      </c>
      <c r="W296" t="str">
        <f>IF($N296="","",Sync!$P296)</f>
        <v/>
      </c>
      <c r="AA296" t="str">
        <f>IF($A296="","",IF(COUNTIF($A$6:$A296,$A296)=1,1,0))</f>
        <v/>
      </c>
      <c r="AB296">
        <f>SUM($AA$6:$AA296)</f>
        <v>3</v>
      </c>
      <c r="AC296" t="str">
        <f t="shared" si="34"/>
        <v/>
      </c>
    </row>
    <row r="297" spans="1:29" x14ac:dyDescent="0.2">
      <c r="A297" t="str">
        <f>IF(OR(Entry!$B300="",Entry!$E300="",$E297="نامعتبر"),"",Entry!$E300)</f>
        <v/>
      </c>
      <c r="B297" t="str">
        <f>IF($A297="","",LEFT($E297,4)&amp;MID($E297,6,2)&amp;RIGHT($E297,2)&amp;$F297&amp;"|"&amp;"1"&amp;RIGHT("00000"&amp;292,5))</f>
        <v/>
      </c>
      <c r="C297" t="str">
        <f t="shared" si="28"/>
        <v/>
      </c>
      <c r="D297" t="str">
        <f t="shared" si="29"/>
        <v/>
      </c>
      <c r="E297" t="str">
        <f>IF(Entry!$B300="","",IF(ISNUMBER(Entry!$B300),IF(AND(Entry!$B300&gt;=10000101,Entry!$B300&lt;=99991231),INT(Entry!$B300/10000)&amp;"/"&amp;RIGHT("00"&amp;INT(MOD(Entry!$B300,10000)/100),2)&amp;"/"&amp;RIGHT("00"&amp;MOD(Entry!$B300,100),2),"نامعتبر"),IF(LEN(Entry!$B300)=10,Entry!$B300,"نامعتبر")))</f>
        <v/>
      </c>
      <c r="F297" t="str">
        <f>IF(Entry!$B300="","",IF(Entry!$C300="","0000",IF(AND(ISNUMBER(Entry!$C300),Entry!$C300&gt;=0,Entry!$C300&lt;1),RIGHT("00"&amp;HOUR(Entry!$C300),2)&amp;RIGHT("00"&amp;MINUTE(Entry!$C300),2),IFERROR(RIGHT("00"&amp;VALUE(LEFT(Entry!$C300,FIND(":",Entry!$C300)-1)),2)&amp;RIGHT("00"&amp;VALUE(MID(Entry!$C300,FIND(":",Entry!$C300)+1,2)),2),"0000"))))</f>
        <v/>
      </c>
      <c r="G297" t="str">
        <f>IF($A297="","",Entry!$G300)</f>
        <v/>
      </c>
      <c r="H297" t="str">
        <f>IF($A297="","",IF(Entry!$H300="",0,Entry!$H300))</f>
        <v/>
      </c>
      <c r="I297" t="str">
        <f>IF($A297="","",IF(Entry!$I300="",0,Entry!$I300))</f>
        <v/>
      </c>
      <c r="J297" t="str">
        <f t="shared" si="30"/>
        <v/>
      </c>
      <c r="K297" t="str">
        <f>IF($A297="","",Entry!$D300)</f>
        <v/>
      </c>
      <c r="L297" t="str">
        <f>IF($A297="","",Entry!$L300)</f>
        <v/>
      </c>
      <c r="N297" t="str">
        <f>IF(OR(Sync!$M297="",$Q297="",$Q297="نامعتبر"),"",Sync!$M297)</f>
        <v/>
      </c>
      <c r="O297" t="str">
        <f t="shared" si="31"/>
        <v/>
      </c>
      <c r="P297" t="str">
        <f>IF($N297="","",LEFT($Q297,4)&amp;MID($Q297,6,2)&amp;RIGHT($Q297,2)&amp;IF(Sync!$K297="","0000",IF(AND(ISNUMBER(Sync!$K297),Sync!$K297&gt;=0,Sync!$K297&lt;1),RIGHT("00"&amp;HOUR(Sync!$K297),2)&amp;RIGHT("00"&amp;MINUTE(Sync!$K297),2),IFERROR(RIGHT("00"&amp;VALUE(LEFT(Sync!$K297,FIND(":",Sync!$K297)-1)),2)&amp;RIGHT("00"&amp;VALUE(MID(Sync!$K297,FIND(":",Sync!$K297)+1,2)),2),"0000")))&amp;"|"&amp;"2"&amp;RIGHT("00000"&amp;292,5))</f>
        <v/>
      </c>
      <c r="Q297" t="str">
        <f>IF(Sync!$J297="","",IF(ISNUMBER(Sync!$J297),IF(AND(Sync!$J297&gt;=10000101,Sync!$J297&lt;=99991231),INT(Sync!$J297/10000)&amp;"/"&amp;RIGHT("00"&amp;INT(MOD(Sync!$J297,10000)/100),2)&amp;"/"&amp;RIGHT("00"&amp;MOD(Sync!$J297,100),2),"نامعتبر"),IF(LEN(Sync!$J297)=10,Sync!$J297,"نامعتبر")))</f>
        <v/>
      </c>
      <c r="R297" t="str">
        <f t="shared" si="32"/>
        <v/>
      </c>
      <c r="S297" t="str">
        <f t="shared" si="33"/>
        <v/>
      </c>
      <c r="T297" t="str">
        <f>IF($N297="","",IF(Sync!$N297="",0,Sync!$N297))</f>
        <v/>
      </c>
      <c r="U297" t="str">
        <f>IF($N297="","",IF(Sync!$O297="",0,Sync!$O297))</f>
        <v/>
      </c>
      <c r="V297" t="str">
        <f>IF($N297="","",Sync!$L297)</f>
        <v/>
      </c>
      <c r="W297" t="str">
        <f>IF($N297="","",Sync!$P297)</f>
        <v/>
      </c>
      <c r="AA297" t="str">
        <f>IF($A297="","",IF(COUNTIF($A$6:$A297,$A297)=1,1,0))</f>
        <v/>
      </c>
      <c r="AB297">
        <f>SUM($AA$6:$AA297)</f>
        <v>3</v>
      </c>
      <c r="AC297" t="str">
        <f t="shared" si="34"/>
        <v/>
      </c>
    </row>
    <row r="298" spans="1:29" x14ac:dyDescent="0.2">
      <c r="A298" t="str">
        <f>IF(OR(Entry!$B301="",Entry!$E301="",$E298="نامعتبر"),"",Entry!$E301)</f>
        <v/>
      </c>
      <c r="B298" t="str">
        <f>IF($A298="","",LEFT($E298,4)&amp;MID($E298,6,2)&amp;RIGHT($E298,2)&amp;$F298&amp;"|"&amp;"1"&amp;RIGHT("00000"&amp;293,5))</f>
        <v/>
      </c>
      <c r="C298" t="str">
        <f t="shared" si="28"/>
        <v/>
      </c>
      <c r="D298" t="str">
        <f t="shared" si="29"/>
        <v/>
      </c>
      <c r="E298" t="str">
        <f>IF(Entry!$B301="","",IF(ISNUMBER(Entry!$B301),IF(AND(Entry!$B301&gt;=10000101,Entry!$B301&lt;=99991231),INT(Entry!$B301/10000)&amp;"/"&amp;RIGHT("00"&amp;INT(MOD(Entry!$B301,10000)/100),2)&amp;"/"&amp;RIGHT("00"&amp;MOD(Entry!$B301,100),2),"نامعتبر"),IF(LEN(Entry!$B301)=10,Entry!$B301,"نامعتبر")))</f>
        <v/>
      </c>
      <c r="F298" t="str">
        <f>IF(Entry!$B301="","",IF(Entry!$C301="","0000",IF(AND(ISNUMBER(Entry!$C301),Entry!$C301&gt;=0,Entry!$C301&lt;1),RIGHT("00"&amp;HOUR(Entry!$C301),2)&amp;RIGHT("00"&amp;MINUTE(Entry!$C301),2),IFERROR(RIGHT("00"&amp;VALUE(LEFT(Entry!$C301,FIND(":",Entry!$C301)-1)),2)&amp;RIGHT("00"&amp;VALUE(MID(Entry!$C301,FIND(":",Entry!$C301)+1,2)),2),"0000"))))</f>
        <v/>
      </c>
      <c r="G298" t="str">
        <f>IF($A298="","",Entry!$G301)</f>
        <v/>
      </c>
      <c r="H298" t="str">
        <f>IF($A298="","",IF(Entry!$H301="",0,Entry!$H301))</f>
        <v/>
      </c>
      <c r="I298" t="str">
        <f>IF($A298="","",IF(Entry!$I301="",0,Entry!$I301))</f>
        <v/>
      </c>
      <c r="J298" t="str">
        <f t="shared" si="30"/>
        <v/>
      </c>
      <c r="K298" t="str">
        <f>IF($A298="","",Entry!$D301)</f>
        <v/>
      </c>
      <c r="L298" t="str">
        <f>IF($A298="","",Entry!$L301)</f>
        <v/>
      </c>
      <c r="N298" t="str">
        <f>IF(OR(Sync!$M298="",$Q298="",$Q298="نامعتبر"),"",Sync!$M298)</f>
        <v/>
      </c>
      <c r="O298" t="str">
        <f t="shared" si="31"/>
        <v/>
      </c>
      <c r="P298" t="str">
        <f>IF($N298="","",LEFT($Q298,4)&amp;MID($Q298,6,2)&amp;RIGHT($Q298,2)&amp;IF(Sync!$K298="","0000",IF(AND(ISNUMBER(Sync!$K298),Sync!$K298&gt;=0,Sync!$K298&lt;1),RIGHT("00"&amp;HOUR(Sync!$K298),2)&amp;RIGHT("00"&amp;MINUTE(Sync!$K298),2),IFERROR(RIGHT("00"&amp;VALUE(LEFT(Sync!$K298,FIND(":",Sync!$K298)-1)),2)&amp;RIGHT("00"&amp;VALUE(MID(Sync!$K298,FIND(":",Sync!$K298)+1,2)),2),"0000")))&amp;"|"&amp;"2"&amp;RIGHT("00000"&amp;293,5))</f>
        <v/>
      </c>
      <c r="Q298" t="str">
        <f>IF(Sync!$J298="","",IF(ISNUMBER(Sync!$J298),IF(AND(Sync!$J298&gt;=10000101,Sync!$J298&lt;=99991231),INT(Sync!$J298/10000)&amp;"/"&amp;RIGHT("00"&amp;INT(MOD(Sync!$J298,10000)/100),2)&amp;"/"&amp;RIGHT("00"&amp;MOD(Sync!$J298,100),2),"نامعتبر"),IF(LEN(Sync!$J298)=10,Sync!$J298,"نامعتبر")))</f>
        <v/>
      </c>
      <c r="R298" t="str">
        <f t="shared" si="32"/>
        <v/>
      </c>
      <c r="S298" t="str">
        <f t="shared" si="33"/>
        <v/>
      </c>
      <c r="T298" t="str">
        <f>IF($N298="","",IF(Sync!$N298="",0,Sync!$N298))</f>
        <v/>
      </c>
      <c r="U298" t="str">
        <f>IF($N298="","",IF(Sync!$O298="",0,Sync!$O298))</f>
        <v/>
      </c>
      <c r="V298" t="str">
        <f>IF($N298="","",Sync!$L298)</f>
        <v/>
      </c>
      <c r="W298" t="str">
        <f>IF($N298="","",Sync!$P298)</f>
        <v/>
      </c>
      <c r="AA298" t="str">
        <f>IF($A298="","",IF(COUNTIF($A$6:$A298,$A298)=1,1,0))</f>
        <v/>
      </c>
      <c r="AB298">
        <f>SUM($AA$6:$AA298)</f>
        <v>3</v>
      </c>
      <c r="AC298" t="str">
        <f t="shared" si="34"/>
        <v/>
      </c>
    </row>
    <row r="299" spans="1:29" x14ac:dyDescent="0.2">
      <c r="A299" t="str">
        <f>IF(OR(Entry!$B302="",Entry!$E302="",$E299="نامعتبر"),"",Entry!$E302)</f>
        <v/>
      </c>
      <c r="B299" t="str">
        <f>IF($A299="","",LEFT($E299,4)&amp;MID($E299,6,2)&amp;RIGHT($E299,2)&amp;$F299&amp;"|"&amp;"1"&amp;RIGHT("00000"&amp;294,5))</f>
        <v/>
      </c>
      <c r="C299" t="str">
        <f t="shared" si="28"/>
        <v/>
      </c>
      <c r="D299" t="str">
        <f t="shared" si="29"/>
        <v/>
      </c>
      <c r="E299" t="str">
        <f>IF(Entry!$B302="","",IF(ISNUMBER(Entry!$B302),IF(AND(Entry!$B302&gt;=10000101,Entry!$B302&lt;=99991231),INT(Entry!$B302/10000)&amp;"/"&amp;RIGHT("00"&amp;INT(MOD(Entry!$B302,10000)/100),2)&amp;"/"&amp;RIGHT("00"&amp;MOD(Entry!$B302,100),2),"نامعتبر"),IF(LEN(Entry!$B302)=10,Entry!$B302,"نامعتبر")))</f>
        <v/>
      </c>
      <c r="F299" t="str">
        <f>IF(Entry!$B302="","",IF(Entry!$C302="","0000",IF(AND(ISNUMBER(Entry!$C302),Entry!$C302&gt;=0,Entry!$C302&lt;1),RIGHT("00"&amp;HOUR(Entry!$C302),2)&amp;RIGHT("00"&amp;MINUTE(Entry!$C302),2),IFERROR(RIGHT("00"&amp;VALUE(LEFT(Entry!$C302,FIND(":",Entry!$C302)-1)),2)&amp;RIGHT("00"&amp;VALUE(MID(Entry!$C302,FIND(":",Entry!$C302)+1,2)),2),"0000"))))</f>
        <v/>
      </c>
      <c r="G299" t="str">
        <f>IF($A299="","",Entry!$G302)</f>
        <v/>
      </c>
      <c r="H299" t="str">
        <f>IF($A299="","",IF(Entry!$H302="",0,Entry!$H302))</f>
        <v/>
      </c>
      <c r="I299" t="str">
        <f>IF($A299="","",IF(Entry!$I302="",0,Entry!$I302))</f>
        <v/>
      </c>
      <c r="J299" t="str">
        <f t="shared" si="30"/>
        <v/>
      </c>
      <c r="K299" t="str">
        <f>IF($A299="","",Entry!$D302)</f>
        <v/>
      </c>
      <c r="L299" t="str">
        <f>IF($A299="","",Entry!$L302)</f>
        <v/>
      </c>
      <c r="N299" t="str">
        <f>IF(OR(Sync!$M299="",$Q299="",$Q299="نامعتبر"),"",Sync!$M299)</f>
        <v/>
      </c>
      <c r="O299" t="str">
        <f t="shared" si="31"/>
        <v/>
      </c>
      <c r="P299" t="str">
        <f>IF($N299="","",LEFT($Q299,4)&amp;MID($Q299,6,2)&amp;RIGHT($Q299,2)&amp;IF(Sync!$K299="","0000",IF(AND(ISNUMBER(Sync!$K299),Sync!$K299&gt;=0,Sync!$K299&lt;1),RIGHT("00"&amp;HOUR(Sync!$K299),2)&amp;RIGHT("00"&amp;MINUTE(Sync!$K299),2),IFERROR(RIGHT("00"&amp;VALUE(LEFT(Sync!$K299,FIND(":",Sync!$K299)-1)),2)&amp;RIGHT("00"&amp;VALUE(MID(Sync!$K299,FIND(":",Sync!$K299)+1,2)),2),"0000")))&amp;"|"&amp;"2"&amp;RIGHT("00000"&amp;294,5))</f>
        <v/>
      </c>
      <c r="Q299" t="str">
        <f>IF(Sync!$J299="","",IF(ISNUMBER(Sync!$J299),IF(AND(Sync!$J299&gt;=10000101,Sync!$J299&lt;=99991231),INT(Sync!$J299/10000)&amp;"/"&amp;RIGHT("00"&amp;INT(MOD(Sync!$J299,10000)/100),2)&amp;"/"&amp;RIGHT("00"&amp;MOD(Sync!$J299,100),2),"نامعتبر"),IF(LEN(Sync!$J299)=10,Sync!$J299,"نامعتبر")))</f>
        <v/>
      </c>
      <c r="R299" t="str">
        <f t="shared" si="32"/>
        <v/>
      </c>
      <c r="S299" t="str">
        <f t="shared" si="33"/>
        <v/>
      </c>
      <c r="T299" t="str">
        <f>IF($N299="","",IF(Sync!$N299="",0,Sync!$N299))</f>
        <v/>
      </c>
      <c r="U299" t="str">
        <f>IF($N299="","",IF(Sync!$O299="",0,Sync!$O299))</f>
        <v/>
      </c>
      <c r="V299" t="str">
        <f>IF($N299="","",Sync!$L299)</f>
        <v/>
      </c>
      <c r="W299" t="str">
        <f>IF($N299="","",Sync!$P299)</f>
        <v/>
      </c>
      <c r="AA299" t="str">
        <f>IF($A299="","",IF(COUNTIF($A$6:$A299,$A299)=1,1,0))</f>
        <v/>
      </c>
      <c r="AB299">
        <f>SUM($AA$6:$AA299)</f>
        <v>3</v>
      </c>
      <c r="AC299" t="str">
        <f t="shared" si="34"/>
        <v/>
      </c>
    </row>
    <row r="300" spans="1:29" x14ac:dyDescent="0.2">
      <c r="A300" t="str">
        <f>IF(OR(Entry!$B303="",Entry!$E303="",$E300="نامعتبر"),"",Entry!$E303)</f>
        <v/>
      </c>
      <c r="B300" t="str">
        <f>IF($A300="","",LEFT($E300,4)&amp;MID($E300,6,2)&amp;RIGHT($E300,2)&amp;$F300&amp;"|"&amp;"1"&amp;RIGHT("00000"&amp;295,5))</f>
        <v/>
      </c>
      <c r="C300" t="str">
        <f t="shared" si="28"/>
        <v/>
      </c>
      <c r="D300" t="str">
        <f t="shared" si="29"/>
        <v/>
      </c>
      <c r="E300" t="str">
        <f>IF(Entry!$B303="","",IF(ISNUMBER(Entry!$B303),IF(AND(Entry!$B303&gt;=10000101,Entry!$B303&lt;=99991231),INT(Entry!$B303/10000)&amp;"/"&amp;RIGHT("00"&amp;INT(MOD(Entry!$B303,10000)/100),2)&amp;"/"&amp;RIGHT("00"&amp;MOD(Entry!$B303,100),2),"نامعتبر"),IF(LEN(Entry!$B303)=10,Entry!$B303,"نامعتبر")))</f>
        <v/>
      </c>
      <c r="F300" t="str">
        <f>IF(Entry!$B303="","",IF(Entry!$C303="","0000",IF(AND(ISNUMBER(Entry!$C303),Entry!$C303&gt;=0,Entry!$C303&lt;1),RIGHT("00"&amp;HOUR(Entry!$C303),2)&amp;RIGHT("00"&amp;MINUTE(Entry!$C303),2),IFERROR(RIGHT("00"&amp;VALUE(LEFT(Entry!$C303,FIND(":",Entry!$C303)-1)),2)&amp;RIGHT("00"&amp;VALUE(MID(Entry!$C303,FIND(":",Entry!$C303)+1,2)),2),"0000"))))</f>
        <v/>
      </c>
      <c r="G300" t="str">
        <f>IF($A300="","",Entry!$G303)</f>
        <v/>
      </c>
      <c r="H300" t="str">
        <f>IF($A300="","",IF(Entry!$H303="",0,Entry!$H303))</f>
        <v/>
      </c>
      <c r="I300" t="str">
        <f>IF($A300="","",IF(Entry!$I303="",0,Entry!$I303))</f>
        <v/>
      </c>
      <c r="J300" t="str">
        <f t="shared" si="30"/>
        <v/>
      </c>
      <c r="K300" t="str">
        <f>IF($A300="","",Entry!$D303)</f>
        <v/>
      </c>
      <c r="L300" t="str">
        <f>IF($A300="","",Entry!$L303)</f>
        <v/>
      </c>
      <c r="N300" t="str">
        <f>IF(OR(Sync!$M300="",$Q300="",$Q300="نامعتبر"),"",Sync!$M300)</f>
        <v/>
      </c>
      <c r="O300" t="str">
        <f t="shared" si="31"/>
        <v/>
      </c>
      <c r="P300" t="str">
        <f>IF($N300="","",LEFT($Q300,4)&amp;MID($Q300,6,2)&amp;RIGHT($Q300,2)&amp;IF(Sync!$K300="","0000",IF(AND(ISNUMBER(Sync!$K300),Sync!$K300&gt;=0,Sync!$K300&lt;1),RIGHT("00"&amp;HOUR(Sync!$K300),2)&amp;RIGHT("00"&amp;MINUTE(Sync!$K300),2),IFERROR(RIGHT("00"&amp;VALUE(LEFT(Sync!$K300,FIND(":",Sync!$K300)-1)),2)&amp;RIGHT("00"&amp;VALUE(MID(Sync!$K300,FIND(":",Sync!$K300)+1,2)),2),"0000")))&amp;"|"&amp;"2"&amp;RIGHT("00000"&amp;295,5))</f>
        <v/>
      </c>
      <c r="Q300" t="str">
        <f>IF(Sync!$J300="","",IF(ISNUMBER(Sync!$J300),IF(AND(Sync!$J300&gt;=10000101,Sync!$J300&lt;=99991231),INT(Sync!$J300/10000)&amp;"/"&amp;RIGHT("00"&amp;INT(MOD(Sync!$J300,10000)/100),2)&amp;"/"&amp;RIGHT("00"&amp;MOD(Sync!$J300,100),2),"نامعتبر"),IF(LEN(Sync!$J300)=10,Sync!$J300,"نامعتبر")))</f>
        <v/>
      </c>
      <c r="R300" t="str">
        <f t="shared" si="32"/>
        <v/>
      </c>
      <c r="S300" t="str">
        <f t="shared" si="33"/>
        <v/>
      </c>
      <c r="T300" t="str">
        <f>IF($N300="","",IF(Sync!$N300="",0,Sync!$N300))</f>
        <v/>
      </c>
      <c r="U300" t="str">
        <f>IF($N300="","",IF(Sync!$O300="",0,Sync!$O300))</f>
        <v/>
      </c>
      <c r="V300" t="str">
        <f>IF($N300="","",Sync!$L300)</f>
        <v/>
      </c>
      <c r="W300" t="str">
        <f>IF($N300="","",Sync!$P300)</f>
        <v/>
      </c>
      <c r="AA300" t="str">
        <f>IF($A300="","",IF(COUNTIF($A$6:$A300,$A300)=1,1,0))</f>
        <v/>
      </c>
      <c r="AB300">
        <f>SUM($AA$6:$AA300)</f>
        <v>3</v>
      </c>
      <c r="AC300" t="str">
        <f t="shared" si="34"/>
        <v/>
      </c>
    </row>
    <row r="301" spans="1:29" x14ac:dyDescent="0.2">
      <c r="A301" t="str">
        <f>IF(OR(Entry!$B304="",Entry!$E304="",$E301="نامعتبر"),"",Entry!$E304)</f>
        <v/>
      </c>
      <c r="B301" t="str">
        <f>IF($A301="","",LEFT($E301,4)&amp;MID($E301,6,2)&amp;RIGHT($E301,2)&amp;$F301&amp;"|"&amp;"1"&amp;RIGHT("00000"&amp;296,5))</f>
        <v/>
      </c>
      <c r="C301" t="str">
        <f t="shared" si="28"/>
        <v/>
      </c>
      <c r="D301" t="str">
        <f t="shared" si="29"/>
        <v/>
      </c>
      <c r="E301" t="str">
        <f>IF(Entry!$B304="","",IF(ISNUMBER(Entry!$B304),IF(AND(Entry!$B304&gt;=10000101,Entry!$B304&lt;=99991231),INT(Entry!$B304/10000)&amp;"/"&amp;RIGHT("00"&amp;INT(MOD(Entry!$B304,10000)/100),2)&amp;"/"&amp;RIGHT("00"&amp;MOD(Entry!$B304,100),2),"نامعتبر"),IF(LEN(Entry!$B304)=10,Entry!$B304,"نامعتبر")))</f>
        <v/>
      </c>
      <c r="F301" t="str">
        <f>IF(Entry!$B304="","",IF(Entry!$C304="","0000",IF(AND(ISNUMBER(Entry!$C304),Entry!$C304&gt;=0,Entry!$C304&lt;1),RIGHT("00"&amp;HOUR(Entry!$C304),2)&amp;RIGHT("00"&amp;MINUTE(Entry!$C304),2),IFERROR(RIGHT("00"&amp;VALUE(LEFT(Entry!$C304,FIND(":",Entry!$C304)-1)),2)&amp;RIGHT("00"&amp;VALUE(MID(Entry!$C304,FIND(":",Entry!$C304)+1,2)),2),"0000"))))</f>
        <v/>
      </c>
      <c r="G301" t="str">
        <f>IF($A301="","",Entry!$G304)</f>
        <v/>
      </c>
      <c r="H301" t="str">
        <f>IF($A301="","",IF(Entry!$H304="",0,Entry!$H304))</f>
        <v/>
      </c>
      <c r="I301" t="str">
        <f>IF($A301="","",IF(Entry!$I304="",0,Entry!$I304))</f>
        <v/>
      </c>
      <c r="J301" t="str">
        <f t="shared" si="30"/>
        <v/>
      </c>
      <c r="K301" t="str">
        <f>IF($A301="","",Entry!$D304)</f>
        <v/>
      </c>
      <c r="L301" t="str">
        <f>IF($A301="","",Entry!$L304)</f>
        <v/>
      </c>
      <c r="N301" t="str">
        <f>IF(OR(Sync!$M301="",$Q301="",$Q301="نامعتبر"),"",Sync!$M301)</f>
        <v/>
      </c>
      <c r="O301" t="str">
        <f t="shared" si="31"/>
        <v/>
      </c>
      <c r="P301" t="str">
        <f>IF($N301="","",LEFT($Q301,4)&amp;MID($Q301,6,2)&amp;RIGHT($Q301,2)&amp;IF(Sync!$K301="","0000",IF(AND(ISNUMBER(Sync!$K301),Sync!$K301&gt;=0,Sync!$K301&lt;1),RIGHT("00"&amp;HOUR(Sync!$K301),2)&amp;RIGHT("00"&amp;MINUTE(Sync!$K301),2),IFERROR(RIGHT("00"&amp;VALUE(LEFT(Sync!$K301,FIND(":",Sync!$K301)-1)),2)&amp;RIGHT("00"&amp;VALUE(MID(Sync!$K301,FIND(":",Sync!$K301)+1,2)),2),"0000")))&amp;"|"&amp;"2"&amp;RIGHT("00000"&amp;296,5))</f>
        <v/>
      </c>
      <c r="Q301" t="str">
        <f>IF(Sync!$J301="","",IF(ISNUMBER(Sync!$J301),IF(AND(Sync!$J301&gt;=10000101,Sync!$J301&lt;=99991231),INT(Sync!$J301/10000)&amp;"/"&amp;RIGHT("00"&amp;INT(MOD(Sync!$J301,10000)/100),2)&amp;"/"&amp;RIGHT("00"&amp;MOD(Sync!$J301,100),2),"نامعتبر"),IF(LEN(Sync!$J301)=10,Sync!$J301,"نامعتبر")))</f>
        <v/>
      </c>
      <c r="R301" t="str">
        <f t="shared" si="32"/>
        <v/>
      </c>
      <c r="S301" t="str">
        <f t="shared" si="33"/>
        <v/>
      </c>
      <c r="T301" t="str">
        <f>IF($N301="","",IF(Sync!$N301="",0,Sync!$N301))</f>
        <v/>
      </c>
      <c r="U301" t="str">
        <f>IF($N301="","",IF(Sync!$O301="",0,Sync!$O301))</f>
        <v/>
      </c>
      <c r="V301" t="str">
        <f>IF($N301="","",Sync!$L301)</f>
        <v/>
      </c>
      <c r="W301" t="str">
        <f>IF($N301="","",Sync!$P301)</f>
        <v/>
      </c>
      <c r="AA301" t="str">
        <f>IF($A301="","",IF(COUNTIF($A$6:$A301,$A301)=1,1,0))</f>
        <v/>
      </c>
      <c r="AB301">
        <f>SUM($AA$6:$AA301)</f>
        <v>3</v>
      </c>
      <c r="AC301" t="str">
        <f t="shared" si="34"/>
        <v/>
      </c>
    </row>
    <row r="302" spans="1:29" x14ac:dyDescent="0.2">
      <c r="A302" t="str">
        <f>IF(OR(Entry!$B305="",Entry!$E305="",$E302="نامعتبر"),"",Entry!$E305)</f>
        <v/>
      </c>
      <c r="B302" t="str">
        <f>IF($A302="","",LEFT($E302,4)&amp;MID($E302,6,2)&amp;RIGHT($E302,2)&amp;$F302&amp;"|"&amp;"1"&amp;RIGHT("00000"&amp;297,5))</f>
        <v/>
      </c>
      <c r="C302" t="str">
        <f t="shared" si="28"/>
        <v/>
      </c>
      <c r="D302" t="str">
        <f t="shared" si="29"/>
        <v/>
      </c>
      <c r="E302" t="str">
        <f>IF(Entry!$B305="","",IF(ISNUMBER(Entry!$B305),IF(AND(Entry!$B305&gt;=10000101,Entry!$B305&lt;=99991231),INT(Entry!$B305/10000)&amp;"/"&amp;RIGHT("00"&amp;INT(MOD(Entry!$B305,10000)/100),2)&amp;"/"&amp;RIGHT("00"&amp;MOD(Entry!$B305,100),2),"نامعتبر"),IF(LEN(Entry!$B305)=10,Entry!$B305,"نامعتبر")))</f>
        <v/>
      </c>
      <c r="F302" t="str">
        <f>IF(Entry!$B305="","",IF(Entry!$C305="","0000",IF(AND(ISNUMBER(Entry!$C305),Entry!$C305&gt;=0,Entry!$C305&lt;1),RIGHT("00"&amp;HOUR(Entry!$C305),2)&amp;RIGHT("00"&amp;MINUTE(Entry!$C305),2),IFERROR(RIGHT("00"&amp;VALUE(LEFT(Entry!$C305,FIND(":",Entry!$C305)-1)),2)&amp;RIGHT("00"&amp;VALUE(MID(Entry!$C305,FIND(":",Entry!$C305)+1,2)),2),"0000"))))</f>
        <v/>
      </c>
      <c r="G302" t="str">
        <f>IF($A302="","",Entry!$G305)</f>
        <v/>
      </c>
      <c r="H302" t="str">
        <f>IF($A302="","",IF(Entry!$H305="",0,Entry!$H305))</f>
        <v/>
      </c>
      <c r="I302" t="str">
        <f>IF($A302="","",IF(Entry!$I305="",0,Entry!$I305))</f>
        <v/>
      </c>
      <c r="J302" t="str">
        <f t="shared" si="30"/>
        <v/>
      </c>
      <c r="K302" t="str">
        <f>IF($A302="","",Entry!$D305)</f>
        <v/>
      </c>
      <c r="L302" t="str">
        <f>IF($A302="","",Entry!$L305)</f>
        <v/>
      </c>
      <c r="N302" t="str">
        <f>IF(OR(Sync!$M302="",$Q302="",$Q302="نامعتبر"),"",Sync!$M302)</f>
        <v/>
      </c>
      <c r="O302" t="str">
        <f t="shared" si="31"/>
        <v/>
      </c>
      <c r="P302" t="str">
        <f>IF($N302="","",LEFT($Q302,4)&amp;MID($Q302,6,2)&amp;RIGHT($Q302,2)&amp;IF(Sync!$K302="","0000",IF(AND(ISNUMBER(Sync!$K302),Sync!$K302&gt;=0,Sync!$K302&lt;1),RIGHT("00"&amp;HOUR(Sync!$K302),2)&amp;RIGHT("00"&amp;MINUTE(Sync!$K302),2),IFERROR(RIGHT("00"&amp;VALUE(LEFT(Sync!$K302,FIND(":",Sync!$K302)-1)),2)&amp;RIGHT("00"&amp;VALUE(MID(Sync!$K302,FIND(":",Sync!$K302)+1,2)),2),"0000")))&amp;"|"&amp;"2"&amp;RIGHT("00000"&amp;297,5))</f>
        <v/>
      </c>
      <c r="Q302" t="str">
        <f>IF(Sync!$J302="","",IF(ISNUMBER(Sync!$J302),IF(AND(Sync!$J302&gt;=10000101,Sync!$J302&lt;=99991231),INT(Sync!$J302/10000)&amp;"/"&amp;RIGHT("00"&amp;INT(MOD(Sync!$J302,10000)/100),2)&amp;"/"&amp;RIGHT("00"&amp;MOD(Sync!$J302,100),2),"نامعتبر"),IF(LEN(Sync!$J302)=10,Sync!$J302,"نامعتبر")))</f>
        <v/>
      </c>
      <c r="R302" t="str">
        <f t="shared" si="32"/>
        <v/>
      </c>
      <c r="S302" t="str">
        <f t="shared" si="33"/>
        <v/>
      </c>
      <c r="T302" t="str">
        <f>IF($N302="","",IF(Sync!$N302="",0,Sync!$N302))</f>
        <v/>
      </c>
      <c r="U302" t="str">
        <f>IF($N302="","",IF(Sync!$O302="",0,Sync!$O302))</f>
        <v/>
      </c>
      <c r="V302" t="str">
        <f>IF($N302="","",Sync!$L302)</f>
        <v/>
      </c>
      <c r="W302" t="str">
        <f>IF($N302="","",Sync!$P302)</f>
        <v/>
      </c>
      <c r="AA302" t="str">
        <f>IF($A302="","",IF(COUNTIF($A$6:$A302,$A302)=1,1,0))</f>
        <v/>
      </c>
      <c r="AB302">
        <f>SUM($AA$6:$AA302)</f>
        <v>3</v>
      </c>
      <c r="AC302" t="str">
        <f t="shared" si="34"/>
        <v/>
      </c>
    </row>
    <row r="303" spans="1:29" x14ac:dyDescent="0.2">
      <c r="A303" t="str">
        <f>IF(OR(Entry!$B306="",Entry!$E306="",$E303="نامعتبر"),"",Entry!$E306)</f>
        <v/>
      </c>
      <c r="B303" t="str">
        <f>IF($A303="","",LEFT($E303,4)&amp;MID($E303,6,2)&amp;RIGHT($E303,2)&amp;$F303&amp;"|"&amp;"1"&amp;RIGHT("00000"&amp;298,5))</f>
        <v/>
      </c>
      <c r="C303" t="str">
        <f t="shared" si="28"/>
        <v/>
      </c>
      <c r="D303" t="str">
        <f t="shared" si="29"/>
        <v/>
      </c>
      <c r="E303" t="str">
        <f>IF(Entry!$B306="","",IF(ISNUMBER(Entry!$B306),IF(AND(Entry!$B306&gt;=10000101,Entry!$B306&lt;=99991231),INT(Entry!$B306/10000)&amp;"/"&amp;RIGHT("00"&amp;INT(MOD(Entry!$B306,10000)/100),2)&amp;"/"&amp;RIGHT("00"&amp;MOD(Entry!$B306,100),2),"نامعتبر"),IF(LEN(Entry!$B306)=10,Entry!$B306,"نامعتبر")))</f>
        <v/>
      </c>
      <c r="F303" t="str">
        <f>IF(Entry!$B306="","",IF(Entry!$C306="","0000",IF(AND(ISNUMBER(Entry!$C306),Entry!$C306&gt;=0,Entry!$C306&lt;1),RIGHT("00"&amp;HOUR(Entry!$C306),2)&amp;RIGHT("00"&amp;MINUTE(Entry!$C306),2),IFERROR(RIGHT("00"&amp;VALUE(LEFT(Entry!$C306,FIND(":",Entry!$C306)-1)),2)&amp;RIGHT("00"&amp;VALUE(MID(Entry!$C306,FIND(":",Entry!$C306)+1,2)),2),"0000"))))</f>
        <v/>
      </c>
      <c r="G303" t="str">
        <f>IF($A303="","",Entry!$G306)</f>
        <v/>
      </c>
      <c r="H303" t="str">
        <f>IF($A303="","",IF(Entry!$H306="",0,Entry!$H306))</f>
        <v/>
      </c>
      <c r="I303" t="str">
        <f>IF($A303="","",IF(Entry!$I306="",0,Entry!$I306))</f>
        <v/>
      </c>
      <c r="J303" t="str">
        <f t="shared" si="30"/>
        <v/>
      </c>
      <c r="K303" t="str">
        <f>IF($A303="","",Entry!$D306)</f>
        <v/>
      </c>
      <c r="L303" t="str">
        <f>IF($A303="","",Entry!$L306)</f>
        <v/>
      </c>
      <c r="N303" t="str">
        <f>IF(OR(Sync!$M303="",$Q303="",$Q303="نامعتبر"),"",Sync!$M303)</f>
        <v/>
      </c>
      <c r="O303" t="str">
        <f t="shared" si="31"/>
        <v/>
      </c>
      <c r="P303" t="str">
        <f>IF($N303="","",LEFT($Q303,4)&amp;MID($Q303,6,2)&amp;RIGHT($Q303,2)&amp;IF(Sync!$K303="","0000",IF(AND(ISNUMBER(Sync!$K303),Sync!$K303&gt;=0,Sync!$K303&lt;1),RIGHT("00"&amp;HOUR(Sync!$K303),2)&amp;RIGHT("00"&amp;MINUTE(Sync!$K303),2),IFERROR(RIGHT("00"&amp;VALUE(LEFT(Sync!$K303,FIND(":",Sync!$K303)-1)),2)&amp;RIGHT("00"&amp;VALUE(MID(Sync!$K303,FIND(":",Sync!$K303)+1,2)),2),"0000")))&amp;"|"&amp;"2"&amp;RIGHT("00000"&amp;298,5))</f>
        <v/>
      </c>
      <c r="Q303" t="str">
        <f>IF(Sync!$J303="","",IF(ISNUMBER(Sync!$J303),IF(AND(Sync!$J303&gt;=10000101,Sync!$J303&lt;=99991231),INT(Sync!$J303/10000)&amp;"/"&amp;RIGHT("00"&amp;INT(MOD(Sync!$J303,10000)/100),2)&amp;"/"&amp;RIGHT("00"&amp;MOD(Sync!$J303,100),2),"نامعتبر"),IF(LEN(Sync!$J303)=10,Sync!$J303,"نامعتبر")))</f>
        <v/>
      </c>
      <c r="R303" t="str">
        <f t="shared" si="32"/>
        <v/>
      </c>
      <c r="S303" t="str">
        <f t="shared" si="33"/>
        <v/>
      </c>
      <c r="T303" t="str">
        <f>IF($N303="","",IF(Sync!$N303="",0,Sync!$N303))</f>
        <v/>
      </c>
      <c r="U303" t="str">
        <f>IF($N303="","",IF(Sync!$O303="",0,Sync!$O303))</f>
        <v/>
      </c>
      <c r="V303" t="str">
        <f>IF($N303="","",Sync!$L303)</f>
        <v/>
      </c>
      <c r="W303" t="str">
        <f>IF($N303="","",Sync!$P303)</f>
        <v/>
      </c>
      <c r="AA303" t="str">
        <f>IF($A303="","",IF(COUNTIF($A$6:$A303,$A303)=1,1,0))</f>
        <v/>
      </c>
      <c r="AB303">
        <f>SUM($AA$6:$AA303)</f>
        <v>3</v>
      </c>
      <c r="AC303" t="str">
        <f t="shared" si="34"/>
        <v/>
      </c>
    </row>
    <row r="304" spans="1:29" x14ac:dyDescent="0.2">
      <c r="A304" t="str">
        <f>IF(OR(Entry!$B307="",Entry!$E307="",$E304="نامعتبر"),"",Entry!$E307)</f>
        <v/>
      </c>
      <c r="B304" t="str">
        <f>IF($A304="","",LEFT($E304,4)&amp;MID($E304,6,2)&amp;RIGHT($E304,2)&amp;$F304&amp;"|"&amp;"1"&amp;RIGHT("00000"&amp;299,5))</f>
        <v/>
      </c>
      <c r="C304" t="str">
        <f t="shared" si="28"/>
        <v/>
      </c>
      <c r="D304" t="str">
        <f t="shared" si="29"/>
        <v/>
      </c>
      <c r="E304" t="str">
        <f>IF(Entry!$B307="","",IF(ISNUMBER(Entry!$B307),IF(AND(Entry!$B307&gt;=10000101,Entry!$B307&lt;=99991231),INT(Entry!$B307/10000)&amp;"/"&amp;RIGHT("00"&amp;INT(MOD(Entry!$B307,10000)/100),2)&amp;"/"&amp;RIGHT("00"&amp;MOD(Entry!$B307,100),2),"نامعتبر"),IF(LEN(Entry!$B307)=10,Entry!$B307,"نامعتبر")))</f>
        <v/>
      </c>
      <c r="F304" t="str">
        <f>IF(Entry!$B307="","",IF(Entry!$C307="","0000",IF(AND(ISNUMBER(Entry!$C307),Entry!$C307&gt;=0,Entry!$C307&lt;1),RIGHT("00"&amp;HOUR(Entry!$C307),2)&amp;RIGHT("00"&amp;MINUTE(Entry!$C307),2),IFERROR(RIGHT("00"&amp;VALUE(LEFT(Entry!$C307,FIND(":",Entry!$C307)-1)),2)&amp;RIGHT("00"&amp;VALUE(MID(Entry!$C307,FIND(":",Entry!$C307)+1,2)),2),"0000"))))</f>
        <v/>
      </c>
      <c r="G304" t="str">
        <f>IF($A304="","",Entry!$G307)</f>
        <v/>
      </c>
      <c r="H304" t="str">
        <f>IF($A304="","",IF(Entry!$H307="",0,Entry!$H307))</f>
        <v/>
      </c>
      <c r="I304" t="str">
        <f>IF($A304="","",IF(Entry!$I307="",0,Entry!$I307))</f>
        <v/>
      </c>
      <c r="J304" t="str">
        <f t="shared" si="30"/>
        <v/>
      </c>
      <c r="K304" t="str">
        <f>IF($A304="","",Entry!$D307)</f>
        <v/>
      </c>
      <c r="L304" t="str">
        <f>IF($A304="","",Entry!$L307)</f>
        <v/>
      </c>
      <c r="N304" t="str">
        <f>IF(OR(Sync!$M304="",$Q304="",$Q304="نامعتبر"),"",Sync!$M304)</f>
        <v/>
      </c>
      <c r="O304" t="str">
        <f t="shared" si="31"/>
        <v/>
      </c>
      <c r="P304" t="str">
        <f>IF($N304="","",LEFT($Q304,4)&amp;MID($Q304,6,2)&amp;RIGHT($Q304,2)&amp;IF(Sync!$K304="","0000",IF(AND(ISNUMBER(Sync!$K304),Sync!$K304&gt;=0,Sync!$K304&lt;1),RIGHT("00"&amp;HOUR(Sync!$K304),2)&amp;RIGHT("00"&amp;MINUTE(Sync!$K304),2),IFERROR(RIGHT("00"&amp;VALUE(LEFT(Sync!$K304,FIND(":",Sync!$K304)-1)),2)&amp;RIGHT("00"&amp;VALUE(MID(Sync!$K304,FIND(":",Sync!$K304)+1,2)),2),"0000")))&amp;"|"&amp;"2"&amp;RIGHT("00000"&amp;299,5))</f>
        <v/>
      </c>
      <c r="Q304" t="str">
        <f>IF(Sync!$J304="","",IF(ISNUMBER(Sync!$J304),IF(AND(Sync!$J304&gt;=10000101,Sync!$J304&lt;=99991231),INT(Sync!$J304/10000)&amp;"/"&amp;RIGHT("00"&amp;INT(MOD(Sync!$J304,10000)/100),2)&amp;"/"&amp;RIGHT("00"&amp;MOD(Sync!$J304,100),2),"نامعتبر"),IF(LEN(Sync!$J304)=10,Sync!$J304,"نامعتبر")))</f>
        <v/>
      </c>
      <c r="R304" t="str">
        <f t="shared" si="32"/>
        <v/>
      </c>
      <c r="S304" t="str">
        <f t="shared" si="33"/>
        <v/>
      </c>
      <c r="T304" t="str">
        <f>IF($N304="","",IF(Sync!$N304="",0,Sync!$N304))</f>
        <v/>
      </c>
      <c r="U304" t="str">
        <f>IF($N304="","",IF(Sync!$O304="",0,Sync!$O304))</f>
        <v/>
      </c>
      <c r="V304" t="str">
        <f>IF($N304="","",Sync!$L304)</f>
        <v/>
      </c>
      <c r="W304" t="str">
        <f>IF($N304="","",Sync!$P304)</f>
        <v/>
      </c>
      <c r="AA304" t="str">
        <f>IF($A304="","",IF(COUNTIF($A$6:$A304,$A304)=1,1,0))</f>
        <v/>
      </c>
      <c r="AB304">
        <f>SUM($AA$6:$AA304)</f>
        <v>3</v>
      </c>
      <c r="AC304" t="str">
        <f t="shared" si="34"/>
        <v/>
      </c>
    </row>
    <row r="305" spans="1:29" x14ac:dyDescent="0.2">
      <c r="A305" t="str">
        <f>IF(OR(Entry!$B308="",Entry!$E308="",$E305="نامعتبر"),"",Entry!$E308)</f>
        <v/>
      </c>
      <c r="B305" t="str">
        <f>IF($A305="","",LEFT($E305,4)&amp;MID($E305,6,2)&amp;RIGHT($E305,2)&amp;$F305&amp;"|"&amp;"1"&amp;RIGHT("00000"&amp;300,5))</f>
        <v/>
      </c>
      <c r="C305" t="str">
        <f t="shared" si="28"/>
        <v/>
      </c>
      <c r="D305" t="str">
        <f t="shared" si="29"/>
        <v/>
      </c>
      <c r="E305" t="str">
        <f>IF(Entry!$B308="","",IF(ISNUMBER(Entry!$B308),IF(AND(Entry!$B308&gt;=10000101,Entry!$B308&lt;=99991231),INT(Entry!$B308/10000)&amp;"/"&amp;RIGHT("00"&amp;INT(MOD(Entry!$B308,10000)/100),2)&amp;"/"&amp;RIGHT("00"&amp;MOD(Entry!$B308,100),2),"نامعتبر"),IF(LEN(Entry!$B308)=10,Entry!$B308,"نامعتبر")))</f>
        <v/>
      </c>
      <c r="F305" t="str">
        <f>IF(Entry!$B308="","",IF(Entry!$C308="","0000",IF(AND(ISNUMBER(Entry!$C308),Entry!$C308&gt;=0,Entry!$C308&lt;1),RIGHT("00"&amp;HOUR(Entry!$C308),2)&amp;RIGHT("00"&amp;MINUTE(Entry!$C308),2),IFERROR(RIGHT("00"&amp;VALUE(LEFT(Entry!$C308,FIND(":",Entry!$C308)-1)),2)&amp;RIGHT("00"&amp;VALUE(MID(Entry!$C308,FIND(":",Entry!$C308)+1,2)),2),"0000"))))</f>
        <v/>
      </c>
      <c r="G305" t="str">
        <f>IF($A305="","",Entry!$G308)</f>
        <v/>
      </c>
      <c r="H305" t="str">
        <f>IF($A305="","",IF(Entry!$H308="",0,Entry!$H308))</f>
        <v/>
      </c>
      <c r="I305" t="str">
        <f>IF($A305="","",IF(Entry!$I308="",0,Entry!$I308))</f>
        <v/>
      </c>
      <c r="J305" t="str">
        <f t="shared" si="30"/>
        <v/>
      </c>
      <c r="K305" t="str">
        <f>IF($A305="","",Entry!$D308)</f>
        <v/>
      </c>
      <c r="L305" t="str">
        <f>IF($A305="","",Entry!$L308)</f>
        <v/>
      </c>
      <c r="N305" t="str">
        <f>IF(OR(Sync!$M305="",$Q305="",$Q305="نامعتبر"),"",Sync!$M305)</f>
        <v/>
      </c>
      <c r="O305" t="str">
        <f t="shared" si="31"/>
        <v/>
      </c>
      <c r="P305" t="str">
        <f>IF($N305="","",LEFT($Q305,4)&amp;MID($Q305,6,2)&amp;RIGHT($Q305,2)&amp;IF(Sync!$K305="","0000",IF(AND(ISNUMBER(Sync!$K305),Sync!$K305&gt;=0,Sync!$K305&lt;1),RIGHT("00"&amp;HOUR(Sync!$K305),2)&amp;RIGHT("00"&amp;MINUTE(Sync!$K305),2),IFERROR(RIGHT("00"&amp;VALUE(LEFT(Sync!$K305,FIND(":",Sync!$K305)-1)),2)&amp;RIGHT("00"&amp;VALUE(MID(Sync!$K305,FIND(":",Sync!$K305)+1,2)),2),"0000")))&amp;"|"&amp;"2"&amp;RIGHT("00000"&amp;300,5))</f>
        <v/>
      </c>
      <c r="Q305" t="str">
        <f>IF(Sync!$J305="","",IF(ISNUMBER(Sync!$J305),IF(AND(Sync!$J305&gt;=10000101,Sync!$J305&lt;=99991231),INT(Sync!$J305/10000)&amp;"/"&amp;RIGHT("00"&amp;INT(MOD(Sync!$J305,10000)/100),2)&amp;"/"&amp;RIGHT("00"&amp;MOD(Sync!$J305,100),2),"نامعتبر"),IF(LEN(Sync!$J305)=10,Sync!$J305,"نامعتبر")))</f>
        <v/>
      </c>
      <c r="R305" t="str">
        <f t="shared" si="32"/>
        <v/>
      </c>
      <c r="S305" t="str">
        <f t="shared" si="33"/>
        <v/>
      </c>
      <c r="T305" t="str">
        <f>IF($N305="","",IF(Sync!$N305="",0,Sync!$N305))</f>
        <v/>
      </c>
      <c r="U305" t="str">
        <f>IF($N305="","",IF(Sync!$O305="",0,Sync!$O305))</f>
        <v/>
      </c>
      <c r="V305" t="str">
        <f>IF($N305="","",Sync!$L305)</f>
        <v/>
      </c>
      <c r="W305" t="str">
        <f>IF($N305="","",Sync!$P305)</f>
        <v/>
      </c>
      <c r="AA305" t="str">
        <f>IF($A305="","",IF(COUNTIF($A$6:$A305,$A305)=1,1,0))</f>
        <v/>
      </c>
      <c r="AB305">
        <f>SUM($AA$6:$AA305)</f>
        <v>3</v>
      </c>
      <c r="AC305" t="str">
        <f t="shared" si="34"/>
        <v/>
      </c>
    </row>
    <row r="306" spans="1:29" x14ac:dyDescent="0.2">
      <c r="A306" t="str">
        <f>IF(OR(Entry!$B309="",Entry!$E309="",$E306="نامعتبر"),"",Entry!$E309)</f>
        <v/>
      </c>
      <c r="B306" t="str">
        <f>IF($A306="","",LEFT($E306,4)&amp;MID($E306,6,2)&amp;RIGHT($E306,2)&amp;$F306&amp;"|"&amp;"1"&amp;RIGHT("00000"&amp;301,5))</f>
        <v/>
      </c>
      <c r="C306" t="str">
        <f t="shared" si="28"/>
        <v/>
      </c>
      <c r="D306" t="str">
        <f t="shared" si="29"/>
        <v/>
      </c>
      <c r="E306" t="str">
        <f>IF(Entry!$B309="","",IF(ISNUMBER(Entry!$B309),IF(AND(Entry!$B309&gt;=10000101,Entry!$B309&lt;=99991231),INT(Entry!$B309/10000)&amp;"/"&amp;RIGHT("00"&amp;INT(MOD(Entry!$B309,10000)/100),2)&amp;"/"&amp;RIGHT("00"&amp;MOD(Entry!$B309,100),2),"نامعتبر"),IF(LEN(Entry!$B309)=10,Entry!$B309,"نامعتبر")))</f>
        <v/>
      </c>
      <c r="F306" t="str">
        <f>IF(Entry!$B309="","",IF(Entry!$C309="","0000",IF(AND(ISNUMBER(Entry!$C309),Entry!$C309&gt;=0,Entry!$C309&lt;1),RIGHT("00"&amp;HOUR(Entry!$C309),2)&amp;RIGHT("00"&amp;MINUTE(Entry!$C309),2),IFERROR(RIGHT("00"&amp;VALUE(LEFT(Entry!$C309,FIND(":",Entry!$C309)-1)),2)&amp;RIGHT("00"&amp;VALUE(MID(Entry!$C309,FIND(":",Entry!$C309)+1,2)),2),"0000"))))</f>
        <v/>
      </c>
      <c r="G306" t="str">
        <f>IF($A306="","",Entry!$G309)</f>
        <v/>
      </c>
      <c r="H306" t="str">
        <f>IF($A306="","",IF(Entry!$H309="",0,Entry!$H309))</f>
        <v/>
      </c>
      <c r="I306" t="str">
        <f>IF($A306="","",IF(Entry!$I309="",0,Entry!$I309))</f>
        <v/>
      </c>
      <c r="J306" t="str">
        <f t="shared" si="30"/>
        <v/>
      </c>
      <c r="K306" t="str">
        <f>IF($A306="","",Entry!$D309)</f>
        <v/>
      </c>
      <c r="L306" t="str">
        <f>IF($A306="","",Entry!$L309)</f>
        <v/>
      </c>
      <c r="N306" t="str">
        <f>IF(OR(Sync!$M306="",$Q306="",$Q306="نامعتبر"),"",Sync!$M306)</f>
        <v/>
      </c>
      <c r="O306" t="str">
        <f t="shared" si="31"/>
        <v/>
      </c>
      <c r="P306" t="str">
        <f>IF($N306="","",LEFT($Q306,4)&amp;MID($Q306,6,2)&amp;RIGHT($Q306,2)&amp;IF(Sync!$K306="","0000",IF(AND(ISNUMBER(Sync!$K306),Sync!$K306&gt;=0,Sync!$K306&lt;1),RIGHT("00"&amp;HOUR(Sync!$K306),2)&amp;RIGHT("00"&amp;MINUTE(Sync!$K306),2),IFERROR(RIGHT("00"&amp;VALUE(LEFT(Sync!$K306,FIND(":",Sync!$K306)-1)),2)&amp;RIGHT("00"&amp;VALUE(MID(Sync!$K306,FIND(":",Sync!$K306)+1,2)),2),"0000")))&amp;"|"&amp;"2"&amp;RIGHT("00000"&amp;301,5))</f>
        <v/>
      </c>
      <c r="Q306" t="str">
        <f>IF(Sync!$J306="","",IF(ISNUMBER(Sync!$J306),IF(AND(Sync!$J306&gt;=10000101,Sync!$J306&lt;=99991231),INT(Sync!$J306/10000)&amp;"/"&amp;RIGHT("00"&amp;INT(MOD(Sync!$J306,10000)/100),2)&amp;"/"&amp;RIGHT("00"&amp;MOD(Sync!$J306,100),2),"نامعتبر"),IF(LEN(Sync!$J306)=10,Sync!$J306,"نامعتبر")))</f>
        <v/>
      </c>
      <c r="R306" t="str">
        <f t="shared" si="32"/>
        <v/>
      </c>
      <c r="S306" t="str">
        <f t="shared" si="33"/>
        <v/>
      </c>
      <c r="T306" t="str">
        <f>IF($N306="","",IF(Sync!$N306="",0,Sync!$N306))</f>
        <v/>
      </c>
      <c r="U306" t="str">
        <f>IF($N306="","",IF(Sync!$O306="",0,Sync!$O306))</f>
        <v/>
      </c>
      <c r="V306" t="str">
        <f>IF($N306="","",Sync!$L306)</f>
        <v/>
      </c>
      <c r="W306" t="str">
        <f>IF($N306="","",Sync!$P306)</f>
        <v/>
      </c>
      <c r="AA306" t="str">
        <f>IF($A306="","",IF(COUNTIF($A$6:$A306,$A306)=1,1,0))</f>
        <v/>
      </c>
      <c r="AB306">
        <f>SUM($AA$6:$AA306)</f>
        <v>3</v>
      </c>
      <c r="AC306" t="str">
        <f t="shared" si="34"/>
        <v/>
      </c>
    </row>
    <row r="307" spans="1:29" x14ac:dyDescent="0.2">
      <c r="A307" t="str">
        <f>IF(OR(Entry!$B310="",Entry!$E310="",$E307="نامعتبر"),"",Entry!$E310)</f>
        <v/>
      </c>
      <c r="B307" t="str">
        <f>IF($A307="","",LEFT($E307,4)&amp;MID($E307,6,2)&amp;RIGHT($E307,2)&amp;$F307&amp;"|"&amp;"1"&amp;RIGHT("00000"&amp;302,5))</f>
        <v/>
      </c>
      <c r="C307" t="str">
        <f t="shared" si="28"/>
        <v/>
      </c>
      <c r="D307" t="str">
        <f t="shared" si="29"/>
        <v/>
      </c>
      <c r="E307" t="str">
        <f>IF(Entry!$B310="","",IF(ISNUMBER(Entry!$B310),IF(AND(Entry!$B310&gt;=10000101,Entry!$B310&lt;=99991231),INT(Entry!$B310/10000)&amp;"/"&amp;RIGHT("00"&amp;INT(MOD(Entry!$B310,10000)/100),2)&amp;"/"&amp;RIGHT("00"&amp;MOD(Entry!$B310,100),2),"نامعتبر"),IF(LEN(Entry!$B310)=10,Entry!$B310,"نامعتبر")))</f>
        <v/>
      </c>
      <c r="F307" t="str">
        <f>IF(Entry!$B310="","",IF(Entry!$C310="","0000",IF(AND(ISNUMBER(Entry!$C310),Entry!$C310&gt;=0,Entry!$C310&lt;1),RIGHT("00"&amp;HOUR(Entry!$C310),2)&amp;RIGHT("00"&amp;MINUTE(Entry!$C310),2),IFERROR(RIGHT("00"&amp;VALUE(LEFT(Entry!$C310,FIND(":",Entry!$C310)-1)),2)&amp;RIGHT("00"&amp;VALUE(MID(Entry!$C310,FIND(":",Entry!$C310)+1,2)),2),"0000"))))</f>
        <v/>
      </c>
      <c r="G307" t="str">
        <f>IF($A307="","",Entry!$G310)</f>
        <v/>
      </c>
      <c r="H307" t="str">
        <f>IF($A307="","",IF(Entry!$H310="",0,Entry!$H310))</f>
        <v/>
      </c>
      <c r="I307" t="str">
        <f>IF($A307="","",IF(Entry!$I310="",0,Entry!$I310))</f>
        <v/>
      </c>
      <c r="J307" t="str">
        <f t="shared" si="30"/>
        <v/>
      </c>
      <c r="K307" t="str">
        <f>IF($A307="","",Entry!$D310)</f>
        <v/>
      </c>
      <c r="L307" t="str">
        <f>IF($A307="","",Entry!$L310)</f>
        <v/>
      </c>
      <c r="N307" t="str">
        <f>IF(OR(Sync!$M307="",$Q307="",$Q307="نامعتبر"),"",Sync!$M307)</f>
        <v/>
      </c>
      <c r="O307" t="str">
        <f t="shared" si="31"/>
        <v/>
      </c>
      <c r="P307" t="str">
        <f>IF($N307="","",LEFT($Q307,4)&amp;MID($Q307,6,2)&amp;RIGHT($Q307,2)&amp;IF(Sync!$K307="","0000",IF(AND(ISNUMBER(Sync!$K307),Sync!$K307&gt;=0,Sync!$K307&lt;1),RIGHT("00"&amp;HOUR(Sync!$K307),2)&amp;RIGHT("00"&amp;MINUTE(Sync!$K307),2),IFERROR(RIGHT("00"&amp;VALUE(LEFT(Sync!$K307,FIND(":",Sync!$K307)-1)),2)&amp;RIGHT("00"&amp;VALUE(MID(Sync!$K307,FIND(":",Sync!$K307)+1,2)),2),"0000")))&amp;"|"&amp;"2"&amp;RIGHT("00000"&amp;302,5))</f>
        <v/>
      </c>
      <c r="Q307" t="str">
        <f>IF(Sync!$J307="","",IF(ISNUMBER(Sync!$J307),IF(AND(Sync!$J307&gt;=10000101,Sync!$J307&lt;=99991231),INT(Sync!$J307/10000)&amp;"/"&amp;RIGHT("00"&amp;INT(MOD(Sync!$J307,10000)/100),2)&amp;"/"&amp;RIGHT("00"&amp;MOD(Sync!$J307,100),2),"نامعتبر"),IF(LEN(Sync!$J307)=10,Sync!$J307,"نامعتبر")))</f>
        <v/>
      </c>
      <c r="R307" t="str">
        <f t="shared" si="32"/>
        <v/>
      </c>
      <c r="S307" t="str">
        <f t="shared" si="33"/>
        <v/>
      </c>
      <c r="T307" t="str">
        <f>IF($N307="","",IF(Sync!$N307="",0,Sync!$N307))</f>
        <v/>
      </c>
      <c r="U307" t="str">
        <f>IF($N307="","",IF(Sync!$O307="",0,Sync!$O307))</f>
        <v/>
      </c>
      <c r="V307" t="str">
        <f>IF($N307="","",Sync!$L307)</f>
        <v/>
      </c>
      <c r="W307" t="str">
        <f>IF($N307="","",Sync!$P307)</f>
        <v/>
      </c>
      <c r="AA307" t="str">
        <f>IF($A307="","",IF(COUNTIF($A$6:$A307,$A307)=1,1,0))</f>
        <v/>
      </c>
      <c r="AB307">
        <f>SUM($AA$6:$AA307)</f>
        <v>3</v>
      </c>
      <c r="AC307" t="str">
        <f t="shared" si="34"/>
        <v/>
      </c>
    </row>
    <row r="308" spans="1:29" x14ac:dyDescent="0.2">
      <c r="A308" t="str">
        <f>IF(OR(Entry!$B311="",Entry!$E311="",$E308="نامعتبر"),"",Entry!$E311)</f>
        <v/>
      </c>
      <c r="B308" t="str">
        <f>IF($A308="","",LEFT($E308,4)&amp;MID($E308,6,2)&amp;RIGHT($E308,2)&amp;$F308&amp;"|"&amp;"1"&amp;RIGHT("00000"&amp;303,5))</f>
        <v/>
      </c>
      <c r="C308" t="str">
        <f t="shared" si="28"/>
        <v/>
      </c>
      <c r="D308" t="str">
        <f t="shared" si="29"/>
        <v/>
      </c>
      <c r="E308" t="str">
        <f>IF(Entry!$B311="","",IF(ISNUMBER(Entry!$B311),IF(AND(Entry!$B311&gt;=10000101,Entry!$B311&lt;=99991231),INT(Entry!$B311/10000)&amp;"/"&amp;RIGHT("00"&amp;INT(MOD(Entry!$B311,10000)/100),2)&amp;"/"&amp;RIGHT("00"&amp;MOD(Entry!$B311,100),2),"نامعتبر"),IF(LEN(Entry!$B311)=10,Entry!$B311,"نامعتبر")))</f>
        <v/>
      </c>
      <c r="F308" t="str">
        <f>IF(Entry!$B311="","",IF(Entry!$C311="","0000",IF(AND(ISNUMBER(Entry!$C311),Entry!$C311&gt;=0,Entry!$C311&lt;1),RIGHT("00"&amp;HOUR(Entry!$C311),2)&amp;RIGHT("00"&amp;MINUTE(Entry!$C311),2),IFERROR(RIGHT("00"&amp;VALUE(LEFT(Entry!$C311,FIND(":",Entry!$C311)-1)),2)&amp;RIGHT("00"&amp;VALUE(MID(Entry!$C311,FIND(":",Entry!$C311)+1,2)),2),"0000"))))</f>
        <v/>
      </c>
      <c r="G308" t="str">
        <f>IF($A308="","",Entry!$G311)</f>
        <v/>
      </c>
      <c r="H308" t="str">
        <f>IF($A308="","",IF(Entry!$H311="",0,Entry!$H311))</f>
        <v/>
      </c>
      <c r="I308" t="str">
        <f>IF($A308="","",IF(Entry!$I311="",0,Entry!$I311))</f>
        <v/>
      </c>
      <c r="J308" t="str">
        <f t="shared" si="30"/>
        <v/>
      </c>
      <c r="K308" t="str">
        <f>IF($A308="","",Entry!$D311)</f>
        <v/>
      </c>
      <c r="L308" t="str">
        <f>IF($A308="","",Entry!$L311)</f>
        <v/>
      </c>
      <c r="N308" t="str">
        <f>IF(OR(Sync!$M308="",$Q308="",$Q308="نامعتبر"),"",Sync!$M308)</f>
        <v/>
      </c>
      <c r="O308" t="str">
        <f t="shared" si="31"/>
        <v/>
      </c>
      <c r="P308" t="str">
        <f>IF($N308="","",LEFT($Q308,4)&amp;MID($Q308,6,2)&amp;RIGHT($Q308,2)&amp;IF(Sync!$K308="","0000",IF(AND(ISNUMBER(Sync!$K308),Sync!$K308&gt;=0,Sync!$K308&lt;1),RIGHT("00"&amp;HOUR(Sync!$K308),2)&amp;RIGHT("00"&amp;MINUTE(Sync!$K308),2),IFERROR(RIGHT("00"&amp;VALUE(LEFT(Sync!$K308,FIND(":",Sync!$K308)-1)),2)&amp;RIGHT("00"&amp;VALUE(MID(Sync!$K308,FIND(":",Sync!$K308)+1,2)),2),"0000")))&amp;"|"&amp;"2"&amp;RIGHT("00000"&amp;303,5))</f>
        <v/>
      </c>
      <c r="Q308" t="str">
        <f>IF(Sync!$J308="","",IF(ISNUMBER(Sync!$J308),IF(AND(Sync!$J308&gt;=10000101,Sync!$J308&lt;=99991231),INT(Sync!$J308/10000)&amp;"/"&amp;RIGHT("00"&amp;INT(MOD(Sync!$J308,10000)/100),2)&amp;"/"&amp;RIGHT("00"&amp;MOD(Sync!$J308,100),2),"نامعتبر"),IF(LEN(Sync!$J308)=10,Sync!$J308,"نامعتبر")))</f>
        <v/>
      </c>
      <c r="R308" t="str">
        <f t="shared" si="32"/>
        <v/>
      </c>
      <c r="S308" t="str">
        <f t="shared" si="33"/>
        <v/>
      </c>
      <c r="T308" t="str">
        <f>IF($N308="","",IF(Sync!$N308="",0,Sync!$N308))</f>
        <v/>
      </c>
      <c r="U308" t="str">
        <f>IF($N308="","",IF(Sync!$O308="",0,Sync!$O308))</f>
        <v/>
      </c>
      <c r="V308" t="str">
        <f>IF($N308="","",Sync!$L308)</f>
        <v/>
      </c>
      <c r="W308" t="str">
        <f>IF($N308="","",Sync!$P308)</f>
        <v/>
      </c>
      <c r="AA308" t="str">
        <f>IF($A308="","",IF(COUNTIF($A$6:$A308,$A308)=1,1,0))</f>
        <v/>
      </c>
      <c r="AB308">
        <f>SUM($AA$6:$AA308)</f>
        <v>3</v>
      </c>
      <c r="AC308" t="str">
        <f t="shared" si="34"/>
        <v/>
      </c>
    </row>
    <row r="309" spans="1:29" x14ac:dyDescent="0.2">
      <c r="A309" t="str">
        <f>IF(OR(Entry!$B312="",Entry!$E312="",$E309="نامعتبر"),"",Entry!$E312)</f>
        <v/>
      </c>
      <c r="B309" t="str">
        <f>IF($A309="","",LEFT($E309,4)&amp;MID($E309,6,2)&amp;RIGHT($E309,2)&amp;$F309&amp;"|"&amp;"1"&amp;RIGHT("00000"&amp;304,5))</f>
        <v/>
      </c>
      <c r="C309" t="str">
        <f t="shared" si="28"/>
        <v/>
      </c>
      <c r="D309" t="str">
        <f t="shared" si="29"/>
        <v/>
      </c>
      <c r="E309" t="str">
        <f>IF(Entry!$B312="","",IF(ISNUMBER(Entry!$B312),IF(AND(Entry!$B312&gt;=10000101,Entry!$B312&lt;=99991231),INT(Entry!$B312/10000)&amp;"/"&amp;RIGHT("00"&amp;INT(MOD(Entry!$B312,10000)/100),2)&amp;"/"&amp;RIGHT("00"&amp;MOD(Entry!$B312,100),2),"نامعتبر"),IF(LEN(Entry!$B312)=10,Entry!$B312,"نامعتبر")))</f>
        <v/>
      </c>
      <c r="F309" t="str">
        <f>IF(Entry!$B312="","",IF(Entry!$C312="","0000",IF(AND(ISNUMBER(Entry!$C312),Entry!$C312&gt;=0,Entry!$C312&lt;1),RIGHT("00"&amp;HOUR(Entry!$C312),2)&amp;RIGHT("00"&amp;MINUTE(Entry!$C312),2),IFERROR(RIGHT("00"&amp;VALUE(LEFT(Entry!$C312,FIND(":",Entry!$C312)-1)),2)&amp;RIGHT("00"&amp;VALUE(MID(Entry!$C312,FIND(":",Entry!$C312)+1,2)),2),"0000"))))</f>
        <v/>
      </c>
      <c r="G309" t="str">
        <f>IF($A309="","",Entry!$G312)</f>
        <v/>
      </c>
      <c r="H309" t="str">
        <f>IF($A309="","",IF(Entry!$H312="",0,Entry!$H312))</f>
        <v/>
      </c>
      <c r="I309" t="str">
        <f>IF($A309="","",IF(Entry!$I312="",0,Entry!$I312))</f>
        <v/>
      </c>
      <c r="J309" t="str">
        <f t="shared" si="30"/>
        <v/>
      </c>
      <c r="K309" t="str">
        <f>IF($A309="","",Entry!$D312)</f>
        <v/>
      </c>
      <c r="L309" t="str">
        <f>IF($A309="","",Entry!$L312)</f>
        <v/>
      </c>
      <c r="N309" t="str">
        <f>IF(OR(Sync!$M309="",$Q309="",$Q309="نامعتبر"),"",Sync!$M309)</f>
        <v/>
      </c>
      <c r="O309" t="str">
        <f t="shared" si="31"/>
        <v/>
      </c>
      <c r="P309" t="str">
        <f>IF($N309="","",LEFT($Q309,4)&amp;MID($Q309,6,2)&amp;RIGHT($Q309,2)&amp;IF(Sync!$K309="","0000",IF(AND(ISNUMBER(Sync!$K309),Sync!$K309&gt;=0,Sync!$K309&lt;1),RIGHT("00"&amp;HOUR(Sync!$K309),2)&amp;RIGHT("00"&amp;MINUTE(Sync!$K309),2),IFERROR(RIGHT("00"&amp;VALUE(LEFT(Sync!$K309,FIND(":",Sync!$K309)-1)),2)&amp;RIGHT("00"&amp;VALUE(MID(Sync!$K309,FIND(":",Sync!$K309)+1,2)),2),"0000")))&amp;"|"&amp;"2"&amp;RIGHT("00000"&amp;304,5))</f>
        <v/>
      </c>
      <c r="Q309" t="str">
        <f>IF(Sync!$J309="","",IF(ISNUMBER(Sync!$J309),IF(AND(Sync!$J309&gt;=10000101,Sync!$J309&lt;=99991231),INT(Sync!$J309/10000)&amp;"/"&amp;RIGHT("00"&amp;INT(MOD(Sync!$J309,10000)/100),2)&amp;"/"&amp;RIGHT("00"&amp;MOD(Sync!$J309,100),2),"نامعتبر"),IF(LEN(Sync!$J309)=10,Sync!$J309,"نامعتبر")))</f>
        <v/>
      </c>
      <c r="R309" t="str">
        <f t="shared" si="32"/>
        <v/>
      </c>
      <c r="S309" t="str">
        <f t="shared" si="33"/>
        <v/>
      </c>
      <c r="T309" t="str">
        <f>IF($N309="","",IF(Sync!$N309="",0,Sync!$N309))</f>
        <v/>
      </c>
      <c r="U309" t="str">
        <f>IF($N309="","",IF(Sync!$O309="",0,Sync!$O309))</f>
        <v/>
      </c>
      <c r="V309" t="str">
        <f>IF($N309="","",Sync!$L309)</f>
        <v/>
      </c>
      <c r="W309" t="str">
        <f>IF($N309="","",Sync!$P309)</f>
        <v/>
      </c>
      <c r="AA309" t="str">
        <f>IF($A309="","",IF(COUNTIF($A$6:$A309,$A309)=1,1,0))</f>
        <v/>
      </c>
      <c r="AB309">
        <f>SUM($AA$6:$AA309)</f>
        <v>3</v>
      </c>
      <c r="AC309" t="str">
        <f t="shared" si="34"/>
        <v/>
      </c>
    </row>
    <row r="310" spans="1:29" x14ac:dyDescent="0.2">
      <c r="A310" t="str">
        <f>IF(OR(Entry!$B313="",Entry!$E313="",$E310="نامعتبر"),"",Entry!$E313)</f>
        <v/>
      </c>
      <c r="B310" t="str">
        <f>IF($A310="","",LEFT($E310,4)&amp;MID($E310,6,2)&amp;RIGHT($E310,2)&amp;$F310&amp;"|"&amp;"1"&amp;RIGHT("00000"&amp;305,5))</f>
        <v/>
      </c>
      <c r="C310" t="str">
        <f t="shared" si="28"/>
        <v/>
      </c>
      <c r="D310" t="str">
        <f t="shared" si="29"/>
        <v/>
      </c>
      <c r="E310" t="str">
        <f>IF(Entry!$B313="","",IF(ISNUMBER(Entry!$B313),IF(AND(Entry!$B313&gt;=10000101,Entry!$B313&lt;=99991231),INT(Entry!$B313/10000)&amp;"/"&amp;RIGHT("00"&amp;INT(MOD(Entry!$B313,10000)/100),2)&amp;"/"&amp;RIGHT("00"&amp;MOD(Entry!$B313,100),2),"نامعتبر"),IF(LEN(Entry!$B313)=10,Entry!$B313,"نامعتبر")))</f>
        <v/>
      </c>
      <c r="F310" t="str">
        <f>IF(Entry!$B313="","",IF(Entry!$C313="","0000",IF(AND(ISNUMBER(Entry!$C313),Entry!$C313&gt;=0,Entry!$C313&lt;1),RIGHT("00"&amp;HOUR(Entry!$C313),2)&amp;RIGHT("00"&amp;MINUTE(Entry!$C313),2),IFERROR(RIGHT("00"&amp;VALUE(LEFT(Entry!$C313,FIND(":",Entry!$C313)-1)),2)&amp;RIGHT("00"&amp;VALUE(MID(Entry!$C313,FIND(":",Entry!$C313)+1,2)),2),"0000"))))</f>
        <v/>
      </c>
      <c r="G310" t="str">
        <f>IF($A310="","",Entry!$G313)</f>
        <v/>
      </c>
      <c r="H310" t="str">
        <f>IF($A310="","",IF(Entry!$H313="",0,Entry!$H313))</f>
        <v/>
      </c>
      <c r="I310" t="str">
        <f>IF($A310="","",IF(Entry!$I313="",0,Entry!$I313))</f>
        <v/>
      </c>
      <c r="J310" t="str">
        <f t="shared" si="30"/>
        <v/>
      </c>
      <c r="K310" t="str">
        <f>IF($A310="","",Entry!$D313)</f>
        <v/>
      </c>
      <c r="L310" t="str">
        <f>IF($A310="","",Entry!$L313)</f>
        <v/>
      </c>
      <c r="N310" t="str">
        <f>IF(OR(Sync!$M310="",$Q310="",$Q310="نامعتبر"),"",Sync!$M310)</f>
        <v/>
      </c>
      <c r="O310" t="str">
        <f t="shared" si="31"/>
        <v/>
      </c>
      <c r="P310" t="str">
        <f>IF($N310="","",LEFT($Q310,4)&amp;MID($Q310,6,2)&amp;RIGHT($Q310,2)&amp;IF(Sync!$K310="","0000",IF(AND(ISNUMBER(Sync!$K310),Sync!$K310&gt;=0,Sync!$K310&lt;1),RIGHT("00"&amp;HOUR(Sync!$K310),2)&amp;RIGHT("00"&amp;MINUTE(Sync!$K310),2),IFERROR(RIGHT("00"&amp;VALUE(LEFT(Sync!$K310,FIND(":",Sync!$K310)-1)),2)&amp;RIGHT("00"&amp;VALUE(MID(Sync!$K310,FIND(":",Sync!$K310)+1,2)),2),"0000")))&amp;"|"&amp;"2"&amp;RIGHT("00000"&amp;305,5))</f>
        <v/>
      </c>
      <c r="Q310" t="str">
        <f>IF(Sync!$J310="","",IF(ISNUMBER(Sync!$J310),IF(AND(Sync!$J310&gt;=10000101,Sync!$J310&lt;=99991231),INT(Sync!$J310/10000)&amp;"/"&amp;RIGHT("00"&amp;INT(MOD(Sync!$J310,10000)/100),2)&amp;"/"&amp;RIGHT("00"&amp;MOD(Sync!$J310,100),2),"نامعتبر"),IF(LEN(Sync!$J310)=10,Sync!$J310,"نامعتبر")))</f>
        <v/>
      </c>
      <c r="R310" t="str">
        <f t="shared" si="32"/>
        <v/>
      </c>
      <c r="S310" t="str">
        <f t="shared" si="33"/>
        <v/>
      </c>
      <c r="T310" t="str">
        <f>IF($N310="","",IF(Sync!$N310="",0,Sync!$N310))</f>
        <v/>
      </c>
      <c r="U310" t="str">
        <f>IF($N310="","",IF(Sync!$O310="",0,Sync!$O310))</f>
        <v/>
      </c>
      <c r="V310" t="str">
        <f>IF($N310="","",Sync!$L310)</f>
        <v/>
      </c>
      <c r="W310" t="str">
        <f>IF($N310="","",Sync!$P310)</f>
        <v/>
      </c>
      <c r="AA310" t="str">
        <f>IF($A310="","",IF(COUNTIF($A$6:$A310,$A310)=1,1,0))</f>
        <v/>
      </c>
      <c r="AB310">
        <f>SUM($AA$6:$AA310)</f>
        <v>3</v>
      </c>
      <c r="AC310" t="str">
        <f t="shared" si="34"/>
        <v/>
      </c>
    </row>
    <row r="311" spans="1:29" x14ac:dyDescent="0.2">
      <c r="A311" t="str">
        <f>IF(OR(Entry!$B314="",Entry!$E314="",$E311="نامعتبر"),"",Entry!$E314)</f>
        <v/>
      </c>
      <c r="B311" t="str">
        <f>IF($A311="","",LEFT($E311,4)&amp;MID($E311,6,2)&amp;RIGHT($E311,2)&amp;$F311&amp;"|"&amp;"1"&amp;RIGHT("00000"&amp;306,5))</f>
        <v/>
      </c>
      <c r="C311" t="str">
        <f t="shared" si="28"/>
        <v/>
      </c>
      <c r="D311" t="str">
        <f t="shared" si="29"/>
        <v/>
      </c>
      <c r="E311" t="str">
        <f>IF(Entry!$B314="","",IF(ISNUMBER(Entry!$B314),IF(AND(Entry!$B314&gt;=10000101,Entry!$B314&lt;=99991231),INT(Entry!$B314/10000)&amp;"/"&amp;RIGHT("00"&amp;INT(MOD(Entry!$B314,10000)/100),2)&amp;"/"&amp;RIGHT("00"&amp;MOD(Entry!$B314,100),2),"نامعتبر"),IF(LEN(Entry!$B314)=10,Entry!$B314,"نامعتبر")))</f>
        <v/>
      </c>
      <c r="F311" t="str">
        <f>IF(Entry!$B314="","",IF(Entry!$C314="","0000",IF(AND(ISNUMBER(Entry!$C314),Entry!$C314&gt;=0,Entry!$C314&lt;1),RIGHT("00"&amp;HOUR(Entry!$C314),2)&amp;RIGHT("00"&amp;MINUTE(Entry!$C314),2),IFERROR(RIGHT("00"&amp;VALUE(LEFT(Entry!$C314,FIND(":",Entry!$C314)-1)),2)&amp;RIGHT("00"&amp;VALUE(MID(Entry!$C314,FIND(":",Entry!$C314)+1,2)),2),"0000"))))</f>
        <v/>
      </c>
      <c r="G311" t="str">
        <f>IF($A311="","",Entry!$G314)</f>
        <v/>
      </c>
      <c r="H311" t="str">
        <f>IF($A311="","",IF(Entry!$H314="",0,Entry!$H314))</f>
        <v/>
      </c>
      <c r="I311" t="str">
        <f>IF($A311="","",IF(Entry!$I314="",0,Entry!$I314))</f>
        <v/>
      </c>
      <c r="J311" t="str">
        <f t="shared" si="30"/>
        <v/>
      </c>
      <c r="K311" t="str">
        <f>IF($A311="","",Entry!$D314)</f>
        <v/>
      </c>
      <c r="L311" t="str">
        <f>IF($A311="","",Entry!$L314)</f>
        <v/>
      </c>
      <c r="N311" t="str">
        <f>IF(OR(Sync!$M311="",$Q311="",$Q311="نامعتبر"),"",Sync!$M311)</f>
        <v/>
      </c>
      <c r="O311" t="str">
        <f t="shared" si="31"/>
        <v/>
      </c>
      <c r="P311" t="str">
        <f>IF($N311="","",LEFT($Q311,4)&amp;MID($Q311,6,2)&amp;RIGHT($Q311,2)&amp;IF(Sync!$K311="","0000",IF(AND(ISNUMBER(Sync!$K311),Sync!$K311&gt;=0,Sync!$K311&lt;1),RIGHT("00"&amp;HOUR(Sync!$K311),2)&amp;RIGHT("00"&amp;MINUTE(Sync!$K311),2),IFERROR(RIGHT("00"&amp;VALUE(LEFT(Sync!$K311,FIND(":",Sync!$K311)-1)),2)&amp;RIGHT("00"&amp;VALUE(MID(Sync!$K311,FIND(":",Sync!$K311)+1,2)),2),"0000")))&amp;"|"&amp;"2"&amp;RIGHT("00000"&amp;306,5))</f>
        <v/>
      </c>
      <c r="Q311" t="str">
        <f>IF(Sync!$J311="","",IF(ISNUMBER(Sync!$J311),IF(AND(Sync!$J311&gt;=10000101,Sync!$J311&lt;=99991231),INT(Sync!$J311/10000)&amp;"/"&amp;RIGHT("00"&amp;INT(MOD(Sync!$J311,10000)/100),2)&amp;"/"&amp;RIGHT("00"&amp;MOD(Sync!$J311,100),2),"نامعتبر"),IF(LEN(Sync!$J311)=10,Sync!$J311,"نامعتبر")))</f>
        <v/>
      </c>
      <c r="R311" t="str">
        <f t="shared" si="32"/>
        <v/>
      </c>
      <c r="S311" t="str">
        <f t="shared" si="33"/>
        <v/>
      </c>
      <c r="T311" t="str">
        <f>IF($N311="","",IF(Sync!$N311="",0,Sync!$N311))</f>
        <v/>
      </c>
      <c r="U311" t="str">
        <f>IF($N311="","",IF(Sync!$O311="",0,Sync!$O311))</f>
        <v/>
      </c>
      <c r="V311" t="str">
        <f>IF($N311="","",Sync!$L311)</f>
        <v/>
      </c>
      <c r="W311" t="str">
        <f>IF($N311="","",Sync!$P311)</f>
        <v/>
      </c>
      <c r="AA311" t="str">
        <f>IF($A311="","",IF(COUNTIF($A$6:$A311,$A311)=1,1,0))</f>
        <v/>
      </c>
      <c r="AB311">
        <f>SUM($AA$6:$AA311)</f>
        <v>3</v>
      </c>
      <c r="AC311" t="str">
        <f t="shared" si="34"/>
        <v/>
      </c>
    </row>
    <row r="312" spans="1:29" x14ac:dyDescent="0.2">
      <c r="A312" t="str">
        <f>IF(OR(Entry!$B315="",Entry!$E315="",$E312="نامعتبر"),"",Entry!$E315)</f>
        <v/>
      </c>
      <c r="B312" t="str">
        <f>IF($A312="","",LEFT($E312,4)&amp;MID($E312,6,2)&amp;RIGHT($E312,2)&amp;$F312&amp;"|"&amp;"1"&amp;RIGHT("00000"&amp;307,5))</f>
        <v/>
      </c>
      <c r="C312" t="str">
        <f t="shared" si="28"/>
        <v/>
      </c>
      <c r="D312" t="str">
        <f t="shared" si="29"/>
        <v/>
      </c>
      <c r="E312" t="str">
        <f>IF(Entry!$B315="","",IF(ISNUMBER(Entry!$B315),IF(AND(Entry!$B315&gt;=10000101,Entry!$B315&lt;=99991231),INT(Entry!$B315/10000)&amp;"/"&amp;RIGHT("00"&amp;INT(MOD(Entry!$B315,10000)/100),2)&amp;"/"&amp;RIGHT("00"&amp;MOD(Entry!$B315,100),2),"نامعتبر"),IF(LEN(Entry!$B315)=10,Entry!$B315,"نامعتبر")))</f>
        <v/>
      </c>
      <c r="F312" t="str">
        <f>IF(Entry!$B315="","",IF(Entry!$C315="","0000",IF(AND(ISNUMBER(Entry!$C315),Entry!$C315&gt;=0,Entry!$C315&lt;1),RIGHT("00"&amp;HOUR(Entry!$C315),2)&amp;RIGHT("00"&amp;MINUTE(Entry!$C315),2),IFERROR(RIGHT("00"&amp;VALUE(LEFT(Entry!$C315,FIND(":",Entry!$C315)-1)),2)&amp;RIGHT("00"&amp;VALUE(MID(Entry!$C315,FIND(":",Entry!$C315)+1,2)),2),"0000"))))</f>
        <v/>
      </c>
      <c r="G312" t="str">
        <f>IF($A312="","",Entry!$G315)</f>
        <v/>
      </c>
      <c r="H312" t="str">
        <f>IF($A312="","",IF(Entry!$H315="",0,Entry!$H315))</f>
        <v/>
      </c>
      <c r="I312" t="str">
        <f>IF($A312="","",IF(Entry!$I315="",0,Entry!$I315))</f>
        <v/>
      </c>
      <c r="J312" t="str">
        <f t="shared" si="30"/>
        <v/>
      </c>
      <c r="K312" t="str">
        <f>IF($A312="","",Entry!$D315)</f>
        <v/>
      </c>
      <c r="L312" t="str">
        <f>IF($A312="","",Entry!$L315)</f>
        <v/>
      </c>
      <c r="N312" t="str">
        <f>IF(OR(Sync!$M312="",$Q312="",$Q312="نامعتبر"),"",Sync!$M312)</f>
        <v/>
      </c>
      <c r="O312" t="str">
        <f t="shared" si="31"/>
        <v/>
      </c>
      <c r="P312" t="str">
        <f>IF($N312="","",LEFT($Q312,4)&amp;MID($Q312,6,2)&amp;RIGHT($Q312,2)&amp;IF(Sync!$K312="","0000",IF(AND(ISNUMBER(Sync!$K312),Sync!$K312&gt;=0,Sync!$K312&lt;1),RIGHT("00"&amp;HOUR(Sync!$K312),2)&amp;RIGHT("00"&amp;MINUTE(Sync!$K312),2),IFERROR(RIGHT("00"&amp;VALUE(LEFT(Sync!$K312,FIND(":",Sync!$K312)-1)),2)&amp;RIGHT("00"&amp;VALUE(MID(Sync!$K312,FIND(":",Sync!$K312)+1,2)),2),"0000")))&amp;"|"&amp;"2"&amp;RIGHT("00000"&amp;307,5))</f>
        <v/>
      </c>
      <c r="Q312" t="str">
        <f>IF(Sync!$J312="","",IF(ISNUMBER(Sync!$J312),IF(AND(Sync!$J312&gt;=10000101,Sync!$J312&lt;=99991231),INT(Sync!$J312/10000)&amp;"/"&amp;RIGHT("00"&amp;INT(MOD(Sync!$J312,10000)/100),2)&amp;"/"&amp;RIGHT("00"&amp;MOD(Sync!$J312,100),2),"نامعتبر"),IF(LEN(Sync!$J312)=10,Sync!$J312,"نامعتبر")))</f>
        <v/>
      </c>
      <c r="R312" t="str">
        <f t="shared" si="32"/>
        <v/>
      </c>
      <c r="S312" t="str">
        <f t="shared" si="33"/>
        <v/>
      </c>
      <c r="T312" t="str">
        <f>IF($N312="","",IF(Sync!$N312="",0,Sync!$N312))</f>
        <v/>
      </c>
      <c r="U312" t="str">
        <f>IF($N312="","",IF(Sync!$O312="",0,Sync!$O312))</f>
        <v/>
      </c>
      <c r="V312" t="str">
        <f>IF($N312="","",Sync!$L312)</f>
        <v/>
      </c>
      <c r="W312" t="str">
        <f>IF($N312="","",Sync!$P312)</f>
        <v/>
      </c>
      <c r="AA312" t="str">
        <f>IF($A312="","",IF(COUNTIF($A$6:$A312,$A312)=1,1,0))</f>
        <v/>
      </c>
      <c r="AB312">
        <f>SUM($AA$6:$AA312)</f>
        <v>3</v>
      </c>
      <c r="AC312" t="str">
        <f t="shared" si="34"/>
        <v/>
      </c>
    </row>
    <row r="313" spans="1:29" x14ac:dyDescent="0.2">
      <c r="A313" t="str">
        <f>IF(OR(Entry!$B316="",Entry!$E316="",$E313="نامعتبر"),"",Entry!$E316)</f>
        <v/>
      </c>
      <c r="B313" t="str">
        <f>IF($A313="","",LEFT($E313,4)&amp;MID($E313,6,2)&amp;RIGHT($E313,2)&amp;$F313&amp;"|"&amp;"1"&amp;RIGHT("00000"&amp;308,5))</f>
        <v/>
      </c>
      <c r="C313" t="str">
        <f t="shared" si="28"/>
        <v/>
      </c>
      <c r="D313" t="str">
        <f t="shared" si="29"/>
        <v/>
      </c>
      <c r="E313" t="str">
        <f>IF(Entry!$B316="","",IF(ISNUMBER(Entry!$B316),IF(AND(Entry!$B316&gt;=10000101,Entry!$B316&lt;=99991231),INT(Entry!$B316/10000)&amp;"/"&amp;RIGHT("00"&amp;INT(MOD(Entry!$B316,10000)/100),2)&amp;"/"&amp;RIGHT("00"&amp;MOD(Entry!$B316,100),2),"نامعتبر"),IF(LEN(Entry!$B316)=10,Entry!$B316,"نامعتبر")))</f>
        <v/>
      </c>
      <c r="F313" t="str">
        <f>IF(Entry!$B316="","",IF(Entry!$C316="","0000",IF(AND(ISNUMBER(Entry!$C316),Entry!$C316&gt;=0,Entry!$C316&lt;1),RIGHT("00"&amp;HOUR(Entry!$C316),2)&amp;RIGHT("00"&amp;MINUTE(Entry!$C316),2),IFERROR(RIGHT("00"&amp;VALUE(LEFT(Entry!$C316,FIND(":",Entry!$C316)-1)),2)&amp;RIGHT("00"&amp;VALUE(MID(Entry!$C316,FIND(":",Entry!$C316)+1,2)),2),"0000"))))</f>
        <v/>
      </c>
      <c r="G313" t="str">
        <f>IF($A313="","",Entry!$G316)</f>
        <v/>
      </c>
      <c r="H313" t="str">
        <f>IF($A313="","",IF(Entry!$H316="",0,Entry!$H316))</f>
        <v/>
      </c>
      <c r="I313" t="str">
        <f>IF($A313="","",IF(Entry!$I316="",0,Entry!$I316))</f>
        <v/>
      </c>
      <c r="J313" t="str">
        <f t="shared" si="30"/>
        <v/>
      </c>
      <c r="K313" t="str">
        <f>IF($A313="","",Entry!$D316)</f>
        <v/>
      </c>
      <c r="L313" t="str">
        <f>IF($A313="","",Entry!$L316)</f>
        <v/>
      </c>
      <c r="N313" t="str">
        <f>IF(OR(Sync!$M313="",$Q313="",$Q313="نامعتبر"),"",Sync!$M313)</f>
        <v/>
      </c>
      <c r="O313" t="str">
        <f t="shared" si="31"/>
        <v/>
      </c>
      <c r="P313" t="str">
        <f>IF($N313="","",LEFT($Q313,4)&amp;MID($Q313,6,2)&amp;RIGHT($Q313,2)&amp;IF(Sync!$K313="","0000",IF(AND(ISNUMBER(Sync!$K313),Sync!$K313&gt;=0,Sync!$K313&lt;1),RIGHT("00"&amp;HOUR(Sync!$K313),2)&amp;RIGHT("00"&amp;MINUTE(Sync!$K313),2),IFERROR(RIGHT("00"&amp;VALUE(LEFT(Sync!$K313,FIND(":",Sync!$K313)-1)),2)&amp;RIGHT("00"&amp;VALUE(MID(Sync!$K313,FIND(":",Sync!$K313)+1,2)),2),"0000")))&amp;"|"&amp;"2"&amp;RIGHT("00000"&amp;308,5))</f>
        <v/>
      </c>
      <c r="Q313" t="str">
        <f>IF(Sync!$J313="","",IF(ISNUMBER(Sync!$J313),IF(AND(Sync!$J313&gt;=10000101,Sync!$J313&lt;=99991231),INT(Sync!$J313/10000)&amp;"/"&amp;RIGHT("00"&amp;INT(MOD(Sync!$J313,10000)/100),2)&amp;"/"&amp;RIGHT("00"&amp;MOD(Sync!$J313,100),2),"نامعتبر"),IF(LEN(Sync!$J313)=10,Sync!$J313,"نامعتبر")))</f>
        <v/>
      </c>
      <c r="R313" t="str">
        <f t="shared" si="32"/>
        <v/>
      </c>
      <c r="S313" t="str">
        <f t="shared" si="33"/>
        <v/>
      </c>
      <c r="T313" t="str">
        <f>IF($N313="","",IF(Sync!$N313="",0,Sync!$N313))</f>
        <v/>
      </c>
      <c r="U313" t="str">
        <f>IF($N313="","",IF(Sync!$O313="",0,Sync!$O313))</f>
        <v/>
      </c>
      <c r="V313" t="str">
        <f>IF($N313="","",Sync!$L313)</f>
        <v/>
      </c>
      <c r="W313" t="str">
        <f>IF($N313="","",Sync!$P313)</f>
        <v/>
      </c>
      <c r="AA313" t="str">
        <f>IF($A313="","",IF(COUNTIF($A$6:$A313,$A313)=1,1,0))</f>
        <v/>
      </c>
      <c r="AB313">
        <f>SUM($AA$6:$AA313)</f>
        <v>3</v>
      </c>
      <c r="AC313" t="str">
        <f t="shared" si="34"/>
        <v/>
      </c>
    </row>
    <row r="314" spans="1:29" x14ac:dyDescent="0.2">
      <c r="A314" t="str">
        <f>IF(OR(Entry!$B317="",Entry!$E317="",$E314="نامعتبر"),"",Entry!$E317)</f>
        <v/>
      </c>
      <c r="B314" t="str">
        <f>IF($A314="","",LEFT($E314,4)&amp;MID($E314,6,2)&amp;RIGHT($E314,2)&amp;$F314&amp;"|"&amp;"1"&amp;RIGHT("00000"&amp;309,5))</f>
        <v/>
      </c>
      <c r="C314" t="str">
        <f t="shared" si="28"/>
        <v/>
      </c>
      <c r="D314" t="str">
        <f t="shared" si="29"/>
        <v/>
      </c>
      <c r="E314" t="str">
        <f>IF(Entry!$B317="","",IF(ISNUMBER(Entry!$B317),IF(AND(Entry!$B317&gt;=10000101,Entry!$B317&lt;=99991231),INT(Entry!$B317/10000)&amp;"/"&amp;RIGHT("00"&amp;INT(MOD(Entry!$B317,10000)/100),2)&amp;"/"&amp;RIGHT("00"&amp;MOD(Entry!$B317,100),2),"نامعتبر"),IF(LEN(Entry!$B317)=10,Entry!$B317,"نامعتبر")))</f>
        <v/>
      </c>
      <c r="F314" t="str">
        <f>IF(Entry!$B317="","",IF(Entry!$C317="","0000",IF(AND(ISNUMBER(Entry!$C317),Entry!$C317&gt;=0,Entry!$C317&lt;1),RIGHT("00"&amp;HOUR(Entry!$C317),2)&amp;RIGHT("00"&amp;MINUTE(Entry!$C317),2),IFERROR(RIGHT("00"&amp;VALUE(LEFT(Entry!$C317,FIND(":",Entry!$C317)-1)),2)&amp;RIGHT("00"&amp;VALUE(MID(Entry!$C317,FIND(":",Entry!$C317)+1,2)),2),"0000"))))</f>
        <v/>
      </c>
      <c r="G314" t="str">
        <f>IF($A314="","",Entry!$G317)</f>
        <v/>
      </c>
      <c r="H314" t="str">
        <f>IF($A314="","",IF(Entry!$H317="",0,Entry!$H317))</f>
        <v/>
      </c>
      <c r="I314" t="str">
        <f>IF($A314="","",IF(Entry!$I317="",0,Entry!$I317))</f>
        <v/>
      </c>
      <c r="J314" t="str">
        <f t="shared" si="30"/>
        <v/>
      </c>
      <c r="K314" t="str">
        <f>IF($A314="","",Entry!$D317)</f>
        <v/>
      </c>
      <c r="L314" t="str">
        <f>IF($A314="","",Entry!$L317)</f>
        <v/>
      </c>
      <c r="N314" t="str">
        <f>IF(OR(Sync!$M314="",$Q314="",$Q314="نامعتبر"),"",Sync!$M314)</f>
        <v/>
      </c>
      <c r="O314" t="str">
        <f t="shared" si="31"/>
        <v/>
      </c>
      <c r="P314" t="str">
        <f>IF($N314="","",LEFT($Q314,4)&amp;MID($Q314,6,2)&amp;RIGHT($Q314,2)&amp;IF(Sync!$K314="","0000",IF(AND(ISNUMBER(Sync!$K314),Sync!$K314&gt;=0,Sync!$K314&lt;1),RIGHT("00"&amp;HOUR(Sync!$K314),2)&amp;RIGHT("00"&amp;MINUTE(Sync!$K314),2),IFERROR(RIGHT("00"&amp;VALUE(LEFT(Sync!$K314,FIND(":",Sync!$K314)-1)),2)&amp;RIGHT("00"&amp;VALUE(MID(Sync!$K314,FIND(":",Sync!$K314)+1,2)),2),"0000")))&amp;"|"&amp;"2"&amp;RIGHT("00000"&amp;309,5))</f>
        <v/>
      </c>
      <c r="Q314" t="str">
        <f>IF(Sync!$J314="","",IF(ISNUMBER(Sync!$J314),IF(AND(Sync!$J314&gt;=10000101,Sync!$J314&lt;=99991231),INT(Sync!$J314/10000)&amp;"/"&amp;RIGHT("00"&amp;INT(MOD(Sync!$J314,10000)/100),2)&amp;"/"&amp;RIGHT("00"&amp;MOD(Sync!$J314,100),2),"نامعتبر"),IF(LEN(Sync!$J314)=10,Sync!$J314,"نامعتبر")))</f>
        <v/>
      </c>
      <c r="R314" t="str">
        <f t="shared" si="32"/>
        <v/>
      </c>
      <c r="S314" t="str">
        <f t="shared" si="33"/>
        <v/>
      </c>
      <c r="T314" t="str">
        <f>IF($N314="","",IF(Sync!$N314="",0,Sync!$N314))</f>
        <v/>
      </c>
      <c r="U314" t="str">
        <f>IF($N314="","",IF(Sync!$O314="",0,Sync!$O314))</f>
        <v/>
      </c>
      <c r="V314" t="str">
        <f>IF($N314="","",Sync!$L314)</f>
        <v/>
      </c>
      <c r="W314" t="str">
        <f>IF($N314="","",Sync!$P314)</f>
        <v/>
      </c>
      <c r="AA314" t="str">
        <f>IF($A314="","",IF(COUNTIF($A$6:$A314,$A314)=1,1,0))</f>
        <v/>
      </c>
      <c r="AB314">
        <f>SUM($AA$6:$AA314)</f>
        <v>3</v>
      </c>
      <c r="AC314" t="str">
        <f t="shared" si="34"/>
        <v/>
      </c>
    </row>
    <row r="315" spans="1:29" x14ac:dyDescent="0.2">
      <c r="A315" t="str">
        <f>IF(OR(Entry!$B318="",Entry!$E318="",$E315="نامعتبر"),"",Entry!$E318)</f>
        <v/>
      </c>
      <c r="B315" t="str">
        <f>IF($A315="","",LEFT($E315,4)&amp;MID($E315,6,2)&amp;RIGHT($E315,2)&amp;$F315&amp;"|"&amp;"1"&amp;RIGHT("00000"&amp;310,5))</f>
        <v/>
      </c>
      <c r="C315" t="str">
        <f t="shared" si="28"/>
        <v/>
      </c>
      <c r="D315" t="str">
        <f t="shared" si="29"/>
        <v/>
      </c>
      <c r="E315" t="str">
        <f>IF(Entry!$B318="","",IF(ISNUMBER(Entry!$B318),IF(AND(Entry!$B318&gt;=10000101,Entry!$B318&lt;=99991231),INT(Entry!$B318/10000)&amp;"/"&amp;RIGHT("00"&amp;INT(MOD(Entry!$B318,10000)/100),2)&amp;"/"&amp;RIGHT("00"&amp;MOD(Entry!$B318,100),2),"نامعتبر"),IF(LEN(Entry!$B318)=10,Entry!$B318,"نامعتبر")))</f>
        <v/>
      </c>
      <c r="F315" t="str">
        <f>IF(Entry!$B318="","",IF(Entry!$C318="","0000",IF(AND(ISNUMBER(Entry!$C318),Entry!$C318&gt;=0,Entry!$C318&lt;1),RIGHT("00"&amp;HOUR(Entry!$C318),2)&amp;RIGHT("00"&amp;MINUTE(Entry!$C318),2),IFERROR(RIGHT("00"&amp;VALUE(LEFT(Entry!$C318,FIND(":",Entry!$C318)-1)),2)&amp;RIGHT("00"&amp;VALUE(MID(Entry!$C318,FIND(":",Entry!$C318)+1,2)),2),"0000"))))</f>
        <v/>
      </c>
      <c r="G315" t="str">
        <f>IF($A315="","",Entry!$G318)</f>
        <v/>
      </c>
      <c r="H315" t="str">
        <f>IF($A315="","",IF(Entry!$H318="",0,Entry!$H318))</f>
        <v/>
      </c>
      <c r="I315" t="str">
        <f>IF($A315="","",IF(Entry!$I318="",0,Entry!$I318))</f>
        <v/>
      </c>
      <c r="J315" t="str">
        <f t="shared" si="30"/>
        <v/>
      </c>
      <c r="K315" t="str">
        <f>IF($A315="","",Entry!$D318)</f>
        <v/>
      </c>
      <c r="L315" t="str">
        <f>IF($A315="","",Entry!$L318)</f>
        <v/>
      </c>
      <c r="N315" t="str">
        <f>IF(OR(Sync!$M315="",$Q315="",$Q315="نامعتبر"),"",Sync!$M315)</f>
        <v/>
      </c>
      <c r="O315" t="str">
        <f t="shared" si="31"/>
        <v/>
      </c>
      <c r="P315" t="str">
        <f>IF($N315="","",LEFT($Q315,4)&amp;MID($Q315,6,2)&amp;RIGHT($Q315,2)&amp;IF(Sync!$K315="","0000",IF(AND(ISNUMBER(Sync!$K315),Sync!$K315&gt;=0,Sync!$K315&lt;1),RIGHT("00"&amp;HOUR(Sync!$K315),2)&amp;RIGHT("00"&amp;MINUTE(Sync!$K315),2),IFERROR(RIGHT("00"&amp;VALUE(LEFT(Sync!$K315,FIND(":",Sync!$K315)-1)),2)&amp;RIGHT("00"&amp;VALUE(MID(Sync!$K315,FIND(":",Sync!$K315)+1,2)),2),"0000")))&amp;"|"&amp;"2"&amp;RIGHT("00000"&amp;310,5))</f>
        <v/>
      </c>
      <c r="Q315" t="str">
        <f>IF(Sync!$J315="","",IF(ISNUMBER(Sync!$J315),IF(AND(Sync!$J315&gt;=10000101,Sync!$J315&lt;=99991231),INT(Sync!$J315/10000)&amp;"/"&amp;RIGHT("00"&amp;INT(MOD(Sync!$J315,10000)/100),2)&amp;"/"&amp;RIGHT("00"&amp;MOD(Sync!$J315,100),2),"نامعتبر"),IF(LEN(Sync!$J315)=10,Sync!$J315,"نامعتبر")))</f>
        <v/>
      </c>
      <c r="R315" t="str">
        <f t="shared" si="32"/>
        <v/>
      </c>
      <c r="S315" t="str">
        <f t="shared" si="33"/>
        <v/>
      </c>
      <c r="T315" t="str">
        <f>IF($N315="","",IF(Sync!$N315="",0,Sync!$N315))</f>
        <v/>
      </c>
      <c r="U315" t="str">
        <f>IF($N315="","",IF(Sync!$O315="",0,Sync!$O315))</f>
        <v/>
      </c>
      <c r="V315" t="str">
        <f>IF($N315="","",Sync!$L315)</f>
        <v/>
      </c>
      <c r="W315" t="str">
        <f>IF($N315="","",Sync!$P315)</f>
        <v/>
      </c>
      <c r="AA315" t="str">
        <f>IF($A315="","",IF(COUNTIF($A$6:$A315,$A315)=1,1,0))</f>
        <v/>
      </c>
      <c r="AB315">
        <f>SUM($AA$6:$AA315)</f>
        <v>3</v>
      </c>
      <c r="AC315" t="str">
        <f t="shared" si="34"/>
        <v/>
      </c>
    </row>
    <row r="316" spans="1:29" x14ac:dyDescent="0.2">
      <c r="A316" t="str">
        <f>IF(OR(Entry!$B319="",Entry!$E319="",$E316="نامعتبر"),"",Entry!$E319)</f>
        <v/>
      </c>
      <c r="B316" t="str">
        <f>IF($A316="","",LEFT($E316,4)&amp;MID($E316,6,2)&amp;RIGHT($E316,2)&amp;$F316&amp;"|"&amp;"1"&amp;RIGHT("00000"&amp;311,5))</f>
        <v/>
      </c>
      <c r="C316" t="str">
        <f t="shared" si="28"/>
        <v/>
      </c>
      <c r="D316" t="str">
        <f t="shared" si="29"/>
        <v/>
      </c>
      <c r="E316" t="str">
        <f>IF(Entry!$B319="","",IF(ISNUMBER(Entry!$B319),IF(AND(Entry!$B319&gt;=10000101,Entry!$B319&lt;=99991231),INT(Entry!$B319/10000)&amp;"/"&amp;RIGHT("00"&amp;INT(MOD(Entry!$B319,10000)/100),2)&amp;"/"&amp;RIGHT("00"&amp;MOD(Entry!$B319,100),2),"نامعتبر"),IF(LEN(Entry!$B319)=10,Entry!$B319,"نامعتبر")))</f>
        <v/>
      </c>
      <c r="F316" t="str">
        <f>IF(Entry!$B319="","",IF(Entry!$C319="","0000",IF(AND(ISNUMBER(Entry!$C319),Entry!$C319&gt;=0,Entry!$C319&lt;1),RIGHT("00"&amp;HOUR(Entry!$C319),2)&amp;RIGHT("00"&amp;MINUTE(Entry!$C319),2),IFERROR(RIGHT("00"&amp;VALUE(LEFT(Entry!$C319,FIND(":",Entry!$C319)-1)),2)&amp;RIGHT("00"&amp;VALUE(MID(Entry!$C319,FIND(":",Entry!$C319)+1,2)),2),"0000"))))</f>
        <v/>
      </c>
      <c r="G316" t="str">
        <f>IF($A316="","",Entry!$G319)</f>
        <v/>
      </c>
      <c r="H316" t="str">
        <f>IF($A316="","",IF(Entry!$H319="",0,Entry!$H319))</f>
        <v/>
      </c>
      <c r="I316" t="str">
        <f>IF($A316="","",IF(Entry!$I319="",0,Entry!$I319))</f>
        <v/>
      </c>
      <c r="J316" t="str">
        <f t="shared" si="30"/>
        <v/>
      </c>
      <c r="K316" t="str">
        <f>IF($A316="","",Entry!$D319)</f>
        <v/>
      </c>
      <c r="L316" t="str">
        <f>IF($A316="","",Entry!$L319)</f>
        <v/>
      </c>
      <c r="N316" t="str">
        <f>IF(OR(Sync!$M316="",$Q316="",$Q316="نامعتبر"),"",Sync!$M316)</f>
        <v/>
      </c>
      <c r="O316" t="str">
        <f t="shared" si="31"/>
        <v/>
      </c>
      <c r="P316" t="str">
        <f>IF($N316="","",LEFT($Q316,4)&amp;MID($Q316,6,2)&amp;RIGHT($Q316,2)&amp;IF(Sync!$K316="","0000",IF(AND(ISNUMBER(Sync!$K316),Sync!$K316&gt;=0,Sync!$K316&lt;1),RIGHT("00"&amp;HOUR(Sync!$K316),2)&amp;RIGHT("00"&amp;MINUTE(Sync!$K316),2),IFERROR(RIGHT("00"&amp;VALUE(LEFT(Sync!$K316,FIND(":",Sync!$K316)-1)),2)&amp;RIGHT("00"&amp;VALUE(MID(Sync!$K316,FIND(":",Sync!$K316)+1,2)),2),"0000")))&amp;"|"&amp;"2"&amp;RIGHT("00000"&amp;311,5))</f>
        <v/>
      </c>
      <c r="Q316" t="str">
        <f>IF(Sync!$J316="","",IF(ISNUMBER(Sync!$J316),IF(AND(Sync!$J316&gt;=10000101,Sync!$J316&lt;=99991231),INT(Sync!$J316/10000)&amp;"/"&amp;RIGHT("00"&amp;INT(MOD(Sync!$J316,10000)/100),2)&amp;"/"&amp;RIGHT("00"&amp;MOD(Sync!$J316,100),2),"نامعتبر"),IF(LEN(Sync!$J316)=10,Sync!$J316,"نامعتبر")))</f>
        <v/>
      </c>
      <c r="R316" t="str">
        <f t="shared" si="32"/>
        <v/>
      </c>
      <c r="S316" t="str">
        <f t="shared" si="33"/>
        <v/>
      </c>
      <c r="T316" t="str">
        <f>IF($N316="","",IF(Sync!$N316="",0,Sync!$N316))</f>
        <v/>
      </c>
      <c r="U316" t="str">
        <f>IF($N316="","",IF(Sync!$O316="",0,Sync!$O316))</f>
        <v/>
      </c>
      <c r="V316" t="str">
        <f>IF($N316="","",Sync!$L316)</f>
        <v/>
      </c>
      <c r="W316" t="str">
        <f>IF($N316="","",Sync!$P316)</f>
        <v/>
      </c>
      <c r="AA316" t="str">
        <f>IF($A316="","",IF(COUNTIF($A$6:$A316,$A316)=1,1,0))</f>
        <v/>
      </c>
      <c r="AB316">
        <f>SUM($AA$6:$AA316)</f>
        <v>3</v>
      </c>
      <c r="AC316" t="str">
        <f t="shared" si="34"/>
        <v/>
      </c>
    </row>
    <row r="317" spans="1:29" x14ac:dyDescent="0.2">
      <c r="A317" t="str">
        <f>IF(OR(Entry!$B320="",Entry!$E320="",$E317="نامعتبر"),"",Entry!$E320)</f>
        <v/>
      </c>
      <c r="B317" t="str">
        <f>IF($A317="","",LEFT($E317,4)&amp;MID($E317,6,2)&amp;RIGHT($E317,2)&amp;$F317&amp;"|"&amp;"1"&amp;RIGHT("00000"&amp;312,5))</f>
        <v/>
      </c>
      <c r="C317" t="str">
        <f t="shared" si="28"/>
        <v/>
      </c>
      <c r="D317" t="str">
        <f t="shared" si="29"/>
        <v/>
      </c>
      <c r="E317" t="str">
        <f>IF(Entry!$B320="","",IF(ISNUMBER(Entry!$B320),IF(AND(Entry!$B320&gt;=10000101,Entry!$B320&lt;=99991231),INT(Entry!$B320/10000)&amp;"/"&amp;RIGHT("00"&amp;INT(MOD(Entry!$B320,10000)/100),2)&amp;"/"&amp;RIGHT("00"&amp;MOD(Entry!$B320,100),2),"نامعتبر"),IF(LEN(Entry!$B320)=10,Entry!$B320,"نامعتبر")))</f>
        <v/>
      </c>
      <c r="F317" t="str">
        <f>IF(Entry!$B320="","",IF(Entry!$C320="","0000",IF(AND(ISNUMBER(Entry!$C320),Entry!$C320&gt;=0,Entry!$C320&lt;1),RIGHT("00"&amp;HOUR(Entry!$C320),2)&amp;RIGHT("00"&amp;MINUTE(Entry!$C320),2),IFERROR(RIGHT("00"&amp;VALUE(LEFT(Entry!$C320,FIND(":",Entry!$C320)-1)),2)&amp;RIGHT("00"&amp;VALUE(MID(Entry!$C320,FIND(":",Entry!$C320)+1,2)),2),"0000"))))</f>
        <v/>
      </c>
      <c r="G317" t="str">
        <f>IF($A317="","",Entry!$G320)</f>
        <v/>
      </c>
      <c r="H317" t="str">
        <f>IF($A317="","",IF(Entry!$H320="",0,Entry!$H320))</f>
        <v/>
      </c>
      <c r="I317" t="str">
        <f>IF($A317="","",IF(Entry!$I320="",0,Entry!$I320))</f>
        <v/>
      </c>
      <c r="J317" t="str">
        <f t="shared" si="30"/>
        <v/>
      </c>
      <c r="K317" t="str">
        <f>IF($A317="","",Entry!$D320)</f>
        <v/>
      </c>
      <c r="L317" t="str">
        <f>IF($A317="","",Entry!$L320)</f>
        <v/>
      </c>
      <c r="N317" t="str">
        <f>IF(OR(Sync!$M317="",$Q317="",$Q317="نامعتبر"),"",Sync!$M317)</f>
        <v/>
      </c>
      <c r="O317" t="str">
        <f t="shared" si="31"/>
        <v/>
      </c>
      <c r="P317" t="str">
        <f>IF($N317="","",LEFT($Q317,4)&amp;MID($Q317,6,2)&amp;RIGHT($Q317,2)&amp;IF(Sync!$K317="","0000",IF(AND(ISNUMBER(Sync!$K317),Sync!$K317&gt;=0,Sync!$K317&lt;1),RIGHT("00"&amp;HOUR(Sync!$K317),2)&amp;RIGHT("00"&amp;MINUTE(Sync!$K317),2),IFERROR(RIGHT("00"&amp;VALUE(LEFT(Sync!$K317,FIND(":",Sync!$K317)-1)),2)&amp;RIGHT("00"&amp;VALUE(MID(Sync!$K317,FIND(":",Sync!$K317)+1,2)),2),"0000")))&amp;"|"&amp;"2"&amp;RIGHT("00000"&amp;312,5))</f>
        <v/>
      </c>
      <c r="Q317" t="str">
        <f>IF(Sync!$J317="","",IF(ISNUMBER(Sync!$J317),IF(AND(Sync!$J317&gt;=10000101,Sync!$J317&lt;=99991231),INT(Sync!$J317/10000)&amp;"/"&amp;RIGHT("00"&amp;INT(MOD(Sync!$J317,10000)/100),2)&amp;"/"&amp;RIGHT("00"&amp;MOD(Sync!$J317,100),2),"نامعتبر"),IF(LEN(Sync!$J317)=10,Sync!$J317,"نامعتبر")))</f>
        <v/>
      </c>
      <c r="R317" t="str">
        <f t="shared" si="32"/>
        <v/>
      </c>
      <c r="S317" t="str">
        <f t="shared" si="33"/>
        <v/>
      </c>
      <c r="T317" t="str">
        <f>IF($N317="","",IF(Sync!$N317="",0,Sync!$N317))</f>
        <v/>
      </c>
      <c r="U317" t="str">
        <f>IF($N317="","",IF(Sync!$O317="",0,Sync!$O317))</f>
        <v/>
      </c>
      <c r="V317" t="str">
        <f>IF($N317="","",Sync!$L317)</f>
        <v/>
      </c>
      <c r="W317" t="str">
        <f>IF($N317="","",Sync!$P317)</f>
        <v/>
      </c>
      <c r="AA317" t="str">
        <f>IF($A317="","",IF(COUNTIF($A$6:$A317,$A317)=1,1,0))</f>
        <v/>
      </c>
      <c r="AB317">
        <f>SUM($AA$6:$AA317)</f>
        <v>3</v>
      </c>
      <c r="AC317" t="str">
        <f t="shared" si="34"/>
        <v/>
      </c>
    </row>
    <row r="318" spans="1:29" x14ac:dyDescent="0.2">
      <c r="A318" t="str">
        <f>IF(OR(Entry!$B321="",Entry!$E321="",$E318="نامعتبر"),"",Entry!$E321)</f>
        <v/>
      </c>
      <c r="B318" t="str">
        <f>IF($A318="","",LEFT($E318,4)&amp;MID($E318,6,2)&amp;RIGHT($E318,2)&amp;$F318&amp;"|"&amp;"1"&amp;RIGHT("00000"&amp;313,5))</f>
        <v/>
      </c>
      <c r="C318" t="str">
        <f t="shared" si="28"/>
        <v/>
      </c>
      <c r="D318" t="str">
        <f t="shared" si="29"/>
        <v/>
      </c>
      <c r="E318" t="str">
        <f>IF(Entry!$B321="","",IF(ISNUMBER(Entry!$B321),IF(AND(Entry!$B321&gt;=10000101,Entry!$B321&lt;=99991231),INT(Entry!$B321/10000)&amp;"/"&amp;RIGHT("00"&amp;INT(MOD(Entry!$B321,10000)/100),2)&amp;"/"&amp;RIGHT("00"&amp;MOD(Entry!$B321,100),2),"نامعتبر"),IF(LEN(Entry!$B321)=10,Entry!$B321,"نامعتبر")))</f>
        <v/>
      </c>
      <c r="F318" t="str">
        <f>IF(Entry!$B321="","",IF(Entry!$C321="","0000",IF(AND(ISNUMBER(Entry!$C321),Entry!$C321&gt;=0,Entry!$C321&lt;1),RIGHT("00"&amp;HOUR(Entry!$C321),2)&amp;RIGHT("00"&amp;MINUTE(Entry!$C321),2),IFERROR(RIGHT("00"&amp;VALUE(LEFT(Entry!$C321,FIND(":",Entry!$C321)-1)),2)&amp;RIGHT("00"&amp;VALUE(MID(Entry!$C321,FIND(":",Entry!$C321)+1,2)),2),"0000"))))</f>
        <v/>
      </c>
      <c r="G318" t="str">
        <f>IF($A318="","",Entry!$G321)</f>
        <v/>
      </c>
      <c r="H318" t="str">
        <f>IF($A318="","",IF(Entry!$H321="",0,Entry!$H321))</f>
        <v/>
      </c>
      <c r="I318" t="str">
        <f>IF($A318="","",IF(Entry!$I321="",0,Entry!$I321))</f>
        <v/>
      </c>
      <c r="J318" t="str">
        <f t="shared" si="30"/>
        <v/>
      </c>
      <c r="K318" t="str">
        <f>IF($A318="","",Entry!$D321)</f>
        <v/>
      </c>
      <c r="L318" t="str">
        <f>IF($A318="","",Entry!$L321)</f>
        <v/>
      </c>
      <c r="N318" t="str">
        <f>IF(OR(Sync!$M318="",$Q318="",$Q318="نامعتبر"),"",Sync!$M318)</f>
        <v/>
      </c>
      <c r="O318" t="str">
        <f t="shared" si="31"/>
        <v/>
      </c>
      <c r="P318" t="str">
        <f>IF($N318="","",LEFT($Q318,4)&amp;MID($Q318,6,2)&amp;RIGHT($Q318,2)&amp;IF(Sync!$K318="","0000",IF(AND(ISNUMBER(Sync!$K318),Sync!$K318&gt;=0,Sync!$K318&lt;1),RIGHT("00"&amp;HOUR(Sync!$K318),2)&amp;RIGHT("00"&amp;MINUTE(Sync!$K318),2),IFERROR(RIGHT("00"&amp;VALUE(LEFT(Sync!$K318,FIND(":",Sync!$K318)-1)),2)&amp;RIGHT("00"&amp;VALUE(MID(Sync!$K318,FIND(":",Sync!$K318)+1,2)),2),"0000")))&amp;"|"&amp;"2"&amp;RIGHT("00000"&amp;313,5))</f>
        <v/>
      </c>
      <c r="Q318" t="str">
        <f>IF(Sync!$J318="","",IF(ISNUMBER(Sync!$J318),IF(AND(Sync!$J318&gt;=10000101,Sync!$J318&lt;=99991231),INT(Sync!$J318/10000)&amp;"/"&amp;RIGHT("00"&amp;INT(MOD(Sync!$J318,10000)/100),2)&amp;"/"&amp;RIGHT("00"&amp;MOD(Sync!$J318,100),2),"نامعتبر"),IF(LEN(Sync!$J318)=10,Sync!$J318,"نامعتبر")))</f>
        <v/>
      </c>
      <c r="R318" t="str">
        <f t="shared" si="32"/>
        <v/>
      </c>
      <c r="S318" t="str">
        <f t="shared" si="33"/>
        <v/>
      </c>
      <c r="T318" t="str">
        <f>IF($N318="","",IF(Sync!$N318="",0,Sync!$N318))</f>
        <v/>
      </c>
      <c r="U318" t="str">
        <f>IF($N318="","",IF(Sync!$O318="",0,Sync!$O318))</f>
        <v/>
      </c>
      <c r="V318" t="str">
        <f>IF($N318="","",Sync!$L318)</f>
        <v/>
      </c>
      <c r="W318" t="str">
        <f>IF($N318="","",Sync!$P318)</f>
        <v/>
      </c>
      <c r="AA318" t="str">
        <f>IF($A318="","",IF(COUNTIF($A$6:$A318,$A318)=1,1,0))</f>
        <v/>
      </c>
      <c r="AB318">
        <f>SUM($AA$6:$AA318)</f>
        <v>3</v>
      </c>
      <c r="AC318" t="str">
        <f t="shared" si="34"/>
        <v/>
      </c>
    </row>
    <row r="319" spans="1:29" x14ac:dyDescent="0.2">
      <c r="A319" t="str">
        <f>IF(OR(Entry!$B322="",Entry!$E322="",$E319="نامعتبر"),"",Entry!$E322)</f>
        <v/>
      </c>
      <c r="B319" t="str">
        <f>IF($A319="","",LEFT($E319,4)&amp;MID($E319,6,2)&amp;RIGHT($E319,2)&amp;$F319&amp;"|"&amp;"1"&amp;RIGHT("00000"&amp;314,5))</f>
        <v/>
      </c>
      <c r="C319" t="str">
        <f t="shared" si="28"/>
        <v/>
      </c>
      <c r="D319" t="str">
        <f t="shared" si="29"/>
        <v/>
      </c>
      <c r="E319" t="str">
        <f>IF(Entry!$B322="","",IF(ISNUMBER(Entry!$B322),IF(AND(Entry!$B322&gt;=10000101,Entry!$B322&lt;=99991231),INT(Entry!$B322/10000)&amp;"/"&amp;RIGHT("00"&amp;INT(MOD(Entry!$B322,10000)/100),2)&amp;"/"&amp;RIGHT("00"&amp;MOD(Entry!$B322,100),2),"نامعتبر"),IF(LEN(Entry!$B322)=10,Entry!$B322,"نامعتبر")))</f>
        <v/>
      </c>
      <c r="F319" t="str">
        <f>IF(Entry!$B322="","",IF(Entry!$C322="","0000",IF(AND(ISNUMBER(Entry!$C322),Entry!$C322&gt;=0,Entry!$C322&lt;1),RIGHT("00"&amp;HOUR(Entry!$C322),2)&amp;RIGHT("00"&amp;MINUTE(Entry!$C322),2),IFERROR(RIGHT("00"&amp;VALUE(LEFT(Entry!$C322,FIND(":",Entry!$C322)-1)),2)&amp;RIGHT("00"&amp;VALUE(MID(Entry!$C322,FIND(":",Entry!$C322)+1,2)),2),"0000"))))</f>
        <v/>
      </c>
      <c r="G319" t="str">
        <f>IF($A319="","",Entry!$G322)</f>
        <v/>
      </c>
      <c r="H319" t="str">
        <f>IF($A319="","",IF(Entry!$H322="",0,Entry!$H322))</f>
        <v/>
      </c>
      <c r="I319" t="str">
        <f>IF($A319="","",IF(Entry!$I322="",0,Entry!$I322))</f>
        <v/>
      </c>
      <c r="J319" t="str">
        <f t="shared" si="30"/>
        <v/>
      </c>
      <c r="K319" t="str">
        <f>IF($A319="","",Entry!$D322)</f>
        <v/>
      </c>
      <c r="L319" t="str">
        <f>IF($A319="","",Entry!$L322)</f>
        <v/>
      </c>
      <c r="N319" t="str">
        <f>IF(OR(Sync!$M319="",$Q319="",$Q319="نامعتبر"),"",Sync!$M319)</f>
        <v/>
      </c>
      <c r="O319" t="str">
        <f t="shared" si="31"/>
        <v/>
      </c>
      <c r="P319" t="str">
        <f>IF($N319="","",LEFT($Q319,4)&amp;MID($Q319,6,2)&amp;RIGHT($Q319,2)&amp;IF(Sync!$K319="","0000",IF(AND(ISNUMBER(Sync!$K319),Sync!$K319&gt;=0,Sync!$K319&lt;1),RIGHT("00"&amp;HOUR(Sync!$K319),2)&amp;RIGHT("00"&amp;MINUTE(Sync!$K319),2),IFERROR(RIGHT("00"&amp;VALUE(LEFT(Sync!$K319,FIND(":",Sync!$K319)-1)),2)&amp;RIGHT("00"&amp;VALUE(MID(Sync!$K319,FIND(":",Sync!$K319)+1,2)),2),"0000")))&amp;"|"&amp;"2"&amp;RIGHT("00000"&amp;314,5))</f>
        <v/>
      </c>
      <c r="Q319" t="str">
        <f>IF(Sync!$J319="","",IF(ISNUMBER(Sync!$J319),IF(AND(Sync!$J319&gt;=10000101,Sync!$J319&lt;=99991231),INT(Sync!$J319/10000)&amp;"/"&amp;RIGHT("00"&amp;INT(MOD(Sync!$J319,10000)/100),2)&amp;"/"&amp;RIGHT("00"&amp;MOD(Sync!$J319,100),2),"نامعتبر"),IF(LEN(Sync!$J319)=10,Sync!$J319,"نامعتبر")))</f>
        <v/>
      </c>
      <c r="R319" t="str">
        <f t="shared" si="32"/>
        <v/>
      </c>
      <c r="S319" t="str">
        <f t="shared" si="33"/>
        <v/>
      </c>
      <c r="T319" t="str">
        <f>IF($N319="","",IF(Sync!$N319="",0,Sync!$N319))</f>
        <v/>
      </c>
      <c r="U319" t="str">
        <f>IF($N319="","",IF(Sync!$O319="",0,Sync!$O319))</f>
        <v/>
      </c>
      <c r="V319" t="str">
        <f>IF($N319="","",Sync!$L319)</f>
        <v/>
      </c>
      <c r="W319" t="str">
        <f>IF($N319="","",Sync!$P319)</f>
        <v/>
      </c>
      <c r="AA319" t="str">
        <f>IF($A319="","",IF(COUNTIF($A$6:$A319,$A319)=1,1,0))</f>
        <v/>
      </c>
      <c r="AB319">
        <f>SUM($AA$6:$AA319)</f>
        <v>3</v>
      </c>
      <c r="AC319" t="str">
        <f t="shared" si="34"/>
        <v/>
      </c>
    </row>
    <row r="320" spans="1:29" x14ac:dyDescent="0.2">
      <c r="A320" t="str">
        <f>IF(OR(Entry!$B323="",Entry!$E323="",$E320="نامعتبر"),"",Entry!$E323)</f>
        <v/>
      </c>
      <c r="B320" t="str">
        <f>IF($A320="","",LEFT($E320,4)&amp;MID($E320,6,2)&amp;RIGHT($E320,2)&amp;$F320&amp;"|"&amp;"1"&amp;RIGHT("00000"&amp;315,5))</f>
        <v/>
      </c>
      <c r="C320" t="str">
        <f t="shared" si="28"/>
        <v/>
      </c>
      <c r="D320" t="str">
        <f t="shared" si="29"/>
        <v/>
      </c>
      <c r="E320" t="str">
        <f>IF(Entry!$B323="","",IF(ISNUMBER(Entry!$B323),IF(AND(Entry!$B323&gt;=10000101,Entry!$B323&lt;=99991231),INT(Entry!$B323/10000)&amp;"/"&amp;RIGHT("00"&amp;INT(MOD(Entry!$B323,10000)/100),2)&amp;"/"&amp;RIGHT("00"&amp;MOD(Entry!$B323,100),2),"نامعتبر"),IF(LEN(Entry!$B323)=10,Entry!$B323,"نامعتبر")))</f>
        <v/>
      </c>
      <c r="F320" t="str">
        <f>IF(Entry!$B323="","",IF(Entry!$C323="","0000",IF(AND(ISNUMBER(Entry!$C323),Entry!$C323&gt;=0,Entry!$C323&lt;1),RIGHT("00"&amp;HOUR(Entry!$C323),2)&amp;RIGHT("00"&amp;MINUTE(Entry!$C323),2),IFERROR(RIGHT("00"&amp;VALUE(LEFT(Entry!$C323,FIND(":",Entry!$C323)-1)),2)&amp;RIGHT("00"&amp;VALUE(MID(Entry!$C323,FIND(":",Entry!$C323)+1,2)),2),"0000"))))</f>
        <v/>
      </c>
      <c r="G320" t="str">
        <f>IF($A320="","",Entry!$G323)</f>
        <v/>
      </c>
      <c r="H320" t="str">
        <f>IF($A320="","",IF(Entry!$H323="",0,Entry!$H323))</f>
        <v/>
      </c>
      <c r="I320" t="str">
        <f>IF($A320="","",IF(Entry!$I323="",0,Entry!$I323))</f>
        <v/>
      </c>
      <c r="J320" t="str">
        <f t="shared" si="30"/>
        <v/>
      </c>
      <c r="K320" t="str">
        <f>IF($A320="","",Entry!$D323)</f>
        <v/>
      </c>
      <c r="L320" t="str">
        <f>IF($A320="","",Entry!$L323)</f>
        <v/>
      </c>
      <c r="N320" t="str">
        <f>IF(OR(Sync!$M320="",$Q320="",$Q320="نامعتبر"),"",Sync!$M320)</f>
        <v/>
      </c>
      <c r="O320" t="str">
        <f t="shared" si="31"/>
        <v/>
      </c>
      <c r="P320" t="str">
        <f>IF($N320="","",LEFT($Q320,4)&amp;MID($Q320,6,2)&amp;RIGHT($Q320,2)&amp;IF(Sync!$K320="","0000",IF(AND(ISNUMBER(Sync!$K320),Sync!$K320&gt;=0,Sync!$K320&lt;1),RIGHT("00"&amp;HOUR(Sync!$K320),2)&amp;RIGHT("00"&amp;MINUTE(Sync!$K320),2),IFERROR(RIGHT("00"&amp;VALUE(LEFT(Sync!$K320,FIND(":",Sync!$K320)-1)),2)&amp;RIGHT("00"&amp;VALUE(MID(Sync!$K320,FIND(":",Sync!$K320)+1,2)),2),"0000")))&amp;"|"&amp;"2"&amp;RIGHT("00000"&amp;315,5))</f>
        <v/>
      </c>
      <c r="Q320" t="str">
        <f>IF(Sync!$J320="","",IF(ISNUMBER(Sync!$J320),IF(AND(Sync!$J320&gt;=10000101,Sync!$J320&lt;=99991231),INT(Sync!$J320/10000)&amp;"/"&amp;RIGHT("00"&amp;INT(MOD(Sync!$J320,10000)/100),2)&amp;"/"&amp;RIGHT("00"&amp;MOD(Sync!$J320,100),2),"نامعتبر"),IF(LEN(Sync!$J320)=10,Sync!$J320,"نامعتبر")))</f>
        <v/>
      </c>
      <c r="R320" t="str">
        <f t="shared" si="32"/>
        <v/>
      </c>
      <c r="S320" t="str">
        <f t="shared" si="33"/>
        <v/>
      </c>
      <c r="T320" t="str">
        <f>IF($N320="","",IF(Sync!$N320="",0,Sync!$N320))</f>
        <v/>
      </c>
      <c r="U320" t="str">
        <f>IF($N320="","",IF(Sync!$O320="",0,Sync!$O320))</f>
        <v/>
      </c>
      <c r="V320" t="str">
        <f>IF($N320="","",Sync!$L320)</f>
        <v/>
      </c>
      <c r="W320" t="str">
        <f>IF($N320="","",Sync!$P320)</f>
        <v/>
      </c>
      <c r="AA320" t="str">
        <f>IF($A320="","",IF(COUNTIF($A$6:$A320,$A320)=1,1,0))</f>
        <v/>
      </c>
      <c r="AB320">
        <f>SUM($AA$6:$AA320)</f>
        <v>3</v>
      </c>
      <c r="AC320" t="str">
        <f t="shared" si="34"/>
        <v/>
      </c>
    </row>
    <row r="321" spans="1:29" x14ac:dyDescent="0.2">
      <c r="A321" t="str">
        <f>IF(OR(Entry!$B324="",Entry!$E324="",$E321="نامعتبر"),"",Entry!$E324)</f>
        <v/>
      </c>
      <c r="B321" t="str">
        <f>IF($A321="","",LEFT($E321,4)&amp;MID($E321,6,2)&amp;RIGHT($E321,2)&amp;$F321&amp;"|"&amp;"1"&amp;RIGHT("00000"&amp;316,5))</f>
        <v/>
      </c>
      <c r="C321" t="str">
        <f t="shared" si="28"/>
        <v/>
      </c>
      <c r="D321" t="str">
        <f t="shared" si="29"/>
        <v/>
      </c>
      <c r="E321" t="str">
        <f>IF(Entry!$B324="","",IF(ISNUMBER(Entry!$B324),IF(AND(Entry!$B324&gt;=10000101,Entry!$B324&lt;=99991231),INT(Entry!$B324/10000)&amp;"/"&amp;RIGHT("00"&amp;INT(MOD(Entry!$B324,10000)/100),2)&amp;"/"&amp;RIGHT("00"&amp;MOD(Entry!$B324,100),2),"نامعتبر"),IF(LEN(Entry!$B324)=10,Entry!$B324,"نامعتبر")))</f>
        <v/>
      </c>
      <c r="F321" t="str">
        <f>IF(Entry!$B324="","",IF(Entry!$C324="","0000",IF(AND(ISNUMBER(Entry!$C324),Entry!$C324&gt;=0,Entry!$C324&lt;1),RIGHT("00"&amp;HOUR(Entry!$C324),2)&amp;RIGHT("00"&amp;MINUTE(Entry!$C324),2),IFERROR(RIGHT("00"&amp;VALUE(LEFT(Entry!$C324,FIND(":",Entry!$C324)-1)),2)&amp;RIGHT("00"&amp;VALUE(MID(Entry!$C324,FIND(":",Entry!$C324)+1,2)),2),"0000"))))</f>
        <v/>
      </c>
      <c r="G321" t="str">
        <f>IF($A321="","",Entry!$G324)</f>
        <v/>
      </c>
      <c r="H321" t="str">
        <f>IF($A321="","",IF(Entry!$H324="",0,Entry!$H324))</f>
        <v/>
      </c>
      <c r="I321" t="str">
        <f>IF($A321="","",IF(Entry!$I324="",0,Entry!$I324))</f>
        <v/>
      </c>
      <c r="J321" t="str">
        <f t="shared" si="30"/>
        <v/>
      </c>
      <c r="K321" t="str">
        <f>IF($A321="","",Entry!$D324)</f>
        <v/>
      </c>
      <c r="L321" t="str">
        <f>IF($A321="","",Entry!$L324)</f>
        <v/>
      </c>
      <c r="N321" t="str">
        <f>IF(OR(Sync!$M321="",$Q321="",$Q321="نامعتبر"),"",Sync!$M321)</f>
        <v/>
      </c>
      <c r="O321" t="str">
        <f t="shared" si="31"/>
        <v/>
      </c>
      <c r="P321" t="str">
        <f>IF($N321="","",LEFT($Q321,4)&amp;MID($Q321,6,2)&amp;RIGHT($Q321,2)&amp;IF(Sync!$K321="","0000",IF(AND(ISNUMBER(Sync!$K321),Sync!$K321&gt;=0,Sync!$K321&lt;1),RIGHT("00"&amp;HOUR(Sync!$K321),2)&amp;RIGHT("00"&amp;MINUTE(Sync!$K321),2),IFERROR(RIGHT("00"&amp;VALUE(LEFT(Sync!$K321,FIND(":",Sync!$K321)-1)),2)&amp;RIGHT("00"&amp;VALUE(MID(Sync!$K321,FIND(":",Sync!$K321)+1,2)),2),"0000")))&amp;"|"&amp;"2"&amp;RIGHT("00000"&amp;316,5))</f>
        <v/>
      </c>
      <c r="Q321" t="str">
        <f>IF(Sync!$J321="","",IF(ISNUMBER(Sync!$J321),IF(AND(Sync!$J321&gt;=10000101,Sync!$J321&lt;=99991231),INT(Sync!$J321/10000)&amp;"/"&amp;RIGHT("00"&amp;INT(MOD(Sync!$J321,10000)/100),2)&amp;"/"&amp;RIGHT("00"&amp;MOD(Sync!$J321,100),2),"نامعتبر"),IF(LEN(Sync!$J321)=10,Sync!$J321,"نامعتبر")))</f>
        <v/>
      </c>
      <c r="R321" t="str">
        <f t="shared" si="32"/>
        <v/>
      </c>
      <c r="S321" t="str">
        <f t="shared" si="33"/>
        <v/>
      </c>
      <c r="T321" t="str">
        <f>IF($N321="","",IF(Sync!$N321="",0,Sync!$N321))</f>
        <v/>
      </c>
      <c r="U321" t="str">
        <f>IF($N321="","",IF(Sync!$O321="",0,Sync!$O321))</f>
        <v/>
      </c>
      <c r="V321" t="str">
        <f>IF($N321="","",Sync!$L321)</f>
        <v/>
      </c>
      <c r="W321" t="str">
        <f>IF($N321="","",Sync!$P321)</f>
        <v/>
      </c>
      <c r="AA321" t="str">
        <f>IF($A321="","",IF(COUNTIF($A$6:$A321,$A321)=1,1,0))</f>
        <v/>
      </c>
      <c r="AB321">
        <f>SUM($AA$6:$AA321)</f>
        <v>3</v>
      </c>
      <c r="AC321" t="str">
        <f t="shared" si="34"/>
        <v/>
      </c>
    </row>
    <row r="322" spans="1:29" x14ac:dyDescent="0.2">
      <c r="A322" t="str">
        <f>IF(OR(Entry!$B325="",Entry!$E325="",$E322="نامعتبر"),"",Entry!$E325)</f>
        <v/>
      </c>
      <c r="B322" t="str">
        <f>IF($A322="","",LEFT($E322,4)&amp;MID($E322,6,2)&amp;RIGHT($E322,2)&amp;$F322&amp;"|"&amp;"1"&amp;RIGHT("00000"&amp;317,5))</f>
        <v/>
      </c>
      <c r="C322" t="str">
        <f t="shared" si="28"/>
        <v/>
      </c>
      <c r="D322" t="str">
        <f t="shared" si="29"/>
        <v/>
      </c>
      <c r="E322" t="str">
        <f>IF(Entry!$B325="","",IF(ISNUMBER(Entry!$B325),IF(AND(Entry!$B325&gt;=10000101,Entry!$B325&lt;=99991231),INT(Entry!$B325/10000)&amp;"/"&amp;RIGHT("00"&amp;INT(MOD(Entry!$B325,10000)/100),2)&amp;"/"&amp;RIGHT("00"&amp;MOD(Entry!$B325,100),2),"نامعتبر"),IF(LEN(Entry!$B325)=10,Entry!$B325,"نامعتبر")))</f>
        <v/>
      </c>
      <c r="F322" t="str">
        <f>IF(Entry!$B325="","",IF(Entry!$C325="","0000",IF(AND(ISNUMBER(Entry!$C325),Entry!$C325&gt;=0,Entry!$C325&lt;1),RIGHT("00"&amp;HOUR(Entry!$C325),2)&amp;RIGHT("00"&amp;MINUTE(Entry!$C325),2),IFERROR(RIGHT("00"&amp;VALUE(LEFT(Entry!$C325,FIND(":",Entry!$C325)-1)),2)&amp;RIGHT("00"&amp;VALUE(MID(Entry!$C325,FIND(":",Entry!$C325)+1,2)),2),"0000"))))</f>
        <v/>
      </c>
      <c r="G322" t="str">
        <f>IF($A322="","",Entry!$G325)</f>
        <v/>
      </c>
      <c r="H322" t="str">
        <f>IF($A322="","",IF(Entry!$H325="",0,Entry!$H325))</f>
        <v/>
      </c>
      <c r="I322" t="str">
        <f>IF($A322="","",IF(Entry!$I325="",0,Entry!$I325))</f>
        <v/>
      </c>
      <c r="J322" t="str">
        <f t="shared" si="30"/>
        <v/>
      </c>
      <c r="K322" t="str">
        <f>IF($A322="","",Entry!$D325)</f>
        <v/>
      </c>
      <c r="L322" t="str">
        <f>IF($A322="","",Entry!$L325)</f>
        <v/>
      </c>
      <c r="N322" t="str">
        <f>IF(OR(Sync!$M322="",$Q322="",$Q322="نامعتبر"),"",Sync!$M322)</f>
        <v/>
      </c>
      <c r="O322" t="str">
        <f t="shared" si="31"/>
        <v/>
      </c>
      <c r="P322" t="str">
        <f>IF($N322="","",LEFT($Q322,4)&amp;MID($Q322,6,2)&amp;RIGHT($Q322,2)&amp;IF(Sync!$K322="","0000",IF(AND(ISNUMBER(Sync!$K322),Sync!$K322&gt;=0,Sync!$K322&lt;1),RIGHT("00"&amp;HOUR(Sync!$K322),2)&amp;RIGHT("00"&amp;MINUTE(Sync!$K322),2),IFERROR(RIGHT("00"&amp;VALUE(LEFT(Sync!$K322,FIND(":",Sync!$K322)-1)),2)&amp;RIGHT("00"&amp;VALUE(MID(Sync!$K322,FIND(":",Sync!$K322)+1,2)),2),"0000")))&amp;"|"&amp;"2"&amp;RIGHT("00000"&amp;317,5))</f>
        <v/>
      </c>
      <c r="Q322" t="str">
        <f>IF(Sync!$J322="","",IF(ISNUMBER(Sync!$J322),IF(AND(Sync!$J322&gt;=10000101,Sync!$J322&lt;=99991231),INT(Sync!$J322/10000)&amp;"/"&amp;RIGHT("00"&amp;INT(MOD(Sync!$J322,10000)/100),2)&amp;"/"&amp;RIGHT("00"&amp;MOD(Sync!$J322,100),2),"نامعتبر"),IF(LEN(Sync!$J322)=10,Sync!$J322,"نامعتبر")))</f>
        <v/>
      </c>
      <c r="R322" t="str">
        <f t="shared" si="32"/>
        <v/>
      </c>
      <c r="S322" t="str">
        <f t="shared" si="33"/>
        <v/>
      </c>
      <c r="T322" t="str">
        <f>IF($N322="","",IF(Sync!$N322="",0,Sync!$N322))</f>
        <v/>
      </c>
      <c r="U322" t="str">
        <f>IF($N322="","",IF(Sync!$O322="",0,Sync!$O322))</f>
        <v/>
      </c>
      <c r="V322" t="str">
        <f>IF($N322="","",Sync!$L322)</f>
        <v/>
      </c>
      <c r="W322" t="str">
        <f>IF($N322="","",Sync!$P322)</f>
        <v/>
      </c>
      <c r="AA322" t="str">
        <f>IF($A322="","",IF(COUNTIF($A$6:$A322,$A322)=1,1,0))</f>
        <v/>
      </c>
      <c r="AB322">
        <f>SUM($AA$6:$AA322)</f>
        <v>3</v>
      </c>
      <c r="AC322" t="str">
        <f t="shared" si="34"/>
        <v/>
      </c>
    </row>
    <row r="323" spans="1:29" x14ac:dyDescent="0.2">
      <c r="A323" t="str">
        <f>IF(OR(Entry!$B326="",Entry!$E326="",$E323="نامعتبر"),"",Entry!$E326)</f>
        <v/>
      </c>
      <c r="B323" t="str">
        <f>IF($A323="","",LEFT($E323,4)&amp;MID($E323,6,2)&amp;RIGHT($E323,2)&amp;$F323&amp;"|"&amp;"1"&amp;RIGHT("00000"&amp;318,5))</f>
        <v/>
      </c>
      <c r="C323" t="str">
        <f t="shared" si="28"/>
        <v/>
      </c>
      <c r="D323" t="str">
        <f t="shared" si="29"/>
        <v/>
      </c>
      <c r="E323" t="str">
        <f>IF(Entry!$B326="","",IF(ISNUMBER(Entry!$B326),IF(AND(Entry!$B326&gt;=10000101,Entry!$B326&lt;=99991231),INT(Entry!$B326/10000)&amp;"/"&amp;RIGHT("00"&amp;INT(MOD(Entry!$B326,10000)/100),2)&amp;"/"&amp;RIGHT("00"&amp;MOD(Entry!$B326,100),2),"نامعتبر"),IF(LEN(Entry!$B326)=10,Entry!$B326,"نامعتبر")))</f>
        <v/>
      </c>
      <c r="F323" t="str">
        <f>IF(Entry!$B326="","",IF(Entry!$C326="","0000",IF(AND(ISNUMBER(Entry!$C326),Entry!$C326&gt;=0,Entry!$C326&lt;1),RIGHT("00"&amp;HOUR(Entry!$C326),2)&amp;RIGHT("00"&amp;MINUTE(Entry!$C326),2),IFERROR(RIGHT("00"&amp;VALUE(LEFT(Entry!$C326,FIND(":",Entry!$C326)-1)),2)&amp;RIGHT("00"&amp;VALUE(MID(Entry!$C326,FIND(":",Entry!$C326)+1,2)),2),"0000"))))</f>
        <v/>
      </c>
      <c r="G323" t="str">
        <f>IF($A323="","",Entry!$G326)</f>
        <v/>
      </c>
      <c r="H323" t="str">
        <f>IF($A323="","",IF(Entry!$H326="",0,Entry!$H326))</f>
        <v/>
      </c>
      <c r="I323" t="str">
        <f>IF($A323="","",IF(Entry!$I326="",0,Entry!$I326))</f>
        <v/>
      </c>
      <c r="J323" t="str">
        <f t="shared" si="30"/>
        <v/>
      </c>
      <c r="K323" t="str">
        <f>IF($A323="","",Entry!$D326)</f>
        <v/>
      </c>
      <c r="L323" t="str">
        <f>IF($A323="","",Entry!$L326)</f>
        <v/>
      </c>
      <c r="N323" t="str">
        <f>IF(OR(Sync!$M323="",$Q323="",$Q323="نامعتبر"),"",Sync!$M323)</f>
        <v/>
      </c>
      <c r="O323" t="str">
        <f t="shared" si="31"/>
        <v/>
      </c>
      <c r="P323" t="str">
        <f>IF($N323="","",LEFT($Q323,4)&amp;MID($Q323,6,2)&amp;RIGHT($Q323,2)&amp;IF(Sync!$K323="","0000",IF(AND(ISNUMBER(Sync!$K323),Sync!$K323&gt;=0,Sync!$K323&lt;1),RIGHT("00"&amp;HOUR(Sync!$K323),2)&amp;RIGHT("00"&amp;MINUTE(Sync!$K323),2),IFERROR(RIGHT("00"&amp;VALUE(LEFT(Sync!$K323,FIND(":",Sync!$K323)-1)),2)&amp;RIGHT("00"&amp;VALUE(MID(Sync!$K323,FIND(":",Sync!$K323)+1,2)),2),"0000")))&amp;"|"&amp;"2"&amp;RIGHT("00000"&amp;318,5))</f>
        <v/>
      </c>
      <c r="Q323" t="str">
        <f>IF(Sync!$J323="","",IF(ISNUMBER(Sync!$J323),IF(AND(Sync!$J323&gt;=10000101,Sync!$J323&lt;=99991231),INT(Sync!$J323/10000)&amp;"/"&amp;RIGHT("00"&amp;INT(MOD(Sync!$J323,10000)/100),2)&amp;"/"&amp;RIGHT("00"&amp;MOD(Sync!$J323,100),2),"نامعتبر"),IF(LEN(Sync!$J323)=10,Sync!$J323,"نامعتبر")))</f>
        <v/>
      </c>
      <c r="R323" t="str">
        <f t="shared" si="32"/>
        <v/>
      </c>
      <c r="S323" t="str">
        <f t="shared" si="33"/>
        <v/>
      </c>
      <c r="T323" t="str">
        <f>IF($N323="","",IF(Sync!$N323="",0,Sync!$N323))</f>
        <v/>
      </c>
      <c r="U323" t="str">
        <f>IF($N323="","",IF(Sync!$O323="",0,Sync!$O323))</f>
        <v/>
      </c>
      <c r="V323" t="str">
        <f>IF($N323="","",Sync!$L323)</f>
        <v/>
      </c>
      <c r="W323" t="str">
        <f>IF($N323="","",Sync!$P323)</f>
        <v/>
      </c>
      <c r="AA323" t="str">
        <f>IF($A323="","",IF(COUNTIF($A$6:$A323,$A323)=1,1,0))</f>
        <v/>
      </c>
      <c r="AB323">
        <f>SUM($AA$6:$AA323)</f>
        <v>3</v>
      </c>
      <c r="AC323" t="str">
        <f t="shared" si="34"/>
        <v/>
      </c>
    </row>
    <row r="324" spans="1:29" x14ac:dyDescent="0.2">
      <c r="A324" t="str">
        <f>IF(OR(Entry!$B327="",Entry!$E327="",$E324="نامعتبر"),"",Entry!$E327)</f>
        <v/>
      </c>
      <c r="B324" t="str">
        <f>IF($A324="","",LEFT($E324,4)&amp;MID($E324,6,2)&amp;RIGHT($E324,2)&amp;$F324&amp;"|"&amp;"1"&amp;RIGHT("00000"&amp;319,5))</f>
        <v/>
      </c>
      <c r="C324" t="str">
        <f t="shared" si="28"/>
        <v/>
      </c>
      <c r="D324" t="str">
        <f t="shared" si="29"/>
        <v/>
      </c>
      <c r="E324" t="str">
        <f>IF(Entry!$B327="","",IF(ISNUMBER(Entry!$B327),IF(AND(Entry!$B327&gt;=10000101,Entry!$B327&lt;=99991231),INT(Entry!$B327/10000)&amp;"/"&amp;RIGHT("00"&amp;INT(MOD(Entry!$B327,10000)/100),2)&amp;"/"&amp;RIGHT("00"&amp;MOD(Entry!$B327,100),2),"نامعتبر"),IF(LEN(Entry!$B327)=10,Entry!$B327,"نامعتبر")))</f>
        <v/>
      </c>
      <c r="F324" t="str">
        <f>IF(Entry!$B327="","",IF(Entry!$C327="","0000",IF(AND(ISNUMBER(Entry!$C327),Entry!$C327&gt;=0,Entry!$C327&lt;1),RIGHT("00"&amp;HOUR(Entry!$C327),2)&amp;RIGHT("00"&amp;MINUTE(Entry!$C327),2),IFERROR(RIGHT("00"&amp;VALUE(LEFT(Entry!$C327,FIND(":",Entry!$C327)-1)),2)&amp;RIGHT("00"&amp;VALUE(MID(Entry!$C327,FIND(":",Entry!$C327)+1,2)),2),"0000"))))</f>
        <v/>
      </c>
      <c r="G324" t="str">
        <f>IF($A324="","",Entry!$G327)</f>
        <v/>
      </c>
      <c r="H324" t="str">
        <f>IF($A324="","",IF(Entry!$H327="",0,Entry!$H327))</f>
        <v/>
      </c>
      <c r="I324" t="str">
        <f>IF($A324="","",IF(Entry!$I327="",0,Entry!$I327))</f>
        <v/>
      </c>
      <c r="J324" t="str">
        <f t="shared" si="30"/>
        <v/>
      </c>
      <c r="K324" t="str">
        <f>IF($A324="","",Entry!$D327)</f>
        <v/>
      </c>
      <c r="L324" t="str">
        <f>IF($A324="","",Entry!$L327)</f>
        <v/>
      </c>
      <c r="N324" t="str">
        <f>IF(OR(Sync!$M324="",$Q324="",$Q324="نامعتبر"),"",Sync!$M324)</f>
        <v/>
      </c>
      <c r="O324" t="str">
        <f t="shared" si="31"/>
        <v/>
      </c>
      <c r="P324" t="str">
        <f>IF($N324="","",LEFT($Q324,4)&amp;MID($Q324,6,2)&amp;RIGHT($Q324,2)&amp;IF(Sync!$K324="","0000",IF(AND(ISNUMBER(Sync!$K324),Sync!$K324&gt;=0,Sync!$K324&lt;1),RIGHT("00"&amp;HOUR(Sync!$K324),2)&amp;RIGHT("00"&amp;MINUTE(Sync!$K324),2),IFERROR(RIGHT("00"&amp;VALUE(LEFT(Sync!$K324,FIND(":",Sync!$K324)-1)),2)&amp;RIGHT("00"&amp;VALUE(MID(Sync!$K324,FIND(":",Sync!$K324)+1,2)),2),"0000")))&amp;"|"&amp;"2"&amp;RIGHT("00000"&amp;319,5))</f>
        <v/>
      </c>
      <c r="Q324" t="str">
        <f>IF(Sync!$J324="","",IF(ISNUMBER(Sync!$J324),IF(AND(Sync!$J324&gt;=10000101,Sync!$J324&lt;=99991231),INT(Sync!$J324/10000)&amp;"/"&amp;RIGHT("00"&amp;INT(MOD(Sync!$J324,10000)/100),2)&amp;"/"&amp;RIGHT("00"&amp;MOD(Sync!$J324,100),2),"نامعتبر"),IF(LEN(Sync!$J324)=10,Sync!$J324,"نامعتبر")))</f>
        <v/>
      </c>
      <c r="R324" t="str">
        <f t="shared" si="32"/>
        <v/>
      </c>
      <c r="S324" t="str">
        <f t="shared" si="33"/>
        <v/>
      </c>
      <c r="T324" t="str">
        <f>IF($N324="","",IF(Sync!$N324="",0,Sync!$N324))</f>
        <v/>
      </c>
      <c r="U324" t="str">
        <f>IF($N324="","",IF(Sync!$O324="",0,Sync!$O324))</f>
        <v/>
      </c>
      <c r="V324" t="str">
        <f>IF($N324="","",Sync!$L324)</f>
        <v/>
      </c>
      <c r="W324" t="str">
        <f>IF($N324="","",Sync!$P324)</f>
        <v/>
      </c>
      <c r="AA324" t="str">
        <f>IF($A324="","",IF(COUNTIF($A$6:$A324,$A324)=1,1,0))</f>
        <v/>
      </c>
      <c r="AB324">
        <f>SUM($AA$6:$AA324)</f>
        <v>3</v>
      </c>
      <c r="AC324" t="str">
        <f t="shared" si="34"/>
        <v/>
      </c>
    </row>
    <row r="325" spans="1:29" x14ac:dyDescent="0.2">
      <c r="A325" t="str">
        <f>IF(OR(Entry!$B328="",Entry!$E328="",$E325="نامعتبر"),"",Entry!$E328)</f>
        <v/>
      </c>
      <c r="B325" t="str">
        <f>IF($A325="","",LEFT($E325,4)&amp;MID($E325,6,2)&amp;RIGHT($E325,2)&amp;$F325&amp;"|"&amp;"1"&amp;RIGHT("00000"&amp;320,5))</f>
        <v/>
      </c>
      <c r="C325" t="str">
        <f t="shared" si="28"/>
        <v/>
      </c>
      <c r="D325" t="str">
        <f t="shared" si="29"/>
        <v/>
      </c>
      <c r="E325" t="str">
        <f>IF(Entry!$B328="","",IF(ISNUMBER(Entry!$B328),IF(AND(Entry!$B328&gt;=10000101,Entry!$B328&lt;=99991231),INT(Entry!$B328/10000)&amp;"/"&amp;RIGHT("00"&amp;INT(MOD(Entry!$B328,10000)/100),2)&amp;"/"&amp;RIGHT("00"&amp;MOD(Entry!$B328,100),2),"نامعتبر"),IF(LEN(Entry!$B328)=10,Entry!$B328,"نامعتبر")))</f>
        <v/>
      </c>
      <c r="F325" t="str">
        <f>IF(Entry!$B328="","",IF(Entry!$C328="","0000",IF(AND(ISNUMBER(Entry!$C328),Entry!$C328&gt;=0,Entry!$C328&lt;1),RIGHT("00"&amp;HOUR(Entry!$C328),2)&amp;RIGHT("00"&amp;MINUTE(Entry!$C328),2),IFERROR(RIGHT("00"&amp;VALUE(LEFT(Entry!$C328,FIND(":",Entry!$C328)-1)),2)&amp;RIGHT("00"&amp;VALUE(MID(Entry!$C328,FIND(":",Entry!$C328)+1,2)),2),"0000"))))</f>
        <v/>
      </c>
      <c r="G325" t="str">
        <f>IF($A325="","",Entry!$G328)</f>
        <v/>
      </c>
      <c r="H325" t="str">
        <f>IF($A325="","",IF(Entry!$H328="",0,Entry!$H328))</f>
        <v/>
      </c>
      <c r="I325" t="str">
        <f>IF($A325="","",IF(Entry!$I328="",0,Entry!$I328))</f>
        <v/>
      </c>
      <c r="J325" t="str">
        <f t="shared" si="30"/>
        <v/>
      </c>
      <c r="K325" t="str">
        <f>IF($A325="","",Entry!$D328)</f>
        <v/>
      </c>
      <c r="L325" t="str">
        <f>IF($A325="","",Entry!$L328)</f>
        <v/>
      </c>
      <c r="N325" t="str">
        <f>IF(OR(Sync!$M325="",$Q325="",$Q325="نامعتبر"),"",Sync!$M325)</f>
        <v/>
      </c>
      <c r="O325" t="str">
        <f t="shared" si="31"/>
        <v/>
      </c>
      <c r="P325" t="str">
        <f>IF($N325="","",LEFT($Q325,4)&amp;MID($Q325,6,2)&amp;RIGHT($Q325,2)&amp;IF(Sync!$K325="","0000",IF(AND(ISNUMBER(Sync!$K325),Sync!$K325&gt;=0,Sync!$K325&lt;1),RIGHT("00"&amp;HOUR(Sync!$K325),2)&amp;RIGHT("00"&amp;MINUTE(Sync!$K325),2),IFERROR(RIGHT("00"&amp;VALUE(LEFT(Sync!$K325,FIND(":",Sync!$K325)-1)),2)&amp;RIGHT("00"&amp;VALUE(MID(Sync!$K325,FIND(":",Sync!$K325)+1,2)),2),"0000")))&amp;"|"&amp;"2"&amp;RIGHT("00000"&amp;320,5))</f>
        <v/>
      </c>
      <c r="Q325" t="str">
        <f>IF(Sync!$J325="","",IF(ISNUMBER(Sync!$J325),IF(AND(Sync!$J325&gt;=10000101,Sync!$J325&lt;=99991231),INT(Sync!$J325/10000)&amp;"/"&amp;RIGHT("00"&amp;INT(MOD(Sync!$J325,10000)/100),2)&amp;"/"&amp;RIGHT("00"&amp;MOD(Sync!$J325,100),2),"نامعتبر"),IF(LEN(Sync!$J325)=10,Sync!$J325,"نامعتبر")))</f>
        <v/>
      </c>
      <c r="R325" t="str">
        <f t="shared" si="32"/>
        <v/>
      </c>
      <c r="S325" t="str">
        <f t="shared" si="33"/>
        <v/>
      </c>
      <c r="T325" t="str">
        <f>IF($N325="","",IF(Sync!$N325="",0,Sync!$N325))</f>
        <v/>
      </c>
      <c r="U325" t="str">
        <f>IF($N325="","",IF(Sync!$O325="",0,Sync!$O325))</f>
        <v/>
      </c>
      <c r="V325" t="str">
        <f>IF($N325="","",Sync!$L325)</f>
        <v/>
      </c>
      <c r="W325" t="str">
        <f>IF($N325="","",Sync!$P325)</f>
        <v/>
      </c>
      <c r="AA325" t="str">
        <f>IF($A325="","",IF(COUNTIF($A$6:$A325,$A325)=1,1,0))</f>
        <v/>
      </c>
      <c r="AB325">
        <f>SUM($AA$6:$AA325)</f>
        <v>3</v>
      </c>
      <c r="AC325" t="str">
        <f t="shared" si="34"/>
        <v/>
      </c>
    </row>
    <row r="326" spans="1:29" x14ac:dyDescent="0.2">
      <c r="A326" t="str">
        <f>IF(OR(Entry!$B329="",Entry!$E329="",$E326="نامعتبر"),"",Entry!$E329)</f>
        <v/>
      </c>
      <c r="B326" t="str">
        <f>IF($A326="","",LEFT($E326,4)&amp;MID($E326,6,2)&amp;RIGHT($E326,2)&amp;$F326&amp;"|"&amp;"1"&amp;RIGHT("00000"&amp;321,5))</f>
        <v/>
      </c>
      <c r="C326" t="str">
        <f t="shared" ref="C326:C389" si="35">IF($B326="","",COUNTIFS($A$6:$A$1005,$A326,$B$6:$B$1005,"&lt;"&amp;$B326)+COUNTIFS($N$6:$N$2005,$A326,$P$6:$P$2005,"&lt;"&amp;$B326)+1)</f>
        <v/>
      </c>
      <c r="D326" t="str">
        <f t="shared" ref="D326:D389" si="36">IF($C326="","",$A326&amp;"|"&amp;RIGHT("000000"&amp;$C326,6))</f>
        <v/>
      </c>
      <c r="E326" t="str">
        <f>IF(Entry!$B329="","",IF(ISNUMBER(Entry!$B329),IF(AND(Entry!$B329&gt;=10000101,Entry!$B329&lt;=99991231),INT(Entry!$B329/10000)&amp;"/"&amp;RIGHT("00"&amp;INT(MOD(Entry!$B329,10000)/100),2)&amp;"/"&amp;RIGHT("00"&amp;MOD(Entry!$B329,100),2),"نامعتبر"),IF(LEN(Entry!$B329)=10,Entry!$B329,"نامعتبر")))</f>
        <v/>
      </c>
      <c r="F326" t="str">
        <f>IF(Entry!$B329="","",IF(Entry!$C329="","0000",IF(AND(ISNUMBER(Entry!$C329),Entry!$C329&gt;=0,Entry!$C329&lt;1),RIGHT("00"&amp;HOUR(Entry!$C329),2)&amp;RIGHT("00"&amp;MINUTE(Entry!$C329),2),IFERROR(RIGHT("00"&amp;VALUE(LEFT(Entry!$C329,FIND(":",Entry!$C329)-1)),2)&amp;RIGHT("00"&amp;VALUE(MID(Entry!$C329,FIND(":",Entry!$C329)+1,2)),2),"0000"))))</f>
        <v/>
      </c>
      <c r="G326" t="str">
        <f>IF($A326="","",Entry!$G329)</f>
        <v/>
      </c>
      <c r="H326" t="str">
        <f>IF($A326="","",IF(Entry!$H329="",0,Entry!$H329))</f>
        <v/>
      </c>
      <c r="I326" t="str">
        <f>IF($A326="","",IF(Entry!$I329="",0,Entry!$I329))</f>
        <v/>
      </c>
      <c r="J326" t="str">
        <f t="shared" ref="J326:J389" si="37">IF($A326="","",ROUND($H326*$I326,0))</f>
        <v/>
      </c>
      <c r="K326" t="str">
        <f>IF($A326="","",Entry!$D329)</f>
        <v/>
      </c>
      <c r="L326" t="str">
        <f>IF($A326="","",Entry!$L329)</f>
        <v/>
      </c>
      <c r="N326" t="str">
        <f>IF(OR(Sync!$M326="",$Q326="",$Q326="نامعتبر"),"",Sync!$M326)</f>
        <v/>
      </c>
      <c r="O326" t="str">
        <f t="shared" ref="O326:O389" si="38">IF($N326="","",$Q326)</f>
        <v/>
      </c>
      <c r="P326" t="str">
        <f>IF($N326="","",LEFT($Q326,4)&amp;MID($Q326,6,2)&amp;RIGHT($Q326,2)&amp;IF(Sync!$K326="","0000",IF(AND(ISNUMBER(Sync!$K326),Sync!$K326&gt;=0,Sync!$K326&lt;1),RIGHT("00"&amp;HOUR(Sync!$K326),2)&amp;RIGHT("00"&amp;MINUTE(Sync!$K326),2),IFERROR(RIGHT("00"&amp;VALUE(LEFT(Sync!$K326,FIND(":",Sync!$K326)-1)),2)&amp;RIGHT("00"&amp;VALUE(MID(Sync!$K326,FIND(":",Sync!$K326)+1,2)),2),"0000")))&amp;"|"&amp;"2"&amp;RIGHT("00000"&amp;321,5))</f>
        <v/>
      </c>
      <c r="Q326" t="str">
        <f>IF(Sync!$J326="","",IF(ISNUMBER(Sync!$J326),IF(AND(Sync!$J326&gt;=10000101,Sync!$J326&lt;=99991231),INT(Sync!$J326/10000)&amp;"/"&amp;RIGHT("00"&amp;INT(MOD(Sync!$J326,10000)/100),2)&amp;"/"&amp;RIGHT("00"&amp;MOD(Sync!$J326,100),2),"نامعتبر"),IF(LEN(Sync!$J326)=10,Sync!$J326,"نامعتبر")))</f>
        <v/>
      </c>
      <c r="R326" t="str">
        <f t="shared" ref="R326:R389" si="39">IF($P326="","",COUNTIFS($N$6:$N$2005,$N326,$P$6:$P$2005,"&lt;"&amp;$P326)+COUNTIFS($A$6:$A$1005,$N326,$B$6:$B$1005,"&lt;"&amp;$P326)+1)</f>
        <v/>
      </c>
      <c r="S326" t="str">
        <f t="shared" ref="S326:S389" si="40">IF($N326="","",$N326&amp;"|"&amp;RIGHT("000000"&amp;$R326,6))</f>
        <v/>
      </c>
      <c r="T326" t="str">
        <f>IF($N326="","",IF(Sync!$N326="",0,Sync!$N326))</f>
        <v/>
      </c>
      <c r="U326" t="str">
        <f>IF($N326="","",IF(Sync!$O326="",0,Sync!$O326))</f>
        <v/>
      </c>
      <c r="V326" t="str">
        <f>IF($N326="","",Sync!$L326)</f>
        <v/>
      </c>
      <c r="W326" t="str">
        <f>IF($N326="","",Sync!$P326)</f>
        <v/>
      </c>
      <c r="AA326" t="str">
        <f>IF($A326="","",IF(COUNTIF($A$6:$A326,$A326)=1,1,0))</f>
        <v/>
      </c>
      <c r="AB326">
        <f>SUM($AA$6:$AA326)</f>
        <v>3</v>
      </c>
      <c r="AC326" t="str">
        <f t="shared" ref="AC326:AC389" si="41">IFERROR(INDEX($A$6:$A$1005,MATCH(ROW()-5,$AB$6:$AB$1005,0)),"")</f>
        <v/>
      </c>
    </row>
    <row r="327" spans="1:29" x14ac:dyDescent="0.2">
      <c r="A327" t="str">
        <f>IF(OR(Entry!$B330="",Entry!$E330="",$E327="نامعتبر"),"",Entry!$E330)</f>
        <v/>
      </c>
      <c r="B327" t="str">
        <f>IF($A327="","",LEFT($E327,4)&amp;MID($E327,6,2)&amp;RIGHT($E327,2)&amp;$F327&amp;"|"&amp;"1"&amp;RIGHT("00000"&amp;322,5))</f>
        <v/>
      </c>
      <c r="C327" t="str">
        <f t="shared" si="35"/>
        <v/>
      </c>
      <c r="D327" t="str">
        <f t="shared" si="36"/>
        <v/>
      </c>
      <c r="E327" t="str">
        <f>IF(Entry!$B330="","",IF(ISNUMBER(Entry!$B330),IF(AND(Entry!$B330&gt;=10000101,Entry!$B330&lt;=99991231),INT(Entry!$B330/10000)&amp;"/"&amp;RIGHT("00"&amp;INT(MOD(Entry!$B330,10000)/100),2)&amp;"/"&amp;RIGHT("00"&amp;MOD(Entry!$B330,100),2),"نامعتبر"),IF(LEN(Entry!$B330)=10,Entry!$B330,"نامعتبر")))</f>
        <v/>
      </c>
      <c r="F327" t="str">
        <f>IF(Entry!$B330="","",IF(Entry!$C330="","0000",IF(AND(ISNUMBER(Entry!$C330),Entry!$C330&gt;=0,Entry!$C330&lt;1),RIGHT("00"&amp;HOUR(Entry!$C330),2)&amp;RIGHT("00"&amp;MINUTE(Entry!$C330),2),IFERROR(RIGHT("00"&amp;VALUE(LEFT(Entry!$C330,FIND(":",Entry!$C330)-1)),2)&amp;RIGHT("00"&amp;VALUE(MID(Entry!$C330,FIND(":",Entry!$C330)+1,2)),2),"0000"))))</f>
        <v/>
      </c>
      <c r="G327" t="str">
        <f>IF($A327="","",Entry!$G330)</f>
        <v/>
      </c>
      <c r="H327" t="str">
        <f>IF($A327="","",IF(Entry!$H330="",0,Entry!$H330))</f>
        <v/>
      </c>
      <c r="I327" t="str">
        <f>IF($A327="","",IF(Entry!$I330="",0,Entry!$I330))</f>
        <v/>
      </c>
      <c r="J327" t="str">
        <f t="shared" si="37"/>
        <v/>
      </c>
      <c r="K327" t="str">
        <f>IF($A327="","",Entry!$D330)</f>
        <v/>
      </c>
      <c r="L327" t="str">
        <f>IF($A327="","",Entry!$L330)</f>
        <v/>
      </c>
      <c r="N327" t="str">
        <f>IF(OR(Sync!$M327="",$Q327="",$Q327="نامعتبر"),"",Sync!$M327)</f>
        <v/>
      </c>
      <c r="O327" t="str">
        <f t="shared" si="38"/>
        <v/>
      </c>
      <c r="P327" t="str">
        <f>IF($N327="","",LEFT($Q327,4)&amp;MID($Q327,6,2)&amp;RIGHT($Q327,2)&amp;IF(Sync!$K327="","0000",IF(AND(ISNUMBER(Sync!$K327),Sync!$K327&gt;=0,Sync!$K327&lt;1),RIGHT("00"&amp;HOUR(Sync!$K327),2)&amp;RIGHT("00"&amp;MINUTE(Sync!$K327),2),IFERROR(RIGHT("00"&amp;VALUE(LEFT(Sync!$K327,FIND(":",Sync!$K327)-1)),2)&amp;RIGHT("00"&amp;VALUE(MID(Sync!$K327,FIND(":",Sync!$K327)+1,2)),2),"0000")))&amp;"|"&amp;"2"&amp;RIGHT("00000"&amp;322,5))</f>
        <v/>
      </c>
      <c r="Q327" t="str">
        <f>IF(Sync!$J327="","",IF(ISNUMBER(Sync!$J327),IF(AND(Sync!$J327&gt;=10000101,Sync!$J327&lt;=99991231),INT(Sync!$J327/10000)&amp;"/"&amp;RIGHT("00"&amp;INT(MOD(Sync!$J327,10000)/100),2)&amp;"/"&amp;RIGHT("00"&amp;MOD(Sync!$J327,100),2),"نامعتبر"),IF(LEN(Sync!$J327)=10,Sync!$J327,"نامعتبر")))</f>
        <v/>
      </c>
      <c r="R327" t="str">
        <f t="shared" si="39"/>
        <v/>
      </c>
      <c r="S327" t="str">
        <f t="shared" si="40"/>
        <v/>
      </c>
      <c r="T327" t="str">
        <f>IF($N327="","",IF(Sync!$N327="",0,Sync!$N327))</f>
        <v/>
      </c>
      <c r="U327" t="str">
        <f>IF($N327="","",IF(Sync!$O327="",0,Sync!$O327))</f>
        <v/>
      </c>
      <c r="V327" t="str">
        <f>IF($N327="","",Sync!$L327)</f>
        <v/>
      </c>
      <c r="W327" t="str">
        <f>IF($N327="","",Sync!$P327)</f>
        <v/>
      </c>
      <c r="AA327" t="str">
        <f>IF($A327="","",IF(COUNTIF($A$6:$A327,$A327)=1,1,0))</f>
        <v/>
      </c>
      <c r="AB327">
        <f>SUM($AA$6:$AA327)</f>
        <v>3</v>
      </c>
      <c r="AC327" t="str">
        <f t="shared" si="41"/>
        <v/>
      </c>
    </row>
    <row r="328" spans="1:29" x14ac:dyDescent="0.2">
      <c r="A328" t="str">
        <f>IF(OR(Entry!$B331="",Entry!$E331="",$E328="نامعتبر"),"",Entry!$E331)</f>
        <v/>
      </c>
      <c r="B328" t="str">
        <f>IF($A328="","",LEFT($E328,4)&amp;MID($E328,6,2)&amp;RIGHT($E328,2)&amp;$F328&amp;"|"&amp;"1"&amp;RIGHT("00000"&amp;323,5))</f>
        <v/>
      </c>
      <c r="C328" t="str">
        <f t="shared" si="35"/>
        <v/>
      </c>
      <c r="D328" t="str">
        <f t="shared" si="36"/>
        <v/>
      </c>
      <c r="E328" t="str">
        <f>IF(Entry!$B331="","",IF(ISNUMBER(Entry!$B331),IF(AND(Entry!$B331&gt;=10000101,Entry!$B331&lt;=99991231),INT(Entry!$B331/10000)&amp;"/"&amp;RIGHT("00"&amp;INT(MOD(Entry!$B331,10000)/100),2)&amp;"/"&amp;RIGHT("00"&amp;MOD(Entry!$B331,100),2),"نامعتبر"),IF(LEN(Entry!$B331)=10,Entry!$B331,"نامعتبر")))</f>
        <v/>
      </c>
      <c r="F328" t="str">
        <f>IF(Entry!$B331="","",IF(Entry!$C331="","0000",IF(AND(ISNUMBER(Entry!$C331),Entry!$C331&gt;=0,Entry!$C331&lt;1),RIGHT("00"&amp;HOUR(Entry!$C331),2)&amp;RIGHT("00"&amp;MINUTE(Entry!$C331),2),IFERROR(RIGHT("00"&amp;VALUE(LEFT(Entry!$C331,FIND(":",Entry!$C331)-1)),2)&amp;RIGHT("00"&amp;VALUE(MID(Entry!$C331,FIND(":",Entry!$C331)+1,2)),2),"0000"))))</f>
        <v/>
      </c>
      <c r="G328" t="str">
        <f>IF($A328="","",Entry!$G331)</f>
        <v/>
      </c>
      <c r="H328" t="str">
        <f>IF($A328="","",IF(Entry!$H331="",0,Entry!$H331))</f>
        <v/>
      </c>
      <c r="I328" t="str">
        <f>IF($A328="","",IF(Entry!$I331="",0,Entry!$I331))</f>
        <v/>
      </c>
      <c r="J328" t="str">
        <f t="shared" si="37"/>
        <v/>
      </c>
      <c r="K328" t="str">
        <f>IF($A328="","",Entry!$D331)</f>
        <v/>
      </c>
      <c r="L328" t="str">
        <f>IF($A328="","",Entry!$L331)</f>
        <v/>
      </c>
      <c r="N328" t="str">
        <f>IF(OR(Sync!$M328="",$Q328="",$Q328="نامعتبر"),"",Sync!$M328)</f>
        <v/>
      </c>
      <c r="O328" t="str">
        <f t="shared" si="38"/>
        <v/>
      </c>
      <c r="P328" t="str">
        <f>IF($N328="","",LEFT($Q328,4)&amp;MID($Q328,6,2)&amp;RIGHT($Q328,2)&amp;IF(Sync!$K328="","0000",IF(AND(ISNUMBER(Sync!$K328),Sync!$K328&gt;=0,Sync!$K328&lt;1),RIGHT("00"&amp;HOUR(Sync!$K328),2)&amp;RIGHT("00"&amp;MINUTE(Sync!$K328),2),IFERROR(RIGHT("00"&amp;VALUE(LEFT(Sync!$K328,FIND(":",Sync!$K328)-1)),2)&amp;RIGHT("00"&amp;VALUE(MID(Sync!$K328,FIND(":",Sync!$K328)+1,2)),2),"0000")))&amp;"|"&amp;"2"&amp;RIGHT("00000"&amp;323,5))</f>
        <v/>
      </c>
      <c r="Q328" t="str">
        <f>IF(Sync!$J328="","",IF(ISNUMBER(Sync!$J328),IF(AND(Sync!$J328&gt;=10000101,Sync!$J328&lt;=99991231),INT(Sync!$J328/10000)&amp;"/"&amp;RIGHT("00"&amp;INT(MOD(Sync!$J328,10000)/100),2)&amp;"/"&amp;RIGHT("00"&amp;MOD(Sync!$J328,100),2),"نامعتبر"),IF(LEN(Sync!$J328)=10,Sync!$J328,"نامعتبر")))</f>
        <v/>
      </c>
      <c r="R328" t="str">
        <f t="shared" si="39"/>
        <v/>
      </c>
      <c r="S328" t="str">
        <f t="shared" si="40"/>
        <v/>
      </c>
      <c r="T328" t="str">
        <f>IF($N328="","",IF(Sync!$N328="",0,Sync!$N328))</f>
        <v/>
      </c>
      <c r="U328" t="str">
        <f>IF($N328="","",IF(Sync!$O328="",0,Sync!$O328))</f>
        <v/>
      </c>
      <c r="V328" t="str">
        <f>IF($N328="","",Sync!$L328)</f>
        <v/>
      </c>
      <c r="W328" t="str">
        <f>IF($N328="","",Sync!$P328)</f>
        <v/>
      </c>
      <c r="AA328" t="str">
        <f>IF($A328="","",IF(COUNTIF($A$6:$A328,$A328)=1,1,0))</f>
        <v/>
      </c>
      <c r="AB328">
        <f>SUM($AA$6:$AA328)</f>
        <v>3</v>
      </c>
      <c r="AC328" t="str">
        <f t="shared" si="41"/>
        <v/>
      </c>
    </row>
    <row r="329" spans="1:29" x14ac:dyDescent="0.2">
      <c r="A329" t="str">
        <f>IF(OR(Entry!$B332="",Entry!$E332="",$E329="نامعتبر"),"",Entry!$E332)</f>
        <v/>
      </c>
      <c r="B329" t="str">
        <f>IF($A329="","",LEFT($E329,4)&amp;MID($E329,6,2)&amp;RIGHT($E329,2)&amp;$F329&amp;"|"&amp;"1"&amp;RIGHT("00000"&amp;324,5))</f>
        <v/>
      </c>
      <c r="C329" t="str">
        <f t="shared" si="35"/>
        <v/>
      </c>
      <c r="D329" t="str">
        <f t="shared" si="36"/>
        <v/>
      </c>
      <c r="E329" t="str">
        <f>IF(Entry!$B332="","",IF(ISNUMBER(Entry!$B332),IF(AND(Entry!$B332&gt;=10000101,Entry!$B332&lt;=99991231),INT(Entry!$B332/10000)&amp;"/"&amp;RIGHT("00"&amp;INT(MOD(Entry!$B332,10000)/100),2)&amp;"/"&amp;RIGHT("00"&amp;MOD(Entry!$B332,100),2),"نامعتبر"),IF(LEN(Entry!$B332)=10,Entry!$B332,"نامعتبر")))</f>
        <v/>
      </c>
      <c r="F329" t="str">
        <f>IF(Entry!$B332="","",IF(Entry!$C332="","0000",IF(AND(ISNUMBER(Entry!$C332),Entry!$C332&gt;=0,Entry!$C332&lt;1),RIGHT("00"&amp;HOUR(Entry!$C332),2)&amp;RIGHT("00"&amp;MINUTE(Entry!$C332),2),IFERROR(RIGHT("00"&amp;VALUE(LEFT(Entry!$C332,FIND(":",Entry!$C332)-1)),2)&amp;RIGHT("00"&amp;VALUE(MID(Entry!$C332,FIND(":",Entry!$C332)+1,2)),2),"0000"))))</f>
        <v/>
      </c>
      <c r="G329" t="str">
        <f>IF($A329="","",Entry!$G332)</f>
        <v/>
      </c>
      <c r="H329" t="str">
        <f>IF($A329="","",IF(Entry!$H332="",0,Entry!$H332))</f>
        <v/>
      </c>
      <c r="I329" t="str">
        <f>IF($A329="","",IF(Entry!$I332="",0,Entry!$I332))</f>
        <v/>
      </c>
      <c r="J329" t="str">
        <f t="shared" si="37"/>
        <v/>
      </c>
      <c r="K329" t="str">
        <f>IF($A329="","",Entry!$D332)</f>
        <v/>
      </c>
      <c r="L329" t="str">
        <f>IF($A329="","",Entry!$L332)</f>
        <v/>
      </c>
      <c r="N329" t="str">
        <f>IF(OR(Sync!$M329="",$Q329="",$Q329="نامعتبر"),"",Sync!$M329)</f>
        <v/>
      </c>
      <c r="O329" t="str">
        <f t="shared" si="38"/>
        <v/>
      </c>
      <c r="P329" t="str">
        <f>IF($N329="","",LEFT($Q329,4)&amp;MID($Q329,6,2)&amp;RIGHT($Q329,2)&amp;IF(Sync!$K329="","0000",IF(AND(ISNUMBER(Sync!$K329),Sync!$K329&gt;=0,Sync!$K329&lt;1),RIGHT("00"&amp;HOUR(Sync!$K329),2)&amp;RIGHT("00"&amp;MINUTE(Sync!$K329),2),IFERROR(RIGHT("00"&amp;VALUE(LEFT(Sync!$K329,FIND(":",Sync!$K329)-1)),2)&amp;RIGHT("00"&amp;VALUE(MID(Sync!$K329,FIND(":",Sync!$K329)+1,2)),2),"0000")))&amp;"|"&amp;"2"&amp;RIGHT("00000"&amp;324,5))</f>
        <v/>
      </c>
      <c r="Q329" t="str">
        <f>IF(Sync!$J329="","",IF(ISNUMBER(Sync!$J329),IF(AND(Sync!$J329&gt;=10000101,Sync!$J329&lt;=99991231),INT(Sync!$J329/10000)&amp;"/"&amp;RIGHT("00"&amp;INT(MOD(Sync!$J329,10000)/100),2)&amp;"/"&amp;RIGHT("00"&amp;MOD(Sync!$J329,100),2),"نامعتبر"),IF(LEN(Sync!$J329)=10,Sync!$J329,"نامعتبر")))</f>
        <v/>
      </c>
      <c r="R329" t="str">
        <f t="shared" si="39"/>
        <v/>
      </c>
      <c r="S329" t="str">
        <f t="shared" si="40"/>
        <v/>
      </c>
      <c r="T329" t="str">
        <f>IF($N329="","",IF(Sync!$N329="",0,Sync!$N329))</f>
        <v/>
      </c>
      <c r="U329" t="str">
        <f>IF($N329="","",IF(Sync!$O329="",0,Sync!$O329))</f>
        <v/>
      </c>
      <c r="V329" t="str">
        <f>IF($N329="","",Sync!$L329)</f>
        <v/>
      </c>
      <c r="W329" t="str">
        <f>IF($N329="","",Sync!$P329)</f>
        <v/>
      </c>
      <c r="AA329" t="str">
        <f>IF($A329="","",IF(COUNTIF($A$6:$A329,$A329)=1,1,0))</f>
        <v/>
      </c>
      <c r="AB329">
        <f>SUM($AA$6:$AA329)</f>
        <v>3</v>
      </c>
      <c r="AC329" t="str">
        <f t="shared" si="41"/>
        <v/>
      </c>
    </row>
    <row r="330" spans="1:29" x14ac:dyDescent="0.2">
      <c r="A330" t="str">
        <f>IF(OR(Entry!$B333="",Entry!$E333="",$E330="نامعتبر"),"",Entry!$E333)</f>
        <v/>
      </c>
      <c r="B330" t="str">
        <f>IF($A330="","",LEFT($E330,4)&amp;MID($E330,6,2)&amp;RIGHT($E330,2)&amp;$F330&amp;"|"&amp;"1"&amp;RIGHT("00000"&amp;325,5))</f>
        <v/>
      </c>
      <c r="C330" t="str">
        <f t="shared" si="35"/>
        <v/>
      </c>
      <c r="D330" t="str">
        <f t="shared" si="36"/>
        <v/>
      </c>
      <c r="E330" t="str">
        <f>IF(Entry!$B333="","",IF(ISNUMBER(Entry!$B333),IF(AND(Entry!$B333&gt;=10000101,Entry!$B333&lt;=99991231),INT(Entry!$B333/10000)&amp;"/"&amp;RIGHT("00"&amp;INT(MOD(Entry!$B333,10000)/100),2)&amp;"/"&amp;RIGHT("00"&amp;MOD(Entry!$B333,100),2),"نامعتبر"),IF(LEN(Entry!$B333)=10,Entry!$B333,"نامعتبر")))</f>
        <v/>
      </c>
      <c r="F330" t="str">
        <f>IF(Entry!$B333="","",IF(Entry!$C333="","0000",IF(AND(ISNUMBER(Entry!$C333),Entry!$C333&gt;=0,Entry!$C333&lt;1),RIGHT("00"&amp;HOUR(Entry!$C333),2)&amp;RIGHT("00"&amp;MINUTE(Entry!$C333),2),IFERROR(RIGHT("00"&amp;VALUE(LEFT(Entry!$C333,FIND(":",Entry!$C333)-1)),2)&amp;RIGHT("00"&amp;VALUE(MID(Entry!$C333,FIND(":",Entry!$C333)+1,2)),2),"0000"))))</f>
        <v/>
      </c>
      <c r="G330" t="str">
        <f>IF($A330="","",Entry!$G333)</f>
        <v/>
      </c>
      <c r="H330" t="str">
        <f>IF($A330="","",IF(Entry!$H333="",0,Entry!$H333))</f>
        <v/>
      </c>
      <c r="I330" t="str">
        <f>IF($A330="","",IF(Entry!$I333="",0,Entry!$I333))</f>
        <v/>
      </c>
      <c r="J330" t="str">
        <f t="shared" si="37"/>
        <v/>
      </c>
      <c r="K330" t="str">
        <f>IF($A330="","",Entry!$D333)</f>
        <v/>
      </c>
      <c r="L330" t="str">
        <f>IF($A330="","",Entry!$L333)</f>
        <v/>
      </c>
      <c r="N330" t="str">
        <f>IF(OR(Sync!$M330="",$Q330="",$Q330="نامعتبر"),"",Sync!$M330)</f>
        <v/>
      </c>
      <c r="O330" t="str">
        <f t="shared" si="38"/>
        <v/>
      </c>
      <c r="P330" t="str">
        <f>IF($N330="","",LEFT($Q330,4)&amp;MID($Q330,6,2)&amp;RIGHT($Q330,2)&amp;IF(Sync!$K330="","0000",IF(AND(ISNUMBER(Sync!$K330),Sync!$K330&gt;=0,Sync!$K330&lt;1),RIGHT("00"&amp;HOUR(Sync!$K330),2)&amp;RIGHT("00"&amp;MINUTE(Sync!$K330),2),IFERROR(RIGHT("00"&amp;VALUE(LEFT(Sync!$K330,FIND(":",Sync!$K330)-1)),2)&amp;RIGHT("00"&amp;VALUE(MID(Sync!$K330,FIND(":",Sync!$K330)+1,2)),2),"0000")))&amp;"|"&amp;"2"&amp;RIGHT("00000"&amp;325,5))</f>
        <v/>
      </c>
      <c r="Q330" t="str">
        <f>IF(Sync!$J330="","",IF(ISNUMBER(Sync!$J330),IF(AND(Sync!$J330&gt;=10000101,Sync!$J330&lt;=99991231),INT(Sync!$J330/10000)&amp;"/"&amp;RIGHT("00"&amp;INT(MOD(Sync!$J330,10000)/100),2)&amp;"/"&amp;RIGHT("00"&amp;MOD(Sync!$J330,100),2),"نامعتبر"),IF(LEN(Sync!$J330)=10,Sync!$J330,"نامعتبر")))</f>
        <v/>
      </c>
      <c r="R330" t="str">
        <f t="shared" si="39"/>
        <v/>
      </c>
      <c r="S330" t="str">
        <f t="shared" si="40"/>
        <v/>
      </c>
      <c r="T330" t="str">
        <f>IF($N330="","",IF(Sync!$N330="",0,Sync!$N330))</f>
        <v/>
      </c>
      <c r="U330" t="str">
        <f>IF($N330="","",IF(Sync!$O330="",0,Sync!$O330))</f>
        <v/>
      </c>
      <c r="V330" t="str">
        <f>IF($N330="","",Sync!$L330)</f>
        <v/>
      </c>
      <c r="W330" t="str">
        <f>IF($N330="","",Sync!$P330)</f>
        <v/>
      </c>
      <c r="AA330" t="str">
        <f>IF($A330="","",IF(COUNTIF($A$6:$A330,$A330)=1,1,0))</f>
        <v/>
      </c>
      <c r="AB330">
        <f>SUM($AA$6:$AA330)</f>
        <v>3</v>
      </c>
      <c r="AC330" t="str">
        <f t="shared" si="41"/>
        <v/>
      </c>
    </row>
    <row r="331" spans="1:29" x14ac:dyDescent="0.2">
      <c r="A331" t="str">
        <f>IF(OR(Entry!$B334="",Entry!$E334="",$E331="نامعتبر"),"",Entry!$E334)</f>
        <v/>
      </c>
      <c r="B331" t="str">
        <f>IF($A331="","",LEFT($E331,4)&amp;MID($E331,6,2)&amp;RIGHT($E331,2)&amp;$F331&amp;"|"&amp;"1"&amp;RIGHT("00000"&amp;326,5))</f>
        <v/>
      </c>
      <c r="C331" t="str">
        <f t="shared" si="35"/>
        <v/>
      </c>
      <c r="D331" t="str">
        <f t="shared" si="36"/>
        <v/>
      </c>
      <c r="E331" t="str">
        <f>IF(Entry!$B334="","",IF(ISNUMBER(Entry!$B334),IF(AND(Entry!$B334&gt;=10000101,Entry!$B334&lt;=99991231),INT(Entry!$B334/10000)&amp;"/"&amp;RIGHT("00"&amp;INT(MOD(Entry!$B334,10000)/100),2)&amp;"/"&amp;RIGHT("00"&amp;MOD(Entry!$B334,100),2),"نامعتبر"),IF(LEN(Entry!$B334)=10,Entry!$B334,"نامعتبر")))</f>
        <v/>
      </c>
      <c r="F331" t="str">
        <f>IF(Entry!$B334="","",IF(Entry!$C334="","0000",IF(AND(ISNUMBER(Entry!$C334),Entry!$C334&gt;=0,Entry!$C334&lt;1),RIGHT("00"&amp;HOUR(Entry!$C334),2)&amp;RIGHT("00"&amp;MINUTE(Entry!$C334),2),IFERROR(RIGHT("00"&amp;VALUE(LEFT(Entry!$C334,FIND(":",Entry!$C334)-1)),2)&amp;RIGHT("00"&amp;VALUE(MID(Entry!$C334,FIND(":",Entry!$C334)+1,2)),2),"0000"))))</f>
        <v/>
      </c>
      <c r="G331" t="str">
        <f>IF($A331="","",Entry!$G334)</f>
        <v/>
      </c>
      <c r="H331" t="str">
        <f>IF($A331="","",IF(Entry!$H334="",0,Entry!$H334))</f>
        <v/>
      </c>
      <c r="I331" t="str">
        <f>IF($A331="","",IF(Entry!$I334="",0,Entry!$I334))</f>
        <v/>
      </c>
      <c r="J331" t="str">
        <f t="shared" si="37"/>
        <v/>
      </c>
      <c r="K331" t="str">
        <f>IF($A331="","",Entry!$D334)</f>
        <v/>
      </c>
      <c r="L331" t="str">
        <f>IF($A331="","",Entry!$L334)</f>
        <v/>
      </c>
      <c r="N331" t="str">
        <f>IF(OR(Sync!$M331="",$Q331="",$Q331="نامعتبر"),"",Sync!$M331)</f>
        <v/>
      </c>
      <c r="O331" t="str">
        <f t="shared" si="38"/>
        <v/>
      </c>
      <c r="P331" t="str">
        <f>IF($N331="","",LEFT($Q331,4)&amp;MID($Q331,6,2)&amp;RIGHT($Q331,2)&amp;IF(Sync!$K331="","0000",IF(AND(ISNUMBER(Sync!$K331),Sync!$K331&gt;=0,Sync!$K331&lt;1),RIGHT("00"&amp;HOUR(Sync!$K331),2)&amp;RIGHT("00"&amp;MINUTE(Sync!$K331),2),IFERROR(RIGHT("00"&amp;VALUE(LEFT(Sync!$K331,FIND(":",Sync!$K331)-1)),2)&amp;RIGHT("00"&amp;VALUE(MID(Sync!$K331,FIND(":",Sync!$K331)+1,2)),2),"0000")))&amp;"|"&amp;"2"&amp;RIGHT("00000"&amp;326,5))</f>
        <v/>
      </c>
      <c r="Q331" t="str">
        <f>IF(Sync!$J331="","",IF(ISNUMBER(Sync!$J331),IF(AND(Sync!$J331&gt;=10000101,Sync!$J331&lt;=99991231),INT(Sync!$J331/10000)&amp;"/"&amp;RIGHT("00"&amp;INT(MOD(Sync!$J331,10000)/100),2)&amp;"/"&amp;RIGHT("00"&amp;MOD(Sync!$J331,100),2),"نامعتبر"),IF(LEN(Sync!$J331)=10,Sync!$J331,"نامعتبر")))</f>
        <v/>
      </c>
      <c r="R331" t="str">
        <f t="shared" si="39"/>
        <v/>
      </c>
      <c r="S331" t="str">
        <f t="shared" si="40"/>
        <v/>
      </c>
      <c r="T331" t="str">
        <f>IF($N331="","",IF(Sync!$N331="",0,Sync!$N331))</f>
        <v/>
      </c>
      <c r="U331" t="str">
        <f>IF($N331="","",IF(Sync!$O331="",0,Sync!$O331))</f>
        <v/>
      </c>
      <c r="V331" t="str">
        <f>IF($N331="","",Sync!$L331)</f>
        <v/>
      </c>
      <c r="W331" t="str">
        <f>IF($N331="","",Sync!$P331)</f>
        <v/>
      </c>
      <c r="AA331" t="str">
        <f>IF($A331="","",IF(COUNTIF($A$6:$A331,$A331)=1,1,0))</f>
        <v/>
      </c>
      <c r="AB331">
        <f>SUM($AA$6:$AA331)</f>
        <v>3</v>
      </c>
      <c r="AC331" t="str">
        <f t="shared" si="41"/>
        <v/>
      </c>
    </row>
    <row r="332" spans="1:29" x14ac:dyDescent="0.2">
      <c r="A332" t="str">
        <f>IF(OR(Entry!$B335="",Entry!$E335="",$E332="نامعتبر"),"",Entry!$E335)</f>
        <v/>
      </c>
      <c r="B332" t="str">
        <f>IF($A332="","",LEFT($E332,4)&amp;MID($E332,6,2)&amp;RIGHT($E332,2)&amp;$F332&amp;"|"&amp;"1"&amp;RIGHT("00000"&amp;327,5))</f>
        <v/>
      </c>
      <c r="C332" t="str">
        <f t="shared" si="35"/>
        <v/>
      </c>
      <c r="D332" t="str">
        <f t="shared" si="36"/>
        <v/>
      </c>
      <c r="E332" t="str">
        <f>IF(Entry!$B335="","",IF(ISNUMBER(Entry!$B335),IF(AND(Entry!$B335&gt;=10000101,Entry!$B335&lt;=99991231),INT(Entry!$B335/10000)&amp;"/"&amp;RIGHT("00"&amp;INT(MOD(Entry!$B335,10000)/100),2)&amp;"/"&amp;RIGHT("00"&amp;MOD(Entry!$B335,100),2),"نامعتبر"),IF(LEN(Entry!$B335)=10,Entry!$B335,"نامعتبر")))</f>
        <v/>
      </c>
      <c r="F332" t="str">
        <f>IF(Entry!$B335="","",IF(Entry!$C335="","0000",IF(AND(ISNUMBER(Entry!$C335),Entry!$C335&gt;=0,Entry!$C335&lt;1),RIGHT("00"&amp;HOUR(Entry!$C335),2)&amp;RIGHT("00"&amp;MINUTE(Entry!$C335),2),IFERROR(RIGHT("00"&amp;VALUE(LEFT(Entry!$C335,FIND(":",Entry!$C335)-1)),2)&amp;RIGHT("00"&amp;VALUE(MID(Entry!$C335,FIND(":",Entry!$C335)+1,2)),2),"0000"))))</f>
        <v/>
      </c>
      <c r="G332" t="str">
        <f>IF($A332="","",Entry!$G335)</f>
        <v/>
      </c>
      <c r="H332" t="str">
        <f>IF($A332="","",IF(Entry!$H335="",0,Entry!$H335))</f>
        <v/>
      </c>
      <c r="I332" t="str">
        <f>IF($A332="","",IF(Entry!$I335="",0,Entry!$I335))</f>
        <v/>
      </c>
      <c r="J332" t="str">
        <f t="shared" si="37"/>
        <v/>
      </c>
      <c r="K332" t="str">
        <f>IF($A332="","",Entry!$D335)</f>
        <v/>
      </c>
      <c r="L332" t="str">
        <f>IF($A332="","",Entry!$L335)</f>
        <v/>
      </c>
      <c r="N332" t="str">
        <f>IF(OR(Sync!$M332="",$Q332="",$Q332="نامعتبر"),"",Sync!$M332)</f>
        <v/>
      </c>
      <c r="O332" t="str">
        <f t="shared" si="38"/>
        <v/>
      </c>
      <c r="P332" t="str">
        <f>IF($N332="","",LEFT($Q332,4)&amp;MID($Q332,6,2)&amp;RIGHT($Q332,2)&amp;IF(Sync!$K332="","0000",IF(AND(ISNUMBER(Sync!$K332),Sync!$K332&gt;=0,Sync!$K332&lt;1),RIGHT("00"&amp;HOUR(Sync!$K332),2)&amp;RIGHT("00"&amp;MINUTE(Sync!$K332),2),IFERROR(RIGHT("00"&amp;VALUE(LEFT(Sync!$K332,FIND(":",Sync!$K332)-1)),2)&amp;RIGHT("00"&amp;VALUE(MID(Sync!$K332,FIND(":",Sync!$K332)+1,2)),2),"0000")))&amp;"|"&amp;"2"&amp;RIGHT("00000"&amp;327,5))</f>
        <v/>
      </c>
      <c r="Q332" t="str">
        <f>IF(Sync!$J332="","",IF(ISNUMBER(Sync!$J332),IF(AND(Sync!$J332&gt;=10000101,Sync!$J332&lt;=99991231),INT(Sync!$J332/10000)&amp;"/"&amp;RIGHT("00"&amp;INT(MOD(Sync!$J332,10000)/100),2)&amp;"/"&amp;RIGHT("00"&amp;MOD(Sync!$J332,100),2),"نامعتبر"),IF(LEN(Sync!$J332)=10,Sync!$J332,"نامعتبر")))</f>
        <v/>
      </c>
      <c r="R332" t="str">
        <f t="shared" si="39"/>
        <v/>
      </c>
      <c r="S332" t="str">
        <f t="shared" si="40"/>
        <v/>
      </c>
      <c r="T332" t="str">
        <f>IF($N332="","",IF(Sync!$N332="",0,Sync!$N332))</f>
        <v/>
      </c>
      <c r="U332" t="str">
        <f>IF($N332="","",IF(Sync!$O332="",0,Sync!$O332))</f>
        <v/>
      </c>
      <c r="V332" t="str">
        <f>IF($N332="","",Sync!$L332)</f>
        <v/>
      </c>
      <c r="W332" t="str">
        <f>IF($N332="","",Sync!$P332)</f>
        <v/>
      </c>
      <c r="AA332" t="str">
        <f>IF($A332="","",IF(COUNTIF($A$6:$A332,$A332)=1,1,0))</f>
        <v/>
      </c>
      <c r="AB332">
        <f>SUM($AA$6:$AA332)</f>
        <v>3</v>
      </c>
      <c r="AC332" t="str">
        <f t="shared" si="41"/>
        <v/>
      </c>
    </row>
    <row r="333" spans="1:29" x14ac:dyDescent="0.2">
      <c r="A333" t="str">
        <f>IF(OR(Entry!$B336="",Entry!$E336="",$E333="نامعتبر"),"",Entry!$E336)</f>
        <v/>
      </c>
      <c r="B333" t="str">
        <f>IF($A333="","",LEFT($E333,4)&amp;MID($E333,6,2)&amp;RIGHT($E333,2)&amp;$F333&amp;"|"&amp;"1"&amp;RIGHT("00000"&amp;328,5))</f>
        <v/>
      </c>
      <c r="C333" t="str">
        <f t="shared" si="35"/>
        <v/>
      </c>
      <c r="D333" t="str">
        <f t="shared" si="36"/>
        <v/>
      </c>
      <c r="E333" t="str">
        <f>IF(Entry!$B336="","",IF(ISNUMBER(Entry!$B336),IF(AND(Entry!$B336&gt;=10000101,Entry!$B336&lt;=99991231),INT(Entry!$B336/10000)&amp;"/"&amp;RIGHT("00"&amp;INT(MOD(Entry!$B336,10000)/100),2)&amp;"/"&amp;RIGHT("00"&amp;MOD(Entry!$B336,100),2),"نامعتبر"),IF(LEN(Entry!$B336)=10,Entry!$B336,"نامعتبر")))</f>
        <v/>
      </c>
      <c r="F333" t="str">
        <f>IF(Entry!$B336="","",IF(Entry!$C336="","0000",IF(AND(ISNUMBER(Entry!$C336),Entry!$C336&gt;=0,Entry!$C336&lt;1),RIGHT("00"&amp;HOUR(Entry!$C336),2)&amp;RIGHT("00"&amp;MINUTE(Entry!$C336),2),IFERROR(RIGHT("00"&amp;VALUE(LEFT(Entry!$C336,FIND(":",Entry!$C336)-1)),2)&amp;RIGHT("00"&amp;VALUE(MID(Entry!$C336,FIND(":",Entry!$C336)+1,2)),2),"0000"))))</f>
        <v/>
      </c>
      <c r="G333" t="str">
        <f>IF($A333="","",Entry!$G336)</f>
        <v/>
      </c>
      <c r="H333" t="str">
        <f>IF($A333="","",IF(Entry!$H336="",0,Entry!$H336))</f>
        <v/>
      </c>
      <c r="I333" t="str">
        <f>IF($A333="","",IF(Entry!$I336="",0,Entry!$I336))</f>
        <v/>
      </c>
      <c r="J333" t="str">
        <f t="shared" si="37"/>
        <v/>
      </c>
      <c r="K333" t="str">
        <f>IF($A333="","",Entry!$D336)</f>
        <v/>
      </c>
      <c r="L333" t="str">
        <f>IF($A333="","",Entry!$L336)</f>
        <v/>
      </c>
      <c r="N333" t="str">
        <f>IF(OR(Sync!$M333="",$Q333="",$Q333="نامعتبر"),"",Sync!$M333)</f>
        <v/>
      </c>
      <c r="O333" t="str">
        <f t="shared" si="38"/>
        <v/>
      </c>
      <c r="P333" t="str">
        <f>IF($N333="","",LEFT($Q333,4)&amp;MID($Q333,6,2)&amp;RIGHT($Q333,2)&amp;IF(Sync!$K333="","0000",IF(AND(ISNUMBER(Sync!$K333),Sync!$K333&gt;=0,Sync!$K333&lt;1),RIGHT("00"&amp;HOUR(Sync!$K333),2)&amp;RIGHT("00"&amp;MINUTE(Sync!$K333),2),IFERROR(RIGHT("00"&amp;VALUE(LEFT(Sync!$K333,FIND(":",Sync!$K333)-1)),2)&amp;RIGHT("00"&amp;VALUE(MID(Sync!$K333,FIND(":",Sync!$K333)+1,2)),2),"0000")))&amp;"|"&amp;"2"&amp;RIGHT("00000"&amp;328,5))</f>
        <v/>
      </c>
      <c r="Q333" t="str">
        <f>IF(Sync!$J333="","",IF(ISNUMBER(Sync!$J333),IF(AND(Sync!$J333&gt;=10000101,Sync!$J333&lt;=99991231),INT(Sync!$J333/10000)&amp;"/"&amp;RIGHT("00"&amp;INT(MOD(Sync!$J333,10000)/100),2)&amp;"/"&amp;RIGHT("00"&amp;MOD(Sync!$J333,100),2),"نامعتبر"),IF(LEN(Sync!$J333)=10,Sync!$J333,"نامعتبر")))</f>
        <v/>
      </c>
      <c r="R333" t="str">
        <f t="shared" si="39"/>
        <v/>
      </c>
      <c r="S333" t="str">
        <f t="shared" si="40"/>
        <v/>
      </c>
      <c r="T333" t="str">
        <f>IF($N333="","",IF(Sync!$N333="",0,Sync!$N333))</f>
        <v/>
      </c>
      <c r="U333" t="str">
        <f>IF($N333="","",IF(Sync!$O333="",0,Sync!$O333))</f>
        <v/>
      </c>
      <c r="V333" t="str">
        <f>IF($N333="","",Sync!$L333)</f>
        <v/>
      </c>
      <c r="W333" t="str">
        <f>IF($N333="","",Sync!$P333)</f>
        <v/>
      </c>
      <c r="AA333" t="str">
        <f>IF($A333="","",IF(COUNTIF($A$6:$A333,$A333)=1,1,0))</f>
        <v/>
      </c>
      <c r="AB333">
        <f>SUM($AA$6:$AA333)</f>
        <v>3</v>
      </c>
      <c r="AC333" t="str">
        <f t="shared" si="41"/>
        <v/>
      </c>
    </row>
    <row r="334" spans="1:29" x14ac:dyDescent="0.2">
      <c r="A334" t="str">
        <f>IF(OR(Entry!$B337="",Entry!$E337="",$E334="نامعتبر"),"",Entry!$E337)</f>
        <v/>
      </c>
      <c r="B334" t="str">
        <f>IF($A334="","",LEFT($E334,4)&amp;MID($E334,6,2)&amp;RIGHT($E334,2)&amp;$F334&amp;"|"&amp;"1"&amp;RIGHT("00000"&amp;329,5))</f>
        <v/>
      </c>
      <c r="C334" t="str">
        <f t="shared" si="35"/>
        <v/>
      </c>
      <c r="D334" t="str">
        <f t="shared" si="36"/>
        <v/>
      </c>
      <c r="E334" t="str">
        <f>IF(Entry!$B337="","",IF(ISNUMBER(Entry!$B337),IF(AND(Entry!$B337&gt;=10000101,Entry!$B337&lt;=99991231),INT(Entry!$B337/10000)&amp;"/"&amp;RIGHT("00"&amp;INT(MOD(Entry!$B337,10000)/100),2)&amp;"/"&amp;RIGHT("00"&amp;MOD(Entry!$B337,100),2),"نامعتبر"),IF(LEN(Entry!$B337)=10,Entry!$B337,"نامعتبر")))</f>
        <v/>
      </c>
      <c r="F334" t="str">
        <f>IF(Entry!$B337="","",IF(Entry!$C337="","0000",IF(AND(ISNUMBER(Entry!$C337),Entry!$C337&gt;=0,Entry!$C337&lt;1),RIGHT("00"&amp;HOUR(Entry!$C337),2)&amp;RIGHT("00"&amp;MINUTE(Entry!$C337),2),IFERROR(RIGHT("00"&amp;VALUE(LEFT(Entry!$C337,FIND(":",Entry!$C337)-1)),2)&amp;RIGHT("00"&amp;VALUE(MID(Entry!$C337,FIND(":",Entry!$C337)+1,2)),2),"0000"))))</f>
        <v/>
      </c>
      <c r="G334" t="str">
        <f>IF($A334="","",Entry!$G337)</f>
        <v/>
      </c>
      <c r="H334" t="str">
        <f>IF($A334="","",IF(Entry!$H337="",0,Entry!$H337))</f>
        <v/>
      </c>
      <c r="I334" t="str">
        <f>IF($A334="","",IF(Entry!$I337="",0,Entry!$I337))</f>
        <v/>
      </c>
      <c r="J334" t="str">
        <f t="shared" si="37"/>
        <v/>
      </c>
      <c r="K334" t="str">
        <f>IF($A334="","",Entry!$D337)</f>
        <v/>
      </c>
      <c r="L334" t="str">
        <f>IF($A334="","",Entry!$L337)</f>
        <v/>
      </c>
      <c r="N334" t="str">
        <f>IF(OR(Sync!$M334="",$Q334="",$Q334="نامعتبر"),"",Sync!$M334)</f>
        <v/>
      </c>
      <c r="O334" t="str">
        <f t="shared" si="38"/>
        <v/>
      </c>
      <c r="P334" t="str">
        <f>IF($N334="","",LEFT($Q334,4)&amp;MID($Q334,6,2)&amp;RIGHT($Q334,2)&amp;IF(Sync!$K334="","0000",IF(AND(ISNUMBER(Sync!$K334),Sync!$K334&gt;=0,Sync!$K334&lt;1),RIGHT("00"&amp;HOUR(Sync!$K334),2)&amp;RIGHT("00"&amp;MINUTE(Sync!$K334),2),IFERROR(RIGHT("00"&amp;VALUE(LEFT(Sync!$K334,FIND(":",Sync!$K334)-1)),2)&amp;RIGHT("00"&amp;VALUE(MID(Sync!$K334,FIND(":",Sync!$K334)+1,2)),2),"0000")))&amp;"|"&amp;"2"&amp;RIGHT("00000"&amp;329,5))</f>
        <v/>
      </c>
      <c r="Q334" t="str">
        <f>IF(Sync!$J334="","",IF(ISNUMBER(Sync!$J334),IF(AND(Sync!$J334&gt;=10000101,Sync!$J334&lt;=99991231),INT(Sync!$J334/10000)&amp;"/"&amp;RIGHT("00"&amp;INT(MOD(Sync!$J334,10000)/100),2)&amp;"/"&amp;RIGHT("00"&amp;MOD(Sync!$J334,100),2),"نامعتبر"),IF(LEN(Sync!$J334)=10,Sync!$J334,"نامعتبر")))</f>
        <v/>
      </c>
      <c r="R334" t="str">
        <f t="shared" si="39"/>
        <v/>
      </c>
      <c r="S334" t="str">
        <f t="shared" si="40"/>
        <v/>
      </c>
      <c r="T334" t="str">
        <f>IF($N334="","",IF(Sync!$N334="",0,Sync!$N334))</f>
        <v/>
      </c>
      <c r="U334" t="str">
        <f>IF($N334="","",IF(Sync!$O334="",0,Sync!$O334))</f>
        <v/>
      </c>
      <c r="V334" t="str">
        <f>IF($N334="","",Sync!$L334)</f>
        <v/>
      </c>
      <c r="W334" t="str">
        <f>IF($N334="","",Sync!$P334)</f>
        <v/>
      </c>
      <c r="AA334" t="str">
        <f>IF($A334="","",IF(COUNTIF($A$6:$A334,$A334)=1,1,0))</f>
        <v/>
      </c>
      <c r="AB334">
        <f>SUM($AA$6:$AA334)</f>
        <v>3</v>
      </c>
      <c r="AC334" t="str">
        <f t="shared" si="41"/>
        <v/>
      </c>
    </row>
    <row r="335" spans="1:29" x14ac:dyDescent="0.2">
      <c r="A335" t="str">
        <f>IF(OR(Entry!$B338="",Entry!$E338="",$E335="نامعتبر"),"",Entry!$E338)</f>
        <v/>
      </c>
      <c r="B335" t="str">
        <f>IF($A335="","",LEFT($E335,4)&amp;MID($E335,6,2)&amp;RIGHT($E335,2)&amp;$F335&amp;"|"&amp;"1"&amp;RIGHT("00000"&amp;330,5))</f>
        <v/>
      </c>
      <c r="C335" t="str">
        <f t="shared" si="35"/>
        <v/>
      </c>
      <c r="D335" t="str">
        <f t="shared" si="36"/>
        <v/>
      </c>
      <c r="E335" t="str">
        <f>IF(Entry!$B338="","",IF(ISNUMBER(Entry!$B338),IF(AND(Entry!$B338&gt;=10000101,Entry!$B338&lt;=99991231),INT(Entry!$B338/10000)&amp;"/"&amp;RIGHT("00"&amp;INT(MOD(Entry!$B338,10000)/100),2)&amp;"/"&amp;RIGHT("00"&amp;MOD(Entry!$B338,100),2),"نامعتبر"),IF(LEN(Entry!$B338)=10,Entry!$B338,"نامعتبر")))</f>
        <v/>
      </c>
      <c r="F335" t="str">
        <f>IF(Entry!$B338="","",IF(Entry!$C338="","0000",IF(AND(ISNUMBER(Entry!$C338),Entry!$C338&gt;=0,Entry!$C338&lt;1),RIGHT("00"&amp;HOUR(Entry!$C338),2)&amp;RIGHT("00"&amp;MINUTE(Entry!$C338),2),IFERROR(RIGHT("00"&amp;VALUE(LEFT(Entry!$C338,FIND(":",Entry!$C338)-1)),2)&amp;RIGHT("00"&amp;VALUE(MID(Entry!$C338,FIND(":",Entry!$C338)+1,2)),2),"0000"))))</f>
        <v/>
      </c>
      <c r="G335" t="str">
        <f>IF($A335="","",Entry!$G338)</f>
        <v/>
      </c>
      <c r="H335" t="str">
        <f>IF($A335="","",IF(Entry!$H338="",0,Entry!$H338))</f>
        <v/>
      </c>
      <c r="I335" t="str">
        <f>IF($A335="","",IF(Entry!$I338="",0,Entry!$I338))</f>
        <v/>
      </c>
      <c r="J335" t="str">
        <f t="shared" si="37"/>
        <v/>
      </c>
      <c r="K335" t="str">
        <f>IF($A335="","",Entry!$D338)</f>
        <v/>
      </c>
      <c r="L335" t="str">
        <f>IF($A335="","",Entry!$L338)</f>
        <v/>
      </c>
      <c r="N335" t="str">
        <f>IF(OR(Sync!$M335="",$Q335="",$Q335="نامعتبر"),"",Sync!$M335)</f>
        <v/>
      </c>
      <c r="O335" t="str">
        <f t="shared" si="38"/>
        <v/>
      </c>
      <c r="P335" t="str">
        <f>IF($N335="","",LEFT($Q335,4)&amp;MID($Q335,6,2)&amp;RIGHT($Q335,2)&amp;IF(Sync!$K335="","0000",IF(AND(ISNUMBER(Sync!$K335),Sync!$K335&gt;=0,Sync!$K335&lt;1),RIGHT("00"&amp;HOUR(Sync!$K335),2)&amp;RIGHT("00"&amp;MINUTE(Sync!$K335),2),IFERROR(RIGHT("00"&amp;VALUE(LEFT(Sync!$K335,FIND(":",Sync!$K335)-1)),2)&amp;RIGHT("00"&amp;VALUE(MID(Sync!$K335,FIND(":",Sync!$K335)+1,2)),2),"0000")))&amp;"|"&amp;"2"&amp;RIGHT("00000"&amp;330,5))</f>
        <v/>
      </c>
      <c r="Q335" t="str">
        <f>IF(Sync!$J335="","",IF(ISNUMBER(Sync!$J335),IF(AND(Sync!$J335&gt;=10000101,Sync!$J335&lt;=99991231),INT(Sync!$J335/10000)&amp;"/"&amp;RIGHT("00"&amp;INT(MOD(Sync!$J335,10000)/100),2)&amp;"/"&amp;RIGHT("00"&amp;MOD(Sync!$J335,100),2),"نامعتبر"),IF(LEN(Sync!$J335)=10,Sync!$J335,"نامعتبر")))</f>
        <v/>
      </c>
      <c r="R335" t="str">
        <f t="shared" si="39"/>
        <v/>
      </c>
      <c r="S335" t="str">
        <f t="shared" si="40"/>
        <v/>
      </c>
      <c r="T335" t="str">
        <f>IF($N335="","",IF(Sync!$N335="",0,Sync!$N335))</f>
        <v/>
      </c>
      <c r="U335" t="str">
        <f>IF($N335="","",IF(Sync!$O335="",0,Sync!$O335))</f>
        <v/>
      </c>
      <c r="V335" t="str">
        <f>IF($N335="","",Sync!$L335)</f>
        <v/>
      </c>
      <c r="W335" t="str">
        <f>IF($N335="","",Sync!$P335)</f>
        <v/>
      </c>
      <c r="AA335" t="str">
        <f>IF($A335="","",IF(COUNTIF($A$6:$A335,$A335)=1,1,0))</f>
        <v/>
      </c>
      <c r="AB335">
        <f>SUM($AA$6:$AA335)</f>
        <v>3</v>
      </c>
      <c r="AC335" t="str">
        <f t="shared" si="41"/>
        <v/>
      </c>
    </row>
    <row r="336" spans="1:29" x14ac:dyDescent="0.2">
      <c r="A336" t="str">
        <f>IF(OR(Entry!$B339="",Entry!$E339="",$E336="نامعتبر"),"",Entry!$E339)</f>
        <v/>
      </c>
      <c r="B336" t="str">
        <f>IF($A336="","",LEFT($E336,4)&amp;MID($E336,6,2)&amp;RIGHT($E336,2)&amp;$F336&amp;"|"&amp;"1"&amp;RIGHT("00000"&amp;331,5))</f>
        <v/>
      </c>
      <c r="C336" t="str">
        <f t="shared" si="35"/>
        <v/>
      </c>
      <c r="D336" t="str">
        <f t="shared" si="36"/>
        <v/>
      </c>
      <c r="E336" t="str">
        <f>IF(Entry!$B339="","",IF(ISNUMBER(Entry!$B339),IF(AND(Entry!$B339&gt;=10000101,Entry!$B339&lt;=99991231),INT(Entry!$B339/10000)&amp;"/"&amp;RIGHT("00"&amp;INT(MOD(Entry!$B339,10000)/100),2)&amp;"/"&amp;RIGHT("00"&amp;MOD(Entry!$B339,100),2),"نامعتبر"),IF(LEN(Entry!$B339)=10,Entry!$B339,"نامعتبر")))</f>
        <v/>
      </c>
      <c r="F336" t="str">
        <f>IF(Entry!$B339="","",IF(Entry!$C339="","0000",IF(AND(ISNUMBER(Entry!$C339),Entry!$C339&gt;=0,Entry!$C339&lt;1),RIGHT("00"&amp;HOUR(Entry!$C339),2)&amp;RIGHT("00"&amp;MINUTE(Entry!$C339),2),IFERROR(RIGHT("00"&amp;VALUE(LEFT(Entry!$C339,FIND(":",Entry!$C339)-1)),2)&amp;RIGHT("00"&amp;VALUE(MID(Entry!$C339,FIND(":",Entry!$C339)+1,2)),2),"0000"))))</f>
        <v/>
      </c>
      <c r="G336" t="str">
        <f>IF($A336="","",Entry!$G339)</f>
        <v/>
      </c>
      <c r="H336" t="str">
        <f>IF($A336="","",IF(Entry!$H339="",0,Entry!$H339))</f>
        <v/>
      </c>
      <c r="I336" t="str">
        <f>IF($A336="","",IF(Entry!$I339="",0,Entry!$I339))</f>
        <v/>
      </c>
      <c r="J336" t="str">
        <f t="shared" si="37"/>
        <v/>
      </c>
      <c r="K336" t="str">
        <f>IF($A336="","",Entry!$D339)</f>
        <v/>
      </c>
      <c r="L336" t="str">
        <f>IF($A336="","",Entry!$L339)</f>
        <v/>
      </c>
      <c r="N336" t="str">
        <f>IF(OR(Sync!$M336="",$Q336="",$Q336="نامعتبر"),"",Sync!$M336)</f>
        <v/>
      </c>
      <c r="O336" t="str">
        <f t="shared" si="38"/>
        <v/>
      </c>
      <c r="P336" t="str">
        <f>IF($N336="","",LEFT($Q336,4)&amp;MID($Q336,6,2)&amp;RIGHT($Q336,2)&amp;IF(Sync!$K336="","0000",IF(AND(ISNUMBER(Sync!$K336),Sync!$K336&gt;=0,Sync!$K336&lt;1),RIGHT("00"&amp;HOUR(Sync!$K336),2)&amp;RIGHT("00"&amp;MINUTE(Sync!$K336),2),IFERROR(RIGHT("00"&amp;VALUE(LEFT(Sync!$K336,FIND(":",Sync!$K336)-1)),2)&amp;RIGHT("00"&amp;VALUE(MID(Sync!$K336,FIND(":",Sync!$K336)+1,2)),2),"0000")))&amp;"|"&amp;"2"&amp;RIGHT("00000"&amp;331,5))</f>
        <v/>
      </c>
      <c r="Q336" t="str">
        <f>IF(Sync!$J336="","",IF(ISNUMBER(Sync!$J336),IF(AND(Sync!$J336&gt;=10000101,Sync!$J336&lt;=99991231),INT(Sync!$J336/10000)&amp;"/"&amp;RIGHT("00"&amp;INT(MOD(Sync!$J336,10000)/100),2)&amp;"/"&amp;RIGHT("00"&amp;MOD(Sync!$J336,100),2),"نامعتبر"),IF(LEN(Sync!$J336)=10,Sync!$J336,"نامعتبر")))</f>
        <v/>
      </c>
      <c r="R336" t="str">
        <f t="shared" si="39"/>
        <v/>
      </c>
      <c r="S336" t="str">
        <f t="shared" si="40"/>
        <v/>
      </c>
      <c r="T336" t="str">
        <f>IF($N336="","",IF(Sync!$N336="",0,Sync!$N336))</f>
        <v/>
      </c>
      <c r="U336" t="str">
        <f>IF($N336="","",IF(Sync!$O336="",0,Sync!$O336))</f>
        <v/>
      </c>
      <c r="V336" t="str">
        <f>IF($N336="","",Sync!$L336)</f>
        <v/>
      </c>
      <c r="W336" t="str">
        <f>IF($N336="","",Sync!$P336)</f>
        <v/>
      </c>
      <c r="AA336" t="str">
        <f>IF($A336="","",IF(COUNTIF($A$6:$A336,$A336)=1,1,0))</f>
        <v/>
      </c>
      <c r="AB336">
        <f>SUM($AA$6:$AA336)</f>
        <v>3</v>
      </c>
      <c r="AC336" t="str">
        <f t="shared" si="41"/>
        <v/>
      </c>
    </row>
    <row r="337" spans="1:29" x14ac:dyDescent="0.2">
      <c r="A337" t="str">
        <f>IF(OR(Entry!$B340="",Entry!$E340="",$E337="نامعتبر"),"",Entry!$E340)</f>
        <v/>
      </c>
      <c r="B337" t="str">
        <f>IF($A337="","",LEFT($E337,4)&amp;MID($E337,6,2)&amp;RIGHT($E337,2)&amp;$F337&amp;"|"&amp;"1"&amp;RIGHT("00000"&amp;332,5))</f>
        <v/>
      </c>
      <c r="C337" t="str">
        <f t="shared" si="35"/>
        <v/>
      </c>
      <c r="D337" t="str">
        <f t="shared" si="36"/>
        <v/>
      </c>
      <c r="E337" t="str">
        <f>IF(Entry!$B340="","",IF(ISNUMBER(Entry!$B340),IF(AND(Entry!$B340&gt;=10000101,Entry!$B340&lt;=99991231),INT(Entry!$B340/10000)&amp;"/"&amp;RIGHT("00"&amp;INT(MOD(Entry!$B340,10000)/100),2)&amp;"/"&amp;RIGHT("00"&amp;MOD(Entry!$B340,100),2),"نامعتبر"),IF(LEN(Entry!$B340)=10,Entry!$B340,"نامعتبر")))</f>
        <v/>
      </c>
      <c r="F337" t="str">
        <f>IF(Entry!$B340="","",IF(Entry!$C340="","0000",IF(AND(ISNUMBER(Entry!$C340),Entry!$C340&gt;=0,Entry!$C340&lt;1),RIGHT("00"&amp;HOUR(Entry!$C340),2)&amp;RIGHT("00"&amp;MINUTE(Entry!$C340),2),IFERROR(RIGHT("00"&amp;VALUE(LEFT(Entry!$C340,FIND(":",Entry!$C340)-1)),2)&amp;RIGHT("00"&amp;VALUE(MID(Entry!$C340,FIND(":",Entry!$C340)+1,2)),2),"0000"))))</f>
        <v/>
      </c>
      <c r="G337" t="str">
        <f>IF($A337="","",Entry!$G340)</f>
        <v/>
      </c>
      <c r="H337" t="str">
        <f>IF($A337="","",IF(Entry!$H340="",0,Entry!$H340))</f>
        <v/>
      </c>
      <c r="I337" t="str">
        <f>IF($A337="","",IF(Entry!$I340="",0,Entry!$I340))</f>
        <v/>
      </c>
      <c r="J337" t="str">
        <f t="shared" si="37"/>
        <v/>
      </c>
      <c r="K337" t="str">
        <f>IF($A337="","",Entry!$D340)</f>
        <v/>
      </c>
      <c r="L337" t="str">
        <f>IF($A337="","",Entry!$L340)</f>
        <v/>
      </c>
      <c r="N337" t="str">
        <f>IF(OR(Sync!$M337="",$Q337="",$Q337="نامعتبر"),"",Sync!$M337)</f>
        <v/>
      </c>
      <c r="O337" t="str">
        <f t="shared" si="38"/>
        <v/>
      </c>
      <c r="P337" t="str">
        <f>IF($N337="","",LEFT($Q337,4)&amp;MID($Q337,6,2)&amp;RIGHT($Q337,2)&amp;IF(Sync!$K337="","0000",IF(AND(ISNUMBER(Sync!$K337),Sync!$K337&gt;=0,Sync!$K337&lt;1),RIGHT("00"&amp;HOUR(Sync!$K337),2)&amp;RIGHT("00"&amp;MINUTE(Sync!$K337),2),IFERROR(RIGHT("00"&amp;VALUE(LEFT(Sync!$K337,FIND(":",Sync!$K337)-1)),2)&amp;RIGHT("00"&amp;VALUE(MID(Sync!$K337,FIND(":",Sync!$K337)+1,2)),2),"0000")))&amp;"|"&amp;"2"&amp;RIGHT("00000"&amp;332,5))</f>
        <v/>
      </c>
      <c r="Q337" t="str">
        <f>IF(Sync!$J337="","",IF(ISNUMBER(Sync!$J337),IF(AND(Sync!$J337&gt;=10000101,Sync!$J337&lt;=99991231),INT(Sync!$J337/10000)&amp;"/"&amp;RIGHT("00"&amp;INT(MOD(Sync!$J337,10000)/100),2)&amp;"/"&amp;RIGHT("00"&amp;MOD(Sync!$J337,100),2),"نامعتبر"),IF(LEN(Sync!$J337)=10,Sync!$J337,"نامعتبر")))</f>
        <v/>
      </c>
      <c r="R337" t="str">
        <f t="shared" si="39"/>
        <v/>
      </c>
      <c r="S337" t="str">
        <f t="shared" si="40"/>
        <v/>
      </c>
      <c r="T337" t="str">
        <f>IF($N337="","",IF(Sync!$N337="",0,Sync!$N337))</f>
        <v/>
      </c>
      <c r="U337" t="str">
        <f>IF($N337="","",IF(Sync!$O337="",0,Sync!$O337))</f>
        <v/>
      </c>
      <c r="V337" t="str">
        <f>IF($N337="","",Sync!$L337)</f>
        <v/>
      </c>
      <c r="W337" t="str">
        <f>IF($N337="","",Sync!$P337)</f>
        <v/>
      </c>
      <c r="AA337" t="str">
        <f>IF($A337="","",IF(COUNTIF($A$6:$A337,$A337)=1,1,0))</f>
        <v/>
      </c>
      <c r="AB337">
        <f>SUM($AA$6:$AA337)</f>
        <v>3</v>
      </c>
      <c r="AC337" t="str">
        <f t="shared" si="41"/>
        <v/>
      </c>
    </row>
    <row r="338" spans="1:29" x14ac:dyDescent="0.2">
      <c r="A338" t="str">
        <f>IF(OR(Entry!$B341="",Entry!$E341="",$E338="نامعتبر"),"",Entry!$E341)</f>
        <v/>
      </c>
      <c r="B338" t="str">
        <f>IF($A338="","",LEFT($E338,4)&amp;MID($E338,6,2)&amp;RIGHT($E338,2)&amp;$F338&amp;"|"&amp;"1"&amp;RIGHT("00000"&amp;333,5))</f>
        <v/>
      </c>
      <c r="C338" t="str">
        <f t="shared" si="35"/>
        <v/>
      </c>
      <c r="D338" t="str">
        <f t="shared" si="36"/>
        <v/>
      </c>
      <c r="E338" t="str">
        <f>IF(Entry!$B341="","",IF(ISNUMBER(Entry!$B341),IF(AND(Entry!$B341&gt;=10000101,Entry!$B341&lt;=99991231),INT(Entry!$B341/10000)&amp;"/"&amp;RIGHT("00"&amp;INT(MOD(Entry!$B341,10000)/100),2)&amp;"/"&amp;RIGHT("00"&amp;MOD(Entry!$B341,100),2),"نامعتبر"),IF(LEN(Entry!$B341)=10,Entry!$B341,"نامعتبر")))</f>
        <v/>
      </c>
      <c r="F338" t="str">
        <f>IF(Entry!$B341="","",IF(Entry!$C341="","0000",IF(AND(ISNUMBER(Entry!$C341),Entry!$C341&gt;=0,Entry!$C341&lt;1),RIGHT("00"&amp;HOUR(Entry!$C341),2)&amp;RIGHT("00"&amp;MINUTE(Entry!$C341),2),IFERROR(RIGHT("00"&amp;VALUE(LEFT(Entry!$C341,FIND(":",Entry!$C341)-1)),2)&amp;RIGHT("00"&amp;VALUE(MID(Entry!$C341,FIND(":",Entry!$C341)+1,2)),2),"0000"))))</f>
        <v/>
      </c>
      <c r="G338" t="str">
        <f>IF($A338="","",Entry!$G341)</f>
        <v/>
      </c>
      <c r="H338" t="str">
        <f>IF($A338="","",IF(Entry!$H341="",0,Entry!$H341))</f>
        <v/>
      </c>
      <c r="I338" t="str">
        <f>IF($A338="","",IF(Entry!$I341="",0,Entry!$I341))</f>
        <v/>
      </c>
      <c r="J338" t="str">
        <f t="shared" si="37"/>
        <v/>
      </c>
      <c r="K338" t="str">
        <f>IF($A338="","",Entry!$D341)</f>
        <v/>
      </c>
      <c r="L338" t="str">
        <f>IF($A338="","",Entry!$L341)</f>
        <v/>
      </c>
      <c r="N338" t="str">
        <f>IF(OR(Sync!$M338="",$Q338="",$Q338="نامعتبر"),"",Sync!$M338)</f>
        <v/>
      </c>
      <c r="O338" t="str">
        <f t="shared" si="38"/>
        <v/>
      </c>
      <c r="P338" t="str">
        <f>IF($N338="","",LEFT($Q338,4)&amp;MID($Q338,6,2)&amp;RIGHT($Q338,2)&amp;IF(Sync!$K338="","0000",IF(AND(ISNUMBER(Sync!$K338),Sync!$K338&gt;=0,Sync!$K338&lt;1),RIGHT("00"&amp;HOUR(Sync!$K338),2)&amp;RIGHT("00"&amp;MINUTE(Sync!$K338),2),IFERROR(RIGHT("00"&amp;VALUE(LEFT(Sync!$K338,FIND(":",Sync!$K338)-1)),2)&amp;RIGHT("00"&amp;VALUE(MID(Sync!$K338,FIND(":",Sync!$K338)+1,2)),2),"0000")))&amp;"|"&amp;"2"&amp;RIGHT("00000"&amp;333,5))</f>
        <v/>
      </c>
      <c r="Q338" t="str">
        <f>IF(Sync!$J338="","",IF(ISNUMBER(Sync!$J338),IF(AND(Sync!$J338&gt;=10000101,Sync!$J338&lt;=99991231),INT(Sync!$J338/10000)&amp;"/"&amp;RIGHT("00"&amp;INT(MOD(Sync!$J338,10000)/100),2)&amp;"/"&amp;RIGHT("00"&amp;MOD(Sync!$J338,100),2),"نامعتبر"),IF(LEN(Sync!$J338)=10,Sync!$J338,"نامعتبر")))</f>
        <v/>
      </c>
      <c r="R338" t="str">
        <f t="shared" si="39"/>
        <v/>
      </c>
      <c r="S338" t="str">
        <f t="shared" si="40"/>
        <v/>
      </c>
      <c r="T338" t="str">
        <f>IF($N338="","",IF(Sync!$N338="",0,Sync!$N338))</f>
        <v/>
      </c>
      <c r="U338" t="str">
        <f>IF($N338="","",IF(Sync!$O338="",0,Sync!$O338))</f>
        <v/>
      </c>
      <c r="V338" t="str">
        <f>IF($N338="","",Sync!$L338)</f>
        <v/>
      </c>
      <c r="W338" t="str">
        <f>IF($N338="","",Sync!$P338)</f>
        <v/>
      </c>
      <c r="AA338" t="str">
        <f>IF($A338="","",IF(COUNTIF($A$6:$A338,$A338)=1,1,0))</f>
        <v/>
      </c>
      <c r="AB338">
        <f>SUM($AA$6:$AA338)</f>
        <v>3</v>
      </c>
      <c r="AC338" t="str">
        <f t="shared" si="41"/>
        <v/>
      </c>
    </row>
    <row r="339" spans="1:29" x14ac:dyDescent="0.2">
      <c r="A339" t="str">
        <f>IF(OR(Entry!$B342="",Entry!$E342="",$E339="نامعتبر"),"",Entry!$E342)</f>
        <v/>
      </c>
      <c r="B339" t="str">
        <f>IF($A339="","",LEFT($E339,4)&amp;MID($E339,6,2)&amp;RIGHT($E339,2)&amp;$F339&amp;"|"&amp;"1"&amp;RIGHT("00000"&amp;334,5))</f>
        <v/>
      </c>
      <c r="C339" t="str">
        <f t="shared" si="35"/>
        <v/>
      </c>
      <c r="D339" t="str">
        <f t="shared" si="36"/>
        <v/>
      </c>
      <c r="E339" t="str">
        <f>IF(Entry!$B342="","",IF(ISNUMBER(Entry!$B342),IF(AND(Entry!$B342&gt;=10000101,Entry!$B342&lt;=99991231),INT(Entry!$B342/10000)&amp;"/"&amp;RIGHT("00"&amp;INT(MOD(Entry!$B342,10000)/100),2)&amp;"/"&amp;RIGHT("00"&amp;MOD(Entry!$B342,100),2),"نامعتبر"),IF(LEN(Entry!$B342)=10,Entry!$B342,"نامعتبر")))</f>
        <v/>
      </c>
      <c r="F339" t="str">
        <f>IF(Entry!$B342="","",IF(Entry!$C342="","0000",IF(AND(ISNUMBER(Entry!$C342),Entry!$C342&gt;=0,Entry!$C342&lt;1),RIGHT("00"&amp;HOUR(Entry!$C342),2)&amp;RIGHT("00"&amp;MINUTE(Entry!$C342),2),IFERROR(RIGHT("00"&amp;VALUE(LEFT(Entry!$C342,FIND(":",Entry!$C342)-1)),2)&amp;RIGHT("00"&amp;VALUE(MID(Entry!$C342,FIND(":",Entry!$C342)+1,2)),2),"0000"))))</f>
        <v/>
      </c>
      <c r="G339" t="str">
        <f>IF($A339="","",Entry!$G342)</f>
        <v/>
      </c>
      <c r="H339" t="str">
        <f>IF($A339="","",IF(Entry!$H342="",0,Entry!$H342))</f>
        <v/>
      </c>
      <c r="I339" t="str">
        <f>IF($A339="","",IF(Entry!$I342="",0,Entry!$I342))</f>
        <v/>
      </c>
      <c r="J339" t="str">
        <f t="shared" si="37"/>
        <v/>
      </c>
      <c r="K339" t="str">
        <f>IF($A339="","",Entry!$D342)</f>
        <v/>
      </c>
      <c r="L339" t="str">
        <f>IF($A339="","",Entry!$L342)</f>
        <v/>
      </c>
      <c r="N339" t="str">
        <f>IF(OR(Sync!$M339="",$Q339="",$Q339="نامعتبر"),"",Sync!$M339)</f>
        <v/>
      </c>
      <c r="O339" t="str">
        <f t="shared" si="38"/>
        <v/>
      </c>
      <c r="P339" t="str">
        <f>IF($N339="","",LEFT($Q339,4)&amp;MID($Q339,6,2)&amp;RIGHT($Q339,2)&amp;IF(Sync!$K339="","0000",IF(AND(ISNUMBER(Sync!$K339),Sync!$K339&gt;=0,Sync!$K339&lt;1),RIGHT("00"&amp;HOUR(Sync!$K339),2)&amp;RIGHT("00"&amp;MINUTE(Sync!$K339),2),IFERROR(RIGHT("00"&amp;VALUE(LEFT(Sync!$K339,FIND(":",Sync!$K339)-1)),2)&amp;RIGHT("00"&amp;VALUE(MID(Sync!$K339,FIND(":",Sync!$K339)+1,2)),2),"0000")))&amp;"|"&amp;"2"&amp;RIGHT("00000"&amp;334,5))</f>
        <v/>
      </c>
      <c r="Q339" t="str">
        <f>IF(Sync!$J339="","",IF(ISNUMBER(Sync!$J339),IF(AND(Sync!$J339&gt;=10000101,Sync!$J339&lt;=99991231),INT(Sync!$J339/10000)&amp;"/"&amp;RIGHT("00"&amp;INT(MOD(Sync!$J339,10000)/100),2)&amp;"/"&amp;RIGHT("00"&amp;MOD(Sync!$J339,100),2),"نامعتبر"),IF(LEN(Sync!$J339)=10,Sync!$J339,"نامعتبر")))</f>
        <v/>
      </c>
      <c r="R339" t="str">
        <f t="shared" si="39"/>
        <v/>
      </c>
      <c r="S339" t="str">
        <f t="shared" si="40"/>
        <v/>
      </c>
      <c r="T339" t="str">
        <f>IF($N339="","",IF(Sync!$N339="",0,Sync!$N339))</f>
        <v/>
      </c>
      <c r="U339" t="str">
        <f>IF($N339="","",IF(Sync!$O339="",0,Sync!$O339))</f>
        <v/>
      </c>
      <c r="V339" t="str">
        <f>IF($N339="","",Sync!$L339)</f>
        <v/>
      </c>
      <c r="W339" t="str">
        <f>IF($N339="","",Sync!$P339)</f>
        <v/>
      </c>
      <c r="AA339" t="str">
        <f>IF($A339="","",IF(COUNTIF($A$6:$A339,$A339)=1,1,0))</f>
        <v/>
      </c>
      <c r="AB339">
        <f>SUM($AA$6:$AA339)</f>
        <v>3</v>
      </c>
      <c r="AC339" t="str">
        <f t="shared" si="41"/>
        <v/>
      </c>
    </row>
    <row r="340" spans="1:29" x14ac:dyDescent="0.2">
      <c r="A340" t="str">
        <f>IF(OR(Entry!$B343="",Entry!$E343="",$E340="نامعتبر"),"",Entry!$E343)</f>
        <v/>
      </c>
      <c r="B340" t="str">
        <f>IF($A340="","",LEFT($E340,4)&amp;MID($E340,6,2)&amp;RIGHT($E340,2)&amp;$F340&amp;"|"&amp;"1"&amp;RIGHT("00000"&amp;335,5))</f>
        <v/>
      </c>
      <c r="C340" t="str">
        <f t="shared" si="35"/>
        <v/>
      </c>
      <c r="D340" t="str">
        <f t="shared" si="36"/>
        <v/>
      </c>
      <c r="E340" t="str">
        <f>IF(Entry!$B343="","",IF(ISNUMBER(Entry!$B343),IF(AND(Entry!$B343&gt;=10000101,Entry!$B343&lt;=99991231),INT(Entry!$B343/10000)&amp;"/"&amp;RIGHT("00"&amp;INT(MOD(Entry!$B343,10000)/100),2)&amp;"/"&amp;RIGHT("00"&amp;MOD(Entry!$B343,100),2),"نامعتبر"),IF(LEN(Entry!$B343)=10,Entry!$B343,"نامعتبر")))</f>
        <v/>
      </c>
      <c r="F340" t="str">
        <f>IF(Entry!$B343="","",IF(Entry!$C343="","0000",IF(AND(ISNUMBER(Entry!$C343),Entry!$C343&gt;=0,Entry!$C343&lt;1),RIGHT("00"&amp;HOUR(Entry!$C343),2)&amp;RIGHT("00"&amp;MINUTE(Entry!$C343),2),IFERROR(RIGHT("00"&amp;VALUE(LEFT(Entry!$C343,FIND(":",Entry!$C343)-1)),2)&amp;RIGHT("00"&amp;VALUE(MID(Entry!$C343,FIND(":",Entry!$C343)+1,2)),2),"0000"))))</f>
        <v/>
      </c>
      <c r="G340" t="str">
        <f>IF($A340="","",Entry!$G343)</f>
        <v/>
      </c>
      <c r="H340" t="str">
        <f>IF($A340="","",IF(Entry!$H343="",0,Entry!$H343))</f>
        <v/>
      </c>
      <c r="I340" t="str">
        <f>IF($A340="","",IF(Entry!$I343="",0,Entry!$I343))</f>
        <v/>
      </c>
      <c r="J340" t="str">
        <f t="shared" si="37"/>
        <v/>
      </c>
      <c r="K340" t="str">
        <f>IF($A340="","",Entry!$D343)</f>
        <v/>
      </c>
      <c r="L340" t="str">
        <f>IF($A340="","",Entry!$L343)</f>
        <v/>
      </c>
      <c r="N340" t="str">
        <f>IF(OR(Sync!$M340="",$Q340="",$Q340="نامعتبر"),"",Sync!$M340)</f>
        <v/>
      </c>
      <c r="O340" t="str">
        <f t="shared" si="38"/>
        <v/>
      </c>
      <c r="P340" t="str">
        <f>IF($N340="","",LEFT($Q340,4)&amp;MID($Q340,6,2)&amp;RIGHT($Q340,2)&amp;IF(Sync!$K340="","0000",IF(AND(ISNUMBER(Sync!$K340),Sync!$K340&gt;=0,Sync!$K340&lt;1),RIGHT("00"&amp;HOUR(Sync!$K340),2)&amp;RIGHT("00"&amp;MINUTE(Sync!$K340),2),IFERROR(RIGHT("00"&amp;VALUE(LEFT(Sync!$K340,FIND(":",Sync!$K340)-1)),2)&amp;RIGHT("00"&amp;VALUE(MID(Sync!$K340,FIND(":",Sync!$K340)+1,2)),2),"0000")))&amp;"|"&amp;"2"&amp;RIGHT("00000"&amp;335,5))</f>
        <v/>
      </c>
      <c r="Q340" t="str">
        <f>IF(Sync!$J340="","",IF(ISNUMBER(Sync!$J340),IF(AND(Sync!$J340&gt;=10000101,Sync!$J340&lt;=99991231),INT(Sync!$J340/10000)&amp;"/"&amp;RIGHT("00"&amp;INT(MOD(Sync!$J340,10000)/100),2)&amp;"/"&amp;RIGHT("00"&amp;MOD(Sync!$J340,100),2),"نامعتبر"),IF(LEN(Sync!$J340)=10,Sync!$J340,"نامعتبر")))</f>
        <v/>
      </c>
      <c r="R340" t="str">
        <f t="shared" si="39"/>
        <v/>
      </c>
      <c r="S340" t="str">
        <f t="shared" si="40"/>
        <v/>
      </c>
      <c r="T340" t="str">
        <f>IF($N340="","",IF(Sync!$N340="",0,Sync!$N340))</f>
        <v/>
      </c>
      <c r="U340" t="str">
        <f>IF($N340="","",IF(Sync!$O340="",0,Sync!$O340))</f>
        <v/>
      </c>
      <c r="V340" t="str">
        <f>IF($N340="","",Sync!$L340)</f>
        <v/>
      </c>
      <c r="W340" t="str">
        <f>IF($N340="","",Sync!$P340)</f>
        <v/>
      </c>
      <c r="AA340" t="str">
        <f>IF($A340="","",IF(COUNTIF($A$6:$A340,$A340)=1,1,0))</f>
        <v/>
      </c>
      <c r="AB340">
        <f>SUM($AA$6:$AA340)</f>
        <v>3</v>
      </c>
      <c r="AC340" t="str">
        <f t="shared" si="41"/>
        <v/>
      </c>
    </row>
    <row r="341" spans="1:29" x14ac:dyDescent="0.2">
      <c r="A341" t="str">
        <f>IF(OR(Entry!$B344="",Entry!$E344="",$E341="نامعتبر"),"",Entry!$E344)</f>
        <v/>
      </c>
      <c r="B341" t="str">
        <f>IF($A341="","",LEFT($E341,4)&amp;MID($E341,6,2)&amp;RIGHT($E341,2)&amp;$F341&amp;"|"&amp;"1"&amp;RIGHT("00000"&amp;336,5))</f>
        <v/>
      </c>
      <c r="C341" t="str">
        <f t="shared" si="35"/>
        <v/>
      </c>
      <c r="D341" t="str">
        <f t="shared" si="36"/>
        <v/>
      </c>
      <c r="E341" t="str">
        <f>IF(Entry!$B344="","",IF(ISNUMBER(Entry!$B344),IF(AND(Entry!$B344&gt;=10000101,Entry!$B344&lt;=99991231),INT(Entry!$B344/10000)&amp;"/"&amp;RIGHT("00"&amp;INT(MOD(Entry!$B344,10000)/100),2)&amp;"/"&amp;RIGHT("00"&amp;MOD(Entry!$B344,100),2),"نامعتبر"),IF(LEN(Entry!$B344)=10,Entry!$B344,"نامعتبر")))</f>
        <v/>
      </c>
      <c r="F341" t="str">
        <f>IF(Entry!$B344="","",IF(Entry!$C344="","0000",IF(AND(ISNUMBER(Entry!$C344),Entry!$C344&gt;=0,Entry!$C344&lt;1),RIGHT("00"&amp;HOUR(Entry!$C344),2)&amp;RIGHT("00"&amp;MINUTE(Entry!$C344),2),IFERROR(RIGHT("00"&amp;VALUE(LEFT(Entry!$C344,FIND(":",Entry!$C344)-1)),2)&amp;RIGHT("00"&amp;VALUE(MID(Entry!$C344,FIND(":",Entry!$C344)+1,2)),2),"0000"))))</f>
        <v/>
      </c>
      <c r="G341" t="str">
        <f>IF($A341="","",Entry!$G344)</f>
        <v/>
      </c>
      <c r="H341" t="str">
        <f>IF($A341="","",IF(Entry!$H344="",0,Entry!$H344))</f>
        <v/>
      </c>
      <c r="I341" t="str">
        <f>IF($A341="","",IF(Entry!$I344="",0,Entry!$I344))</f>
        <v/>
      </c>
      <c r="J341" t="str">
        <f t="shared" si="37"/>
        <v/>
      </c>
      <c r="K341" t="str">
        <f>IF($A341="","",Entry!$D344)</f>
        <v/>
      </c>
      <c r="L341" t="str">
        <f>IF($A341="","",Entry!$L344)</f>
        <v/>
      </c>
      <c r="N341" t="str">
        <f>IF(OR(Sync!$M341="",$Q341="",$Q341="نامعتبر"),"",Sync!$M341)</f>
        <v/>
      </c>
      <c r="O341" t="str">
        <f t="shared" si="38"/>
        <v/>
      </c>
      <c r="P341" t="str">
        <f>IF($N341="","",LEFT($Q341,4)&amp;MID($Q341,6,2)&amp;RIGHT($Q341,2)&amp;IF(Sync!$K341="","0000",IF(AND(ISNUMBER(Sync!$K341),Sync!$K341&gt;=0,Sync!$K341&lt;1),RIGHT("00"&amp;HOUR(Sync!$K341),2)&amp;RIGHT("00"&amp;MINUTE(Sync!$K341),2),IFERROR(RIGHT("00"&amp;VALUE(LEFT(Sync!$K341,FIND(":",Sync!$K341)-1)),2)&amp;RIGHT("00"&amp;VALUE(MID(Sync!$K341,FIND(":",Sync!$K341)+1,2)),2),"0000")))&amp;"|"&amp;"2"&amp;RIGHT("00000"&amp;336,5))</f>
        <v/>
      </c>
      <c r="Q341" t="str">
        <f>IF(Sync!$J341="","",IF(ISNUMBER(Sync!$J341),IF(AND(Sync!$J341&gt;=10000101,Sync!$J341&lt;=99991231),INT(Sync!$J341/10000)&amp;"/"&amp;RIGHT("00"&amp;INT(MOD(Sync!$J341,10000)/100),2)&amp;"/"&amp;RIGHT("00"&amp;MOD(Sync!$J341,100),2),"نامعتبر"),IF(LEN(Sync!$J341)=10,Sync!$J341,"نامعتبر")))</f>
        <v/>
      </c>
      <c r="R341" t="str">
        <f t="shared" si="39"/>
        <v/>
      </c>
      <c r="S341" t="str">
        <f t="shared" si="40"/>
        <v/>
      </c>
      <c r="T341" t="str">
        <f>IF($N341="","",IF(Sync!$N341="",0,Sync!$N341))</f>
        <v/>
      </c>
      <c r="U341" t="str">
        <f>IF($N341="","",IF(Sync!$O341="",0,Sync!$O341))</f>
        <v/>
      </c>
      <c r="V341" t="str">
        <f>IF($N341="","",Sync!$L341)</f>
        <v/>
      </c>
      <c r="W341" t="str">
        <f>IF($N341="","",Sync!$P341)</f>
        <v/>
      </c>
      <c r="AA341" t="str">
        <f>IF($A341="","",IF(COUNTIF($A$6:$A341,$A341)=1,1,0))</f>
        <v/>
      </c>
      <c r="AB341">
        <f>SUM($AA$6:$AA341)</f>
        <v>3</v>
      </c>
      <c r="AC341" t="str">
        <f t="shared" si="41"/>
        <v/>
      </c>
    </row>
    <row r="342" spans="1:29" x14ac:dyDescent="0.2">
      <c r="A342" t="str">
        <f>IF(OR(Entry!$B345="",Entry!$E345="",$E342="نامعتبر"),"",Entry!$E345)</f>
        <v/>
      </c>
      <c r="B342" t="str">
        <f>IF($A342="","",LEFT($E342,4)&amp;MID($E342,6,2)&amp;RIGHT($E342,2)&amp;$F342&amp;"|"&amp;"1"&amp;RIGHT("00000"&amp;337,5))</f>
        <v/>
      </c>
      <c r="C342" t="str">
        <f t="shared" si="35"/>
        <v/>
      </c>
      <c r="D342" t="str">
        <f t="shared" si="36"/>
        <v/>
      </c>
      <c r="E342" t="str">
        <f>IF(Entry!$B345="","",IF(ISNUMBER(Entry!$B345),IF(AND(Entry!$B345&gt;=10000101,Entry!$B345&lt;=99991231),INT(Entry!$B345/10000)&amp;"/"&amp;RIGHT("00"&amp;INT(MOD(Entry!$B345,10000)/100),2)&amp;"/"&amp;RIGHT("00"&amp;MOD(Entry!$B345,100),2),"نامعتبر"),IF(LEN(Entry!$B345)=10,Entry!$B345,"نامعتبر")))</f>
        <v/>
      </c>
      <c r="F342" t="str">
        <f>IF(Entry!$B345="","",IF(Entry!$C345="","0000",IF(AND(ISNUMBER(Entry!$C345),Entry!$C345&gt;=0,Entry!$C345&lt;1),RIGHT("00"&amp;HOUR(Entry!$C345),2)&amp;RIGHT("00"&amp;MINUTE(Entry!$C345),2),IFERROR(RIGHT("00"&amp;VALUE(LEFT(Entry!$C345,FIND(":",Entry!$C345)-1)),2)&amp;RIGHT("00"&amp;VALUE(MID(Entry!$C345,FIND(":",Entry!$C345)+1,2)),2),"0000"))))</f>
        <v/>
      </c>
      <c r="G342" t="str">
        <f>IF($A342="","",Entry!$G345)</f>
        <v/>
      </c>
      <c r="H342" t="str">
        <f>IF($A342="","",IF(Entry!$H345="",0,Entry!$H345))</f>
        <v/>
      </c>
      <c r="I342" t="str">
        <f>IF($A342="","",IF(Entry!$I345="",0,Entry!$I345))</f>
        <v/>
      </c>
      <c r="J342" t="str">
        <f t="shared" si="37"/>
        <v/>
      </c>
      <c r="K342" t="str">
        <f>IF($A342="","",Entry!$D345)</f>
        <v/>
      </c>
      <c r="L342" t="str">
        <f>IF($A342="","",Entry!$L345)</f>
        <v/>
      </c>
      <c r="N342" t="str">
        <f>IF(OR(Sync!$M342="",$Q342="",$Q342="نامعتبر"),"",Sync!$M342)</f>
        <v/>
      </c>
      <c r="O342" t="str">
        <f t="shared" si="38"/>
        <v/>
      </c>
      <c r="P342" t="str">
        <f>IF($N342="","",LEFT($Q342,4)&amp;MID($Q342,6,2)&amp;RIGHT($Q342,2)&amp;IF(Sync!$K342="","0000",IF(AND(ISNUMBER(Sync!$K342),Sync!$K342&gt;=0,Sync!$K342&lt;1),RIGHT("00"&amp;HOUR(Sync!$K342),2)&amp;RIGHT("00"&amp;MINUTE(Sync!$K342),2),IFERROR(RIGHT("00"&amp;VALUE(LEFT(Sync!$K342,FIND(":",Sync!$K342)-1)),2)&amp;RIGHT("00"&amp;VALUE(MID(Sync!$K342,FIND(":",Sync!$K342)+1,2)),2),"0000")))&amp;"|"&amp;"2"&amp;RIGHT("00000"&amp;337,5))</f>
        <v/>
      </c>
      <c r="Q342" t="str">
        <f>IF(Sync!$J342="","",IF(ISNUMBER(Sync!$J342),IF(AND(Sync!$J342&gt;=10000101,Sync!$J342&lt;=99991231),INT(Sync!$J342/10000)&amp;"/"&amp;RIGHT("00"&amp;INT(MOD(Sync!$J342,10000)/100),2)&amp;"/"&amp;RIGHT("00"&amp;MOD(Sync!$J342,100),2),"نامعتبر"),IF(LEN(Sync!$J342)=10,Sync!$J342,"نامعتبر")))</f>
        <v/>
      </c>
      <c r="R342" t="str">
        <f t="shared" si="39"/>
        <v/>
      </c>
      <c r="S342" t="str">
        <f t="shared" si="40"/>
        <v/>
      </c>
      <c r="T342" t="str">
        <f>IF($N342="","",IF(Sync!$N342="",0,Sync!$N342))</f>
        <v/>
      </c>
      <c r="U342" t="str">
        <f>IF($N342="","",IF(Sync!$O342="",0,Sync!$O342))</f>
        <v/>
      </c>
      <c r="V342" t="str">
        <f>IF($N342="","",Sync!$L342)</f>
        <v/>
      </c>
      <c r="W342" t="str">
        <f>IF($N342="","",Sync!$P342)</f>
        <v/>
      </c>
      <c r="AA342" t="str">
        <f>IF($A342="","",IF(COUNTIF($A$6:$A342,$A342)=1,1,0))</f>
        <v/>
      </c>
      <c r="AB342">
        <f>SUM($AA$6:$AA342)</f>
        <v>3</v>
      </c>
      <c r="AC342" t="str">
        <f t="shared" si="41"/>
        <v/>
      </c>
    </row>
    <row r="343" spans="1:29" x14ac:dyDescent="0.2">
      <c r="A343" t="str">
        <f>IF(OR(Entry!$B346="",Entry!$E346="",$E343="نامعتبر"),"",Entry!$E346)</f>
        <v/>
      </c>
      <c r="B343" t="str">
        <f>IF($A343="","",LEFT($E343,4)&amp;MID($E343,6,2)&amp;RIGHT($E343,2)&amp;$F343&amp;"|"&amp;"1"&amp;RIGHT("00000"&amp;338,5))</f>
        <v/>
      </c>
      <c r="C343" t="str">
        <f t="shared" si="35"/>
        <v/>
      </c>
      <c r="D343" t="str">
        <f t="shared" si="36"/>
        <v/>
      </c>
      <c r="E343" t="str">
        <f>IF(Entry!$B346="","",IF(ISNUMBER(Entry!$B346),IF(AND(Entry!$B346&gt;=10000101,Entry!$B346&lt;=99991231),INT(Entry!$B346/10000)&amp;"/"&amp;RIGHT("00"&amp;INT(MOD(Entry!$B346,10000)/100),2)&amp;"/"&amp;RIGHT("00"&amp;MOD(Entry!$B346,100),2),"نامعتبر"),IF(LEN(Entry!$B346)=10,Entry!$B346,"نامعتبر")))</f>
        <v/>
      </c>
      <c r="F343" t="str">
        <f>IF(Entry!$B346="","",IF(Entry!$C346="","0000",IF(AND(ISNUMBER(Entry!$C346),Entry!$C346&gt;=0,Entry!$C346&lt;1),RIGHT("00"&amp;HOUR(Entry!$C346),2)&amp;RIGHT("00"&amp;MINUTE(Entry!$C346),2),IFERROR(RIGHT("00"&amp;VALUE(LEFT(Entry!$C346,FIND(":",Entry!$C346)-1)),2)&amp;RIGHT("00"&amp;VALUE(MID(Entry!$C346,FIND(":",Entry!$C346)+1,2)),2),"0000"))))</f>
        <v/>
      </c>
      <c r="G343" t="str">
        <f>IF($A343="","",Entry!$G346)</f>
        <v/>
      </c>
      <c r="H343" t="str">
        <f>IF($A343="","",IF(Entry!$H346="",0,Entry!$H346))</f>
        <v/>
      </c>
      <c r="I343" t="str">
        <f>IF($A343="","",IF(Entry!$I346="",0,Entry!$I346))</f>
        <v/>
      </c>
      <c r="J343" t="str">
        <f t="shared" si="37"/>
        <v/>
      </c>
      <c r="K343" t="str">
        <f>IF($A343="","",Entry!$D346)</f>
        <v/>
      </c>
      <c r="L343" t="str">
        <f>IF($A343="","",Entry!$L346)</f>
        <v/>
      </c>
      <c r="N343" t="str">
        <f>IF(OR(Sync!$M343="",$Q343="",$Q343="نامعتبر"),"",Sync!$M343)</f>
        <v/>
      </c>
      <c r="O343" t="str">
        <f t="shared" si="38"/>
        <v/>
      </c>
      <c r="P343" t="str">
        <f>IF($N343="","",LEFT($Q343,4)&amp;MID($Q343,6,2)&amp;RIGHT($Q343,2)&amp;IF(Sync!$K343="","0000",IF(AND(ISNUMBER(Sync!$K343),Sync!$K343&gt;=0,Sync!$K343&lt;1),RIGHT("00"&amp;HOUR(Sync!$K343),2)&amp;RIGHT("00"&amp;MINUTE(Sync!$K343),2),IFERROR(RIGHT("00"&amp;VALUE(LEFT(Sync!$K343,FIND(":",Sync!$K343)-1)),2)&amp;RIGHT("00"&amp;VALUE(MID(Sync!$K343,FIND(":",Sync!$K343)+1,2)),2),"0000")))&amp;"|"&amp;"2"&amp;RIGHT("00000"&amp;338,5))</f>
        <v/>
      </c>
      <c r="Q343" t="str">
        <f>IF(Sync!$J343="","",IF(ISNUMBER(Sync!$J343),IF(AND(Sync!$J343&gt;=10000101,Sync!$J343&lt;=99991231),INT(Sync!$J343/10000)&amp;"/"&amp;RIGHT("00"&amp;INT(MOD(Sync!$J343,10000)/100),2)&amp;"/"&amp;RIGHT("00"&amp;MOD(Sync!$J343,100),2),"نامعتبر"),IF(LEN(Sync!$J343)=10,Sync!$J343,"نامعتبر")))</f>
        <v/>
      </c>
      <c r="R343" t="str">
        <f t="shared" si="39"/>
        <v/>
      </c>
      <c r="S343" t="str">
        <f t="shared" si="40"/>
        <v/>
      </c>
      <c r="T343" t="str">
        <f>IF($N343="","",IF(Sync!$N343="",0,Sync!$N343))</f>
        <v/>
      </c>
      <c r="U343" t="str">
        <f>IF($N343="","",IF(Sync!$O343="",0,Sync!$O343))</f>
        <v/>
      </c>
      <c r="V343" t="str">
        <f>IF($N343="","",Sync!$L343)</f>
        <v/>
      </c>
      <c r="W343" t="str">
        <f>IF($N343="","",Sync!$P343)</f>
        <v/>
      </c>
      <c r="AA343" t="str">
        <f>IF($A343="","",IF(COUNTIF($A$6:$A343,$A343)=1,1,0))</f>
        <v/>
      </c>
      <c r="AB343">
        <f>SUM($AA$6:$AA343)</f>
        <v>3</v>
      </c>
      <c r="AC343" t="str">
        <f t="shared" si="41"/>
        <v/>
      </c>
    </row>
    <row r="344" spans="1:29" x14ac:dyDescent="0.2">
      <c r="A344" t="str">
        <f>IF(OR(Entry!$B347="",Entry!$E347="",$E344="نامعتبر"),"",Entry!$E347)</f>
        <v/>
      </c>
      <c r="B344" t="str">
        <f>IF($A344="","",LEFT($E344,4)&amp;MID($E344,6,2)&amp;RIGHT($E344,2)&amp;$F344&amp;"|"&amp;"1"&amp;RIGHT("00000"&amp;339,5))</f>
        <v/>
      </c>
      <c r="C344" t="str">
        <f t="shared" si="35"/>
        <v/>
      </c>
      <c r="D344" t="str">
        <f t="shared" si="36"/>
        <v/>
      </c>
      <c r="E344" t="str">
        <f>IF(Entry!$B347="","",IF(ISNUMBER(Entry!$B347),IF(AND(Entry!$B347&gt;=10000101,Entry!$B347&lt;=99991231),INT(Entry!$B347/10000)&amp;"/"&amp;RIGHT("00"&amp;INT(MOD(Entry!$B347,10000)/100),2)&amp;"/"&amp;RIGHT("00"&amp;MOD(Entry!$B347,100),2),"نامعتبر"),IF(LEN(Entry!$B347)=10,Entry!$B347,"نامعتبر")))</f>
        <v/>
      </c>
      <c r="F344" t="str">
        <f>IF(Entry!$B347="","",IF(Entry!$C347="","0000",IF(AND(ISNUMBER(Entry!$C347),Entry!$C347&gt;=0,Entry!$C347&lt;1),RIGHT("00"&amp;HOUR(Entry!$C347),2)&amp;RIGHT("00"&amp;MINUTE(Entry!$C347),2),IFERROR(RIGHT("00"&amp;VALUE(LEFT(Entry!$C347,FIND(":",Entry!$C347)-1)),2)&amp;RIGHT("00"&amp;VALUE(MID(Entry!$C347,FIND(":",Entry!$C347)+1,2)),2),"0000"))))</f>
        <v/>
      </c>
      <c r="G344" t="str">
        <f>IF($A344="","",Entry!$G347)</f>
        <v/>
      </c>
      <c r="H344" t="str">
        <f>IF($A344="","",IF(Entry!$H347="",0,Entry!$H347))</f>
        <v/>
      </c>
      <c r="I344" t="str">
        <f>IF($A344="","",IF(Entry!$I347="",0,Entry!$I347))</f>
        <v/>
      </c>
      <c r="J344" t="str">
        <f t="shared" si="37"/>
        <v/>
      </c>
      <c r="K344" t="str">
        <f>IF($A344="","",Entry!$D347)</f>
        <v/>
      </c>
      <c r="L344" t="str">
        <f>IF($A344="","",Entry!$L347)</f>
        <v/>
      </c>
      <c r="N344" t="str">
        <f>IF(OR(Sync!$M344="",$Q344="",$Q344="نامعتبر"),"",Sync!$M344)</f>
        <v/>
      </c>
      <c r="O344" t="str">
        <f t="shared" si="38"/>
        <v/>
      </c>
      <c r="P344" t="str">
        <f>IF($N344="","",LEFT($Q344,4)&amp;MID($Q344,6,2)&amp;RIGHT($Q344,2)&amp;IF(Sync!$K344="","0000",IF(AND(ISNUMBER(Sync!$K344),Sync!$K344&gt;=0,Sync!$K344&lt;1),RIGHT("00"&amp;HOUR(Sync!$K344),2)&amp;RIGHT("00"&amp;MINUTE(Sync!$K344),2),IFERROR(RIGHT("00"&amp;VALUE(LEFT(Sync!$K344,FIND(":",Sync!$K344)-1)),2)&amp;RIGHT("00"&amp;VALUE(MID(Sync!$K344,FIND(":",Sync!$K344)+1,2)),2),"0000")))&amp;"|"&amp;"2"&amp;RIGHT("00000"&amp;339,5))</f>
        <v/>
      </c>
      <c r="Q344" t="str">
        <f>IF(Sync!$J344="","",IF(ISNUMBER(Sync!$J344),IF(AND(Sync!$J344&gt;=10000101,Sync!$J344&lt;=99991231),INT(Sync!$J344/10000)&amp;"/"&amp;RIGHT("00"&amp;INT(MOD(Sync!$J344,10000)/100),2)&amp;"/"&amp;RIGHT("00"&amp;MOD(Sync!$J344,100),2),"نامعتبر"),IF(LEN(Sync!$J344)=10,Sync!$J344,"نامعتبر")))</f>
        <v/>
      </c>
      <c r="R344" t="str">
        <f t="shared" si="39"/>
        <v/>
      </c>
      <c r="S344" t="str">
        <f t="shared" si="40"/>
        <v/>
      </c>
      <c r="T344" t="str">
        <f>IF($N344="","",IF(Sync!$N344="",0,Sync!$N344))</f>
        <v/>
      </c>
      <c r="U344" t="str">
        <f>IF($N344="","",IF(Sync!$O344="",0,Sync!$O344))</f>
        <v/>
      </c>
      <c r="V344" t="str">
        <f>IF($N344="","",Sync!$L344)</f>
        <v/>
      </c>
      <c r="W344" t="str">
        <f>IF($N344="","",Sync!$P344)</f>
        <v/>
      </c>
      <c r="AA344" t="str">
        <f>IF($A344="","",IF(COUNTIF($A$6:$A344,$A344)=1,1,0))</f>
        <v/>
      </c>
      <c r="AB344">
        <f>SUM($AA$6:$AA344)</f>
        <v>3</v>
      </c>
      <c r="AC344" t="str">
        <f t="shared" si="41"/>
        <v/>
      </c>
    </row>
    <row r="345" spans="1:29" x14ac:dyDescent="0.2">
      <c r="A345" t="str">
        <f>IF(OR(Entry!$B348="",Entry!$E348="",$E345="نامعتبر"),"",Entry!$E348)</f>
        <v/>
      </c>
      <c r="B345" t="str">
        <f>IF($A345="","",LEFT($E345,4)&amp;MID($E345,6,2)&amp;RIGHT($E345,2)&amp;$F345&amp;"|"&amp;"1"&amp;RIGHT("00000"&amp;340,5))</f>
        <v/>
      </c>
      <c r="C345" t="str">
        <f t="shared" si="35"/>
        <v/>
      </c>
      <c r="D345" t="str">
        <f t="shared" si="36"/>
        <v/>
      </c>
      <c r="E345" t="str">
        <f>IF(Entry!$B348="","",IF(ISNUMBER(Entry!$B348),IF(AND(Entry!$B348&gt;=10000101,Entry!$B348&lt;=99991231),INT(Entry!$B348/10000)&amp;"/"&amp;RIGHT("00"&amp;INT(MOD(Entry!$B348,10000)/100),2)&amp;"/"&amp;RIGHT("00"&amp;MOD(Entry!$B348,100),2),"نامعتبر"),IF(LEN(Entry!$B348)=10,Entry!$B348,"نامعتبر")))</f>
        <v/>
      </c>
      <c r="F345" t="str">
        <f>IF(Entry!$B348="","",IF(Entry!$C348="","0000",IF(AND(ISNUMBER(Entry!$C348),Entry!$C348&gt;=0,Entry!$C348&lt;1),RIGHT("00"&amp;HOUR(Entry!$C348),2)&amp;RIGHT("00"&amp;MINUTE(Entry!$C348),2),IFERROR(RIGHT("00"&amp;VALUE(LEFT(Entry!$C348,FIND(":",Entry!$C348)-1)),2)&amp;RIGHT("00"&amp;VALUE(MID(Entry!$C348,FIND(":",Entry!$C348)+1,2)),2),"0000"))))</f>
        <v/>
      </c>
      <c r="G345" t="str">
        <f>IF($A345="","",Entry!$G348)</f>
        <v/>
      </c>
      <c r="H345" t="str">
        <f>IF($A345="","",IF(Entry!$H348="",0,Entry!$H348))</f>
        <v/>
      </c>
      <c r="I345" t="str">
        <f>IF($A345="","",IF(Entry!$I348="",0,Entry!$I348))</f>
        <v/>
      </c>
      <c r="J345" t="str">
        <f t="shared" si="37"/>
        <v/>
      </c>
      <c r="K345" t="str">
        <f>IF($A345="","",Entry!$D348)</f>
        <v/>
      </c>
      <c r="L345" t="str">
        <f>IF($A345="","",Entry!$L348)</f>
        <v/>
      </c>
      <c r="N345" t="str">
        <f>IF(OR(Sync!$M345="",$Q345="",$Q345="نامعتبر"),"",Sync!$M345)</f>
        <v/>
      </c>
      <c r="O345" t="str">
        <f t="shared" si="38"/>
        <v/>
      </c>
      <c r="P345" t="str">
        <f>IF($N345="","",LEFT($Q345,4)&amp;MID($Q345,6,2)&amp;RIGHT($Q345,2)&amp;IF(Sync!$K345="","0000",IF(AND(ISNUMBER(Sync!$K345),Sync!$K345&gt;=0,Sync!$K345&lt;1),RIGHT("00"&amp;HOUR(Sync!$K345),2)&amp;RIGHT("00"&amp;MINUTE(Sync!$K345),2),IFERROR(RIGHT("00"&amp;VALUE(LEFT(Sync!$K345,FIND(":",Sync!$K345)-1)),2)&amp;RIGHT("00"&amp;VALUE(MID(Sync!$K345,FIND(":",Sync!$K345)+1,2)),2),"0000")))&amp;"|"&amp;"2"&amp;RIGHT("00000"&amp;340,5))</f>
        <v/>
      </c>
      <c r="Q345" t="str">
        <f>IF(Sync!$J345="","",IF(ISNUMBER(Sync!$J345),IF(AND(Sync!$J345&gt;=10000101,Sync!$J345&lt;=99991231),INT(Sync!$J345/10000)&amp;"/"&amp;RIGHT("00"&amp;INT(MOD(Sync!$J345,10000)/100),2)&amp;"/"&amp;RIGHT("00"&amp;MOD(Sync!$J345,100),2),"نامعتبر"),IF(LEN(Sync!$J345)=10,Sync!$J345,"نامعتبر")))</f>
        <v/>
      </c>
      <c r="R345" t="str">
        <f t="shared" si="39"/>
        <v/>
      </c>
      <c r="S345" t="str">
        <f t="shared" si="40"/>
        <v/>
      </c>
      <c r="T345" t="str">
        <f>IF($N345="","",IF(Sync!$N345="",0,Sync!$N345))</f>
        <v/>
      </c>
      <c r="U345" t="str">
        <f>IF($N345="","",IF(Sync!$O345="",0,Sync!$O345))</f>
        <v/>
      </c>
      <c r="V345" t="str">
        <f>IF($N345="","",Sync!$L345)</f>
        <v/>
      </c>
      <c r="W345" t="str">
        <f>IF($N345="","",Sync!$P345)</f>
        <v/>
      </c>
      <c r="AA345" t="str">
        <f>IF($A345="","",IF(COUNTIF($A$6:$A345,$A345)=1,1,0))</f>
        <v/>
      </c>
      <c r="AB345">
        <f>SUM($AA$6:$AA345)</f>
        <v>3</v>
      </c>
      <c r="AC345" t="str">
        <f t="shared" si="41"/>
        <v/>
      </c>
    </row>
    <row r="346" spans="1:29" x14ac:dyDescent="0.2">
      <c r="A346" t="str">
        <f>IF(OR(Entry!$B349="",Entry!$E349="",$E346="نامعتبر"),"",Entry!$E349)</f>
        <v/>
      </c>
      <c r="B346" t="str">
        <f>IF($A346="","",LEFT($E346,4)&amp;MID($E346,6,2)&amp;RIGHT($E346,2)&amp;$F346&amp;"|"&amp;"1"&amp;RIGHT("00000"&amp;341,5))</f>
        <v/>
      </c>
      <c r="C346" t="str">
        <f t="shared" si="35"/>
        <v/>
      </c>
      <c r="D346" t="str">
        <f t="shared" si="36"/>
        <v/>
      </c>
      <c r="E346" t="str">
        <f>IF(Entry!$B349="","",IF(ISNUMBER(Entry!$B349),IF(AND(Entry!$B349&gt;=10000101,Entry!$B349&lt;=99991231),INT(Entry!$B349/10000)&amp;"/"&amp;RIGHT("00"&amp;INT(MOD(Entry!$B349,10000)/100),2)&amp;"/"&amp;RIGHT("00"&amp;MOD(Entry!$B349,100),2),"نامعتبر"),IF(LEN(Entry!$B349)=10,Entry!$B349,"نامعتبر")))</f>
        <v/>
      </c>
      <c r="F346" t="str">
        <f>IF(Entry!$B349="","",IF(Entry!$C349="","0000",IF(AND(ISNUMBER(Entry!$C349),Entry!$C349&gt;=0,Entry!$C349&lt;1),RIGHT("00"&amp;HOUR(Entry!$C349),2)&amp;RIGHT("00"&amp;MINUTE(Entry!$C349),2),IFERROR(RIGHT("00"&amp;VALUE(LEFT(Entry!$C349,FIND(":",Entry!$C349)-1)),2)&amp;RIGHT("00"&amp;VALUE(MID(Entry!$C349,FIND(":",Entry!$C349)+1,2)),2),"0000"))))</f>
        <v/>
      </c>
      <c r="G346" t="str">
        <f>IF($A346="","",Entry!$G349)</f>
        <v/>
      </c>
      <c r="H346" t="str">
        <f>IF($A346="","",IF(Entry!$H349="",0,Entry!$H349))</f>
        <v/>
      </c>
      <c r="I346" t="str">
        <f>IF($A346="","",IF(Entry!$I349="",0,Entry!$I349))</f>
        <v/>
      </c>
      <c r="J346" t="str">
        <f t="shared" si="37"/>
        <v/>
      </c>
      <c r="K346" t="str">
        <f>IF($A346="","",Entry!$D349)</f>
        <v/>
      </c>
      <c r="L346" t="str">
        <f>IF($A346="","",Entry!$L349)</f>
        <v/>
      </c>
      <c r="N346" t="str">
        <f>IF(OR(Sync!$M346="",$Q346="",$Q346="نامعتبر"),"",Sync!$M346)</f>
        <v/>
      </c>
      <c r="O346" t="str">
        <f t="shared" si="38"/>
        <v/>
      </c>
      <c r="P346" t="str">
        <f>IF($N346="","",LEFT($Q346,4)&amp;MID($Q346,6,2)&amp;RIGHT($Q346,2)&amp;IF(Sync!$K346="","0000",IF(AND(ISNUMBER(Sync!$K346),Sync!$K346&gt;=0,Sync!$K346&lt;1),RIGHT("00"&amp;HOUR(Sync!$K346),2)&amp;RIGHT("00"&amp;MINUTE(Sync!$K346),2),IFERROR(RIGHT("00"&amp;VALUE(LEFT(Sync!$K346,FIND(":",Sync!$K346)-1)),2)&amp;RIGHT("00"&amp;VALUE(MID(Sync!$K346,FIND(":",Sync!$K346)+1,2)),2),"0000")))&amp;"|"&amp;"2"&amp;RIGHT("00000"&amp;341,5))</f>
        <v/>
      </c>
      <c r="Q346" t="str">
        <f>IF(Sync!$J346="","",IF(ISNUMBER(Sync!$J346),IF(AND(Sync!$J346&gt;=10000101,Sync!$J346&lt;=99991231),INT(Sync!$J346/10000)&amp;"/"&amp;RIGHT("00"&amp;INT(MOD(Sync!$J346,10000)/100),2)&amp;"/"&amp;RIGHT("00"&amp;MOD(Sync!$J346,100),2),"نامعتبر"),IF(LEN(Sync!$J346)=10,Sync!$J346,"نامعتبر")))</f>
        <v/>
      </c>
      <c r="R346" t="str">
        <f t="shared" si="39"/>
        <v/>
      </c>
      <c r="S346" t="str">
        <f t="shared" si="40"/>
        <v/>
      </c>
      <c r="T346" t="str">
        <f>IF($N346="","",IF(Sync!$N346="",0,Sync!$N346))</f>
        <v/>
      </c>
      <c r="U346" t="str">
        <f>IF($N346="","",IF(Sync!$O346="",0,Sync!$O346))</f>
        <v/>
      </c>
      <c r="V346" t="str">
        <f>IF($N346="","",Sync!$L346)</f>
        <v/>
      </c>
      <c r="W346" t="str">
        <f>IF($N346="","",Sync!$P346)</f>
        <v/>
      </c>
      <c r="AA346" t="str">
        <f>IF($A346="","",IF(COUNTIF($A$6:$A346,$A346)=1,1,0))</f>
        <v/>
      </c>
      <c r="AB346">
        <f>SUM($AA$6:$AA346)</f>
        <v>3</v>
      </c>
      <c r="AC346" t="str">
        <f t="shared" si="41"/>
        <v/>
      </c>
    </row>
    <row r="347" spans="1:29" x14ac:dyDescent="0.2">
      <c r="A347" t="str">
        <f>IF(OR(Entry!$B350="",Entry!$E350="",$E347="نامعتبر"),"",Entry!$E350)</f>
        <v/>
      </c>
      <c r="B347" t="str">
        <f>IF($A347="","",LEFT($E347,4)&amp;MID($E347,6,2)&amp;RIGHT($E347,2)&amp;$F347&amp;"|"&amp;"1"&amp;RIGHT("00000"&amp;342,5))</f>
        <v/>
      </c>
      <c r="C347" t="str">
        <f t="shared" si="35"/>
        <v/>
      </c>
      <c r="D347" t="str">
        <f t="shared" si="36"/>
        <v/>
      </c>
      <c r="E347" t="str">
        <f>IF(Entry!$B350="","",IF(ISNUMBER(Entry!$B350),IF(AND(Entry!$B350&gt;=10000101,Entry!$B350&lt;=99991231),INT(Entry!$B350/10000)&amp;"/"&amp;RIGHT("00"&amp;INT(MOD(Entry!$B350,10000)/100),2)&amp;"/"&amp;RIGHT("00"&amp;MOD(Entry!$B350,100),2),"نامعتبر"),IF(LEN(Entry!$B350)=10,Entry!$B350,"نامعتبر")))</f>
        <v/>
      </c>
      <c r="F347" t="str">
        <f>IF(Entry!$B350="","",IF(Entry!$C350="","0000",IF(AND(ISNUMBER(Entry!$C350),Entry!$C350&gt;=0,Entry!$C350&lt;1),RIGHT("00"&amp;HOUR(Entry!$C350),2)&amp;RIGHT("00"&amp;MINUTE(Entry!$C350),2),IFERROR(RIGHT("00"&amp;VALUE(LEFT(Entry!$C350,FIND(":",Entry!$C350)-1)),2)&amp;RIGHT("00"&amp;VALUE(MID(Entry!$C350,FIND(":",Entry!$C350)+1,2)),2),"0000"))))</f>
        <v/>
      </c>
      <c r="G347" t="str">
        <f>IF($A347="","",Entry!$G350)</f>
        <v/>
      </c>
      <c r="H347" t="str">
        <f>IF($A347="","",IF(Entry!$H350="",0,Entry!$H350))</f>
        <v/>
      </c>
      <c r="I347" t="str">
        <f>IF($A347="","",IF(Entry!$I350="",0,Entry!$I350))</f>
        <v/>
      </c>
      <c r="J347" t="str">
        <f t="shared" si="37"/>
        <v/>
      </c>
      <c r="K347" t="str">
        <f>IF($A347="","",Entry!$D350)</f>
        <v/>
      </c>
      <c r="L347" t="str">
        <f>IF($A347="","",Entry!$L350)</f>
        <v/>
      </c>
      <c r="N347" t="str">
        <f>IF(OR(Sync!$M347="",$Q347="",$Q347="نامعتبر"),"",Sync!$M347)</f>
        <v/>
      </c>
      <c r="O347" t="str">
        <f t="shared" si="38"/>
        <v/>
      </c>
      <c r="P347" t="str">
        <f>IF($N347="","",LEFT($Q347,4)&amp;MID($Q347,6,2)&amp;RIGHT($Q347,2)&amp;IF(Sync!$K347="","0000",IF(AND(ISNUMBER(Sync!$K347),Sync!$K347&gt;=0,Sync!$K347&lt;1),RIGHT("00"&amp;HOUR(Sync!$K347),2)&amp;RIGHT("00"&amp;MINUTE(Sync!$K347),2),IFERROR(RIGHT("00"&amp;VALUE(LEFT(Sync!$K347,FIND(":",Sync!$K347)-1)),2)&amp;RIGHT("00"&amp;VALUE(MID(Sync!$K347,FIND(":",Sync!$K347)+1,2)),2),"0000")))&amp;"|"&amp;"2"&amp;RIGHT("00000"&amp;342,5))</f>
        <v/>
      </c>
      <c r="Q347" t="str">
        <f>IF(Sync!$J347="","",IF(ISNUMBER(Sync!$J347),IF(AND(Sync!$J347&gt;=10000101,Sync!$J347&lt;=99991231),INT(Sync!$J347/10000)&amp;"/"&amp;RIGHT("00"&amp;INT(MOD(Sync!$J347,10000)/100),2)&amp;"/"&amp;RIGHT("00"&amp;MOD(Sync!$J347,100),2),"نامعتبر"),IF(LEN(Sync!$J347)=10,Sync!$J347,"نامعتبر")))</f>
        <v/>
      </c>
      <c r="R347" t="str">
        <f t="shared" si="39"/>
        <v/>
      </c>
      <c r="S347" t="str">
        <f t="shared" si="40"/>
        <v/>
      </c>
      <c r="T347" t="str">
        <f>IF($N347="","",IF(Sync!$N347="",0,Sync!$N347))</f>
        <v/>
      </c>
      <c r="U347" t="str">
        <f>IF($N347="","",IF(Sync!$O347="",0,Sync!$O347))</f>
        <v/>
      </c>
      <c r="V347" t="str">
        <f>IF($N347="","",Sync!$L347)</f>
        <v/>
      </c>
      <c r="W347" t="str">
        <f>IF($N347="","",Sync!$P347)</f>
        <v/>
      </c>
      <c r="AA347" t="str">
        <f>IF($A347="","",IF(COUNTIF($A$6:$A347,$A347)=1,1,0))</f>
        <v/>
      </c>
      <c r="AB347">
        <f>SUM($AA$6:$AA347)</f>
        <v>3</v>
      </c>
      <c r="AC347" t="str">
        <f t="shared" si="41"/>
        <v/>
      </c>
    </row>
    <row r="348" spans="1:29" x14ac:dyDescent="0.2">
      <c r="A348" t="str">
        <f>IF(OR(Entry!$B351="",Entry!$E351="",$E348="نامعتبر"),"",Entry!$E351)</f>
        <v/>
      </c>
      <c r="B348" t="str">
        <f>IF($A348="","",LEFT($E348,4)&amp;MID($E348,6,2)&amp;RIGHT($E348,2)&amp;$F348&amp;"|"&amp;"1"&amp;RIGHT("00000"&amp;343,5))</f>
        <v/>
      </c>
      <c r="C348" t="str">
        <f t="shared" si="35"/>
        <v/>
      </c>
      <c r="D348" t="str">
        <f t="shared" si="36"/>
        <v/>
      </c>
      <c r="E348" t="str">
        <f>IF(Entry!$B351="","",IF(ISNUMBER(Entry!$B351),IF(AND(Entry!$B351&gt;=10000101,Entry!$B351&lt;=99991231),INT(Entry!$B351/10000)&amp;"/"&amp;RIGHT("00"&amp;INT(MOD(Entry!$B351,10000)/100),2)&amp;"/"&amp;RIGHT("00"&amp;MOD(Entry!$B351,100),2),"نامعتبر"),IF(LEN(Entry!$B351)=10,Entry!$B351,"نامعتبر")))</f>
        <v/>
      </c>
      <c r="F348" t="str">
        <f>IF(Entry!$B351="","",IF(Entry!$C351="","0000",IF(AND(ISNUMBER(Entry!$C351),Entry!$C351&gt;=0,Entry!$C351&lt;1),RIGHT("00"&amp;HOUR(Entry!$C351),2)&amp;RIGHT("00"&amp;MINUTE(Entry!$C351),2),IFERROR(RIGHT("00"&amp;VALUE(LEFT(Entry!$C351,FIND(":",Entry!$C351)-1)),2)&amp;RIGHT("00"&amp;VALUE(MID(Entry!$C351,FIND(":",Entry!$C351)+1,2)),2),"0000"))))</f>
        <v/>
      </c>
      <c r="G348" t="str">
        <f>IF($A348="","",Entry!$G351)</f>
        <v/>
      </c>
      <c r="H348" t="str">
        <f>IF($A348="","",IF(Entry!$H351="",0,Entry!$H351))</f>
        <v/>
      </c>
      <c r="I348" t="str">
        <f>IF($A348="","",IF(Entry!$I351="",0,Entry!$I351))</f>
        <v/>
      </c>
      <c r="J348" t="str">
        <f t="shared" si="37"/>
        <v/>
      </c>
      <c r="K348" t="str">
        <f>IF($A348="","",Entry!$D351)</f>
        <v/>
      </c>
      <c r="L348" t="str">
        <f>IF($A348="","",Entry!$L351)</f>
        <v/>
      </c>
      <c r="N348" t="str">
        <f>IF(OR(Sync!$M348="",$Q348="",$Q348="نامعتبر"),"",Sync!$M348)</f>
        <v/>
      </c>
      <c r="O348" t="str">
        <f t="shared" si="38"/>
        <v/>
      </c>
      <c r="P348" t="str">
        <f>IF($N348="","",LEFT($Q348,4)&amp;MID($Q348,6,2)&amp;RIGHT($Q348,2)&amp;IF(Sync!$K348="","0000",IF(AND(ISNUMBER(Sync!$K348),Sync!$K348&gt;=0,Sync!$K348&lt;1),RIGHT("00"&amp;HOUR(Sync!$K348),2)&amp;RIGHT("00"&amp;MINUTE(Sync!$K348),2),IFERROR(RIGHT("00"&amp;VALUE(LEFT(Sync!$K348,FIND(":",Sync!$K348)-1)),2)&amp;RIGHT("00"&amp;VALUE(MID(Sync!$K348,FIND(":",Sync!$K348)+1,2)),2),"0000")))&amp;"|"&amp;"2"&amp;RIGHT("00000"&amp;343,5))</f>
        <v/>
      </c>
      <c r="Q348" t="str">
        <f>IF(Sync!$J348="","",IF(ISNUMBER(Sync!$J348),IF(AND(Sync!$J348&gt;=10000101,Sync!$J348&lt;=99991231),INT(Sync!$J348/10000)&amp;"/"&amp;RIGHT("00"&amp;INT(MOD(Sync!$J348,10000)/100),2)&amp;"/"&amp;RIGHT("00"&amp;MOD(Sync!$J348,100),2),"نامعتبر"),IF(LEN(Sync!$J348)=10,Sync!$J348,"نامعتبر")))</f>
        <v/>
      </c>
      <c r="R348" t="str">
        <f t="shared" si="39"/>
        <v/>
      </c>
      <c r="S348" t="str">
        <f t="shared" si="40"/>
        <v/>
      </c>
      <c r="T348" t="str">
        <f>IF($N348="","",IF(Sync!$N348="",0,Sync!$N348))</f>
        <v/>
      </c>
      <c r="U348" t="str">
        <f>IF($N348="","",IF(Sync!$O348="",0,Sync!$O348))</f>
        <v/>
      </c>
      <c r="V348" t="str">
        <f>IF($N348="","",Sync!$L348)</f>
        <v/>
      </c>
      <c r="W348" t="str">
        <f>IF($N348="","",Sync!$P348)</f>
        <v/>
      </c>
      <c r="AA348" t="str">
        <f>IF($A348="","",IF(COUNTIF($A$6:$A348,$A348)=1,1,0))</f>
        <v/>
      </c>
      <c r="AB348">
        <f>SUM($AA$6:$AA348)</f>
        <v>3</v>
      </c>
      <c r="AC348" t="str">
        <f t="shared" si="41"/>
        <v/>
      </c>
    </row>
    <row r="349" spans="1:29" x14ac:dyDescent="0.2">
      <c r="A349" t="str">
        <f>IF(OR(Entry!$B352="",Entry!$E352="",$E349="نامعتبر"),"",Entry!$E352)</f>
        <v/>
      </c>
      <c r="B349" t="str">
        <f>IF($A349="","",LEFT($E349,4)&amp;MID($E349,6,2)&amp;RIGHT($E349,2)&amp;$F349&amp;"|"&amp;"1"&amp;RIGHT("00000"&amp;344,5))</f>
        <v/>
      </c>
      <c r="C349" t="str">
        <f t="shared" si="35"/>
        <v/>
      </c>
      <c r="D349" t="str">
        <f t="shared" si="36"/>
        <v/>
      </c>
      <c r="E349" t="str">
        <f>IF(Entry!$B352="","",IF(ISNUMBER(Entry!$B352),IF(AND(Entry!$B352&gt;=10000101,Entry!$B352&lt;=99991231),INT(Entry!$B352/10000)&amp;"/"&amp;RIGHT("00"&amp;INT(MOD(Entry!$B352,10000)/100),2)&amp;"/"&amp;RIGHT("00"&amp;MOD(Entry!$B352,100),2),"نامعتبر"),IF(LEN(Entry!$B352)=10,Entry!$B352,"نامعتبر")))</f>
        <v/>
      </c>
      <c r="F349" t="str">
        <f>IF(Entry!$B352="","",IF(Entry!$C352="","0000",IF(AND(ISNUMBER(Entry!$C352),Entry!$C352&gt;=0,Entry!$C352&lt;1),RIGHT("00"&amp;HOUR(Entry!$C352),2)&amp;RIGHT("00"&amp;MINUTE(Entry!$C352),2),IFERROR(RIGHT("00"&amp;VALUE(LEFT(Entry!$C352,FIND(":",Entry!$C352)-1)),2)&amp;RIGHT("00"&amp;VALUE(MID(Entry!$C352,FIND(":",Entry!$C352)+1,2)),2),"0000"))))</f>
        <v/>
      </c>
      <c r="G349" t="str">
        <f>IF($A349="","",Entry!$G352)</f>
        <v/>
      </c>
      <c r="H349" t="str">
        <f>IF($A349="","",IF(Entry!$H352="",0,Entry!$H352))</f>
        <v/>
      </c>
      <c r="I349" t="str">
        <f>IF($A349="","",IF(Entry!$I352="",0,Entry!$I352))</f>
        <v/>
      </c>
      <c r="J349" t="str">
        <f t="shared" si="37"/>
        <v/>
      </c>
      <c r="K349" t="str">
        <f>IF($A349="","",Entry!$D352)</f>
        <v/>
      </c>
      <c r="L349" t="str">
        <f>IF($A349="","",Entry!$L352)</f>
        <v/>
      </c>
      <c r="N349" t="str">
        <f>IF(OR(Sync!$M349="",$Q349="",$Q349="نامعتبر"),"",Sync!$M349)</f>
        <v/>
      </c>
      <c r="O349" t="str">
        <f t="shared" si="38"/>
        <v/>
      </c>
      <c r="P349" t="str">
        <f>IF($N349="","",LEFT($Q349,4)&amp;MID($Q349,6,2)&amp;RIGHT($Q349,2)&amp;IF(Sync!$K349="","0000",IF(AND(ISNUMBER(Sync!$K349),Sync!$K349&gt;=0,Sync!$K349&lt;1),RIGHT("00"&amp;HOUR(Sync!$K349),2)&amp;RIGHT("00"&amp;MINUTE(Sync!$K349),2),IFERROR(RIGHT("00"&amp;VALUE(LEFT(Sync!$K349,FIND(":",Sync!$K349)-1)),2)&amp;RIGHT("00"&amp;VALUE(MID(Sync!$K349,FIND(":",Sync!$K349)+1,2)),2),"0000")))&amp;"|"&amp;"2"&amp;RIGHT("00000"&amp;344,5))</f>
        <v/>
      </c>
      <c r="Q349" t="str">
        <f>IF(Sync!$J349="","",IF(ISNUMBER(Sync!$J349),IF(AND(Sync!$J349&gt;=10000101,Sync!$J349&lt;=99991231),INT(Sync!$J349/10000)&amp;"/"&amp;RIGHT("00"&amp;INT(MOD(Sync!$J349,10000)/100),2)&amp;"/"&amp;RIGHT("00"&amp;MOD(Sync!$J349,100),2),"نامعتبر"),IF(LEN(Sync!$J349)=10,Sync!$J349,"نامعتبر")))</f>
        <v/>
      </c>
      <c r="R349" t="str">
        <f t="shared" si="39"/>
        <v/>
      </c>
      <c r="S349" t="str">
        <f t="shared" si="40"/>
        <v/>
      </c>
      <c r="T349" t="str">
        <f>IF($N349="","",IF(Sync!$N349="",0,Sync!$N349))</f>
        <v/>
      </c>
      <c r="U349" t="str">
        <f>IF($N349="","",IF(Sync!$O349="",0,Sync!$O349))</f>
        <v/>
      </c>
      <c r="V349" t="str">
        <f>IF($N349="","",Sync!$L349)</f>
        <v/>
      </c>
      <c r="W349" t="str">
        <f>IF($N349="","",Sync!$P349)</f>
        <v/>
      </c>
      <c r="AA349" t="str">
        <f>IF($A349="","",IF(COUNTIF($A$6:$A349,$A349)=1,1,0))</f>
        <v/>
      </c>
      <c r="AB349">
        <f>SUM($AA$6:$AA349)</f>
        <v>3</v>
      </c>
      <c r="AC349" t="str">
        <f t="shared" si="41"/>
        <v/>
      </c>
    </row>
    <row r="350" spans="1:29" x14ac:dyDescent="0.2">
      <c r="A350" t="str">
        <f>IF(OR(Entry!$B353="",Entry!$E353="",$E350="نامعتبر"),"",Entry!$E353)</f>
        <v/>
      </c>
      <c r="B350" t="str">
        <f>IF($A350="","",LEFT($E350,4)&amp;MID($E350,6,2)&amp;RIGHT($E350,2)&amp;$F350&amp;"|"&amp;"1"&amp;RIGHT("00000"&amp;345,5))</f>
        <v/>
      </c>
      <c r="C350" t="str">
        <f t="shared" si="35"/>
        <v/>
      </c>
      <c r="D350" t="str">
        <f t="shared" si="36"/>
        <v/>
      </c>
      <c r="E350" t="str">
        <f>IF(Entry!$B353="","",IF(ISNUMBER(Entry!$B353),IF(AND(Entry!$B353&gt;=10000101,Entry!$B353&lt;=99991231),INT(Entry!$B353/10000)&amp;"/"&amp;RIGHT("00"&amp;INT(MOD(Entry!$B353,10000)/100),2)&amp;"/"&amp;RIGHT("00"&amp;MOD(Entry!$B353,100),2),"نامعتبر"),IF(LEN(Entry!$B353)=10,Entry!$B353,"نامعتبر")))</f>
        <v/>
      </c>
      <c r="F350" t="str">
        <f>IF(Entry!$B353="","",IF(Entry!$C353="","0000",IF(AND(ISNUMBER(Entry!$C353),Entry!$C353&gt;=0,Entry!$C353&lt;1),RIGHT("00"&amp;HOUR(Entry!$C353),2)&amp;RIGHT("00"&amp;MINUTE(Entry!$C353),2),IFERROR(RIGHT("00"&amp;VALUE(LEFT(Entry!$C353,FIND(":",Entry!$C353)-1)),2)&amp;RIGHT("00"&amp;VALUE(MID(Entry!$C353,FIND(":",Entry!$C353)+1,2)),2),"0000"))))</f>
        <v/>
      </c>
      <c r="G350" t="str">
        <f>IF($A350="","",Entry!$G353)</f>
        <v/>
      </c>
      <c r="H350" t="str">
        <f>IF($A350="","",IF(Entry!$H353="",0,Entry!$H353))</f>
        <v/>
      </c>
      <c r="I350" t="str">
        <f>IF($A350="","",IF(Entry!$I353="",0,Entry!$I353))</f>
        <v/>
      </c>
      <c r="J350" t="str">
        <f t="shared" si="37"/>
        <v/>
      </c>
      <c r="K350" t="str">
        <f>IF($A350="","",Entry!$D353)</f>
        <v/>
      </c>
      <c r="L350" t="str">
        <f>IF($A350="","",Entry!$L353)</f>
        <v/>
      </c>
      <c r="N350" t="str">
        <f>IF(OR(Sync!$M350="",$Q350="",$Q350="نامعتبر"),"",Sync!$M350)</f>
        <v/>
      </c>
      <c r="O350" t="str">
        <f t="shared" si="38"/>
        <v/>
      </c>
      <c r="P350" t="str">
        <f>IF($N350="","",LEFT($Q350,4)&amp;MID($Q350,6,2)&amp;RIGHT($Q350,2)&amp;IF(Sync!$K350="","0000",IF(AND(ISNUMBER(Sync!$K350),Sync!$K350&gt;=0,Sync!$K350&lt;1),RIGHT("00"&amp;HOUR(Sync!$K350),2)&amp;RIGHT("00"&amp;MINUTE(Sync!$K350),2),IFERROR(RIGHT("00"&amp;VALUE(LEFT(Sync!$K350,FIND(":",Sync!$K350)-1)),2)&amp;RIGHT("00"&amp;VALUE(MID(Sync!$K350,FIND(":",Sync!$K350)+1,2)),2),"0000")))&amp;"|"&amp;"2"&amp;RIGHT("00000"&amp;345,5))</f>
        <v/>
      </c>
      <c r="Q350" t="str">
        <f>IF(Sync!$J350="","",IF(ISNUMBER(Sync!$J350),IF(AND(Sync!$J350&gt;=10000101,Sync!$J350&lt;=99991231),INT(Sync!$J350/10000)&amp;"/"&amp;RIGHT("00"&amp;INT(MOD(Sync!$J350,10000)/100),2)&amp;"/"&amp;RIGHT("00"&amp;MOD(Sync!$J350,100),2),"نامعتبر"),IF(LEN(Sync!$J350)=10,Sync!$J350,"نامعتبر")))</f>
        <v/>
      </c>
      <c r="R350" t="str">
        <f t="shared" si="39"/>
        <v/>
      </c>
      <c r="S350" t="str">
        <f t="shared" si="40"/>
        <v/>
      </c>
      <c r="T350" t="str">
        <f>IF($N350="","",IF(Sync!$N350="",0,Sync!$N350))</f>
        <v/>
      </c>
      <c r="U350" t="str">
        <f>IF($N350="","",IF(Sync!$O350="",0,Sync!$O350))</f>
        <v/>
      </c>
      <c r="V350" t="str">
        <f>IF($N350="","",Sync!$L350)</f>
        <v/>
      </c>
      <c r="W350" t="str">
        <f>IF($N350="","",Sync!$P350)</f>
        <v/>
      </c>
      <c r="AA350" t="str">
        <f>IF($A350="","",IF(COUNTIF($A$6:$A350,$A350)=1,1,0))</f>
        <v/>
      </c>
      <c r="AB350">
        <f>SUM($AA$6:$AA350)</f>
        <v>3</v>
      </c>
      <c r="AC350" t="str">
        <f t="shared" si="41"/>
        <v/>
      </c>
    </row>
    <row r="351" spans="1:29" x14ac:dyDescent="0.2">
      <c r="A351" t="str">
        <f>IF(OR(Entry!$B354="",Entry!$E354="",$E351="نامعتبر"),"",Entry!$E354)</f>
        <v/>
      </c>
      <c r="B351" t="str">
        <f>IF($A351="","",LEFT($E351,4)&amp;MID($E351,6,2)&amp;RIGHT($E351,2)&amp;$F351&amp;"|"&amp;"1"&amp;RIGHT("00000"&amp;346,5))</f>
        <v/>
      </c>
      <c r="C351" t="str">
        <f t="shared" si="35"/>
        <v/>
      </c>
      <c r="D351" t="str">
        <f t="shared" si="36"/>
        <v/>
      </c>
      <c r="E351" t="str">
        <f>IF(Entry!$B354="","",IF(ISNUMBER(Entry!$B354),IF(AND(Entry!$B354&gt;=10000101,Entry!$B354&lt;=99991231),INT(Entry!$B354/10000)&amp;"/"&amp;RIGHT("00"&amp;INT(MOD(Entry!$B354,10000)/100),2)&amp;"/"&amp;RIGHT("00"&amp;MOD(Entry!$B354,100),2),"نامعتبر"),IF(LEN(Entry!$B354)=10,Entry!$B354,"نامعتبر")))</f>
        <v/>
      </c>
      <c r="F351" t="str">
        <f>IF(Entry!$B354="","",IF(Entry!$C354="","0000",IF(AND(ISNUMBER(Entry!$C354),Entry!$C354&gt;=0,Entry!$C354&lt;1),RIGHT("00"&amp;HOUR(Entry!$C354),2)&amp;RIGHT("00"&amp;MINUTE(Entry!$C354),2),IFERROR(RIGHT("00"&amp;VALUE(LEFT(Entry!$C354,FIND(":",Entry!$C354)-1)),2)&amp;RIGHT("00"&amp;VALUE(MID(Entry!$C354,FIND(":",Entry!$C354)+1,2)),2),"0000"))))</f>
        <v/>
      </c>
      <c r="G351" t="str">
        <f>IF($A351="","",Entry!$G354)</f>
        <v/>
      </c>
      <c r="H351" t="str">
        <f>IF($A351="","",IF(Entry!$H354="",0,Entry!$H354))</f>
        <v/>
      </c>
      <c r="I351" t="str">
        <f>IF($A351="","",IF(Entry!$I354="",0,Entry!$I354))</f>
        <v/>
      </c>
      <c r="J351" t="str">
        <f t="shared" si="37"/>
        <v/>
      </c>
      <c r="K351" t="str">
        <f>IF($A351="","",Entry!$D354)</f>
        <v/>
      </c>
      <c r="L351" t="str">
        <f>IF($A351="","",Entry!$L354)</f>
        <v/>
      </c>
      <c r="N351" t="str">
        <f>IF(OR(Sync!$M351="",$Q351="",$Q351="نامعتبر"),"",Sync!$M351)</f>
        <v/>
      </c>
      <c r="O351" t="str">
        <f t="shared" si="38"/>
        <v/>
      </c>
      <c r="P351" t="str">
        <f>IF($N351="","",LEFT($Q351,4)&amp;MID($Q351,6,2)&amp;RIGHT($Q351,2)&amp;IF(Sync!$K351="","0000",IF(AND(ISNUMBER(Sync!$K351),Sync!$K351&gt;=0,Sync!$K351&lt;1),RIGHT("00"&amp;HOUR(Sync!$K351),2)&amp;RIGHT("00"&amp;MINUTE(Sync!$K351),2),IFERROR(RIGHT("00"&amp;VALUE(LEFT(Sync!$K351,FIND(":",Sync!$K351)-1)),2)&amp;RIGHT("00"&amp;VALUE(MID(Sync!$K351,FIND(":",Sync!$K351)+1,2)),2),"0000")))&amp;"|"&amp;"2"&amp;RIGHT("00000"&amp;346,5))</f>
        <v/>
      </c>
      <c r="Q351" t="str">
        <f>IF(Sync!$J351="","",IF(ISNUMBER(Sync!$J351),IF(AND(Sync!$J351&gt;=10000101,Sync!$J351&lt;=99991231),INT(Sync!$J351/10000)&amp;"/"&amp;RIGHT("00"&amp;INT(MOD(Sync!$J351,10000)/100),2)&amp;"/"&amp;RIGHT("00"&amp;MOD(Sync!$J351,100),2),"نامعتبر"),IF(LEN(Sync!$J351)=10,Sync!$J351,"نامعتبر")))</f>
        <v/>
      </c>
      <c r="R351" t="str">
        <f t="shared" si="39"/>
        <v/>
      </c>
      <c r="S351" t="str">
        <f t="shared" si="40"/>
        <v/>
      </c>
      <c r="T351" t="str">
        <f>IF($N351="","",IF(Sync!$N351="",0,Sync!$N351))</f>
        <v/>
      </c>
      <c r="U351" t="str">
        <f>IF($N351="","",IF(Sync!$O351="",0,Sync!$O351))</f>
        <v/>
      </c>
      <c r="V351" t="str">
        <f>IF($N351="","",Sync!$L351)</f>
        <v/>
      </c>
      <c r="W351" t="str">
        <f>IF($N351="","",Sync!$P351)</f>
        <v/>
      </c>
      <c r="AA351" t="str">
        <f>IF($A351="","",IF(COUNTIF($A$6:$A351,$A351)=1,1,0))</f>
        <v/>
      </c>
      <c r="AB351">
        <f>SUM($AA$6:$AA351)</f>
        <v>3</v>
      </c>
      <c r="AC351" t="str">
        <f t="shared" si="41"/>
        <v/>
      </c>
    </row>
    <row r="352" spans="1:29" x14ac:dyDescent="0.2">
      <c r="A352" t="str">
        <f>IF(OR(Entry!$B355="",Entry!$E355="",$E352="نامعتبر"),"",Entry!$E355)</f>
        <v/>
      </c>
      <c r="B352" t="str">
        <f>IF($A352="","",LEFT($E352,4)&amp;MID($E352,6,2)&amp;RIGHT($E352,2)&amp;$F352&amp;"|"&amp;"1"&amp;RIGHT("00000"&amp;347,5))</f>
        <v/>
      </c>
      <c r="C352" t="str">
        <f t="shared" si="35"/>
        <v/>
      </c>
      <c r="D352" t="str">
        <f t="shared" si="36"/>
        <v/>
      </c>
      <c r="E352" t="str">
        <f>IF(Entry!$B355="","",IF(ISNUMBER(Entry!$B355),IF(AND(Entry!$B355&gt;=10000101,Entry!$B355&lt;=99991231),INT(Entry!$B355/10000)&amp;"/"&amp;RIGHT("00"&amp;INT(MOD(Entry!$B355,10000)/100),2)&amp;"/"&amp;RIGHT("00"&amp;MOD(Entry!$B355,100),2),"نامعتبر"),IF(LEN(Entry!$B355)=10,Entry!$B355,"نامعتبر")))</f>
        <v/>
      </c>
      <c r="F352" t="str">
        <f>IF(Entry!$B355="","",IF(Entry!$C355="","0000",IF(AND(ISNUMBER(Entry!$C355),Entry!$C355&gt;=0,Entry!$C355&lt;1),RIGHT("00"&amp;HOUR(Entry!$C355),2)&amp;RIGHT("00"&amp;MINUTE(Entry!$C355),2),IFERROR(RIGHT("00"&amp;VALUE(LEFT(Entry!$C355,FIND(":",Entry!$C355)-1)),2)&amp;RIGHT("00"&amp;VALUE(MID(Entry!$C355,FIND(":",Entry!$C355)+1,2)),2),"0000"))))</f>
        <v/>
      </c>
      <c r="G352" t="str">
        <f>IF($A352="","",Entry!$G355)</f>
        <v/>
      </c>
      <c r="H352" t="str">
        <f>IF($A352="","",IF(Entry!$H355="",0,Entry!$H355))</f>
        <v/>
      </c>
      <c r="I352" t="str">
        <f>IF($A352="","",IF(Entry!$I355="",0,Entry!$I355))</f>
        <v/>
      </c>
      <c r="J352" t="str">
        <f t="shared" si="37"/>
        <v/>
      </c>
      <c r="K352" t="str">
        <f>IF($A352="","",Entry!$D355)</f>
        <v/>
      </c>
      <c r="L352" t="str">
        <f>IF($A352="","",Entry!$L355)</f>
        <v/>
      </c>
      <c r="N352" t="str">
        <f>IF(OR(Sync!$M352="",$Q352="",$Q352="نامعتبر"),"",Sync!$M352)</f>
        <v/>
      </c>
      <c r="O352" t="str">
        <f t="shared" si="38"/>
        <v/>
      </c>
      <c r="P352" t="str">
        <f>IF($N352="","",LEFT($Q352,4)&amp;MID($Q352,6,2)&amp;RIGHT($Q352,2)&amp;IF(Sync!$K352="","0000",IF(AND(ISNUMBER(Sync!$K352),Sync!$K352&gt;=0,Sync!$K352&lt;1),RIGHT("00"&amp;HOUR(Sync!$K352),2)&amp;RIGHT("00"&amp;MINUTE(Sync!$K352),2),IFERROR(RIGHT("00"&amp;VALUE(LEFT(Sync!$K352,FIND(":",Sync!$K352)-1)),2)&amp;RIGHT("00"&amp;VALUE(MID(Sync!$K352,FIND(":",Sync!$K352)+1,2)),2),"0000")))&amp;"|"&amp;"2"&amp;RIGHT("00000"&amp;347,5))</f>
        <v/>
      </c>
      <c r="Q352" t="str">
        <f>IF(Sync!$J352="","",IF(ISNUMBER(Sync!$J352),IF(AND(Sync!$J352&gt;=10000101,Sync!$J352&lt;=99991231),INT(Sync!$J352/10000)&amp;"/"&amp;RIGHT("00"&amp;INT(MOD(Sync!$J352,10000)/100),2)&amp;"/"&amp;RIGHT("00"&amp;MOD(Sync!$J352,100),2),"نامعتبر"),IF(LEN(Sync!$J352)=10,Sync!$J352,"نامعتبر")))</f>
        <v/>
      </c>
      <c r="R352" t="str">
        <f t="shared" si="39"/>
        <v/>
      </c>
      <c r="S352" t="str">
        <f t="shared" si="40"/>
        <v/>
      </c>
      <c r="T352" t="str">
        <f>IF($N352="","",IF(Sync!$N352="",0,Sync!$N352))</f>
        <v/>
      </c>
      <c r="U352" t="str">
        <f>IF($N352="","",IF(Sync!$O352="",0,Sync!$O352))</f>
        <v/>
      </c>
      <c r="V352" t="str">
        <f>IF($N352="","",Sync!$L352)</f>
        <v/>
      </c>
      <c r="W352" t="str">
        <f>IF($N352="","",Sync!$P352)</f>
        <v/>
      </c>
      <c r="AA352" t="str">
        <f>IF($A352="","",IF(COUNTIF($A$6:$A352,$A352)=1,1,0))</f>
        <v/>
      </c>
      <c r="AB352">
        <f>SUM($AA$6:$AA352)</f>
        <v>3</v>
      </c>
      <c r="AC352" t="str">
        <f t="shared" si="41"/>
        <v/>
      </c>
    </row>
    <row r="353" spans="1:29" x14ac:dyDescent="0.2">
      <c r="A353" t="str">
        <f>IF(OR(Entry!$B356="",Entry!$E356="",$E353="نامعتبر"),"",Entry!$E356)</f>
        <v/>
      </c>
      <c r="B353" t="str">
        <f>IF($A353="","",LEFT($E353,4)&amp;MID($E353,6,2)&amp;RIGHT($E353,2)&amp;$F353&amp;"|"&amp;"1"&amp;RIGHT("00000"&amp;348,5))</f>
        <v/>
      </c>
      <c r="C353" t="str">
        <f t="shared" si="35"/>
        <v/>
      </c>
      <c r="D353" t="str">
        <f t="shared" si="36"/>
        <v/>
      </c>
      <c r="E353" t="str">
        <f>IF(Entry!$B356="","",IF(ISNUMBER(Entry!$B356),IF(AND(Entry!$B356&gt;=10000101,Entry!$B356&lt;=99991231),INT(Entry!$B356/10000)&amp;"/"&amp;RIGHT("00"&amp;INT(MOD(Entry!$B356,10000)/100),2)&amp;"/"&amp;RIGHT("00"&amp;MOD(Entry!$B356,100),2),"نامعتبر"),IF(LEN(Entry!$B356)=10,Entry!$B356,"نامعتبر")))</f>
        <v/>
      </c>
      <c r="F353" t="str">
        <f>IF(Entry!$B356="","",IF(Entry!$C356="","0000",IF(AND(ISNUMBER(Entry!$C356),Entry!$C356&gt;=0,Entry!$C356&lt;1),RIGHT("00"&amp;HOUR(Entry!$C356),2)&amp;RIGHT("00"&amp;MINUTE(Entry!$C356),2),IFERROR(RIGHT("00"&amp;VALUE(LEFT(Entry!$C356,FIND(":",Entry!$C356)-1)),2)&amp;RIGHT("00"&amp;VALUE(MID(Entry!$C356,FIND(":",Entry!$C356)+1,2)),2),"0000"))))</f>
        <v/>
      </c>
      <c r="G353" t="str">
        <f>IF($A353="","",Entry!$G356)</f>
        <v/>
      </c>
      <c r="H353" t="str">
        <f>IF($A353="","",IF(Entry!$H356="",0,Entry!$H356))</f>
        <v/>
      </c>
      <c r="I353" t="str">
        <f>IF($A353="","",IF(Entry!$I356="",0,Entry!$I356))</f>
        <v/>
      </c>
      <c r="J353" t="str">
        <f t="shared" si="37"/>
        <v/>
      </c>
      <c r="K353" t="str">
        <f>IF($A353="","",Entry!$D356)</f>
        <v/>
      </c>
      <c r="L353" t="str">
        <f>IF($A353="","",Entry!$L356)</f>
        <v/>
      </c>
      <c r="N353" t="str">
        <f>IF(OR(Sync!$M353="",$Q353="",$Q353="نامعتبر"),"",Sync!$M353)</f>
        <v/>
      </c>
      <c r="O353" t="str">
        <f t="shared" si="38"/>
        <v/>
      </c>
      <c r="P353" t="str">
        <f>IF($N353="","",LEFT($Q353,4)&amp;MID($Q353,6,2)&amp;RIGHT($Q353,2)&amp;IF(Sync!$K353="","0000",IF(AND(ISNUMBER(Sync!$K353),Sync!$K353&gt;=0,Sync!$K353&lt;1),RIGHT("00"&amp;HOUR(Sync!$K353),2)&amp;RIGHT("00"&amp;MINUTE(Sync!$K353),2),IFERROR(RIGHT("00"&amp;VALUE(LEFT(Sync!$K353,FIND(":",Sync!$K353)-1)),2)&amp;RIGHT("00"&amp;VALUE(MID(Sync!$K353,FIND(":",Sync!$K353)+1,2)),2),"0000")))&amp;"|"&amp;"2"&amp;RIGHT("00000"&amp;348,5))</f>
        <v/>
      </c>
      <c r="Q353" t="str">
        <f>IF(Sync!$J353="","",IF(ISNUMBER(Sync!$J353),IF(AND(Sync!$J353&gt;=10000101,Sync!$J353&lt;=99991231),INT(Sync!$J353/10000)&amp;"/"&amp;RIGHT("00"&amp;INT(MOD(Sync!$J353,10000)/100),2)&amp;"/"&amp;RIGHT("00"&amp;MOD(Sync!$J353,100),2),"نامعتبر"),IF(LEN(Sync!$J353)=10,Sync!$J353,"نامعتبر")))</f>
        <v/>
      </c>
      <c r="R353" t="str">
        <f t="shared" si="39"/>
        <v/>
      </c>
      <c r="S353" t="str">
        <f t="shared" si="40"/>
        <v/>
      </c>
      <c r="T353" t="str">
        <f>IF($N353="","",IF(Sync!$N353="",0,Sync!$N353))</f>
        <v/>
      </c>
      <c r="U353" t="str">
        <f>IF($N353="","",IF(Sync!$O353="",0,Sync!$O353))</f>
        <v/>
      </c>
      <c r="V353" t="str">
        <f>IF($N353="","",Sync!$L353)</f>
        <v/>
      </c>
      <c r="W353" t="str">
        <f>IF($N353="","",Sync!$P353)</f>
        <v/>
      </c>
      <c r="AA353" t="str">
        <f>IF($A353="","",IF(COUNTIF($A$6:$A353,$A353)=1,1,0))</f>
        <v/>
      </c>
      <c r="AB353">
        <f>SUM($AA$6:$AA353)</f>
        <v>3</v>
      </c>
      <c r="AC353" t="str">
        <f t="shared" si="41"/>
        <v/>
      </c>
    </row>
    <row r="354" spans="1:29" x14ac:dyDescent="0.2">
      <c r="A354" t="str">
        <f>IF(OR(Entry!$B357="",Entry!$E357="",$E354="نامعتبر"),"",Entry!$E357)</f>
        <v/>
      </c>
      <c r="B354" t="str">
        <f>IF($A354="","",LEFT($E354,4)&amp;MID($E354,6,2)&amp;RIGHT($E354,2)&amp;$F354&amp;"|"&amp;"1"&amp;RIGHT("00000"&amp;349,5))</f>
        <v/>
      </c>
      <c r="C354" t="str">
        <f t="shared" si="35"/>
        <v/>
      </c>
      <c r="D354" t="str">
        <f t="shared" si="36"/>
        <v/>
      </c>
      <c r="E354" t="str">
        <f>IF(Entry!$B357="","",IF(ISNUMBER(Entry!$B357),IF(AND(Entry!$B357&gt;=10000101,Entry!$B357&lt;=99991231),INT(Entry!$B357/10000)&amp;"/"&amp;RIGHT("00"&amp;INT(MOD(Entry!$B357,10000)/100),2)&amp;"/"&amp;RIGHT("00"&amp;MOD(Entry!$B357,100),2),"نامعتبر"),IF(LEN(Entry!$B357)=10,Entry!$B357,"نامعتبر")))</f>
        <v/>
      </c>
      <c r="F354" t="str">
        <f>IF(Entry!$B357="","",IF(Entry!$C357="","0000",IF(AND(ISNUMBER(Entry!$C357),Entry!$C357&gt;=0,Entry!$C357&lt;1),RIGHT("00"&amp;HOUR(Entry!$C357),2)&amp;RIGHT("00"&amp;MINUTE(Entry!$C357),2),IFERROR(RIGHT("00"&amp;VALUE(LEFT(Entry!$C357,FIND(":",Entry!$C357)-1)),2)&amp;RIGHT("00"&amp;VALUE(MID(Entry!$C357,FIND(":",Entry!$C357)+1,2)),2),"0000"))))</f>
        <v/>
      </c>
      <c r="G354" t="str">
        <f>IF($A354="","",Entry!$G357)</f>
        <v/>
      </c>
      <c r="H354" t="str">
        <f>IF($A354="","",IF(Entry!$H357="",0,Entry!$H357))</f>
        <v/>
      </c>
      <c r="I354" t="str">
        <f>IF($A354="","",IF(Entry!$I357="",0,Entry!$I357))</f>
        <v/>
      </c>
      <c r="J354" t="str">
        <f t="shared" si="37"/>
        <v/>
      </c>
      <c r="K354" t="str">
        <f>IF($A354="","",Entry!$D357)</f>
        <v/>
      </c>
      <c r="L354" t="str">
        <f>IF($A354="","",Entry!$L357)</f>
        <v/>
      </c>
      <c r="N354" t="str">
        <f>IF(OR(Sync!$M354="",$Q354="",$Q354="نامعتبر"),"",Sync!$M354)</f>
        <v/>
      </c>
      <c r="O354" t="str">
        <f t="shared" si="38"/>
        <v/>
      </c>
      <c r="P354" t="str">
        <f>IF($N354="","",LEFT($Q354,4)&amp;MID($Q354,6,2)&amp;RIGHT($Q354,2)&amp;IF(Sync!$K354="","0000",IF(AND(ISNUMBER(Sync!$K354),Sync!$K354&gt;=0,Sync!$K354&lt;1),RIGHT("00"&amp;HOUR(Sync!$K354),2)&amp;RIGHT("00"&amp;MINUTE(Sync!$K354),2),IFERROR(RIGHT("00"&amp;VALUE(LEFT(Sync!$K354,FIND(":",Sync!$K354)-1)),2)&amp;RIGHT("00"&amp;VALUE(MID(Sync!$K354,FIND(":",Sync!$K354)+1,2)),2),"0000")))&amp;"|"&amp;"2"&amp;RIGHT("00000"&amp;349,5))</f>
        <v/>
      </c>
      <c r="Q354" t="str">
        <f>IF(Sync!$J354="","",IF(ISNUMBER(Sync!$J354),IF(AND(Sync!$J354&gt;=10000101,Sync!$J354&lt;=99991231),INT(Sync!$J354/10000)&amp;"/"&amp;RIGHT("00"&amp;INT(MOD(Sync!$J354,10000)/100),2)&amp;"/"&amp;RIGHT("00"&amp;MOD(Sync!$J354,100),2),"نامعتبر"),IF(LEN(Sync!$J354)=10,Sync!$J354,"نامعتبر")))</f>
        <v/>
      </c>
      <c r="R354" t="str">
        <f t="shared" si="39"/>
        <v/>
      </c>
      <c r="S354" t="str">
        <f t="shared" si="40"/>
        <v/>
      </c>
      <c r="T354" t="str">
        <f>IF($N354="","",IF(Sync!$N354="",0,Sync!$N354))</f>
        <v/>
      </c>
      <c r="U354" t="str">
        <f>IF($N354="","",IF(Sync!$O354="",0,Sync!$O354))</f>
        <v/>
      </c>
      <c r="V354" t="str">
        <f>IF($N354="","",Sync!$L354)</f>
        <v/>
      </c>
      <c r="W354" t="str">
        <f>IF($N354="","",Sync!$P354)</f>
        <v/>
      </c>
      <c r="AA354" t="str">
        <f>IF($A354="","",IF(COUNTIF($A$6:$A354,$A354)=1,1,0))</f>
        <v/>
      </c>
      <c r="AB354">
        <f>SUM($AA$6:$AA354)</f>
        <v>3</v>
      </c>
      <c r="AC354" t="str">
        <f t="shared" si="41"/>
        <v/>
      </c>
    </row>
    <row r="355" spans="1:29" x14ac:dyDescent="0.2">
      <c r="A355" t="str">
        <f>IF(OR(Entry!$B358="",Entry!$E358="",$E355="نامعتبر"),"",Entry!$E358)</f>
        <v/>
      </c>
      <c r="B355" t="str">
        <f>IF($A355="","",LEFT($E355,4)&amp;MID($E355,6,2)&amp;RIGHT($E355,2)&amp;$F355&amp;"|"&amp;"1"&amp;RIGHT("00000"&amp;350,5))</f>
        <v/>
      </c>
      <c r="C355" t="str">
        <f t="shared" si="35"/>
        <v/>
      </c>
      <c r="D355" t="str">
        <f t="shared" si="36"/>
        <v/>
      </c>
      <c r="E355" t="str">
        <f>IF(Entry!$B358="","",IF(ISNUMBER(Entry!$B358),IF(AND(Entry!$B358&gt;=10000101,Entry!$B358&lt;=99991231),INT(Entry!$B358/10000)&amp;"/"&amp;RIGHT("00"&amp;INT(MOD(Entry!$B358,10000)/100),2)&amp;"/"&amp;RIGHT("00"&amp;MOD(Entry!$B358,100),2),"نامعتبر"),IF(LEN(Entry!$B358)=10,Entry!$B358,"نامعتبر")))</f>
        <v/>
      </c>
      <c r="F355" t="str">
        <f>IF(Entry!$B358="","",IF(Entry!$C358="","0000",IF(AND(ISNUMBER(Entry!$C358),Entry!$C358&gt;=0,Entry!$C358&lt;1),RIGHT("00"&amp;HOUR(Entry!$C358),2)&amp;RIGHT("00"&amp;MINUTE(Entry!$C358),2),IFERROR(RIGHT("00"&amp;VALUE(LEFT(Entry!$C358,FIND(":",Entry!$C358)-1)),2)&amp;RIGHT("00"&amp;VALUE(MID(Entry!$C358,FIND(":",Entry!$C358)+1,2)),2),"0000"))))</f>
        <v/>
      </c>
      <c r="G355" t="str">
        <f>IF($A355="","",Entry!$G358)</f>
        <v/>
      </c>
      <c r="H355" t="str">
        <f>IF($A355="","",IF(Entry!$H358="",0,Entry!$H358))</f>
        <v/>
      </c>
      <c r="I355" t="str">
        <f>IF($A355="","",IF(Entry!$I358="",0,Entry!$I358))</f>
        <v/>
      </c>
      <c r="J355" t="str">
        <f t="shared" si="37"/>
        <v/>
      </c>
      <c r="K355" t="str">
        <f>IF($A355="","",Entry!$D358)</f>
        <v/>
      </c>
      <c r="L355" t="str">
        <f>IF($A355="","",Entry!$L358)</f>
        <v/>
      </c>
      <c r="N355" t="str">
        <f>IF(OR(Sync!$M355="",$Q355="",$Q355="نامعتبر"),"",Sync!$M355)</f>
        <v/>
      </c>
      <c r="O355" t="str">
        <f t="shared" si="38"/>
        <v/>
      </c>
      <c r="P355" t="str">
        <f>IF($N355="","",LEFT($Q355,4)&amp;MID($Q355,6,2)&amp;RIGHT($Q355,2)&amp;IF(Sync!$K355="","0000",IF(AND(ISNUMBER(Sync!$K355),Sync!$K355&gt;=0,Sync!$K355&lt;1),RIGHT("00"&amp;HOUR(Sync!$K355),2)&amp;RIGHT("00"&amp;MINUTE(Sync!$K355),2),IFERROR(RIGHT("00"&amp;VALUE(LEFT(Sync!$K355,FIND(":",Sync!$K355)-1)),2)&amp;RIGHT("00"&amp;VALUE(MID(Sync!$K355,FIND(":",Sync!$K355)+1,2)),2),"0000")))&amp;"|"&amp;"2"&amp;RIGHT("00000"&amp;350,5))</f>
        <v/>
      </c>
      <c r="Q355" t="str">
        <f>IF(Sync!$J355="","",IF(ISNUMBER(Sync!$J355),IF(AND(Sync!$J355&gt;=10000101,Sync!$J355&lt;=99991231),INT(Sync!$J355/10000)&amp;"/"&amp;RIGHT("00"&amp;INT(MOD(Sync!$J355,10000)/100),2)&amp;"/"&amp;RIGHT("00"&amp;MOD(Sync!$J355,100),2),"نامعتبر"),IF(LEN(Sync!$J355)=10,Sync!$J355,"نامعتبر")))</f>
        <v/>
      </c>
      <c r="R355" t="str">
        <f t="shared" si="39"/>
        <v/>
      </c>
      <c r="S355" t="str">
        <f t="shared" si="40"/>
        <v/>
      </c>
      <c r="T355" t="str">
        <f>IF($N355="","",IF(Sync!$N355="",0,Sync!$N355))</f>
        <v/>
      </c>
      <c r="U355" t="str">
        <f>IF($N355="","",IF(Sync!$O355="",0,Sync!$O355))</f>
        <v/>
      </c>
      <c r="V355" t="str">
        <f>IF($N355="","",Sync!$L355)</f>
        <v/>
      </c>
      <c r="W355" t="str">
        <f>IF($N355="","",Sync!$P355)</f>
        <v/>
      </c>
      <c r="AA355" t="str">
        <f>IF($A355="","",IF(COUNTIF($A$6:$A355,$A355)=1,1,0))</f>
        <v/>
      </c>
      <c r="AB355">
        <f>SUM($AA$6:$AA355)</f>
        <v>3</v>
      </c>
      <c r="AC355" t="str">
        <f t="shared" si="41"/>
        <v/>
      </c>
    </row>
    <row r="356" spans="1:29" x14ac:dyDescent="0.2">
      <c r="A356" t="str">
        <f>IF(OR(Entry!$B359="",Entry!$E359="",$E356="نامعتبر"),"",Entry!$E359)</f>
        <v/>
      </c>
      <c r="B356" t="str">
        <f>IF($A356="","",LEFT($E356,4)&amp;MID($E356,6,2)&amp;RIGHT($E356,2)&amp;$F356&amp;"|"&amp;"1"&amp;RIGHT("00000"&amp;351,5))</f>
        <v/>
      </c>
      <c r="C356" t="str">
        <f t="shared" si="35"/>
        <v/>
      </c>
      <c r="D356" t="str">
        <f t="shared" si="36"/>
        <v/>
      </c>
      <c r="E356" t="str">
        <f>IF(Entry!$B359="","",IF(ISNUMBER(Entry!$B359),IF(AND(Entry!$B359&gt;=10000101,Entry!$B359&lt;=99991231),INT(Entry!$B359/10000)&amp;"/"&amp;RIGHT("00"&amp;INT(MOD(Entry!$B359,10000)/100),2)&amp;"/"&amp;RIGHT("00"&amp;MOD(Entry!$B359,100),2),"نامعتبر"),IF(LEN(Entry!$B359)=10,Entry!$B359,"نامعتبر")))</f>
        <v/>
      </c>
      <c r="F356" t="str">
        <f>IF(Entry!$B359="","",IF(Entry!$C359="","0000",IF(AND(ISNUMBER(Entry!$C359),Entry!$C359&gt;=0,Entry!$C359&lt;1),RIGHT("00"&amp;HOUR(Entry!$C359),2)&amp;RIGHT("00"&amp;MINUTE(Entry!$C359),2),IFERROR(RIGHT("00"&amp;VALUE(LEFT(Entry!$C359,FIND(":",Entry!$C359)-1)),2)&amp;RIGHT("00"&amp;VALUE(MID(Entry!$C359,FIND(":",Entry!$C359)+1,2)),2),"0000"))))</f>
        <v/>
      </c>
      <c r="G356" t="str">
        <f>IF($A356="","",Entry!$G359)</f>
        <v/>
      </c>
      <c r="H356" t="str">
        <f>IF($A356="","",IF(Entry!$H359="",0,Entry!$H359))</f>
        <v/>
      </c>
      <c r="I356" t="str">
        <f>IF($A356="","",IF(Entry!$I359="",0,Entry!$I359))</f>
        <v/>
      </c>
      <c r="J356" t="str">
        <f t="shared" si="37"/>
        <v/>
      </c>
      <c r="K356" t="str">
        <f>IF($A356="","",Entry!$D359)</f>
        <v/>
      </c>
      <c r="L356" t="str">
        <f>IF($A356="","",Entry!$L359)</f>
        <v/>
      </c>
      <c r="N356" t="str">
        <f>IF(OR(Sync!$M356="",$Q356="",$Q356="نامعتبر"),"",Sync!$M356)</f>
        <v/>
      </c>
      <c r="O356" t="str">
        <f t="shared" si="38"/>
        <v/>
      </c>
      <c r="P356" t="str">
        <f>IF($N356="","",LEFT($Q356,4)&amp;MID($Q356,6,2)&amp;RIGHT($Q356,2)&amp;IF(Sync!$K356="","0000",IF(AND(ISNUMBER(Sync!$K356),Sync!$K356&gt;=0,Sync!$K356&lt;1),RIGHT("00"&amp;HOUR(Sync!$K356),2)&amp;RIGHT("00"&amp;MINUTE(Sync!$K356),2),IFERROR(RIGHT("00"&amp;VALUE(LEFT(Sync!$K356,FIND(":",Sync!$K356)-1)),2)&amp;RIGHT("00"&amp;VALUE(MID(Sync!$K356,FIND(":",Sync!$K356)+1,2)),2),"0000")))&amp;"|"&amp;"2"&amp;RIGHT("00000"&amp;351,5))</f>
        <v/>
      </c>
      <c r="Q356" t="str">
        <f>IF(Sync!$J356="","",IF(ISNUMBER(Sync!$J356),IF(AND(Sync!$J356&gt;=10000101,Sync!$J356&lt;=99991231),INT(Sync!$J356/10000)&amp;"/"&amp;RIGHT("00"&amp;INT(MOD(Sync!$J356,10000)/100),2)&amp;"/"&amp;RIGHT("00"&amp;MOD(Sync!$J356,100),2),"نامعتبر"),IF(LEN(Sync!$J356)=10,Sync!$J356,"نامعتبر")))</f>
        <v/>
      </c>
      <c r="R356" t="str">
        <f t="shared" si="39"/>
        <v/>
      </c>
      <c r="S356" t="str">
        <f t="shared" si="40"/>
        <v/>
      </c>
      <c r="T356" t="str">
        <f>IF($N356="","",IF(Sync!$N356="",0,Sync!$N356))</f>
        <v/>
      </c>
      <c r="U356" t="str">
        <f>IF($N356="","",IF(Sync!$O356="",0,Sync!$O356))</f>
        <v/>
      </c>
      <c r="V356" t="str">
        <f>IF($N356="","",Sync!$L356)</f>
        <v/>
      </c>
      <c r="W356" t="str">
        <f>IF($N356="","",Sync!$P356)</f>
        <v/>
      </c>
      <c r="AA356" t="str">
        <f>IF($A356="","",IF(COUNTIF($A$6:$A356,$A356)=1,1,0))</f>
        <v/>
      </c>
      <c r="AB356">
        <f>SUM($AA$6:$AA356)</f>
        <v>3</v>
      </c>
      <c r="AC356" t="str">
        <f t="shared" si="41"/>
        <v/>
      </c>
    </row>
    <row r="357" spans="1:29" x14ac:dyDescent="0.2">
      <c r="A357" t="str">
        <f>IF(OR(Entry!$B360="",Entry!$E360="",$E357="نامعتبر"),"",Entry!$E360)</f>
        <v/>
      </c>
      <c r="B357" t="str">
        <f>IF($A357="","",LEFT($E357,4)&amp;MID($E357,6,2)&amp;RIGHT($E357,2)&amp;$F357&amp;"|"&amp;"1"&amp;RIGHT("00000"&amp;352,5))</f>
        <v/>
      </c>
      <c r="C357" t="str">
        <f t="shared" si="35"/>
        <v/>
      </c>
      <c r="D357" t="str">
        <f t="shared" si="36"/>
        <v/>
      </c>
      <c r="E357" t="str">
        <f>IF(Entry!$B360="","",IF(ISNUMBER(Entry!$B360),IF(AND(Entry!$B360&gt;=10000101,Entry!$B360&lt;=99991231),INT(Entry!$B360/10000)&amp;"/"&amp;RIGHT("00"&amp;INT(MOD(Entry!$B360,10000)/100),2)&amp;"/"&amp;RIGHT("00"&amp;MOD(Entry!$B360,100),2),"نامعتبر"),IF(LEN(Entry!$B360)=10,Entry!$B360,"نامعتبر")))</f>
        <v/>
      </c>
      <c r="F357" t="str">
        <f>IF(Entry!$B360="","",IF(Entry!$C360="","0000",IF(AND(ISNUMBER(Entry!$C360),Entry!$C360&gt;=0,Entry!$C360&lt;1),RIGHT("00"&amp;HOUR(Entry!$C360),2)&amp;RIGHT("00"&amp;MINUTE(Entry!$C360),2),IFERROR(RIGHT("00"&amp;VALUE(LEFT(Entry!$C360,FIND(":",Entry!$C360)-1)),2)&amp;RIGHT("00"&amp;VALUE(MID(Entry!$C360,FIND(":",Entry!$C360)+1,2)),2),"0000"))))</f>
        <v/>
      </c>
      <c r="G357" t="str">
        <f>IF($A357="","",Entry!$G360)</f>
        <v/>
      </c>
      <c r="H357" t="str">
        <f>IF($A357="","",IF(Entry!$H360="",0,Entry!$H360))</f>
        <v/>
      </c>
      <c r="I357" t="str">
        <f>IF($A357="","",IF(Entry!$I360="",0,Entry!$I360))</f>
        <v/>
      </c>
      <c r="J357" t="str">
        <f t="shared" si="37"/>
        <v/>
      </c>
      <c r="K357" t="str">
        <f>IF($A357="","",Entry!$D360)</f>
        <v/>
      </c>
      <c r="L357" t="str">
        <f>IF($A357="","",Entry!$L360)</f>
        <v/>
      </c>
      <c r="N357" t="str">
        <f>IF(OR(Sync!$M357="",$Q357="",$Q357="نامعتبر"),"",Sync!$M357)</f>
        <v/>
      </c>
      <c r="O357" t="str">
        <f t="shared" si="38"/>
        <v/>
      </c>
      <c r="P357" t="str">
        <f>IF($N357="","",LEFT($Q357,4)&amp;MID($Q357,6,2)&amp;RIGHT($Q357,2)&amp;IF(Sync!$K357="","0000",IF(AND(ISNUMBER(Sync!$K357),Sync!$K357&gt;=0,Sync!$K357&lt;1),RIGHT("00"&amp;HOUR(Sync!$K357),2)&amp;RIGHT("00"&amp;MINUTE(Sync!$K357),2),IFERROR(RIGHT("00"&amp;VALUE(LEFT(Sync!$K357,FIND(":",Sync!$K357)-1)),2)&amp;RIGHT("00"&amp;VALUE(MID(Sync!$K357,FIND(":",Sync!$K357)+1,2)),2),"0000")))&amp;"|"&amp;"2"&amp;RIGHT("00000"&amp;352,5))</f>
        <v/>
      </c>
      <c r="Q357" t="str">
        <f>IF(Sync!$J357="","",IF(ISNUMBER(Sync!$J357),IF(AND(Sync!$J357&gt;=10000101,Sync!$J357&lt;=99991231),INT(Sync!$J357/10000)&amp;"/"&amp;RIGHT("00"&amp;INT(MOD(Sync!$J357,10000)/100),2)&amp;"/"&amp;RIGHT("00"&amp;MOD(Sync!$J357,100),2),"نامعتبر"),IF(LEN(Sync!$J357)=10,Sync!$J357,"نامعتبر")))</f>
        <v/>
      </c>
      <c r="R357" t="str">
        <f t="shared" si="39"/>
        <v/>
      </c>
      <c r="S357" t="str">
        <f t="shared" si="40"/>
        <v/>
      </c>
      <c r="T357" t="str">
        <f>IF($N357="","",IF(Sync!$N357="",0,Sync!$N357))</f>
        <v/>
      </c>
      <c r="U357" t="str">
        <f>IF($N357="","",IF(Sync!$O357="",0,Sync!$O357))</f>
        <v/>
      </c>
      <c r="V357" t="str">
        <f>IF($N357="","",Sync!$L357)</f>
        <v/>
      </c>
      <c r="W357" t="str">
        <f>IF($N357="","",Sync!$P357)</f>
        <v/>
      </c>
      <c r="AA357" t="str">
        <f>IF($A357="","",IF(COUNTIF($A$6:$A357,$A357)=1,1,0))</f>
        <v/>
      </c>
      <c r="AB357">
        <f>SUM($AA$6:$AA357)</f>
        <v>3</v>
      </c>
      <c r="AC357" t="str">
        <f t="shared" si="41"/>
        <v/>
      </c>
    </row>
    <row r="358" spans="1:29" x14ac:dyDescent="0.2">
      <c r="A358" t="str">
        <f>IF(OR(Entry!$B361="",Entry!$E361="",$E358="نامعتبر"),"",Entry!$E361)</f>
        <v/>
      </c>
      <c r="B358" t="str">
        <f>IF($A358="","",LEFT($E358,4)&amp;MID($E358,6,2)&amp;RIGHT($E358,2)&amp;$F358&amp;"|"&amp;"1"&amp;RIGHT("00000"&amp;353,5))</f>
        <v/>
      </c>
      <c r="C358" t="str">
        <f t="shared" si="35"/>
        <v/>
      </c>
      <c r="D358" t="str">
        <f t="shared" si="36"/>
        <v/>
      </c>
      <c r="E358" t="str">
        <f>IF(Entry!$B361="","",IF(ISNUMBER(Entry!$B361),IF(AND(Entry!$B361&gt;=10000101,Entry!$B361&lt;=99991231),INT(Entry!$B361/10000)&amp;"/"&amp;RIGHT("00"&amp;INT(MOD(Entry!$B361,10000)/100),2)&amp;"/"&amp;RIGHT("00"&amp;MOD(Entry!$B361,100),2),"نامعتبر"),IF(LEN(Entry!$B361)=10,Entry!$B361,"نامعتبر")))</f>
        <v/>
      </c>
      <c r="F358" t="str">
        <f>IF(Entry!$B361="","",IF(Entry!$C361="","0000",IF(AND(ISNUMBER(Entry!$C361),Entry!$C361&gt;=0,Entry!$C361&lt;1),RIGHT("00"&amp;HOUR(Entry!$C361),2)&amp;RIGHT("00"&amp;MINUTE(Entry!$C361),2),IFERROR(RIGHT("00"&amp;VALUE(LEFT(Entry!$C361,FIND(":",Entry!$C361)-1)),2)&amp;RIGHT("00"&amp;VALUE(MID(Entry!$C361,FIND(":",Entry!$C361)+1,2)),2),"0000"))))</f>
        <v/>
      </c>
      <c r="G358" t="str">
        <f>IF($A358="","",Entry!$G361)</f>
        <v/>
      </c>
      <c r="H358" t="str">
        <f>IF($A358="","",IF(Entry!$H361="",0,Entry!$H361))</f>
        <v/>
      </c>
      <c r="I358" t="str">
        <f>IF($A358="","",IF(Entry!$I361="",0,Entry!$I361))</f>
        <v/>
      </c>
      <c r="J358" t="str">
        <f t="shared" si="37"/>
        <v/>
      </c>
      <c r="K358" t="str">
        <f>IF($A358="","",Entry!$D361)</f>
        <v/>
      </c>
      <c r="L358" t="str">
        <f>IF($A358="","",Entry!$L361)</f>
        <v/>
      </c>
      <c r="N358" t="str">
        <f>IF(OR(Sync!$M358="",$Q358="",$Q358="نامعتبر"),"",Sync!$M358)</f>
        <v/>
      </c>
      <c r="O358" t="str">
        <f t="shared" si="38"/>
        <v/>
      </c>
      <c r="P358" t="str">
        <f>IF($N358="","",LEFT($Q358,4)&amp;MID($Q358,6,2)&amp;RIGHT($Q358,2)&amp;IF(Sync!$K358="","0000",IF(AND(ISNUMBER(Sync!$K358),Sync!$K358&gt;=0,Sync!$K358&lt;1),RIGHT("00"&amp;HOUR(Sync!$K358),2)&amp;RIGHT("00"&amp;MINUTE(Sync!$K358),2),IFERROR(RIGHT("00"&amp;VALUE(LEFT(Sync!$K358,FIND(":",Sync!$K358)-1)),2)&amp;RIGHT("00"&amp;VALUE(MID(Sync!$K358,FIND(":",Sync!$K358)+1,2)),2),"0000")))&amp;"|"&amp;"2"&amp;RIGHT("00000"&amp;353,5))</f>
        <v/>
      </c>
      <c r="Q358" t="str">
        <f>IF(Sync!$J358="","",IF(ISNUMBER(Sync!$J358),IF(AND(Sync!$J358&gt;=10000101,Sync!$J358&lt;=99991231),INT(Sync!$J358/10000)&amp;"/"&amp;RIGHT("00"&amp;INT(MOD(Sync!$J358,10000)/100),2)&amp;"/"&amp;RIGHT("00"&amp;MOD(Sync!$J358,100),2),"نامعتبر"),IF(LEN(Sync!$J358)=10,Sync!$J358,"نامعتبر")))</f>
        <v/>
      </c>
      <c r="R358" t="str">
        <f t="shared" si="39"/>
        <v/>
      </c>
      <c r="S358" t="str">
        <f t="shared" si="40"/>
        <v/>
      </c>
      <c r="T358" t="str">
        <f>IF($N358="","",IF(Sync!$N358="",0,Sync!$N358))</f>
        <v/>
      </c>
      <c r="U358" t="str">
        <f>IF($N358="","",IF(Sync!$O358="",0,Sync!$O358))</f>
        <v/>
      </c>
      <c r="V358" t="str">
        <f>IF($N358="","",Sync!$L358)</f>
        <v/>
      </c>
      <c r="W358" t="str">
        <f>IF($N358="","",Sync!$P358)</f>
        <v/>
      </c>
      <c r="AA358" t="str">
        <f>IF($A358="","",IF(COUNTIF($A$6:$A358,$A358)=1,1,0))</f>
        <v/>
      </c>
      <c r="AB358">
        <f>SUM($AA$6:$AA358)</f>
        <v>3</v>
      </c>
      <c r="AC358" t="str">
        <f t="shared" si="41"/>
        <v/>
      </c>
    </row>
    <row r="359" spans="1:29" x14ac:dyDescent="0.2">
      <c r="A359" t="str">
        <f>IF(OR(Entry!$B362="",Entry!$E362="",$E359="نامعتبر"),"",Entry!$E362)</f>
        <v/>
      </c>
      <c r="B359" t="str">
        <f>IF($A359="","",LEFT($E359,4)&amp;MID($E359,6,2)&amp;RIGHT($E359,2)&amp;$F359&amp;"|"&amp;"1"&amp;RIGHT("00000"&amp;354,5))</f>
        <v/>
      </c>
      <c r="C359" t="str">
        <f t="shared" si="35"/>
        <v/>
      </c>
      <c r="D359" t="str">
        <f t="shared" si="36"/>
        <v/>
      </c>
      <c r="E359" t="str">
        <f>IF(Entry!$B362="","",IF(ISNUMBER(Entry!$B362),IF(AND(Entry!$B362&gt;=10000101,Entry!$B362&lt;=99991231),INT(Entry!$B362/10000)&amp;"/"&amp;RIGHT("00"&amp;INT(MOD(Entry!$B362,10000)/100),2)&amp;"/"&amp;RIGHT("00"&amp;MOD(Entry!$B362,100),2),"نامعتبر"),IF(LEN(Entry!$B362)=10,Entry!$B362,"نامعتبر")))</f>
        <v/>
      </c>
      <c r="F359" t="str">
        <f>IF(Entry!$B362="","",IF(Entry!$C362="","0000",IF(AND(ISNUMBER(Entry!$C362),Entry!$C362&gt;=0,Entry!$C362&lt;1),RIGHT("00"&amp;HOUR(Entry!$C362),2)&amp;RIGHT("00"&amp;MINUTE(Entry!$C362),2),IFERROR(RIGHT("00"&amp;VALUE(LEFT(Entry!$C362,FIND(":",Entry!$C362)-1)),2)&amp;RIGHT("00"&amp;VALUE(MID(Entry!$C362,FIND(":",Entry!$C362)+1,2)),2),"0000"))))</f>
        <v/>
      </c>
      <c r="G359" t="str">
        <f>IF($A359="","",Entry!$G362)</f>
        <v/>
      </c>
      <c r="H359" t="str">
        <f>IF($A359="","",IF(Entry!$H362="",0,Entry!$H362))</f>
        <v/>
      </c>
      <c r="I359" t="str">
        <f>IF($A359="","",IF(Entry!$I362="",0,Entry!$I362))</f>
        <v/>
      </c>
      <c r="J359" t="str">
        <f t="shared" si="37"/>
        <v/>
      </c>
      <c r="K359" t="str">
        <f>IF($A359="","",Entry!$D362)</f>
        <v/>
      </c>
      <c r="L359" t="str">
        <f>IF($A359="","",Entry!$L362)</f>
        <v/>
      </c>
      <c r="N359" t="str">
        <f>IF(OR(Sync!$M359="",$Q359="",$Q359="نامعتبر"),"",Sync!$M359)</f>
        <v/>
      </c>
      <c r="O359" t="str">
        <f t="shared" si="38"/>
        <v/>
      </c>
      <c r="P359" t="str">
        <f>IF($N359="","",LEFT($Q359,4)&amp;MID($Q359,6,2)&amp;RIGHT($Q359,2)&amp;IF(Sync!$K359="","0000",IF(AND(ISNUMBER(Sync!$K359),Sync!$K359&gt;=0,Sync!$K359&lt;1),RIGHT("00"&amp;HOUR(Sync!$K359),2)&amp;RIGHT("00"&amp;MINUTE(Sync!$K359),2),IFERROR(RIGHT("00"&amp;VALUE(LEFT(Sync!$K359,FIND(":",Sync!$K359)-1)),2)&amp;RIGHT("00"&amp;VALUE(MID(Sync!$K359,FIND(":",Sync!$K359)+1,2)),2),"0000")))&amp;"|"&amp;"2"&amp;RIGHT("00000"&amp;354,5))</f>
        <v/>
      </c>
      <c r="Q359" t="str">
        <f>IF(Sync!$J359="","",IF(ISNUMBER(Sync!$J359),IF(AND(Sync!$J359&gt;=10000101,Sync!$J359&lt;=99991231),INT(Sync!$J359/10000)&amp;"/"&amp;RIGHT("00"&amp;INT(MOD(Sync!$J359,10000)/100),2)&amp;"/"&amp;RIGHT("00"&amp;MOD(Sync!$J359,100),2),"نامعتبر"),IF(LEN(Sync!$J359)=10,Sync!$J359,"نامعتبر")))</f>
        <v/>
      </c>
      <c r="R359" t="str">
        <f t="shared" si="39"/>
        <v/>
      </c>
      <c r="S359" t="str">
        <f t="shared" si="40"/>
        <v/>
      </c>
      <c r="T359" t="str">
        <f>IF($N359="","",IF(Sync!$N359="",0,Sync!$N359))</f>
        <v/>
      </c>
      <c r="U359" t="str">
        <f>IF($N359="","",IF(Sync!$O359="",0,Sync!$O359))</f>
        <v/>
      </c>
      <c r="V359" t="str">
        <f>IF($N359="","",Sync!$L359)</f>
        <v/>
      </c>
      <c r="W359" t="str">
        <f>IF($N359="","",Sync!$P359)</f>
        <v/>
      </c>
      <c r="AA359" t="str">
        <f>IF($A359="","",IF(COUNTIF($A$6:$A359,$A359)=1,1,0))</f>
        <v/>
      </c>
      <c r="AB359">
        <f>SUM($AA$6:$AA359)</f>
        <v>3</v>
      </c>
      <c r="AC359" t="str">
        <f t="shared" si="41"/>
        <v/>
      </c>
    </row>
    <row r="360" spans="1:29" x14ac:dyDescent="0.2">
      <c r="A360" t="str">
        <f>IF(OR(Entry!$B363="",Entry!$E363="",$E360="نامعتبر"),"",Entry!$E363)</f>
        <v/>
      </c>
      <c r="B360" t="str">
        <f>IF($A360="","",LEFT($E360,4)&amp;MID($E360,6,2)&amp;RIGHT($E360,2)&amp;$F360&amp;"|"&amp;"1"&amp;RIGHT("00000"&amp;355,5))</f>
        <v/>
      </c>
      <c r="C360" t="str">
        <f t="shared" si="35"/>
        <v/>
      </c>
      <c r="D360" t="str">
        <f t="shared" si="36"/>
        <v/>
      </c>
      <c r="E360" t="str">
        <f>IF(Entry!$B363="","",IF(ISNUMBER(Entry!$B363),IF(AND(Entry!$B363&gt;=10000101,Entry!$B363&lt;=99991231),INT(Entry!$B363/10000)&amp;"/"&amp;RIGHT("00"&amp;INT(MOD(Entry!$B363,10000)/100),2)&amp;"/"&amp;RIGHT("00"&amp;MOD(Entry!$B363,100),2),"نامعتبر"),IF(LEN(Entry!$B363)=10,Entry!$B363,"نامعتبر")))</f>
        <v/>
      </c>
      <c r="F360" t="str">
        <f>IF(Entry!$B363="","",IF(Entry!$C363="","0000",IF(AND(ISNUMBER(Entry!$C363),Entry!$C363&gt;=0,Entry!$C363&lt;1),RIGHT("00"&amp;HOUR(Entry!$C363),2)&amp;RIGHT("00"&amp;MINUTE(Entry!$C363),2),IFERROR(RIGHT("00"&amp;VALUE(LEFT(Entry!$C363,FIND(":",Entry!$C363)-1)),2)&amp;RIGHT("00"&amp;VALUE(MID(Entry!$C363,FIND(":",Entry!$C363)+1,2)),2),"0000"))))</f>
        <v/>
      </c>
      <c r="G360" t="str">
        <f>IF($A360="","",Entry!$G363)</f>
        <v/>
      </c>
      <c r="H360" t="str">
        <f>IF($A360="","",IF(Entry!$H363="",0,Entry!$H363))</f>
        <v/>
      </c>
      <c r="I360" t="str">
        <f>IF($A360="","",IF(Entry!$I363="",0,Entry!$I363))</f>
        <v/>
      </c>
      <c r="J360" t="str">
        <f t="shared" si="37"/>
        <v/>
      </c>
      <c r="K360" t="str">
        <f>IF($A360="","",Entry!$D363)</f>
        <v/>
      </c>
      <c r="L360" t="str">
        <f>IF($A360="","",Entry!$L363)</f>
        <v/>
      </c>
      <c r="N360" t="str">
        <f>IF(OR(Sync!$M360="",$Q360="",$Q360="نامعتبر"),"",Sync!$M360)</f>
        <v/>
      </c>
      <c r="O360" t="str">
        <f t="shared" si="38"/>
        <v/>
      </c>
      <c r="P360" t="str">
        <f>IF($N360="","",LEFT($Q360,4)&amp;MID($Q360,6,2)&amp;RIGHT($Q360,2)&amp;IF(Sync!$K360="","0000",IF(AND(ISNUMBER(Sync!$K360),Sync!$K360&gt;=0,Sync!$K360&lt;1),RIGHT("00"&amp;HOUR(Sync!$K360),2)&amp;RIGHT("00"&amp;MINUTE(Sync!$K360),2),IFERROR(RIGHT("00"&amp;VALUE(LEFT(Sync!$K360,FIND(":",Sync!$K360)-1)),2)&amp;RIGHT("00"&amp;VALUE(MID(Sync!$K360,FIND(":",Sync!$K360)+1,2)),2),"0000")))&amp;"|"&amp;"2"&amp;RIGHT("00000"&amp;355,5))</f>
        <v/>
      </c>
      <c r="Q360" t="str">
        <f>IF(Sync!$J360="","",IF(ISNUMBER(Sync!$J360),IF(AND(Sync!$J360&gt;=10000101,Sync!$J360&lt;=99991231),INT(Sync!$J360/10000)&amp;"/"&amp;RIGHT("00"&amp;INT(MOD(Sync!$J360,10000)/100),2)&amp;"/"&amp;RIGHT("00"&amp;MOD(Sync!$J360,100),2),"نامعتبر"),IF(LEN(Sync!$J360)=10,Sync!$J360,"نامعتبر")))</f>
        <v/>
      </c>
      <c r="R360" t="str">
        <f t="shared" si="39"/>
        <v/>
      </c>
      <c r="S360" t="str">
        <f t="shared" si="40"/>
        <v/>
      </c>
      <c r="T360" t="str">
        <f>IF($N360="","",IF(Sync!$N360="",0,Sync!$N360))</f>
        <v/>
      </c>
      <c r="U360" t="str">
        <f>IF($N360="","",IF(Sync!$O360="",0,Sync!$O360))</f>
        <v/>
      </c>
      <c r="V360" t="str">
        <f>IF($N360="","",Sync!$L360)</f>
        <v/>
      </c>
      <c r="W360" t="str">
        <f>IF($N360="","",Sync!$P360)</f>
        <v/>
      </c>
      <c r="AA360" t="str">
        <f>IF($A360="","",IF(COUNTIF($A$6:$A360,$A360)=1,1,0))</f>
        <v/>
      </c>
      <c r="AB360">
        <f>SUM($AA$6:$AA360)</f>
        <v>3</v>
      </c>
      <c r="AC360" t="str">
        <f t="shared" si="41"/>
        <v/>
      </c>
    </row>
    <row r="361" spans="1:29" x14ac:dyDescent="0.2">
      <c r="A361" t="str">
        <f>IF(OR(Entry!$B364="",Entry!$E364="",$E361="نامعتبر"),"",Entry!$E364)</f>
        <v/>
      </c>
      <c r="B361" t="str">
        <f>IF($A361="","",LEFT($E361,4)&amp;MID($E361,6,2)&amp;RIGHT($E361,2)&amp;$F361&amp;"|"&amp;"1"&amp;RIGHT("00000"&amp;356,5))</f>
        <v/>
      </c>
      <c r="C361" t="str">
        <f t="shared" si="35"/>
        <v/>
      </c>
      <c r="D361" t="str">
        <f t="shared" si="36"/>
        <v/>
      </c>
      <c r="E361" t="str">
        <f>IF(Entry!$B364="","",IF(ISNUMBER(Entry!$B364),IF(AND(Entry!$B364&gt;=10000101,Entry!$B364&lt;=99991231),INT(Entry!$B364/10000)&amp;"/"&amp;RIGHT("00"&amp;INT(MOD(Entry!$B364,10000)/100),2)&amp;"/"&amp;RIGHT("00"&amp;MOD(Entry!$B364,100),2),"نامعتبر"),IF(LEN(Entry!$B364)=10,Entry!$B364,"نامعتبر")))</f>
        <v/>
      </c>
      <c r="F361" t="str">
        <f>IF(Entry!$B364="","",IF(Entry!$C364="","0000",IF(AND(ISNUMBER(Entry!$C364),Entry!$C364&gt;=0,Entry!$C364&lt;1),RIGHT("00"&amp;HOUR(Entry!$C364),2)&amp;RIGHT("00"&amp;MINUTE(Entry!$C364),2),IFERROR(RIGHT("00"&amp;VALUE(LEFT(Entry!$C364,FIND(":",Entry!$C364)-1)),2)&amp;RIGHT("00"&amp;VALUE(MID(Entry!$C364,FIND(":",Entry!$C364)+1,2)),2),"0000"))))</f>
        <v/>
      </c>
      <c r="G361" t="str">
        <f>IF($A361="","",Entry!$G364)</f>
        <v/>
      </c>
      <c r="H361" t="str">
        <f>IF($A361="","",IF(Entry!$H364="",0,Entry!$H364))</f>
        <v/>
      </c>
      <c r="I361" t="str">
        <f>IF($A361="","",IF(Entry!$I364="",0,Entry!$I364))</f>
        <v/>
      </c>
      <c r="J361" t="str">
        <f t="shared" si="37"/>
        <v/>
      </c>
      <c r="K361" t="str">
        <f>IF($A361="","",Entry!$D364)</f>
        <v/>
      </c>
      <c r="L361" t="str">
        <f>IF($A361="","",Entry!$L364)</f>
        <v/>
      </c>
      <c r="N361" t="str">
        <f>IF(OR(Sync!$M361="",$Q361="",$Q361="نامعتبر"),"",Sync!$M361)</f>
        <v/>
      </c>
      <c r="O361" t="str">
        <f t="shared" si="38"/>
        <v/>
      </c>
      <c r="P361" t="str">
        <f>IF($N361="","",LEFT($Q361,4)&amp;MID($Q361,6,2)&amp;RIGHT($Q361,2)&amp;IF(Sync!$K361="","0000",IF(AND(ISNUMBER(Sync!$K361),Sync!$K361&gt;=0,Sync!$K361&lt;1),RIGHT("00"&amp;HOUR(Sync!$K361),2)&amp;RIGHT("00"&amp;MINUTE(Sync!$K361),2),IFERROR(RIGHT("00"&amp;VALUE(LEFT(Sync!$K361,FIND(":",Sync!$K361)-1)),2)&amp;RIGHT("00"&amp;VALUE(MID(Sync!$K361,FIND(":",Sync!$K361)+1,2)),2),"0000")))&amp;"|"&amp;"2"&amp;RIGHT("00000"&amp;356,5))</f>
        <v/>
      </c>
      <c r="Q361" t="str">
        <f>IF(Sync!$J361="","",IF(ISNUMBER(Sync!$J361),IF(AND(Sync!$J361&gt;=10000101,Sync!$J361&lt;=99991231),INT(Sync!$J361/10000)&amp;"/"&amp;RIGHT("00"&amp;INT(MOD(Sync!$J361,10000)/100),2)&amp;"/"&amp;RIGHT("00"&amp;MOD(Sync!$J361,100),2),"نامعتبر"),IF(LEN(Sync!$J361)=10,Sync!$J361,"نامعتبر")))</f>
        <v/>
      </c>
      <c r="R361" t="str">
        <f t="shared" si="39"/>
        <v/>
      </c>
      <c r="S361" t="str">
        <f t="shared" si="40"/>
        <v/>
      </c>
      <c r="T361" t="str">
        <f>IF($N361="","",IF(Sync!$N361="",0,Sync!$N361))</f>
        <v/>
      </c>
      <c r="U361" t="str">
        <f>IF($N361="","",IF(Sync!$O361="",0,Sync!$O361))</f>
        <v/>
      </c>
      <c r="V361" t="str">
        <f>IF($N361="","",Sync!$L361)</f>
        <v/>
      </c>
      <c r="W361" t="str">
        <f>IF($N361="","",Sync!$P361)</f>
        <v/>
      </c>
      <c r="AA361" t="str">
        <f>IF($A361="","",IF(COUNTIF($A$6:$A361,$A361)=1,1,0))</f>
        <v/>
      </c>
      <c r="AB361">
        <f>SUM($AA$6:$AA361)</f>
        <v>3</v>
      </c>
      <c r="AC361" t="str">
        <f t="shared" si="41"/>
        <v/>
      </c>
    </row>
    <row r="362" spans="1:29" x14ac:dyDescent="0.2">
      <c r="A362" t="str">
        <f>IF(OR(Entry!$B365="",Entry!$E365="",$E362="نامعتبر"),"",Entry!$E365)</f>
        <v/>
      </c>
      <c r="B362" t="str">
        <f>IF($A362="","",LEFT($E362,4)&amp;MID($E362,6,2)&amp;RIGHT($E362,2)&amp;$F362&amp;"|"&amp;"1"&amp;RIGHT("00000"&amp;357,5))</f>
        <v/>
      </c>
      <c r="C362" t="str">
        <f t="shared" si="35"/>
        <v/>
      </c>
      <c r="D362" t="str">
        <f t="shared" si="36"/>
        <v/>
      </c>
      <c r="E362" t="str">
        <f>IF(Entry!$B365="","",IF(ISNUMBER(Entry!$B365),IF(AND(Entry!$B365&gt;=10000101,Entry!$B365&lt;=99991231),INT(Entry!$B365/10000)&amp;"/"&amp;RIGHT("00"&amp;INT(MOD(Entry!$B365,10000)/100),2)&amp;"/"&amp;RIGHT("00"&amp;MOD(Entry!$B365,100),2),"نامعتبر"),IF(LEN(Entry!$B365)=10,Entry!$B365,"نامعتبر")))</f>
        <v/>
      </c>
      <c r="F362" t="str">
        <f>IF(Entry!$B365="","",IF(Entry!$C365="","0000",IF(AND(ISNUMBER(Entry!$C365),Entry!$C365&gt;=0,Entry!$C365&lt;1),RIGHT("00"&amp;HOUR(Entry!$C365),2)&amp;RIGHT("00"&amp;MINUTE(Entry!$C365),2),IFERROR(RIGHT("00"&amp;VALUE(LEFT(Entry!$C365,FIND(":",Entry!$C365)-1)),2)&amp;RIGHT("00"&amp;VALUE(MID(Entry!$C365,FIND(":",Entry!$C365)+1,2)),2),"0000"))))</f>
        <v/>
      </c>
      <c r="G362" t="str">
        <f>IF($A362="","",Entry!$G365)</f>
        <v/>
      </c>
      <c r="H362" t="str">
        <f>IF($A362="","",IF(Entry!$H365="",0,Entry!$H365))</f>
        <v/>
      </c>
      <c r="I362" t="str">
        <f>IF($A362="","",IF(Entry!$I365="",0,Entry!$I365))</f>
        <v/>
      </c>
      <c r="J362" t="str">
        <f t="shared" si="37"/>
        <v/>
      </c>
      <c r="K362" t="str">
        <f>IF($A362="","",Entry!$D365)</f>
        <v/>
      </c>
      <c r="L362" t="str">
        <f>IF($A362="","",Entry!$L365)</f>
        <v/>
      </c>
      <c r="N362" t="str">
        <f>IF(OR(Sync!$M362="",$Q362="",$Q362="نامعتبر"),"",Sync!$M362)</f>
        <v/>
      </c>
      <c r="O362" t="str">
        <f t="shared" si="38"/>
        <v/>
      </c>
      <c r="P362" t="str">
        <f>IF($N362="","",LEFT($Q362,4)&amp;MID($Q362,6,2)&amp;RIGHT($Q362,2)&amp;IF(Sync!$K362="","0000",IF(AND(ISNUMBER(Sync!$K362),Sync!$K362&gt;=0,Sync!$K362&lt;1),RIGHT("00"&amp;HOUR(Sync!$K362),2)&amp;RIGHT("00"&amp;MINUTE(Sync!$K362),2),IFERROR(RIGHT("00"&amp;VALUE(LEFT(Sync!$K362,FIND(":",Sync!$K362)-1)),2)&amp;RIGHT("00"&amp;VALUE(MID(Sync!$K362,FIND(":",Sync!$K362)+1,2)),2),"0000")))&amp;"|"&amp;"2"&amp;RIGHT("00000"&amp;357,5))</f>
        <v/>
      </c>
      <c r="Q362" t="str">
        <f>IF(Sync!$J362="","",IF(ISNUMBER(Sync!$J362),IF(AND(Sync!$J362&gt;=10000101,Sync!$J362&lt;=99991231),INT(Sync!$J362/10000)&amp;"/"&amp;RIGHT("00"&amp;INT(MOD(Sync!$J362,10000)/100),2)&amp;"/"&amp;RIGHT("00"&amp;MOD(Sync!$J362,100),2),"نامعتبر"),IF(LEN(Sync!$J362)=10,Sync!$J362,"نامعتبر")))</f>
        <v/>
      </c>
      <c r="R362" t="str">
        <f t="shared" si="39"/>
        <v/>
      </c>
      <c r="S362" t="str">
        <f t="shared" si="40"/>
        <v/>
      </c>
      <c r="T362" t="str">
        <f>IF($N362="","",IF(Sync!$N362="",0,Sync!$N362))</f>
        <v/>
      </c>
      <c r="U362" t="str">
        <f>IF($N362="","",IF(Sync!$O362="",0,Sync!$O362))</f>
        <v/>
      </c>
      <c r="V362" t="str">
        <f>IF($N362="","",Sync!$L362)</f>
        <v/>
      </c>
      <c r="W362" t="str">
        <f>IF($N362="","",Sync!$P362)</f>
        <v/>
      </c>
      <c r="AA362" t="str">
        <f>IF($A362="","",IF(COUNTIF($A$6:$A362,$A362)=1,1,0))</f>
        <v/>
      </c>
      <c r="AB362">
        <f>SUM($AA$6:$AA362)</f>
        <v>3</v>
      </c>
      <c r="AC362" t="str">
        <f t="shared" si="41"/>
        <v/>
      </c>
    </row>
    <row r="363" spans="1:29" x14ac:dyDescent="0.2">
      <c r="A363" t="str">
        <f>IF(OR(Entry!$B366="",Entry!$E366="",$E363="نامعتبر"),"",Entry!$E366)</f>
        <v/>
      </c>
      <c r="B363" t="str">
        <f>IF($A363="","",LEFT($E363,4)&amp;MID($E363,6,2)&amp;RIGHT($E363,2)&amp;$F363&amp;"|"&amp;"1"&amp;RIGHT("00000"&amp;358,5))</f>
        <v/>
      </c>
      <c r="C363" t="str">
        <f t="shared" si="35"/>
        <v/>
      </c>
      <c r="D363" t="str">
        <f t="shared" si="36"/>
        <v/>
      </c>
      <c r="E363" t="str">
        <f>IF(Entry!$B366="","",IF(ISNUMBER(Entry!$B366),IF(AND(Entry!$B366&gt;=10000101,Entry!$B366&lt;=99991231),INT(Entry!$B366/10000)&amp;"/"&amp;RIGHT("00"&amp;INT(MOD(Entry!$B366,10000)/100),2)&amp;"/"&amp;RIGHT("00"&amp;MOD(Entry!$B366,100),2),"نامعتبر"),IF(LEN(Entry!$B366)=10,Entry!$B366,"نامعتبر")))</f>
        <v/>
      </c>
      <c r="F363" t="str">
        <f>IF(Entry!$B366="","",IF(Entry!$C366="","0000",IF(AND(ISNUMBER(Entry!$C366),Entry!$C366&gt;=0,Entry!$C366&lt;1),RIGHT("00"&amp;HOUR(Entry!$C366),2)&amp;RIGHT("00"&amp;MINUTE(Entry!$C366),2),IFERROR(RIGHT("00"&amp;VALUE(LEFT(Entry!$C366,FIND(":",Entry!$C366)-1)),2)&amp;RIGHT("00"&amp;VALUE(MID(Entry!$C366,FIND(":",Entry!$C366)+1,2)),2),"0000"))))</f>
        <v/>
      </c>
      <c r="G363" t="str">
        <f>IF($A363="","",Entry!$G366)</f>
        <v/>
      </c>
      <c r="H363" t="str">
        <f>IF($A363="","",IF(Entry!$H366="",0,Entry!$H366))</f>
        <v/>
      </c>
      <c r="I363" t="str">
        <f>IF($A363="","",IF(Entry!$I366="",0,Entry!$I366))</f>
        <v/>
      </c>
      <c r="J363" t="str">
        <f t="shared" si="37"/>
        <v/>
      </c>
      <c r="K363" t="str">
        <f>IF($A363="","",Entry!$D366)</f>
        <v/>
      </c>
      <c r="L363" t="str">
        <f>IF($A363="","",Entry!$L366)</f>
        <v/>
      </c>
      <c r="N363" t="str">
        <f>IF(OR(Sync!$M363="",$Q363="",$Q363="نامعتبر"),"",Sync!$M363)</f>
        <v/>
      </c>
      <c r="O363" t="str">
        <f t="shared" si="38"/>
        <v/>
      </c>
      <c r="P363" t="str">
        <f>IF($N363="","",LEFT($Q363,4)&amp;MID($Q363,6,2)&amp;RIGHT($Q363,2)&amp;IF(Sync!$K363="","0000",IF(AND(ISNUMBER(Sync!$K363),Sync!$K363&gt;=0,Sync!$K363&lt;1),RIGHT("00"&amp;HOUR(Sync!$K363),2)&amp;RIGHT("00"&amp;MINUTE(Sync!$K363),2),IFERROR(RIGHT("00"&amp;VALUE(LEFT(Sync!$K363,FIND(":",Sync!$K363)-1)),2)&amp;RIGHT("00"&amp;VALUE(MID(Sync!$K363,FIND(":",Sync!$K363)+1,2)),2),"0000")))&amp;"|"&amp;"2"&amp;RIGHT("00000"&amp;358,5))</f>
        <v/>
      </c>
      <c r="Q363" t="str">
        <f>IF(Sync!$J363="","",IF(ISNUMBER(Sync!$J363),IF(AND(Sync!$J363&gt;=10000101,Sync!$J363&lt;=99991231),INT(Sync!$J363/10000)&amp;"/"&amp;RIGHT("00"&amp;INT(MOD(Sync!$J363,10000)/100),2)&amp;"/"&amp;RIGHT("00"&amp;MOD(Sync!$J363,100),2),"نامعتبر"),IF(LEN(Sync!$J363)=10,Sync!$J363,"نامعتبر")))</f>
        <v/>
      </c>
      <c r="R363" t="str">
        <f t="shared" si="39"/>
        <v/>
      </c>
      <c r="S363" t="str">
        <f t="shared" si="40"/>
        <v/>
      </c>
      <c r="T363" t="str">
        <f>IF($N363="","",IF(Sync!$N363="",0,Sync!$N363))</f>
        <v/>
      </c>
      <c r="U363" t="str">
        <f>IF($N363="","",IF(Sync!$O363="",0,Sync!$O363))</f>
        <v/>
      </c>
      <c r="V363" t="str">
        <f>IF($N363="","",Sync!$L363)</f>
        <v/>
      </c>
      <c r="W363" t="str">
        <f>IF($N363="","",Sync!$P363)</f>
        <v/>
      </c>
      <c r="AA363" t="str">
        <f>IF($A363="","",IF(COUNTIF($A$6:$A363,$A363)=1,1,0))</f>
        <v/>
      </c>
      <c r="AB363">
        <f>SUM($AA$6:$AA363)</f>
        <v>3</v>
      </c>
      <c r="AC363" t="str">
        <f t="shared" si="41"/>
        <v/>
      </c>
    </row>
    <row r="364" spans="1:29" x14ac:dyDescent="0.2">
      <c r="A364" t="str">
        <f>IF(OR(Entry!$B367="",Entry!$E367="",$E364="نامعتبر"),"",Entry!$E367)</f>
        <v/>
      </c>
      <c r="B364" t="str">
        <f>IF($A364="","",LEFT($E364,4)&amp;MID($E364,6,2)&amp;RIGHT($E364,2)&amp;$F364&amp;"|"&amp;"1"&amp;RIGHT("00000"&amp;359,5))</f>
        <v/>
      </c>
      <c r="C364" t="str">
        <f t="shared" si="35"/>
        <v/>
      </c>
      <c r="D364" t="str">
        <f t="shared" si="36"/>
        <v/>
      </c>
      <c r="E364" t="str">
        <f>IF(Entry!$B367="","",IF(ISNUMBER(Entry!$B367),IF(AND(Entry!$B367&gt;=10000101,Entry!$B367&lt;=99991231),INT(Entry!$B367/10000)&amp;"/"&amp;RIGHT("00"&amp;INT(MOD(Entry!$B367,10000)/100),2)&amp;"/"&amp;RIGHT("00"&amp;MOD(Entry!$B367,100),2),"نامعتبر"),IF(LEN(Entry!$B367)=10,Entry!$B367,"نامعتبر")))</f>
        <v/>
      </c>
      <c r="F364" t="str">
        <f>IF(Entry!$B367="","",IF(Entry!$C367="","0000",IF(AND(ISNUMBER(Entry!$C367),Entry!$C367&gt;=0,Entry!$C367&lt;1),RIGHT("00"&amp;HOUR(Entry!$C367),2)&amp;RIGHT("00"&amp;MINUTE(Entry!$C367),2),IFERROR(RIGHT("00"&amp;VALUE(LEFT(Entry!$C367,FIND(":",Entry!$C367)-1)),2)&amp;RIGHT("00"&amp;VALUE(MID(Entry!$C367,FIND(":",Entry!$C367)+1,2)),2),"0000"))))</f>
        <v/>
      </c>
      <c r="G364" t="str">
        <f>IF($A364="","",Entry!$G367)</f>
        <v/>
      </c>
      <c r="H364" t="str">
        <f>IF($A364="","",IF(Entry!$H367="",0,Entry!$H367))</f>
        <v/>
      </c>
      <c r="I364" t="str">
        <f>IF($A364="","",IF(Entry!$I367="",0,Entry!$I367))</f>
        <v/>
      </c>
      <c r="J364" t="str">
        <f t="shared" si="37"/>
        <v/>
      </c>
      <c r="K364" t="str">
        <f>IF($A364="","",Entry!$D367)</f>
        <v/>
      </c>
      <c r="L364" t="str">
        <f>IF($A364="","",Entry!$L367)</f>
        <v/>
      </c>
      <c r="N364" t="str">
        <f>IF(OR(Sync!$M364="",$Q364="",$Q364="نامعتبر"),"",Sync!$M364)</f>
        <v/>
      </c>
      <c r="O364" t="str">
        <f t="shared" si="38"/>
        <v/>
      </c>
      <c r="P364" t="str">
        <f>IF($N364="","",LEFT($Q364,4)&amp;MID($Q364,6,2)&amp;RIGHT($Q364,2)&amp;IF(Sync!$K364="","0000",IF(AND(ISNUMBER(Sync!$K364),Sync!$K364&gt;=0,Sync!$K364&lt;1),RIGHT("00"&amp;HOUR(Sync!$K364),2)&amp;RIGHT("00"&amp;MINUTE(Sync!$K364),2),IFERROR(RIGHT("00"&amp;VALUE(LEFT(Sync!$K364,FIND(":",Sync!$K364)-1)),2)&amp;RIGHT("00"&amp;VALUE(MID(Sync!$K364,FIND(":",Sync!$K364)+1,2)),2),"0000")))&amp;"|"&amp;"2"&amp;RIGHT("00000"&amp;359,5))</f>
        <v/>
      </c>
      <c r="Q364" t="str">
        <f>IF(Sync!$J364="","",IF(ISNUMBER(Sync!$J364),IF(AND(Sync!$J364&gt;=10000101,Sync!$J364&lt;=99991231),INT(Sync!$J364/10000)&amp;"/"&amp;RIGHT("00"&amp;INT(MOD(Sync!$J364,10000)/100),2)&amp;"/"&amp;RIGHT("00"&amp;MOD(Sync!$J364,100),2),"نامعتبر"),IF(LEN(Sync!$J364)=10,Sync!$J364,"نامعتبر")))</f>
        <v/>
      </c>
      <c r="R364" t="str">
        <f t="shared" si="39"/>
        <v/>
      </c>
      <c r="S364" t="str">
        <f t="shared" si="40"/>
        <v/>
      </c>
      <c r="T364" t="str">
        <f>IF($N364="","",IF(Sync!$N364="",0,Sync!$N364))</f>
        <v/>
      </c>
      <c r="U364" t="str">
        <f>IF($N364="","",IF(Sync!$O364="",0,Sync!$O364))</f>
        <v/>
      </c>
      <c r="V364" t="str">
        <f>IF($N364="","",Sync!$L364)</f>
        <v/>
      </c>
      <c r="W364" t="str">
        <f>IF($N364="","",Sync!$P364)</f>
        <v/>
      </c>
      <c r="AA364" t="str">
        <f>IF($A364="","",IF(COUNTIF($A$6:$A364,$A364)=1,1,0))</f>
        <v/>
      </c>
      <c r="AB364">
        <f>SUM($AA$6:$AA364)</f>
        <v>3</v>
      </c>
      <c r="AC364" t="str">
        <f t="shared" si="41"/>
        <v/>
      </c>
    </row>
    <row r="365" spans="1:29" x14ac:dyDescent="0.2">
      <c r="A365" t="str">
        <f>IF(OR(Entry!$B368="",Entry!$E368="",$E365="نامعتبر"),"",Entry!$E368)</f>
        <v/>
      </c>
      <c r="B365" t="str">
        <f>IF($A365="","",LEFT($E365,4)&amp;MID($E365,6,2)&amp;RIGHT($E365,2)&amp;$F365&amp;"|"&amp;"1"&amp;RIGHT("00000"&amp;360,5))</f>
        <v/>
      </c>
      <c r="C365" t="str">
        <f t="shared" si="35"/>
        <v/>
      </c>
      <c r="D365" t="str">
        <f t="shared" si="36"/>
        <v/>
      </c>
      <c r="E365" t="str">
        <f>IF(Entry!$B368="","",IF(ISNUMBER(Entry!$B368),IF(AND(Entry!$B368&gt;=10000101,Entry!$B368&lt;=99991231),INT(Entry!$B368/10000)&amp;"/"&amp;RIGHT("00"&amp;INT(MOD(Entry!$B368,10000)/100),2)&amp;"/"&amp;RIGHT("00"&amp;MOD(Entry!$B368,100),2),"نامعتبر"),IF(LEN(Entry!$B368)=10,Entry!$B368,"نامعتبر")))</f>
        <v/>
      </c>
      <c r="F365" t="str">
        <f>IF(Entry!$B368="","",IF(Entry!$C368="","0000",IF(AND(ISNUMBER(Entry!$C368),Entry!$C368&gt;=0,Entry!$C368&lt;1),RIGHT("00"&amp;HOUR(Entry!$C368),2)&amp;RIGHT("00"&amp;MINUTE(Entry!$C368),2),IFERROR(RIGHT("00"&amp;VALUE(LEFT(Entry!$C368,FIND(":",Entry!$C368)-1)),2)&amp;RIGHT("00"&amp;VALUE(MID(Entry!$C368,FIND(":",Entry!$C368)+1,2)),2),"0000"))))</f>
        <v/>
      </c>
      <c r="G365" t="str">
        <f>IF($A365="","",Entry!$G368)</f>
        <v/>
      </c>
      <c r="H365" t="str">
        <f>IF($A365="","",IF(Entry!$H368="",0,Entry!$H368))</f>
        <v/>
      </c>
      <c r="I365" t="str">
        <f>IF($A365="","",IF(Entry!$I368="",0,Entry!$I368))</f>
        <v/>
      </c>
      <c r="J365" t="str">
        <f t="shared" si="37"/>
        <v/>
      </c>
      <c r="K365" t="str">
        <f>IF($A365="","",Entry!$D368)</f>
        <v/>
      </c>
      <c r="L365" t="str">
        <f>IF($A365="","",Entry!$L368)</f>
        <v/>
      </c>
      <c r="N365" t="str">
        <f>IF(OR(Sync!$M365="",$Q365="",$Q365="نامعتبر"),"",Sync!$M365)</f>
        <v/>
      </c>
      <c r="O365" t="str">
        <f t="shared" si="38"/>
        <v/>
      </c>
      <c r="P365" t="str">
        <f>IF($N365="","",LEFT($Q365,4)&amp;MID($Q365,6,2)&amp;RIGHT($Q365,2)&amp;IF(Sync!$K365="","0000",IF(AND(ISNUMBER(Sync!$K365),Sync!$K365&gt;=0,Sync!$K365&lt;1),RIGHT("00"&amp;HOUR(Sync!$K365),2)&amp;RIGHT("00"&amp;MINUTE(Sync!$K365),2),IFERROR(RIGHT("00"&amp;VALUE(LEFT(Sync!$K365,FIND(":",Sync!$K365)-1)),2)&amp;RIGHT("00"&amp;VALUE(MID(Sync!$K365,FIND(":",Sync!$K365)+1,2)),2),"0000")))&amp;"|"&amp;"2"&amp;RIGHT("00000"&amp;360,5))</f>
        <v/>
      </c>
      <c r="Q365" t="str">
        <f>IF(Sync!$J365="","",IF(ISNUMBER(Sync!$J365),IF(AND(Sync!$J365&gt;=10000101,Sync!$J365&lt;=99991231),INT(Sync!$J365/10000)&amp;"/"&amp;RIGHT("00"&amp;INT(MOD(Sync!$J365,10000)/100),2)&amp;"/"&amp;RIGHT("00"&amp;MOD(Sync!$J365,100),2),"نامعتبر"),IF(LEN(Sync!$J365)=10,Sync!$J365,"نامعتبر")))</f>
        <v/>
      </c>
      <c r="R365" t="str">
        <f t="shared" si="39"/>
        <v/>
      </c>
      <c r="S365" t="str">
        <f t="shared" si="40"/>
        <v/>
      </c>
      <c r="T365" t="str">
        <f>IF($N365="","",IF(Sync!$N365="",0,Sync!$N365))</f>
        <v/>
      </c>
      <c r="U365" t="str">
        <f>IF($N365="","",IF(Sync!$O365="",0,Sync!$O365))</f>
        <v/>
      </c>
      <c r="V365" t="str">
        <f>IF($N365="","",Sync!$L365)</f>
        <v/>
      </c>
      <c r="W365" t="str">
        <f>IF($N365="","",Sync!$P365)</f>
        <v/>
      </c>
      <c r="AA365" t="str">
        <f>IF($A365="","",IF(COUNTIF($A$6:$A365,$A365)=1,1,0))</f>
        <v/>
      </c>
      <c r="AB365">
        <f>SUM($AA$6:$AA365)</f>
        <v>3</v>
      </c>
      <c r="AC365" t="str">
        <f t="shared" si="41"/>
        <v/>
      </c>
    </row>
    <row r="366" spans="1:29" x14ac:dyDescent="0.2">
      <c r="A366" t="str">
        <f>IF(OR(Entry!$B369="",Entry!$E369="",$E366="نامعتبر"),"",Entry!$E369)</f>
        <v/>
      </c>
      <c r="B366" t="str">
        <f>IF($A366="","",LEFT($E366,4)&amp;MID($E366,6,2)&amp;RIGHT($E366,2)&amp;$F366&amp;"|"&amp;"1"&amp;RIGHT("00000"&amp;361,5))</f>
        <v/>
      </c>
      <c r="C366" t="str">
        <f t="shared" si="35"/>
        <v/>
      </c>
      <c r="D366" t="str">
        <f t="shared" si="36"/>
        <v/>
      </c>
      <c r="E366" t="str">
        <f>IF(Entry!$B369="","",IF(ISNUMBER(Entry!$B369),IF(AND(Entry!$B369&gt;=10000101,Entry!$B369&lt;=99991231),INT(Entry!$B369/10000)&amp;"/"&amp;RIGHT("00"&amp;INT(MOD(Entry!$B369,10000)/100),2)&amp;"/"&amp;RIGHT("00"&amp;MOD(Entry!$B369,100),2),"نامعتبر"),IF(LEN(Entry!$B369)=10,Entry!$B369,"نامعتبر")))</f>
        <v/>
      </c>
      <c r="F366" t="str">
        <f>IF(Entry!$B369="","",IF(Entry!$C369="","0000",IF(AND(ISNUMBER(Entry!$C369),Entry!$C369&gt;=0,Entry!$C369&lt;1),RIGHT("00"&amp;HOUR(Entry!$C369),2)&amp;RIGHT("00"&amp;MINUTE(Entry!$C369),2),IFERROR(RIGHT("00"&amp;VALUE(LEFT(Entry!$C369,FIND(":",Entry!$C369)-1)),2)&amp;RIGHT("00"&amp;VALUE(MID(Entry!$C369,FIND(":",Entry!$C369)+1,2)),2),"0000"))))</f>
        <v/>
      </c>
      <c r="G366" t="str">
        <f>IF($A366="","",Entry!$G369)</f>
        <v/>
      </c>
      <c r="H366" t="str">
        <f>IF($A366="","",IF(Entry!$H369="",0,Entry!$H369))</f>
        <v/>
      </c>
      <c r="I366" t="str">
        <f>IF($A366="","",IF(Entry!$I369="",0,Entry!$I369))</f>
        <v/>
      </c>
      <c r="J366" t="str">
        <f t="shared" si="37"/>
        <v/>
      </c>
      <c r="K366" t="str">
        <f>IF($A366="","",Entry!$D369)</f>
        <v/>
      </c>
      <c r="L366" t="str">
        <f>IF($A366="","",Entry!$L369)</f>
        <v/>
      </c>
      <c r="N366" t="str">
        <f>IF(OR(Sync!$M366="",$Q366="",$Q366="نامعتبر"),"",Sync!$M366)</f>
        <v/>
      </c>
      <c r="O366" t="str">
        <f t="shared" si="38"/>
        <v/>
      </c>
      <c r="P366" t="str">
        <f>IF($N366="","",LEFT($Q366,4)&amp;MID($Q366,6,2)&amp;RIGHT($Q366,2)&amp;IF(Sync!$K366="","0000",IF(AND(ISNUMBER(Sync!$K366),Sync!$K366&gt;=0,Sync!$K366&lt;1),RIGHT("00"&amp;HOUR(Sync!$K366),2)&amp;RIGHT("00"&amp;MINUTE(Sync!$K366),2),IFERROR(RIGHT("00"&amp;VALUE(LEFT(Sync!$K366,FIND(":",Sync!$K366)-1)),2)&amp;RIGHT("00"&amp;VALUE(MID(Sync!$K366,FIND(":",Sync!$K366)+1,2)),2),"0000")))&amp;"|"&amp;"2"&amp;RIGHT("00000"&amp;361,5))</f>
        <v/>
      </c>
      <c r="Q366" t="str">
        <f>IF(Sync!$J366="","",IF(ISNUMBER(Sync!$J366),IF(AND(Sync!$J366&gt;=10000101,Sync!$J366&lt;=99991231),INT(Sync!$J366/10000)&amp;"/"&amp;RIGHT("00"&amp;INT(MOD(Sync!$J366,10000)/100),2)&amp;"/"&amp;RIGHT("00"&amp;MOD(Sync!$J366,100),2),"نامعتبر"),IF(LEN(Sync!$J366)=10,Sync!$J366,"نامعتبر")))</f>
        <v/>
      </c>
      <c r="R366" t="str">
        <f t="shared" si="39"/>
        <v/>
      </c>
      <c r="S366" t="str">
        <f t="shared" si="40"/>
        <v/>
      </c>
      <c r="T366" t="str">
        <f>IF($N366="","",IF(Sync!$N366="",0,Sync!$N366))</f>
        <v/>
      </c>
      <c r="U366" t="str">
        <f>IF($N366="","",IF(Sync!$O366="",0,Sync!$O366))</f>
        <v/>
      </c>
      <c r="V366" t="str">
        <f>IF($N366="","",Sync!$L366)</f>
        <v/>
      </c>
      <c r="W366" t="str">
        <f>IF($N366="","",Sync!$P366)</f>
        <v/>
      </c>
      <c r="AA366" t="str">
        <f>IF($A366="","",IF(COUNTIF($A$6:$A366,$A366)=1,1,0))</f>
        <v/>
      </c>
      <c r="AB366">
        <f>SUM($AA$6:$AA366)</f>
        <v>3</v>
      </c>
      <c r="AC366" t="str">
        <f t="shared" si="41"/>
        <v/>
      </c>
    </row>
    <row r="367" spans="1:29" x14ac:dyDescent="0.2">
      <c r="A367" t="str">
        <f>IF(OR(Entry!$B370="",Entry!$E370="",$E367="نامعتبر"),"",Entry!$E370)</f>
        <v/>
      </c>
      <c r="B367" t="str">
        <f>IF($A367="","",LEFT($E367,4)&amp;MID($E367,6,2)&amp;RIGHT($E367,2)&amp;$F367&amp;"|"&amp;"1"&amp;RIGHT("00000"&amp;362,5))</f>
        <v/>
      </c>
      <c r="C367" t="str">
        <f t="shared" si="35"/>
        <v/>
      </c>
      <c r="D367" t="str">
        <f t="shared" si="36"/>
        <v/>
      </c>
      <c r="E367" t="str">
        <f>IF(Entry!$B370="","",IF(ISNUMBER(Entry!$B370),IF(AND(Entry!$B370&gt;=10000101,Entry!$B370&lt;=99991231),INT(Entry!$B370/10000)&amp;"/"&amp;RIGHT("00"&amp;INT(MOD(Entry!$B370,10000)/100),2)&amp;"/"&amp;RIGHT("00"&amp;MOD(Entry!$B370,100),2),"نامعتبر"),IF(LEN(Entry!$B370)=10,Entry!$B370,"نامعتبر")))</f>
        <v/>
      </c>
      <c r="F367" t="str">
        <f>IF(Entry!$B370="","",IF(Entry!$C370="","0000",IF(AND(ISNUMBER(Entry!$C370),Entry!$C370&gt;=0,Entry!$C370&lt;1),RIGHT("00"&amp;HOUR(Entry!$C370),2)&amp;RIGHT("00"&amp;MINUTE(Entry!$C370),2),IFERROR(RIGHT("00"&amp;VALUE(LEFT(Entry!$C370,FIND(":",Entry!$C370)-1)),2)&amp;RIGHT("00"&amp;VALUE(MID(Entry!$C370,FIND(":",Entry!$C370)+1,2)),2),"0000"))))</f>
        <v/>
      </c>
      <c r="G367" t="str">
        <f>IF($A367="","",Entry!$G370)</f>
        <v/>
      </c>
      <c r="H367" t="str">
        <f>IF($A367="","",IF(Entry!$H370="",0,Entry!$H370))</f>
        <v/>
      </c>
      <c r="I367" t="str">
        <f>IF($A367="","",IF(Entry!$I370="",0,Entry!$I370))</f>
        <v/>
      </c>
      <c r="J367" t="str">
        <f t="shared" si="37"/>
        <v/>
      </c>
      <c r="K367" t="str">
        <f>IF($A367="","",Entry!$D370)</f>
        <v/>
      </c>
      <c r="L367" t="str">
        <f>IF($A367="","",Entry!$L370)</f>
        <v/>
      </c>
      <c r="N367" t="str">
        <f>IF(OR(Sync!$M367="",$Q367="",$Q367="نامعتبر"),"",Sync!$M367)</f>
        <v/>
      </c>
      <c r="O367" t="str">
        <f t="shared" si="38"/>
        <v/>
      </c>
      <c r="P367" t="str">
        <f>IF($N367="","",LEFT($Q367,4)&amp;MID($Q367,6,2)&amp;RIGHT($Q367,2)&amp;IF(Sync!$K367="","0000",IF(AND(ISNUMBER(Sync!$K367),Sync!$K367&gt;=0,Sync!$K367&lt;1),RIGHT("00"&amp;HOUR(Sync!$K367),2)&amp;RIGHT("00"&amp;MINUTE(Sync!$K367),2),IFERROR(RIGHT("00"&amp;VALUE(LEFT(Sync!$K367,FIND(":",Sync!$K367)-1)),2)&amp;RIGHT("00"&amp;VALUE(MID(Sync!$K367,FIND(":",Sync!$K367)+1,2)),2),"0000")))&amp;"|"&amp;"2"&amp;RIGHT("00000"&amp;362,5))</f>
        <v/>
      </c>
      <c r="Q367" t="str">
        <f>IF(Sync!$J367="","",IF(ISNUMBER(Sync!$J367),IF(AND(Sync!$J367&gt;=10000101,Sync!$J367&lt;=99991231),INT(Sync!$J367/10000)&amp;"/"&amp;RIGHT("00"&amp;INT(MOD(Sync!$J367,10000)/100),2)&amp;"/"&amp;RIGHT("00"&amp;MOD(Sync!$J367,100),2),"نامعتبر"),IF(LEN(Sync!$J367)=10,Sync!$J367,"نامعتبر")))</f>
        <v/>
      </c>
      <c r="R367" t="str">
        <f t="shared" si="39"/>
        <v/>
      </c>
      <c r="S367" t="str">
        <f t="shared" si="40"/>
        <v/>
      </c>
      <c r="T367" t="str">
        <f>IF($N367="","",IF(Sync!$N367="",0,Sync!$N367))</f>
        <v/>
      </c>
      <c r="U367" t="str">
        <f>IF($N367="","",IF(Sync!$O367="",0,Sync!$O367))</f>
        <v/>
      </c>
      <c r="V367" t="str">
        <f>IF($N367="","",Sync!$L367)</f>
        <v/>
      </c>
      <c r="W367" t="str">
        <f>IF($N367="","",Sync!$P367)</f>
        <v/>
      </c>
      <c r="AA367" t="str">
        <f>IF($A367="","",IF(COUNTIF($A$6:$A367,$A367)=1,1,0))</f>
        <v/>
      </c>
      <c r="AB367">
        <f>SUM($AA$6:$AA367)</f>
        <v>3</v>
      </c>
      <c r="AC367" t="str">
        <f t="shared" si="41"/>
        <v/>
      </c>
    </row>
    <row r="368" spans="1:29" x14ac:dyDescent="0.2">
      <c r="A368" t="str">
        <f>IF(OR(Entry!$B371="",Entry!$E371="",$E368="نامعتبر"),"",Entry!$E371)</f>
        <v/>
      </c>
      <c r="B368" t="str">
        <f>IF($A368="","",LEFT($E368,4)&amp;MID($E368,6,2)&amp;RIGHT($E368,2)&amp;$F368&amp;"|"&amp;"1"&amp;RIGHT("00000"&amp;363,5))</f>
        <v/>
      </c>
      <c r="C368" t="str">
        <f t="shared" si="35"/>
        <v/>
      </c>
      <c r="D368" t="str">
        <f t="shared" si="36"/>
        <v/>
      </c>
      <c r="E368" t="str">
        <f>IF(Entry!$B371="","",IF(ISNUMBER(Entry!$B371),IF(AND(Entry!$B371&gt;=10000101,Entry!$B371&lt;=99991231),INT(Entry!$B371/10000)&amp;"/"&amp;RIGHT("00"&amp;INT(MOD(Entry!$B371,10000)/100),2)&amp;"/"&amp;RIGHT("00"&amp;MOD(Entry!$B371,100),2),"نامعتبر"),IF(LEN(Entry!$B371)=10,Entry!$B371,"نامعتبر")))</f>
        <v/>
      </c>
      <c r="F368" t="str">
        <f>IF(Entry!$B371="","",IF(Entry!$C371="","0000",IF(AND(ISNUMBER(Entry!$C371),Entry!$C371&gt;=0,Entry!$C371&lt;1),RIGHT("00"&amp;HOUR(Entry!$C371),2)&amp;RIGHT("00"&amp;MINUTE(Entry!$C371),2),IFERROR(RIGHT("00"&amp;VALUE(LEFT(Entry!$C371,FIND(":",Entry!$C371)-1)),2)&amp;RIGHT("00"&amp;VALUE(MID(Entry!$C371,FIND(":",Entry!$C371)+1,2)),2),"0000"))))</f>
        <v/>
      </c>
      <c r="G368" t="str">
        <f>IF($A368="","",Entry!$G371)</f>
        <v/>
      </c>
      <c r="H368" t="str">
        <f>IF($A368="","",IF(Entry!$H371="",0,Entry!$H371))</f>
        <v/>
      </c>
      <c r="I368" t="str">
        <f>IF($A368="","",IF(Entry!$I371="",0,Entry!$I371))</f>
        <v/>
      </c>
      <c r="J368" t="str">
        <f t="shared" si="37"/>
        <v/>
      </c>
      <c r="K368" t="str">
        <f>IF($A368="","",Entry!$D371)</f>
        <v/>
      </c>
      <c r="L368" t="str">
        <f>IF($A368="","",Entry!$L371)</f>
        <v/>
      </c>
      <c r="N368" t="str">
        <f>IF(OR(Sync!$M368="",$Q368="",$Q368="نامعتبر"),"",Sync!$M368)</f>
        <v/>
      </c>
      <c r="O368" t="str">
        <f t="shared" si="38"/>
        <v/>
      </c>
      <c r="P368" t="str">
        <f>IF($N368="","",LEFT($Q368,4)&amp;MID($Q368,6,2)&amp;RIGHT($Q368,2)&amp;IF(Sync!$K368="","0000",IF(AND(ISNUMBER(Sync!$K368),Sync!$K368&gt;=0,Sync!$K368&lt;1),RIGHT("00"&amp;HOUR(Sync!$K368),2)&amp;RIGHT("00"&amp;MINUTE(Sync!$K368),2),IFERROR(RIGHT("00"&amp;VALUE(LEFT(Sync!$K368,FIND(":",Sync!$K368)-1)),2)&amp;RIGHT("00"&amp;VALUE(MID(Sync!$K368,FIND(":",Sync!$K368)+1,2)),2),"0000")))&amp;"|"&amp;"2"&amp;RIGHT("00000"&amp;363,5))</f>
        <v/>
      </c>
      <c r="Q368" t="str">
        <f>IF(Sync!$J368="","",IF(ISNUMBER(Sync!$J368),IF(AND(Sync!$J368&gt;=10000101,Sync!$J368&lt;=99991231),INT(Sync!$J368/10000)&amp;"/"&amp;RIGHT("00"&amp;INT(MOD(Sync!$J368,10000)/100),2)&amp;"/"&amp;RIGHT("00"&amp;MOD(Sync!$J368,100),2),"نامعتبر"),IF(LEN(Sync!$J368)=10,Sync!$J368,"نامعتبر")))</f>
        <v/>
      </c>
      <c r="R368" t="str">
        <f t="shared" si="39"/>
        <v/>
      </c>
      <c r="S368" t="str">
        <f t="shared" si="40"/>
        <v/>
      </c>
      <c r="T368" t="str">
        <f>IF($N368="","",IF(Sync!$N368="",0,Sync!$N368))</f>
        <v/>
      </c>
      <c r="U368" t="str">
        <f>IF($N368="","",IF(Sync!$O368="",0,Sync!$O368))</f>
        <v/>
      </c>
      <c r="V368" t="str">
        <f>IF($N368="","",Sync!$L368)</f>
        <v/>
      </c>
      <c r="W368" t="str">
        <f>IF($N368="","",Sync!$P368)</f>
        <v/>
      </c>
      <c r="AA368" t="str">
        <f>IF($A368="","",IF(COUNTIF($A$6:$A368,$A368)=1,1,0))</f>
        <v/>
      </c>
      <c r="AB368">
        <f>SUM($AA$6:$AA368)</f>
        <v>3</v>
      </c>
      <c r="AC368" t="str">
        <f t="shared" si="41"/>
        <v/>
      </c>
    </row>
    <row r="369" spans="1:29" x14ac:dyDescent="0.2">
      <c r="A369" t="str">
        <f>IF(OR(Entry!$B372="",Entry!$E372="",$E369="نامعتبر"),"",Entry!$E372)</f>
        <v/>
      </c>
      <c r="B369" t="str">
        <f>IF($A369="","",LEFT($E369,4)&amp;MID($E369,6,2)&amp;RIGHT($E369,2)&amp;$F369&amp;"|"&amp;"1"&amp;RIGHT("00000"&amp;364,5))</f>
        <v/>
      </c>
      <c r="C369" t="str">
        <f t="shared" si="35"/>
        <v/>
      </c>
      <c r="D369" t="str">
        <f t="shared" si="36"/>
        <v/>
      </c>
      <c r="E369" t="str">
        <f>IF(Entry!$B372="","",IF(ISNUMBER(Entry!$B372),IF(AND(Entry!$B372&gt;=10000101,Entry!$B372&lt;=99991231),INT(Entry!$B372/10000)&amp;"/"&amp;RIGHT("00"&amp;INT(MOD(Entry!$B372,10000)/100),2)&amp;"/"&amp;RIGHT("00"&amp;MOD(Entry!$B372,100),2),"نامعتبر"),IF(LEN(Entry!$B372)=10,Entry!$B372,"نامعتبر")))</f>
        <v/>
      </c>
      <c r="F369" t="str">
        <f>IF(Entry!$B372="","",IF(Entry!$C372="","0000",IF(AND(ISNUMBER(Entry!$C372),Entry!$C372&gt;=0,Entry!$C372&lt;1),RIGHT("00"&amp;HOUR(Entry!$C372),2)&amp;RIGHT("00"&amp;MINUTE(Entry!$C372),2),IFERROR(RIGHT("00"&amp;VALUE(LEFT(Entry!$C372,FIND(":",Entry!$C372)-1)),2)&amp;RIGHT("00"&amp;VALUE(MID(Entry!$C372,FIND(":",Entry!$C372)+1,2)),2),"0000"))))</f>
        <v/>
      </c>
      <c r="G369" t="str">
        <f>IF($A369="","",Entry!$G372)</f>
        <v/>
      </c>
      <c r="H369" t="str">
        <f>IF($A369="","",IF(Entry!$H372="",0,Entry!$H372))</f>
        <v/>
      </c>
      <c r="I369" t="str">
        <f>IF($A369="","",IF(Entry!$I372="",0,Entry!$I372))</f>
        <v/>
      </c>
      <c r="J369" t="str">
        <f t="shared" si="37"/>
        <v/>
      </c>
      <c r="K369" t="str">
        <f>IF($A369="","",Entry!$D372)</f>
        <v/>
      </c>
      <c r="L369" t="str">
        <f>IF($A369="","",Entry!$L372)</f>
        <v/>
      </c>
      <c r="N369" t="str">
        <f>IF(OR(Sync!$M369="",$Q369="",$Q369="نامعتبر"),"",Sync!$M369)</f>
        <v/>
      </c>
      <c r="O369" t="str">
        <f t="shared" si="38"/>
        <v/>
      </c>
      <c r="P369" t="str">
        <f>IF($N369="","",LEFT($Q369,4)&amp;MID($Q369,6,2)&amp;RIGHT($Q369,2)&amp;IF(Sync!$K369="","0000",IF(AND(ISNUMBER(Sync!$K369),Sync!$K369&gt;=0,Sync!$K369&lt;1),RIGHT("00"&amp;HOUR(Sync!$K369),2)&amp;RIGHT("00"&amp;MINUTE(Sync!$K369),2),IFERROR(RIGHT("00"&amp;VALUE(LEFT(Sync!$K369,FIND(":",Sync!$K369)-1)),2)&amp;RIGHT("00"&amp;VALUE(MID(Sync!$K369,FIND(":",Sync!$K369)+1,2)),2),"0000")))&amp;"|"&amp;"2"&amp;RIGHT("00000"&amp;364,5))</f>
        <v/>
      </c>
      <c r="Q369" t="str">
        <f>IF(Sync!$J369="","",IF(ISNUMBER(Sync!$J369),IF(AND(Sync!$J369&gt;=10000101,Sync!$J369&lt;=99991231),INT(Sync!$J369/10000)&amp;"/"&amp;RIGHT("00"&amp;INT(MOD(Sync!$J369,10000)/100),2)&amp;"/"&amp;RIGHT("00"&amp;MOD(Sync!$J369,100),2),"نامعتبر"),IF(LEN(Sync!$J369)=10,Sync!$J369,"نامعتبر")))</f>
        <v/>
      </c>
      <c r="R369" t="str">
        <f t="shared" si="39"/>
        <v/>
      </c>
      <c r="S369" t="str">
        <f t="shared" si="40"/>
        <v/>
      </c>
      <c r="T369" t="str">
        <f>IF($N369="","",IF(Sync!$N369="",0,Sync!$N369))</f>
        <v/>
      </c>
      <c r="U369" t="str">
        <f>IF($N369="","",IF(Sync!$O369="",0,Sync!$O369))</f>
        <v/>
      </c>
      <c r="V369" t="str">
        <f>IF($N369="","",Sync!$L369)</f>
        <v/>
      </c>
      <c r="W369" t="str">
        <f>IF($N369="","",Sync!$P369)</f>
        <v/>
      </c>
      <c r="AA369" t="str">
        <f>IF($A369="","",IF(COUNTIF($A$6:$A369,$A369)=1,1,0))</f>
        <v/>
      </c>
      <c r="AB369">
        <f>SUM($AA$6:$AA369)</f>
        <v>3</v>
      </c>
      <c r="AC369" t="str">
        <f t="shared" si="41"/>
        <v/>
      </c>
    </row>
    <row r="370" spans="1:29" x14ac:dyDescent="0.2">
      <c r="A370" t="str">
        <f>IF(OR(Entry!$B373="",Entry!$E373="",$E370="نامعتبر"),"",Entry!$E373)</f>
        <v/>
      </c>
      <c r="B370" t="str">
        <f>IF($A370="","",LEFT($E370,4)&amp;MID($E370,6,2)&amp;RIGHT($E370,2)&amp;$F370&amp;"|"&amp;"1"&amp;RIGHT("00000"&amp;365,5))</f>
        <v/>
      </c>
      <c r="C370" t="str">
        <f t="shared" si="35"/>
        <v/>
      </c>
      <c r="D370" t="str">
        <f t="shared" si="36"/>
        <v/>
      </c>
      <c r="E370" t="str">
        <f>IF(Entry!$B373="","",IF(ISNUMBER(Entry!$B373),IF(AND(Entry!$B373&gt;=10000101,Entry!$B373&lt;=99991231),INT(Entry!$B373/10000)&amp;"/"&amp;RIGHT("00"&amp;INT(MOD(Entry!$B373,10000)/100),2)&amp;"/"&amp;RIGHT("00"&amp;MOD(Entry!$B373,100),2),"نامعتبر"),IF(LEN(Entry!$B373)=10,Entry!$B373,"نامعتبر")))</f>
        <v/>
      </c>
      <c r="F370" t="str">
        <f>IF(Entry!$B373="","",IF(Entry!$C373="","0000",IF(AND(ISNUMBER(Entry!$C373),Entry!$C373&gt;=0,Entry!$C373&lt;1),RIGHT("00"&amp;HOUR(Entry!$C373),2)&amp;RIGHT("00"&amp;MINUTE(Entry!$C373),2),IFERROR(RIGHT("00"&amp;VALUE(LEFT(Entry!$C373,FIND(":",Entry!$C373)-1)),2)&amp;RIGHT("00"&amp;VALUE(MID(Entry!$C373,FIND(":",Entry!$C373)+1,2)),2),"0000"))))</f>
        <v/>
      </c>
      <c r="G370" t="str">
        <f>IF($A370="","",Entry!$G373)</f>
        <v/>
      </c>
      <c r="H370" t="str">
        <f>IF($A370="","",IF(Entry!$H373="",0,Entry!$H373))</f>
        <v/>
      </c>
      <c r="I370" t="str">
        <f>IF($A370="","",IF(Entry!$I373="",0,Entry!$I373))</f>
        <v/>
      </c>
      <c r="J370" t="str">
        <f t="shared" si="37"/>
        <v/>
      </c>
      <c r="K370" t="str">
        <f>IF($A370="","",Entry!$D373)</f>
        <v/>
      </c>
      <c r="L370" t="str">
        <f>IF($A370="","",Entry!$L373)</f>
        <v/>
      </c>
      <c r="N370" t="str">
        <f>IF(OR(Sync!$M370="",$Q370="",$Q370="نامعتبر"),"",Sync!$M370)</f>
        <v/>
      </c>
      <c r="O370" t="str">
        <f t="shared" si="38"/>
        <v/>
      </c>
      <c r="P370" t="str">
        <f>IF($N370="","",LEFT($Q370,4)&amp;MID($Q370,6,2)&amp;RIGHT($Q370,2)&amp;IF(Sync!$K370="","0000",IF(AND(ISNUMBER(Sync!$K370),Sync!$K370&gt;=0,Sync!$K370&lt;1),RIGHT("00"&amp;HOUR(Sync!$K370),2)&amp;RIGHT("00"&amp;MINUTE(Sync!$K370),2),IFERROR(RIGHT("00"&amp;VALUE(LEFT(Sync!$K370,FIND(":",Sync!$K370)-1)),2)&amp;RIGHT("00"&amp;VALUE(MID(Sync!$K370,FIND(":",Sync!$K370)+1,2)),2),"0000")))&amp;"|"&amp;"2"&amp;RIGHT("00000"&amp;365,5))</f>
        <v/>
      </c>
      <c r="Q370" t="str">
        <f>IF(Sync!$J370="","",IF(ISNUMBER(Sync!$J370),IF(AND(Sync!$J370&gt;=10000101,Sync!$J370&lt;=99991231),INT(Sync!$J370/10000)&amp;"/"&amp;RIGHT("00"&amp;INT(MOD(Sync!$J370,10000)/100),2)&amp;"/"&amp;RIGHT("00"&amp;MOD(Sync!$J370,100),2),"نامعتبر"),IF(LEN(Sync!$J370)=10,Sync!$J370,"نامعتبر")))</f>
        <v/>
      </c>
      <c r="R370" t="str">
        <f t="shared" si="39"/>
        <v/>
      </c>
      <c r="S370" t="str">
        <f t="shared" si="40"/>
        <v/>
      </c>
      <c r="T370" t="str">
        <f>IF($N370="","",IF(Sync!$N370="",0,Sync!$N370))</f>
        <v/>
      </c>
      <c r="U370" t="str">
        <f>IF($N370="","",IF(Sync!$O370="",0,Sync!$O370))</f>
        <v/>
      </c>
      <c r="V370" t="str">
        <f>IF($N370="","",Sync!$L370)</f>
        <v/>
      </c>
      <c r="W370" t="str">
        <f>IF($N370="","",Sync!$P370)</f>
        <v/>
      </c>
      <c r="AA370" t="str">
        <f>IF($A370="","",IF(COUNTIF($A$6:$A370,$A370)=1,1,0))</f>
        <v/>
      </c>
      <c r="AB370">
        <f>SUM($AA$6:$AA370)</f>
        <v>3</v>
      </c>
      <c r="AC370" t="str">
        <f t="shared" si="41"/>
        <v/>
      </c>
    </row>
    <row r="371" spans="1:29" x14ac:dyDescent="0.2">
      <c r="A371" t="str">
        <f>IF(OR(Entry!$B374="",Entry!$E374="",$E371="نامعتبر"),"",Entry!$E374)</f>
        <v/>
      </c>
      <c r="B371" t="str">
        <f>IF($A371="","",LEFT($E371,4)&amp;MID($E371,6,2)&amp;RIGHT($E371,2)&amp;$F371&amp;"|"&amp;"1"&amp;RIGHT("00000"&amp;366,5))</f>
        <v/>
      </c>
      <c r="C371" t="str">
        <f t="shared" si="35"/>
        <v/>
      </c>
      <c r="D371" t="str">
        <f t="shared" si="36"/>
        <v/>
      </c>
      <c r="E371" t="str">
        <f>IF(Entry!$B374="","",IF(ISNUMBER(Entry!$B374),IF(AND(Entry!$B374&gt;=10000101,Entry!$B374&lt;=99991231),INT(Entry!$B374/10000)&amp;"/"&amp;RIGHT("00"&amp;INT(MOD(Entry!$B374,10000)/100),2)&amp;"/"&amp;RIGHT("00"&amp;MOD(Entry!$B374,100),2),"نامعتبر"),IF(LEN(Entry!$B374)=10,Entry!$B374,"نامعتبر")))</f>
        <v/>
      </c>
      <c r="F371" t="str">
        <f>IF(Entry!$B374="","",IF(Entry!$C374="","0000",IF(AND(ISNUMBER(Entry!$C374),Entry!$C374&gt;=0,Entry!$C374&lt;1),RIGHT("00"&amp;HOUR(Entry!$C374),2)&amp;RIGHT("00"&amp;MINUTE(Entry!$C374),2),IFERROR(RIGHT("00"&amp;VALUE(LEFT(Entry!$C374,FIND(":",Entry!$C374)-1)),2)&amp;RIGHT("00"&amp;VALUE(MID(Entry!$C374,FIND(":",Entry!$C374)+1,2)),2),"0000"))))</f>
        <v/>
      </c>
      <c r="G371" t="str">
        <f>IF($A371="","",Entry!$G374)</f>
        <v/>
      </c>
      <c r="H371" t="str">
        <f>IF($A371="","",IF(Entry!$H374="",0,Entry!$H374))</f>
        <v/>
      </c>
      <c r="I371" t="str">
        <f>IF($A371="","",IF(Entry!$I374="",0,Entry!$I374))</f>
        <v/>
      </c>
      <c r="J371" t="str">
        <f t="shared" si="37"/>
        <v/>
      </c>
      <c r="K371" t="str">
        <f>IF($A371="","",Entry!$D374)</f>
        <v/>
      </c>
      <c r="L371" t="str">
        <f>IF($A371="","",Entry!$L374)</f>
        <v/>
      </c>
      <c r="N371" t="str">
        <f>IF(OR(Sync!$M371="",$Q371="",$Q371="نامعتبر"),"",Sync!$M371)</f>
        <v/>
      </c>
      <c r="O371" t="str">
        <f t="shared" si="38"/>
        <v/>
      </c>
      <c r="P371" t="str">
        <f>IF($N371="","",LEFT($Q371,4)&amp;MID($Q371,6,2)&amp;RIGHT($Q371,2)&amp;IF(Sync!$K371="","0000",IF(AND(ISNUMBER(Sync!$K371),Sync!$K371&gt;=0,Sync!$K371&lt;1),RIGHT("00"&amp;HOUR(Sync!$K371),2)&amp;RIGHT("00"&amp;MINUTE(Sync!$K371),2),IFERROR(RIGHT("00"&amp;VALUE(LEFT(Sync!$K371,FIND(":",Sync!$K371)-1)),2)&amp;RIGHT("00"&amp;VALUE(MID(Sync!$K371,FIND(":",Sync!$K371)+1,2)),2),"0000")))&amp;"|"&amp;"2"&amp;RIGHT("00000"&amp;366,5))</f>
        <v/>
      </c>
      <c r="Q371" t="str">
        <f>IF(Sync!$J371="","",IF(ISNUMBER(Sync!$J371),IF(AND(Sync!$J371&gt;=10000101,Sync!$J371&lt;=99991231),INT(Sync!$J371/10000)&amp;"/"&amp;RIGHT("00"&amp;INT(MOD(Sync!$J371,10000)/100),2)&amp;"/"&amp;RIGHT("00"&amp;MOD(Sync!$J371,100),2),"نامعتبر"),IF(LEN(Sync!$J371)=10,Sync!$J371,"نامعتبر")))</f>
        <v/>
      </c>
      <c r="R371" t="str">
        <f t="shared" si="39"/>
        <v/>
      </c>
      <c r="S371" t="str">
        <f t="shared" si="40"/>
        <v/>
      </c>
      <c r="T371" t="str">
        <f>IF($N371="","",IF(Sync!$N371="",0,Sync!$N371))</f>
        <v/>
      </c>
      <c r="U371" t="str">
        <f>IF($N371="","",IF(Sync!$O371="",0,Sync!$O371))</f>
        <v/>
      </c>
      <c r="V371" t="str">
        <f>IF($N371="","",Sync!$L371)</f>
        <v/>
      </c>
      <c r="W371" t="str">
        <f>IF($N371="","",Sync!$P371)</f>
        <v/>
      </c>
      <c r="AA371" t="str">
        <f>IF($A371="","",IF(COUNTIF($A$6:$A371,$A371)=1,1,0))</f>
        <v/>
      </c>
      <c r="AB371">
        <f>SUM($AA$6:$AA371)</f>
        <v>3</v>
      </c>
      <c r="AC371" t="str">
        <f t="shared" si="41"/>
        <v/>
      </c>
    </row>
    <row r="372" spans="1:29" x14ac:dyDescent="0.2">
      <c r="A372" t="str">
        <f>IF(OR(Entry!$B375="",Entry!$E375="",$E372="نامعتبر"),"",Entry!$E375)</f>
        <v/>
      </c>
      <c r="B372" t="str">
        <f>IF($A372="","",LEFT($E372,4)&amp;MID($E372,6,2)&amp;RIGHT($E372,2)&amp;$F372&amp;"|"&amp;"1"&amp;RIGHT("00000"&amp;367,5))</f>
        <v/>
      </c>
      <c r="C372" t="str">
        <f t="shared" si="35"/>
        <v/>
      </c>
      <c r="D372" t="str">
        <f t="shared" si="36"/>
        <v/>
      </c>
      <c r="E372" t="str">
        <f>IF(Entry!$B375="","",IF(ISNUMBER(Entry!$B375),IF(AND(Entry!$B375&gt;=10000101,Entry!$B375&lt;=99991231),INT(Entry!$B375/10000)&amp;"/"&amp;RIGHT("00"&amp;INT(MOD(Entry!$B375,10000)/100),2)&amp;"/"&amp;RIGHT("00"&amp;MOD(Entry!$B375,100),2),"نامعتبر"),IF(LEN(Entry!$B375)=10,Entry!$B375,"نامعتبر")))</f>
        <v/>
      </c>
      <c r="F372" t="str">
        <f>IF(Entry!$B375="","",IF(Entry!$C375="","0000",IF(AND(ISNUMBER(Entry!$C375),Entry!$C375&gt;=0,Entry!$C375&lt;1),RIGHT("00"&amp;HOUR(Entry!$C375),2)&amp;RIGHT("00"&amp;MINUTE(Entry!$C375),2),IFERROR(RIGHT("00"&amp;VALUE(LEFT(Entry!$C375,FIND(":",Entry!$C375)-1)),2)&amp;RIGHT("00"&amp;VALUE(MID(Entry!$C375,FIND(":",Entry!$C375)+1,2)),2),"0000"))))</f>
        <v/>
      </c>
      <c r="G372" t="str">
        <f>IF($A372="","",Entry!$G375)</f>
        <v/>
      </c>
      <c r="H372" t="str">
        <f>IF($A372="","",IF(Entry!$H375="",0,Entry!$H375))</f>
        <v/>
      </c>
      <c r="I372" t="str">
        <f>IF($A372="","",IF(Entry!$I375="",0,Entry!$I375))</f>
        <v/>
      </c>
      <c r="J372" t="str">
        <f t="shared" si="37"/>
        <v/>
      </c>
      <c r="K372" t="str">
        <f>IF($A372="","",Entry!$D375)</f>
        <v/>
      </c>
      <c r="L372" t="str">
        <f>IF($A372="","",Entry!$L375)</f>
        <v/>
      </c>
      <c r="N372" t="str">
        <f>IF(OR(Sync!$M372="",$Q372="",$Q372="نامعتبر"),"",Sync!$M372)</f>
        <v/>
      </c>
      <c r="O372" t="str">
        <f t="shared" si="38"/>
        <v/>
      </c>
      <c r="P372" t="str">
        <f>IF($N372="","",LEFT($Q372,4)&amp;MID($Q372,6,2)&amp;RIGHT($Q372,2)&amp;IF(Sync!$K372="","0000",IF(AND(ISNUMBER(Sync!$K372),Sync!$K372&gt;=0,Sync!$K372&lt;1),RIGHT("00"&amp;HOUR(Sync!$K372),2)&amp;RIGHT("00"&amp;MINUTE(Sync!$K372),2),IFERROR(RIGHT("00"&amp;VALUE(LEFT(Sync!$K372,FIND(":",Sync!$K372)-1)),2)&amp;RIGHT("00"&amp;VALUE(MID(Sync!$K372,FIND(":",Sync!$K372)+1,2)),2),"0000")))&amp;"|"&amp;"2"&amp;RIGHT("00000"&amp;367,5))</f>
        <v/>
      </c>
      <c r="Q372" t="str">
        <f>IF(Sync!$J372="","",IF(ISNUMBER(Sync!$J372),IF(AND(Sync!$J372&gt;=10000101,Sync!$J372&lt;=99991231),INT(Sync!$J372/10000)&amp;"/"&amp;RIGHT("00"&amp;INT(MOD(Sync!$J372,10000)/100),2)&amp;"/"&amp;RIGHT("00"&amp;MOD(Sync!$J372,100),2),"نامعتبر"),IF(LEN(Sync!$J372)=10,Sync!$J372,"نامعتبر")))</f>
        <v/>
      </c>
      <c r="R372" t="str">
        <f t="shared" si="39"/>
        <v/>
      </c>
      <c r="S372" t="str">
        <f t="shared" si="40"/>
        <v/>
      </c>
      <c r="T372" t="str">
        <f>IF($N372="","",IF(Sync!$N372="",0,Sync!$N372))</f>
        <v/>
      </c>
      <c r="U372" t="str">
        <f>IF($N372="","",IF(Sync!$O372="",0,Sync!$O372))</f>
        <v/>
      </c>
      <c r="V372" t="str">
        <f>IF($N372="","",Sync!$L372)</f>
        <v/>
      </c>
      <c r="W372" t="str">
        <f>IF($N372="","",Sync!$P372)</f>
        <v/>
      </c>
      <c r="AA372" t="str">
        <f>IF($A372="","",IF(COUNTIF($A$6:$A372,$A372)=1,1,0))</f>
        <v/>
      </c>
      <c r="AB372">
        <f>SUM($AA$6:$AA372)</f>
        <v>3</v>
      </c>
      <c r="AC372" t="str">
        <f t="shared" si="41"/>
        <v/>
      </c>
    </row>
    <row r="373" spans="1:29" x14ac:dyDescent="0.2">
      <c r="A373" t="str">
        <f>IF(OR(Entry!$B376="",Entry!$E376="",$E373="نامعتبر"),"",Entry!$E376)</f>
        <v/>
      </c>
      <c r="B373" t="str">
        <f>IF($A373="","",LEFT($E373,4)&amp;MID($E373,6,2)&amp;RIGHT($E373,2)&amp;$F373&amp;"|"&amp;"1"&amp;RIGHT("00000"&amp;368,5))</f>
        <v/>
      </c>
      <c r="C373" t="str">
        <f t="shared" si="35"/>
        <v/>
      </c>
      <c r="D373" t="str">
        <f t="shared" si="36"/>
        <v/>
      </c>
      <c r="E373" t="str">
        <f>IF(Entry!$B376="","",IF(ISNUMBER(Entry!$B376),IF(AND(Entry!$B376&gt;=10000101,Entry!$B376&lt;=99991231),INT(Entry!$B376/10000)&amp;"/"&amp;RIGHT("00"&amp;INT(MOD(Entry!$B376,10000)/100),2)&amp;"/"&amp;RIGHT("00"&amp;MOD(Entry!$B376,100),2),"نامعتبر"),IF(LEN(Entry!$B376)=10,Entry!$B376,"نامعتبر")))</f>
        <v/>
      </c>
      <c r="F373" t="str">
        <f>IF(Entry!$B376="","",IF(Entry!$C376="","0000",IF(AND(ISNUMBER(Entry!$C376),Entry!$C376&gt;=0,Entry!$C376&lt;1),RIGHT("00"&amp;HOUR(Entry!$C376),2)&amp;RIGHT("00"&amp;MINUTE(Entry!$C376),2),IFERROR(RIGHT("00"&amp;VALUE(LEFT(Entry!$C376,FIND(":",Entry!$C376)-1)),2)&amp;RIGHT("00"&amp;VALUE(MID(Entry!$C376,FIND(":",Entry!$C376)+1,2)),2),"0000"))))</f>
        <v/>
      </c>
      <c r="G373" t="str">
        <f>IF($A373="","",Entry!$G376)</f>
        <v/>
      </c>
      <c r="H373" t="str">
        <f>IF($A373="","",IF(Entry!$H376="",0,Entry!$H376))</f>
        <v/>
      </c>
      <c r="I373" t="str">
        <f>IF($A373="","",IF(Entry!$I376="",0,Entry!$I376))</f>
        <v/>
      </c>
      <c r="J373" t="str">
        <f t="shared" si="37"/>
        <v/>
      </c>
      <c r="K373" t="str">
        <f>IF($A373="","",Entry!$D376)</f>
        <v/>
      </c>
      <c r="L373" t="str">
        <f>IF($A373="","",Entry!$L376)</f>
        <v/>
      </c>
      <c r="N373" t="str">
        <f>IF(OR(Sync!$M373="",$Q373="",$Q373="نامعتبر"),"",Sync!$M373)</f>
        <v/>
      </c>
      <c r="O373" t="str">
        <f t="shared" si="38"/>
        <v/>
      </c>
      <c r="P373" t="str">
        <f>IF($N373="","",LEFT($Q373,4)&amp;MID($Q373,6,2)&amp;RIGHT($Q373,2)&amp;IF(Sync!$K373="","0000",IF(AND(ISNUMBER(Sync!$K373),Sync!$K373&gt;=0,Sync!$K373&lt;1),RIGHT("00"&amp;HOUR(Sync!$K373),2)&amp;RIGHT("00"&amp;MINUTE(Sync!$K373),2),IFERROR(RIGHT("00"&amp;VALUE(LEFT(Sync!$K373,FIND(":",Sync!$K373)-1)),2)&amp;RIGHT("00"&amp;VALUE(MID(Sync!$K373,FIND(":",Sync!$K373)+1,2)),2),"0000")))&amp;"|"&amp;"2"&amp;RIGHT("00000"&amp;368,5))</f>
        <v/>
      </c>
      <c r="Q373" t="str">
        <f>IF(Sync!$J373="","",IF(ISNUMBER(Sync!$J373),IF(AND(Sync!$J373&gt;=10000101,Sync!$J373&lt;=99991231),INT(Sync!$J373/10000)&amp;"/"&amp;RIGHT("00"&amp;INT(MOD(Sync!$J373,10000)/100),2)&amp;"/"&amp;RIGHT("00"&amp;MOD(Sync!$J373,100),2),"نامعتبر"),IF(LEN(Sync!$J373)=10,Sync!$J373,"نامعتبر")))</f>
        <v/>
      </c>
      <c r="R373" t="str">
        <f t="shared" si="39"/>
        <v/>
      </c>
      <c r="S373" t="str">
        <f t="shared" si="40"/>
        <v/>
      </c>
      <c r="T373" t="str">
        <f>IF($N373="","",IF(Sync!$N373="",0,Sync!$N373))</f>
        <v/>
      </c>
      <c r="U373" t="str">
        <f>IF($N373="","",IF(Sync!$O373="",0,Sync!$O373))</f>
        <v/>
      </c>
      <c r="V373" t="str">
        <f>IF($N373="","",Sync!$L373)</f>
        <v/>
      </c>
      <c r="W373" t="str">
        <f>IF($N373="","",Sync!$P373)</f>
        <v/>
      </c>
      <c r="AA373" t="str">
        <f>IF($A373="","",IF(COUNTIF($A$6:$A373,$A373)=1,1,0))</f>
        <v/>
      </c>
      <c r="AB373">
        <f>SUM($AA$6:$AA373)</f>
        <v>3</v>
      </c>
      <c r="AC373" t="str">
        <f t="shared" si="41"/>
        <v/>
      </c>
    </row>
    <row r="374" spans="1:29" x14ac:dyDescent="0.2">
      <c r="A374" t="str">
        <f>IF(OR(Entry!$B377="",Entry!$E377="",$E374="نامعتبر"),"",Entry!$E377)</f>
        <v/>
      </c>
      <c r="B374" t="str">
        <f>IF($A374="","",LEFT($E374,4)&amp;MID($E374,6,2)&amp;RIGHT($E374,2)&amp;$F374&amp;"|"&amp;"1"&amp;RIGHT("00000"&amp;369,5))</f>
        <v/>
      </c>
      <c r="C374" t="str">
        <f t="shared" si="35"/>
        <v/>
      </c>
      <c r="D374" t="str">
        <f t="shared" si="36"/>
        <v/>
      </c>
      <c r="E374" t="str">
        <f>IF(Entry!$B377="","",IF(ISNUMBER(Entry!$B377),IF(AND(Entry!$B377&gt;=10000101,Entry!$B377&lt;=99991231),INT(Entry!$B377/10000)&amp;"/"&amp;RIGHT("00"&amp;INT(MOD(Entry!$B377,10000)/100),2)&amp;"/"&amp;RIGHT("00"&amp;MOD(Entry!$B377,100),2),"نامعتبر"),IF(LEN(Entry!$B377)=10,Entry!$B377,"نامعتبر")))</f>
        <v/>
      </c>
      <c r="F374" t="str">
        <f>IF(Entry!$B377="","",IF(Entry!$C377="","0000",IF(AND(ISNUMBER(Entry!$C377),Entry!$C377&gt;=0,Entry!$C377&lt;1),RIGHT("00"&amp;HOUR(Entry!$C377),2)&amp;RIGHT("00"&amp;MINUTE(Entry!$C377),2),IFERROR(RIGHT("00"&amp;VALUE(LEFT(Entry!$C377,FIND(":",Entry!$C377)-1)),2)&amp;RIGHT("00"&amp;VALUE(MID(Entry!$C377,FIND(":",Entry!$C377)+1,2)),2),"0000"))))</f>
        <v/>
      </c>
      <c r="G374" t="str">
        <f>IF($A374="","",Entry!$G377)</f>
        <v/>
      </c>
      <c r="H374" t="str">
        <f>IF($A374="","",IF(Entry!$H377="",0,Entry!$H377))</f>
        <v/>
      </c>
      <c r="I374" t="str">
        <f>IF($A374="","",IF(Entry!$I377="",0,Entry!$I377))</f>
        <v/>
      </c>
      <c r="J374" t="str">
        <f t="shared" si="37"/>
        <v/>
      </c>
      <c r="K374" t="str">
        <f>IF($A374="","",Entry!$D377)</f>
        <v/>
      </c>
      <c r="L374" t="str">
        <f>IF($A374="","",Entry!$L377)</f>
        <v/>
      </c>
      <c r="N374" t="str">
        <f>IF(OR(Sync!$M374="",$Q374="",$Q374="نامعتبر"),"",Sync!$M374)</f>
        <v/>
      </c>
      <c r="O374" t="str">
        <f t="shared" si="38"/>
        <v/>
      </c>
      <c r="P374" t="str">
        <f>IF($N374="","",LEFT($Q374,4)&amp;MID($Q374,6,2)&amp;RIGHT($Q374,2)&amp;IF(Sync!$K374="","0000",IF(AND(ISNUMBER(Sync!$K374),Sync!$K374&gt;=0,Sync!$K374&lt;1),RIGHT("00"&amp;HOUR(Sync!$K374),2)&amp;RIGHT("00"&amp;MINUTE(Sync!$K374),2),IFERROR(RIGHT("00"&amp;VALUE(LEFT(Sync!$K374,FIND(":",Sync!$K374)-1)),2)&amp;RIGHT("00"&amp;VALUE(MID(Sync!$K374,FIND(":",Sync!$K374)+1,2)),2),"0000")))&amp;"|"&amp;"2"&amp;RIGHT("00000"&amp;369,5))</f>
        <v/>
      </c>
      <c r="Q374" t="str">
        <f>IF(Sync!$J374="","",IF(ISNUMBER(Sync!$J374),IF(AND(Sync!$J374&gt;=10000101,Sync!$J374&lt;=99991231),INT(Sync!$J374/10000)&amp;"/"&amp;RIGHT("00"&amp;INT(MOD(Sync!$J374,10000)/100),2)&amp;"/"&amp;RIGHT("00"&amp;MOD(Sync!$J374,100),2),"نامعتبر"),IF(LEN(Sync!$J374)=10,Sync!$J374,"نامعتبر")))</f>
        <v/>
      </c>
      <c r="R374" t="str">
        <f t="shared" si="39"/>
        <v/>
      </c>
      <c r="S374" t="str">
        <f t="shared" si="40"/>
        <v/>
      </c>
      <c r="T374" t="str">
        <f>IF($N374="","",IF(Sync!$N374="",0,Sync!$N374))</f>
        <v/>
      </c>
      <c r="U374" t="str">
        <f>IF($N374="","",IF(Sync!$O374="",0,Sync!$O374))</f>
        <v/>
      </c>
      <c r="V374" t="str">
        <f>IF($N374="","",Sync!$L374)</f>
        <v/>
      </c>
      <c r="W374" t="str">
        <f>IF($N374="","",Sync!$P374)</f>
        <v/>
      </c>
      <c r="AA374" t="str">
        <f>IF($A374="","",IF(COUNTIF($A$6:$A374,$A374)=1,1,0))</f>
        <v/>
      </c>
      <c r="AB374">
        <f>SUM($AA$6:$AA374)</f>
        <v>3</v>
      </c>
      <c r="AC374" t="str">
        <f t="shared" si="41"/>
        <v/>
      </c>
    </row>
    <row r="375" spans="1:29" x14ac:dyDescent="0.2">
      <c r="A375" t="str">
        <f>IF(OR(Entry!$B378="",Entry!$E378="",$E375="نامعتبر"),"",Entry!$E378)</f>
        <v/>
      </c>
      <c r="B375" t="str">
        <f>IF($A375="","",LEFT($E375,4)&amp;MID($E375,6,2)&amp;RIGHT($E375,2)&amp;$F375&amp;"|"&amp;"1"&amp;RIGHT("00000"&amp;370,5))</f>
        <v/>
      </c>
      <c r="C375" t="str">
        <f t="shared" si="35"/>
        <v/>
      </c>
      <c r="D375" t="str">
        <f t="shared" si="36"/>
        <v/>
      </c>
      <c r="E375" t="str">
        <f>IF(Entry!$B378="","",IF(ISNUMBER(Entry!$B378),IF(AND(Entry!$B378&gt;=10000101,Entry!$B378&lt;=99991231),INT(Entry!$B378/10000)&amp;"/"&amp;RIGHT("00"&amp;INT(MOD(Entry!$B378,10000)/100),2)&amp;"/"&amp;RIGHT("00"&amp;MOD(Entry!$B378,100),2),"نامعتبر"),IF(LEN(Entry!$B378)=10,Entry!$B378,"نامعتبر")))</f>
        <v/>
      </c>
      <c r="F375" t="str">
        <f>IF(Entry!$B378="","",IF(Entry!$C378="","0000",IF(AND(ISNUMBER(Entry!$C378),Entry!$C378&gt;=0,Entry!$C378&lt;1),RIGHT("00"&amp;HOUR(Entry!$C378),2)&amp;RIGHT("00"&amp;MINUTE(Entry!$C378),2),IFERROR(RIGHT("00"&amp;VALUE(LEFT(Entry!$C378,FIND(":",Entry!$C378)-1)),2)&amp;RIGHT("00"&amp;VALUE(MID(Entry!$C378,FIND(":",Entry!$C378)+1,2)),2),"0000"))))</f>
        <v/>
      </c>
      <c r="G375" t="str">
        <f>IF($A375="","",Entry!$G378)</f>
        <v/>
      </c>
      <c r="H375" t="str">
        <f>IF($A375="","",IF(Entry!$H378="",0,Entry!$H378))</f>
        <v/>
      </c>
      <c r="I375" t="str">
        <f>IF($A375="","",IF(Entry!$I378="",0,Entry!$I378))</f>
        <v/>
      </c>
      <c r="J375" t="str">
        <f t="shared" si="37"/>
        <v/>
      </c>
      <c r="K375" t="str">
        <f>IF($A375="","",Entry!$D378)</f>
        <v/>
      </c>
      <c r="L375" t="str">
        <f>IF($A375="","",Entry!$L378)</f>
        <v/>
      </c>
      <c r="N375" t="str">
        <f>IF(OR(Sync!$M375="",$Q375="",$Q375="نامعتبر"),"",Sync!$M375)</f>
        <v/>
      </c>
      <c r="O375" t="str">
        <f t="shared" si="38"/>
        <v/>
      </c>
      <c r="P375" t="str">
        <f>IF($N375="","",LEFT($Q375,4)&amp;MID($Q375,6,2)&amp;RIGHT($Q375,2)&amp;IF(Sync!$K375="","0000",IF(AND(ISNUMBER(Sync!$K375),Sync!$K375&gt;=0,Sync!$K375&lt;1),RIGHT("00"&amp;HOUR(Sync!$K375),2)&amp;RIGHT("00"&amp;MINUTE(Sync!$K375),2),IFERROR(RIGHT("00"&amp;VALUE(LEFT(Sync!$K375,FIND(":",Sync!$K375)-1)),2)&amp;RIGHT("00"&amp;VALUE(MID(Sync!$K375,FIND(":",Sync!$K375)+1,2)),2),"0000")))&amp;"|"&amp;"2"&amp;RIGHT("00000"&amp;370,5))</f>
        <v/>
      </c>
      <c r="Q375" t="str">
        <f>IF(Sync!$J375="","",IF(ISNUMBER(Sync!$J375),IF(AND(Sync!$J375&gt;=10000101,Sync!$J375&lt;=99991231),INT(Sync!$J375/10000)&amp;"/"&amp;RIGHT("00"&amp;INT(MOD(Sync!$J375,10000)/100),2)&amp;"/"&amp;RIGHT("00"&amp;MOD(Sync!$J375,100),2),"نامعتبر"),IF(LEN(Sync!$J375)=10,Sync!$J375,"نامعتبر")))</f>
        <v/>
      </c>
      <c r="R375" t="str">
        <f t="shared" si="39"/>
        <v/>
      </c>
      <c r="S375" t="str">
        <f t="shared" si="40"/>
        <v/>
      </c>
      <c r="T375" t="str">
        <f>IF($N375="","",IF(Sync!$N375="",0,Sync!$N375))</f>
        <v/>
      </c>
      <c r="U375" t="str">
        <f>IF($N375="","",IF(Sync!$O375="",0,Sync!$O375))</f>
        <v/>
      </c>
      <c r="V375" t="str">
        <f>IF($N375="","",Sync!$L375)</f>
        <v/>
      </c>
      <c r="W375" t="str">
        <f>IF($N375="","",Sync!$P375)</f>
        <v/>
      </c>
      <c r="AA375" t="str">
        <f>IF($A375="","",IF(COUNTIF($A$6:$A375,$A375)=1,1,0))</f>
        <v/>
      </c>
      <c r="AB375">
        <f>SUM($AA$6:$AA375)</f>
        <v>3</v>
      </c>
      <c r="AC375" t="str">
        <f t="shared" si="41"/>
        <v/>
      </c>
    </row>
    <row r="376" spans="1:29" x14ac:dyDescent="0.2">
      <c r="A376" t="str">
        <f>IF(OR(Entry!$B379="",Entry!$E379="",$E376="نامعتبر"),"",Entry!$E379)</f>
        <v/>
      </c>
      <c r="B376" t="str">
        <f>IF($A376="","",LEFT($E376,4)&amp;MID($E376,6,2)&amp;RIGHT($E376,2)&amp;$F376&amp;"|"&amp;"1"&amp;RIGHT("00000"&amp;371,5))</f>
        <v/>
      </c>
      <c r="C376" t="str">
        <f t="shared" si="35"/>
        <v/>
      </c>
      <c r="D376" t="str">
        <f t="shared" si="36"/>
        <v/>
      </c>
      <c r="E376" t="str">
        <f>IF(Entry!$B379="","",IF(ISNUMBER(Entry!$B379),IF(AND(Entry!$B379&gt;=10000101,Entry!$B379&lt;=99991231),INT(Entry!$B379/10000)&amp;"/"&amp;RIGHT("00"&amp;INT(MOD(Entry!$B379,10000)/100),2)&amp;"/"&amp;RIGHT("00"&amp;MOD(Entry!$B379,100),2),"نامعتبر"),IF(LEN(Entry!$B379)=10,Entry!$B379,"نامعتبر")))</f>
        <v/>
      </c>
      <c r="F376" t="str">
        <f>IF(Entry!$B379="","",IF(Entry!$C379="","0000",IF(AND(ISNUMBER(Entry!$C379),Entry!$C379&gt;=0,Entry!$C379&lt;1),RIGHT("00"&amp;HOUR(Entry!$C379),2)&amp;RIGHT("00"&amp;MINUTE(Entry!$C379),2),IFERROR(RIGHT("00"&amp;VALUE(LEFT(Entry!$C379,FIND(":",Entry!$C379)-1)),2)&amp;RIGHT("00"&amp;VALUE(MID(Entry!$C379,FIND(":",Entry!$C379)+1,2)),2),"0000"))))</f>
        <v/>
      </c>
      <c r="G376" t="str">
        <f>IF($A376="","",Entry!$G379)</f>
        <v/>
      </c>
      <c r="H376" t="str">
        <f>IF($A376="","",IF(Entry!$H379="",0,Entry!$H379))</f>
        <v/>
      </c>
      <c r="I376" t="str">
        <f>IF($A376="","",IF(Entry!$I379="",0,Entry!$I379))</f>
        <v/>
      </c>
      <c r="J376" t="str">
        <f t="shared" si="37"/>
        <v/>
      </c>
      <c r="K376" t="str">
        <f>IF($A376="","",Entry!$D379)</f>
        <v/>
      </c>
      <c r="L376" t="str">
        <f>IF($A376="","",Entry!$L379)</f>
        <v/>
      </c>
      <c r="N376" t="str">
        <f>IF(OR(Sync!$M376="",$Q376="",$Q376="نامعتبر"),"",Sync!$M376)</f>
        <v/>
      </c>
      <c r="O376" t="str">
        <f t="shared" si="38"/>
        <v/>
      </c>
      <c r="P376" t="str">
        <f>IF($N376="","",LEFT($Q376,4)&amp;MID($Q376,6,2)&amp;RIGHT($Q376,2)&amp;IF(Sync!$K376="","0000",IF(AND(ISNUMBER(Sync!$K376),Sync!$K376&gt;=0,Sync!$K376&lt;1),RIGHT("00"&amp;HOUR(Sync!$K376),2)&amp;RIGHT("00"&amp;MINUTE(Sync!$K376),2),IFERROR(RIGHT("00"&amp;VALUE(LEFT(Sync!$K376,FIND(":",Sync!$K376)-1)),2)&amp;RIGHT("00"&amp;VALUE(MID(Sync!$K376,FIND(":",Sync!$K376)+1,2)),2),"0000")))&amp;"|"&amp;"2"&amp;RIGHT("00000"&amp;371,5))</f>
        <v/>
      </c>
      <c r="Q376" t="str">
        <f>IF(Sync!$J376="","",IF(ISNUMBER(Sync!$J376),IF(AND(Sync!$J376&gt;=10000101,Sync!$J376&lt;=99991231),INT(Sync!$J376/10000)&amp;"/"&amp;RIGHT("00"&amp;INT(MOD(Sync!$J376,10000)/100),2)&amp;"/"&amp;RIGHT("00"&amp;MOD(Sync!$J376,100),2),"نامعتبر"),IF(LEN(Sync!$J376)=10,Sync!$J376,"نامعتبر")))</f>
        <v/>
      </c>
      <c r="R376" t="str">
        <f t="shared" si="39"/>
        <v/>
      </c>
      <c r="S376" t="str">
        <f t="shared" si="40"/>
        <v/>
      </c>
      <c r="T376" t="str">
        <f>IF($N376="","",IF(Sync!$N376="",0,Sync!$N376))</f>
        <v/>
      </c>
      <c r="U376" t="str">
        <f>IF($N376="","",IF(Sync!$O376="",0,Sync!$O376))</f>
        <v/>
      </c>
      <c r="V376" t="str">
        <f>IF($N376="","",Sync!$L376)</f>
        <v/>
      </c>
      <c r="W376" t="str">
        <f>IF($N376="","",Sync!$P376)</f>
        <v/>
      </c>
      <c r="AA376" t="str">
        <f>IF($A376="","",IF(COUNTIF($A$6:$A376,$A376)=1,1,0))</f>
        <v/>
      </c>
      <c r="AB376">
        <f>SUM($AA$6:$AA376)</f>
        <v>3</v>
      </c>
      <c r="AC376" t="str">
        <f t="shared" si="41"/>
        <v/>
      </c>
    </row>
    <row r="377" spans="1:29" x14ac:dyDescent="0.2">
      <c r="A377" t="str">
        <f>IF(OR(Entry!$B380="",Entry!$E380="",$E377="نامعتبر"),"",Entry!$E380)</f>
        <v/>
      </c>
      <c r="B377" t="str">
        <f>IF($A377="","",LEFT($E377,4)&amp;MID($E377,6,2)&amp;RIGHT($E377,2)&amp;$F377&amp;"|"&amp;"1"&amp;RIGHT("00000"&amp;372,5))</f>
        <v/>
      </c>
      <c r="C377" t="str">
        <f t="shared" si="35"/>
        <v/>
      </c>
      <c r="D377" t="str">
        <f t="shared" si="36"/>
        <v/>
      </c>
      <c r="E377" t="str">
        <f>IF(Entry!$B380="","",IF(ISNUMBER(Entry!$B380),IF(AND(Entry!$B380&gt;=10000101,Entry!$B380&lt;=99991231),INT(Entry!$B380/10000)&amp;"/"&amp;RIGHT("00"&amp;INT(MOD(Entry!$B380,10000)/100),2)&amp;"/"&amp;RIGHT("00"&amp;MOD(Entry!$B380,100),2),"نامعتبر"),IF(LEN(Entry!$B380)=10,Entry!$B380,"نامعتبر")))</f>
        <v/>
      </c>
      <c r="F377" t="str">
        <f>IF(Entry!$B380="","",IF(Entry!$C380="","0000",IF(AND(ISNUMBER(Entry!$C380),Entry!$C380&gt;=0,Entry!$C380&lt;1),RIGHT("00"&amp;HOUR(Entry!$C380),2)&amp;RIGHT("00"&amp;MINUTE(Entry!$C380),2),IFERROR(RIGHT("00"&amp;VALUE(LEFT(Entry!$C380,FIND(":",Entry!$C380)-1)),2)&amp;RIGHT("00"&amp;VALUE(MID(Entry!$C380,FIND(":",Entry!$C380)+1,2)),2),"0000"))))</f>
        <v/>
      </c>
      <c r="G377" t="str">
        <f>IF($A377="","",Entry!$G380)</f>
        <v/>
      </c>
      <c r="H377" t="str">
        <f>IF($A377="","",IF(Entry!$H380="",0,Entry!$H380))</f>
        <v/>
      </c>
      <c r="I377" t="str">
        <f>IF($A377="","",IF(Entry!$I380="",0,Entry!$I380))</f>
        <v/>
      </c>
      <c r="J377" t="str">
        <f t="shared" si="37"/>
        <v/>
      </c>
      <c r="K377" t="str">
        <f>IF($A377="","",Entry!$D380)</f>
        <v/>
      </c>
      <c r="L377" t="str">
        <f>IF($A377="","",Entry!$L380)</f>
        <v/>
      </c>
      <c r="N377" t="str">
        <f>IF(OR(Sync!$M377="",$Q377="",$Q377="نامعتبر"),"",Sync!$M377)</f>
        <v/>
      </c>
      <c r="O377" t="str">
        <f t="shared" si="38"/>
        <v/>
      </c>
      <c r="P377" t="str">
        <f>IF($N377="","",LEFT($Q377,4)&amp;MID($Q377,6,2)&amp;RIGHT($Q377,2)&amp;IF(Sync!$K377="","0000",IF(AND(ISNUMBER(Sync!$K377),Sync!$K377&gt;=0,Sync!$K377&lt;1),RIGHT("00"&amp;HOUR(Sync!$K377),2)&amp;RIGHT("00"&amp;MINUTE(Sync!$K377),2),IFERROR(RIGHT("00"&amp;VALUE(LEFT(Sync!$K377,FIND(":",Sync!$K377)-1)),2)&amp;RIGHT("00"&amp;VALUE(MID(Sync!$K377,FIND(":",Sync!$K377)+1,2)),2),"0000")))&amp;"|"&amp;"2"&amp;RIGHT("00000"&amp;372,5))</f>
        <v/>
      </c>
      <c r="Q377" t="str">
        <f>IF(Sync!$J377="","",IF(ISNUMBER(Sync!$J377),IF(AND(Sync!$J377&gt;=10000101,Sync!$J377&lt;=99991231),INT(Sync!$J377/10000)&amp;"/"&amp;RIGHT("00"&amp;INT(MOD(Sync!$J377,10000)/100),2)&amp;"/"&amp;RIGHT("00"&amp;MOD(Sync!$J377,100),2),"نامعتبر"),IF(LEN(Sync!$J377)=10,Sync!$J377,"نامعتبر")))</f>
        <v/>
      </c>
      <c r="R377" t="str">
        <f t="shared" si="39"/>
        <v/>
      </c>
      <c r="S377" t="str">
        <f t="shared" si="40"/>
        <v/>
      </c>
      <c r="T377" t="str">
        <f>IF($N377="","",IF(Sync!$N377="",0,Sync!$N377))</f>
        <v/>
      </c>
      <c r="U377" t="str">
        <f>IF($N377="","",IF(Sync!$O377="",0,Sync!$O377))</f>
        <v/>
      </c>
      <c r="V377" t="str">
        <f>IF($N377="","",Sync!$L377)</f>
        <v/>
      </c>
      <c r="W377" t="str">
        <f>IF($N377="","",Sync!$P377)</f>
        <v/>
      </c>
      <c r="AA377" t="str">
        <f>IF($A377="","",IF(COUNTIF($A$6:$A377,$A377)=1,1,0))</f>
        <v/>
      </c>
      <c r="AB377">
        <f>SUM($AA$6:$AA377)</f>
        <v>3</v>
      </c>
      <c r="AC377" t="str">
        <f t="shared" si="41"/>
        <v/>
      </c>
    </row>
    <row r="378" spans="1:29" x14ac:dyDescent="0.2">
      <c r="A378" t="str">
        <f>IF(OR(Entry!$B381="",Entry!$E381="",$E378="نامعتبر"),"",Entry!$E381)</f>
        <v/>
      </c>
      <c r="B378" t="str">
        <f>IF($A378="","",LEFT($E378,4)&amp;MID($E378,6,2)&amp;RIGHT($E378,2)&amp;$F378&amp;"|"&amp;"1"&amp;RIGHT("00000"&amp;373,5))</f>
        <v/>
      </c>
      <c r="C378" t="str">
        <f t="shared" si="35"/>
        <v/>
      </c>
      <c r="D378" t="str">
        <f t="shared" si="36"/>
        <v/>
      </c>
      <c r="E378" t="str">
        <f>IF(Entry!$B381="","",IF(ISNUMBER(Entry!$B381),IF(AND(Entry!$B381&gt;=10000101,Entry!$B381&lt;=99991231),INT(Entry!$B381/10000)&amp;"/"&amp;RIGHT("00"&amp;INT(MOD(Entry!$B381,10000)/100),2)&amp;"/"&amp;RIGHT("00"&amp;MOD(Entry!$B381,100),2),"نامعتبر"),IF(LEN(Entry!$B381)=10,Entry!$B381,"نامعتبر")))</f>
        <v/>
      </c>
      <c r="F378" t="str">
        <f>IF(Entry!$B381="","",IF(Entry!$C381="","0000",IF(AND(ISNUMBER(Entry!$C381),Entry!$C381&gt;=0,Entry!$C381&lt;1),RIGHT("00"&amp;HOUR(Entry!$C381),2)&amp;RIGHT("00"&amp;MINUTE(Entry!$C381),2),IFERROR(RIGHT("00"&amp;VALUE(LEFT(Entry!$C381,FIND(":",Entry!$C381)-1)),2)&amp;RIGHT("00"&amp;VALUE(MID(Entry!$C381,FIND(":",Entry!$C381)+1,2)),2),"0000"))))</f>
        <v/>
      </c>
      <c r="G378" t="str">
        <f>IF($A378="","",Entry!$G381)</f>
        <v/>
      </c>
      <c r="H378" t="str">
        <f>IF($A378="","",IF(Entry!$H381="",0,Entry!$H381))</f>
        <v/>
      </c>
      <c r="I378" t="str">
        <f>IF($A378="","",IF(Entry!$I381="",0,Entry!$I381))</f>
        <v/>
      </c>
      <c r="J378" t="str">
        <f t="shared" si="37"/>
        <v/>
      </c>
      <c r="K378" t="str">
        <f>IF($A378="","",Entry!$D381)</f>
        <v/>
      </c>
      <c r="L378" t="str">
        <f>IF($A378="","",Entry!$L381)</f>
        <v/>
      </c>
      <c r="N378" t="str">
        <f>IF(OR(Sync!$M378="",$Q378="",$Q378="نامعتبر"),"",Sync!$M378)</f>
        <v/>
      </c>
      <c r="O378" t="str">
        <f t="shared" si="38"/>
        <v/>
      </c>
      <c r="P378" t="str">
        <f>IF($N378="","",LEFT($Q378,4)&amp;MID($Q378,6,2)&amp;RIGHT($Q378,2)&amp;IF(Sync!$K378="","0000",IF(AND(ISNUMBER(Sync!$K378),Sync!$K378&gt;=0,Sync!$K378&lt;1),RIGHT("00"&amp;HOUR(Sync!$K378),2)&amp;RIGHT("00"&amp;MINUTE(Sync!$K378),2),IFERROR(RIGHT("00"&amp;VALUE(LEFT(Sync!$K378,FIND(":",Sync!$K378)-1)),2)&amp;RIGHT("00"&amp;VALUE(MID(Sync!$K378,FIND(":",Sync!$K378)+1,2)),2),"0000")))&amp;"|"&amp;"2"&amp;RIGHT("00000"&amp;373,5))</f>
        <v/>
      </c>
      <c r="Q378" t="str">
        <f>IF(Sync!$J378="","",IF(ISNUMBER(Sync!$J378),IF(AND(Sync!$J378&gt;=10000101,Sync!$J378&lt;=99991231),INT(Sync!$J378/10000)&amp;"/"&amp;RIGHT("00"&amp;INT(MOD(Sync!$J378,10000)/100),2)&amp;"/"&amp;RIGHT("00"&amp;MOD(Sync!$J378,100),2),"نامعتبر"),IF(LEN(Sync!$J378)=10,Sync!$J378,"نامعتبر")))</f>
        <v/>
      </c>
      <c r="R378" t="str">
        <f t="shared" si="39"/>
        <v/>
      </c>
      <c r="S378" t="str">
        <f t="shared" si="40"/>
        <v/>
      </c>
      <c r="T378" t="str">
        <f>IF($N378="","",IF(Sync!$N378="",0,Sync!$N378))</f>
        <v/>
      </c>
      <c r="U378" t="str">
        <f>IF($N378="","",IF(Sync!$O378="",0,Sync!$O378))</f>
        <v/>
      </c>
      <c r="V378" t="str">
        <f>IF($N378="","",Sync!$L378)</f>
        <v/>
      </c>
      <c r="W378" t="str">
        <f>IF($N378="","",Sync!$P378)</f>
        <v/>
      </c>
      <c r="AA378" t="str">
        <f>IF($A378="","",IF(COUNTIF($A$6:$A378,$A378)=1,1,0))</f>
        <v/>
      </c>
      <c r="AB378">
        <f>SUM($AA$6:$AA378)</f>
        <v>3</v>
      </c>
      <c r="AC378" t="str">
        <f t="shared" si="41"/>
        <v/>
      </c>
    </row>
    <row r="379" spans="1:29" x14ac:dyDescent="0.2">
      <c r="A379" t="str">
        <f>IF(OR(Entry!$B382="",Entry!$E382="",$E379="نامعتبر"),"",Entry!$E382)</f>
        <v/>
      </c>
      <c r="B379" t="str">
        <f>IF($A379="","",LEFT($E379,4)&amp;MID($E379,6,2)&amp;RIGHT($E379,2)&amp;$F379&amp;"|"&amp;"1"&amp;RIGHT("00000"&amp;374,5))</f>
        <v/>
      </c>
      <c r="C379" t="str">
        <f t="shared" si="35"/>
        <v/>
      </c>
      <c r="D379" t="str">
        <f t="shared" si="36"/>
        <v/>
      </c>
      <c r="E379" t="str">
        <f>IF(Entry!$B382="","",IF(ISNUMBER(Entry!$B382),IF(AND(Entry!$B382&gt;=10000101,Entry!$B382&lt;=99991231),INT(Entry!$B382/10000)&amp;"/"&amp;RIGHT("00"&amp;INT(MOD(Entry!$B382,10000)/100),2)&amp;"/"&amp;RIGHT("00"&amp;MOD(Entry!$B382,100),2),"نامعتبر"),IF(LEN(Entry!$B382)=10,Entry!$B382,"نامعتبر")))</f>
        <v/>
      </c>
      <c r="F379" t="str">
        <f>IF(Entry!$B382="","",IF(Entry!$C382="","0000",IF(AND(ISNUMBER(Entry!$C382),Entry!$C382&gt;=0,Entry!$C382&lt;1),RIGHT("00"&amp;HOUR(Entry!$C382),2)&amp;RIGHT("00"&amp;MINUTE(Entry!$C382),2),IFERROR(RIGHT("00"&amp;VALUE(LEFT(Entry!$C382,FIND(":",Entry!$C382)-1)),2)&amp;RIGHT("00"&amp;VALUE(MID(Entry!$C382,FIND(":",Entry!$C382)+1,2)),2),"0000"))))</f>
        <v/>
      </c>
      <c r="G379" t="str">
        <f>IF($A379="","",Entry!$G382)</f>
        <v/>
      </c>
      <c r="H379" t="str">
        <f>IF($A379="","",IF(Entry!$H382="",0,Entry!$H382))</f>
        <v/>
      </c>
      <c r="I379" t="str">
        <f>IF($A379="","",IF(Entry!$I382="",0,Entry!$I382))</f>
        <v/>
      </c>
      <c r="J379" t="str">
        <f t="shared" si="37"/>
        <v/>
      </c>
      <c r="K379" t="str">
        <f>IF($A379="","",Entry!$D382)</f>
        <v/>
      </c>
      <c r="L379" t="str">
        <f>IF($A379="","",Entry!$L382)</f>
        <v/>
      </c>
      <c r="N379" t="str">
        <f>IF(OR(Sync!$M379="",$Q379="",$Q379="نامعتبر"),"",Sync!$M379)</f>
        <v/>
      </c>
      <c r="O379" t="str">
        <f t="shared" si="38"/>
        <v/>
      </c>
      <c r="P379" t="str">
        <f>IF($N379="","",LEFT($Q379,4)&amp;MID($Q379,6,2)&amp;RIGHT($Q379,2)&amp;IF(Sync!$K379="","0000",IF(AND(ISNUMBER(Sync!$K379),Sync!$K379&gt;=0,Sync!$K379&lt;1),RIGHT("00"&amp;HOUR(Sync!$K379),2)&amp;RIGHT("00"&amp;MINUTE(Sync!$K379),2),IFERROR(RIGHT("00"&amp;VALUE(LEFT(Sync!$K379,FIND(":",Sync!$K379)-1)),2)&amp;RIGHT("00"&amp;VALUE(MID(Sync!$K379,FIND(":",Sync!$K379)+1,2)),2),"0000")))&amp;"|"&amp;"2"&amp;RIGHT("00000"&amp;374,5))</f>
        <v/>
      </c>
      <c r="Q379" t="str">
        <f>IF(Sync!$J379="","",IF(ISNUMBER(Sync!$J379),IF(AND(Sync!$J379&gt;=10000101,Sync!$J379&lt;=99991231),INT(Sync!$J379/10000)&amp;"/"&amp;RIGHT("00"&amp;INT(MOD(Sync!$J379,10000)/100),2)&amp;"/"&amp;RIGHT("00"&amp;MOD(Sync!$J379,100),2),"نامعتبر"),IF(LEN(Sync!$J379)=10,Sync!$J379,"نامعتبر")))</f>
        <v/>
      </c>
      <c r="R379" t="str">
        <f t="shared" si="39"/>
        <v/>
      </c>
      <c r="S379" t="str">
        <f t="shared" si="40"/>
        <v/>
      </c>
      <c r="T379" t="str">
        <f>IF($N379="","",IF(Sync!$N379="",0,Sync!$N379))</f>
        <v/>
      </c>
      <c r="U379" t="str">
        <f>IF($N379="","",IF(Sync!$O379="",0,Sync!$O379))</f>
        <v/>
      </c>
      <c r="V379" t="str">
        <f>IF($N379="","",Sync!$L379)</f>
        <v/>
      </c>
      <c r="W379" t="str">
        <f>IF($N379="","",Sync!$P379)</f>
        <v/>
      </c>
      <c r="AA379" t="str">
        <f>IF($A379="","",IF(COUNTIF($A$6:$A379,$A379)=1,1,0))</f>
        <v/>
      </c>
      <c r="AB379">
        <f>SUM($AA$6:$AA379)</f>
        <v>3</v>
      </c>
      <c r="AC379" t="str">
        <f t="shared" si="41"/>
        <v/>
      </c>
    </row>
    <row r="380" spans="1:29" x14ac:dyDescent="0.2">
      <c r="A380" t="str">
        <f>IF(OR(Entry!$B383="",Entry!$E383="",$E380="نامعتبر"),"",Entry!$E383)</f>
        <v/>
      </c>
      <c r="B380" t="str">
        <f>IF($A380="","",LEFT($E380,4)&amp;MID($E380,6,2)&amp;RIGHT($E380,2)&amp;$F380&amp;"|"&amp;"1"&amp;RIGHT("00000"&amp;375,5))</f>
        <v/>
      </c>
      <c r="C380" t="str">
        <f t="shared" si="35"/>
        <v/>
      </c>
      <c r="D380" t="str">
        <f t="shared" si="36"/>
        <v/>
      </c>
      <c r="E380" t="str">
        <f>IF(Entry!$B383="","",IF(ISNUMBER(Entry!$B383),IF(AND(Entry!$B383&gt;=10000101,Entry!$B383&lt;=99991231),INT(Entry!$B383/10000)&amp;"/"&amp;RIGHT("00"&amp;INT(MOD(Entry!$B383,10000)/100),2)&amp;"/"&amp;RIGHT("00"&amp;MOD(Entry!$B383,100),2),"نامعتبر"),IF(LEN(Entry!$B383)=10,Entry!$B383,"نامعتبر")))</f>
        <v/>
      </c>
      <c r="F380" t="str">
        <f>IF(Entry!$B383="","",IF(Entry!$C383="","0000",IF(AND(ISNUMBER(Entry!$C383),Entry!$C383&gt;=0,Entry!$C383&lt;1),RIGHT("00"&amp;HOUR(Entry!$C383),2)&amp;RIGHT("00"&amp;MINUTE(Entry!$C383),2),IFERROR(RIGHT("00"&amp;VALUE(LEFT(Entry!$C383,FIND(":",Entry!$C383)-1)),2)&amp;RIGHT("00"&amp;VALUE(MID(Entry!$C383,FIND(":",Entry!$C383)+1,2)),2),"0000"))))</f>
        <v/>
      </c>
      <c r="G380" t="str">
        <f>IF($A380="","",Entry!$G383)</f>
        <v/>
      </c>
      <c r="H380" t="str">
        <f>IF($A380="","",IF(Entry!$H383="",0,Entry!$H383))</f>
        <v/>
      </c>
      <c r="I380" t="str">
        <f>IF($A380="","",IF(Entry!$I383="",0,Entry!$I383))</f>
        <v/>
      </c>
      <c r="J380" t="str">
        <f t="shared" si="37"/>
        <v/>
      </c>
      <c r="K380" t="str">
        <f>IF($A380="","",Entry!$D383)</f>
        <v/>
      </c>
      <c r="L380" t="str">
        <f>IF($A380="","",Entry!$L383)</f>
        <v/>
      </c>
      <c r="N380" t="str">
        <f>IF(OR(Sync!$M380="",$Q380="",$Q380="نامعتبر"),"",Sync!$M380)</f>
        <v/>
      </c>
      <c r="O380" t="str">
        <f t="shared" si="38"/>
        <v/>
      </c>
      <c r="P380" t="str">
        <f>IF($N380="","",LEFT($Q380,4)&amp;MID($Q380,6,2)&amp;RIGHT($Q380,2)&amp;IF(Sync!$K380="","0000",IF(AND(ISNUMBER(Sync!$K380),Sync!$K380&gt;=0,Sync!$K380&lt;1),RIGHT("00"&amp;HOUR(Sync!$K380),2)&amp;RIGHT("00"&amp;MINUTE(Sync!$K380),2),IFERROR(RIGHT("00"&amp;VALUE(LEFT(Sync!$K380,FIND(":",Sync!$K380)-1)),2)&amp;RIGHT("00"&amp;VALUE(MID(Sync!$K380,FIND(":",Sync!$K380)+1,2)),2),"0000")))&amp;"|"&amp;"2"&amp;RIGHT("00000"&amp;375,5))</f>
        <v/>
      </c>
      <c r="Q380" t="str">
        <f>IF(Sync!$J380="","",IF(ISNUMBER(Sync!$J380),IF(AND(Sync!$J380&gt;=10000101,Sync!$J380&lt;=99991231),INT(Sync!$J380/10000)&amp;"/"&amp;RIGHT("00"&amp;INT(MOD(Sync!$J380,10000)/100),2)&amp;"/"&amp;RIGHT("00"&amp;MOD(Sync!$J380,100),2),"نامعتبر"),IF(LEN(Sync!$J380)=10,Sync!$J380,"نامعتبر")))</f>
        <v/>
      </c>
      <c r="R380" t="str">
        <f t="shared" si="39"/>
        <v/>
      </c>
      <c r="S380" t="str">
        <f t="shared" si="40"/>
        <v/>
      </c>
      <c r="T380" t="str">
        <f>IF($N380="","",IF(Sync!$N380="",0,Sync!$N380))</f>
        <v/>
      </c>
      <c r="U380" t="str">
        <f>IF($N380="","",IF(Sync!$O380="",0,Sync!$O380))</f>
        <v/>
      </c>
      <c r="V380" t="str">
        <f>IF($N380="","",Sync!$L380)</f>
        <v/>
      </c>
      <c r="W380" t="str">
        <f>IF($N380="","",Sync!$P380)</f>
        <v/>
      </c>
      <c r="AA380" t="str">
        <f>IF($A380="","",IF(COUNTIF($A$6:$A380,$A380)=1,1,0))</f>
        <v/>
      </c>
      <c r="AB380">
        <f>SUM($AA$6:$AA380)</f>
        <v>3</v>
      </c>
      <c r="AC380" t="str">
        <f t="shared" si="41"/>
        <v/>
      </c>
    </row>
    <row r="381" spans="1:29" x14ac:dyDescent="0.2">
      <c r="A381" t="str">
        <f>IF(OR(Entry!$B384="",Entry!$E384="",$E381="نامعتبر"),"",Entry!$E384)</f>
        <v/>
      </c>
      <c r="B381" t="str">
        <f>IF($A381="","",LEFT($E381,4)&amp;MID($E381,6,2)&amp;RIGHT($E381,2)&amp;$F381&amp;"|"&amp;"1"&amp;RIGHT("00000"&amp;376,5))</f>
        <v/>
      </c>
      <c r="C381" t="str">
        <f t="shared" si="35"/>
        <v/>
      </c>
      <c r="D381" t="str">
        <f t="shared" si="36"/>
        <v/>
      </c>
      <c r="E381" t="str">
        <f>IF(Entry!$B384="","",IF(ISNUMBER(Entry!$B384),IF(AND(Entry!$B384&gt;=10000101,Entry!$B384&lt;=99991231),INT(Entry!$B384/10000)&amp;"/"&amp;RIGHT("00"&amp;INT(MOD(Entry!$B384,10000)/100),2)&amp;"/"&amp;RIGHT("00"&amp;MOD(Entry!$B384,100),2),"نامعتبر"),IF(LEN(Entry!$B384)=10,Entry!$B384,"نامعتبر")))</f>
        <v/>
      </c>
      <c r="F381" t="str">
        <f>IF(Entry!$B384="","",IF(Entry!$C384="","0000",IF(AND(ISNUMBER(Entry!$C384),Entry!$C384&gt;=0,Entry!$C384&lt;1),RIGHT("00"&amp;HOUR(Entry!$C384),2)&amp;RIGHT("00"&amp;MINUTE(Entry!$C384),2),IFERROR(RIGHT("00"&amp;VALUE(LEFT(Entry!$C384,FIND(":",Entry!$C384)-1)),2)&amp;RIGHT("00"&amp;VALUE(MID(Entry!$C384,FIND(":",Entry!$C384)+1,2)),2),"0000"))))</f>
        <v/>
      </c>
      <c r="G381" t="str">
        <f>IF($A381="","",Entry!$G384)</f>
        <v/>
      </c>
      <c r="H381" t="str">
        <f>IF($A381="","",IF(Entry!$H384="",0,Entry!$H384))</f>
        <v/>
      </c>
      <c r="I381" t="str">
        <f>IF($A381="","",IF(Entry!$I384="",0,Entry!$I384))</f>
        <v/>
      </c>
      <c r="J381" t="str">
        <f t="shared" si="37"/>
        <v/>
      </c>
      <c r="K381" t="str">
        <f>IF($A381="","",Entry!$D384)</f>
        <v/>
      </c>
      <c r="L381" t="str">
        <f>IF($A381="","",Entry!$L384)</f>
        <v/>
      </c>
      <c r="N381" t="str">
        <f>IF(OR(Sync!$M381="",$Q381="",$Q381="نامعتبر"),"",Sync!$M381)</f>
        <v/>
      </c>
      <c r="O381" t="str">
        <f t="shared" si="38"/>
        <v/>
      </c>
      <c r="P381" t="str">
        <f>IF($N381="","",LEFT($Q381,4)&amp;MID($Q381,6,2)&amp;RIGHT($Q381,2)&amp;IF(Sync!$K381="","0000",IF(AND(ISNUMBER(Sync!$K381),Sync!$K381&gt;=0,Sync!$K381&lt;1),RIGHT("00"&amp;HOUR(Sync!$K381),2)&amp;RIGHT("00"&amp;MINUTE(Sync!$K381),2),IFERROR(RIGHT("00"&amp;VALUE(LEFT(Sync!$K381,FIND(":",Sync!$K381)-1)),2)&amp;RIGHT("00"&amp;VALUE(MID(Sync!$K381,FIND(":",Sync!$K381)+1,2)),2),"0000")))&amp;"|"&amp;"2"&amp;RIGHT("00000"&amp;376,5))</f>
        <v/>
      </c>
      <c r="Q381" t="str">
        <f>IF(Sync!$J381="","",IF(ISNUMBER(Sync!$J381),IF(AND(Sync!$J381&gt;=10000101,Sync!$J381&lt;=99991231),INT(Sync!$J381/10000)&amp;"/"&amp;RIGHT("00"&amp;INT(MOD(Sync!$J381,10000)/100),2)&amp;"/"&amp;RIGHT("00"&amp;MOD(Sync!$J381,100),2),"نامعتبر"),IF(LEN(Sync!$J381)=10,Sync!$J381,"نامعتبر")))</f>
        <v/>
      </c>
      <c r="R381" t="str">
        <f t="shared" si="39"/>
        <v/>
      </c>
      <c r="S381" t="str">
        <f t="shared" si="40"/>
        <v/>
      </c>
      <c r="T381" t="str">
        <f>IF($N381="","",IF(Sync!$N381="",0,Sync!$N381))</f>
        <v/>
      </c>
      <c r="U381" t="str">
        <f>IF($N381="","",IF(Sync!$O381="",0,Sync!$O381))</f>
        <v/>
      </c>
      <c r="V381" t="str">
        <f>IF($N381="","",Sync!$L381)</f>
        <v/>
      </c>
      <c r="W381" t="str">
        <f>IF($N381="","",Sync!$P381)</f>
        <v/>
      </c>
      <c r="AA381" t="str">
        <f>IF($A381="","",IF(COUNTIF($A$6:$A381,$A381)=1,1,0))</f>
        <v/>
      </c>
      <c r="AB381">
        <f>SUM($AA$6:$AA381)</f>
        <v>3</v>
      </c>
      <c r="AC381" t="str">
        <f t="shared" si="41"/>
        <v/>
      </c>
    </row>
    <row r="382" spans="1:29" x14ac:dyDescent="0.2">
      <c r="A382" t="str">
        <f>IF(OR(Entry!$B385="",Entry!$E385="",$E382="نامعتبر"),"",Entry!$E385)</f>
        <v/>
      </c>
      <c r="B382" t="str">
        <f>IF($A382="","",LEFT($E382,4)&amp;MID($E382,6,2)&amp;RIGHT($E382,2)&amp;$F382&amp;"|"&amp;"1"&amp;RIGHT("00000"&amp;377,5))</f>
        <v/>
      </c>
      <c r="C382" t="str">
        <f t="shared" si="35"/>
        <v/>
      </c>
      <c r="D382" t="str">
        <f t="shared" si="36"/>
        <v/>
      </c>
      <c r="E382" t="str">
        <f>IF(Entry!$B385="","",IF(ISNUMBER(Entry!$B385),IF(AND(Entry!$B385&gt;=10000101,Entry!$B385&lt;=99991231),INT(Entry!$B385/10000)&amp;"/"&amp;RIGHT("00"&amp;INT(MOD(Entry!$B385,10000)/100),2)&amp;"/"&amp;RIGHT("00"&amp;MOD(Entry!$B385,100),2),"نامعتبر"),IF(LEN(Entry!$B385)=10,Entry!$B385,"نامعتبر")))</f>
        <v/>
      </c>
      <c r="F382" t="str">
        <f>IF(Entry!$B385="","",IF(Entry!$C385="","0000",IF(AND(ISNUMBER(Entry!$C385),Entry!$C385&gt;=0,Entry!$C385&lt;1),RIGHT("00"&amp;HOUR(Entry!$C385),2)&amp;RIGHT("00"&amp;MINUTE(Entry!$C385),2),IFERROR(RIGHT("00"&amp;VALUE(LEFT(Entry!$C385,FIND(":",Entry!$C385)-1)),2)&amp;RIGHT("00"&amp;VALUE(MID(Entry!$C385,FIND(":",Entry!$C385)+1,2)),2),"0000"))))</f>
        <v/>
      </c>
      <c r="G382" t="str">
        <f>IF($A382="","",Entry!$G385)</f>
        <v/>
      </c>
      <c r="H382" t="str">
        <f>IF($A382="","",IF(Entry!$H385="",0,Entry!$H385))</f>
        <v/>
      </c>
      <c r="I382" t="str">
        <f>IF($A382="","",IF(Entry!$I385="",0,Entry!$I385))</f>
        <v/>
      </c>
      <c r="J382" t="str">
        <f t="shared" si="37"/>
        <v/>
      </c>
      <c r="K382" t="str">
        <f>IF($A382="","",Entry!$D385)</f>
        <v/>
      </c>
      <c r="L382" t="str">
        <f>IF($A382="","",Entry!$L385)</f>
        <v/>
      </c>
      <c r="N382" t="str">
        <f>IF(OR(Sync!$M382="",$Q382="",$Q382="نامعتبر"),"",Sync!$M382)</f>
        <v/>
      </c>
      <c r="O382" t="str">
        <f t="shared" si="38"/>
        <v/>
      </c>
      <c r="P382" t="str">
        <f>IF($N382="","",LEFT($Q382,4)&amp;MID($Q382,6,2)&amp;RIGHT($Q382,2)&amp;IF(Sync!$K382="","0000",IF(AND(ISNUMBER(Sync!$K382),Sync!$K382&gt;=0,Sync!$K382&lt;1),RIGHT("00"&amp;HOUR(Sync!$K382),2)&amp;RIGHT("00"&amp;MINUTE(Sync!$K382),2),IFERROR(RIGHT("00"&amp;VALUE(LEFT(Sync!$K382,FIND(":",Sync!$K382)-1)),2)&amp;RIGHT("00"&amp;VALUE(MID(Sync!$K382,FIND(":",Sync!$K382)+1,2)),2),"0000")))&amp;"|"&amp;"2"&amp;RIGHT("00000"&amp;377,5))</f>
        <v/>
      </c>
      <c r="Q382" t="str">
        <f>IF(Sync!$J382="","",IF(ISNUMBER(Sync!$J382),IF(AND(Sync!$J382&gt;=10000101,Sync!$J382&lt;=99991231),INT(Sync!$J382/10000)&amp;"/"&amp;RIGHT("00"&amp;INT(MOD(Sync!$J382,10000)/100),2)&amp;"/"&amp;RIGHT("00"&amp;MOD(Sync!$J382,100),2),"نامعتبر"),IF(LEN(Sync!$J382)=10,Sync!$J382,"نامعتبر")))</f>
        <v/>
      </c>
      <c r="R382" t="str">
        <f t="shared" si="39"/>
        <v/>
      </c>
      <c r="S382" t="str">
        <f t="shared" si="40"/>
        <v/>
      </c>
      <c r="T382" t="str">
        <f>IF($N382="","",IF(Sync!$N382="",0,Sync!$N382))</f>
        <v/>
      </c>
      <c r="U382" t="str">
        <f>IF($N382="","",IF(Sync!$O382="",0,Sync!$O382))</f>
        <v/>
      </c>
      <c r="V382" t="str">
        <f>IF($N382="","",Sync!$L382)</f>
        <v/>
      </c>
      <c r="W382" t="str">
        <f>IF($N382="","",Sync!$P382)</f>
        <v/>
      </c>
      <c r="AA382" t="str">
        <f>IF($A382="","",IF(COUNTIF($A$6:$A382,$A382)=1,1,0))</f>
        <v/>
      </c>
      <c r="AB382">
        <f>SUM($AA$6:$AA382)</f>
        <v>3</v>
      </c>
      <c r="AC382" t="str">
        <f t="shared" si="41"/>
        <v/>
      </c>
    </row>
    <row r="383" spans="1:29" x14ac:dyDescent="0.2">
      <c r="A383" t="str">
        <f>IF(OR(Entry!$B386="",Entry!$E386="",$E383="نامعتبر"),"",Entry!$E386)</f>
        <v/>
      </c>
      <c r="B383" t="str">
        <f>IF($A383="","",LEFT($E383,4)&amp;MID($E383,6,2)&amp;RIGHT($E383,2)&amp;$F383&amp;"|"&amp;"1"&amp;RIGHT("00000"&amp;378,5))</f>
        <v/>
      </c>
      <c r="C383" t="str">
        <f t="shared" si="35"/>
        <v/>
      </c>
      <c r="D383" t="str">
        <f t="shared" si="36"/>
        <v/>
      </c>
      <c r="E383" t="str">
        <f>IF(Entry!$B386="","",IF(ISNUMBER(Entry!$B386),IF(AND(Entry!$B386&gt;=10000101,Entry!$B386&lt;=99991231),INT(Entry!$B386/10000)&amp;"/"&amp;RIGHT("00"&amp;INT(MOD(Entry!$B386,10000)/100),2)&amp;"/"&amp;RIGHT("00"&amp;MOD(Entry!$B386,100),2),"نامعتبر"),IF(LEN(Entry!$B386)=10,Entry!$B386,"نامعتبر")))</f>
        <v/>
      </c>
      <c r="F383" t="str">
        <f>IF(Entry!$B386="","",IF(Entry!$C386="","0000",IF(AND(ISNUMBER(Entry!$C386),Entry!$C386&gt;=0,Entry!$C386&lt;1),RIGHT("00"&amp;HOUR(Entry!$C386),2)&amp;RIGHT("00"&amp;MINUTE(Entry!$C386),2),IFERROR(RIGHT("00"&amp;VALUE(LEFT(Entry!$C386,FIND(":",Entry!$C386)-1)),2)&amp;RIGHT("00"&amp;VALUE(MID(Entry!$C386,FIND(":",Entry!$C386)+1,2)),2),"0000"))))</f>
        <v/>
      </c>
      <c r="G383" t="str">
        <f>IF($A383="","",Entry!$G386)</f>
        <v/>
      </c>
      <c r="H383" t="str">
        <f>IF($A383="","",IF(Entry!$H386="",0,Entry!$H386))</f>
        <v/>
      </c>
      <c r="I383" t="str">
        <f>IF($A383="","",IF(Entry!$I386="",0,Entry!$I386))</f>
        <v/>
      </c>
      <c r="J383" t="str">
        <f t="shared" si="37"/>
        <v/>
      </c>
      <c r="K383" t="str">
        <f>IF($A383="","",Entry!$D386)</f>
        <v/>
      </c>
      <c r="L383" t="str">
        <f>IF($A383="","",Entry!$L386)</f>
        <v/>
      </c>
      <c r="N383" t="str">
        <f>IF(OR(Sync!$M383="",$Q383="",$Q383="نامعتبر"),"",Sync!$M383)</f>
        <v/>
      </c>
      <c r="O383" t="str">
        <f t="shared" si="38"/>
        <v/>
      </c>
      <c r="P383" t="str">
        <f>IF($N383="","",LEFT($Q383,4)&amp;MID($Q383,6,2)&amp;RIGHT($Q383,2)&amp;IF(Sync!$K383="","0000",IF(AND(ISNUMBER(Sync!$K383),Sync!$K383&gt;=0,Sync!$K383&lt;1),RIGHT("00"&amp;HOUR(Sync!$K383),2)&amp;RIGHT("00"&amp;MINUTE(Sync!$K383),2),IFERROR(RIGHT("00"&amp;VALUE(LEFT(Sync!$K383,FIND(":",Sync!$K383)-1)),2)&amp;RIGHT("00"&amp;VALUE(MID(Sync!$K383,FIND(":",Sync!$K383)+1,2)),2),"0000")))&amp;"|"&amp;"2"&amp;RIGHT("00000"&amp;378,5))</f>
        <v/>
      </c>
      <c r="Q383" t="str">
        <f>IF(Sync!$J383="","",IF(ISNUMBER(Sync!$J383),IF(AND(Sync!$J383&gt;=10000101,Sync!$J383&lt;=99991231),INT(Sync!$J383/10000)&amp;"/"&amp;RIGHT("00"&amp;INT(MOD(Sync!$J383,10000)/100),2)&amp;"/"&amp;RIGHT("00"&amp;MOD(Sync!$J383,100),2),"نامعتبر"),IF(LEN(Sync!$J383)=10,Sync!$J383,"نامعتبر")))</f>
        <v/>
      </c>
      <c r="R383" t="str">
        <f t="shared" si="39"/>
        <v/>
      </c>
      <c r="S383" t="str">
        <f t="shared" si="40"/>
        <v/>
      </c>
      <c r="T383" t="str">
        <f>IF($N383="","",IF(Sync!$N383="",0,Sync!$N383))</f>
        <v/>
      </c>
      <c r="U383" t="str">
        <f>IF($N383="","",IF(Sync!$O383="",0,Sync!$O383))</f>
        <v/>
      </c>
      <c r="V383" t="str">
        <f>IF($N383="","",Sync!$L383)</f>
        <v/>
      </c>
      <c r="W383" t="str">
        <f>IF($N383="","",Sync!$P383)</f>
        <v/>
      </c>
      <c r="AA383" t="str">
        <f>IF($A383="","",IF(COUNTIF($A$6:$A383,$A383)=1,1,0))</f>
        <v/>
      </c>
      <c r="AB383">
        <f>SUM($AA$6:$AA383)</f>
        <v>3</v>
      </c>
      <c r="AC383" t="str">
        <f t="shared" si="41"/>
        <v/>
      </c>
    </row>
    <row r="384" spans="1:29" x14ac:dyDescent="0.2">
      <c r="A384" t="str">
        <f>IF(OR(Entry!$B387="",Entry!$E387="",$E384="نامعتبر"),"",Entry!$E387)</f>
        <v/>
      </c>
      <c r="B384" t="str">
        <f>IF($A384="","",LEFT($E384,4)&amp;MID($E384,6,2)&amp;RIGHT($E384,2)&amp;$F384&amp;"|"&amp;"1"&amp;RIGHT("00000"&amp;379,5))</f>
        <v/>
      </c>
      <c r="C384" t="str">
        <f t="shared" si="35"/>
        <v/>
      </c>
      <c r="D384" t="str">
        <f t="shared" si="36"/>
        <v/>
      </c>
      <c r="E384" t="str">
        <f>IF(Entry!$B387="","",IF(ISNUMBER(Entry!$B387),IF(AND(Entry!$B387&gt;=10000101,Entry!$B387&lt;=99991231),INT(Entry!$B387/10000)&amp;"/"&amp;RIGHT("00"&amp;INT(MOD(Entry!$B387,10000)/100),2)&amp;"/"&amp;RIGHT("00"&amp;MOD(Entry!$B387,100),2),"نامعتبر"),IF(LEN(Entry!$B387)=10,Entry!$B387,"نامعتبر")))</f>
        <v/>
      </c>
      <c r="F384" t="str">
        <f>IF(Entry!$B387="","",IF(Entry!$C387="","0000",IF(AND(ISNUMBER(Entry!$C387),Entry!$C387&gt;=0,Entry!$C387&lt;1),RIGHT("00"&amp;HOUR(Entry!$C387),2)&amp;RIGHT("00"&amp;MINUTE(Entry!$C387),2),IFERROR(RIGHT("00"&amp;VALUE(LEFT(Entry!$C387,FIND(":",Entry!$C387)-1)),2)&amp;RIGHT("00"&amp;VALUE(MID(Entry!$C387,FIND(":",Entry!$C387)+1,2)),2),"0000"))))</f>
        <v/>
      </c>
      <c r="G384" t="str">
        <f>IF($A384="","",Entry!$G387)</f>
        <v/>
      </c>
      <c r="H384" t="str">
        <f>IF($A384="","",IF(Entry!$H387="",0,Entry!$H387))</f>
        <v/>
      </c>
      <c r="I384" t="str">
        <f>IF($A384="","",IF(Entry!$I387="",0,Entry!$I387))</f>
        <v/>
      </c>
      <c r="J384" t="str">
        <f t="shared" si="37"/>
        <v/>
      </c>
      <c r="K384" t="str">
        <f>IF($A384="","",Entry!$D387)</f>
        <v/>
      </c>
      <c r="L384" t="str">
        <f>IF($A384="","",Entry!$L387)</f>
        <v/>
      </c>
      <c r="N384" t="str">
        <f>IF(OR(Sync!$M384="",$Q384="",$Q384="نامعتبر"),"",Sync!$M384)</f>
        <v/>
      </c>
      <c r="O384" t="str">
        <f t="shared" si="38"/>
        <v/>
      </c>
      <c r="P384" t="str">
        <f>IF($N384="","",LEFT($Q384,4)&amp;MID($Q384,6,2)&amp;RIGHT($Q384,2)&amp;IF(Sync!$K384="","0000",IF(AND(ISNUMBER(Sync!$K384),Sync!$K384&gt;=0,Sync!$K384&lt;1),RIGHT("00"&amp;HOUR(Sync!$K384),2)&amp;RIGHT("00"&amp;MINUTE(Sync!$K384),2),IFERROR(RIGHT("00"&amp;VALUE(LEFT(Sync!$K384,FIND(":",Sync!$K384)-1)),2)&amp;RIGHT("00"&amp;VALUE(MID(Sync!$K384,FIND(":",Sync!$K384)+1,2)),2),"0000")))&amp;"|"&amp;"2"&amp;RIGHT("00000"&amp;379,5))</f>
        <v/>
      </c>
      <c r="Q384" t="str">
        <f>IF(Sync!$J384="","",IF(ISNUMBER(Sync!$J384),IF(AND(Sync!$J384&gt;=10000101,Sync!$J384&lt;=99991231),INT(Sync!$J384/10000)&amp;"/"&amp;RIGHT("00"&amp;INT(MOD(Sync!$J384,10000)/100),2)&amp;"/"&amp;RIGHT("00"&amp;MOD(Sync!$J384,100),2),"نامعتبر"),IF(LEN(Sync!$J384)=10,Sync!$J384,"نامعتبر")))</f>
        <v/>
      </c>
      <c r="R384" t="str">
        <f t="shared" si="39"/>
        <v/>
      </c>
      <c r="S384" t="str">
        <f t="shared" si="40"/>
        <v/>
      </c>
      <c r="T384" t="str">
        <f>IF($N384="","",IF(Sync!$N384="",0,Sync!$N384))</f>
        <v/>
      </c>
      <c r="U384" t="str">
        <f>IF($N384="","",IF(Sync!$O384="",0,Sync!$O384))</f>
        <v/>
      </c>
      <c r="V384" t="str">
        <f>IF($N384="","",Sync!$L384)</f>
        <v/>
      </c>
      <c r="W384" t="str">
        <f>IF($N384="","",Sync!$P384)</f>
        <v/>
      </c>
      <c r="AA384" t="str">
        <f>IF($A384="","",IF(COUNTIF($A$6:$A384,$A384)=1,1,0))</f>
        <v/>
      </c>
      <c r="AB384">
        <f>SUM($AA$6:$AA384)</f>
        <v>3</v>
      </c>
      <c r="AC384" t="str">
        <f t="shared" si="41"/>
        <v/>
      </c>
    </row>
    <row r="385" spans="1:29" x14ac:dyDescent="0.2">
      <c r="A385" t="str">
        <f>IF(OR(Entry!$B388="",Entry!$E388="",$E385="نامعتبر"),"",Entry!$E388)</f>
        <v/>
      </c>
      <c r="B385" t="str">
        <f>IF($A385="","",LEFT($E385,4)&amp;MID($E385,6,2)&amp;RIGHT($E385,2)&amp;$F385&amp;"|"&amp;"1"&amp;RIGHT("00000"&amp;380,5))</f>
        <v/>
      </c>
      <c r="C385" t="str">
        <f t="shared" si="35"/>
        <v/>
      </c>
      <c r="D385" t="str">
        <f t="shared" si="36"/>
        <v/>
      </c>
      <c r="E385" t="str">
        <f>IF(Entry!$B388="","",IF(ISNUMBER(Entry!$B388),IF(AND(Entry!$B388&gt;=10000101,Entry!$B388&lt;=99991231),INT(Entry!$B388/10000)&amp;"/"&amp;RIGHT("00"&amp;INT(MOD(Entry!$B388,10000)/100),2)&amp;"/"&amp;RIGHT("00"&amp;MOD(Entry!$B388,100),2),"نامعتبر"),IF(LEN(Entry!$B388)=10,Entry!$B388,"نامعتبر")))</f>
        <v/>
      </c>
      <c r="F385" t="str">
        <f>IF(Entry!$B388="","",IF(Entry!$C388="","0000",IF(AND(ISNUMBER(Entry!$C388),Entry!$C388&gt;=0,Entry!$C388&lt;1),RIGHT("00"&amp;HOUR(Entry!$C388),2)&amp;RIGHT("00"&amp;MINUTE(Entry!$C388),2),IFERROR(RIGHT("00"&amp;VALUE(LEFT(Entry!$C388,FIND(":",Entry!$C388)-1)),2)&amp;RIGHT("00"&amp;VALUE(MID(Entry!$C388,FIND(":",Entry!$C388)+1,2)),2),"0000"))))</f>
        <v/>
      </c>
      <c r="G385" t="str">
        <f>IF($A385="","",Entry!$G388)</f>
        <v/>
      </c>
      <c r="H385" t="str">
        <f>IF($A385="","",IF(Entry!$H388="",0,Entry!$H388))</f>
        <v/>
      </c>
      <c r="I385" t="str">
        <f>IF($A385="","",IF(Entry!$I388="",0,Entry!$I388))</f>
        <v/>
      </c>
      <c r="J385" t="str">
        <f t="shared" si="37"/>
        <v/>
      </c>
      <c r="K385" t="str">
        <f>IF($A385="","",Entry!$D388)</f>
        <v/>
      </c>
      <c r="L385" t="str">
        <f>IF($A385="","",Entry!$L388)</f>
        <v/>
      </c>
      <c r="N385" t="str">
        <f>IF(OR(Sync!$M385="",$Q385="",$Q385="نامعتبر"),"",Sync!$M385)</f>
        <v/>
      </c>
      <c r="O385" t="str">
        <f t="shared" si="38"/>
        <v/>
      </c>
      <c r="P385" t="str">
        <f>IF($N385="","",LEFT($Q385,4)&amp;MID($Q385,6,2)&amp;RIGHT($Q385,2)&amp;IF(Sync!$K385="","0000",IF(AND(ISNUMBER(Sync!$K385),Sync!$K385&gt;=0,Sync!$K385&lt;1),RIGHT("00"&amp;HOUR(Sync!$K385),2)&amp;RIGHT("00"&amp;MINUTE(Sync!$K385),2),IFERROR(RIGHT("00"&amp;VALUE(LEFT(Sync!$K385,FIND(":",Sync!$K385)-1)),2)&amp;RIGHT("00"&amp;VALUE(MID(Sync!$K385,FIND(":",Sync!$K385)+1,2)),2),"0000")))&amp;"|"&amp;"2"&amp;RIGHT("00000"&amp;380,5))</f>
        <v/>
      </c>
      <c r="Q385" t="str">
        <f>IF(Sync!$J385="","",IF(ISNUMBER(Sync!$J385),IF(AND(Sync!$J385&gt;=10000101,Sync!$J385&lt;=99991231),INT(Sync!$J385/10000)&amp;"/"&amp;RIGHT("00"&amp;INT(MOD(Sync!$J385,10000)/100),2)&amp;"/"&amp;RIGHT("00"&amp;MOD(Sync!$J385,100),2),"نامعتبر"),IF(LEN(Sync!$J385)=10,Sync!$J385,"نامعتبر")))</f>
        <v/>
      </c>
      <c r="R385" t="str">
        <f t="shared" si="39"/>
        <v/>
      </c>
      <c r="S385" t="str">
        <f t="shared" si="40"/>
        <v/>
      </c>
      <c r="T385" t="str">
        <f>IF($N385="","",IF(Sync!$N385="",0,Sync!$N385))</f>
        <v/>
      </c>
      <c r="U385" t="str">
        <f>IF($N385="","",IF(Sync!$O385="",0,Sync!$O385))</f>
        <v/>
      </c>
      <c r="V385" t="str">
        <f>IF($N385="","",Sync!$L385)</f>
        <v/>
      </c>
      <c r="W385" t="str">
        <f>IF($N385="","",Sync!$P385)</f>
        <v/>
      </c>
      <c r="AA385" t="str">
        <f>IF($A385="","",IF(COUNTIF($A$6:$A385,$A385)=1,1,0))</f>
        <v/>
      </c>
      <c r="AB385">
        <f>SUM($AA$6:$AA385)</f>
        <v>3</v>
      </c>
      <c r="AC385" t="str">
        <f t="shared" si="41"/>
        <v/>
      </c>
    </row>
    <row r="386" spans="1:29" x14ac:dyDescent="0.2">
      <c r="A386" t="str">
        <f>IF(OR(Entry!$B389="",Entry!$E389="",$E386="نامعتبر"),"",Entry!$E389)</f>
        <v/>
      </c>
      <c r="B386" t="str">
        <f>IF($A386="","",LEFT($E386,4)&amp;MID($E386,6,2)&amp;RIGHT($E386,2)&amp;$F386&amp;"|"&amp;"1"&amp;RIGHT("00000"&amp;381,5))</f>
        <v/>
      </c>
      <c r="C386" t="str">
        <f t="shared" si="35"/>
        <v/>
      </c>
      <c r="D386" t="str">
        <f t="shared" si="36"/>
        <v/>
      </c>
      <c r="E386" t="str">
        <f>IF(Entry!$B389="","",IF(ISNUMBER(Entry!$B389),IF(AND(Entry!$B389&gt;=10000101,Entry!$B389&lt;=99991231),INT(Entry!$B389/10000)&amp;"/"&amp;RIGHT("00"&amp;INT(MOD(Entry!$B389,10000)/100),2)&amp;"/"&amp;RIGHT("00"&amp;MOD(Entry!$B389,100),2),"نامعتبر"),IF(LEN(Entry!$B389)=10,Entry!$B389,"نامعتبر")))</f>
        <v/>
      </c>
      <c r="F386" t="str">
        <f>IF(Entry!$B389="","",IF(Entry!$C389="","0000",IF(AND(ISNUMBER(Entry!$C389),Entry!$C389&gt;=0,Entry!$C389&lt;1),RIGHT("00"&amp;HOUR(Entry!$C389),2)&amp;RIGHT("00"&amp;MINUTE(Entry!$C389),2),IFERROR(RIGHT("00"&amp;VALUE(LEFT(Entry!$C389,FIND(":",Entry!$C389)-1)),2)&amp;RIGHT("00"&amp;VALUE(MID(Entry!$C389,FIND(":",Entry!$C389)+1,2)),2),"0000"))))</f>
        <v/>
      </c>
      <c r="G386" t="str">
        <f>IF($A386="","",Entry!$G389)</f>
        <v/>
      </c>
      <c r="H386" t="str">
        <f>IF($A386="","",IF(Entry!$H389="",0,Entry!$H389))</f>
        <v/>
      </c>
      <c r="I386" t="str">
        <f>IF($A386="","",IF(Entry!$I389="",0,Entry!$I389))</f>
        <v/>
      </c>
      <c r="J386" t="str">
        <f t="shared" si="37"/>
        <v/>
      </c>
      <c r="K386" t="str">
        <f>IF($A386="","",Entry!$D389)</f>
        <v/>
      </c>
      <c r="L386" t="str">
        <f>IF($A386="","",Entry!$L389)</f>
        <v/>
      </c>
      <c r="N386" t="str">
        <f>IF(OR(Sync!$M386="",$Q386="",$Q386="نامعتبر"),"",Sync!$M386)</f>
        <v/>
      </c>
      <c r="O386" t="str">
        <f t="shared" si="38"/>
        <v/>
      </c>
      <c r="P386" t="str">
        <f>IF($N386="","",LEFT($Q386,4)&amp;MID($Q386,6,2)&amp;RIGHT($Q386,2)&amp;IF(Sync!$K386="","0000",IF(AND(ISNUMBER(Sync!$K386),Sync!$K386&gt;=0,Sync!$K386&lt;1),RIGHT("00"&amp;HOUR(Sync!$K386),2)&amp;RIGHT("00"&amp;MINUTE(Sync!$K386),2),IFERROR(RIGHT("00"&amp;VALUE(LEFT(Sync!$K386,FIND(":",Sync!$K386)-1)),2)&amp;RIGHT("00"&amp;VALUE(MID(Sync!$K386,FIND(":",Sync!$K386)+1,2)),2),"0000")))&amp;"|"&amp;"2"&amp;RIGHT("00000"&amp;381,5))</f>
        <v/>
      </c>
      <c r="Q386" t="str">
        <f>IF(Sync!$J386="","",IF(ISNUMBER(Sync!$J386),IF(AND(Sync!$J386&gt;=10000101,Sync!$J386&lt;=99991231),INT(Sync!$J386/10000)&amp;"/"&amp;RIGHT("00"&amp;INT(MOD(Sync!$J386,10000)/100),2)&amp;"/"&amp;RIGHT("00"&amp;MOD(Sync!$J386,100),2),"نامعتبر"),IF(LEN(Sync!$J386)=10,Sync!$J386,"نامعتبر")))</f>
        <v/>
      </c>
      <c r="R386" t="str">
        <f t="shared" si="39"/>
        <v/>
      </c>
      <c r="S386" t="str">
        <f t="shared" si="40"/>
        <v/>
      </c>
      <c r="T386" t="str">
        <f>IF($N386="","",IF(Sync!$N386="",0,Sync!$N386))</f>
        <v/>
      </c>
      <c r="U386" t="str">
        <f>IF($N386="","",IF(Sync!$O386="",0,Sync!$O386))</f>
        <v/>
      </c>
      <c r="V386" t="str">
        <f>IF($N386="","",Sync!$L386)</f>
        <v/>
      </c>
      <c r="W386" t="str">
        <f>IF($N386="","",Sync!$P386)</f>
        <v/>
      </c>
      <c r="AA386" t="str">
        <f>IF($A386="","",IF(COUNTIF($A$6:$A386,$A386)=1,1,0))</f>
        <v/>
      </c>
      <c r="AB386">
        <f>SUM($AA$6:$AA386)</f>
        <v>3</v>
      </c>
      <c r="AC386" t="str">
        <f t="shared" si="41"/>
        <v/>
      </c>
    </row>
    <row r="387" spans="1:29" x14ac:dyDescent="0.2">
      <c r="A387" t="str">
        <f>IF(OR(Entry!$B390="",Entry!$E390="",$E387="نامعتبر"),"",Entry!$E390)</f>
        <v/>
      </c>
      <c r="B387" t="str">
        <f>IF($A387="","",LEFT($E387,4)&amp;MID($E387,6,2)&amp;RIGHT($E387,2)&amp;$F387&amp;"|"&amp;"1"&amp;RIGHT("00000"&amp;382,5))</f>
        <v/>
      </c>
      <c r="C387" t="str">
        <f t="shared" si="35"/>
        <v/>
      </c>
      <c r="D387" t="str">
        <f t="shared" si="36"/>
        <v/>
      </c>
      <c r="E387" t="str">
        <f>IF(Entry!$B390="","",IF(ISNUMBER(Entry!$B390),IF(AND(Entry!$B390&gt;=10000101,Entry!$B390&lt;=99991231),INT(Entry!$B390/10000)&amp;"/"&amp;RIGHT("00"&amp;INT(MOD(Entry!$B390,10000)/100),2)&amp;"/"&amp;RIGHT("00"&amp;MOD(Entry!$B390,100),2),"نامعتبر"),IF(LEN(Entry!$B390)=10,Entry!$B390,"نامعتبر")))</f>
        <v/>
      </c>
      <c r="F387" t="str">
        <f>IF(Entry!$B390="","",IF(Entry!$C390="","0000",IF(AND(ISNUMBER(Entry!$C390),Entry!$C390&gt;=0,Entry!$C390&lt;1),RIGHT("00"&amp;HOUR(Entry!$C390),2)&amp;RIGHT("00"&amp;MINUTE(Entry!$C390),2),IFERROR(RIGHT("00"&amp;VALUE(LEFT(Entry!$C390,FIND(":",Entry!$C390)-1)),2)&amp;RIGHT("00"&amp;VALUE(MID(Entry!$C390,FIND(":",Entry!$C390)+1,2)),2),"0000"))))</f>
        <v/>
      </c>
      <c r="G387" t="str">
        <f>IF($A387="","",Entry!$G390)</f>
        <v/>
      </c>
      <c r="H387" t="str">
        <f>IF($A387="","",IF(Entry!$H390="",0,Entry!$H390))</f>
        <v/>
      </c>
      <c r="I387" t="str">
        <f>IF($A387="","",IF(Entry!$I390="",0,Entry!$I390))</f>
        <v/>
      </c>
      <c r="J387" t="str">
        <f t="shared" si="37"/>
        <v/>
      </c>
      <c r="K387" t="str">
        <f>IF($A387="","",Entry!$D390)</f>
        <v/>
      </c>
      <c r="L387" t="str">
        <f>IF($A387="","",Entry!$L390)</f>
        <v/>
      </c>
      <c r="N387" t="str">
        <f>IF(OR(Sync!$M387="",$Q387="",$Q387="نامعتبر"),"",Sync!$M387)</f>
        <v/>
      </c>
      <c r="O387" t="str">
        <f t="shared" si="38"/>
        <v/>
      </c>
      <c r="P387" t="str">
        <f>IF($N387="","",LEFT($Q387,4)&amp;MID($Q387,6,2)&amp;RIGHT($Q387,2)&amp;IF(Sync!$K387="","0000",IF(AND(ISNUMBER(Sync!$K387),Sync!$K387&gt;=0,Sync!$K387&lt;1),RIGHT("00"&amp;HOUR(Sync!$K387),2)&amp;RIGHT("00"&amp;MINUTE(Sync!$K387),2),IFERROR(RIGHT("00"&amp;VALUE(LEFT(Sync!$K387,FIND(":",Sync!$K387)-1)),2)&amp;RIGHT("00"&amp;VALUE(MID(Sync!$K387,FIND(":",Sync!$K387)+1,2)),2),"0000")))&amp;"|"&amp;"2"&amp;RIGHT("00000"&amp;382,5))</f>
        <v/>
      </c>
      <c r="Q387" t="str">
        <f>IF(Sync!$J387="","",IF(ISNUMBER(Sync!$J387),IF(AND(Sync!$J387&gt;=10000101,Sync!$J387&lt;=99991231),INT(Sync!$J387/10000)&amp;"/"&amp;RIGHT("00"&amp;INT(MOD(Sync!$J387,10000)/100),2)&amp;"/"&amp;RIGHT("00"&amp;MOD(Sync!$J387,100),2),"نامعتبر"),IF(LEN(Sync!$J387)=10,Sync!$J387,"نامعتبر")))</f>
        <v/>
      </c>
      <c r="R387" t="str">
        <f t="shared" si="39"/>
        <v/>
      </c>
      <c r="S387" t="str">
        <f t="shared" si="40"/>
        <v/>
      </c>
      <c r="T387" t="str">
        <f>IF($N387="","",IF(Sync!$N387="",0,Sync!$N387))</f>
        <v/>
      </c>
      <c r="U387" t="str">
        <f>IF($N387="","",IF(Sync!$O387="",0,Sync!$O387))</f>
        <v/>
      </c>
      <c r="V387" t="str">
        <f>IF($N387="","",Sync!$L387)</f>
        <v/>
      </c>
      <c r="W387" t="str">
        <f>IF($N387="","",Sync!$P387)</f>
        <v/>
      </c>
      <c r="AA387" t="str">
        <f>IF($A387="","",IF(COUNTIF($A$6:$A387,$A387)=1,1,0))</f>
        <v/>
      </c>
      <c r="AB387">
        <f>SUM($AA$6:$AA387)</f>
        <v>3</v>
      </c>
      <c r="AC387" t="str">
        <f t="shared" si="41"/>
        <v/>
      </c>
    </row>
    <row r="388" spans="1:29" x14ac:dyDescent="0.2">
      <c r="A388" t="str">
        <f>IF(OR(Entry!$B391="",Entry!$E391="",$E388="نامعتبر"),"",Entry!$E391)</f>
        <v/>
      </c>
      <c r="B388" t="str">
        <f>IF($A388="","",LEFT($E388,4)&amp;MID($E388,6,2)&amp;RIGHT($E388,2)&amp;$F388&amp;"|"&amp;"1"&amp;RIGHT("00000"&amp;383,5))</f>
        <v/>
      </c>
      <c r="C388" t="str">
        <f t="shared" si="35"/>
        <v/>
      </c>
      <c r="D388" t="str">
        <f t="shared" si="36"/>
        <v/>
      </c>
      <c r="E388" t="str">
        <f>IF(Entry!$B391="","",IF(ISNUMBER(Entry!$B391),IF(AND(Entry!$B391&gt;=10000101,Entry!$B391&lt;=99991231),INT(Entry!$B391/10000)&amp;"/"&amp;RIGHT("00"&amp;INT(MOD(Entry!$B391,10000)/100),2)&amp;"/"&amp;RIGHT("00"&amp;MOD(Entry!$B391,100),2),"نامعتبر"),IF(LEN(Entry!$B391)=10,Entry!$B391,"نامعتبر")))</f>
        <v/>
      </c>
      <c r="F388" t="str">
        <f>IF(Entry!$B391="","",IF(Entry!$C391="","0000",IF(AND(ISNUMBER(Entry!$C391),Entry!$C391&gt;=0,Entry!$C391&lt;1),RIGHT("00"&amp;HOUR(Entry!$C391),2)&amp;RIGHT("00"&amp;MINUTE(Entry!$C391),2),IFERROR(RIGHT("00"&amp;VALUE(LEFT(Entry!$C391,FIND(":",Entry!$C391)-1)),2)&amp;RIGHT("00"&amp;VALUE(MID(Entry!$C391,FIND(":",Entry!$C391)+1,2)),2),"0000"))))</f>
        <v/>
      </c>
      <c r="G388" t="str">
        <f>IF($A388="","",Entry!$G391)</f>
        <v/>
      </c>
      <c r="H388" t="str">
        <f>IF($A388="","",IF(Entry!$H391="",0,Entry!$H391))</f>
        <v/>
      </c>
      <c r="I388" t="str">
        <f>IF($A388="","",IF(Entry!$I391="",0,Entry!$I391))</f>
        <v/>
      </c>
      <c r="J388" t="str">
        <f t="shared" si="37"/>
        <v/>
      </c>
      <c r="K388" t="str">
        <f>IF($A388="","",Entry!$D391)</f>
        <v/>
      </c>
      <c r="L388" t="str">
        <f>IF($A388="","",Entry!$L391)</f>
        <v/>
      </c>
      <c r="N388" t="str">
        <f>IF(OR(Sync!$M388="",$Q388="",$Q388="نامعتبر"),"",Sync!$M388)</f>
        <v/>
      </c>
      <c r="O388" t="str">
        <f t="shared" si="38"/>
        <v/>
      </c>
      <c r="P388" t="str">
        <f>IF($N388="","",LEFT($Q388,4)&amp;MID($Q388,6,2)&amp;RIGHT($Q388,2)&amp;IF(Sync!$K388="","0000",IF(AND(ISNUMBER(Sync!$K388),Sync!$K388&gt;=0,Sync!$K388&lt;1),RIGHT("00"&amp;HOUR(Sync!$K388),2)&amp;RIGHT("00"&amp;MINUTE(Sync!$K388),2),IFERROR(RIGHT("00"&amp;VALUE(LEFT(Sync!$K388,FIND(":",Sync!$K388)-1)),2)&amp;RIGHT("00"&amp;VALUE(MID(Sync!$K388,FIND(":",Sync!$K388)+1,2)),2),"0000")))&amp;"|"&amp;"2"&amp;RIGHT("00000"&amp;383,5))</f>
        <v/>
      </c>
      <c r="Q388" t="str">
        <f>IF(Sync!$J388="","",IF(ISNUMBER(Sync!$J388),IF(AND(Sync!$J388&gt;=10000101,Sync!$J388&lt;=99991231),INT(Sync!$J388/10000)&amp;"/"&amp;RIGHT("00"&amp;INT(MOD(Sync!$J388,10000)/100),2)&amp;"/"&amp;RIGHT("00"&amp;MOD(Sync!$J388,100),2),"نامعتبر"),IF(LEN(Sync!$J388)=10,Sync!$J388,"نامعتبر")))</f>
        <v/>
      </c>
      <c r="R388" t="str">
        <f t="shared" si="39"/>
        <v/>
      </c>
      <c r="S388" t="str">
        <f t="shared" si="40"/>
        <v/>
      </c>
      <c r="T388" t="str">
        <f>IF($N388="","",IF(Sync!$N388="",0,Sync!$N388))</f>
        <v/>
      </c>
      <c r="U388" t="str">
        <f>IF($N388="","",IF(Sync!$O388="",0,Sync!$O388))</f>
        <v/>
      </c>
      <c r="V388" t="str">
        <f>IF($N388="","",Sync!$L388)</f>
        <v/>
      </c>
      <c r="W388" t="str">
        <f>IF($N388="","",Sync!$P388)</f>
        <v/>
      </c>
      <c r="AA388" t="str">
        <f>IF($A388="","",IF(COUNTIF($A$6:$A388,$A388)=1,1,0))</f>
        <v/>
      </c>
      <c r="AB388">
        <f>SUM($AA$6:$AA388)</f>
        <v>3</v>
      </c>
      <c r="AC388" t="str">
        <f t="shared" si="41"/>
        <v/>
      </c>
    </row>
    <row r="389" spans="1:29" x14ac:dyDescent="0.2">
      <c r="A389" t="str">
        <f>IF(OR(Entry!$B392="",Entry!$E392="",$E389="نامعتبر"),"",Entry!$E392)</f>
        <v/>
      </c>
      <c r="B389" t="str">
        <f>IF($A389="","",LEFT($E389,4)&amp;MID($E389,6,2)&amp;RIGHT($E389,2)&amp;$F389&amp;"|"&amp;"1"&amp;RIGHT("00000"&amp;384,5))</f>
        <v/>
      </c>
      <c r="C389" t="str">
        <f t="shared" si="35"/>
        <v/>
      </c>
      <c r="D389" t="str">
        <f t="shared" si="36"/>
        <v/>
      </c>
      <c r="E389" t="str">
        <f>IF(Entry!$B392="","",IF(ISNUMBER(Entry!$B392),IF(AND(Entry!$B392&gt;=10000101,Entry!$B392&lt;=99991231),INT(Entry!$B392/10000)&amp;"/"&amp;RIGHT("00"&amp;INT(MOD(Entry!$B392,10000)/100),2)&amp;"/"&amp;RIGHT("00"&amp;MOD(Entry!$B392,100),2),"نامعتبر"),IF(LEN(Entry!$B392)=10,Entry!$B392,"نامعتبر")))</f>
        <v/>
      </c>
      <c r="F389" t="str">
        <f>IF(Entry!$B392="","",IF(Entry!$C392="","0000",IF(AND(ISNUMBER(Entry!$C392),Entry!$C392&gt;=0,Entry!$C392&lt;1),RIGHT("00"&amp;HOUR(Entry!$C392),2)&amp;RIGHT("00"&amp;MINUTE(Entry!$C392),2),IFERROR(RIGHT("00"&amp;VALUE(LEFT(Entry!$C392,FIND(":",Entry!$C392)-1)),2)&amp;RIGHT("00"&amp;VALUE(MID(Entry!$C392,FIND(":",Entry!$C392)+1,2)),2),"0000"))))</f>
        <v/>
      </c>
      <c r="G389" t="str">
        <f>IF($A389="","",Entry!$G392)</f>
        <v/>
      </c>
      <c r="H389" t="str">
        <f>IF($A389="","",IF(Entry!$H392="",0,Entry!$H392))</f>
        <v/>
      </c>
      <c r="I389" t="str">
        <f>IF($A389="","",IF(Entry!$I392="",0,Entry!$I392))</f>
        <v/>
      </c>
      <c r="J389" t="str">
        <f t="shared" si="37"/>
        <v/>
      </c>
      <c r="K389" t="str">
        <f>IF($A389="","",Entry!$D392)</f>
        <v/>
      </c>
      <c r="L389" t="str">
        <f>IF($A389="","",Entry!$L392)</f>
        <v/>
      </c>
      <c r="N389" t="str">
        <f>IF(OR(Sync!$M389="",$Q389="",$Q389="نامعتبر"),"",Sync!$M389)</f>
        <v/>
      </c>
      <c r="O389" t="str">
        <f t="shared" si="38"/>
        <v/>
      </c>
      <c r="P389" t="str">
        <f>IF($N389="","",LEFT($Q389,4)&amp;MID($Q389,6,2)&amp;RIGHT($Q389,2)&amp;IF(Sync!$K389="","0000",IF(AND(ISNUMBER(Sync!$K389),Sync!$K389&gt;=0,Sync!$K389&lt;1),RIGHT("00"&amp;HOUR(Sync!$K389),2)&amp;RIGHT("00"&amp;MINUTE(Sync!$K389),2),IFERROR(RIGHT("00"&amp;VALUE(LEFT(Sync!$K389,FIND(":",Sync!$K389)-1)),2)&amp;RIGHT("00"&amp;VALUE(MID(Sync!$K389,FIND(":",Sync!$K389)+1,2)),2),"0000")))&amp;"|"&amp;"2"&amp;RIGHT("00000"&amp;384,5))</f>
        <v/>
      </c>
      <c r="Q389" t="str">
        <f>IF(Sync!$J389="","",IF(ISNUMBER(Sync!$J389),IF(AND(Sync!$J389&gt;=10000101,Sync!$J389&lt;=99991231),INT(Sync!$J389/10000)&amp;"/"&amp;RIGHT("00"&amp;INT(MOD(Sync!$J389,10000)/100),2)&amp;"/"&amp;RIGHT("00"&amp;MOD(Sync!$J389,100),2),"نامعتبر"),IF(LEN(Sync!$J389)=10,Sync!$J389,"نامعتبر")))</f>
        <v/>
      </c>
      <c r="R389" t="str">
        <f t="shared" si="39"/>
        <v/>
      </c>
      <c r="S389" t="str">
        <f t="shared" si="40"/>
        <v/>
      </c>
      <c r="T389" t="str">
        <f>IF($N389="","",IF(Sync!$N389="",0,Sync!$N389))</f>
        <v/>
      </c>
      <c r="U389" t="str">
        <f>IF($N389="","",IF(Sync!$O389="",0,Sync!$O389))</f>
        <v/>
      </c>
      <c r="V389" t="str">
        <f>IF($N389="","",Sync!$L389)</f>
        <v/>
      </c>
      <c r="W389" t="str">
        <f>IF($N389="","",Sync!$P389)</f>
        <v/>
      </c>
      <c r="AA389" t="str">
        <f>IF($A389="","",IF(COUNTIF($A$6:$A389,$A389)=1,1,0))</f>
        <v/>
      </c>
      <c r="AB389">
        <f>SUM($AA$6:$AA389)</f>
        <v>3</v>
      </c>
      <c r="AC389" t="str">
        <f t="shared" si="41"/>
        <v/>
      </c>
    </row>
    <row r="390" spans="1:29" x14ac:dyDescent="0.2">
      <c r="A390" t="str">
        <f>IF(OR(Entry!$B393="",Entry!$E393="",$E390="نامعتبر"),"",Entry!$E393)</f>
        <v/>
      </c>
      <c r="B390" t="str">
        <f>IF($A390="","",LEFT($E390,4)&amp;MID($E390,6,2)&amp;RIGHT($E390,2)&amp;$F390&amp;"|"&amp;"1"&amp;RIGHT("00000"&amp;385,5))</f>
        <v/>
      </c>
      <c r="C390" t="str">
        <f t="shared" ref="C390:C453" si="42">IF($B390="","",COUNTIFS($A$6:$A$1005,$A390,$B$6:$B$1005,"&lt;"&amp;$B390)+COUNTIFS($N$6:$N$2005,$A390,$P$6:$P$2005,"&lt;"&amp;$B390)+1)</f>
        <v/>
      </c>
      <c r="D390" t="str">
        <f t="shared" ref="D390:D453" si="43">IF($C390="","",$A390&amp;"|"&amp;RIGHT("000000"&amp;$C390,6))</f>
        <v/>
      </c>
      <c r="E390" t="str">
        <f>IF(Entry!$B393="","",IF(ISNUMBER(Entry!$B393),IF(AND(Entry!$B393&gt;=10000101,Entry!$B393&lt;=99991231),INT(Entry!$B393/10000)&amp;"/"&amp;RIGHT("00"&amp;INT(MOD(Entry!$B393,10000)/100),2)&amp;"/"&amp;RIGHT("00"&amp;MOD(Entry!$B393,100),2),"نامعتبر"),IF(LEN(Entry!$B393)=10,Entry!$B393,"نامعتبر")))</f>
        <v/>
      </c>
      <c r="F390" t="str">
        <f>IF(Entry!$B393="","",IF(Entry!$C393="","0000",IF(AND(ISNUMBER(Entry!$C393),Entry!$C393&gt;=0,Entry!$C393&lt;1),RIGHT("00"&amp;HOUR(Entry!$C393),2)&amp;RIGHT("00"&amp;MINUTE(Entry!$C393),2),IFERROR(RIGHT("00"&amp;VALUE(LEFT(Entry!$C393,FIND(":",Entry!$C393)-1)),2)&amp;RIGHT("00"&amp;VALUE(MID(Entry!$C393,FIND(":",Entry!$C393)+1,2)),2),"0000"))))</f>
        <v/>
      </c>
      <c r="G390" t="str">
        <f>IF($A390="","",Entry!$G393)</f>
        <v/>
      </c>
      <c r="H390" t="str">
        <f>IF($A390="","",IF(Entry!$H393="",0,Entry!$H393))</f>
        <v/>
      </c>
      <c r="I390" t="str">
        <f>IF($A390="","",IF(Entry!$I393="",0,Entry!$I393))</f>
        <v/>
      </c>
      <c r="J390" t="str">
        <f t="shared" ref="J390:J453" si="44">IF($A390="","",ROUND($H390*$I390,0))</f>
        <v/>
      </c>
      <c r="K390" t="str">
        <f>IF($A390="","",Entry!$D393)</f>
        <v/>
      </c>
      <c r="L390" t="str">
        <f>IF($A390="","",Entry!$L393)</f>
        <v/>
      </c>
      <c r="N390" t="str">
        <f>IF(OR(Sync!$M390="",$Q390="",$Q390="نامعتبر"),"",Sync!$M390)</f>
        <v/>
      </c>
      <c r="O390" t="str">
        <f t="shared" ref="O390:O453" si="45">IF($N390="","",$Q390)</f>
        <v/>
      </c>
      <c r="P390" t="str">
        <f>IF($N390="","",LEFT($Q390,4)&amp;MID($Q390,6,2)&amp;RIGHT($Q390,2)&amp;IF(Sync!$K390="","0000",IF(AND(ISNUMBER(Sync!$K390),Sync!$K390&gt;=0,Sync!$K390&lt;1),RIGHT("00"&amp;HOUR(Sync!$K390),2)&amp;RIGHT("00"&amp;MINUTE(Sync!$K390),2),IFERROR(RIGHT("00"&amp;VALUE(LEFT(Sync!$K390,FIND(":",Sync!$K390)-1)),2)&amp;RIGHT("00"&amp;VALUE(MID(Sync!$K390,FIND(":",Sync!$K390)+1,2)),2),"0000")))&amp;"|"&amp;"2"&amp;RIGHT("00000"&amp;385,5))</f>
        <v/>
      </c>
      <c r="Q390" t="str">
        <f>IF(Sync!$J390="","",IF(ISNUMBER(Sync!$J390),IF(AND(Sync!$J390&gt;=10000101,Sync!$J390&lt;=99991231),INT(Sync!$J390/10000)&amp;"/"&amp;RIGHT("00"&amp;INT(MOD(Sync!$J390,10000)/100),2)&amp;"/"&amp;RIGHT("00"&amp;MOD(Sync!$J390,100),2),"نامعتبر"),IF(LEN(Sync!$J390)=10,Sync!$J390,"نامعتبر")))</f>
        <v/>
      </c>
      <c r="R390" t="str">
        <f t="shared" ref="R390:R453" si="46">IF($P390="","",COUNTIFS($N$6:$N$2005,$N390,$P$6:$P$2005,"&lt;"&amp;$P390)+COUNTIFS($A$6:$A$1005,$N390,$B$6:$B$1005,"&lt;"&amp;$P390)+1)</f>
        <v/>
      </c>
      <c r="S390" t="str">
        <f t="shared" ref="S390:S453" si="47">IF($N390="","",$N390&amp;"|"&amp;RIGHT("000000"&amp;$R390,6))</f>
        <v/>
      </c>
      <c r="T390" t="str">
        <f>IF($N390="","",IF(Sync!$N390="",0,Sync!$N390))</f>
        <v/>
      </c>
      <c r="U390" t="str">
        <f>IF($N390="","",IF(Sync!$O390="",0,Sync!$O390))</f>
        <v/>
      </c>
      <c r="V390" t="str">
        <f>IF($N390="","",Sync!$L390)</f>
        <v/>
      </c>
      <c r="W390" t="str">
        <f>IF($N390="","",Sync!$P390)</f>
        <v/>
      </c>
      <c r="AA390" t="str">
        <f>IF($A390="","",IF(COUNTIF($A$6:$A390,$A390)=1,1,0))</f>
        <v/>
      </c>
      <c r="AB390">
        <f>SUM($AA$6:$AA390)</f>
        <v>3</v>
      </c>
      <c r="AC390" t="str">
        <f t="shared" ref="AC390:AC453" si="48">IFERROR(INDEX($A$6:$A$1005,MATCH(ROW()-5,$AB$6:$AB$1005,0)),"")</f>
        <v/>
      </c>
    </row>
    <row r="391" spans="1:29" x14ac:dyDescent="0.2">
      <c r="A391" t="str">
        <f>IF(OR(Entry!$B394="",Entry!$E394="",$E391="نامعتبر"),"",Entry!$E394)</f>
        <v/>
      </c>
      <c r="B391" t="str">
        <f>IF($A391="","",LEFT($E391,4)&amp;MID($E391,6,2)&amp;RIGHT($E391,2)&amp;$F391&amp;"|"&amp;"1"&amp;RIGHT("00000"&amp;386,5))</f>
        <v/>
      </c>
      <c r="C391" t="str">
        <f t="shared" si="42"/>
        <v/>
      </c>
      <c r="D391" t="str">
        <f t="shared" si="43"/>
        <v/>
      </c>
      <c r="E391" t="str">
        <f>IF(Entry!$B394="","",IF(ISNUMBER(Entry!$B394),IF(AND(Entry!$B394&gt;=10000101,Entry!$B394&lt;=99991231),INT(Entry!$B394/10000)&amp;"/"&amp;RIGHT("00"&amp;INT(MOD(Entry!$B394,10000)/100),2)&amp;"/"&amp;RIGHT("00"&amp;MOD(Entry!$B394,100),2),"نامعتبر"),IF(LEN(Entry!$B394)=10,Entry!$B394,"نامعتبر")))</f>
        <v/>
      </c>
      <c r="F391" t="str">
        <f>IF(Entry!$B394="","",IF(Entry!$C394="","0000",IF(AND(ISNUMBER(Entry!$C394),Entry!$C394&gt;=0,Entry!$C394&lt;1),RIGHT("00"&amp;HOUR(Entry!$C394),2)&amp;RIGHT("00"&amp;MINUTE(Entry!$C394),2),IFERROR(RIGHT("00"&amp;VALUE(LEFT(Entry!$C394,FIND(":",Entry!$C394)-1)),2)&amp;RIGHT("00"&amp;VALUE(MID(Entry!$C394,FIND(":",Entry!$C394)+1,2)),2),"0000"))))</f>
        <v/>
      </c>
      <c r="G391" t="str">
        <f>IF($A391="","",Entry!$G394)</f>
        <v/>
      </c>
      <c r="H391" t="str">
        <f>IF($A391="","",IF(Entry!$H394="",0,Entry!$H394))</f>
        <v/>
      </c>
      <c r="I391" t="str">
        <f>IF($A391="","",IF(Entry!$I394="",0,Entry!$I394))</f>
        <v/>
      </c>
      <c r="J391" t="str">
        <f t="shared" si="44"/>
        <v/>
      </c>
      <c r="K391" t="str">
        <f>IF($A391="","",Entry!$D394)</f>
        <v/>
      </c>
      <c r="L391" t="str">
        <f>IF($A391="","",Entry!$L394)</f>
        <v/>
      </c>
      <c r="N391" t="str">
        <f>IF(OR(Sync!$M391="",$Q391="",$Q391="نامعتبر"),"",Sync!$M391)</f>
        <v/>
      </c>
      <c r="O391" t="str">
        <f t="shared" si="45"/>
        <v/>
      </c>
      <c r="P391" t="str">
        <f>IF($N391="","",LEFT($Q391,4)&amp;MID($Q391,6,2)&amp;RIGHT($Q391,2)&amp;IF(Sync!$K391="","0000",IF(AND(ISNUMBER(Sync!$K391),Sync!$K391&gt;=0,Sync!$K391&lt;1),RIGHT("00"&amp;HOUR(Sync!$K391),2)&amp;RIGHT("00"&amp;MINUTE(Sync!$K391),2),IFERROR(RIGHT("00"&amp;VALUE(LEFT(Sync!$K391,FIND(":",Sync!$K391)-1)),2)&amp;RIGHT("00"&amp;VALUE(MID(Sync!$K391,FIND(":",Sync!$K391)+1,2)),2),"0000")))&amp;"|"&amp;"2"&amp;RIGHT("00000"&amp;386,5))</f>
        <v/>
      </c>
      <c r="Q391" t="str">
        <f>IF(Sync!$J391="","",IF(ISNUMBER(Sync!$J391),IF(AND(Sync!$J391&gt;=10000101,Sync!$J391&lt;=99991231),INT(Sync!$J391/10000)&amp;"/"&amp;RIGHT("00"&amp;INT(MOD(Sync!$J391,10000)/100),2)&amp;"/"&amp;RIGHT("00"&amp;MOD(Sync!$J391,100),2),"نامعتبر"),IF(LEN(Sync!$J391)=10,Sync!$J391,"نامعتبر")))</f>
        <v/>
      </c>
      <c r="R391" t="str">
        <f t="shared" si="46"/>
        <v/>
      </c>
      <c r="S391" t="str">
        <f t="shared" si="47"/>
        <v/>
      </c>
      <c r="T391" t="str">
        <f>IF($N391="","",IF(Sync!$N391="",0,Sync!$N391))</f>
        <v/>
      </c>
      <c r="U391" t="str">
        <f>IF($N391="","",IF(Sync!$O391="",0,Sync!$O391))</f>
        <v/>
      </c>
      <c r="V391" t="str">
        <f>IF($N391="","",Sync!$L391)</f>
        <v/>
      </c>
      <c r="W391" t="str">
        <f>IF($N391="","",Sync!$P391)</f>
        <v/>
      </c>
      <c r="AA391" t="str">
        <f>IF($A391="","",IF(COUNTIF($A$6:$A391,$A391)=1,1,0))</f>
        <v/>
      </c>
      <c r="AB391">
        <f>SUM($AA$6:$AA391)</f>
        <v>3</v>
      </c>
      <c r="AC391" t="str">
        <f t="shared" si="48"/>
        <v/>
      </c>
    </row>
    <row r="392" spans="1:29" x14ac:dyDescent="0.2">
      <c r="A392" t="str">
        <f>IF(OR(Entry!$B395="",Entry!$E395="",$E392="نامعتبر"),"",Entry!$E395)</f>
        <v/>
      </c>
      <c r="B392" t="str">
        <f>IF($A392="","",LEFT($E392,4)&amp;MID($E392,6,2)&amp;RIGHT($E392,2)&amp;$F392&amp;"|"&amp;"1"&amp;RIGHT("00000"&amp;387,5))</f>
        <v/>
      </c>
      <c r="C392" t="str">
        <f t="shared" si="42"/>
        <v/>
      </c>
      <c r="D392" t="str">
        <f t="shared" si="43"/>
        <v/>
      </c>
      <c r="E392" t="str">
        <f>IF(Entry!$B395="","",IF(ISNUMBER(Entry!$B395),IF(AND(Entry!$B395&gt;=10000101,Entry!$B395&lt;=99991231),INT(Entry!$B395/10000)&amp;"/"&amp;RIGHT("00"&amp;INT(MOD(Entry!$B395,10000)/100),2)&amp;"/"&amp;RIGHT("00"&amp;MOD(Entry!$B395,100),2),"نامعتبر"),IF(LEN(Entry!$B395)=10,Entry!$B395,"نامعتبر")))</f>
        <v/>
      </c>
      <c r="F392" t="str">
        <f>IF(Entry!$B395="","",IF(Entry!$C395="","0000",IF(AND(ISNUMBER(Entry!$C395),Entry!$C395&gt;=0,Entry!$C395&lt;1),RIGHT("00"&amp;HOUR(Entry!$C395),2)&amp;RIGHT("00"&amp;MINUTE(Entry!$C395),2),IFERROR(RIGHT("00"&amp;VALUE(LEFT(Entry!$C395,FIND(":",Entry!$C395)-1)),2)&amp;RIGHT("00"&amp;VALUE(MID(Entry!$C395,FIND(":",Entry!$C395)+1,2)),2),"0000"))))</f>
        <v/>
      </c>
      <c r="G392" t="str">
        <f>IF($A392="","",Entry!$G395)</f>
        <v/>
      </c>
      <c r="H392" t="str">
        <f>IF($A392="","",IF(Entry!$H395="",0,Entry!$H395))</f>
        <v/>
      </c>
      <c r="I392" t="str">
        <f>IF($A392="","",IF(Entry!$I395="",0,Entry!$I395))</f>
        <v/>
      </c>
      <c r="J392" t="str">
        <f t="shared" si="44"/>
        <v/>
      </c>
      <c r="K392" t="str">
        <f>IF($A392="","",Entry!$D395)</f>
        <v/>
      </c>
      <c r="L392" t="str">
        <f>IF($A392="","",Entry!$L395)</f>
        <v/>
      </c>
      <c r="N392" t="str">
        <f>IF(OR(Sync!$M392="",$Q392="",$Q392="نامعتبر"),"",Sync!$M392)</f>
        <v/>
      </c>
      <c r="O392" t="str">
        <f t="shared" si="45"/>
        <v/>
      </c>
      <c r="P392" t="str">
        <f>IF($N392="","",LEFT($Q392,4)&amp;MID($Q392,6,2)&amp;RIGHT($Q392,2)&amp;IF(Sync!$K392="","0000",IF(AND(ISNUMBER(Sync!$K392),Sync!$K392&gt;=0,Sync!$K392&lt;1),RIGHT("00"&amp;HOUR(Sync!$K392),2)&amp;RIGHT("00"&amp;MINUTE(Sync!$K392),2),IFERROR(RIGHT("00"&amp;VALUE(LEFT(Sync!$K392,FIND(":",Sync!$K392)-1)),2)&amp;RIGHT("00"&amp;VALUE(MID(Sync!$K392,FIND(":",Sync!$K392)+1,2)),2),"0000")))&amp;"|"&amp;"2"&amp;RIGHT("00000"&amp;387,5))</f>
        <v/>
      </c>
      <c r="Q392" t="str">
        <f>IF(Sync!$J392="","",IF(ISNUMBER(Sync!$J392),IF(AND(Sync!$J392&gt;=10000101,Sync!$J392&lt;=99991231),INT(Sync!$J392/10000)&amp;"/"&amp;RIGHT("00"&amp;INT(MOD(Sync!$J392,10000)/100),2)&amp;"/"&amp;RIGHT("00"&amp;MOD(Sync!$J392,100),2),"نامعتبر"),IF(LEN(Sync!$J392)=10,Sync!$J392,"نامعتبر")))</f>
        <v/>
      </c>
      <c r="R392" t="str">
        <f t="shared" si="46"/>
        <v/>
      </c>
      <c r="S392" t="str">
        <f t="shared" si="47"/>
        <v/>
      </c>
      <c r="T392" t="str">
        <f>IF($N392="","",IF(Sync!$N392="",0,Sync!$N392))</f>
        <v/>
      </c>
      <c r="U392" t="str">
        <f>IF($N392="","",IF(Sync!$O392="",0,Sync!$O392))</f>
        <v/>
      </c>
      <c r="V392" t="str">
        <f>IF($N392="","",Sync!$L392)</f>
        <v/>
      </c>
      <c r="W392" t="str">
        <f>IF($N392="","",Sync!$P392)</f>
        <v/>
      </c>
      <c r="AA392" t="str">
        <f>IF($A392="","",IF(COUNTIF($A$6:$A392,$A392)=1,1,0))</f>
        <v/>
      </c>
      <c r="AB392">
        <f>SUM($AA$6:$AA392)</f>
        <v>3</v>
      </c>
      <c r="AC392" t="str">
        <f t="shared" si="48"/>
        <v/>
      </c>
    </row>
    <row r="393" spans="1:29" x14ac:dyDescent="0.2">
      <c r="A393" t="str">
        <f>IF(OR(Entry!$B396="",Entry!$E396="",$E393="نامعتبر"),"",Entry!$E396)</f>
        <v/>
      </c>
      <c r="B393" t="str">
        <f>IF($A393="","",LEFT($E393,4)&amp;MID($E393,6,2)&amp;RIGHT($E393,2)&amp;$F393&amp;"|"&amp;"1"&amp;RIGHT("00000"&amp;388,5))</f>
        <v/>
      </c>
      <c r="C393" t="str">
        <f t="shared" si="42"/>
        <v/>
      </c>
      <c r="D393" t="str">
        <f t="shared" si="43"/>
        <v/>
      </c>
      <c r="E393" t="str">
        <f>IF(Entry!$B396="","",IF(ISNUMBER(Entry!$B396),IF(AND(Entry!$B396&gt;=10000101,Entry!$B396&lt;=99991231),INT(Entry!$B396/10000)&amp;"/"&amp;RIGHT("00"&amp;INT(MOD(Entry!$B396,10000)/100),2)&amp;"/"&amp;RIGHT("00"&amp;MOD(Entry!$B396,100),2),"نامعتبر"),IF(LEN(Entry!$B396)=10,Entry!$B396,"نامعتبر")))</f>
        <v/>
      </c>
      <c r="F393" t="str">
        <f>IF(Entry!$B396="","",IF(Entry!$C396="","0000",IF(AND(ISNUMBER(Entry!$C396),Entry!$C396&gt;=0,Entry!$C396&lt;1),RIGHT("00"&amp;HOUR(Entry!$C396),2)&amp;RIGHT("00"&amp;MINUTE(Entry!$C396),2),IFERROR(RIGHT("00"&amp;VALUE(LEFT(Entry!$C396,FIND(":",Entry!$C396)-1)),2)&amp;RIGHT("00"&amp;VALUE(MID(Entry!$C396,FIND(":",Entry!$C396)+1,2)),2),"0000"))))</f>
        <v/>
      </c>
      <c r="G393" t="str">
        <f>IF($A393="","",Entry!$G396)</f>
        <v/>
      </c>
      <c r="H393" t="str">
        <f>IF($A393="","",IF(Entry!$H396="",0,Entry!$H396))</f>
        <v/>
      </c>
      <c r="I393" t="str">
        <f>IF($A393="","",IF(Entry!$I396="",0,Entry!$I396))</f>
        <v/>
      </c>
      <c r="J393" t="str">
        <f t="shared" si="44"/>
        <v/>
      </c>
      <c r="K393" t="str">
        <f>IF($A393="","",Entry!$D396)</f>
        <v/>
      </c>
      <c r="L393" t="str">
        <f>IF($A393="","",Entry!$L396)</f>
        <v/>
      </c>
      <c r="N393" t="str">
        <f>IF(OR(Sync!$M393="",$Q393="",$Q393="نامعتبر"),"",Sync!$M393)</f>
        <v/>
      </c>
      <c r="O393" t="str">
        <f t="shared" si="45"/>
        <v/>
      </c>
      <c r="P393" t="str">
        <f>IF($N393="","",LEFT($Q393,4)&amp;MID($Q393,6,2)&amp;RIGHT($Q393,2)&amp;IF(Sync!$K393="","0000",IF(AND(ISNUMBER(Sync!$K393),Sync!$K393&gt;=0,Sync!$K393&lt;1),RIGHT("00"&amp;HOUR(Sync!$K393),2)&amp;RIGHT("00"&amp;MINUTE(Sync!$K393),2),IFERROR(RIGHT("00"&amp;VALUE(LEFT(Sync!$K393,FIND(":",Sync!$K393)-1)),2)&amp;RIGHT("00"&amp;VALUE(MID(Sync!$K393,FIND(":",Sync!$K393)+1,2)),2),"0000")))&amp;"|"&amp;"2"&amp;RIGHT("00000"&amp;388,5))</f>
        <v/>
      </c>
      <c r="Q393" t="str">
        <f>IF(Sync!$J393="","",IF(ISNUMBER(Sync!$J393),IF(AND(Sync!$J393&gt;=10000101,Sync!$J393&lt;=99991231),INT(Sync!$J393/10000)&amp;"/"&amp;RIGHT("00"&amp;INT(MOD(Sync!$J393,10000)/100),2)&amp;"/"&amp;RIGHT("00"&amp;MOD(Sync!$J393,100),2),"نامعتبر"),IF(LEN(Sync!$J393)=10,Sync!$J393,"نامعتبر")))</f>
        <v/>
      </c>
      <c r="R393" t="str">
        <f t="shared" si="46"/>
        <v/>
      </c>
      <c r="S393" t="str">
        <f t="shared" si="47"/>
        <v/>
      </c>
      <c r="T393" t="str">
        <f>IF($N393="","",IF(Sync!$N393="",0,Sync!$N393))</f>
        <v/>
      </c>
      <c r="U393" t="str">
        <f>IF($N393="","",IF(Sync!$O393="",0,Sync!$O393))</f>
        <v/>
      </c>
      <c r="V393" t="str">
        <f>IF($N393="","",Sync!$L393)</f>
        <v/>
      </c>
      <c r="W393" t="str">
        <f>IF($N393="","",Sync!$P393)</f>
        <v/>
      </c>
      <c r="AA393" t="str">
        <f>IF($A393="","",IF(COUNTIF($A$6:$A393,$A393)=1,1,0))</f>
        <v/>
      </c>
      <c r="AB393">
        <f>SUM($AA$6:$AA393)</f>
        <v>3</v>
      </c>
      <c r="AC393" t="str">
        <f t="shared" si="48"/>
        <v/>
      </c>
    </row>
    <row r="394" spans="1:29" x14ac:dyDescent="0.2">
      <c r="A394" t="str">
        <f>IF(OR(Entry!$B397="",Entry!$E397="",$E394="نامعتبر"),"",Entry!$E397)</f>
        <v/>
      </c>
      <c r="B394" t="str">
        <f>IF($A394="","",LEFT($E394,4)&amp;MID($E394,6,2)&amp;RIGHT($E394,2)&amp;$F394&amp;"|"&amp;"1"&amp;RIGHT("00000"&amp;389,5))</f>
        <v/>
      </c>
      <c r="C394" t="str">
        <f t="shared" si="42"/>
        <v/>
      </c>
      <c r="D394" t="str">
        <f t="shared" si="43"/>
        <v/>
      </c>
      <c r="E394" t="str">
        <f>IF(Entry!$B397="","",IF(ISNUMBER(Entry!$B397),IF(AND(Entry!$B397&gt;=10000101,Entry!$B397&lt;=99991231),INT(Entry!$B397/10000)&amp;"/"&amp;RIGHT("00"&amp;INT(MOD(Entry!$B397,10000)/100),2)&amp;"/"&amp;RIGHT("00"&amp;MOD(Entry!$B397,100),2),"نامعتبر"),IF(LEN(Entry!$B397)=10,Entry!$B397,"نامعتبر")))</f>
        <v/>
      </c>
      <c r="F394" t="str">
        <f>IF(Entry!$B397="","",IF(Entry!$C397="","0000",IF(AND(ISNUMBER(Entry!$C397),Entry!$C397&gt;=0,Entry!$C397&lt;1),RIGHT("00"&amp;HOUR(Entry!$C397),2)&amp;RIGHT("00"&amp;MINUTE(Entry!$C397),2),IFERROR(RIGHT("00"&amp;VALUE(LEFT(Entry!$C397,FIND(":",Entry!$C397)-1)),2)&amp;RIGHT("00"&amp;VALUE(MID(Entry!$C397,FIND(":",Entry!$C397)+1,2)),2),"0000"))))</f>
        <v/>
      </c>
      <c r="G394" t="str">
        <f>IF($A394="","",Entry!$G397)</f>
        <v/>
      </c>
      <c r="H394" t="str">
        <f>IF($A394="","",IF(Entry!$H397="",0,Entry!$H397))</f>
        <v/>
      </c>
      <c r="I394" t="str">
        <f>IF($A394="","",IF(Entry!$I397="",0,Entry!$I397))</f>
        <v/>
      </c>
      <c r="J394" t="str">
        <f t="shared" si="44"/>
        <v/>
      </c>
      <c r="K394" t="str">
        <f>IF($A394="","",Entry!$D397)</f>
        <v/>
      </c>
      <c r="L394" t="str">
        <f>IF($A394="","",Entry!$L397)</f>
        <v/>
      </c>
      <c r="N394" t="str">
        <f>IF(OR(Sync!$M394="",$Q394="",$Q394="نامعتبر"),"",Sync!$M394)</f>
        <v/>
      </c>
      <c r="O394" t="str">
        <f t="shared" si="45"/>
        <v/>
      </c>
      <c r="P394" t="str">
        <f>IF($N394="","",LEFT($Q394,4)&amp;MID($Q394,6,2)&amp;RIGHT($Q394,2)&amp;IF(Sync!$K394="","0000",IF(AND(ISNUMBER(Sync!$K394),Sync!$K394&gt;=0,Sync!$K394&lt;1),RIGHT("00"&amp;HOUR(Sync!$K394),2)&amp;RIGHT("00"&amp;MINUTE(Sync!$K394),2),IFERROR(RIGHT("00"&amp;VALUE(LEFT(Sync!$K394,FIND(":",Sync!$K394)-1)),2)&amp;RIGHT("00"&amp;VALUE(MID(Sync!$K394,FIND(":",Sync!$K394)+1,2)),2),"0000")))&amp;"|"&amp;"2"&amp;RIGHT("00000"&amp;389,5))</f>
        <v/>
      </c>
      <c r="Q394" t="str">
        <f>IF(Sync!$J394="","",IF(ISNUMBER(Sync!$J394),IF(AND(Sync!$J394&gt;=10000101,Sync!$J394&lt;=99991231),INT(Sync!$J394/10000)&amp;"/"&amp;RIGHT("00"&amp;INT(MOD(Sync!$J394,10000)/100),2)&amp;"/"&amp;RIGHT("00"&amp;MOD(Sync!$J394,100),2),"نامعتبر"),IF(LEN(Sync!$J394)=10,Sync!$J394,"نامعتبر")))</f>
        <v/>
      </c>
      <c r="R394" t="str">
        <f t="shared" si="46"/>
        <v/>
      </c>
      <c r="S394" t="str">
        <f t="shared" si="47"/>
        <v/>
      </c>
      <c r="T394" t="str">
        <f>IF($N394="","",IF(Sync!$N394="",0,Sync!$N394))</f>
        <v/>
      </c>
      <c r="U394" t="str">
        <f>IF($N394="","",IF(Sync!$O394="",0,Sync!$O394))</f>
        <v/>
      </c>
      <c r="V394" t="str">
        <f>IF($N394="","",Sync!$L394)</f>
        <v/>
      </c>
      <c r="W394" t="str">
        <f>IF($N394="","",Sync!$P394)</f>
        <v/>
      </c>
      <c r="AA394" t="str">
        <f>IF($A394="","",IF(COUNTIF($A$6:$A394,$A394)=1,1,0))</f>
        <v/>
      </c>
      <c r="AB394">
        <f>SUM($AA$6:$AA394)</f>
        <v>3</v>
      </c>
      <c r="AC394" t="str">
        <f t="shared" si="48"/>
        <v/>
      </c>
    </row>
    <row r="395" spans="1:29" x14ac:dyDescent="0.2">
      <c r="A395" t="str">
        <f>IF(OR(Entry!$B398="",Entry!$E398="",$E395="نامعتبر"),"",Entry!$E398)</f>
        <v/>
      </c>
      <c r="B395" t="str">
        <f>IF($A395="","",LEFT($E395,4)&amp;MID($E395,6,2)&amp;RIGHT($E395,2)&amp;$F395&amp;"|"&amp;"1"&amp;RIGHT("00000"&amp;390,5))</f>
        <v/>
      </c>
      <c r="C395" t="str">
        <f t="shared" si="42"/>
        <v/>
      </c>
      <c r="D395" t="str">
        <f t="shared" si="43"/>
        <v/>
      </c>
      <c r="E395" t="str">
        <f>IF(Entry!$B398="","",IF(ISNUMBER(Entry!$B398),IF(AND(Entry!$B398&gt;=10000101,Entry!$B398&lt;=99991231),INT(Entry!$B398/10000)&amp;"/"&amp;RIGHT("00"&amp;INT(MOD(Entry!$B398,10000)/100),2)&amp;"/"&amp;RIGHT("00"&amp;MOD(Entry!$B398,100),2),"نامعتبر"),IF(LEN(Entry!$B398)=10,Entry!$B398,"نامعتبر")))</f>
        <v/>
      </c>
      <c r="F395" t="str">
        <f>IF(Entry!$B398="","",IF(Entry!$C398="","0000",IF(AND(ISNUMBER(Entry!$C398),Entry!$C398&gt;=0,Entry!$C398&lt;1),RIGHT("00"&amp;HOUR(Entry!$C398),2)&amp;RIGHT("00"&amp;MINUTE(Entry!$C398),2),IFERROR(RIGHT("00"&amp;VALUE(LEFT(Entry!$C398,FIND(":",Entry!$C398)-1)),2)&amp;RIGHT("00"&amp;VALUE(MID(Entry!$C398,FIND(":",Entry!$C398)+1,2)),2),"0000"))))</f>
        <v/>
      </c>
      <c r="G395" t="str">
        <f>IF($A395="","",Entry!$G398)</f>
        <v/>
      </c>
      <c r="H395" t="str">
        <f>IF($A395="","",IF(Entry!$H398="",0,Entry!$H398))</f>
        <v/>
      </c>
      <c r="I395" t="str">
        <f>IF($A395="","",IF(Entry!$I398="",0,Entry!$I398))</f>
        <v/>
      </c>
      <c r="J395" t="str">
        <f t="shared" si="44"/>
        <v/>
      </c>
      <c r="K395" t="str">
        <f>IF($A395="","",Entry!$D398)</f>
        <v/>
      </c>
      <c r="L395" t="str">
        <f>IF($A395="","",Entry!$L398)</f>
        <v/>
      </c>
      <c r="N395" t="str">
        <f>IF(OR(Sync!$M395="",$Q395="",$Q395="نامعتبر"),"",Sync!$M395)</f>
        <v/>
      </c>
      <c r="O395" t="str">
        <f t="shared" si="45"/>
        <v/>
      </c>
      <c r="P395" t="str">
        <f>IF($N395="","",LEFT($Q395,4)&amp;MID($Q395,6,2)&amp;RIGHT($Q395,2)&amp;IF(Sync!$K395="","0000",IF(AND(ISNUMBER(Sync!$K395),Sync!$K395&gt;=0,Sync!$K395&lt;1),RIGHT("00"&amp;HOUR(Sync!$K395),2)&amp;RIGHT("00"&amp;MINUTE(Sync!$K395),2),IFERROR(RIGHT("00"&amp;VALUE(LEFT(Sync!$K395,FIND(":",Sync!$K395)-1)),2)&amp;RIGHT("00"&amp;VALUE(MID(Sync!$K395,FIND(":",Sync!$K395)+1,2)),2),"0000")))&amp;"|"&amp;"2"&amp;RIGHT("00000"&amp;390,5))</f>
        <v/>
      </c>
      <c r="Q395" t="str">
        <f>IF(Sync!$J395="","",IF(ISNUMBER(Sync!$J395),IF(AND(Sync!$J395&gt;=10000101,Sync!$J395&lt;=99991231),INT(Sync!$J395/10000)&amp;"/"&amp;RIGHT("00"&amp;INT(MOD(Sync!$J395,10000)/100),2)&amp;"/"&amp;RIGHT("00"&amp;MOD(Sync!$J395,100),2),"نامعتبر"),IF(LEN(Sync!$J395)=10,Sync!$J395,"نامعتبر")))</f>
        <v/>
      </c>
      <c r="R395" t="str">
        <f t="shared" si="46"/>
        <v/>
      </c>
      <c r="S395" t="str">
        <f t="shared" si="47"/>
        <v/>
      </c>
      <c r="T395" t="str">
        <f>IF($N395="","",IF(Sync!$N395="",0,Sync!$N395))</f>
        <v/>
      </c>
      <c r="U395" t="str">
        <f>IF($N395="","",IF(Sync!$O395="",0,Sync!$O395))</f>
        <v/>
      </c>
      <c r="V395" t="str">
        <f>IF($N395="","",Sync!$L395)</f>
        <v/>
      </c>
      <c r="W395" t="str">
        <f>IF($N395="","",Sync!$P395)</f>
        <v/>
      </c>
      <c r="AA395" t="str">
        <f>IF($A395="","",IF(COUNTIF($A$6:$A395,$A395)=1,1,0))</f>
        <v/>
      </c>
      <c r="AB395">
        <f>SUM($AA$6:$AA395)</f>
        <v>3</v>
      </c>
      <c r="AC395" t="str">
        <f t="shared" si="48"/>
        <v/>
      </c>
    </row>
    <row r="396" spans="1:29" x14ac:dyDescent="0.2">
      <c r="A396" t="str">
        <f>IF(OR(Entry!$B399="",Entry!$E399="",$E396="نامعتبر"),"",Entry!$E399)</f>
        <v/>
      </c>
      <c r="B396" t="str">
        <f>IF($A396="","",LEFT($E396,4)&amp;MID($E396,6,2)&amp;RIGHT($E396,2)&amp;$F396&amp;"|"&amp;"1"&amp;RIGHT("00000"&amp;391,5))</f>
        <v/>
      </c>
      <c r="C396" t="str">
        <f t="shared" si="42"/>
        <v/>
      </c>
      <c r="D396" t="str">
        <f t="shared" si="43"/>
        <v/>
      </c>
      <c r="E396" t="str">
        <f>IF(Entry!$B399="","",IF(ISNUMBER(Entry!$B399),IF(AND(Entry!$B399&gt;=10000101,Entry!$B399&lt;=99991231),INT(Entry!$B399/10000)&amp;"/"&amp;RIGHT("00"&amp;INT(MOD(Entry!$B399,10000)/100),2)&amp;"/"&amp;RIGHT("00"&amp;MOD(Entry!$B399,100),2),"نامعتبر"),IF(LEN(Entry!$B399)=10,Entry!$B399,"نامعتبر")))</f>
        <v/>
      </c>
      <c r="F396" t="str">
        <f>IF(Entry!$B399="","",IF(Entry!$C399="","0000",IF(AND(ISNUMBER(Entry!$C399),Entry!$C399&gt;=0,Entry!$C399&lt;1),RIGHT("00"&amp;HOUR(Entry!$C399),2)&amp;RIGHT("00"&amp;MINUTE(Entry!$C399),2),IFERROR(RIGHT("00"&amp;VALUE(LEFT(Entry!$C399,FIND(":",Entry!$C399)-1)),2)&amp;RIGHT("00"&amp;VALUE(MID(Entry!$C399,FIND(":",Entry!$C399)+1,2)),2),"0000"))))</f>
        <v/>
      </c>
      <c r="G396" t="str">
        <f>IF($A396="","",Entry!$G399)</f>
        <v/>
      </c>
      <c r="H396" t="str">
        <f>IF($A396="","",IF(Entry!$H399="",0,Entry!$H399))</f>
        <v/>
      </c>
      <c r="I396" t="str">
        <f>IF($A396="","",IF(Entry!$I399="",0,Entry!$I399))</f>
        <v/>
      </c>
      <c r="J396" t="str">
        <f t="shared" si="44"/>
        <v/>
      </c>
      <c r="K396" t="str">
        <f>IF($A396="","",Entry!$D399)</f>
        <v/>
      </c>
      <c r="L396" t="str">
        <f>IF($A396="","",Entry!$L399)</f>
        <v/>
      </c>
      <c r="N396" t="str">
        <f>IF(OR(Sync!$M396="",$Q396="",$Q396="نامعتبر"),"",Sync!$M396)</f>
        <v/>
      </c>
      <c r="O396" t="str">
        <f t="shared" si="45"/>
        <v/>
      </c>
      <c r="P396" t="str">
        <f>IF($N396="","",LEFT($Q396,4)&amp;MID($Q396,6,2)&amp;RIGHT($Q396,2)&amp;IF(Sync!$K396="","0000",IF(AND(ISNUMBER(Sync!$K396),Sync!$K396&gt;=0,Sync!$K396&lt;1),RIGHT("00"&amp;HOUR(Sync!$K396),2)&amp;RIGHT("00"&amp;MINUTE(Sync!$K396),2),IFERROR(RIGHT("00"&amp;VALUE(LEFT(Sync!$K396,FIND(":",Sync!$K396)-1)),2)&amp;RIGHT("00"&amp;VALUE(MID(Sync!$K396,FIND(":",Sync!$K396)+1,2)),2),"0000")))&amp;"|"&amp;"2"&amp;RIGHT("00000"&amp;391,5))</f>
        <v/>
      </c>
      <c r="Q396" t="str">
        <f>IF(Sync!$J396="","",IF(ISNUMBER(Sync!$J396),IF(AND(Sync!$J396&gt;=10000101,Sync!$J396&lt;=99991231),INT(Sync!$J396/10000)&amp;"/"&amp;RIGHT("00"&amp;INT(MOD(Sync!$J396,10000)/100),2)&amp;"/"&amp;RIGHT("00"&amp;MOD(Sync!$J396,100),2),"نامعتبر"),IF(LEN(Sync!$J396)=10,Sync!$J396,"نامعتبر")))</f>
        <v/>
      </c>
      <c r="R396" t="str">
        <f t="shared" si="46"/>
        <v/>
      </c>
      <c r="S396" t="str">
        <f t="shared" si="47"/>
        <v/>
      </c>
      <c r="T396" t="str">
        <f>IF($N396="","",IF(Sync!$N396="",0,Sync!$N396))</f>
        <v/>
      </c>
      <c r="U396" t="str">
        <f>IF($N396="","",IF(Sync!$O396="",0,Sync!$O396))</f>
        <v/>
      </c>
      <c r="V396" t="str">
        <f>IF($N396="","",Sync!$L396)</f>
        <v/>
      </c>
      <c r="W396" t="str">
        <f>IF($N396="","",Sync!$P396)</f>
        <v/>
      </c>
      <c r="AA396" t="str">
        <f>IF($A396="","",IF(COUNTIF($A$6:$A396,$A396)=1,1,0))</f>
        <v/>
      </c>
      <c r="AB396">
        <f>SUM($AA$6:$AA396)</f>
        <v>3</v>
      </c>
      <c r="AC396" t="str">
        <f t="shared" si="48"/>
        <v/>
      </c>
    </row>
    <row r="397" spans="1:29" x14ac:dyDescent="0.2">
      <c r="A397" t="str">
        <f>IF(OR(Entry!$B400="",Entry!$E400="",$E397="نامعتبر"),"",Entry!$E400)</f>
        <v/>
      </c>
      <c r="B397" t="str">
        <f>IF($A397="","",LEFT($E397,4)&amp;MID($E397,6,2)&amp;RIGHT($E397,2)&amp;$F397&amp;"|"&amp;"1"&amp;RIGHT("00000"&amp;392,5))</f>
        <v/>
      </c>
      <c r="C397" t="str">
        <f t="shared" si="42"/>
        <v/>
      </c>
      <c r="D397" t="str">
        <f t="shared" si="43"/>
        <v/>
      </c>
      <c r="E397" t="str">
        <f>IF(Entry!$B400="","",IF(ISNUMBER(Entry!$B400),IF(AND(Entry!$B400&gt;=10000101,Entry!$B400&lt;=99991231),INT(Entry!$B400/10000)&amp;"/"&amp;RIGHT("00"&amp;INT(MOD(Entry!$B400,10000)/100),2)&amp;"/"&amp;RIGHT("00"&amp;MOD(Entry!$B400,100),2),"نامعتبر"),IF(LEN(Entry!$B400)=10,Entry!$B400,"نامعتبر")))</f>
        <v/>
      </c>
      <c r="F397" t="str">
        <f>IF(Entry!$B400="","",IF(Entry!$C400="","0000",IF(AND(ISNUMBER(Entry!$C400),Entry!$C400&gt;=0,Entry!$C400&lt;1),RIGHT("00"&amp;HOUR(Entry!$C400),2)&amp;RIGHT("00"&amp;MINUTE(Entry!$C400),2),IFERROR(RIGHT("00"&amp;VALUE(LEFT(Entry!$C400,FIND(":",Entry!$C400)-1)),2)&amp;RIGHT("00"&amp;VALUE(MID(Entry!$C400,FIND(":",Entry!$C400)+1,2)),2),"0000"))))</f>
        <v/>
      </c>
      <c r="G397" t="str">
        <f>IF($A397="","",Entry!$G400)</f>
        <v/>
      </c>
      <c r="H397" t="str">
        <f>IF($A397="","",IF(Entry!$H400="",0,Entry!$H400))</f>
        <v/>
      </c>
      <c r="I397" t="str">
        <f>IF($A397="","",IF(Entry!$I400="",0,Entry!$I400))</f>
        <v/>
      </c>
      <c r="J397" t="str">
        <f t="shared" si="44"/>
        <v/>
      </c>
      <c r="K397" t="str">
        <f>IF($A397="","",Entry!$D400)</f>
        <v/>
      </c>
      <c r="L397" t="str">
        <f>IF($A397="","",Entry!$L400)</f>
        <v/>
      </c>
      <c r="N397" t="str">
        <f>IF(OR(Sync!$M397="",$Q397="",$Q397="نامعتبر"),"",Sync!$M397)</f>
        <v/>
      </c>
      <c r="O397" t="str">
        <f t="shared" si="45"/>
        <v/>
      </c>
      <c r="P397" t="str">
        <f>IF($N397="","",LEFT($Q397,4)&amp;MID($Q397,6,2)&amp;RIGHT($Q397,2)&amp;IF(Sync!$K397="","0000",IF(AND(ISNUMBER(Sync!$K397),Sync!$K397&gt;=0,Sync!$K397&lt;1),RIGHT("00"&amp;HOUR(Sync!$K397),2)&amp;RIGHT("00"&amp;MINUTE(Sync!$K397),2),IFERROR(RIGHT("00"&amp;VALUE(LEFT(Sync!$K397,FIND(":",Sync!$K397)-1)),2)&amp;RIGHT("00"&amp;VALUE(MID(Sync!$K397,FIND(":",Sync!$K397)+1,2)),2),"0000")))&amp;"|"&amp;"2"&amp;RIGHT("00000"&amp;392,5))</f>
        <v/>
      </c>
      <c r="Q397" t="str">
        <f>IF(Sync!$J397="","",IF(ISNUMBER(Sync!$J397),IF(AND(Sync!$J397&gt;=10000101,Sync!$J397&lt;=99991231),INT(Sync!$J397/10000)&amp;"/"&amp;RIGHT("00"&amp;INT(MOD(Sync!$J397,10000)/100),2)&amp;"/"&amp;RIGHT("00"&amp;MOD(Sync!$J397,100),2),"نامعتبر"),IF(LEN(Sync!$J397)=10,Sync!$J397,"نامعتبر")))</f>
        <v/>
      </c>
      <c r="R397" t="str">
        <f t="shared" si="46"/>
        <v/>
      </c>
      <c r="S397" t="str">
        <f t="shared" si="47"/>
        <v/>
      </c>
      <c r="T397" t="str">
        <f>IF($N397="","",IF(Sync!$N397="",0,Sync!$N397))</f>
        <v/>
      </c>
      <c r="U397" t="str">
        <f>IF($N397="","",IF(Sync!$O397="",0,Sync!$O397))</f>
        <v/>
      </c>
      <c r="V397" t="str">
        <f>IF($N397="","",Sync!$L397)</f>
        <v/>
      </c>
      <c r="W397" t="str">
        <f>IF($N397="","",Sync!$P397)</f>
        <v/>
      </c>
      <c r="AA397" t="str">
        <f>IF($A397="","",IF(COUNTIF($A$6:$A397,$A397)=1,1,0))</f>
        <v/>
      </c>
      <c r="AB397">
        <f>SUM($AA$6:$AA397)</f>
        <v>3</v>
      </c>
      <c r="AC397" t="str">
        <f t="shared" si="48"/>
        <v/>
      </c>
    </row>
    <row r="398" spans="1:29" x14ac:dyDescent="0.2">
      <c r="A398" t="str">
        <f>IF(OR(Entry!$B401="",Entry!$E401="",$E398="نامعتبر"),"",Entry!$E401)</f>
        <v/>
      </c>
      <c r="B398" t="str">
        <f>IF($A398="","",LEFT($E398,4)&amp;MID($E398,6,2)&amp;RIGHT($E398,2)&amp;$F398&amp;"|"&amp;"1"&amp;RIGHT("00000"&amp;393,5))</f>
        <v/>
      </c>
      <c r="C398" t="str">
        <f t="shared" si="42"/>
        <v/>
      </c>
      <c r="D398" t="str">
        <f t="shared" si="43"/>
        <v/>
      </c>
      <c r="E398" t="str">
        <f>IF(Entry!$B401="","",IF(ISNUMBER(Entry!$B401),IF(AND(Entry!$B401&gt;=10000101,Entry!$B401&lt;=99991231),INT(Entry!$B401/10000)&amp;"/"&amp;RIGHT("00"&amp;INT(MOD(Entry!$B401,10000)/100),2)&amp;"/"&amp;RIGHT("00"&amp;MOD(Entry!$B401,100),2),"نامعتبر"),IF(LEN(Entry!$B401)=10,Entry!$B401,"نامعتبر")))</f>
        <v/>
      </c>
      <c r="F398" t="str">
        <f>IF(Entry!$B401="","",IF(Entry!$C401="","0000",IF(AND(ISNUMBER(Entry!$C401),Entry!$C401&gt;=0,Entry!$C401&lt;1),RIGHT("00"&amp;HOUR(Entry!$C401),2)&amp;RIGHT("00"&amp;MINUTE(Entry!$C401),2),IFERROR(RIGHT("00"&amp;VALUE(LEFT(Entry!$C401,FIND(":",Entry!$C401)-1)),2)&amp;RIGHT("00"&amp;VALUE(MID(Entry!$C401,FIND(":",Entry!$C401)+1,2)),2),"0000"))))</f>
        <v/>
      </c>
      <c r="G398" t="str">
        <f>IF($A398="","",Entry!$G401)</f>
        <v/>
      </c>
      <c r="H398" t="str">
        <f>IF($A398="","",IF(Entry!$H401="",0,Entry!$H401))</f>
        <v/>
      </c>
      <c r="I398" t="str">
        <f>IF($A398="","",IF(Entry!$I401="",0,Entry!$I401))</f>
        <v/>
      </c>
      <c r="J398" t="str">
        <f t="shared" si="44"/>
        <v/>
      </c>
      <c r="K398" t="str">
        <f>IF($A398="","",Entry!$D401)</f>
        <v/>
      </c>
      <c r="L398" t="str">
        <f>IF($A398="","",Entry!$L401)</f>
        <v/>
      </c>
      <c r="N398" t="str">
        <f>IF(OR(Sync!$M398="",$Q398="",$Q398="نامعتبر"),"",Sync!$M398)</f>
        <v/>
      </c>
      <c r="O398" t="str">
        <f t="shared" si="45"/>
        <v/>
      </c>
      <c r="P398" t="str">
        <f>IF($N398="","",LEFT($Q398,4)&amp;MID($Q398,6,2)&amp;RIGHT($Q398,2)&amp;IF(Sync!$K398="","0000",IF(AND(ISNUMBER(Sync!$K398),Sync!$K398&gt;=0,Sync!$K398&lt;1),RIGHT("00"&amp;HOUR(Sync!$K398),2)&amp;RIGHT("00"&amp;MINUTE(Sync!$K398),2),IFERROR(RIGHT("00"&amp;VALUE(LEFT(Sync!$K398,FIND(":",Sync!$K398)-1)),2)&amp;RIGHT("00"&amp;VALUE(MID(Sync!$K398,FIND(":",Sync!$K398)+1,2)),2),"0000")))&amp;"|"&amp;"2"&amp;RIGHT("00000"&amp;393,5))</f>
        <v/>
      </c>
      <c r="Q398" t="str">
        <f>IF(Sync!$J398="","",IF(ISNUMBER(Sync!$J398),IF(AND(Sync!$J398&gt;=10000101,Sync!$J398&lt;=99991231),INT(Sync!$J398/10000)&amp;"/"&amp;RIGHT("00"&amp;INT(MOD(Sync!$J398,10000)/100),2)&amp;"/"&amp;RIGHT("00"&amp;MOD(Sync!$J398,100),2),"نامعتبر"),IF(LEN(Sync!$J398)=10,Sync!$J398,"نامعتبر")))</f>
        <v/>
      </c>
      <c r="R398" t="str">
        <f t="shared" si="46"/>
        <v/>
      </c>
      <c r="S398" t="str">
        <f t="shared" si="47"/>
        <v/>
      </c>
      <c r="T398" t="str">
        <f>IF($N398="","",IF(Sync!$N398="",0,Sync!$N398))</f>
        <v/>
      </c>
      <c r="U398" t="str">
        <f>IF($N398="","",IF(Sync!$O398="",0,Sync!$O398))</f>
        <v/>
      </c>
      <c r="V398" t="str">
        <f>IF($N398="","",Sync!$L398)</f>
        <v/>
      </c>
      <c r="W398" t="str">
        <f>IF($N398="","",Sync!$P398)</f>
        <v/>
      </c>
      <c r="AA398" t="str">
        <f>IF($A398="","",IF(COUNTIF($A$6:$A398,$A398)=1,1,0))</f>
        <v/>
      </c>
      <c r="AB398">
        <f>SUM($AA$6:$AA398)</f>
        <v>3</v>
      </c>
      <c r="AC398" t="str">
        <f t="shared" si="48"/>
        <v/>
      </c>
    </row>
    <row r="399" spans="1:29" x14ac:dyDescent="0.2">
      <c r="A399" t="str">
        <f>IF(OR(Entry!$B402="",Entry!$E402="",$E399="نامعتبر"),"",Entry!$E402)</f>
        <v/>
      </c>
      <c r="B399" t="str">
        <f>IF($A399="","",LEFT($E399,4)&amp;MID($E399,6,2)&amp;RIGHT($E399,2)&amp;$F399&amp;"|"&amp;"1"&amp;RIGHT("00000"&amp;394,5))</f>
        <v/>
      </c>
      <c r="C399" t="str">
        <f t="shared" si="42"/>
        <v/>
      </c>
      <c r="D399" t="str">
        <f t="shared" si="43"/>
        <v/>
      </c>
      <c r="E399" t="str">
        <f>IF(Entry!$B402="","",IF(ISNUMBER(Entry!$B402),IF(AND(Entry!$B402&gt;=10000101,Entry!$B402&lt;=99991231),INT(Entry!$B402/10000)&amp;"/"&amp;RIGHT("00"&amp;INT(MOD(Entry!$B402,10000)/100),2)&amp;"/"&amp;RIGHT("00"&amp;MOD(Entry!$B402,100),2),"نامعتبر"),IF(LEN(Entry!$B402)=10,Entry!$B402,"نامعتبر")))</f>
        <v/>
      </c>
      <c r="F399" t="str">
        <f>IF(Entry!$B402="","",IF(Entry!$C402="","0000",IF(AND(ISNUMBER(Entry!$C402),Entry!$C402&gt;=0,Entry!$C402&lt;1),RIGHT("00"&amp;HOUR(Entry!$C402),2)&amp;RIGHT("00"&amp;MINUTE(Entry!$C402),2),IFERROR(RIGHT("00"&amp;VALUE(LEFT(Entry!$C402,FIND(":",Entry!$C402)-1)),2)&amp;RIGHT("00"&amp;VALUE(MID(Entry!$C402,FIND(":",Entry!$C402)+1,2)),2),"0000"))))</f>
        <v/>
      </c>
      <c r="G399" t="str">
        <f>IF($A399="","",Entry!$G402)</f>
        <v/>
      </c>
      <c r="H399" t="str">
        <f>IF($A399="","",IF(Entry!$H402="",0,Entry!$H402))</f>
        <v/>
      </c>
      <c r="I399" t="str">
        <f>IF($A399="","",IF(Entry!$I402="",0,Entry!$I402))</f>
        <v/>
      </c>
      <c r="J399" t="str">
        <f t="shared" si="44"/>
        <v/>
      </c>
      <c r="K399" t="str">
        <f>IF($A399="","",Entry!$D402)</f>
        <v/>
      </c>
      <c r="L399" t="str">
        <f>IF($A399="","",Entry!$L402)</f>
        <v/>
      </c>
      <c r="N399" t="str">
        <f>IF(OR(Sync!$M399="",$Q399="",$Q399="نامعتبر"),"",Sync!$M399)</f>
        <v/>
      </c>
      <c r="O399" t="str">
        <f t="shared" si="45"/>
        <v/>
      </c>
      <c r="P399" t="str">
        <f>IF($N399="","",LEFT($Q399,4)&amp;MID($Q399,6,2)&amp;RIGHT($Q399,2)&amp;IF(Sync!$K399="","0000",IF(AND(ISNUMBER(Sync!$K399),Sync!$K399&gt;=0,Sync!$K399&lt;1),RIGHT("00"&amp;HOUR(Sync!$K399),2)&amp;RIGHT("00"&amp;MINUTE(Sync!$K399),2),IFERROR(RIGHT("00"&amp;VALUE(LEFT(Sync!$K399,FIND(":",Sync!$K399)-1)),2)&amp;RIGHT("00"&amp;VALUE(MID(Sync!$K399,FIND(":",Sync!$K399)+1,2)),2),"0000")))&amp;"|"&amp;"2"&amp;RIGHT("00000"&amp;394,5))</f>
        <v/>
      </c>
      <c r="Q399" t="str">
        <f>IF(Sync!$J399="","",IF(ISNUMBER(Sync!$J399),IF(AND(Sync!$J399&gt;=10000101,Sync!$J399&lt;=99991231),INT(Sync!$J399/10000)&amp;"/"&amp;RIGHT("00"&amp;INT(MOD(Sync!$J399,10000)/100),2)&amp;"/"&amp;RIGHT("00"&amp;MOD(Sync!$J399,100),2),"نامعتبر"),IF(LEN(Sync!$J399)=10,Sync!$J399,"نامعتبر")))</f>
        <v/>
      </c>
      <c r="R399" t="str">
        <f t="shared" si="46"/>
        <v/>
      </c>
      <c r="S399" t="str">
        <f t="shared" si="47"/>
        <v/>
      </c>
      <c r="T399" t="str">
        <f>IF($N399="","",IF(Sync!$N399="",0,Sync!$N399))</f>
        <v/>
      </c>
      <c r="U399" t="str">
        <f>IF($N399="","",IF(Sync!$O399="",0,Sync!$O399))</f>
        <v/>
      </c>
      <c r="V399" t="str">
        <f>IF($N399="","",Sync!$L399)</f>
        <v/>
      </c>
      <c r="W399" t="str">
        <f>IF($N399="","",Sync!$P399)</f>
        <v/>
      </c>
      <c r="AA399" t="str">
        <f>IF($A399="","",IF(COUNTIF($A$6:$A399,$A399)=1,1,0))</f>
        <v/>
      </c>
      <c r="AB399">
        <f>SUM($AA$6:$AA399)</f>
        <v>3</v>
      </c>
      <c r="AC399" t="str">
        <f t="shared" si="48"/>
        <v/>
      </c>
    </row>
    <row r="400" spans="1:29" x14ac:dyDescent="0.2">
      <c r="A400" t="str">
        <f>IF(OR(Entry!$B403="",Entry!$E403="",$E400="نامعتبر"),"",Entry!$E403)</f>
        <v/>
      </c>
      <c r="B400" t="str">
        <f>IF($A400="","",LEFT($E400,4)&amp;MID($E400,6,2)&amp;RIGHT($E400,2)&amp;$F400&amp;"|"&amp;"1"&amp;RIGHT("00000"&amp;395,5))</f>
        <v/>
      </c>
      <c r="C400" t="str">
        <f t="shared" si="42"/>
        <v/>
      </c>
      <c r="D400" t="str">
        <f t="shared" si="43"/>
        <v/>
      </c>
      <c r="E400" t="str">
        <f>IF(Entry!$B403="","",IF(ISNUMBER(Entry!$B403),IF(AND(Entry!$B403&gt;=10000101,Entry!$B403&lt;=99991231),INT(Entry!$B403/10000)&amp;"/"&amp;RIGHT("00"&amp;INT(MOD(Entry!$B403,10000)/100),2)&amp;"/"&amp;RIGHT("00"&amp;MOD(Entry!$B403,100),2),"نامعتبر"),IF(LEN(Entry!$B403)=10,Entry!$B403,"نامعتبر")))</f>
        <v/>
      </c>
      <c r="F400" t="str">
        <f>IF(Entry!$B403="","",IF(Entry!$C403="","0000",IF(AND(ISNUMBER(Entry!$C403),Entry!$C403&gt;=0,Entry!$C403&lt;1),RIGHT("00"&amp;HOUR(Entry!$C403),2)&amp;RIGHT("00"&amp;MINUTE(Entry!$C403),2),IFERROR(RIGHT("00"&amp;VALUE(LEFT(Entry!$C403,FIND(":",Entry!$C403)-1)),2)&amp;RIGHT("00"&amp;VALUE(MID(Entry!$C403,FIND(":",Entry!$C403)+1,2)),2),"0000"))))</f>
        <v/>
      </c>
      <c r="G400" t="str">
        <f>IF($A400="","",Entry!$G403)</f>
        <v/>
      </c>
      <c r="H400" t="str">
        <f>IF($A400="","",IF(Entry!$H403="",0,Entry!$H403))</f>
        <v/>
      </c>
      <c r="I400" t="str">
        <f>IF($A400="","",IF(Entry!$I403="",0,Entry!$I403))</f>
        <v/>
      </c>
      <c r="J400" t="str">
        <f t="shared" si="44"/>
        <v/>
      </c>
      <c r="K400" t="str">
        <f>IF($A400="","",Entry!$D403)</f>
        <v/>
      </c>
      <c r="L400" t="str">
        <f>IF($A400="","",Entry!$L403)</f>
        <v/>
      </c>
      <c r="N400" t="str">
        <f>IF(OR(Sync!$M400="",$Q400="",$Q400="نامعتبر"),"",Sync!$M400)</f>
        <v/>
      </c>
      <c r="O400" t="str">
        <f t="shared" si="45"/>
        <v/>
      </c>
      <c r="P400" t="str">
        <f>IF($N400="","",LEFT($Q400,4)&amp;MID($Q400,6,2)&amp;RIGHT($Q400,2)&amp;IF(Sync!$K400="","0000",IF(AND(ISNUMBER(Sync!$K400),Sync!$K400&gt;=0,Sync!$K400&lt;1),RIGHT("00"&amp;HOUR(Sync!$K400),2)&amp;RIGHT("00"&amp;MINUTE(Sync!$K400),2),IFERROR(RIGHT("00"&amp;VALUE(LEFT(Sync!$K400,FIND(":",Sync!$K400)-1)),2)&amp;RIGHT("00"&amp;VALUE(MID(Sync!$K400,FIND(":",Sync!$K400)+1,2)),2),"0000")))&amp;"|"&amp;"2"&amp;RIGHT("00000"&amp;395,5))</f>
        <v/>
      </c>
      <c r="Q400" t="str">
        <f>IF(Sync!$J400="","",IF(ISNUMBER(Sync!$J400),IF(AND(Sync!$J400&gt;=10000101,Sync!$J400&lt;=99991231),INT(Sync!$J400/10000)&amp;"/"&amp;RIGHT("00"&amp;INT(MOD(Sync!$J400,10000)/100),2)&amp;"/"&amp;RIGHT("00"&amp;MOD(Sync!$J400,100),2),"نامعتبر"),IF(LEN(Sync!$J400)=10,Sync!$J400,"نامعتبر")))</f>
        <v/>
      </c>
      <c r="R400" t="str">
        <f t="shared" si="46"/>
        <v/>
      </c>
      <c r="S400" t="str">
        <f t="shared" si="47"/>
        <v/>
      </c>
      <c r="T400" t="str">
        <f>IF($N400="","",IF(Sync!$N400="",0,Sync!$N400))</f>
        <v/>
      </c>
      <c r="U400" t="str">
        <f>IF($N400="","",IF(Sync!$O400="",0,Sync!$O400))</f>
        <v/>
      </c>
      <c r="V400" t="str">
        <f>IF($N400="","",Sync!$L400)</f>
        <v/>
      </c>
      <c r="W400" t="str">
        <f>IF($N400="","",Sync!$P400)</f>
        <v/>
      </c>
      <c r="AA400" t="str">
        <f>IF($A400="","",IF(COUNTIF($A$6:$A400,$A400)=1,1,0))</f>
        <v/>
      </c>
      <c r="AB400">
        <f>SUM($AA$6:$AA400)</f>
        <v>3</v>
      </c>
      <c r="AC400" t="str">
        <f t="shared" si="48"/>
        <v/>
      </c>
    </row>
    <row r="401" spans="1:29" x14ac:dyDescent="0.2">
      <c r="A401" t="str">
        <f>IF(OR(Entry!$B404="",Entry!$E404="",$E401="نامعتبر"),"",Entry!$E404)</f>
        <v/>
      </c>
      <c r="B401" t="str">
        <f>IF($A401="","",LEFT($E401,4)&amp;MID($E401,6,2)&amp;RIGHT($E401,2)&amp;$F401&amp;"|"&amp;"1"&amp;RIGHT("00000"&amp;396,5))</f>
        <v/>
      </c>
      <c r="C401" t="str">
        <f t="shared" si="42"/>
        <v/>
      </c>
      <c r="D401" t="str">
        <f t="shared" si="43"/>
        <v/>
      </c>
      <c r="E401" t="str">
        <f>IF(Entry!$B404="","",IF(ISNUMBER(Entry!$B404),IF(AND(Entry!$B404&gt;=10000101,Entry!$B404&lt;=99991231),INT(Entry!$B404/10000)&amp;"/"&amp;RIGHT("00"&amp;INT(MOD(Entry!$B404,10000)/100),2)&amp;"/"&amp;RIGHT("00"&amp;MOD(Entry!$B404,100),2),"نامعتبر"),IF(LEN(Entry!$B404)=10,Entry!$B404,"نامعتبر")))</f>
        <v/>
      </c>
      <c r="F401" t="str">
        <f>IF(Entry!$B404="","",IF(Entry!$C404="","0000",IF(AND(ISNUMBER(Entry!$C404),Entry!$C404&gt;=0,Entry!$C404&lt;1),RIGHT("00"&amp;HOUR(Entry!$C404),2)&amp;RIGHT("00"&amp;MINUTE(Entry!$C404),2),IFERROR(RIGHT("00"&amp;VALUE(LEFT(Entry!$C404,FIND(":",Entry!$C404)-1)),2)&amp;RIGHT("00"&amp;VALUE(MID(Entry!$C404,FIND(":",Entry!$C404)+1,2)),2),"0000"))))</f>
        <v/>
      </c>
      <c r="G401" t="str">
        <f>IF($A401="","",Entry!$G404)</f>
        <v/>
      </c>
      <c r="H401" t="str">
        <f>IF($A401="","",IF(Entry!$H404="",0,Entry!$H404))</f>
        <v/>
      </c>
      <c r="I401" t="str">
        <f>IF($A401="","",IF(Entry!$I404="",0,Entry!$I404))</f>
        <v/>
      </c>
      <c r="J401" t="str">
        <f t="shared" si="44"/>
        <v/>
      </c>
      <c r="K401" t="str">
        <f>IF($A401="","",Entry!$D404)</f>
        <v/>
      </c>
      <c r="L401" t="str">
        <f>IF($A401="","",Entry!$L404)</f>
        <v/>
      </c>
      <c r="N401" t="str">
        <f>IF(OR(Sync!$M401="",$Q401="",$Q401="نامعتبر"),"",Sync!$M401)</f>
        <v/>
      </c>
      <c r="O401" t="str">
        <f t="shared" si="45"/>
        <v/>
      </c>
      <c r="P401" t="str">
        <f>IF($N401="","",LEFT($Q401,4)&amp;MID($Q401,6,2)&amp;RIGHT($Q401,2)&amp;IF(Sync!$K401="","0000",IF(AND(ISNUMBER(Sync!$K401),Sync!$K401&gt;=0,Sync!$K401&lt;1),RIGHT("00"&amp;HOUR(Sync!$K401),2)&amp;RIGHT("00"&amp;MINUTE(Sync!$K401),2),IFERROR(RIGHT("00"&amp;VALUE(LEFT(Sync!$K401,FIND(":",Sync!$K401)-1)),2)&amp;RIGHT("00"&amp;VALUE(MID(Sync!$K401,FIND(":",Sync!$K401)+1,2)),2),"0000")))&amp;"|"&amp;"2"&amp;RIGHT("00000"&amp;396,5))</f>
        <v/>
      </c>
      <c r="Q401" t="str">
        <f>IF(Sync!$J401="","",IF(ISNUMBER(Sync!$J401),IF(AND(Sync!$J401&gt;=10000101,Sync!$J401&lt;=99991231),INT(Sync!$J401/10000)&amp;"/"&amp;RIGHT("00"&amp;INT(MOD(Sync!$J401,10000)/100),2)&amp;"/"&amp;RIGHT("00"&amp;MOD(Sync!$J401,100),2),"نامعتبر"),IF(LEN(Sync!$J401)=10,Sync!$J401,"نامعتبر")))</f>
        <v/>
      </c>
      <c r="R401" t="str">
        <f t="shared" si="46"/>
        <v/>
      </c>
      <c r="S401" t="str">
        <f t="shared" si="47"/>
        <v/>
      </c>
      <c r="T401" t="str">
        <f>IF($N401="","",IF(Sync!$N401="",0,Sync!$N401))</f>
        <v/>
      </c>
      <c r="U401" t="str">
        <f>IF($N401="","",IF(Sync!$O401="",0,Sync!$O401))</f>
        <v/>
      </c>
      <c r="V401" t="str">
        <f>IF($N401="","",Sync!$L401)</f>
        <v/>
      </c>
      <c r="W401" t="str">
        <f>IF($N401="","",Sync!$P401)</f>
        <v/>
      </c>
      <c r="AA401" t="str">
        <f>IF($A401="","",IF(COUNTIF($A$6:$A401,$A401)=1,1,0))</f>
        <v/>
      </c>
      <c r="AB401">
        <f>SUM($AA$6:$AA401)</f>
        <v>3</v>
      </c>
      <c r="AC401" t="str">
        <f t="shared" si="48"/>
        <v/>
      </c>
    </row>
    <row r="402" spans="1:29" x14ac:dyDescent="0.2">
      <c r="A402" t="str">
        <f>IF(OR(Entry!$B405="",Entry!$E405="",$E402="نامعتبر"),"",Entry!$E405)</f>
        <v/>
      </c>
      <c r="B402" t="str">
        <f>IF($A402="","",LEFT($E402,4)&amp;MID($E402,6,2)&amp;RIGHT($E402,2)&amp;$F402&amp;"|"&amp;"1"&amp;RIGHT("00000"&amp;397,5))</f>
        <v/>
      </c>
      <c r="C402" t="str">
        <f t="shared" si="42"/>
        <v/>
      </c>
      <c r="D402" t="str">
        <f t="shared" si="43"/>
        <v/>
      </c>
      <c r="E402" t="str">
        <f>IF(Entry!$B405="","",IF(ISNUMBER(Entry!$B405),IF(AND(Entry!$B405&gt;=10000101,Entry!$B405&lt;=99991231),INT(Entry!$B405/10000)&amp;"/"&amp;RIGHT("00"&amp;INT(MOD(Entry!$B405,10000)/100),2)&amp;"/"&amp;RIGHT("00"&amp;MOD(Entry!$B405,100),2),"نامعتبر"),IF(LEN(Entry!$B405)=10,Entry!$B405,"نامعتبر")))</f>
        <v/>
      </c>
      <c r="F402" t="str">
        <f>IF(Entry!$B405="","",IF(Entry!$C405="","0000",IF(AND(ISNUMBER(Entry!$C405),Entry!$C405&gt;=0,Entry!$C405&lt;1),RIGHT("00"&amp;HOUR(Entry!$C405),2)&amp;RIGHT("00"&amp;MINUTE(Entry!$C405),2),IFERROR(RIGHT("00"&amp;VALUE(LEFT(Entry!$C405,FIND(":",Entry!$C405)-1)),2)&amp;RIGHT("00"&amp;VALUE(MID(Entry!$C405,FIND(":",Entry!$C405)+1,2)),2),"0000"))))</f>
        <v/>
      </c>
      <c r="G402" t="str">
        <f>IF($A402="","",Entry!$G405)</f>
        <v/>
      </c>
      <c r="H402" t="str">
        <f>IF($A402="","",IF(Entry!$H405="",0,Entry!$H405))</f>
        <v/>
      </c>
      <c r="I402" t="str">
        <f>IF($A402="","",IF(Entry!$I405="",0,Entry!$I405))</f>
        <v/>
      </c>
      <c r="J402" t="str">
        <f t="shared" si="44"/>
        <v/>
      </c>
      <c r="K402" t="str">
        <f>IF($A402="","",Entry!$D405)</f>
        <v/>
      </c>
      <c r="L402" t="str">
        <f>IF($A402="","",Entry!$L405)</f>
        <v/>
      </c>
      <c r="N402" t="str">
        <f>IF(OR(Sync!$M402="",$Q402="",$Q402="نامعتبر"),"",Sync!$M402)</f>
        <v/>
      </c>
      <c r="O402" t="str">
        <f t="shared" si="45"/>
        <v/>
      </c>
      <c r="P402" t="str">
        <f>IF($N402="","",LEFT($Q402,4)&amp;MID($Q402,6,2)&amp;RIGHT($Q402,2)&amp;IF(Sync!$K402="","0000",IF(AND(ISNUMBER(Sync!$K402),Sync!$K402&gt;=0,Sync!$K402&lt;1),RIGHT("00"&amp;HOUR(Sync!$K402),2)&amp;RIGHT("00"&amp;MINUTE(Sync!$K402),2),IFERROR(RIGHT("00"&amp;VALUE(LEFT(Sync!$K402,FIND(":",Sync!$K402)-1)),2)&amp;RIGHT("00"&amp;VALUE(MID(Sync!$K402,FIND(":",Sync!$K402)+1,2)),2),"0000")))&amp;"|"&amp;"2"&amp;RIGHT("00000"&amp;397,5))</f>
        <v/>
      </c>
      <c r="Q402" t="str">
        <f>IF(Sync!$J402="","",IF(ISNUMBER(Sync!$J402),IF(AND(Sync!$J402&gt;=10000101,Sync!$J402&lt;=99991231),INT(Sync!$J402/10000)&amp;"/"&amp;RIGHT("00"&amp;INT(MOD(Sync!$J402,10000)/100),2)&amp;"/"&amp;RIGHT("00"&amp;MOD(Sync!$J402,100),2),"نامعتبر"),IF(LEN(Sync!$J402)=10,Sync!$J402,"نامعتبر")))</f>
        <v/>
      </c>
      <c r="R402" t="str">
        <f t="shared" si="46"/>
        <v/>
      </c>
      <c r="S402" t="str">
        <f t="shared" si="47"/>
        <v/>
      </c>
      <c r="T402" t="str">
        <f>IF($N402="","",IF(Sync!$N402="",0,Sync!$N402))</f>
        <v/>
      </c>
      <c r="U402" t="str">
        <f>IF($N402="","",IF(Sync!$O402="",0,Sync!$O402))</f>
        <v/>
      </c>
      <c r="V402" t="str">
        <f>IF($N402="","",Sync!$L402)</f>
        <v/>
      </c>
      <c r="W402" t="str">
        <f>IF($N402="","",Sync!$P402)</f>
        <v/>
      </c>
      <c r="AA402" t="str">
        <f>IF($A402="","",IF(COUNTIF($A$6:$A402,$A402)=1,1,0))</f>
        <v/>
      </c>
      <c r="AB402">
        <f>SUM($AA$6:$AA402)</f>
        <v>3</v>
      </c>
      <c r="AC402" t="str">
        <f t="shared" si="48"/>
        <v/>
      </c>
    </row>
    <row r="403" spans="1:29" x14ac:dyDescent="0.2">
      <c r="A403" t="str">
        <f>IF(OR(Entry!$B406="",Entry!$E406="",$E403="نامعتبر"),"",Entry!$E406)</f>
        <v/>
      </c>
      <c r="B403" t="str">
        <f>IF($A403="","",LEFT($E403,4)&amp;MID($E403,6,2)&amp;RIGHT($E403,2)&amp;$F403&amp;"|"&amp;"1"&amp;RIGHT("00000"&amp;398,5))</f>
        <v/>
      </c>
      <c r="C403" t="str">
        <f t="shared" si="42"/>
        <v/>
      </c>
      <c r="D403" t="str">
        <f t="shared" si="43"/>
        <v/>
      </c>
      <c r="E403" t="str">
        <f>IF(Entry!$B406="","",IF(ISNUMBER(Entry!$B406),IF(AND(Entry!$B406&gt;=10000101,Entry!$B406&lt;=99991231),INT(Entry!$B406/10000)&amp;"/"&amp;RIGHT("00"&amp;INT(MOD(Entry!$B406,10000)/100),2)&amp;"/"&amp;RIGHT("00"&amp;MOD(Entry!$B406,100),2),"نامعتبر"),IF(LEN(Entry!$B406)=10,Entry!$B406,"نامعتبر")))</f>
        <v/>
      </c>
      <c r="F403" t="str">
        <f>IF(Entry!$B406="","",IF(Entry!$C406="","0000",IF(AND(ISNUMBER(Entry!$C406),Entry!$C406&gt;=0,Entry!$C406&lt;1),RIGHT("00"&amp;HOUR(Entry!$C406),2)&amp;RIGHT("00"&amp;MINUTE(Entry!$C406),2),IFERROR(RIGHT("00"&amp;VALUE(LEFT(Entry!$C406,FIND(":",Entry!$C406)-1)),2)&amp;RIGHT("00"&amp;VALUE(MID(Entry!$C406,FIND(":",Entry!$C406)+1,2)),2),"0000"))))</f>
        <v/>
      </c>
      <c r="G403" t="str">
        <f>IF($A403="","",Entry!$G406)</f>
        <v/>
      </c>
      <c r="H403" t="str">
        <f>IF($A403="","",IF(Entry!$H406="",0,Entry!$H406))</f>
        <v/>
      </c>
      <c r="I403" t="str">
        <f>IF($A403="","",IF(Entry!$I406="",0,Entry!$I406))</f>
        <v/>
      </c>
      <c r="J403" t="str">
        <f t="shared" si="44"/>
        <v/>
      </c>
      <c r="K403" t="str">
        <f>IF($A403="","",Entry!$D406)</f>
        <v/>
      </c>
      <c r="L403" t="str">
        <f>IF($A403="","",Entry!$L406)</f>
        <v/>
      </c>
      <c r="N403" t="str">
        <f>IF(OR(Sync!$M403="",$Q403="",$Q403="نامعتبر"),"",Sync!$M403)</f>
        <v/>
      </c>
      <c r="O403" t="str">
        <f t="shared" si="45"/>
        <v/>
      </c>
      <c r="P403" t="str">
        <f>IF($N403="","",LEFT($Q403,4)&amp;MID($Q403,6,2)&amp;RIGHT($Q403,2)&amp;IF(Sync!$K403="","0000",IF(AND(ISNUMBER(Sync!$K403),Sync!$K403&gt;=0,Sync!$K403&lt;1),RIGHT("00"&amp;HOUR(Sync!$K403),2)&amp;RIGHT("00"&amp;MINUTE(Sync!$K403),2),IFERROR(RIGHT("00"&amp;VALUE(LEFT(Sync!$K403,FIND(":",Sync!$K403)-1)),2)&amp;RIGHT("00"&amp;VALUE(MID(Sync!$K403,FIND(":",Sync!$K403)+1,2)),2),"0000")))&amp;"|"&amp;"2"&amp;RIGHT("00000"&amp;398,5))</f>
        <v/>
      </c>
      <c r="Q403" t="str">
        <f>IF(Sync!$J403="","",IF(ISNUMBER(Sync!$J403),IF(AND(Sync!$J403&gt;=10000101,Sync!$J403&lt;=99991231),INT(Sync!$J403/10000)&amp;"/"&amp;RIGHT("00"&amp;INT(MOD(Sync!$J403,10000)/100),2)&amp;"/"&amp;RIGHT("00"&amp;MOD(Sync!$J403,100),2),"نامعتبر"),IF(LEN(Sync!$J403)=10,Sync!$J403,"نامعتبر")))</f>
        <v/>
      </c>
      <c r="R403" t="str">
        <f t="shared" si="46"/>
        <v/>
      </c>
      <c r="S403" t="str">
        <f t="shared" si="47"/>
        <v/>
      </c>
      <c r="T403" t="str">
        <f>IF($N403="","",IF(Sync!$N403="",0,Sync!$N403))</f>
        <v/>
      </c>
      <c r="U403" t="str">
        <f>IF($N403="","",IF(Sync!$O403="",0,Sync!$O403))</f>
        <v/>
      </c>
      <c r="V403" t="str">
        <f>IF($N403="","",Sync!$L403)</f>
        <v/>
      </c>
      <c r="W403" t="str">
        <f>IF($N403="","",Sync!$P403)</f>
        <v/>
      </c>
      <c r="AA403" t="str">
        <f>IF($A403="","",IF(COUNTIF($A$6:$A403,$A403)=1,1,0))</f>
        <v/>
      </c>
      <c r="AB403">
        <f>SUM($AA$6:$AA403)</f>
        <v>3</v>
      </c>
      <c r="AC403" t="str">
        <f t="shared" si="48"/>
        <v/>
      </c>
    </row>
    <row r="404" spans="1:29" x14ac:dyDescent="0.2">
      <c r="A404" t="str">
        <f>IF(OR(Entry!$B407="",Entry!$E407="",$E404="نامعتبر"),"",Entry!$E407)</f>
        <v/>
      </c>
      <c r="B404" t="str">
        <f>IF($A404="","",LEFT($E404,4)&amp;MID($E404,6,2)&amp;RIGHT($E404,2)&amp;$F404&amp;"|"&amp;"1"&amp;RIGHT("00000"&amp;399,5))</f>
        <v/>
      </c>
      <c r="C404" t="str">
        <f t="shared" si="42"/>
        <v/>
      </c>
      <c r="D404" t="str">
        <f t="shared" si="43"/>
        <v/>
      </c>
      <c r="E404" t="str">
        <f>IF(Entry!$B407="","",IF(ISNUMBER(Entry!$B407),IF(AND(Entry!$B407&gt;=10000101,Entry!$B407&lt;=99991231),INT(Entry!$B407/10000)&amp;"/"&amp;RIGHT("00"&amp;INT(MOD(Entry!$B407,10000)/100),2)&amp;"/"&amp;RIGHT("00"&amp;MOD(Entry!$B407,100),2),"نامعتبر"),IF(LEN(Entry!$B407)=10,Entry!$B407,"نامعتبر")))</f>
        <v/>
      </c>
      <c r="F404" t="str">
        <f>IF(Entry!$B407="","",IF(Entry!$C407="","0000",IF(AND(ISNUMBER(Entry!$C407),Entry!$C407&gt;=0,Entry!$C407&lt;1),RIGHT("00"&amp;HOUR(Entry!$C407),2)&amp;RIGHT("00"&amp;MINUTE(Entry!$C407),2),IFERROR(RIGHT("00"&amp;VALUE(LEFT(Entry!$C407,FIND(":",Entry!$C407)-1)),2)&amp;RIGHT("00"&amp;VALUE(MID(Entry!$C407,FIND(":",Entry!$C407)+1,2)),2),"0000"))))</f>
        <v/>
      </c>
      <c r="G404" t="str">
        <f>IF($A404="","",Entry!$G407)</f>
        <v/>
      </c>
      <c r="H404" t="str">
        <f>IF($A404="","",IF(Entry!$H407="",0,Entry!$H407))</f>
        <v/>
      </c>
      <c r="I404" t="str">
        <f>IF($A404="","",IF(Entry!$I407="",0,Entry!$I407))</f>
        <v/>
      </c>
      <c r="J404" t="str">
        <f t="shared" si="44"/>
        <v/>
      </c>
      <c r="K404" t="str">
        <f>IF($A404="","",Entry!$D407)</f>
        <v/>
      </c>
      <c r="L404" t="str">
        <f>IF($A404="","",Entry!$L407)</f>
        <v/>
      </c>
      <c r="N404" t="str">
        <f>IF(OR(Sync!$M404="",$Q404="",$Q404="نامعتبر"),"",Sync!$M404)</f>
        <v/>
      </c>
      <c r="O404" t="str">
        <f t="shared" si="45"/>
        <v/>
      </c>
      <c r="P404" t="str">
        <f>IF($N404="","",LEFT($Q404,4)&amp;MID($Q404,6,2)&amp;RIGHT($Q404,2)&amp;IF(Sync!$K404="","0000",IF(AND(ISNUMBER(Sync!$K404),Sync!$K404&gt;=0,Sync!$K404&lt;1),RIGHT("00"&amp;HOUR(Sync!$K404),2)&amp;RIGHT("00"&amp;MINUTE(Sync!$K404),2),IFERROR(RIGHT("00"&amp;VALUE(LEFT(Sync!$K404,FIND(":",Sync!$K404)-1)),2)&amp;RIGHT("00"&amp;VALUE(MID(Sync!$K404,FIND(":",Sync!$K404)+1,2)),2),"0000")))&amp;"|"&amp;"2"&amp;RIGHT("00000"&amp;399,5))</f>
        <v/>
      </c>
      <c r="Q404" t="str">
        <f>IF(Sync!$J404="","",IF(ISNUMBER(Sync!$J404),IF(AND(Sync!$J404&gt;=10000101,Sync!$J404&lt;=99991231),INT(Sync!$J404/10000)&amp;"/"&amp;RIGHT("00"&amp;INT(MOD(Sync!$J404,10000)/100),2)&amp;"/"&amp;RIGHT("00"&amp;MOD(Sync!$J404,100),2),"نامعتبر"),IF(LEN(Sync!$J404)=10,Sync!$J404,"نامعتبر")))</f>
        <v/>
      </c>
      <c r="R404" t="str">
        <f t="shared" si="46"/>
        <v/>
      </c>
      <c r="S404" t="str">
        <f t="shared" si="47"/>
        <v/>
      </c>
      <c r="T404" t="str">
        <f>IF($N404="","",IF(Sync!$N404="",0,Sync!$N404))</f>
        <v/>
      </c>
      <c r="U404" t="str">
        <f>IF($N404="","",IF(Sync!$O404="",0,Sync!$O404))</f>
        <v/>
      </c>
      <c r="V404" t="str">
        <f>IF($N404="","",Sync!$L404)</f>
        <v/>
      </c>
      <c r="W404" t="str">
        <f>IF($N404="","",Sync!$P404)</f>
        <v/>
      </c>
      <c r="AA404" t="str">
        <f>IF($A404="","",IF(COUNTIF($A$6:$A404,$A404)=1,1,0))</f>
        <v/>
      </c>
      <c r="AB404">
        <f>SUM($AA$6:$AA404)</f>
        <v>3</v>
      </c>
      <c r="AC404" t="str">
        <f t="shared" si="48"/>
        <v/>
      </c>
    </row>
    <row r="405" spans="1:29" x14ac:dyDescent="0.2">
      <c r="A405" t="str">
        <f>IF(OR(Entry!$B408="",Entry!$E408="",$E405="نامعتبر"),"",Entry!$E408)</f>
        <v/>
      </c>
      <c r="B405" t="str">
        <f>IF($A405="","",LEFT($E405,4)&amp;MID($E405,6,2)&amp;RIGHT($E405,2)&amp;$F405&amp;"|"&amp;"1"&amp;RIGHT("00000"&amp;400,5))</f>
        <v/>
      </c>
      <c r="C405" t="str">
        <f t="shared" si="42"/>
        <v/>
      </c>
      <c r="D405" t="str">
        <f t="shared" si="43"/>
        <v/>
      </c>
      <c r="E405" t="str">
        <f>IF(Entry!$B408="","",IF(ISNUMBER(Entry!$B408),IF(AND(Entry!$B408&gt;=10000101,Entry!$B408&lt;=99991231),INT(Entry!$B408/10000)&amp;"/"&amp;RIGHT("00"&amp;INT(MOD(Entry!$B408,10000)/100),2)&amp;"/"&amp;RIGHT("00"&amp;MOD(Entry!$B408,100),2),"نامعتبر"),IF(LEN(Entry!$B408)=10,Entry!$B408,"نامعتبر")))</f>
        <v/>
      </c>
      <c r="F405" t="str">
        <f>IF(Entry!$B408="","",IF(Entry!$C408="","0000",IF(AND(ISNUMBER(Entry!$C408),Entry!$C408&gt;=0,Entry!$C408&lt;1),RIGHT("00"&amp;HOUR(Entry!$C408),2)&amp;RIGHT("00"&amp;MINUTE(Entry!$C408),2),IFERROR(RIGHT("00"&amp;VALUE(LEFT(Entry!$C408,FIND(":",Entry!$C408)-1)),2)&amp;RIGHT("00"&amp;VALUE(MID(Entry!$C408,FIND(":",Entry!$C408)+1,2)),2),"0000"))))</f>
        <v/>
      </c>
      <c r="G405" t="str">
        <f>IF($A405="","",Entry!$G408)</f>
        <v/>
      </c>
      <c r="H405" t="str">
        <f>IF($A405="","",IF(Entry!$H408="",0,Entry!$H408))</f>
        <v/>
      </c>
      <c r="I405" t="str">
        <f>IF($A405="","",IF(Entry!$I408="",0,Entry!$I408))</f>
        <v/>
      </c>
      <c r="J405" t="str">
        <f t="shared" si="44"/>
        <v/>
      </c>
      <c r="K405" t="str">
        <f>IF($A405="","",Entry!$D408)</f>
        <v/>
      </c>
      <c r="L405" t="str">
        <f>IF($A405="","",Entry!$L408)</f>
        <v/>
      </c>
      <c r="N405" t="str">
        <f>IF(OR(Sync!$M405="",$Q405="",$Q405="نامعتبر"),"",Sync!$M405)</f>
        <v/>
      </c>
      <c r="O405" t="str">
        <f t="shared" si="45"/>
        <v/>
      </c>
      <c r="P405" t="str">
        <f>IF($N405="","",LEFT($Q405,4)&amp;MID($Q405,6,2)&amp;RIGHT($Q405,2)&amp;IF(Sync!$K405="","0000",IF(AND(ISNUMBER(Sync!$K405),Sync!$K405&gt;=0,Sync!$K405&lt;1),RIGHT("00"&amp;HOUR(Sync!$K405),2)&amp;RIGHT("00"&amp;MINUTE(Sync!$K405),2),IFERROR(RIGHT("00"&amp;VALUE(LEFT(Sync!$K405,FIND(":",Sync!$K405)-1)),2)&amp;RIGHT("00"&amp;VALUE(MID(Sync!$K405,FIND(":",Sync!$K405)+1,2)),2),"0000")))&amp;"|"&amp;"2"&amp;RIGHT("00000"&amp;400,5))</f>
        <v/>
      </c>
      <c r="Q405" t="str">
        <f>IF(Sync!$J405="","",IF(ISNUMBER(Sync!$J405),IF(AND(Sync!$J405&gt;=10000101,Sync!$J405&lt;=99991231),INT(Sync!$J405/10000)&amp;"/"&amp;RIGHT("00"&amp;INT(MOD(Sync!$J405,10000)/100),2)&amp;"/"&amp;RIGHT("00"&amp;MOD(Sync!$J405,100),2),"نامعتبر"),IF(LEN(Sync!$J405)=10,Sync!$J405,"نامعتبر")))</f>
        <v/>
      </c>
      <c r="R405" t="str">
        <f t="shared" si="46"/>
        <v/>
      </c>
      <c r="S405" t="str">
        <f t="shared" si="47"/>
        <v/>
      </c>
      <c r="T405" t="str">
        <f>IF($N405="","",IF(Sync!$N405="",0,Sync!$N405))</f>
        <v/>
      </c>
      <c r="U405" t="str">
        <f>IF($N405="","",IF(Sync!$O405="",0,Sync!$O405))</f>
        <v/>
      </c>
      <c r="V405" t="str">
        <f>IF($N405="","",Sync!$L405)</f>
        <v/>
      </c>
      <c r="W405" t="str">
        <f>IF($N405="","",Sync!$P405)</f>
        <v/>
      </c>
      <c r="AA405" t="str">
        <f>IF($A405="","",IF(COUNTIF($A$6:$A405,$A405)=1,1,0))</f>
        <v/>
      </c>
      <c r="AB405">
        <f>SUM($AA$6:$AA405)</f>
        <v>3</v>
      </c>
      <c r="AC405" t="str">
        <f t="shared" si="48"/>
        <v/>
      </c>
    </row>
    <row r="406" spans="1:29" x14ac:dyDescent="0.2">
      <c r="A406" t="str">
        <f>IF(OR(Entry!$B409="",Entry!$E409="",$E406="نامعتبر"),"",Entry!$E409)</f>
        <v/>
      </c>
      <c r="B406" t="str">
        <f>IF($A406="","",LEFT($E406,4)&amp;MID($E406,6,2)&amp;RIGHT($E406,2)&amp;$F406&amp;"|"&amp;"1"&amp;RIGHT("00000"&amp;401,5))</f>
        <v/>
      </c>
      <c r="C406" t="str">
        <f t="shared" si="42"/>
        <v/>
      </c>
      <c r="D406" t="str">
        <f t="shared" si="43"/>
        <v/>
      </c>
      <c r="E406" t="str">
        <f>IF(Entry!$B409="","",IF(ISNUMBER(Entry!$B409),IF(AND(Entry!$B409&gt;=10000101,Entry!$B409&lt;=99991231),INT(Entry!$B409/10000)&amp;"/"&amp;RIGHT("00"&amp;INT(MOD(Entry!$B409,10000)/100),2)&amp;"/"&amp;RIGHT("00"&amp;MOD(Entry!$B409,100),2),"نامعتبر"),IF(LEN(Entry!$B409)=10,Entry!$B409,"نامعتبر")))</f>
        <v/>
      </c>
      <c r="F406" t="str">
        <f>IF(Entry!$B409="","",IF(Entry!$C409="","0000",IF(AND(ISNUMBER(Entry!$C409),Entry!$C409&gt;=0,Entry!$C409&lt;1),RIGHT("00"&amp;HOUR(Entry!$C409),2)&amp;RIGHT("00"&amp;MINUTE(Entry!$C409),2),IFERROR(RIGHT("00"&amp;VALUE(LEFT(Entry!$C409,FIND(":",Entry!$C409)-1)),2)&amp;RIGHT("00"&amp;VALUE(MID(Entry!$C409,FIND(":",Entry!$C409)+1,2)),2),"0000"))))</f>
        <v/>
      </c>
      <c r="G406" t="str">
        <f>IF($A406="","",Entry!$G409)</f>
        <v/>
      </c>
      <c r="H406" t="str">
        <f>IF($A406="","",IF(Entry!$H409="",0,Entry!$H409))</f>
        <v/>
      </c>
      <c r="I406" t="str">
        <f>IF($A406="","",IF(Entry!$I409="",0,Entry!$I409))</f>
        <v/>
      </c>
      <c r="J406" t="str">
        <f t="shared" si="44"/>
        <v/>
      </c>
      <c r="K406" t="str">
        <f>IF($A406="","",Entry!$D409)</f>
        <v/>
      </c>
      <c r="L406" t="str">
        <f>IF($A406="","",Entry!$L409)</f>
        <v/>
      </c>
      <c r="N406" t="str">
        <f>IF(OR(Sync!$M406="",$Q406="",$Q406="نامعتبر"),"",Sync!$M406)</f>
        <v/>
      </c>
      <c r="O406" t="str">
        <f t="shared" si="45"/>
        <v/>
      </c>
      <c r="P406" t="str">
        <f>IF($N406="","",LEFT($Q406,4)&amp;MID($Q406,6,2)&amp;RIGHT($Q406,2)&amp;IF(Sync!$K406="","0000",IF(AND(ISNUMBER(Sync!$K406),Sync!$K406&gt;=0,Sync!$K406&lt;1),RIGHT("00"&amp;HOUR(Sync!$K406),2)&amp;RIGHT("00"&amp;MINUTE(Sync!$K406),2),IFERROR(RIGHT("00"&amp;VALUE(LEFT(Sync!$K406,FIND(":",Sync!$K406)-1)),2)&amp;RIGHT("00"&amp;VALUE(MID(Sync!$K406,FIND(":",Sync!$K406)+1,2)),2),"0000")))&amp;"|"&amp;"2"&amp;RIGHT("00000"&amp;401,5))</f>
        <v/>
      </c>
      <c r="Q406" t="str">
        <f>IF(Sync!$J406="","",IF(ISNUMBER(Sync!$J406),IF(AND(Sync!$J406&gt;=10000101,Sync!$J406&lt;=99991231),INT(Sync!$J406/10000)&amp;"/"&amp;RIGHT("00"&amp;INT(MOD(Sync!$J406,10000)/100),2)&amp;"/"&amp;RIGHT("00"&amp;MOD(Sync!$J406,100),2),"نامعتبر"),IF(LEN(Sync!$J406)=10,Sync!$J406,"نامعتبر")))</f>
        <v/>
      </c>
      <c r="R406" t="str">
        <f t="shared" si="46"/>
        <v/>
      </c>
      <c r="S406" t="str">
        <f t="shared" si="47"/>
        <v/>
      </c>
      <c r="T406" t="str">
        <f>IF($N406="","",IF(Sync!$N406="",0,Sync!$N406))</f>
        <v/>
      </c>
      <c r="U406" t="str">
        <f>IF($N406="","",IF(Sync!$O406="",0,Sync!$O406))</f>
        <v/>
      </c>
      <c r="V406" t="str">
        <f>IF($N406="","",Sync!$L406)</f>
        <v/>
      </c>
      <c r="W406" t="str">
        <f>IF($N406="","",Sync!$P406)</f>
        <v/>
      </c>
      <c r="AA406" t="str">
        <f>IF($A406="","",IF(COUNTIF($A$6:$A406,$A406)=1,1,0))</f>
        <v/>
      </c>
      <c r="AB406">
        <f>SUM($AA$6:$AA406)</f>
        <v>3</v>
      </c>
      <c r="AC406" t="str">
        <f t="shared" si="48"/>
        <v/>
      </c>
    </row>
    <row r="407" spans="1:29" x14ac:dyDescent="0.2">
      <c r="A407" t="str">
        <f>IF(OR(Entry!$B410="",Entry!$E410="",$E407="نامعتبر"),"",Entry!$E410)</f>
        <v/>
      </c>
      <c r="B407" t="str">
        <f>IF($A407="","",LEFT($E407,4)&amp;MID($E407,6,2)&amp;RIGHT($E407,2)&amp;$F407&amp;"|"&amp;"1"&amp;RIGHT("00000"&amp;402,5))</f>
        <v/>
      </c>
      <c r="C407" t="str">
        <f t="shared" si="42"/>
        <v/>
      </c>
      <c r="D407" t="str">
        <f t="shared" si="43"/>
        <v/>
      </c>
      <c r="E407" t="str">
        <f>IF(Entry!$B410="","",IF(ISNUMBER(Entry!$B410),IF(AND(Entry!$B410&gt;=10000101,Entry!$B410&lt;=99991231),INT(Entry!$B410/10000)&amp;"/"&amp;RIGHT("00"&amp;INT(MOD(Entry!$B410,10000)/100),2)&amp;"/"&amp;RIGHT("00"&amp;MOD(Entry!$B410,100),2),"نامعتبر"),IF(LEN(Entry!$B410)=10,Entry!$B410,"نامعتبر")))</f>
        <v/>
      </c>
      <c r="F407" t="str">
        <f>IF(Entry!$B410="","",IF(Entry!$C410="","0000",IF(AND(ISNUMBER(Entry!$C410),Entry!$C410&gt;=0,Entry!$C410&lt;1),RIGHT("00"&amp;HOUR(Entry!$C410),2)&amp;RIGHT("00"&amp;MINUTE(Entry!$C410),2),IFERROR(RIGHT("00"&amp;VALUE(LEFT(Entry!$C410,FIND(":",Entry!$C410)-1)),2)&amp;RIGHT("00"&amp;VALUE(MID(Entry!$C410,FIND(":",Entry!$C410)+1,2)),2),"0000"))))</f>
        <v/>
      </c>
      <c r="G407" t="str">
        <f>IF($A407="","",Entry!$G410)</f>
        <v/>
      </c>
      <c r="H407" t="str">
        <f>IF($A407="","",IF(Entry!$H410="",0,Entry!$H410))</f>
        <v/>
      </c>
      <c r="I407" t="str">
        <f>IF($A407="","",IF(Entry!$I410="",0,Entry!$I410))</f>
        <v/>
      </c>
      <c r="J407" t="str">
        <f t="shared" si="44"/>
        <v/>
      </c>
      <c r="K407" t="str">
        <f>IF($A407="","",Entry!$D410)</f>
        <v/>
      </c>
      <c r="L407" t="str">
        <f>IF($A407="","",Entry!$L410)</f>
        <v/>
      </c>
      <c r="N407" t="str">
        <f>IF(OR(Sync!$M407="",$Q407="",$Q407="نامعتبر"),"",Sync!$M407)</f>
        <v/>
      </c>
      <c r="O407" t="str">
        <f t="shared" si="45"/>
        <v/>
      </c>
      <c r="P407" t="str">
        <f>IF($N407="","",LEFT($Q407,4)&amp;MID($Q407,6,2)&amp;RIGHT($Q407,2)&amp;IF(Sync!$K407="","0000",IF(AND(ISNUMBER(Sync!$K407),Sync!$K407&gt;=0,Sync!$K407&lt;1),RIGHT("00"&amp;HOUR(Sync!$K407),2)&amp;RIGHT("00"&amp;MINUTE(Sync!$K407),2),IFERROR(RIGHT("00"&amp;VALUE(LEFT(Sync!$K407,FIND(":",Sync!$K407)-1)),2)&amp;RIGHT("00"&amp;VALUE(MID(Sync!$K407,FIND(":",Sync!$K407)+1,2)),2),"0000")))&amp;"|"&amp;"2"&amp;RIGHT("00000"&amp;402,5))</f>
        <v/>
      </c>
      <c r="Q407" t="str">
        <f>IF(Sync!$J407="","",IF(ISNUMBER(Sync!$J407),IF(AND(Sync!$J407&gt;=10000101,Sync!$J407&lt;=99991231),INT(Sync!$J407/10000)&amp;"/"&amp;RIGHT("00"&amp;INT(MOD(Sync!$J407,10000)/100),2)&amp;"/"&amp;RIGHT("00"&amp;MOD(Sync!$J407,100),2),"نامعتبر"),IF(LEN(Sync!$J407)=10,Sync!$J407,"نامعتبر")))</f>
        <v/>
      </c>
      <c r="R407" t="str">
        <f t="shared" si="46"/>
        <v/>
      </c>
      <c r="S407" t="str">
        <f t="shared" si="47"/>
        <v/>
      </c>
      <c r="T407" t="str">
        <f>IF($N407="","",IF(Sync!$N407="",0,Sync!$N407))</f>
        <v/>
      </c>
      <c r="U407" t="str">
        <f>IF($N407="","",IF(Sync!$O407="",0,Sync!$O407))</f>
        <v/>
      </c>
      <c r="V407" t="str">
        <f>IF($N407="","",Sync!$L407)</f>
        <v/>
      </c>
      <c r="W407" t="str">
        <f>IF($N407="","",Sync!$P407)</f>
        <v/>
      </c>
      <c r="AA407" t="str">
        <f>IF($A407="","",IF(COUNTIF($A$6:$A407,$A407)=1,1,0))</f>
        <v/>
      </c>
      <c r="AB407">
        <f>SUM($AA$6:$AA407)</f>
        <v>3</v>
      </c>
      <c r="AC407" t="str">
        <f t="shared" si="48"/>
        <v/>
      </c>
    </row>
    <row r="408" spans="1:29" x14ac:dyDescent="0.2">
      <c r="A408" t="str">
        <f>IF(OR(Entry!$B411="",Entry!$E411="",$E408="نامعتبر"),"",Entry!$E411)</f>
        <v/>
      </c>
      <c r="B408" t="str">
        <f>IF($A408="","",LEFT($E408,4)&amp;MID($E408,6,2)&amp;RIGHT($E408,2)&amp;$F408&amp;"|"&amp;"1"&amp;RIGHT("00000"&amp;403,5))</f>
        <v/>
      </c>
      <c r="C408" t="str">
        <f t="shared" si="42"/>
        <v/>
      </c>
      <c r="D408" t="str">
        <f t="shared" si="43"/>
        <v/>
      </c>
      <c r="E408" t="str">
        <f>IF(Entry!$B411="","",IF(ISNUMBER(Entry!$B411),IF(AND(Entry!$B411&gt;=10000101,Entry!$B411&lt;=99991231),INT(Entry!$B411/10000)&amp;"/"&amp;RIGHT("00"&amp;INT(MOD(Entry!$B411,10000)/100),2)&amp;"/"&amp;RIGHT("00"&amp;MOD(Entry!$B411,100),2),"نامعتبر"),IF(LEN(Entry!$B411)=10,Entry!$B411,"نامعتبر")))</f>
        <v/>
      </c>
      <c r="F408" t="str">
        <f>IF(Entry!$B411="","",IF(Entry!$C411="","0000",IF(AND(ISNUMBER(Entry!$C411),Entry!$C411&gt;=0,Entry!$C411&lt;1),RIGHT("00"&amp;HOUR(Entry!$C411),2)&amp;RIGHT("00"&amp;MINUTE(Entry!$C411),2),IFERROR(RIGHT("00"&amp;VALUE(LEFT(Entry!$C411,FIND(":",Entry!$C411)-1)),2)&amp;RIGHT("00"&amp;VALUE(MID(Entry!$C411,FIND(":",Entry!$C411)+1,2)),2),"0000"))))</f>
        <v/>
      </c>
      <c r="G408" t="str">
        <f>IF($A408="","",Entry!$G411)</f>
        <v/>
      </c>
      <c r="H408" t="str">
        <f>IF($A408="","",IF(Entry!$H411="",0,Entry!$H411))</f>
        <v/>
      </c>
      <c r="I408" t="str">
        <f>IF($A408="","",IF(Entry!$I411="",0,Entry!$I411))</f>
        <v/>
      </c>
      <c r="J408" t="str">
        <f t="shared" si="44"/>
        <v/>
      </c>
      <c r="K408" t="str">
        <f>IF($A408="","",Entry!$D411)</f>
        <v/>
      </c>
      <c r="L408" t="str">
        <f>IF($A408="","",Entry!$L411)</f>
        <v/>
      </c>
      <c r="N408" t="str">
        <f>IF(OR(Sync!$M408="",$Q408="",$Q408="نامعتبر"),"",Sync!$M408)</f>
        <v/>
      </c>
      <c r="O408" t="str">
        <f t="shared" si="45"/>
        <v/>
      </c>
      <c r="P408" t="str">
        <f>IF($N408="","",LEFT($Q408,4)&amp;MID($Q408,6,2)&amp;RIGHT($Q408,2)&amp;IF(Sync!$K408="","0000",IF(AND(ISNUMBER(Sync!$K408),Sync!$K408&gt;=0,Sync!$K408&lt;1),RIGHT("00"&amp;HOUR(Sync!$K408),2)&amp;RIGHT("00"&amp;MINUTE(Sync!$K408),2),IFERROR(RIGHT("00"&amp;VALUE(LEFT(Sync!$K408,FIND(":",Sync!$K408)-1)),2)&amp;RIGHT("00"&amp;VALUE(MID(Sync!$K408,FIND(":",Sync!$K408)+1,2)),2),"0000")))&amp;"|"&amp;"2"&amp;RIGHT("00000"&amp;403,5))</f>
        <v/>
      </c>
      <c r="Q408" t="str">
        <f>IF(Sync!$J408="","",IF(ISNUMBER(Sync!$J408),IF(AND(Sync!$J408&gt;=10000101,Sync!$J408&lt;=99991231),INT(Sync!$J408/10000)&amp;"/"&amp;RIGHT("00"&amp;INT(MOD(Sync!$J408,10000)/100),2)&amp;"/"&amp;RIGHT("00"&amp;MOD(Sync!$J408,100),2),"نامعتبر"),IF(LEN(Sync!$J408)=10,Sync!$J408,"نامعتبر")))</f>
        <v/>
      </c>
      <c r="R408" t="str">
        <f t="shared" si="46"/>
        <v/>
      </c>
      <c r="S408" t="str">
        <f t="shared" si="47"/>
        <v/>
      </c>
      <c r="T408" t="str">
        <f>IF($N408="","",IF(Sync!$N408="",0,Sync!$N408))</f>
        <v/>
      </c>
      <c r="U408" t="str">
        <f>IF($N408="","",IF(Sync!$O408="",0,Sync!$O408))</f>
        <v/>
      </c>
      <c r="V408" t="str">
        <f>IF($N408="","",Sync!$L408)</f>
        <v/>
      </c>
      <c r="W408" t="str">
        <f>IF($N408="","",Sync!$P408)</f>
        <v/>
      </c>
      <c r="AA408" t="str">
        <f>IF($A408="","",IF(COUNTIF($A$6:$A408,$A408)=1,1,0))</f>
        <v/>
      </c>
      <c r="AB408">
        <f>SUM($AA$6:$AA408)</f>
        <v>3</v>
      </c>
      <c r="AC408" t="str">
        <f t="shared" si="48"/>
        <v/>
      </c>
    </row>
    <row r="409" spans="1:29" x14ac:dyDescent="0.2">
      <c r="A409" t="str">
        <f>IF(OR(Entry!$B412="",Entry!$E412="",$E409="نامعتبر"),"",Entry!$E412)</f>
        <v/>
      </c>
      <c r="B409" t="str">
        <f>IF($A409="","",LEFT($E409,4)&amp;MID($E409,6,2)&amp;RIGHT($E409,2)&amp;$F409&amp;"|"&amp;"1"&amp;RIGHT("00000"&amp;404,5))</f>
        <v/>
      </c>
      <c r="C409" t="str">
        <f t="shared" si="42"/>
        <v/>
      </c>
      <c r="D409" t="str">
        <f t="shared" si="43"/>
        <v/>
      </c>
      <c r="E409" t="str">
        <f>IF(Entry!$B412="","",IF(ISNUMBER(Entry!$B412),IF(AND(Entry!$B412&gt;=10000101,Entry!$B412&lt;=99991231),INT(Entry!$B412/10000)&amp;"/"&amp;RIGHT("00"&amp;INT(MOD(Entry!$B412,10000)/100),2)&amp;"/"&amp;RIGHT("00"&amp;MOD(Entry!$B412,100),2),"نامعتبر"),IF(LEN(Entry!$B412)=10,Entry!$B412,"نامعتبر")))</f>
        <v/>
      </c>
      <c r="F409" t="str">
        <f>IF(Entry!$B412="","",IF(Entry!$C412="","0000",IF(AND(ISNUMBER(Entry!$C412),Entry!$C412&gt;=0,Entry!$C412&lt;1),RIGHT("00"&amp;HOUR(Entry!$C412),2)&amp;RIGHT("00"&amp;MINUTE(Entry!$C412),2),IFERROR(RIGHT("00"&amp;VALUE(LEFT(Entry!$C412,FIND(":",Entry!$C412)-1)),2)&amp;RIGHT("00"&amp;VALUE(MID(Entry!$C412,FIND(":",Entry!$C412)+1,2)),2),"0000"))))</f>
        <v/>
      </c>
      <c r="G409" t="str">
        <f>IF($A409="","",Entry!$G412)</f>
        <v/>
      </c>
      <c r="H409" t="str">
        <f>IF($A409="","",IF(Entry!$H412="",0,Entry!$H412))</f>
        <v/>
      </c>
      <c r="I409" t="str">
        <f>IF($A409="","",IF(Entry!$I412="",0,Entry!$I412))</f>
        <v/>
      </c>
      <c r="J409" t="str">
        <f t="shared" si="44"/>
        <v/>
      </c>
      <c r="K409" t="str">
        <f>IF($A409="","",Entry!$D412)</f>
        <v/>
      </c>
      <c r="L409" t="str">
        <f>IF($A409="","",Entry!$L412)</f>
        <v/>
      </c>
      <c r="N409" t="str">
        <f>IF(OR(Sync!$M409="",$Q409="",$Q409="نامعتبر"),"",Sync!$M409)</f>
        <v/>
      </c>
      <c r="O409" t="str">
        <f t="shared" si="45"/>
        <v/>
      </c>
      <c r="P409" t="str">
        <f>IF($N409="","",LEFT($Q409,4)&amp;MID($Q409,6,2)&amp;RIGHT($Q409,2)&amp;IF(Sync!$K409="","0000",IF(AND(ISNUMBER(Sync!$K409),Sync!$K409&gt;=0,Sync!$K409&lt;1),RIGHT("00"&amp;HOUR(Sync!$K409),2)&amp;RIGHT("00"&amp;MINUTE(Sync!$K409),2),IFERROR(RIGHT("00"&amp;VALUE(LEFT(Sync!$K409,FIND(":",Sync!$K409)-1)),2)&amp;RIGHT("00"&amp;VALUE(MID(Sync!$K409,FIND(":",Sync!$K409)+1,2)),2),"0000")))&amp;"|"&amp;"2"&amp;RIGHT("00000"&amp;404,5))</f>
        <v/>
      </c>
      <c r="Q409" t="str">
        <f>IF(Sync!$J409="","",IF(ISNUMBER(Sync!$J409),IF(AND(Sync!$J409&gt;=10000101,Sync!$J409&lt;=99991231),INT(Sync!$J409/10000)&amp;"/"&amp;RIGHT("00"&amp;INT(MOD(Sync!$J409,10000)/100),2)&amp;"/"&amp;RIGHT("00"&amp;MOD(Sync!$J409,100),2),"نامعتبر"),IF(LEN(Sync!$J409)=10,Sync!$J409,"نامعتبر")))</f>
        <v/>
      </c>
      <c r="R409" t="str">
        <f t="shared" si="46"/>
        <v/>
      </c>
      <c r="S409" t="str">
        <f t="shared" si="47"/>
        <v/>
      </c>
      <c r="T409" t="str">
        <f>IF($N409="","",IF(Sync!$N409="",0,Sync!$N409))</f>
        <v/>
      </c>
      <c r="U409" t="str">
        <f>IF($N409="","",IF(Sync!$O409="",0,Sync!$O409))</f>
        <v/>
      </c>
      <c r="V409" t="str">
        <f>IF($N409="","",Sync!$L409)</f>
        <v/>
      </c>
      <c r="W409" t="str">
        <f>IF($N409="","",Sync!$P409)</f>
        <v/>
      </c>
      <c r="AA409" t="str">
        <f>IF($A409="","",IF(COUNTIF($A$6:$A409,$A409)=1,1,0))</f>
        <v/>
      </c>
      <c r="AB409">
        <f>SUM($AA$6:$AA409)</f>
        <v>3</v>
      </c>
      <c r="AC409" t="str">
        <f t="shared" si="48"/>
        <v/>
      </c>
    </row>
    <row r="410" spans="1:29" x14ac:dyDescent="0.2">
      <c r="A410" t="str">
        <f>IF(OR(Entry!$B413="",Entry!$E413="",$E410="نامعتبر"),"",Entry!$E413)</f>
        <v/>
      </c>
      <c r="B410" t="str">
        <f>IF($A410="","",LEFT($E410,4)&amp;MID($E410,6,2)&amp;RIGHT($E410,2)&amp;$F410&amp;"|"&amp;"1"&amp;RIGHT("00000"&amp;405,5))</f>
        <v/>
      </c>
      <c r="C410" t="str">
        <f t="shared" si="42"/>
        <v/>
      </c>
      <c r="D410" t="str">
        <f t="shared" si="43"/>
        <v/>
      </c>
      <c r="E410" t="str">
        <f>IF(Entry!$B413="","",IF(ISNUMBER(Entry!$B413),IF(AND(Entry!$B413&gt;=10000101,Entry!$B413&lt;=99991231),INT(Entry!$B413/10000)&amp;"/"&amp;RIGHT("00"&amp;INT(MOD(Entry!$B413,10000)/100),2)&amp;"/"&amp;RIGHT("00"&amp;MOD(Entry!$B413,100),2),"نامعتبر"),IF(LEN(Entry!$B413)=10,Entry!$B413,"نامعتبر")))</f>
        <v/>
      </c>
      <c r="F410" t="str">
        <f>IF(Entry!$B413="","",IF(Entry!$C413="","0000",IF(AND(ISNUMBER(Entry!$C413),Entry!$C413&gt;=0,Entry!$C413&lt;1),RIGHT("00"&amp;HOUR(Entry!$C413),2)&amp;RIGHT("00"&amp;MINUTE(Entry!$C413),2),IFERROR(RIGHT("00"&amp;VALUE(LEFT(Entry!$C413,FIND(":",Entry!$C413)-1)),2)&amp;RIGHT("00"&amp;VALUE(MID(Entry!$C413,FIND(":",Entry!$C413)+1,2)),2),"0000"))))</f>
        <v/>
      </c>
      <c r="G410" t="str">
        <f>IF($A410="","",Entry!$G413)</f>
        <v/>
      </c>
      <c r="H410" t="str">
        <f>IF($A410="","",IF(Entry!$H413="",0,Entry!$H413))</f>
        <v/>
      </c>
      <c r="I410" t="str">
        <f>IF($A410="","",IF(Entry!$I413="",0,Entry!$I413))</f>
        <v/>
      </c>
      <c r="J410" t="str">
        <f t="shared" si="44"/>
        <v/>
      </c>
      <c r="K410" t="str">
        <f>IF($A410="","",Entry!$D413)</f>
        <v/>
      </c>
      <c r="L410" t="str">
        <f>IF($A410="","",Entry!$L413)</f>
        <v/>
      </c>
      <c r="N410" t="str">
        <f>IF(OR(Sync!$M410="",$Q410="",$Q410="نامعتبر"),"",Sync!$M410)</f>
        <v/>
      </c>
      <c r="O410" t="str">
        <f t="shared" si="45"/>
        <v/>
      </c>
      <c r="P410" t="str">
        <f>IF($N410="","",LEFT($Q410,4)&amp;MID($Q410,6,2)&amp;RIGHT($Q410,2)&amp;IF(Sync!$K410="","0000",IF(AND(ISNUMBER(Sync!$K410),Sync!$K410&gt;=0,Sync!$K410&lt;1),RIGHT("00"&amp;HOUR(Sync!$K410),2)&amp;RIGHT("00"&amp;MINUTE(Sync!$K410),2),IFERROR(RIGHT("00"&amp;VALUE(LEFT(Sync!$K410,FIND(":",Sync!$K410)-1)),2)&amp;RIGHT("00"&amp;VALUE(MID(Sync!$K410,FIND(":",Sync!$K410)+1,2)),2),"0000")))&amp;"|"&amp;"2"&amp;RIGHT("00000"&amp;405,5))</f>
        <v/>
      </c>
      <c r="Q410" t="str">
        <f>IF(Sync!$J410="","",IF(ISNUMBER(Sync!$J410),IF(AND(Sync!$J410&gt;=10000101,Sync!$J410&lt;=99991231),INT(Sync!$J410/10000)&amp;"/"&amp;RIGHT("00"&amp;INT(MOD(Sync!$J410,10000)/100),2)&amp;"/"&amp;RIGHT("00"&amp;MOD(Sync!$J410,100),2),"نامعتبر"),IF(LEN(Sync!$J410)=10,Sync!$J410,"نامعتبر")))</f>
        <v/>
      </c>
      <c r="R410" t="str">
        <f t="shared" si="46"/>
        <v/>
      </c>
      <c r="S410" t="str">
        <f t="shared" si="47"/>
        <v/>
      </c>
      <c r="T410" t="str">
        <f>IF($N410="","",IF(Sync!$N410="",0,Sync!$N410))</f>
        <v/>
      </c>
      <c r="U410" t="str">
        <f>IF($N410="","",IF(Sync!$O410="",0,Sync!$O410))</f>
        <v/>
      </c>
      <c r="V410" t="str">
        <f>IF($N410="","",Sync!$L410)</f>
        <v/>
      </c>
      <c r="W410" t="str">
        <f>IF($N410="","",Sync!$P410)</f>
        <v/>
      </c>
      <c r="AA410" t="str">
        <f>IF($A410="","",IF(COUNTIF($A$6:$A410,$A410)=1,1,0))</f>
        <v/>
      </c>
      <c r="AB410">
        <f>SUM($AA$6:$AA410)</f>
        <v>3</v>
      </c>
      <c r="AC410" t="str">
        <f t="shared" si="48"/>
        <v/>
      </c>
    </row>
    <row r="411" spans="1:29" x14ac:dyDescent="0.2">
      <c r="A411" t="str">
        <f>IF(OR(Entry!$B414="",Entry!$E414="",$E411="نامعتبر"),"",Entry!$E414)</f>
        <v/>
      </c>
      <c r="B411" t="str">
        <f>IF($A411="","",LEFT($E411,4)&amp;MID($E411,6,2)&amp;RIGHT($E411,2)&amp;$F411&amp;"|"&amp;"1"&amp;RIGHT("00000"&amp;406,5))</f>
        <v/>
      </c>
      <c r="C411" t="str">
        <f t="shared" si="42"/>
        <v/>
      </c>
      <c r="D411" t="str">
        <f t="shared" si="43"/>
        <v/>
      </c>
      <c r="E411" t="str">
        <f>IF(Entry!$B414="","",IF(ISNUMBER(Entry!$B414),IF(AND(Entry!$B414&gt;=10000101,Entry!$B414&lt;=99991231),INT(Entry!$B414/10000)&amp;"/"&amp;RIGHT("00"&amp;INT(MOD(Entry!$B414,10000)/100),2)&amp;"/"&amp;RIGHT("00"&amp;MOD(Entry!$B414,100),2),"نامعتبر"),IF(LEN(Entry!$B414)=10,Entry!$B414,"نامعتبر")))</f>
        <v/>
      </c>
      <c r="F411" t="str">
        <f>IF(Entry!$B414="","",IF(Entry!$C414="","0000",IF(AND(ISNUMBER(Entry!$C414),Entry!$C414&gt;=0,Entry!$C414&lt;1),RIGHT("00"&amp;HOUR(Entry!$C414),2)&amp;RIGHT("00"&amp;MINUTE(Entry!$C414),2),IFERROR(RIGHT("00"&amp;VALUE(LEFT(Entry!$C414,FIND(":",Entry!$C414)-1)),2)&amp;RIGHT("00"&amp;VALUE(MID(Entry!$C414,FIND(":",Entry!$C414)+1,2)),2),"0000"))))</f>
        <v/>
      </c>
      <c r="G411" t="str">
        <f>IF($A411="","",Entry!$G414)</f>
        <v/>
      </c>
      <c r="H411" t="str">
        <f>IF($A411="","",IF(Entry!$H414="",0,Entry!$H414))</f>
        <v/>
      </c>
      <c r="I411" t="str">
        <f>IF($A411="","",IF(Entry!$I414="",0,Entry!$I414))</f>
        <v/>
      </c>
      <c r="J411" t="str">
        <f t="shared" si="44"/>
        <v/>
      </c>
      <c r="K411" t="str">
        <f>IF($A411="","",Entry!$D414)</f>
        <v/>
      </c>
      <c r="L411" t="str">
        <f>IF($A411="","",Entry!$L414)</f>
        <v/>
      </c>
      <c r="N411" t="str">
        <f>IF(OR(Sync!$M411="",$Q411="",$Q411="نامعتبر"),"",Sync!$M411)</f>
        <v/>
      </c>
      <c r="O411" t="str">
        <f t="shared" si="45"/>
        <v/>
      </c>
      <c r="P411" t="str">
        <f>IF($N411="","",LEFT($Q411,4)&amp;MID($Q411,6,2)&amp;RIGHT($Q411,2)&amp;IF(Sync!$K411="","0000",IF(AND(ISNUMBER(Sync!$K411),Sync!$K411&gt;=0,Sync!$K411&lt;1),RIGHT("00"&amp;HOUR(Sync!$K411),2)&amp;RIGHT("00"&amp;MINUTE(Sync!$K411),2),IFERROR(RIGHT("00"&amp;VALUE(LEFT(Sync!$K411,FIND(":",Sync!$K411)-1)),2)&amp;RIGHT("00"&amp;VALUE(MID(Sync!$K411,FIND(":",Sync!$K411)+1,2)),2),"0000")))&amp;"|"&amp;"2"&amp;RIGHT("00000"&amp;406,5))</f>
        <v/>
      </c>
      <c r="Q411" t="str">
        <f>IF(Sync!$J411="","",IF(ISNUMBER(Sync!$J411),IF(AND(Sync!$J411&gt;=10000101,Sync!$J411&lt;=99991231),INT(Sync!$J411/10000)&amp;"/"&amp;RIGHT("00"&amp;INT(MOD(Sync!$J411,10000)/100),2)&amp;"/"&amp;RIGHT("00"&amp;MOD(Sync!$J411,100),2),"نامعتبر"),IF(LEN(Sync!$J411)=10,Sync!$J411,"نامعتبر")))</f>
        <v/>
      </c>
      <c r="R411" t="str">
        <f t="shared" si="46"/>
        <v/>
      </c>
      <c r="S411" t="str">
        <f t="shared" si="47"/>
        <v/>
      </c>
      <c r="T411" t="str">
        <f>IF($N411="","",IF(Sync!$N411="",0,Sync!$N411))</f>
        <v/>
      </c>
      <c r="U411" t="str">
        <f>IF($N411="","",IF(Sync!$O411="",0,Sync!$O411))</f>
        <v/>
      </c>
      <c r="V411" t="str">
        <f>IF($N411="","",Sync!$L411)</f>
        <v/>
      </c>
      <c r="W411" t="str">
        <f>IF($N411="","",Sync!$P411)</f>
        <v/>
      </c>
      <c r="AA411" t="str">
        <f>IF($A411="","",IF(COUNTIF($A$6:$A411,$A411)=1,1,0))</f>
        <v/>
      </c>
      <c r="AB411">
        <f>SUM($AA$6:$AA411)</f>
        <v>3</v>
      </c>
      <c r="AC411" t="str">
        <f t="shared" si="48"/>
        <v/>
      </c>
    </row>
    <row r="412" spans="1:29" x14ac:dyDescent="0.2">
      <c r="A412" t="str">
        <f>IF(OR(Entry!$B415="",Entry!$E415="",$E412="نامعتبر"),"",Entry!$E415)</f>
        <v/>
      </c>
      <c r="B412" t="str">
        <f>IF($A412="","",LEFT($E412,4)&amp;MID($E412,6,2)&amp;RIGHT($E412,2)&amp;$F412&amp;"|"&amp;"1"&amp;RIGHT("00000"&amp;407,5))</f>
        <v/>
      </c>
      <c r="C412" t="str">
        <f t="shared" si="42"/>
        <v/>
      </c>
      <c r="D412" t="str">
        <f t="shared" si="43"/>
        <v/>
      </c>
      <c r="E412" t="str">
        <f>IF(Entry!$B415="","",IF(ISNUMBER(Entry!$B415),IF(AND(Entry!$B415&gt;=10000101,Entry!$B415&lt;=99991231),INT(Entry!$B415/10000)&amp;"/"&amp;RIGHT("00"&amp;INT(MOD(Entry!$B415,10000)/100),2)&amp;"/"&amp;RIGHT("00"&amp;MOD(Entry!$B415,100),2),"نامعتبر"),IF(LEN(Entry!$B415)=10,Entry!$B415,"نامعتبر")))</f>
        <v/>
      </c>
      <c r="F412" t="str">
        <f>IF(Entry!$B415="","",IF(Entry!$C415="","0000",IF(AND(ISNUMBER(Entry!$C415),Entry!$C415&gt;=0,Entry!$C415&lt;1),RIGHT("00"&amp;HOUR(Entry!$C415),2)&amp;RIGHT("00"&amp;MINUTE(Entry!$C415),2),IFERROR(RIGHT("00"&amp;VALUE(LEFT(Entry!$C415,FIND(":",Entry!$C415)-1)),2)&amp;RIGHT("00"&amp;VALUE(MID(Entry!$C415,FIND(":",Entry!$C415)+1,2)),2),"0000"))))</f>
        <v/>
      </c>
      <c r="G412" t="str">
        <f>IF($A412="","",Entry!$G415)</f>
        <v/>
      </c>
      <c r="H412" t="str">
        <f>IF($A412="","",IF(Entry!$H415="",0,Entry!$H415))</f>
        <v/>
      </c>
      <c r="I412" t="str">
        <f>IF($A412="","",IF(Entry!$I415="",0,Entry!$I415))</f>
        <v/>
      </c>
      <c r="J412" t="str">
        <f t="shared" si="44"/>
        <v/>
      </c>
      <c r="K412" t="str">
        <f>IF($A412="","",Entry!$D415)</f>
        <v/>
      </c>
      <c r="L412" t="str">
        <f>IF($A412="","",Entry!$L415)</f>
        <v/>
      </c>
      <c r="N412" t="str">
        <f>IF(OR(Sync!$M412="",$Q412="",$Q412="نامعتبر"),"",Sync!$M412)</f>
        <v/>
      </c>
      <c r="O412" t="str">
        <f t="shared" si="45"/>
        <v/>
      </c>
      <c r="P412" t="str">
        <f>IF($N412="","",LEFT($Q412,4)&amp;MID($Q412,6,2)&amp;RIGHT($Q412,2)&amp;IF(Sync!$K412="","0000",IF(AND(ISNUMBER(Sync!$K412),Sync!$K412&gt;=0,Sync!$K412&lt;1),RIGHT("00"&amp;HOUR(Sync!$K412),2)&amp;RIGHT("00"&amp;MINUTE(Sync!$K412),2),IFERROR(RIGHT("00"&amp;VALUE(LEFT(Sync!$K412,FIND(":",Sync!$K412)-1)),2)&amp;RIGHT("00"&amp;VALUE(MID(Sync!$K412,FIND(":",Sync!$K412)+1,2)),2),"0000")))&amp;"|"&amp;"2"&amp;RIGHT("00000"&amp;407,5))</f>
        <v/>
      </c>
      <c r="Q412" t="str">
        <f>IF(Sync!$J412="","",IF(ISNUMBER(Sync!$J412),IF(AND(Sync!$J412&gt;=10000101,Sync!$J412&lt;=99991231),INT(Sync!$J412/10000)&amp;"/"&amp;RIGHT("00"&amp;INT(MOD(Sync!$J412,10000)/100),2)&amp;"/"&amp;RIGHT("00"&amp;MOD(Sync!$J412,100),2),"نامعتبر"),IF(LEN(Sync!$J412)=10,Sync!$J412,"نامعتبر")))</f>
        <v/>
      </c>
      <c r="R412" t="str">
        <f t="shared" si="46"/>
        <v/>
      </c>
      <c r="S412" t="str">
        <f t="shared" si="47"/>
        <v/>
      </c>
      <c r="T412" t="str">
        <f>IF($N412="","",IF(Sync!$N412="",0,Sync!$N412))</f>
        <v/>
      </c>
      <c r="U412" t="str">
        <f>IF($N412="","",IF(Sync!$O412="",0,Sync!$O412))</f>
        <v/>
      </c>
      <c r="V412" t="str">
        <f>IF($N412="","",Sync!$L412)</f>
        <v/>
      </c>
      <c r="W412" t="str">
        <f>IF($N412="","",Sync!$P412)</f>
        <v/>
      </c>
      <c r="AA412" t="str">
        <f>IF($A412="","",IF(COUNTIF($A$6:$A412,$A412)=1,1,0))</f>
        <v/>
      </c>
      <c r="AB412">
        <f>SUM($AA$6:$AA412)</f>
        <v>3</v>
      </c>
      <c r="AC412" t="str">
        <f t="shared" si="48"/>
        <v/>
      </c>
    </row>
    <row r="413" spans="1:29" x14ac:dyDescent="0.2">
      <c r="A413" t="str">
        <f>IF(OR(Entry!$B416="",Entry!$E416="",$E413="نامعتبر"),"",Entry!$E416)</f>
        <v/>
      </c>
      <c r="B413" t="str">
        <f>IF($A413="","",LEFT($E413,4)&amp;MID($E413,6,2)&amp;RIGHT($E413,2)&amp;$F413&amp;"|"&amp;"1"&amp;RIGHT("00000"&amp;408,5))</f>
        <v/>
      </c>
      <c r="C413" t="str">
        <f t="shared" si="42"/>
        <v/>
      </c>
      <c r="D413" t="str">
        <f t="shared" si="43"/>
        <v/>
      </c>
      <c r="E413" t="str">
        <f>IF(Entry!$B416="","",IF(ISNUMBER(Entry!$B416),IF(AND(Entry!$B416&gt;=10000101,Entry!$B416&lt;=99991231),INT(Entry!$B416/10000)&amp;"/"&amp;RIGHT("00"&amp;INT(MOD(Entry!$B416,10000)/100),2)&amp;"/"&amp;RIGHT("00"&amp;MOD(Entry!$B416,100),2),"نامعتبر"),IF(LEN(Entry!$B416)=10,Entry!$B416,"نامعتبر")))</f>
        <v/>
      </c>
      <c r="F413" t="str">
        <f>IF(Entry!$B416="","",IF(Entry!$C416="","0000",IF(AND(ISNUMBER(Entry!$C416),Entry!$C416&gt;=0,Entry!$C416&lt;1),RIGHT("00"&amp;HOUR(Entry!$C416),2)&amp;RIGHT("00"&amp;MINUTE(Entry!$C416),2),IFERROR(RIGHT("00"&amp;VALUE(LEFT(Entry!$C416,FIND(":",Entry!$C416)-1)),2)&amp;RIGHT("00"&amp;VALUE(MID(Entry!$C416,FIND(":",Entry!$C416)+1,2)),2),"0000"))))</f>
        <v/>
      </c>
      <c r="G413" t="str">
        <f>IF($A413="","",Entry!$G416)</f>
        <v/>
      </c>
      <c r="H413" t="str">
        <f>IF($A413="","",IF(Entry!$H416="",0,Entry!$H416))</f>
        <v/>
      </c>
      <c r="I413" t="str">
        <f>IF($A413="","",IF(Entry!$I416="",0,Entry!$I416))</f>
        <v/>
      </c>
      <c r="J413" t="str">
        <f t="shared" si="44"/>
        <v/>
      </c>
      <c r="K413" t="str">
        <f>IF($A413="","",Entry!$D416)</f>
        <v/>
      </c>
      <c r="L413" t="str">
        <f>IF($A413="","",Entry!$L416)</f>
        <v/>
      </c>
      <c r="N413" t="str">
        <f>IF(OR(Sync!$M413="",$Q413="",$Q413="نامعتبر"),"",Sync!$M413)</f>
        <v/>
      </c>
      <c r="O413" t="str">
        <f t="shared" si="45"/>
        <v/>
      </c>
      <c r="P413" t="str">
        <f>IF($N413="","",LEFT($Q413,4)&amp;MID($Q413,6,2)&amp;RIGHT($Q413,2)&amp;IF(Sync!$K413="","0000",IF(AND(ISNUMBER(Sync!$K413),Sync!$K413&gt;=0,Sync!$K413&lt;1),RIGHT("00"&amp;HOUR(Sync!$K413),2)&amp;RIGHT("00"&amp;MINUTE(Sync!$K413),2),IFERROR(RIGHT("00"&amp;VALUE(LEFT(Sync!$K413,FIND(":",Sync!$K413)-1)),2)&amp;RIGHT("00"&amp;VALUE(MID(Sync!$K413,FIND(":",Sync!$K413)+1,2)),2),"0000")))&amp;"|"&amp;"2"&amp;RIGHT("00000"&amp;408,5))</f>
        <v/>
      </c>
      <c r="Q413" t="str">
        <f>IF(Sync!$J413="","",IF(ISNUMBER(Sync!$J413),IF(AND(Sync!$J413&gt;=10000101,Sync!$J413&lt;=99991231),INT(Sync!$J413/10000)&amp;"/"&amp;RIGHT("00"&amp;INT(MOD(Sync!$J413,10000)/100),2)&amp;"/"&amp;RIGHT("00"&amp;MOD(Sync!$J413,100),2),"نامعتبر"),IF(LEN(Sync!$J413)=10,Sync!$J413,"نامعتبر")))</f>
        <v/>
      </c>
      <c r="R413" t="str">
        <f t="shared" si="46"/>
        <v/>
      </c>
      <c r="S413" t="str">
        <f t="shared" si="47"/>
        <v/>
      </c>
      <c r="T413" t="str">
        <f>IF($N413="","",IF(Sync!$N413="",0,Sync!$N413))</f>
        <v/>
      </c>
      <c r="U413" t="str">
        <f>IF($N413="","",IF(Sync!$O413="",0,Sync!$O413))</f>
        <v/>
      </c>
      <c r="V413" t="str">
        <f>IF($N413="","",Sync!$L413)</f>
        <v/>
      </c>
      <c r="W413" t="str">
        <f>IF($N413="","",Sync!$P413)</f>
        <v/>
      </c>
      <c r="AA413" t="str">
        <f>IF($A413="","",IF(COUNTIF($A$6:$A413,$A413)=1,1,0))</f>
        <v/>
      </c>
      <c r="AB413">
        <f>SUM($AA$6:$AA413)</f>
        <v>3</v>
      </c>
      <c r="AC413" t="str">
        <f t="shared" si="48"/>
        <v/>
      </c>
    </row>
    <row r="414" spans="1:29" x14ac:dyDescent="0.2">
      <c r="A414" t="str">
        <f>IF(OR(Entry!$B417="",Entry!$E417="",$E414="نامعتبر"),"",Entry!$E417)</f>
        <v/>
      </c>
      <c r="B414" t="str">
        <f>IF($A414="","",LEFT($E414,4)&amp;MID($E414,6,2)&amp;RIGHT($E414,2)&amp;$F414&amp;"|"&amp;"1"&amp;RIGHT("00000"&amp;409,5))</f>
        <v/>
      </c>
      <c r="C414" t="str">
        <f t="shared" si="42"/>
        <v/>
      </c>
      <c r="D414" t="str">
        <f t="shared" si="43"/>
        <v/>
      </c>
      <c r="E414" t="str">
        <f>IF(Entry!$B417="","",IF(ISNUMBER(Entry!$B417),IF(AND(Entry!$B417&gt;=10000101,Entry!$B417&lt;=99991231),INT(Entry!$B417/10000)&amp;"/"&amp;RIGHT("00"&amp;INT(MOD(Entry!$B417,10000)/100),2)&amp;"/"&amp;RIGHT("00"&amp;MOD(Entry!$B417,100),2),"نامعتبر"),IF(LEN(Entry!$B417)=10,Entry!$B417,"نامعتبر")))</f>
        <v/>
      </c>
      <c r="F414" t="str">
        <f>IF(Entry!$B417="","",IF(Entry!$C417="","0000",IF(AND(ISNUMBER(Entry!$C417),Entry!$C417&gt;=0,Entry!$C417&lt;1),RIGHT("00"&amp;HOUR(Entry!$C417),2)&amp;RIGHT("00"&amp;MINUTE(Entry!$C417),2),IFERROR(RIGHT("00"&amp;VALUE(LEFT(Entry!$C417,FIND(":",Entry!$C417)-1)),2)&amp;RIGHT("00"&amp;VALUE(MID(Entry!$C417,FIND(":",Entry!$C417)+1,2)),2),"0000"))))</f>
        <v/>
      </c>
      <c r="G414" t="str">
        <f>IF($A414="","",Entry!$G417)</f>
        <v/>
      </c>
      <c r="H414" t="str">
        <f>IF($A414="","",IF(Entry!$H417="",0,Entry!$H417))</f>
        <v/>
      </c>
      <c r="I414" t="str">
        <f>IF($A414="","",IF(Entry!$I417="",0,Entry!$I417))</f>
        <v/>
      </c>
      <c r="J414" t="str">
        <f t="shared" si="44"/>
        <v/>
      </c>
      <c r="K414" t="str">
        <f>IF($A414="","",Entry!$D417)</f>
        <v/>
      </c>
      <c r="L414" t="str">
        <f>IF($A414="","",Entry!$L417)</f>
        <v/>
      </c>
      <c r="N414" t="str">
        <f>IF(OR(Sync!$M414="",$Q414="",$Q414="نامعتبر"),"",Sync!$M414)</f>
        <v/>
      </c>
      <c r="O414" t="str">
        <f t="shared" si="45"/>
        <v/>
      </c>
      <c r="P414" t="str">
        <f>IF($N414="","",LEFT($Q414,4)&amp;MID($Q414,6,2)&amp;RIGHT($Q414,2)&amp;IF(Sync!$K414="","0000",IF(AND(ISNUMBER(Sync!$K414),Sync!$K414&gt;=0,Sync!$K414&lt;1),RIGHT("00"&amp;HOUR(Sync!$K414),2)&amp;RIGHT("00"&amp;MINUTE(Sync!$K414),2),IFERROR(RIGHT("00"&amp;VALUE(LEFT(Sync!$K414,FIND(":",Sync!$K414)-1)),2)&amp;RIGHT("00"&amp;VALUE(MID(Sync!$K414,FIND(":",Sync!$K414)+1,2)),2),"0000")))&amp;"|"&amp;"2"&amp;RIGHT("00000"&amp;409,5))</f>
        <v/>
      </c>
      <c r="Q414" t="str">
        <f>IF(Sync!$J414="","",IF(ISNUMBER(Sync!$J414),IF(AND(Sync!$J414&gt;=10000101,Sync!$J414&lt;=99991231),INT(Sync!$J414/10000)&amp;"/"&amp;RIGHT("00"&amp;INT(MOD(Sync!$J414,10000)/100),2)&amp;"/"&amp;RIGHT("00"&amp;MOD(Sync!$J414,100),2),"نامعتبر"),IF(LEN(Sync!$J414)=10,Sync!$J414,"نامعتبر")))</f>
        <v/>
      </c>
      <c r="R414" t="str">
        <f t="shared" si="46"/>
        <v/>
      </c>
      <c r="S414" t="str">
        <f t="shared" si="47"/>
        <v/>
      </c>
      <c r="T414" t="str">
        <f>IF($N414="","",IF(Sync!$N414="",0,Sync!$N414))</f>
        <v/>
      </c>
      <c r="U414" t="str">
        <f>IF($N414="","",IF(Sync!$O414="",0,Sync!$O414))</f>
        <v/>
      </c>
      <c r="V414" t="str">
        <f>IF($N414="","",Sync!$L414)</f>
        <v/>
      </c>
      <c r="W414" t="str">
        <f>IF($N414="","",Sync!$P414)</f>
        <v/>
      </c>
      <c r="AA414" t="str">
        <f>IF($A414="","",IF(COUNTIF($A$6:$A414,$A414)=1,1,0))</f>
        <v/>
      </c>
      <c r="AB414">
        <f>SUM($AA$6:$AA414)</f>
        <v>3</v>
      </c>
      <c r="AC414" t="str">
        <f t="shared" si="48"/>
        <v/>
      </c>
    </row>
    <row r="415" spans="1:29" x14ac:dyDescent="0.2">
      <c r="A415" t="str">
        <f>IF(OR(Entry!$B418="",Entry!$E418="",$E415="نامعتبر"),"",Entry!$E418)</f>
        <v/>
      </c>
      <c r="B415" t="str">
        <f>IF($A415="","",LEFT($E415,4)&amp;MID($E415,6,2)&amp;RIGHT($E415,2)&amp;$F415&amp;"|"&amp;"1"&amp;RIGHT("00000"&amp;410,5))</f>
        <v/>
      </c>
      <c r="C415" t="str">
        <f t="shared" si="42"/>
        <v/>
      </c>
      <c r="D415" t="str">
        <f t="shared" si="43"/>
        <v/>
      </c>
      <c r="E415" t="str">
        <f>IF(Entry!$B418="","",IF(ISNUMBER(Entry!$B418),IF(AND(Entry!$B418&gt;=10000101,Entry!$B418&lt;=99991231),INT(Entry!$B418/10000)&amp;"/"&amp;RIGHT("00"&amp;INT(MOD(Entry!$B418,10000)/100),2)&amp;"/"&amp;RIGHT("00"&amp;MOD(Entry!$B418,100),2),"نامعتبر"),IF(LEN(Entry!$B418)=10,Entry!$B418,"نامعتبر")))</f>
        <v/>
      </c>
      <c r="F415" t="str">
        <f>IF(Entry!$B418="","",IF(Entry!$C418="","0000",IF(AND(ISNUMBER(Entry!$C418),Entry!$C418&gt;=0,Entry!$C418&lt;1),RIGHT("00"&amp;HOUR(Entry!$C418),2)&amp;RIGHT("00"&amp;MINUTE(Entry!$C418),2),IFERROR(RIGHT("00"&amp;VALUE(LEFT(Entry!$C418,FIND(":",Entry!$C418)-1)),2)&amp;RIGHT("00"&amp;VALUE(MID(Entry!$C418,FIND(":",Entry!$C418)+1,2)),2),"0000"))))</f>
        <v/>
      </c>
      <c r="G415" t="str">
        <f>IF($A415="","",Entry!$G418)</f>
        <v/>
      </c>
      <c r="H415" t="str">
        <f>IF($A415="","",IF(Entry!$H418="",0,Entry!$H418))</f>
        <v/>
      </c>
      <c r="I415" t="str">
        <f>IF($A415="","",IF(Entry!$I418="",0,Entry!$I418))</f>
        <v/>
      </c>
      <c r="J415" t="str">
        <f t="shared" si="44"/>
        <v/>
      </c>
      <c r="K415" t="str">
        <f>IF($A415="","",Entry!$D418)</f>
        <v/>
      </c>
      <c r="L415" t="str">
        <f>IF($A415="","",Entry!$L418)</f>
        <v/>
      </c>
      <c r="N415" t="str">
        <f>IF(OR(Sync!$M415="",$Q415="",$Q415="نامعتبر"),"",Sync!$M415)</f>
        <v/>
      </c>
      <c r="O415" t="str">
        <f t="shared" si="45"/>
        <v/>
      </c>
      <c r="P415" t="str">
        <f>IF($N415="","",LEFT($Q415,4)&amp;MID($Q415,6,2)&amp;RIGHT($Q415,2)&amp;IF(Sync!$K415="","0000",IF(AND(ISNUMBER(Sync!$K415),Sync!$K415&gt;=0,Sync!$K415&lt;1),RIGHT("00"&amp;HOUR(Sync!$K415),2)&amp;RIGHT("00"&amp;MINUTE(Sync!$K415),2),IFERROR(RIGHT("00"&amp;VALUE(LEFT(Sync!$K415,FIND(":",Sync!$K415)-1)),2)&amp;RIGHT("00"&amp;VALUE(MID(Sync!$K415,FIND(":",Sync!$K415)+1,2)),2),"0000")))&amp;"|"&amp;"2"&amp;RIGHT("00000"&amp;410,5))</f>
        <v/>
      </c>
      <c r="Q415" t="str">
        <f>IF(Sync!$J415="","",IF(ISNUMBER(Sync!$J415),IF(AND(Sync!$J415&gt;=10000101,Sync!$J415&lt;=99991231),INT(Sync!$J415/10000)&amp;"/"&amp;RIGHT("00"&amp;INT(MOD(Sync!$J415,10000)/100),2)&amp;"/"&amp;RIGHT("00"&amp;MOD(Sync!$J415,100),2),"نامعتبر"),IF(LEN(Sync!$J415)=10,Sync!$J415,"نامعتبر")))</f>
        <v/>
      </c>
      <c r="R415" t="str">
        <f t="shared" si="46"/>
        <v/>
      </c>
      <c r="S415" t="str">
        <f t="shared" si="47"/>
        <v/>
      </c>
      <c r="T415" t="str">
        <f>IF($N415="","",IF(Sync!$N415="",0,Sync!$N415))</f>
        <v/>
      </c>
      <c r="U415" t="str">
        <f>IF($N415="","",IF(Sync!$O415="",0,Sync!$O415))</f>
        <v/>
      </c>
      <c r="V415" t="str">
        <f>IF($N415="","",Sync!$L415)</f>
        <v/>
      </c>
      <c r="W415" t="str">
        <f>IF($N415="","",Sync!$P415)</f>
        <v/>
      </c>
      <c r="AA415" t="str">
        <f>IF($A415="","",IF(COUNTIF($A$6:$A415,$A415)=1,1,0))</f>
        <v/>
      </c>
      <c r="AB415">
        <f>SUM($AA$6:$AA415)</f>
        <v>3</v>
      </c>
      <c r="AC415" t="str">
        <f t="shared" si="48"/>
        <v/>
      </c>
    </row>
    <row r="416" spans="1:29" x14ac:dyDescent="0.2">
      <c r="A416" t="str">
        <f>IF(OR(Entry!$B419="",Entry!$E419="",$E416="نامعتبر"),"",Entry!$E419)</f>
        <v/>
      </c>
      <c r="B416" t="str">
        <f>IF($A416="","",LEFT($E416,4)&amp;MID($E416,6,2)&amp;RIGHT($E416,2)&amp;$F416&amp;"|"&amp;"1"&amp;RIGHT("00000"&amp;411,5))</f>
        <v/>
      </c>
      <c r="C416" t="str">
        <f t="shared" si="42"/>
        <v/>
      </c>
      <c r="D416" t="str">
        <f t="shared" si="43"/>
        <v/>
      </c>
      <c r="E416" t="str">
        <f>IF(Entry!$B419="","",IF(ISNUMBER(Entry!$B419),IF(AND(Entry!$B419&gt;=10000101,Entry!$B419&lt;=99991231),INT(Entry!$B419/10000)&amp;"/"&amp;RIGHT("00"&amp;INT(MOD(Entry!$B419,10000)/100),2)&amp;"/"&amp;RIGHT("00"&amp;MOD(Entry!$B419,100),2),"نامعتبر"),IF(LEN(Entry!$B419)=10,Entry!$B419,"نامعتبر")))</f>
        <v/>
      </c>
      <c r="F416" t="str">
        <f>IF(Entry!$B419="","",IF(Entry!$C419="","0000",IF(AND(ISNUMBER(Entry!$C419),Entry!$C419&gt;=0,Entry!$C419&lt;1),RIGHT("00"&amp;HOUR(Entry!$C419),2)&amp;RIGHT("00"&amp;MINUTE(Entry!$C419),2),IFERROR(RIGHT("00"&amp;VALUE(LEFT(Entry!$C419,FIND(":",Entry!$C419)-1)),2)&amp;RIGHT("00"&amp;VALUE(MID(Entry!$C419,FIND(":",Entry!$C419)+1,2)),2),"0000"))))</f>
        <v/>
      </c>
      <c r="G416" t="str">
        <f>IF($A416="","",Entry!$G419)</f>
        <v/>
      </c>
      <c r="H416" t="str">
        <f>IF($A416="","",IF(Entry!$H419="",0,Entry!$H419))</f>
        <v/>
      </c>
      <c r="I416" t="str">
        <f>IF($A416="","",IF(Entry!$I419="",0,Entry!$I419))</f>
        <v/>
      </c>
      <c r="J416" t="str">
        <f t="shared" si="44"/>
        <v/>
      </c>
      <c r="K416" t="str">
        <f>IF($A416="","",Entry!$D419)</f>
        <v/>
      </c>
      <c r="L416" t="str">
        <f>IF($A416="","",Entry!$L419)</f>
        <v/>
      </c>
      <c r="N416" t="str">
        <f>IF(OR(Sync!$M416="",$Q416="",$Q416="نامعتبر"),"",Sync!$M416)</f>
        <v/>
      </c>
      <c r="O416" t="str">
        <f t="shared" si="45"/>
        <v/>
      </c>
      <c r="P416" t="str">
        <f>IF($N416="","",LEFT($Q416,4)&amp;MID($Q416,6,2)&amp;RIGHT($Q416,2)&amp;IF(Sync!$K416="","0000",IF(AND(ISNUMBER(Sync!$K416),Sync!$K416&gt;=0,Sync!$K416&lt;1),RIGHT("00"&amp;HOUR(Sync!$K416),2)&amp;RIGHT("00"&amp;MINUTE(Sync!$K416),2),IFERROR(RIGHT("00"&amp;VALUE(LEFT(Sync!$K416,FIND(":",Sync!$K416)-1)),2)&amp;RIGHT("00"&amp;VALUE(MID(Sync!$K416,FIND(":",Sync!$K416)+1,2)),2),"0000")))&amp;"|"&amp;"2"&amp;RIGHT("00000"&amp;411,5))</f>
        <v/>
      </c>
      <c r="Q416" t="str">
        <f>IF(Sync!$J416="","",IF(ISNUMBER(Sync!$J416),IF(AND(Sync!$J416&gt;=10000101,Sync!$J416&lt;=99991231),INT(Sync!$J416/10000)&amp;"/"&amp;RIGHT("00"&amp;INT(MOD(Sync!$J416,10000)/100),2)&amp;"/"&amp;RIGHT("00"&amp;MOD(Sync!$J416,100),2),"نامعتبر"),IF(LEN(Sync!$J416)=10,Sync!$J416,"نامعتبر")))</f>
        <v/>
      </c>
      <c r="R416" t="str">
        <f t="shared" si="46"/>
        <v/>
      </c>
      <c r="S416" t="str">
        <f t="shared" si="47"/>
        <v/>
      </c>
      <c r="T416" t="str">
        <f>IF($N416="","",IF(Sync!$N416="",0,Sync!$N416))</f>
        <v/>
      </c>
      <c r="U416" t="str">
        <f>IF($N416="","",IF(Sync!$O416="",0,Sync!$O416))</f>
        <v/>
      </c>
      <c r="V416" t="str">
        <f>IF($N416="","",Sync!$L416)</f>
        <v/>
      </c>
      <c r="W416" t="str">
        <f>IF($N416="","",Sync!$P416)</f>
        <v/>
      </c>
      <c r="AA416" t="str">
        <f>IF($A416="","",IF(COUNTIF($A$6:$A416,$A416)=1,1,0))</f>
        <v/>
      </c>
      <c r="AB416">
        <f>SUM($AA$6:$AA416)</f>
        <v>3</v>
      </c>
      <c r="AC416" t="str">
        <f t="shared" si="48"/>
        <v/>
      </c>
    </row>
    <row r="417" spans="1:29" x14ac:dyDescent="0.2">
      <c r="A417" t="str">
        <f>IF(OR(Entry!$B420="",Entry!$E420="",$E417="نامعتبر"),"",Entry!$E420)</f>
        <v/>
      </c>
      <c r="B417" t="str">
        <f>IF($A417="","",LEFT($E417,4)&amp;MID($E417,6,2)&amp;RIGHT($E417,2)&amp;$F417&amp;"|"&amp;"1"&amp;RIGHT("00000"&amp;412,5))</f>
        <v/>
      </c>
      <c r="C417" t="str">
        <f t="shared" si="42"/>
        <v/>
      </c>
      <c r="D417" t="str">
        <f t="shared" si="43"/>
        <v/>
      </c>
      <c r="E417" t="str">
        <f>IF(Entry!$B420="","",IF(ISNUMBER(Entry!$B420),IF(AND(Entry!$B420&gt;=10000101,Entry!$B420&lt;=99991231),INT(Entry!$B420/10000)&amp;"/"&amp;RIGHT("00"&amp;INT(MOD(Entry!$B420,10000)/100),2)&amp;"/"&amp;RIGHT("00"&amp;MOD(Entry!$B420,100),2),"نامعتبر"),IF(LEN(Entry!$B420)=10,Entry!$B420,"نامعتبر")))</f>
        <v/>
      </c>
      <c r="F417" t="str">
        <f>IF(Entry!$B420="","",IF(Entry!$C420="","0000",IF(AND(ISNUMBER(Entry!$C420),Entry!$C420&gt;=0,Entry!$C420&lt;1),RIGHT("00"&amp;HOUR(Entry!$C420),2)&amp;RIGHT("00"&amp;MINUTE(Entry!$C420),2),IFERROR(RIGHT("00"&amp;VALUE(LEFT(Entry!$C420,FIND(":",Entry!$C420)-1)),2)&amp;RIGHT("00"&amp;VALUE(MID(Entry!$C420,FIND(":",Entry!$C420)+1,2)),2),"0000"))))</f>
        <v/>
      </c>
      <c r="G417" t="str">
        <f>IF($A417="","",Entry!$G420)</f>
        <v/>
      </c>
      <c r="H417" t="str">
        <f>IF($A417="","",IF(Entry!$H420="",0,Entry!$H420))</f>
        <v/>
      </c>
      <c r="I417" t="str">
        <f>IF($A417="","",IF(Entry!$I420="",0,Entry!$I420))</f>
        <v/>
      </c>
      <c r="J417" t="str">
        <f t="shared" si="44"/>
        <v/>
      </c>
      <c r="K417" t="str">
        <f>IF($A417="","",Entry!$D420)</f>
        <v/>
      </c>
      <c r="L417" t="str">
        <f>IF($A417="","",Entry!$L420)</f>
        <v/>
      </c>
      <c r="N417" t="str">
        <f>IF(OR(Sync!$M417="",$Q417="",$Q417="نامعتبر"),"",Sync!$M417)</f>
        <v/>
      </c>
      <c r="O417" t="str">
        <f t="shared" si="45"/>
        <v/>
      </c>
      <c r="P417" t="str">
        <f>IF($N417="","",LEFT($Q417,4)&amp;MID($Q417,6,2)&amp;RIGHT($Q417,2)&amp;IF(Sync!$K417="","0000",IF(AND(ISNUMBER(Sync!$K417),Sync!$K417&gt;=0,Sync!$K417&lt;1),RIGHT("00"&amp;HOUR(Sync!$K417),2)&amp;RIGHT("00"&amp;MINUTE(Sync!$K417),2),IFERROR(RIGHT("00"&amp;VALUE(LEFT(Sync!$K417,FIND(":",Sync!$K417)-1)),2)&amp;RIGHT("00"&amp;VALUE(MID(Sync!$K417,FIND(":",Sync!$K417)+1,2)),2),"0000")))&amp;"|"&amp;"2"&amp;RIGHT("00000"&amp;412,5))</f>
        <v/>
      </c>
      <c r="Q417" t="str">
        <f>IF(Sync!$J417="","",IF(ISNUMBER(Sync!$J417),IF(AND(Sync!$J417&gt;=10000101,Sync!$J417&lt;=99991231),INT(Sync!$J417/10000)&amp;"/"&amp;RIGHT("00"&amp;INT(MOD(Sync!$J417,10000)/100),2)&amp;"/"&amp;RIGHT("00"&amp;MOD(Sync!$J417,100),2),"نامعتبر"),IF(LEN(Sync!$J417)=10,Sync!$J417,"نامعتبر")))</f>
        <v/>
      </c>
      <c r="R417" t="str">
        <f t="shared" si="46"/>
        <v/>
      </c>
      <c r="S417" t="str">
        <f t="shared" si="47"/>
        <v/>
      </c>
      <c r="T417" t="str">
        <f>IF($N417="","",IF(Sync!$N417="",0,Sync!$N417))</f>
        <v/>
      </c>
      <c r="U417" t="str">
        <f>IF($N417="","",IF(Sync!$O417="",0,Sync!$O417))</f>
        <v/>
      </c>
      <c r="V417" t="str">
        <f>IF($N417="","",Sync!$L417)</f>
        <v/>
      </c>
      <c r="W417" t="str">
        <f>IF($N417="","",Sync!$P417)</f>
        <v/>
      </c>
      <c r="AA417" t="str">
        <f>IF($A417="","",IF(COUNTIF($A$6:$A417,$A417)=1,1,0))</f>
        <v/>
      </c>
      <c r="AB417">
        <f>SUM($AA$6:$AA417)</f>
        <v>3</v>
      </c>
      <c r="AC417" t="str">
        <f t="shared" si="48"/>
        <v/>
      </c>
    </row>
    <row r="418" spans="1:29" x14ac:dyDescent="0.2">
      <c r="A418" t="str">
        <f>IF(OR(Entry!$B421="",Entry!$E421="",$E418="نامعتبر"),"",Entry!$E421)</f>
        <v/>
      </c>
      <c r="B418" t="str">
        <f>IF($A418="","",LEFT($E418,4)&amp;MID($E418,6,2)&amp;RIGHT($E418,2)&amp;$F418&amp;"|"&amp;"1"&amp;RIGHT("00000"&amp;413,5))</f>
        <v/>
      </c>
      <c r="C418" t="str">
        <f t="shared" si="42"/>
        <v/>
      </c>
      <c r="D418" t="str">
        <f t="shared" si="43"/>
        <v/>
      </c>
      <c r="E418" t="str">
        <f>IF(Entry!$B421="","",IF(ISNUMBER(Entry!$B421),IF(AND(Entry!$B421&gt;=10000101,Entry!$B421&lt;=99991231),INT(Entry!$B421/10000)&amp;"/"&amp;RIGHT("00"&amp;INT(MOD(Entry!$B421,10000)/100),2)&amp;"/"&amp;RIGHT("00"&amp;MOD(Entry!$B421,100),2),"نامعتبر"),IF(LEN(Entry!$B421)=10,Entry!$B421,"نامعتبر")))</f>
        <v/>
      </c>
      <c r="F418" t="str">
        <f>IF(Entry!$B421="","",IF(Entry!$C421="","0000",IF(AND(ISNUMBER(Entry!$C421),Entry!$C421&gt;=0,Entry!$C421&lt;1),RIGHT("00"&amp;HOUR(Entry!$C421),2)&amp;RIGHT("00"&amp;MINUTE(Entry!$C421),2),IFERROR(RIGHT("00"&amp;VALUE(LEFT(Entry!$C421,FIND(":",Entry!$C421)-1)),2)&amp;RIGHT("00"&amp;VALUE(MID(Entry!$C421,FIND(":",Entry!$C421)+1,2)),2),"0000"))))</f>
        <v/>
      </c>
      <c r="G418" t="str">
        <f>IF($A418="","",Entry!$G421)</f>
        <v/>
      </c>
      <c r="H418" t="str">
        <f>IF($A418="","",IF(Entry!$H421="",0,Entry!$H421))</f>
        <v/>
      </c>
      <c r="I418" t="str">
        <f>IF($A418="","",IF(Entry!$I421="",0,Entry!$I421))</f>
        <v/>
      </c>
      <c r="J418" t="str">
        <f t="shared" si="44"/>
        <v/>
      </c>
      <c r="K418" t="str">
        <f>IF($A418="","",Entry!$D421)</f>
        <v/>
      </c>
      <c r="L418" t="str">
        <f>IF($A418="","",Entry!$L421)</f>
        <v/>
      </c>
      <c r="N418" t="str">
        <f>IF(OR(Sync!$M418="",$Q418="",$Q418="نامعتبر"),"",Sync!$M418)</f>
        <v/>
      </c>
      <c r="O418" t="str">
        <f t="shared" si="45"/>
        <v/>
      </c>
      <c r="P418" t="str">
        <f>IF($N418="","",LEFT($Q418,4)&amp;MID($Q418,6,2)&amp;RIGHT($Q418,2)&amp;IF(Sync!$K418="","0000",IF(AND(ISNUMBER(Sync!$K418),Sync!$K418&gt;=0,Sync!$K418&lt;1),RIGHT("00"&amp;HOUR(Sync!$K418),2)&amp;RIGHT("00"&amp;MINUTE(Sync!$K418),2),IFERROR(RIGHT("00"&amp;VALUE(LEFT(Sync!$K418,FIND(":",Sync!$K418)-1)),2)&amp;RIGHT("00"&amp;VALUE(MID(Sync!$K418,FIND(":",Sync!$K418)+1,2)),2),"0000")))&amp;"|"&amp;"2"&amp;RIGHT("00000"&amp;413,5))</f>
        <v/>
      </c>
      <c r="Q418" t="str">
        <f>IF(Sync!$J418="","",IF(ISNUMBER(Sync!$J418),IF(AND(Sync!$J418&gt;=10000101,Sync!$J418&lt;=99991231),INT(Sync!$J418/10000)&amp;"/"&amp;RIGHT("00"&amp;INT(MOD(Sync!$J418,10000)/100),2)&amp;"/"&amp;RIGHT("00"&amp;MOD(Sync!$J418,100),2),"نامعتبر"),IF(LEN(Sync!$J418)=10,Sync!$J418,"نامعتبر")))</f>
        <v/>
      </c>
      <c r="R418" t="str">
        <f t="shared" si="46"/>
        <v/>
      </c>
      <c r="S418" t="str">
        <f t="shared" si="47"/>
        <v/>
      </c>
      <c r="T418" t="str">
        <f>IF($N418="","",IF(Sync!$N418="",0,Sync!$N418))</f>
        <v/>
      </c>
      <c r="U418" t="str">
        <f>IF($N418="","",IF(Sync!$O418="",0,Sync!$O418))</f>
        <v/>
      </c>
      <c r="V418" t="str">
        <f>IF($N418="","",Sync!$L418)</f>
        <v/>
      </c>
      <c r="W418" t="str">
        <f>IF($N418="","",Sync!$P418)</f>
        <v/>
      </c>
      <c r="AA418" t="str">
        <f>IF($A418="","",IF(COUNTIF($A$6:$A418,$A418)=1,1,0))</f>
        <v/>
      </c>
      <c r="AB418">
        <f>SUM($AA$6:$AA418)</f>
        <v>3</v>
      </c>
      <c r="AC418" t="str">
        <f t="shared" si="48"/>
        <v/>
      </c>
    </row>
    <row r="419" spans="1:29" x14ac:dyDescent="0.2">
      <c r="A419" t="str">
        <f>IF(OR(Entry!$B422="",Entry!$E422="",$E419="نامعتبر"),"",Entry!$E422)</f>
        <v/>
      </c>
      <c r="B419" t="str">
        <f>IF($A419="","",LEFT($E419,4)&amp;MID($E419,6,2)&amp;RIGHT($E419,2)&amp;$F419&amp;"|"&amp;"1"&amp;RIGHT("00000"&amp;414,5))</f>
        <v/>
      </c>
      <c r="C419" t="str">
        <f t="shared" si="42"/>
        <v/>
      </c>
      <c r="D419" t="str">
        <f t="shared" si="43"/>
        <v/>
      </c>
      <c r="E419" t="str">
        <f>IF(Entry!$B422="","",IF(ISNUMBER(Entry!$B422),IF(AND(Entry!$B422&gt;=10000101,Entry!$B422&lt;=99991231),INT(Entry!$B422/10000)&amp;"/"&amp;RIGHT("00"&amp;INT(MOD(Entry!$B422,10000)/100),2)&amp;"/"&amp;RIGHT("00"&amp;MOD(Entry!$B422,100),2),"نامعتبر"),IF(LEN(Entry!$B422)=10,Entry!$B422,"نامعتبر")))</f>
        <v/>
      </c>
      <c r="F419" t="str">
        <f>IF(Entry!$B422="","",IF(Entry!$C422="","0000",IF(AND(ISNUMBER(Entry!$C422),Entry!$C422&gt;=0,Entry!$C422&lt;1),RIGHT("00"&amp;HOUR(Entry!$C422),2)&amp;RIGHT("00"&amp;MINUTE(Entry!$C422),2),IFERROR(RIGHT("00"&amp;VALUE(LEFT(Entry!$C422,FIND(":",Entry!$C422)-1)),2)&amp;RIGHT("00"&amp;VALUE(MID(Entry!$C422,FIND(":",Entry!$C422)+1,2)),2),"0000"))))</f>
        <v/>
      </c>
      <c r="G419" t="str">
        <f>IF($A419="","",Entry!$G422)</f>
        <v/>
      </c>
      <c r="H419" t="str">
        <f>IF($A419="","",IF(Entry!$H422="",0,Entry!$H422))</f>
        <v/>
      </c>
      <c r="I419" t="str">
        <f>IF($A419="","",IF(Entry!$I422="",0,Entry!$I422))</f>
        <v/>
      </c>
      <c r="J419" t="str">
        <f t="shared" si="44"/>
        <v/>
      </c>
      <c r="K419" t="str">
        <f>IF($A419="","",Entry!$D422)</f>
        <v/>
      </c>
      <c r="L419" t="str">
        <f>IF($A419="","",Entry!$L422)</f>
        <v/>
      </c>
      <c r="N419" t="str">
        <f>IF(OR(Sync!$M419="",$Q419="",$Q419="نامعتبر"),"",Sync!$M419)</f>
        <v/>
      </c>
      <c r="O419" t="str">
        <f t="shared" si="45"/>
        <v/>
      </c>
      <c r="P419" t="str">
        <f>IF($N419="","",LEFT($Q419,4)&amp;MID($Q419,6,2)&amp;RIGHT($Q419,2)&amp;IF(Sync!$K419="","0000",IF(AND(ISNUMBER(Sync!$K419),Sync!$K419&gt;=0,Sync!$K419&lt;1),RIGHT("00"&amp;HOUR(Sync!$K419),2)&amp;RIGHT("00"&amp;MINUTE(Sync!$K419),2),IFERROR(RIGHT("00"&amp;VALUE(LEFT(Sync!$K419,FIND(":",Sync!$K419)-1)),2)&amp;RIGHT("00"&amp;VALUE(MID(Sync!$K419,FIND(":",Sync!$K419)+1,2)),2),"0000")))&amp;"|"&amp;"2"&amp;RIGHT("00000"&amp;414,5))</f>
        <v/>
      </c>
      <c r="Q419" t="str">
        <f>IF(Sync!$J419="","",IF(ISNUMBER(Sync!$J419),IF(AND(Sync!$J419&gt;=10000101,Sync!$J419&lt;=99991231),INT(Sync!$J419/10000)&amp;"/"&amp;RIGHT("00"&amp;INT(MOD(Sync!$J419,10000)/100),2)&amp;"/"&amp;RIGHT("00"&amp;MOD(Sync!$J419,100),2),"نامعتبر"),IF(LEN(Sync!$J419)=10,Sync!$J419,"نامعتبر")))</f>
        <v/>
      </c>
      <c r="R419" t="str">
        <f t="shared" si="46"/>
        <v/>
      </c>
      <c r="S419" t="str">
        <f t="shared" si="47"/>
        <v/>
      </c>
      <c r="T419" t="str">
        <f>IF($N419="","",IF(Sync!$N419="",0,Sync!$N419))</f>
        <v/>
      </c>
      <c r="U419" t="str">
        <f>IF($N419="","",IF(Sync!$O419="",0,Sync!$O419))</f>
        <v/>
      </c>
      <c r="V419" t="str">
        <f>IF($N419="","",Sync!$L419)</f>
        <v/>
      </c>
      <c r="W419" t="str">
        <f>IF($N419="","",Sync!$P419)</f>
        <v/>
      </c>
      <c r="AA419" t="str">
        <f>IF($A419="","",IF(COUNTIF($A$6:$A419,$A419)=1,1,0))</f>
        <v/>
      </c>
      <c r="AB419">
        <f>SUM($AA$6:$AA419)</f>
        <v>3</v>
      </c>
      <c r="AC419" t="str">
        <f t="shared" si="48"/>
        <v/>
      </c>
    </row>
    <row r="420" spans="1:29" x14ac:dyDescent="0.2">
      <c r="A420" t="str">
        <f>IF(OR(Entry!$B423="",Entry!$E423="",$E420="نامعتبر"),"",Entry!$E423)</f>
        <v/>
      </c>
      <c r="B420" t="str">
        <f>IF($A420="","",LEFT($E420,4)&amp;MID($E420,6,2)&amp;RIGHT($E420,2)&amp;$F420&amp;"|"&amp;"1"&amp;RIGHT("00000"&amp;415,5))</f>
        <v/>
      </c>
      <c r="C420" t="str">
        <f t="shared" si="42"/>
        <v/>
      </c>
      <c r="D420" t="str">
        <f t="shared" si="43"/>
        <v/>
      </c>
      <c r="E420" t="str">
        <f>IF(Entry!$B423="","",IF(ISNUMBER(Entry!$B423),IF(AND(Entry!$B423&gt;=10000101,Entry!$B423&lt;=99991231),INT(Entry!$B423/10000)&amp;"/"&amp;RIGHT("00"&amp;INT(MOD(Entry!$B423,10000)/100),2)&amp;"/"&amp;RIGHT("00"&amp;MOD(Entry!$B423,100),2),"نامعتبر"),IF(LEN(Entry!$B423)=10,Entry!$B423,"نامعتبر")))</f>
        <v/>
      </c>
      <c r="F420" t="str">
        <f>IF(Entry!$B423="","",IF(Entry!$C423="","0000",IF(AND(ISNUMBER(Entry!$C423),Entry!$C423&gt;=0,Entry!$C423&lt;1),RIGHT("00"&amp;HOUR(Entry!$C423),2)&amp;RIGHT("00"&amp;MINUTE(Entry!$C423),2),IFERROR(RIGHT("00"&amp;VALUE(LEFT(Entry!$C423,FIND(":",Entry!$C423)-1)),2)&amp;RIGHT("00"&amp;VALUE(MID(Entry!$C423,FIND(":",Entry!$C423)+1,2)),2),"0000"))))</f>
        <v/>
      </c>
      <c r="G420" t="str">
        <f>IF($A420="","",Entry!$G423)</f>
        <v/>
      </c>
      <c r="H420" t="str">
        <f>IF($A420="","",IF(Entry!$H423="",0,Entry!$H423))</f>
        <v/>
      </c>
      <c r="I420" t="str">
        <f>IF($A420="","",IF(Entry!$I423="",0,Entry!$I423))</f>
        <v/>
      </c>
      <c r="J420" t="str">
        <f t="shared" si="44"/>
        <v/>
      </c>
      <c r="K420" t="str">
        <f>IF($A420="","",Entry!$D423)</f>
        <v/>
      </c>
      <c r="L420" t="str">
        <f>IF($A420="","",Entry!$L423)</f>
        <v/>
      </c>
      <c r="N420" t="str">
        <f>IF(OR(Sync!$M420="",$Q420="",$Q420="نامعتبر"),"",Sync!$M420)</f>
        <v/>
      </c>
      <c r="O420" t="str">
        <f t="shared" si="45"/>
        <v/>
      </c>
      <c r="P420" t="str">
        <f>IF($N420="","",LEFT($Q420,4)&amp;MID($Q420,6,2)&amp;RIGHT($Q420,2)&amp;IF(Sync!$K420="","0000",IF(AND(ISNUMBER(Sync!$K420),Sync!$K420&gt;=0,Sync!$K420&lt;1),RIGHT("00"&amp;HOUR(Sync!$K420),2)&amp;RIGHT("00"&amp;MINUTE(Sync!$K420),2),IFERROR(RIGHT("00"&amp;VALUE(LEFT(Sync!$K420,FIND(":",Sync!$K420)-1)),2)&amp;RIGHT("00"&amp;VALUE(MID(Sync!$K420,FIND(":",Sync!$K420)+1,2)),2),"0000")))&amp;"|"&amp;"2"&amp;RIGHT("00000"&amp;415,5))</f>
        <v/>
      </c>
      <c r="Q420" t="str">
        <f>IF(Sync!$J420="","",IF(ISNUMBER(Sync!$J420),IF(AND(Sync!$J420&gt;=10000101,Sync!$J420&lt;=99991231),INT(Sync!$J420/10000)&amp;"/"&amp;RIGHT("00"&amp;INT(MOD(Sync!$J420,10000)/100),2)&amp;"/"&amp;RIGHT("00"&amp;MOD(Sync!$J420,100),2),"نامعتبر"),IF(LEN(Sync!$J420)=10,Sync!$J420,"نامعتبر")))</f>
        <v/>
      </c>
      <c r="R420" t="str">
        <f t="shared" si="46"/>
        <v/>
      </c>
      <c r="S420" t="str">
        <f t="shared" si="47"/>
        <v/>
      </c>
      <c r="T420" t="str">
        <f>IF($N420="","",IF(Sync!$N420="",0,Sync!$N420))</f>
        <v/>
      </c>
      <c r="U420" t="str">
        <f>IF($N420="","",IF(Sync!$O420="",0,Sync!$O420))</f>
        <v/>
      </c>
      <c r="V420" t="str">
        <f>IF($N420="","",Sync!$L420)</f>
        <v/>
      </c>
      <c r="W420" t="str">
        <f>IF($N420="","",Sync!$P420)</f>
        <v/>
      </c>
      <c r="AA420" t="str">
        <f>IF($A420="","",IF(COUNTIF($A$6:$A420,$A420)=1,1,0))</f>
        <v/>
      </c>
      <c r="AB420">
        <f>SUM($AA$6:$AA420)</f>
        <v>3</v>
      </c>
      <c r="AC420" t="str">
        <f t="shared" si="48"/>
        <v/>
      </c>
    </row>
    <row r="421" spans="1:29" x14ac:dyDescent="0.2">
      <c r="A421" t="str">
        <f>IF(OR(Entry!$B424="",Entry!$E424="",$E421="نامعتبر"),"",Entry!$E424)</f>
        <v/>
      </c>
      <c r="B421" t="str">
        <f>IF($A421="","",LEFT($E421,4)&amp;MID($E421,6,2)&amp;RIGHT($E421,2)&amp;$F421&amp;"|"&amp;"1"&amp;RIGHT("00000"&amp;416,5))</f>
        <v/>
      </c>
      <c r="C421" t="str">
        <f t="shared" si="42"/>
        <v/>
      </c>
      <c r="D421" t="str">
        <f t="shared" si="43"/>
        <v/>
      </c>
      <c r="E421" t="str">
        <f>IF(Entry!$B424="","",IF(ISNUMBER(Entry!$B424),IF(AND(Entry!$B424&gt;=10000101,Entry!$B424&lt;=99991231),INT(Entry!$B424/10000)&amp;"/"&amp;RIGHT("00"&amp;INT(MOD(Entry!$B424,10000)/100),2)&amp;"/"&amp;RIGHT("00"&amp;MOD(Entry!$B424,100),2),"نامعتبر"),IF(LEN(Entry!$B424)=10,Entry!$B424,"نامعتبر")))</f>
        <v/>
      </c>
      <c r="F421" t="str">
        <f>IF(Entry!$B424="","",IF(Entry!$C424="","0000",IF(AND(ISNUMBER(Entry!$C424),Entry!$C424&gt;=0,Entry!$C424&lt;1),RIGHT("00"&amp;HOUR(Entry!$C424),2)&amp;RIGHT("00"&amp;MINUTE(Entry!$C424),2),IFERROR(RIGHT("00"&amp;VALUE(LEFT(Entry!$C424,FIND(":",Entry!$C424)-1)),2)&amp;RIGHT("00"&amp;VALUE(MID(Entry!$C424,FIND(":",Entry!$C424)+1,2)),2),"0000"))))</f>
        <v/>
      </c>
      <c r="G421" t="str">
        <f>IF($A421="","",Entry!$G424)</f>
        <v/>
      </c>
      <c r="H421" t="str">
        <f>IF($A421="","",IF(Entry!$H424="",0,Entry!$H424))</f>
        <v/>
      </c>
      <c r="I421" t="str">
        <f>IF($A421="","",IF(Entry!$I424="",0,Entry!$I424))</f>
        <v/>
      </c>
      <c r="J421" t="str">
        <f t="shared" si="44"/>
        <v/>
      </c>
      <c r="K421" t="str">
        <f>IF($A421="","",Entry!$D424)</f>
        <v/>
      </c>
      <c r="L421" t="str">
        <f>IF($A421="","",Entry!$L424)</f>
        <v/>
      </c>
      <c r="N421" t="str">
        <f>IF(OR(Sync!$M421="",$Q421="",$Q421="نامعتبر"),"",Sync!$M421)</f>
        <v/>
      </c>
      <c r="O421" t="str">
        <f t="shared" si="45"/>
        <v/>
      </c>
      <c r="P421" t="str">
        <f>IF($N421="","",LEFT($Q421,4)&amp;MID($Q421,6,2)&amp;RIGHT($Q421,2)&amp;IF(Sync!$K421="","0000",IF(AND(ISNUMBER(Sync!$K421),Sync!$K421&gt;=0,Sync!$K421&lt;1),RIGHT("00"&amp;HOUR(Sync!$K421),2)&amp;RIGHT("00"&amp;MINUTE(Sync!$K421),2),IFERROR(RIGHT("00"&amp;VALUE(LEFT(Sync!$K421,FIND(":",Sync!$K421)-1)),2)&amp;RIGHT("00"&amp;VALUE(MID(Sync!$K421,FIND(":",Sync!$K421)+1,2)),2),"0000")))&amp;"|"&amp;"2"&amp;RIGHT("00000"&amp;416,5))</f>
        <v/>
      </c>
      <c r="Q421" t="str">
        <f>IF(Sync!$J421="","",IF(ISNUMBER(Sync!$J421),IF(AND(Sync!$J421&gt;=10000101,Sync!$J421&lt;=99991231),INT(Sync!$J421/10000)&amp;"/"&amp;RIGHT("00"&amp;INT(MOD(Sync!$J421,10000)/100),2)&amp;"/"&amp;RIGHT("00"&amp;MOD(Sync!$J421,100),2),"نامعتبر"),IF(LEN(Sync!$J421)=10,Sync!$J421,"نامعتبر")))</f>
        <v/>
      </c>
      <c r="R421" t="str">
        <f t="shared" si="46"/>
        <v/>
      </c>
      <c r="S421" t="str">
        <f t="shared" si="47"/>
        <v/>
      </c>
      <c r="T421" t="str">
        <f>IF($N421="","",IF(Sync!$N421="",0,Sync!$N421))</f>
        <v/>
      </c>
      <c r="U421" t="str">
        <f>IF($N421="","",IF(Sync!$O421="",0,Sync!$O421))</f>
        <v/>
      </c>
      <c r="V421" t="str">
        <f>IF($N421="","",Sync!$L421)</f>
        <v/>
      </c>
      <c r="W421" t="str">
        <f>IF($N421="","",Sync!$P421)</f>
        <v/>
      </c>
      <c r="AA421" t="str">
        <f>IF($A421="","",IF(COUNTIF($A$6:$A421,$A421)=1,1,0))</f>
        <v/>
      </c>
      <c r="AB421">
        <f>SUM($AA$6:$AA421)</f>
        <v>3</v>
      </c>
      <c r="AC421" t="str">
        <f t="shared" si="48"/>
        <v/>
      </c>
    </row>
    <row r="422" spans="1:29" x14ac:dyDescent="0.2">
      <c r="A422" t="str">
        <f>IF(OR(Entry!$B425="",Entry!$E425="",$E422="نامعتبر"),"",Entry!$E425)</f>
        <v/>
      </c>
      <c r="B422" t="str">
        <f>IF($A422="","",LEFT($E422,4)&amp;MID($E422,6,2)&amp;RIGHT($E422,2)&amp;$F422&amp;"|"&amp;"1"&amp;RIGHT("00000"&amp;417,5))</f>
        <v/>
      </c>
      <c r="C422" t="str">
        <f t="shared" si="42"/>
        <v/>
      </c>
      <c r="D422" t="str">
        <f t="shared" si="43"/>
        <v/>
      </c>
      <c r="E422" t="str">
        <f>IF(Entry!$B425="","",IF(ISNUMBER(Entry!$B425),IF(AND(Entry!$B425&gt;=10000101,Entry!$B425&lt;=99991231),INT(Entry!$B425/10000)&amp;"/"&amp;RIGHT("00"&amp;INT(MOD(Entry!$B425,10000)/100),2)&amp;"/"&amp;RIGHT("00"&amp;MOD(Entry!$B425,100),2),"نامعتبر"),IF(LEN(Entry!$B425)=10,Entry!$B425,"نامعتبر")))</f>
        <v/>
      </c>
      <c r="F422" t="str">
        <f>IF(Entry!$B425="","",IF(Entry!$C425="","0000",IF(AND(ISNUMBER(Entry!$C425),Entry!$C425&gt;=0,Entry!$C425&lt;1),RIGHT("00"&amp;HOUR(Entry!$C425),2)&amp;RIGHT("00"&amp;MINUTE(Entry!$C425),2),IFERROR(RIGHT("00"&amp;VALUE(LEFT(Entry!$C425,FIND(":",Entry!$C425)-1)),2)&amp;RIGHT("00"&amp;VALUE(MID(Entry!$C425,FIND(":",Entry!$C425)+1,2)),2),"0000"))))</f>
        <v/>
      </c>
      <c r="G422" t="str">
        <f>IF($A422="","",Entry!$G425)</f>
        <v/>
      </c>
      <c r="H422" t="str">
        <f>IF($A422="","",IF(Entry!$H425="",0,Entry!$H425))</f>
        <v/>
      </c>
      <c r="I422" t="str">
        <f>IF($A422="","",IF(Entry!$I425="",0,Entry!$I425))</f>
        <v/>
      </c>
      <c r="J422" t="str">
        <f t="shared" si="44"/>
        <v/>
      </c>
      <c r="K422" t="str">
        <f>IF($A422="","",Entry!$D425)</f>
        <v/>
      </c>
      <c r="L422" t="str">
        <f>IF($A422="","",Entry!$L425)</f>
        <v/>
      </c>
      <c r="N422" t="str">
        <f>IF(OR(Sync!$M422="",$Q422="",$Q422="نامعتبر"),"",Sync!$M422)</f>
        <v/>
      </c>
      <c r="O422" t="str">
        <f t="shared" si="45"/>
        <v/>
      </c>
      <c r="P422" t="str">
        <f>IF($N422="","",LEFT($Q422,4)&amp;MID($Q422,6,2)&amp;RIGHT($Q422,2)&amp;IF(Sync!$K422="","0000",IF(AND(ISNUMBER(Sync!$K422),Sync!$K422&gt;=0,Sync!$K422&lt;1),RIGHT("00"&amp;HOUR(Sync!$K422),2)&amp;RIGHT("00"&amp;MINUTE(Sync!$K422),2),IFERROR(RIGHT("00"&amp;VALUE(LEFT(Sync!$K422,FIND(":",Sync!$K422)-1)),2)&amp;RIGHT("00"&amp;VALUE(MID(Sync!$K422,FIND(":",Sync!$K422)+1,2)),2),"0000")))&amp;"|"&amp;"2"&amp;RIGHT("00000"&amp;417,5))</f>
        <v/>
      </c>
      <c r="Q422" t="str">
        <f>IF(Sync!$J422="","",IF(ISNUMBER(Sync!$J422),IF(AND(Sync!$J422&gt;=10000101,Sync!$J422&lt;=99991231),INT(Sync!$J422/10000)&amp;"/"&amp;RIGHT("00"&amp;INT(MOD(Sync!$J422,10000)/100),2)&amp;"/"&amp;RIGHT("00"&amp;MOD(Sync!$J422,100),2),"نامعتبر"),IF(LEN(Sync!$J422)=10,Sync!$J422,"نامعتبر")))</f>
        <v/>
      </c>
      <c r="R422" t="str">
        <f t="shared" si="46"/>
        <v/>
      </c>
      <c r="S422" t="str">
        <f t="shared" si="47"/>
        <v/>
      </c>
      <c r="T422" t="str">
        <f>IF($N422="","",IF(Sync!$N422="",0,Sync!$N422))</f>
        <v/>
      </c>
      <c r="U422" t="str">
        <f>IF($N422="","",IF(Sync!$O422="",0,Sync!$O422))</f>
        <v/>
      </c>
      <c r="V422" t="str">
        <f>IF($N422="","",Sync!$L422)</f>
        <v/>
      </c>
      <c r="W422" t="str">
        <f>IF($N422="","",Sync!$P422)</f>
        <v/>
      </c>
      <c r="AA422" t="str">
        <f>IF($A422="","",IF(COUNTIF($A$6:$A422,$A422)=1,1,0))</f>
        <v/>
      </c>
      <c r="AB422">
        <f>SUM($AA$6:$AA422)</f>
        <v>3</v>
      </c>
      <c r="AC422" t="str">
        <f t="shared" si="48"/>
        <v/>
      </c>
    </row>
    <row r="423" spans="1:29" x14ac:dyDescent="0.2">
      <c r="A423" t="str">
        <f>IF(OR(Entry!$B426="",Entry!$E426="",$E423="نامعتبر"),"",Entry!$E426)</f>
        <v/>
      </c>
      <c r="B423" t="str">
        <f>IF($A423="","",LEFT($E423,4)&amp;MID($E423,6,2)&amp;RIGHT($E423,2)&amp;$F423&amp;"|"&amp;"1"&amp;RIGHT("00000"&amp;418,5))</f>
        <v/>
      </c>
      <c r="C423" t="str">
        <f t="shared" si="42"/>
        <v/>
      </c>
      <c r="D423" t="str">
        <f t="shared" si="43"/>
        <v/>
      </c>
      <c r="E423" t="str">
        <f>IF(Entry!$B426="","",IF(ISNUMBER(Entry!$B426),IF(AND(Entry!$B426&gt;=10000101,Entry!$B426&lt;=99991231),INT(Entry!$B426/10000)&amp;"/"&amp;RIGHT("00"&amp;INT(MOD(Entry!$B426,10000)/100),2)&amp;"/"&amp;RIGHT("00"&amp;MOD(Entry!$B426,100),2),"نامعتبر"),IF(LEN(Entry!$B426)=10,Entry!$B426,"نامعتبر")))</f>
        <v/>
      </c>
      <c r="F423" t="str">
        <f>IF(Entry!$B426="","",IF(Entry!$C426="","0000",IF(AND(ISNUMBER(Entry!$C426),Entry!$C426&gt;=0,Entry!$C426&lt;1),RIGHT("00"&amp;HOUR(Entry!$C426),2)&amp;RIGHT("00"&amp;MINUTE(Entry!$C426),2),IFERROR(RIGHT("00"&amp;VALUE(LEFT(Entry!$C426,FIND(":",Entry!$C426)-1)),2)&amp;RIGHT("00"&amp;VALUE(MID(Entry!$C426,FIND(":",Entry!$C426)+1,2)),2),"0000"))))</f>
        <v/>
      </c>
      <c r="G423" t="str">
        <f>IF($A423="","",Entry!$G426)</f>
        <v/>
      </c>
      <c r="H423" t="str">
        <f>IF($A423="","",IF(Entry!$H426="",0,Entry!$H426))</f>
        <v/>
      </c>
      <c r="I423" t="str">
        <f>IF($A423="","",IF(Entry!$I426="",0,Entry!$I426))</f>
        <v/>
      </c>
      <c r="J423" t="str">
        <f t="shared" si="44"/>
        <v/>
      </c>
      <c r="K423" t="str">
        <f>IF($A423="","",Entry!$D426)</f>
        <v/>
      </c>
      <c r="L423" t="str">
        <f>IF($A423="","",Entry!$L426)</f>
        <v/>
      </c>
      <c r="N423" t="str">
        <f>IF(OR(Sync!$M423="",$Q423="",$Q423="نامعتبر"),"",Sync!$M423)</f>
        <v/>
      </c>
      <c r="O423" t="str">
        <f t="shared" si="45"/>
        <v/>
      </c>
      <c r="P423" t="str">
        <f>IF($N423="","",LEFT($Q423,4)&amp;MID($Q423,6,2)&amp;RIGHT($Q423,2)&amp;IF(Sync!$K423="","0000",IF(AND(ISNUMBER(Sync!$K423),Sync!$K423&gt;=0,Sync!$K423&lt;1),RIGHT("00"&amp;HOUR(Sync!$K423),2)&amp;RIGHT("00"&amp;MINUTE(Sync!$K423),2),IFERROR(RIGHT("00"&amp;VALUE(LEFT(Sync!$K423,FIND(":",Sync!$K423)-1)),2)&amp;RIGHT("00"&amp;VALUE(MID(Sync!$K423,FIND(":",Sync!$K423)+1,2)),2),"0000")))&amp;"|"&amp;"2"&amp;RIGHT("00000"&amp;418,5))</f>
        <v/>
      </c>
      <c r="Q423" t="str">
        <f>IF(Sync!$J423="","",IF(ISNUMBER(Sync!$J423),IF(AND(Sync!$J423&gt;=10000101,Sync!$J423&lt;=99991231),INT(Sync!$J423/10000)&amp;"/"&amp;RIGHT("00"&amp;INT(MOD(Sync!$J423,10000)/100),2)&amp;"/"&amp;RIGHT("00"&amp;MOD(Sync!$J423,100),2),"نامعتبر"),IF(LEN(Sync!$J423)=10,Sync!$J423,"نامعتبر")))</f>
        <v/>
      </c>
      <c r="R423" t="str">
        <f t="shared" si="46"/>
        <v/>
      </c>
      <c r="S423" t="str">
        <f t="shared" si="47"/>
        <v/>
      </c>
      <c r="T423" t="str">
        <f>IF($N423="","",IF(Sync!$N423="",0,Sync!$N423))</f>
        <v/>
      </c>
      <c r="U423" t="str">
        <f>IF($N423="","",IF(Sync!$O423="",0,Sync!$O423))</f>
        <v/>
      </c>
      <c r="V423" t="str">
        <f>IF($N423="","",Sync!$L423)</f>
        <v/>
      </c>
      <c r="W423" t="str">
        <f>IF($N423="","",Sync!$P423)</f>
        <v/>
      </c>
      <c r="AA423" t="str">
        <f>IF($A423="","",IF(COUNTIF($A$6:$A423,$A423)=1,1,0))</f>
        <v/>
      </c>
      <c r="AB423">
        <f>SUM($AA$6:$AA423)</f>
        <v>3</v>
      </c>
      <c r="AC423" t="str">
        <f t="shared" si="48"/>
        <v/>
      </c>
    </row>
    <row r="424" spans="1:29" x14ac:dyDescent="0.2">
      <c r="A424" t="str">
        <f>IF(OR(Entry!$B427="",Entry!$E427="",$E424="نامعتبر"),"",Entry!$E427)</f>
        <v/>
      </c>
      <c r="B424" t="str">
        <f>IF($A424="","",LEFT($E424,4)&amp;MID($E424,6,2)&amp;RIGHT($E424,2)&amp;$F424&amp;"|"&amp;"1"&amp;RIGHT("00000"&amp;419,5))</f>
        <v/>
      </c>
      <c r="C424" t="str">
        <f t="shared" si="42"/>
        <v/>
      </c>
      <c r="D424" t="str">
        <f t="shared" si="43"/>
        <v/>
      </c>
      <c r="E424" t="str">
        <f>IF(Entry!$B427="","",IF(ISNUMBER(Entry!$B427),IF(AND(Entry!$B427&gt;=10000101,Entry!$B427&lt;=99991231),INT(Entry!$B427/10000)&amp;"/"&amp;RIGHT("00"&amp;INT(MOD(Entry!$B427,10000)/100),2)&amp;"/"&amp;RIGHT("00"&amp;MOD(Entry!$B427,100),2),"نامعتبر"),IF(LEN(Entry!$B427)=10,Entry!$B427,"نامعتبر")))</f>
        <v/>
      </c>
      <c r="F424" t="str">
        <f>IF(Entry!$B427="","",IF(Entry!$C427="","0000",IF(AND(ISNUMBER(Entry!$C427),Entry!$C427&gt;=0,Entry!$C427&lt;1),RIGHT("00"&amp;HOUR(Entry!$C427),2)&amp;RIGHT("00"&amp;MINUTE(Entry!$C427),2),IFERROR(RIGHT("00"&amp;VALUE(LEFT(Entry!$C427,FIND(":",Entry!$C427)-1)),2)&amp;RIGHT("00"&amp;VALUE(MID(Entry!$C427,FIND(":",Entry!$C427)+1,2)),2),"0000"))))</f>
        <v/>
      </c>
      <c r="G424" t="str">
        <f>IF($A424="","",Entry!$G427)</f>
        <v/>
      </c>
      <c r="H424" t="str">
        <f>IF($A424="","",IF(Entry!$H427="",0,Entry!$H427))</f>
        <v/>
      </c>
      <c r="I424" t="str">
        <f>IF($A424="","",IF(Entry!$I427="",0,Entry!$I427))</f>
        <v/>
      </c>
      <c r="J424" t="str">
        <f t="shared" si="44"/>
        <v/>
      </c>
      <c r="K424" t="str">
        <f>IF($A424="","",Entry!$D427)</f>
        <v/>
      </c>
      <c r="L424" t="str">
        <f>IF($A424="","",Entry!$L427)</f>
        <v/>
      </c>
      <c r="N424" t="str">
        <f>IF(OR(Sync!$M424="",$Q424="",$Q424="نامعتبر"),"",Sync!$M424)</f>
        <v/>
      </c>
      <c r="O424" t="str">
        <f t="shared" si="45"/>
        <v/>
      </c>
      <c r="P424" t="str">
        <f>IF($N424="","",LEFT($Q424,4)&amp;MID($Q424,6,2)&amp;RIGHT($Q424,2)&amp;IF(Sync!$K424="","0000",IF(AND(ISNUMBER(Sync!$K424),Sync!$K424&gt;=0,Sync!$K424&lt;1),RIGHT("00"&amp;HOUR(Sync!$K424),2)&amp;RIGHT("00"&amp;MINUTE(Sync!$K424),2),IFERROR(RIGHT("00"&amp;VALUE(LEFT(Sync!$K424,FIND(":",Sync!$K424)-1)),2)&amp;RIGHT("00"&amp;VALUE(MID(Sync!$K424,FIND(":",Sync!$K424)+1,2)),2),"0000")))&amp;"|"&amp;"2"&amp;RIGHT("00000"&amp;419,5))</f>
        <v/>
      </c>
      <c r="Q424" t="str">
        <f>IF(Sync!$J424="","",IF(ISNUMBER(Sync!$J424),IF(AND(Sync!$J424&gt;=10000101,Sync!$J424&lt;=99991231),INT(Sync!$J424/10000)&amp;"/"&amp;RIGHT("00"&amp;INT(MOD(Sync!$J424,10000)/100),2)&amp;"/"&amp;RIGHT("00"&amp;MOD(Sync!$J424,100),2),"نامعتبر"),IF(LEN(Sync!$J424)=10,Sync!$J424,"نامعتبر")))</f>
        <v/>
      </c>
      <c r="R424" t="str">
        <f t="shared" si="46"/>
        <v/>
      </c>
      <c r="S424" t="str">
        <f t="shared" si="47"/>
        <v/>
      </c>
      <c r="T424" t="str">
        <f>IF($N424="","",IF(Sync!$N424="",0,Sync!$N424))</f>
        <v/>
      </c>
      <c r="U424" t="str">
        <f>IF($N424="","",IF(Sync!$O424="",0,Sync!$O424))</f>
        <v/>
      </c>
      <c r="V424" t="str">
        <f>IF($N424="","",Sync!$L424)</f>
        <v/>
      </c>
      <c r="W424" t="str">
        <f>IF($N424="","",Sync!$P424)</f>
        <v/>
      </c>
      <c r="AA424" t="str">
        <f>IF($A424="","",IF(COUNTIF($A$6:$A424,$A424)=1,1,0))</f>
        <v/>
      </c>
      <c r="AB424">
        <f>SUM($AA$6:$AA424)</f>
        <v>3</v>
      </c>
      <c r="AC424" t="str">
        <f t="shared" si="48"/>
        <v/>
      </c>
    </row>
    <row r="425" spans="1:29" x14ac:dyDescent="0.2">
      <c r="A425" t="str">
        <f>IF(OR(Entry!$B428="",Entry!$E428="",$E425="نامعتبر"),"",Entry!$E428)</f>
        <v/>
      </c>
      <c r="B425" t="str">
        <f>IF($A425="","",LEFT($E425,4)&amp;MID($E425,6,2)&amp;RIGHT($E425,2)&amp;$F425&amp;"|"&amp;"1"&amp;RIGHT("00000"&amp;420,5))</f>
        <v/>
      </c>
      <c r="C425" t="str">
        <f t="shared" si="42"/>
        <v/>
      </c>
      <c r="D425" t="str">
        <f t="shared" si="43"/>
        <v/>
      </c>
      <c r="E425" t="str">
        <f>IF(Entry!$B428="","",IF(ISNUMBER(Entry!$B428),IF(AND(Entry!$B428&gt;=10000101,Entry!$B428&lt;=99991231),INT(Entry!$B428/10000)&amp;"/"&amp;RIGHT("00"&amp;INT(MOD(Entry!$B428,10000)/100),2)&amp;"/"&amp;RIGHT("00"&amp;MOD(Entry!$B428,100),2),"نامعتبر"),IF(LEN(Entry!$B428)=10,Entry!$B428,"نامعتبر")))</f>
        <v/>
      </c>
      <c r="F425" t="str">
        <f>IF(Entry!$B428="","",IF(Entry!$C428="","0000",IF(AND(ISNUMBER(Entry!$C428),Entry!$C428&gt;=0,Entry!$C428&lt;1),RIGHT("00"&amp;HOUR(Entry!$C428),2)&amp;RIGHT("00"&amp;MINUTE(Entry!$C428),2),IFERROR(RIGHT("00"&amp;VALUE(LEFT(Entry!$C428,FIND(":",Entry!$C428)-1)),2)&amp;RIGHT("00"&amp;VALUE(MID(Entry!$C428,FIND(":",Entry!$C428)+1,2)),2),"0000"))))</f>
        <v/>
      </c>
      <c r="G425" t="str">
        <f>IF($A425="","",Entry!$G428)</f>
        <v/>
      </c>
      <c r="H425" t="str">
        <f>IF($A425="","",IF(Entry!$H428="",0,Entry!$H428))</f>
        <v/>
      </c>
      <c r="I425" t="str">
        <f>IF($A425="","",IF(Entry!$I428="",0,Entry!$I428))</f>
        <v/>
      </c>
      <c r="J425" t="str">
        <f t="shared" si="44"/>
        <v/>
      </c>
      <c r="K425" t="str">
        <f>IF($A425="","",Entry!$D428)</f>
        <v/>
      </c>
      <c r="L425" t="str">
        <f>IF($A425="","",Entry!$L428)</f>
        <v/>
      </c>
      <c r="N425" t="str">
        <f>IF(OR(Sync!$M425="",$Q425="",$Q425="نامعتبر"),"",Sync!$M425)</f>
        <v/>
      </c>
      <c r="O425" t="str">
        <f t="shared" si="45"/>
        <v/>
      </c>
      <c r="P425" t="str">
        <f>IF($N425="","",LEFT($Q425,4)&amp;MID($Q425,6,2)&amp;RIGHT($Q425,2)&amp;IF(Sync!$K425="","0000",IF(AND(ISNUMBER(Sync!$K425),Sync!$K425&gt;=0,Sync!$K425&lt;1),RIGHT("00"&amp;HOUR(Sync!$K425),2)&amp;RIGHT("00"&amp;MINUTE(Sync!$K425),2),IFERROR(RIGHT("00"&amp;VALUE(LEFT(Sync!$K425,FIND(":",Sync!$K425)-1)),2)&amp;RIGHT("00"&amp;VALUE(MID(Sync!$K425,FIND(":",Sync!$K425)+1,2)),2),"0000")))&amp;"|"&amp;"2"&amp;RIGHT("00000"&amp;420,5))</f>
        <v/>
      </c>
      <c r="Q425" t="str">
        <f>IF(Sync!$J425="","",IF(ISNUMBER(Sync!$J425),IF(AND(Sync!$J425&gt;=10000101,Sync!$J425&lt;=99991231),INT(Sync!$J425/10000)&amp;"/"&amp;RIGHT("00"&amp;INT(MOD(Sync!$J425,10000)/100),2)&amp;"/"&amp;RIGHT("00"&amp;MOD(Sync!$J425,100),2),"نامعتبر"),IF(LEN(Sync!$J425)=10,Sync!$J425,"نامعتبر")))</f>
        <v/>
      </c>
      <c r="R425" t="str">
        <f t="shared" si="46"/>
        <v/>
      </c>
      <c r="S425" t="str">
        <f t="shared" si="47"/>
        <v/>
      </c>
      <c r="T425" t="str">
        <f>IF($N425="","",IF(Sync!$N425="",0,Sync!$N425))</f>
        <v/>
      </c>
      <c r="U425" t="str">
        <f>IF($N425="","",IF(Sync!$O425="",0,Sync!$O425))</f>
        <v/>
      </c>
      <c r="V425" t="str">
        <f>IF($N425="","",Sync!$L425)</f>
        <v/>
      </c>
      <c r="W425" t="str">
        <f>IF($N425="","",Sync!$P425)</f>
        <v/>
      </c>
      <c r="AA425" t="str">
        <f>IF($A425="","",IF(COUNTIF($A$6:$A425,$A425)=1,1,0))</f>
        <v/>
      </c>
      <c r="AB425">
        <f>SUM($AA$6:$AA425)</f>
        <v>3</v>
      </c>
      <c r="AC425" t="str">
        <f t="shared" si="48"/>
        <v/>
      </c>
    </row>
    <row r="426" spans="1:29" x14ac:dyDescent="0.2">
      <c r="A426" t="str">
        <f>IF(OR(Entry!$B429="",Entry!$E429="",$E426="نامعتبر"),"",Entry!$E429)</f>
        <v/>
      </c>
      <c r="B426" t="str">
        <f>IF($A426="","",LEFT($E426,4)&amp;MID($E426,6,2)&amp;RIGHT($E426,2)&amp;$F426&amp;"|"&amp;"1"&amp;RIGHT("00000"&amp;421,5))</f>
        <v/>
      </c>
      <c r="C426" t="str">
        <f t="shared" si="42"/>
        <v/>
      </c>
      <c r="D426" t="str">
        <f t="shared" si="43"/>
        <v/>
      </c>
      <c r="E426" t="str">
        <f>IF(Entry!$B429="","",IF(ISNUMBER(Entry!$B429),IF(AND(Entry!$B429&gt;=10000101,Entry!$B429&lt;=99991231),INT(Entry!$B429/10000)&amp;"/"&amp;RIGHT("00"&amp;INT(MOD(Entry!$B429,10000)/100),2)&amp;"/"&amp;RIGHT("00"&amp;MOD(Entry!$B429,100),2),"نامعتبر"),IF(LEN(Entry!$B429)=10,Entry!$B429,"نامعتبر")))</f>
        <v/>
      </c>
      <c r="F426" t="str">
        <f>IF(Entry!$B429="","",IF(Entry!$C429="","0000",IF(AND(ISNUMBER(Entry!$C429),Entry!$C429&gt;=0,Entry!$C429&lt;1),RIGHT("00"&amp;HOUR(Entry!$C429),2)&amp;RIGHT("00"&amp;MINUTE(Entry!$C429),2),IFERROR(RIGHT("00"&amp;VALUE(LEFT(Entry!$C429,FIND(":",Entry!$C429)-1)),2)&amp;RIGHT("00"&amp;VALUE(MID(Entry!$C429,FIND(":",Entry!$C429)+1,2)),2),"0000"))))</f>
        <v/>
      </c>
      <c r="G426" t="str">
        <f>IF($A426="","",Entry!$G429)</f>
        <v/>
      </c>
      <c r="H426" t="str">
        <f>IF($A426="","",IF(Entry!$H429="",0,Entry!$H429))</f>
        <v/>
      </c>
      <c r="I426" t="str">
        <f>IF($A426="","",IF(Entry!$I429="",0,Entry!$I429))</f>
        <v/>
      </c>
      <c r="J426" t="str">
        <f t="shared" si="44"/>
        <v/>
      </c>
      <c r="K426" t="str">
        <f>IF($A426="","",Entry!$D429)</f>
        <v/>
      </c>
      <c r="L426" t="str">
        <f>IF($A426="","",Entry!$L429)</f>
        <v/>
      </c>
      <c r="N426" t="str">
        <f>IF(OR(Sync!$M426="",$Q426="",$Q426="نامعتبر"),"",Sync!$M426)</f>
        <v/>
      </c>
      <c r="O426" t="str">
        <f t="shared" si="45"/>
        <v/>
      </c>
      <c r="P426" t="str">
        <f>IF($N426="","",LEFT($Q426,4)&amp;MID($Q426,6,2)&amp;RIGHT($Q426,2)&amp;IF(Sync!$K426="","0000",IF(AND(ISNUMBER(Sync!$K426),Sync!$K426&gt;=0,Sync!$K426&lt;1),RIGHT("00"&amp;HOUR(Sync!$K426),2)&amp;RIGHT("00"&amp;MINUTE(Sync!$K426),2),IFERROR(RIGHT("00"&amp;VALUE(LEFT(Sync!$K426,FIND(":",Sync!$K426)-1)),2)&amp;RIGHT("00"&amp;VALUE(MID(Sync!$K426,FIND(":",Sync!$K426)+1,2)),2),"0000")))&amp;"|"&amp;"2"&amp;RIGHT("00000"&amp;421,5))</f>
        <v/>
      </c>
      <c r="Q426" t="str">
        <f>IF(Sync!$J426="","",IF(ISNUMBER(Sync!$J426),IF(AND(Sync!$J426&gt;=10000101,Sync!$J426&lt;=99991231),INT(Sync!$J426/10000)&amp;"/"&amp;RIGHT("00"&amp;INT(MOD(Sync!$J426,10000)/100),2)&amp;"/"&amp;RIGHT("00"&amp;MOD(Sync!$J426,100),2),"نامعتبر"),IF(LEN(Sync!$J426)=10,Sync!$J426,"نامعتبر")))</f>
        <v/>
      </c>
      <c r="R426" t="str">
        <f t="shared" si="46"/>
        <v/>
      </c>
      <c r="S426" t="str">
        <f t="shared" si="47"/>
        <v/>
      </c>
      <c r="T426" t="str">
        <f>IF($N426="","",IF(Sync!$N426="",0,Sync!$N426))</f>
        <v/>
      </c>
      <c r="U426" t="str">
        <f>IF($N426="","",IF(Sync!$O426="",0,Sync!$O426))</f>
        <v/>
      </c>
      <c r="V426" t="str">
        <f>IF($N426="","",Sync!$L426)</f>
        <v/>
      </c>
      <c r="W426" t="str">
        <f>IF($N426="","",Sync!$P426)</f>
        <v/>
      </c>
      <c r="AA426" t="str">
        <f>IF($A426="","",IF(COUNTIF($A$6:$A426,$A426)=1,1,0))</f>
        <v/>
      </c>
      <c r="AB426">
        <f>SUM($AA$6:$AA426)</f>
        <v>3</v>
      </c>
      <c r="AC426" t="str">
        <f t="shared" si="48"/>
        <v/>
      </c>
    </row>
    <row r="427" spans="1:29" x14ac:dyDescent="0.2">
      <c r="A427" t="str">
        <f>IF(OR(Entry!$B430="",Entry!$E430="",$E427="نامعتبر"),"",Entry!$E430)</f>
        <v/>
      </c>
      <c r="B427" t="str">
        <f>IF($A427="","",LEFT($E427,4)&amp;MID($E427,6,2)&amp;RIGHT($E427,2)&amp;$F427&amp;"|"&amp;"1"&amp;RIGHT("00000"&amp;422,5))</f>
        <v/>
      </c>
      <c r="C427" t="str">
        <f t="shared" si="42"/>
        <v/>
      </c>
      <c r="D427" t="str">
        <f t="shared" si="43"/>
        <v/>
      </c>
      <c r="E427" t="str">
        <f>IF(Entry!$B430="","",IF(ISNUMBER(Entry!$B430),IF(AND(Entry!$B430&gt;=10000101,Entry!$B430&lt;=99991231),INT(Entry!$B430/10000)&amp;"/"&amp;RIGHT("00"&amp;INT(MOD(Entry!$B430,10000)/100),2)&amp;"/"&amp;RIGHT("00"&amp;MOD(Entry!$B430,100),2),"نامعتبر"),IF(LEN(Entry!$B430)=10,Entry!$B430,"نامعتبر")))</f>
        <v/>
      </c>
      <c r="F427" t="str">
        <f>IF(Entry!$B430="","",IF(Entry!$C430="","0000",IF(AND(ISNUMBER(Entry!$C430),Entry!$C430&gt;=0,Entry!$C430&lt;1),RIGHT("00"&amp;HOUR(Entry!$C430),2)&amp;RIGHT("00"&amp;MINUTE(Entry!$C430),2),IFERROR(RIGHT("00"&amp;VALUE(LEFT(Entry!$C430,FIND(":",Entry!$C430)-1)),2)&amp;RIGHT("00"&amp;VALUE(MID(Entry!$C430,FIND(":",Entry!$C430)+1,2)),2),"0000"))))</f>
        <v/>
      </c>
      <c r="G427" t="str">
        <f>IF($A427="","",Entry!$G430)</f>
        <v/>
      </c>
      <c r="H427" t="str">
        <f>IF($A427="","",IF(Entry!$H430="",0,Entry!$H430))</f>
        <v/>
      </c>
      <c r="I427" t="str">
        <f>IF($A427="","",IF(Entry!$I430="",0,Entry!$I430))</f>
        <v/>
      </c>
      <c r="J427" t="str">
        <f t="shared" si="44"/>
        <v/>
      </c>
      <c r="K427" t="str">
        <f>IF($A427="","",Entry!$D430)</f>
        <v/>
      </c>
      <c r="L427" t="str">
        <f>IF($A427="","",Entry!$L430)</f>
        <v/>
      </c>
      <c r="N427" t="str">
        <f>IF(OR(Sync!$M427="",$Q427="",$Q427="نامعتبر"),"",Sync!$M427)</f>
        <v/>
      </c>
      <c r="O427" t="str">
        <f t="shared" si="45"/>
        <v/>
      </c>
      <c r="P427" t="str">
        <f>IF($N427="","",LEFT($Q427,4)&amp;MID($Q427,6,2)&amp;RIGHT($Q427,2)&amp;IF(Sync!$K427="","0000",IF(AND(ISNUMBER(Sync!$K427),Sync!$K427&gt;=0,Sync!$K427&lt;1),RIGHT("00"&amp;HOUR(Sync!$K427),2)&amp;RIGHT("00"&amp;MINUTE(Sync!$K427),2),IFERROR(RIGHT("00"&amp;VALUE(LEFT(Sync!$K427,FIND(":",Sync!$K427)-1)),2)&amp;RIGHT("00"&amp;VALUE(MID(Sync!$K427,FIND(":",Sync!$K427)+1,2)),2),"0000")))&amp;"|"&amp;"2"&amp;RIGHT("00000"&amp;422,5))</f>
        <v/>
      </c>
      <c r="Q427" t="str">
        <f>IF(Sync!$J427="","",IF(ISNUMBER(Sync!$J427),IF(AND(Sync!$J427&gt;=10000101,Sync!$J427&lt;=99991231),INT(Sync!$J427/10000)&amp;"/"&amp;RIGHT("00"&amp;INT(MOD(Sync!$J427,10000)/100),2)&amp;"/"&amp;RIGHT("00"&amp;MOD(Sync!$J427,100),2),"نامعتبر"),IF(LEN(Sync!$J427)=10,Sync!$J427,"نامعتبر")))</f>
        <v/>
      </c>
      <c r="R427" t="str">
        <f t="shared" si="46"/>
        <v/>
      </c>
      <c r="S427" t="str">
        <f t="shared" si="47"/>
        <v/>
      </c>
      <c r="T427" t="str">
        <f>IF($N427="","",IF(Sync!$N427="",0,Sync!$N427))</f>
        <v/>
      </c>
      <c r="U427" t="str">
        <f>IF($N427="","",IF(Sync!$O427="",0,Sync!$O427))</f>
        <v/>
      </c>
      <c r="V427" t="str">
        <f>IF($N427="","",Sync!$L427)</f>
        <v/>
      </c>
      <c r="W427" t="str">
        <f>IF($N427="","",Sync!$P427)</f>
        <v/>
      </c>
      <c r="AA427" t="str">
        <f>IF($A427="","",IF(COUNTIF($A$6:$A427,$A427)=1,1,0))</f>
        <v/>
      </c>
      <c r="AB427">
        <f>SUM($AA$6:$AA427)</f>
        <v>3</v>
      </c>
      <c r="AC427" t="str">
        <f t="shared" si="48"/>
        <v/>
      </c>
    </row>
    <row r="428" spans="1:29" x14ac:dyDescent="0.2">
      <c r="A428" t="str">
        <f>IF(OR(Entry!$B431="",Entry!$E431="",$E428="نامعتبر"),"",Entry!$E431)</f>
        <v/>
      </c>
      <c r="B428" t="str">
        <f>IF($A428="","",LEFT($E428,4)&amp;MID($E428,6,2)&amp;RIGHT($E428,2)&amp;$F428&amp;"|"&amp;"1"&amp;RIGHT("00000"&amp;423,5))</f>
        <v/>
      </c>
      <c r="C428" t="str">
        <f t="shared" si="42"/>
        <v/>
      </c>
      <c r="D428" t="str">
        <f t="shared" si="43"/>
        <v/>
      </c>
      <c r="E428" t="str">
        <f>IF(Entry!$B431="","",IF(ISNUMBER(Entry!$B431),IF(AND(Entry!$B431&gt;=10000101,Entry!$B431&lt;=99991231),INT(Entry!$B431/10000)&amp;"/"&amp;RIGHT("00"&amp;INT(MOD(Entry!$B431,10000)/100),2)&amp;"/"&amp;RIGHT("00"&amp;MOD(Entry!$B431,100),2),"نامعتبر"),IF(LEN(Entry!$B431)=10,Entry!$B431,"نامعتبر")))</f>
        <v/>
      </c>
      <c r="F428" t="str">
        <f>IF(Entry!$B431="","",IF(Entry!$C431="","0000",IF(AND(ISNUMBER(Entry!$C431),Entry!$C431&gt;=0,Entry!$C431&lt;1),RIGHT("00"&amp;HOUR(Entry!$C431),2)&amp;RIGHT("00"&amp;MINUTE(Entry!$C431),2),IFERROR(RIGHT("00"&amp;VALUE(LEFT(Entry!$C431,FIND(":",Entry!$C431)-1)),2)&amp;RIGHT("00"&amp;VALUE(MID(Entry!$C431,FIND(":",Entry!$C431)+1,2)),2),"0000"))))</f>
        <v/>
      </c>
      <c r="G428" t="str">
        <f>IF($A428="","",Entry!$G431)</f>
        <v/>
      </c>
      <c r="H428" t="str">
        <f>IF($A428="","",IF(Entry!$H431="",0,Entry!$H431))</f>
        <v/>
      </c>
      <c r="I428" t="str">
        <f>IF($A428="","",IF(Entry!$I431="",0,Entry!$I431))</f>
        <v/>
      </c>
      <c r="J428" t="str">
        <f t="shared" si="44"/>
        <v/>
      </c>
      <c r="K428" t="str">
        <f>IF($A428="","",Entry!$D431)</f>
        <v/>
      </c>
      <c r="L428" t="str">
        <f>IF($A428="","",Entry!$L431)</f>
        <v/>
      </c>
      <c r="N428" t="str">
        <f>IF(OR(Sync!$M428="",$Q428="",$Q428="نامعتبر"),"",Sync!$M428)</f>
        <v/>
      </c>
      <c r="O428" t="str">
        <f t="shared" si="45"/>
        <v/>
      </c>
      <c r="P428" t="str">
        <f>IF($N428="","",LEFT($Q428,4)&amp;MID($Q428,6,2)&amp;RIGHT($Q428,2)&amp;IF(Sync!$K428="","0000",IF(AND(ISNUMBER(Sync!$K428),Sync!$K428&gt;=0,Sync!$K428&lt;1),RIGHT("00"&amp;HOUR(Sync!$K428),2)&amp;RIGHT("00"&amp;MINUTE(Sync!$K428),2),IFERROR(RIGHT("00"&amp;VALUE(LEFT(Sync!$K428,FIND(":",Sync!$K428)-1)),2)&amp;RIGHT("00"&amp;VALUE(MID(Sync!$K428,FIND(":",Sync!$K428)+1,2)),2),"0000")))&amp;"|"&amp;"2"&amp;RIGHT("00000"&amp;423,5))</f>
        <v/>
      </c>
      <c r="Q428" t="str">
        <f>IF(Sync!$J428="","",IF(ISNUMBER(Sync!$J428),IF(AND(Sync!$J428&gt;=10000101,Sync!$J428&lt;=99991231),INT(Sync!$J428/10000)&amp;"/"&amp;RIGHT("00"&amp;INT(MOD(Sync!$J428,10000)/100),2)&amp;"/"&amp;RIGHT("00"&amp;MOD(Sync!$J428,100),2),"نامعتبر"),IF(LEN(Sync!$J428)=10,Sync!$J428,"نامعتبر")))</f>
        <v/>
      </c>
      <c r="R428" t="str">
        <f t="shared" si="46"/>
        <v/>
      </c>
      <c r="S428" t="str">
        <f t="shared" si="47"/>
        <v/>
      </c>
      <c r="T428" t="str">
        <f>IF($N428="","",IF(Sync!$N428="",0,Sync!$N428))</f>
        <v/>
      </c>
      <c r="U428" t="str">
        <f>IF($N428="","",IF(Sync!$O428="",0,Sync!$O428))</f>
        <v/>
      </c>
      <c r="V428" t="str">
        <f>IF($N428="","",Sync!$L428)</f>
        <v/>
      </c>
      <c r="W428" t="str">
        <f>IF($N428="","",Sync!$P428)</f>
        <v/>
      </c>
      <c r="AA428" t="str">
        <f>IF($A428="","",IF(COUNTIF($A$6:$A428,$A428)=1,1,0))</f>
        <v/>
      </c>
      <c r="AB428">
        <f>SUM($AA$6:$AA428)</f>
        <v>3</v>
      </c>
      <c r="AC428" t="str">
        <f t="shared" si="48"/>
        <v/>
      </c>
    </row>
    <row r="429" spans="1:29" x14ac:dyDescent="0.2">
      <c r="A429" t="str">
        <f>IF(OR(Entry!$B432="",Entry!$E432="",$E429="نامعتبر"),"",Entry!$E432)</f>
        <v/>
      </c>
      <c r="B429" t="str">
        <f>IF($A429="","",LEFT($E429,4)&amp;MID($E429,6,2)&amp;RIGHT($E429,2)&amp;$F429&amp;"|"&amp;"1"&amp;RIGHT("00000"&amp;424,5))</f>
        <v/>
      </c>
      <c r="C429" t="str">
        <f t="shared" si="42"/>
        <v/>
      </c>
      <c r="D429" t="str">
        <f t="shared" si="43"/>
        <v/>
      </c>
      <c r="E429" t="str">
        <f>IF(Entry!$B432="","",IF(ISNUMBER(Entry!$B432),IF(AND(Entry!$B432&gt;=10000101,Entry!$B432&lt;=99991231),INT(Entry!$B432/10000)&amp;"/"&amp;RIGHT("00"&amp;INT(MOD(Entry!$B432,10000)/100),2)&amp;"/"&amp;RIGHT("00"&amp;MOD(Entry!$B432,100),2),"نامعتبر"),IF(LEN(Entry!$B432)=10,Entry!$B432,"نامعتبر")))</f>
        <v/>
      </c>
      <c r="F429" t="str">
        <f>IF(Entry!$B432="","",IF(Entry!$C432="","0000",IF(AND(ISNUMBER(Entry!$C432),Entry!$C432&gt;=0,Entry!$C432&lt;1),RIGHT("00"&amp;HOUR(Entry!$C432),2)&amp;RIGHT("00"&amp;MINUTE(Entry!$C432),2),IFERROR(RIGHT("00"&amp;VALUE(LEFT(Entry!$C432,FIND(":",Entry!$C432)-1)),2)&amp;RIGHT("00"&amp;VALUE(MID(Entry!$C432,FIND(":",Entry!$C432)+1,2)),2),"0000"))))</f>
        <v/>
      </c>
      <c r="G429" t="str">
        <f>IF($A429="","",Entry!$G432)</f>
        <v/>
      </c>
      <c r="H429" t="str">
        <f>IF($A429="","",IF(Entry!$H432="",0,Entry!$H432))</f>
        <v/>
      </c>
      <c r="I429" t="str">
        <f>IF($A429="","",IF(Entry!$I432="",0,Entry!$I432))</f>
        <v/>
      </c>
      <c r="J429" t="str">
        <f t="shared" si="44"/>
        <v/>
      </c>
      <c r="K429" t="str">
        <f>IF($A429="","",Entry!$D432)</f>
        <v/>
      </c>
      <c r="L429" t="str">
        <f>IF($A429="","",Entry!$L432)</f>
        <v/>
      </c>
      <c r="N429" t="str">
        <f>IF(OR(Sync!$M429="",$Q429="",$Q429="نامعتبر"),"",Sync!$M429)</f>
        <v/>
      </c>
      <c r="O429" t="str">
        <f t="shared" si="45"/>
        <v/>
      </c>
      <c r="P429" t="str">
        <f>IF($N429="","",LEFT($Q429,4)&amp;MID($Q429,6,2)&amp;RIGHT($Q429,2)&amp;IF(Sync!$K429="","0000",IF(AND(ISNUMBER(Sync!$K429),Sync!$K429&gt;=0,Sync!$K429&lt;1),RIGHT("00"&amp;HOUR(Sync!$K429),2)&amp;RIGHT("00"&amp;MINUTE(Sync!$K429),2),IFERROR(RIGHT("00"&amp;VALUE(LEFT(Sync!$K429,FIND(":",Sync!$K429)-1)),2)&amp;RIGHT("00"&amp;VALUE(MID(Sync!$K429,FIND(":",Sync!$K429)+1,2)),2),"0000")))&amp;"|"&amp;"2"&amp;RIGHT("00000"&amp;424,5))</f>
        <v/>
      </c>
      <c r="Q429" t="str">
        <f>IF(Sync!$J429="","",IF(ISNUMBER(Sync!$J429),IF(AND(Sync!$J429&gt;=10000101,Sync!$J429&lt;=99991231),INT(Sync!$J429/10000)&amp;"/"&amp;RIGHT("00"&amp;INT(MOD(Sync!$J429,10000)/100),2)&amp;"/"&amp;RIGHT("00"&amp;MOD(Sync!$J429,100),2),"نامعتبر"),IF(LEN(Sync!$J429)=10,Sync!$J429,"نامعتبر")))</f>
        <v/>
      </c>
      <c r="R429" t="str">
        <f t="shared" si="46"/>
        <v/>
      </c>
      <c r="S429" t="str">
        <f t="shared" si="47"/>
        <v/>
      </c>
      <c r="T429" t="str">
        <f>IF($N429="","",IF(Sync!$N429="",0,Sync!$N429))</f>
        <v/>
      </c>
      <c r="U429" t="str">
        <f>IF($N429="","",IF(Sync!$O429="",0,Sync!$O429))</f>
        <v/>
      </c>
      <c r="V429" t="str">
        <f>IF($N429="","",Sync!$L429)</f>
        <v/>
      </c>
      <c r="W429" t="str">
        <f>IF($N429="","",Sync!$P429)</f>
        <v/>
      </c>
      <c r="AA429" t="str">
        <f>IF($A429="","",IF(COUNTIF($A$6:$A429,$A429)=1,1,0))</f>
        <v/>
      </c>
      <c r="AB429">
        <f>SUM($AA$6:$AA429)</f>
        <v>3</v>
      </c>
      <c r="AC429" t="str">
        <f t="shared" si="48"/>
        <v/>
      </c>
    </row>
    <row r="430" spans="1:29" x14ac:dyDescent="0.2">
      <c r="A430" t="str">
        <f>IF(OR(Entry!$B433="",Entry!$E433="",$E430="نامعتبر"),"",Entry!$E433)</f>
        <v/>
      </c>
      <c r="B430" t="str">
        <f>IF($A430="","",LEFT($E430,4)&amp;MID($E430,6,2)&amp;RIGHT($E430,2)&amp;$F430&amp;"|"&amp;"1"&amp;RIGHT("00000"&amp;425,5))</f>
        <v/>
      </c>
      <c r="C430" t="str">
        <f t="shared" si="42"/>
        <v/>
      </c>
      <c r="D430" t="str">
        <f t="shared" si="43"/>
        <v/>
      </c>
      <c r="E430" t="str">
        <f>IF(Entry!$B433="","",IF(ISNUMBER(Entry!$B433),IF(AND(Entry!$B433&gt;=10000101,Entry!$B433&lt;=99991231),INT(Entry!$B433/10000)&amp;"/"&amp;RIGHT("00"&amp;INT(MOD(Entry!$B433,10000)/100),2)&amp;"/"&amp;RIGHT("00"&amp;MOD(Entry!$B433,100),2),"نامعتبر"),IF(LEN(Entry!$B433)=10,Entry!$B433,"نامعتبر")))</f>
        <v/>
      </c>
      <c r="F430" t="str">
        <f>IF(Entry!$B433="","",IF(Entry!$C433="","0000",IF(AND(ISNUMBER(Entry!$C433),Entry!$C433&gt;=0,Entry!$C433&lt;1),RIGHT("00"&amp;HOUR(Entry!$C433),2)&amp;RIGHT("00"&amp;MINUTE(Entry!$C433),2),IFERROR(RIGHT("00"&amp;VALUE(LEFT(Entry!$C433,FIND(":",Entry!$C433)-1)),2)&amp;RIGHT("00"&amp;VALUE(MID(Entry!$C433,FIND(":",Entry!$C433)+1,2)),2),"0000"))))</f>
        <v/>
      </c>
      <c r="G430" t="str">
        <f>IF($A430="","",Entry!$G433)</f>
        <v/>
      </c>
      <c r="H430" t="str">
        <f>IF($A430="","",IF(Entry!$H433="",0,Entry!$H433))</f>
        <v/>
      </c>
      <c r="I430" t="str">
        <f>IF($A430="","",IF(Entry!$I433="",0,Entry!$I433))</f>
        <v/>
      </c>
      <c r="J430" t="str">
        <f t="shared" si="44"/>
        <v/>
      </c>
      <c r="K430" t="str">
        <f>IF($A430="","",Entry!$D433)</f>
        <v/>
      </c>
      <c r="L430" t="str">
        <f>IF($A430="","",Entry!$L433)</f>
        <v/>
      </c>
      <c r="N430" t="str">
        <f>IF(OR(Sync!$M430="",$Q430="",$Q430="نامعتبر"),"",Sync!$M430)</f>
        <v/>
      </c>
      <c r="O430" t="str">
        <f t="shared" si="45"/>
        <v/>
      </c>
      <c r="P430" t="str">
        <f>IF($N430="","",LEFT($Q430,4)&amp;MID($Q430,6,2)&amp;RIGHT($Q430,2)&amp;IF(Sync!$K430="","0000",IF(AND(ISNUMBER(Sync!$K430),Sync!$K430&gt;=0,Sync!$K430&lt;1),RIGHT("00"&amp;HOUR(Sync!$K430),2)&amp;RIGHT("00"&amp;MINUTE(Sync!$K430),2),IFERROR(RIGHT("00"&amp;VALUE(LEFT(Sync!$K430,FIND(":",Sync!$K430)-1)),2)&amp;RIGHT("00"&amp;VALUE(MID(Sync!$K430,FIND(":",Sync!$K430)+1,2)),2),"0000")))&amp;"|"&amp;"2"&amp;RIGHT("00000"&amp;425,5))</f>
        <v/>
      </c>
      <c r="Q430" t="str">
        <f>IF(Sync!$J430="","",IF(ISNUMBER(Sync!$J430),IF(AND(Sync!$J430&gt;=10000101,Sync!$J430&lt;=99991231),INT(Sync!$J430/10000)&amp;"/"&amp;RIGHT("00"&amp;INT(MOD(Sync!$J430,10000)/100),2)&amp;"/"&amp;RIGHT("00"&amp;MOD(Sync!$J430,100),2),"نامعتبر"),IF(LEN(Sync!$J430)=10,Sync!$J430,"نامعتبر")))</f>
        <v/>
      </c>
      <c r="R430" t="str">
        <f t="shared" si="46"/>
        <v/>
      </c>
      <c r="S430" t="str">
        <f t="shared" si="47"/>
        <v/>
      </c>
      <c r="T430" t="str">
        <f>IF($N430="","",IF(Sync!$N430="",0,Sync!$N430))</f>
        <v/>
      </c>
      <c r="U430" t="str">
        <f>IF($N430="","",IF(Sync!$O430="",0,Sync!$O430))</f>
        <v/>
      </c>
      <c r="V430" t="str">
        <f>IF($N430="","",Sync!$L430)</f>
        <v/>
      </c>
      <c r="W430" t="str">
        <f>IF($N430="","",Sync!$P430)</f>
        <v/>
      </c>
      <c r="AA430" t="str">
        <f>IF($A430="","",IF(COUNTIF($A$6:$A430,$A430)=1,1,0))</f>
        <v/>
      </c>
      <c r="AB430">
        <f>SUM($AA$6:$AA430)</f>
        <v>3</v>
      </c>
      <c r="AC430" t="str">
        <f t="shared" si="48"/>
        <v/>
      </c>
    </row>
    <row r="431" spans="1:29" x14ac:dyDescent="0.2">
      <c r="A431" t="str">
        <f>IF(OR(Entry!$B434="",Entry!$E434="",$E431="نامعتبر"),"",Entry!$E434)</f>
        <v/>
      </c>
      <c r="B431" t="str">
        <f>IF($A431="","",LEFT($E431,4)&amp;MID($E431,6,2)&amp;RIGHT($E431,2)&amp;$F431&amp;"|"&amp;"1"&amp;RIGHT("00000"&amp;426,5))</f>
        <v/>
      </c>
      <c r="C431" t="str">
        <f t="shared" si="42"/>
        <v/>
      </c>
      <c r="D431" t="str">
        <f t="shared" si="43"/>
        <v/>
      </c>
      <c r="E431" t="str">
        <f>IF(Entry!$B434="","",IF(ISNUMBER(Entry!$B434),IF(AND(Entry!$B434&gt;=10000101,Entry!$B434&lt;=99991231),INT(Entry!$B434/10000)&amp;"/"&amp;RIGHT("00"&amp;INT(MOD(Entry!$B434,10000)/100),2)&amp;"/"&amp;RIGHT("00"&amp;MOD(Entry!$B434,100),2),"نامعتبر"),IF(LEN(Entry!$B434)=10,Entry!$B434,"نامعتبر")))</f>
        <v/>
      </c>
      <c r="F431" t="str">
        <f>IF(Entry!$B434="","",IF(Entry!$C434="","0000",IF(AND(ISNUMBER(Entry!$C434),Entry!$C434&gt;=0,Entry!$C434&lt;1),RIGHT("00"&amp;HOUR(Entry!$C434),2)&amp;RIGHT("00"&amp;MINUTE(Entry!$C434),2),IFERROR(RIGHT("00"&amp;VALUE(LEFT(Entry!$C434,FIND(":",Entry!$C434)-1)),2)&amp;RIGHT("00"&amp;VALUE(MID(Entry!$C434,FIND(":",Entry!$C434)+1,2)),2),"0000"))))</f>
        <v/>
      </c>
      <c r="G431" t="str">
        <f>IF($A431="","",Entry!$G434)</f>
        <v/>
      </c>
      <c r="H431" t="str">
        <f>IF($A431="","",IF(Entry!$H434="",0,Entry!$H434))</f>
        <v/>
      </c>
      <c r="I431" t="str">
        <f>IF($A431="","",IF(Entry!$I434="",0,Entry!$I434))</f>
        <v/>
      </c>
      <c r="J431" t="str">
        <f t="shared" si="44"/>
        <v/>
      </c>
      <c r="K431" t="str">
        <f>IF($A431="","",Entry!$D434)</f>
        <v/>
      </c>
      <c r="L431" t="str">
        <f>IF($A431="","",Entry!$L434)</f>
        <v/>
      </c>
      <c r="N431" t="str">
        <f>IF(OR(Sync!$M431="",$Q431="",$Q431="نامعتبر"),"",Sync!$M431)</f>
        <v/>
      </c>
      <c r="O431" t="str">
        <f t="shared" si="45"/>
        <v/>
      </c>
      <c r="P431" t="str">
        <f>IF($N431="","",LEFT($Q431,4)&amp;MID($Q431,6,2)&amp;RIGHT($Q431,2)&amp;IF(Sync!$K431="","0000",IF(AND(ISNUMBER(Sync!$K431),Sync!$K431&gt;=0,Sync!$K431&lt;1),RIGHT("00"&amp;HOUR(Sync!$K431),2)&amp;RIGHT("00"&amp;MINUTE(Sync!$K431),2),IFERROR(RIGHT("00"&amp;VALUE(LEFT(Sync!$K431,FIND(":",Sync!$K431)-1)),2)&amp;RIGHT("00"&amp;VALUE(MID(Sync!$K431,FIND(":",Sync!$K431)+1,2)),2),"0000")))&amp;"|"&amp;"2"&amp;RIGHT("00000"&amp;426,5))</f>
        <v/>
      </c>
      <c r="Q431" t="str">
        <f>IF(Sync!$J431="","",IF(ISNUMBER(Sync!$J431),IF(AND(Sync!$J431&gt;=10000101,Sync!$J431&lt;=99991231),INT(Sync!$J431/10000)&amp;"/"&amp;RIGHT("00"&amp;INT(MOD(Sync!$J431,10000)/100),2)&amp;"/"&amp;RIGHT("00"&amp;MOD(Sync!$J431,100),2),"نامعتبر"),IF(LEN(Sync!$J431)=10,Sync!$J431,"نامعتبر")))</f>
        <v/>
      </c>
      <c r="R431" t="str">
        <f t="shared" si="46"/>
        <v/>
      </c>
      <c r="S431" t="str">
        <f t="shared" si="47"/>
        <v/>
      </c>
      <c r="T431" t="str">
        <f>IF($N431="","",IF(Sync!$N431="",0,Sync!$N431))</f>
        <v/>
      </c>
      <c r="U431" t="str">
        <f>IF($N431="","",IF(Sync!$O431="",0,Sync!$O431))</f>
        <v/>
      </c>
      <c r="V431" t="str">
        <f>IF($N431="","",Sync!$L431)</f>
        <v/>
      </c>
      <c r="W431" t="str">
        <f>IF($N431="","",Sync!$P431)</f>
        <v/>
      </c>
      <c r="AA431" t="str">
        <f>IF($A431="","",IF(COUNTIF($A$6:$A431,$A431)=1,1,0))</f>
        <v/>
      </c>
      <c r="AB431">
        <f>SUM($AA$6:$AA431)</f>
        <v>3</v>
      </c>
      <c r="AC431" t="str">
        <f t="shared" si="48"/>
        <v/>
      </c>
    </row>
    <row r="432" spans="1:29" x14ac:dyDescent="0.2">
      <c r="A432" t="str">
        <f>IF(OR(Entry!$B435="",Entry!$E435="",$E432="نامعتبر"),"",Entry!$E435)</f>
        <v/>
      </c>
      <c r="B432" t="str">
        <f>IF($A432="","",LEFT($E432,4)&amp;MID($E432,6,2)&amp;RIGHT($E432,2)&amp;$F432&amp;"|"&amp;"1"&amp;RIGHT("00000"&amp;427,5))</f>
        <v/>
      </c>
      <c r="C432" t="str">
        <f t="shared" si="42"/>
        <v/>
      </c>
      <c r="D432" t="str">
        <f t="shared" si="43"/>
        <v/>
      </c>
      <c r="E432" t="str">
        <f>IF(Entry!$B435="","",IF(ISNUMBER(Entry!$B435),IF(AND(Entry!$B435&gt;=10000101,Entry!$B435&lt;=99991231),INT(Entry!$B435/10000)&amp;"/"&amp;RIGHT("00"&amp;INT(MOD(Entry!$B435,10000)/100),2)&amp;"/"&amp;RIGHT("00"&amp;MOD(Entry!$B435,100),2),"نامعتبر"),IF(LEN(Entry!$B435)=10,Entry!$B435,"نامعتبر")))</f>
        <v/>
      </c>
      <c r="F432" t="str">
        <f>IF(Entry!$B435="","",IF(Entry!$C435="","0000",IF(AND(ISNUMBER(Entry!$C435),Entry!$C435&gt;=0,Entry!$C435&lt;1),RIGHT("00"&amp;HOUR(Entry!$C435),2)&amp;RIGHT("00"&amp;MINUTE(Entry!$C435),2),IFERROR(RIGHT("00"&amp;VALUE(LEFT(Entry!$C435,FIND(":",Entry!$C435)-1)),2)&amp;RIGHT("00"&amp;VALUE(MID(Entry!$C435,FIND(":",Entry!$C435)+1,2)),2),"0000"))))</f>
        <v/>
      </c>
      <c r="G432" t="str">
        <f>IF($A432="","",Entry!$G435)</f>
        <v/>
      </c>
      <c r="H432" t="str">
        <f>IF($A432="","",IF(Entry!$H435="",0,Entry!$H435))</f>
        <v/>
      </c>
      <c r="I432" t="str">
        <f>IF($A432="","",IF(Entry!$I435="",0,Entry!$I435))</f>
        <v/>
      </c>
      <c r="J432" t="str">
        <f t="shared" si="44"/>
        <v/>
      </c>
      <c r="K432" t="str">
        <f>IF($A432="","",Entry!$D435)</f>
        <v/>
      </c>
      <c r="L432" t="str">
        <f>IF($A432="","",Entry!$L435)</f>
        <v/>
      </c>
      <c r="N432" t="str">
        <f>IF(OR(Sync!$M432="",$Q432="",$Q432="نامعتبر"),"",Sync!$M432)</f>
        <v/>
      </c>
      <c r="O432" t="str">
        <f t="shared" si="45"/>
        <v/>
      </c>
      <c r="P432" t="str">
        <f>IF($N432="","",LEFT($Q432,4)&amp;MID($Q432,6,2)&amp;RIGHT($Q432,2)&amp;IF(Sync!$K432="","0000",IF(AND(ISNUMBER(Sync!$K432),Sync!$K432&gt;=0,Sync!$K432&lt;1),RIGHT("00"&amp;HOUR(Sync!$K432),2)&amp;RIGHT("00"&amp;MINUTE(Sync!$K432),2),IFERROR(RIGHT("00"&amp;VALUE(LEFT(Sync!$K432,FIND(":",Sync!$K432)-1)),2)&amp;RIGHT("00"&amp;VALUE(MID(Sync!$K432,FIND(":",Sync!$K432)+1,2)),2),"0000")))&amp;"|"&amp;"2"&amp;RIGHT("00000"&amp;427,5))</f>
        <v/>
      </c>
      <c r="Q432" t="str">
        <f>IF(Sync!$J432="","",IF(ISNUMBER(Sync!$J432),IF(AND(Sync!$J432&gt;=10000101,Sync!$J432&lt;=99991231),INT(Sync!$J432/10000)&amp;"/"&amp;RIGHT("00"&amp;INT(MOD(Sync!$J432,10000)/100),2)&amp;"/"&amp;RIGHT("00"&amp;MOD(Sync!$J432,100),2),"نامعتبر"),IF(LEN(Sync!$J432)=10,Sync!$J432,"نامعتبر")))</f>
        <v/>
      </c>
      <c r="R432" t="str">
        <f t="shared" si="46"/>
        <v/>
      </c>
      <c r="S432" t="str">
        <f t="shared" si="47"/>
        <v/>
      </c>
      <c r="T432" t="str">
        <f>IF($N432="","",IF(Sync!$N432="",0,Sync!$N432))</f>
        <v/>
      </c>
      <c r="U432" t="str">
        <f>IF($N432="","",IF(Sync!$O432="",0,Sync!$O432))</f>
        <v/>
      </c>
      <c r="V432" t="str">
        <f>IF($N432="","",Sync!$L432)</f>
        <v/>
      </c>
      <c r="W432" t="str">
        <f>IF($N432="","",Sync!$P432)</f>
        <v/>
      </c>
      <c r="AA432" t="str">
        <f>IF($A432="","",IF(COUNTIF($A$6:$A432,$A432)=1,1,0))</f>
        <v/>
      </c>
      <c r="AB432">
        <f>SUM($AA$6:$AA432)</f>
        <v>3</v>
      </c>
      <c r="AC432" t="str">
        <f t="shared" si="48"/>
        <v/>
      </c>
    </row>
    <row r="433" spans="1:29" x14ac:dyDescent="0.2">
      <c r="A433" t="str">
        <f>IF(OR(Entry!$B436="",Entry!$E436="",$E433="نامعتبر"),"",Entry!$E436)</f>
        <v/>
      </c>
      <c r="B433" t="str">
        <f>IF($A433="","",LEFT($E433,4)&amp;MID($E433,6,2)&amp;RIGHT($E433,2)&amp;$F433&amp;"|"&amp;"1"&amp;RIGHT("00000"&amp;428,5))</f>
        <v/>
      </c>
      <c r="C433" t="str">
        <f t="shared" si="42"/>
        <v/>
      </c>
      <c r="D433" t="str">
        <f t="shared" si="43"/>
        <v/>
      </c>
      <c r="E433" t="str">
        <f>IF(Entry!$B436="","",IF(ISNUMBER(Entry!$B436),IF(AND(Entry!$B436&gt;=10000101,Entry!$B436&lt;=99991231),INT(Entry!$B436/10000)&amp;"/"&amp;RIGHT("00"&amp;INT(MOD(Entry!$B436,10000)/100),2)&amp;"/"&amp;RIGHT("00"&amp;MOD(Entry!$B436,100),2),"نامعتبر"),IF(LEN(Entry!$B436)=10,Entry!$B436,"نامعتبر")))</f>
        <v/>
      </c>
      <c r="F433" t="str">
        <f>IF(Entry!$B436="","",IF(Entry!$C436="","0000",IF(AND(ISNUMBER(Entry!$C436),Entry!$C436&gt;=0,Entry!$C436&lt;1),RIGHT("00"&amp;HOUR(Entry!$C436),2)&amp;RIGHT("00"&amp;MINUTE(Entry!$C436),2),IFERROR(RIGHT("00"&amp;VALUE(LEFT(Entry!$C436,FIND(":",Entry!$C436)-1)),2)&amp;RIGHT("00"&amp;VALUE(MID(Entry!$C436,FIND(":",Entry!$C436)+1,2)),2),"0000"))))</f>
        <v/>
      </c>
      <c r="G433" t="str">
        <f>IF($A433="","",Entry!$G436)</f>
        <v/>
      </c>
      <c r="H433" t="str">
        <f>IF($A433="","",IF(Entry!$H436="",0,Entry!$H436))</f>
        <v/>
      </c>
      <c r="I433" t="str">
        <f>IF($A433="","",IF(Entry!$I436="",0,Entry!$I436))</f>
        <v/>
      </c>
      <c r="J433" t="str">
        <f t="shared" si="44"/>
        <v/>
      </c>
      <c r="K433" t="str">
        <f>IF($A433="","",Entry!$D436)</f>
        <v/>
      </c>
      <c r="L433" t="str">
        <f>IF($A433="","",Entry!$L436)</f>
        <v/>
      </c>
      <c r="N433" t="str">
        <f>IF(OR(Sync!$M433="",$Q433="",$Q433="نامعتبر"),"",Sync!$M433)</f>
        <v/>
      </c>
      <c r="O433" t="str">
        <f t="shared" si="45"/>
        <v/>
      </c>
      <c r="P433" t="str">
        <f>IF($N433="","",LEFT($Q433,4)&amp;MID($Q433,6,2)&amp;RIGHT($Q433,2)&amp;IF(Sync!$K433="","0000",IF(AND(ISNUMBER(Sync!$K433),Sync!$K433&gt;=0,Sync!$K433&lt;1),RIGHT("00"&amp;HOUR(Sync!$K433),2)&amp;RIGHT("00"&amp;MINUTE(Sync!$K433),2),IFERROR(RIGHT("00"&amp;VALUE(LEFT(Sync!$K433,FIND(":",Sync!$K433)-1)),2)&amp;RIGHT("00"&amp;VALUE(MID(Sync!$K433,FIND(":",Sync!$K433)+1,2)),2),"0000")))&amp;"|"&amp;"2"&amp;RIGHT("00000"&amp;428,5))</f>
        <v/>
      </c>
      <c r="Q433" t="str">
        <f>IF(Sync!$J433="","",IF(ISNUMBER(Sync!$J433),IF(AND(Sync!$J433&gt;=10000101,Sync!$J433&lt;=99991231),INT(Sync!$J433/10000)&amp;"/"&amp;RIGHT("00"&amp;INT(MOD(Sync!$J433,10000)/100),2)&amp;"/"&amp;RIGHT("00"&amp;MOD(Sync!$J433,100),2),"نامعتبر"),IF(LEN(Sync!$J433)=10,Sync!$J433,"نامعتبر")))</f>
        <v/>
      </c>
      <c r="R433" t="str">
        <f t="shared" si="46"/>
        <v/>
      </c>
      <c r="S433" t="str">
        <f t="shared" si="47"/>
        <v/>
      </c>
      <c r="T433" t="str">
        <f>IF($N433="","",IF(Sync!$N433="",0,Sync!$N433))</f>
        <v/>
      </c>
      <c r="U433" t="str">
        <f>IF($N433="","",IF(Sync!$O433="",0,Sync!$O433))</f>
        <v/>
      </c>
      <c r="V433" t="str">
        <f>IF($N433="","",Sync!$L433)</f>
        <v/>
      </c>
      <c r="W433" t="str">
        <f>IF($N433="","",Sync!$P433)</f>
        <v/>
      </c>
      <c r="AA433" t="str">
        <f>IF($A433="","",IF(COUNTIF($A$6:$A433,$A433)=1,1,0))</f>
        <v/>
      </c>
      <c r="AB433">
        <f>SUM($AA$6:$AA433)</f>
        <v>3</v>
      </c>
      <c r="AC433" t="str">
        <f t="shared" si="48"/>
        <v/>
      </c>
    </row>
    <row r="434" spans="1:29" x14ac:dyDescent="0.2">
      <c r="A434" t="str">
        <f>IF(OR(Entry!$B437="",Entry!$E437="",$E434="نامعتبر"),"",Entry!$E437)</f>
        <v/>
      </c>
      <c r="B434" t="str">
        <f>IF($A434="","",LEFT($E434,4)&amp;MID($E434,6,2)&amp;RIGHT($E434,2)&amp;$F434&amp;"|"&amp;"1"&amp;RIGHT("00000"&amp;429,5))</f>
        <v/>
      </c>
      <c r="C434" t="str">
        <f t="shared" si="42"/>
        <v/>
      </c>
      <c r="D434" t="str">
        <f t="shared" si="43"/>
        <v/>
      </c>
      <c r="E434" t="str">
        <f>IF(Entry!$B437="","",IF(ISNUMBER(Entry!$B437),IF(AND(Entry!$B437&gt;=10000101,Entry!$B437&lt;=99991231),INT(Entry!$B437/10000)&amp;"/"&amp;RIGHT("00"&amp;INT(MOD(Entry!$B437,10000)/100),2)&amp;"/"&amp;RIGHT("00"&amp;MOD(Entry!$B437,100),2),"نامعتبر"),IF(LEN(Entry!$B437)=10,Entry!$B437,"نامعتبر")))</f>
        <v/>
      </c>
      <c r="F434" t="str">
        <f>IF(Entry!$B437="","",IF(Entry!$C437="","0000",IF(AND(ISNUMBER(Entry!$C437),Entry!$C437&gt;=0,Entry!$C437&lt;1),RIGHT("00"&amp;HOUR(Entry!$C437),2)&amp;RIGHT("00"&amp;MINUTE(Entry!$C437),2),IFERROR(RIGHT("00"&amp;VALUE(LEFT(Entry!$C437,FIND(":",Entry!$C437)-1)),2)&amp;RIGHT("00"&amp;VALUE(MID(Entry!$C437,FIND(":",Entry!$C437)+1,2)),2),"0000"))))</f>
        <v/>
      </c>
      <c r="G434" t="str">
        <f>IF($A434="","",Entry!$G437)</f>
        <v/>
      </c>
      <c r="H434" t="str">
        <f>IF($A434="","",IF(Entry!$H437="",0,Entry!$H437))</f>
        <v/>
      </c>
      <c r="I434" t="str">
        <f>IF($A434="","",IF(Entry!$I437="",0,Entry!$I437))</f>
        <v/>
      </c>
      <c r="J434" t="str">
        <f t="shared" si="44"/>
        <v/>
      </c>
      <c r="K434" t="str">
        <f>IF($A434="","",Entry!$D437)</f>
        <v/>
      </c>
      <c r="L434" t="str">
        <f>IF($A434="","",Entry!$L437)</f>
        <v/>
      </c>
      <c r="N434" t="str">
        <f>IF(OR(Sync!$M434="",$Q434="",$Q434="نامعتبر"),"",Sync!$M434)</f>
        <v/>
      </c>
      <c r="O434" t="str">
        <f t="shared" si="45"/>
        <v/>
      </c>
      <c r="P434" t="str">
        <f>IF($N434="","",LEFT($Q434,4)&amp;MID($Q434,6,2)&amp;RIGHT($Q434,2)&amp;IF(Sync!$K434="","0000",IF(AND(ISNUMBER(Sync!$K434),Sync!$K434&gt;=0,Sync!$K434&lt;1),RIGHT("00"&amp;HOUR(Sync!$K434),2)&amp;RIGHT("00"&amp;MINUTE(Sync!$K434),2),IFERROR(RIGHT("00"&amp;VALUE(LEFT(Sync!$K434,FIND(":",Sync!$K434)-1)),2)&amp;RIGHT("00"&amp;VALUE(MID(Sync!$K434,FIND(":",Sync!$K434)+1,2)),2),"0000")))&amp;"|"&amp;"2"&amp;RIGHT("00000"&amp;429,5))</f>
        <v/>
      </c>
      <c r="Q434" t="str">
        <f>IF(Sync!$J434="","",IF(ISNUMBER(Sync!$J434),IF(AND(Sync!$J434&gt;=10000101,Sync!$J434&lt;=99991231),INT(Sync!$J434/10000)&amp;"/"&amp;RIGHT("00"&amp;INT(MOD(Sync!$J434,10000)/100),2)&amp;"/"&amp;RIGHT("00"&amp;MOD(Sync!$J434,100),2),"نامعتبر"),IF(LEN(Sync!$J434)=10,Sync!$J434,"نامعتبر")))</f>
        <v/>
      </c>
      <c r="R434" t="str">
        <f t="shared" si="46"/>
        <v/>
      </c>
      <c r="S434" t="str">
        <f t="shared" si="47"/>
        <v/>
      </c>
      <c r="T434" t="str">
        <f>IF($N434="","",IF(Sync!$N434="",0,Sync!$N434))</f>
        <v/>
      </c>
      <c r="U434" t="str">
        <f>IF($N434="","",IF(Sync!$O434="",0,Sync!$O434))</f>
        <v/>
      </c>
      <c r="V434" t="str">
        <f>IF($N434="","",Sync!$L434)</f>
        <v/>
      </c>
      <c r="W434" t="str">
        <f>IF($N434="","",Sync!$P434)</f>
        <v/>
      </c>
      <c r="AA434" t="str">
        <f>IF($A434="","",IF(COUNTIF($A$6:$A434,$A434)=1,1,0))</f>
        <v/>
      </c>
      <c r="AB434">
        <f>SUM($AA$6:$AA434)</f>
        <v>3</v>
      </c>
      <c r="AC434" t="str">
        <f t="shared" si="48"/>
        <v/>
      </c>
    </row>
    <row r="435" spans="1:29" x14ac:dyDescent="0.2">
      <c r="A435" t="str">
        <f>IF(OR(Entry!$B438="",Entry!$E438="",$E435="نامعتبر"),"",Entry!$E438)</f>
        <v/>
      </c>
      <c r="B435" t="str">
        <f>IF($A435="","",LEFT($E435,4)&amp;MID($E435,6,2)&amp;RIGHT($E435,2)&amp;$F435&amp;"|"&amp;"1"&amp;RIGHT("00000"&amp;430,5))</f>
        <v/>
      </c>
      <c r="C435" t="str">
        <f t="shared" si="42"/>
        <v/>
      </c>
      <c r="D435" t="str">
        <f t="shared" si="43"/>
        <v/>
      </c>
      <c r="E435" t="str">
        <f>IF(Entry!$B438="","",IF(ISNUMBER(Entry!$B438),IF(AND(Entry!$B438&gt;=10000101,Entry!$B438&lt;=99991231),INT(Entry!$B438/10000)&amp;"/"&amp;RIGHT("00"&amp;INT(MOD(Entry!$B438,10000)/100),2)&amp;"/"&amp;RIGHT("00"&amp;MOD(Entry!$B438,100),2),"نامعتبر"),IF(LEN(Entry!$B438)=10,Entry!$B438,"نامعتبر")))</f>
        <v/>
      </c>
      <c r="F435" t="str">
        <f>IF(Entry!$B438="","",IF(Entry!$C438="","0000",IF(AND(ISNUMBER(Entry!$C438),Entry!$C438&gt;=0,Entry!$C438&lt;1),RIGHT("00"&amp;HOUR(Entry!$C438),2)&amp;RIGHT("00"&amp;MINUTE(Entry!$C438),2),IFERROR(RIGHT("00"&amp;VALUE(LEFT(Entry!$C438,FIND(":",Entry!$C438)-1)),2)&amp;RIGHT("00"&amp;VALUE(MID(Entry!$C438,FIND(":",Entry!$C438)+1,2)),2),"0000"))))</f>
        <v/>
      </c>
      <c r="G435" t="str">
        <f>IF($A435="","",Entry!$G438)</f>
        <v/>
      </c>
      <c r="H435" t="str">
        <f>IF($A435="","",IF(Entry!$H438="",0,Entry!$H438))</f>
        <v/>
      </c>
      <c r="I435" t="str">
        <f>IF($A435="","",IF(Entry!$I438="",0,Entry!$I438))</f>
        <v/>
      </c>
      <c r="J435" t="str">
        <f t="shared" si="44"/>
        <v/>
      </c>
      <c r="K435" t="str">
        <f>IF($A435="","",Entry!$D438)</f>
        <v/>
      </c>
      <c r="L435" t="str">
        <f>IF($A435="","",Entry!$L438)</f>
        <v/>
      </c>
      <c r="N435" t="str">
        <f>IF(OR(Sync!$M435="",$Q435="",$Q435="نامعتبر"),"",Sync!$M435)</f>
        <v/>
      </c>
      <c r="O435" t="str">
        <f t="shared" si="45"/>
        <v/>
      </c>
      <c r="P435" t="str">
        <f>IF($N435="","",LEFT($Q435,4)&amp;MID($Q435,6,2)&amp;RIGHT($Q435,2)&amp;IF(Sync!$K435="","0000",IF(AND(ISNUMBER(Sync!$K435),Sync!$K435&gt;=0,Sync!$K435&lt;1),RIGHT("00"&amp;HOUR(Sync!$K435),2)&amp;RIGHT("00"&amp;MINUTE(Sync!$K435),2),IFERROR(RIGHT("00"&amp;VALUE(LEFT(Sync!$K435,FIND(":",Sync!$K435)-1)),2)&amp;RIGHT("00"&amp;VALUE(MID(Sync!$K435,FIND(":",Sync!$K435)+1,2)),2),"0000")))&amp;"|"&amp;"2"&amp;RIGHT("00000"&amp;430,5))</f>
        <v/>
      </c>
      <c r="Q435" t="str">
        <f>IF(Sync!$J435="","",IF(ISNUMBER(Sync!$J435),IF(AND(Sync!$J435&gt;=10000101,Sync!$J435&lt;=99991231),INT(Sync!$J435/10000)&amp;"/"&amp;RIGHT("00"&amp;INT(MOD(Sync!$J435,10000)/100),2)&amp;"/"&amp;RIGHT("00"&amp;MOD(Sync!$J435,100),2),"نامعتبر"),IF(LEN(Sync!$J435)=10,Sync!$J435,"نامعتبر")))</f>
        <v/>
      </c>
      <c r="R435" t="str">
        <f t="shared" si="46"/>
        <v/>
      </c>
      <c r="S435" t="str">
        <f t="shared" si="47"/>
        <v/>
      </c>
      <c r="T435" t="str">
        <f>IF($N435="","",IF(Sync!$N435="",0,Sync!$N435))</f>
        <v/>
      </c>
      <c r="U435" t="str">
        <f>IF($N435="","",IF(Sync!$O435="",0,Sync!$O435))</f>
        <v/>
      </c>
      <c r="V435" t="str">
        <f>IF($N435="","",Sync!$L435)</f>
        <v/>
      </c>
      <c r="W435" t="str">
        <f>IF($N435="","",Sync!$P435)</f>
        <v/>
      </c>
      <c r="AA435" t="str">
        <f>IF($A435="","",IF(COUNTIF($A$6:$A435,$A435)=1,1,0))</f>
        <v/>
      </c>
      <c r="AB435">
        <f>SUM($AA$6:$AA435)</f>
        <v>3</v>
      </c>
      <c r="AC435" t="str">
        <f t="shared" si="48"/>
        <v/>
      </c>
    </row>
    <row r="436" spans="1:29" x14ac:dyDescent="0.2">
      <c r="A436" t="str">
        <f>IF(OR(Entry!$B439="",Entry!$E439="",$E436="نامعتبر"),"",Entry!$E439)</f>
        <v/>
      </c>
      <c r="B436" t="str">
        <f>IF($A436="","",LEFT($E436,4)&amp;MID($E436,6,2)&amp;RIGHT($E436,2)&amp;$F436&amp;"|"&amp;"1"&amp;RIGHT("00000"&amp;431,5))</f>
        <v/>
      </c>
      <c r="C436" t="str">
        <f t="shared" si="42"/>
        <v/>
      </c>
      <c r="D436" t="str">
        <f t="shared" si="43"/>
        <v/>
      </c>
      <c r="E436" t="str">
        <f>IF(Entry!$B439="","",IF(ISNUMBER(Entry!$B439),IF(AND(Entry!$B439&gt;=10000101,Entry!$B439&lt;=99991231),INT(Entry!$B439/10000)&amp;"/"&amp;RIGHT("00"&amp;INT(MOD(Entry!$B439,10000)/100),2)&amp;"/"&amp;RIGHT("00"&amp;MOD(Entry!$B439,100),2),"نامعتبر"),IF(LEN(Entry!$B439)=10,Entry!$B439,"نامعتبر")))</f>
        <v/>
      </c>
      <c r="F436" t="str">
        <f>IF(Entry!$B439="","",IF(Entry!$C439="","0000",IF(AND(ISNUMBER(Entry!$C439),Entry!$C439&gt;=0,Entry!$C439&lt;1),RIGHT("00"&amp;HOUR(Entry!$C439),2)&amp;RIGHT("00"&amp;MINUTE(Entry!$C439),2),IFERROR(RIGHT("00"&amp;VALUE(LEFT(Entry!$C439,FIND(":",Entry!$C439)-1)),2)&amp;RIGHT("00"&amp;VALUE(MID(Entry!$C439,FIND(":",Entry!$C439)+1,2)),2),"0000"))))</f>
        <v/>
      </c>
      <c r="G436" t="str">
        <f>IF($A436="","",Entry!$G439)</f>
        <v/>
      </c>
      <c r="H436" t="str">
        <f>IF($A436="","",IF(Entry!$H439="",0,Entry!$H439))</f>
        <v/>
      </c>
      <c r="I436" t="str">
        <f>IF($A436="","",IF(Entry!$I439="",0,Entry!$I439))</f>
        <v/>
      </c>
      <c r="J436" t="str">
        <f t="shared" si="44"/>
        <v/>
      </c>
      <c r="K436" t="str">
        <f>IF($A436="","",Entry!$D439)</f>
        <v/>
      </c>
      <c r="L436" t="str">
        <f>IF($A436="","",Entry!$L439)</f>
        <v/>
      </c>
      <c r="N436" t="str">
        <f>IF(OR(Sync!$M436="",$Q436="",$Q436="نامعتبر"),"",Sync!$M436)</f>
        <v/>
      </c>
      <c r="O436" t="str">
        <f t="shared" si="45"/>
        <v/>
      </c>
      <c r="P436" t="str">
        <f>IF($N436="","",LEFT($Q436,4)&amp;MID($Q436,6,2)&amp;RIGHT($Q436,2)&amp;IF(Sync!$K436="","0000",IF(AND(ISNUMBER(Sync!$K436),Sync!$K436&gt;=0,Sync!$K436&lt;1),RIGHT("00"&amp;HOUR(Sync!$K436),2)&amp;RIGHT("00"&amp;MINUTE(Sync!$K436),2),IFERROR(RIGHT("00"&amp;VALUE(LEFT(Sync!$K436,FIND(":",Sync!$K436)-1)),2)&amp;RIGHT("00"&amp;VALUE(MID(Sync!$K436,FIND(":",Sync!$K436)+1,2)),2),"0000")))&amp;"|"&amp;"2"&amp;RIGHT("00000"&amp;431,5))</f>
        <v/>
      </c>
      <c r="Q436" t="str">
        <f>IF(Sync!$J436="","",IF(ISNUMBER(Sync!$J436),IF(AND(Sync!$J436&gt;=10000101,Sync!$J436&lt;=99991231),INT(Sync!$J436/10000)&amp;"/"&amp;RIGHT("00"&amp;INT(MOD(Sync!$J436,10000)/100),2)&amp;"/"&amp;RIGHT("00"&amp;MOD(Sync!$J436,100),2),"نامعتبر"),IF(LEN(Sync!$J436)=10,Sync!$J436,"نامعتبر")))</f>
        <v/>
      </c>
      <c r="R436" t="str">
        <f t="shared" si="46"/>
        <v/>
      </c>
      <c r="S436" t="str">
        <f t="shared" si="47"/>
        <v/>
      </c>
      <c r="T436" t="str">
        <f>IF($N436="","",IF(Sync!$N436="",0,Sync!$N436))</f>
        <v/>
      </c>
      <c r="U436" t="str">
        <f>IF($N436="","",IF(Sync!$O436="",0,Sync!$O436))</f>
        <v/>
      </c>
      <c r="V436" t="str">
        <f>IF($N436="","",Sync!$L436)</f>
        <v/>
      </c>
      <c r="W436" t="str">
        <f>IF($N436="","",Sync!$P436)</f>
        <v/>
      </c>
      <c r="AA436" t="str">
        <f>IF($A436="","",IF(COUNTIF($A$6:$A436,$A436)=1,1,0))</f>
        <v/>
      </c>
      <c r="AB436">
        <f>SUM($AA$6:$AA436)</f>
        <v>3</v>
      </c>
      <c r="AC436" t="str">
        <f t="shared" si="48"/>
        <v/>
      </c>
    </row>
    <row r="437" spans="1:29" x14ac:dyDescent="0.2">
      <c r="A437" t="str">
        <f>IF(OR(Entry!$B440="",Entry!$E440="",$E437="نامعتبر"),"",Entry!$E440)</f>
        <v/>
      </c>
      <c r="B437" t="str">
        <f>IF($A437="","",LEFT($E437,4)&amp;MID($E437,6,2)&amp;RIGHT($E437,2)&amp;$F437&amp;"|"&amp;"1"&amp;RIGHT("00000"&amp;432,5))</f>
        <v/>
      </c>
      <c r="C437" t="str">
        <f t="shared" si="42"/>
        <v/>
      </c>
      <c r="D437" t="str">
        <f t="shared" si="43"/>
        <v/>
      </c>
      <c r="E437" t="str">
        <f>IF(Entry!$B440="","",IF(ISNUMBER(Entry!$B440),IF(AND(Entry!$B440&gt;=10000101,Entry!$B440&lt;=99991231),INT(Entry!$B440/10000)&amp;"/"&amp;RIGHT("00"&amp;INT(MOD(Entry!$B440,10000)/100),2)&amp;"/"&amp;RIGHT("00"&amp;MOD(Entry!$B440,100),2),"نامعتبر"),IF(LEN(Entry!$B440)=10,Entry!$B440,"نامعتبر")))</f>
        <v/>
      </c>
      <c r="F437" t="str">
        <f>IF(Entry!$B440="","",IF(Entry!$C440="","0000",IF(AND(ISNUMBER(Entry!$C440),Entry!$C440&gt;=0,Entry!$C440&lt;1),RIGHT("00"&amp;HOUR(Entry!$C440),2)&amp;RIGHT("00"&amp;MINUTE(Entry!$C440),2),IFERROR(RIGHT("00"&amp;VALUE(LEFT(Entry!$C440,FIND(":",Entry!$C440)-1)),2)&amp;RIGHT("00"&amp;VALUE(MID(Entry!$C440,FIND(":",Entry!$C440)+1,2)),2),"0000"))))</f>
        <v/>
      </c>
      <c r="G437" t="str">
        <f>IF($A437="","",Entry!$G440)</f>
        <v/>
      </c>
      <c r="H437" t="str">
        <f>IF($A437="","",IF(Entry!$H440="",0,Entry!$H440))</f>
        <v/>
      </c>
      <c r="I437" t="str">
        <f>IF($A437="","",IF(Entry!$I440="",0,Entry!$I440))</f>
        <v/>
      </c>
      <c r="J437" t="str">
        <f t="shared" si="44"/>
        <v/>
      </c>
      <c r="K437" t="str">
        <f>IF($A437="","",Entry!$D440)</f>
        <v/>
      </c>
      <c r="L437" t="str">
        <f>IF($A437="","",Entry!$L440)</f>
        <v/>
      </c>
      <c r="N437" t="str">
        <f>IF(OR(Sync!$M437="",$Q437="",$Q437="نامعتبر"),"",Sync!$M437)</f>
        <v/>
      </c>
      <c r="O437" t="str">
        <f t="shared" si="45"/>
        <v/>
      </c>
      <c r="P437" t="str">
        <f>IF($N437="","",LEFT($Q437,4)&amp;MID($Q437,6,2)&amp;RIGHT($Q437,2)&amp;IF(Sync!$K437="","0000",IF(AND(ISNUMBER(Sync!$K437),Sync!$K437&gt;=0,Sync!$K437&lt;1),RIGHT("00"&amp;HOUR(Sync!$K437),2)&amp;RIGHT("00"&amp;MINUTE(Sync!$K437),2),IFERROR(RIGHT("00"&amp;VALUE(LEFT(Sync!$K437,FIND(":",Sync!$K437)-1)),2)&amp;RIGHT("00"&amp;VALUE(MID(Sync!$K437,FIND(":",Sync!$K437)+1,2)),2),"0000")))&amp;"|"&amp;"2"&amp;RIGHT("00000"&amp;432,5))</f>
        <v/>
      </c>
      <c r="Q437" t="str">
        <f>IF(Sync!$J437="","",IF(ISNUMBER(Sync!$J437),IF(AND(Sync!$J437&gt;=10000101,Sync!$J437&lt;=99991231),INT(Sync!$J437/10000)&amp;"/"&amp;RIGHT("00"&amp;INT(MOD(Sync!$J437,10000)/100),2)&amp;"/"&amp;RIGHT("00"&amp;MOD(Sync!$J437,100),2),"نامعتبر"),IF(LEN(Sync!$J437)=10,Sync!$J437,"نامعتبر")))</f>
        <v/>
      </c>
      <c r="R437" t="str">
        <f t="shared" si="46"/>
        <v/>
      </c>
      <c r="S437" t="str">
        <f t="shared" si="47"/>
        <v/>
      </c>
      <c r="T437" t="str">
        <f>IF($N437="","",IF(Sync!$N437="",0,Sync!$N437))</f>
        <v/>
      </c>
      <c r="U437" t="str">
        <f>IF($N437="","",IF(Sync!$O437="",0,Sync!$O437))</f>
        <v/>
      </c>
      <c r="V437" t="str">
        <f>IF($N437="","",Sync!$L437)</f>
        <v/>
      </c>
      <c r="W437" t="str">
        <f>IF($N437="","",Sync!$P437)</f>
        <v/>
      </c>
      <c r="AA437" t="str">
        <f>IF($A437="","",IF(COUNTIF($A$6:$A437,$A437)=1,1,0))</f>
        <v/>
      </c>
      <c r="AB437">
        <f>SUM($AA$6:$AA437)</f>
        <v>3</v>
      </c>
      <c r="AC437" t="str">
        <f t="shared" si="48"/>
        <v/>
      </c>
    </row>
    <row r="438" spans="1:29" x14ac:dyDescent="0.2">
      <c r="A438" t="str">
        <f>IF(OR(Entry!$B441="",Entry!$E441="",$E438="نامعتبر"),"",Entry!$E441)</f>
        <v/>
      </c>
      <c r="B438" t="str">
        <f>IF($A438="","",LEFT($E438,4)&amp;MID($E438,6,2)&amp;RIGHT($E438,2)&amp;$F438&amp;"|"&amp;"1"&amp;RIGHT("00000"&amp;433,5))</f>
        <v/>
      </c>
      <c r="C438" t="str">
        <f t="shared" si="42"/>
        <v/>
      </c>
      <c r="D438" t="str">
        <f t="shared" si="43"/>
        <v/>
      </c>
      <c r="E438" t="str">
        <f>IF(Entry!$B441="","",IF(ISNUMBER(Entry!$B441),IF(AND(Entry!$B441&gt;=10000101,Entry!$B441&lt;=99991231),INT(Entry!$B441/10000)&amp;"/"&amp;RIGHT("00"&amp;INT(MOD(Entry!$B441,10000)/100),2)&amp;"/"&amp;RIGHT("00"&amp;MOD(Entry!$B441,100),2),"نامعتبر"),IF(LEN(Entry!$B441)=10,Entry!$B441,"نامعتبر")))</f>
        <v/>
      </c>
      <c r="F438" t="str">
        <f>IF(Entry!$B441="","",IF(Entry!$C441="","0000",IF(AND(ISNUMBER(Entry!$C441),Entry!$C441&gt;=0,Entry!$C441&lt;1),RIGHT("00"&amp;HOUR(Entry!$C441),2)&amp;RIGHT("00"&amp;MINUTE(Entry!$C441),2),IFERROR(RIGHT("00"&amp;VALUE(LEFT(Entry!$C441,FIND(":",Entry!$C441)-1)),2)&amp;RIGHT("00"&amp;VALUE(MID(Entry!$C441,FIND(":",Entry!$C441)+1,2)),2),"0000"))))</f>
        <v/>
      </c>
      <c r="G438" t="str">
        <f>IF($A438="","",Entry!$G441)</f>
        <v/>
      </c>
      <c r="H438" t="str">
        <f>IF($A438="","",IF(Entry!$H441="",0,Entry!$H441))</f>
        <v/>
      </c>
      <c r="I438" t="str">
        <f>IF($A438="","",IF(Entry!$I441="",0,Entry!$I441))</f>
        <v/>
      </c>
      <c r="J438" t="str">
        <f t="shared" si="44"/>
        <v/>
      </c>
      <c r="K438" t="str">
        <f>IF($A438="","",Entry!$D441)</f>
        <v/>
      </c>
      <c r="L438" t="str">
        <f>IF($A438="","",Entry!$L441)</f>
        <v/>
      </c>
      <c r="N438" t="str">
        <f>IF(OR(Sync!$M438="",$Q438="",$Q438="نامعتبر"),"",Sync!$M438)</f>
        <v/>
      </c>
      <c r="O438" t="str">
        <f t="shared" si="45"/>
        <v/>
      </c>
      <c r="P438" t="str">
        <f>IF($N438="","",LEFT($Q438,4)&amp;MID($Q438,6,2)&amp;RIGHT($Q438,2)&amp;IF(Sync!$K438="","0000",IF(AND(ISNUMBER(Sync!$K438),Sync!$K438&gt;=0,Sync!$K438&lt;1),RIGHT("00"&amp;HOUR(Sync!$K438),2)&amp;RIGHT("00"&amp;MINUTE(Sync!$K438),2),IFERROR(RIGHT("00"&amp;VALUE(LEFT(Sync!$K438,FIND(":",Sync!$K438)-1)),2)&amp;RIGHT("00"&amp;VALUE(MID(Sync!$K438,FIND(":",Sync!$K438)+1,2)),2),"0000")))&amp;"|"&amp;"2"&amp;RIGHT("00000"&amp;433,5))</f>
        <v/>
      </c>
      <c r="Q438" t="str">
        <f>IF(Sync!$J438="","",IF(ISNUMBER(Sync!$J438),IF(AND(Sync!$J438&gt;=10000101,Sync!$J438&lt;=99991231),INT(Sync!$J438/10000)&amp;"/"&amp;RIGHT("00"&amp;INT(MOD(Sync!$J438,10000)/100),2)&amp;"/"&amp;RIGHT("00"&amp;MOD(Sync!$J438,100),2),"نامعتبر"),IF(LEN(Sync!$J438)=10,Sync!$J438,"نامعتبر")))</f>
        <v/>
      </c>
      <c r="R438" t="str">
        <f t="shared" si="46"/>
        <v/>
      </c>
      <c r="S438" t="str">
        <f t="shared" si="47"/>
        <v/>
      </c>
      <c r="T438" t="str">
        <f>IF($N438="","",IF(Sync!$N438="",0,Sync!$N438))</f>
        <v/>
      </c>
      <c r="U438" t="str">
        <f>IF($N438="","",IF(Sync!$O438="",0,Sync!$O438))</f>
        <v/>
      </c>
      <c r="V438" t="str">
        <f>IF($N438="","",Sync!$L438)</f>
        <v/>
      </c>
      <c r="W438" t="str">
        <f>IF($N438="","",Sync!$P438)</f>
        <v/>
      </c>
      <c r="AA438" t="str">
        <f>IF($A438="","",IF(COUNTIF($A$6:$A438,$A438)=1,1,0))</f>
        <v/>
      </c>
      <c r="AB438">
        <f>SUM($AA$6:$AA438)</f>
        <v>3</v>
      </c>
      <c r="AC438" t="str">
        <f t="shared" si="48"/>
        <v/>
      </c>
    </row>
    <row r="439" spans="1:29" x14ac:dyDescent="0.2">
      <c r="A439" t="str">
        <f>IF(OR(Entry!$B442="",Entry!$E442="",$E439="نامعتبر"),"",Entry!$E442)</f>
        <v/>
      </c>
      <c r="B439" t="str">
        <f>IF($A439="","",LEFT($E439,4)&amp;MID($E439,6,2)&amp;RIGHT($E439,2)&amp;$F439&amp;"|"&amp;"1"&amp;RIGHT("00000"&amp;434,5))</f>
        <v/>
      </c>
      <c r="C439" t="str">
        <f t="shared" si="42"/>
        <v/>
      </c>
      <c r="D439" t="str">
        <f t="shared" si="43"/>
        <v/>
      </c>
      <c r="E439" t="str">
        <f>IF(Entry!$B442="","",IF(ISNUMBER(Entry!$B442),IF(AND(Entry!$B442&gt;=10000101,Entry!$B442&lt;=99991231),INT(Entry!$B442/10000)&amp;"/"&amp;RIGHT("00"&amp;INT(MOD(Entry!$B442,10000)/100),2)&amp;"/"&amp;RIGHT("00"&amp;MOD(Entry!$B442,100),2),"نامعتبر"),IF(LEN(Entry!$B442)=10,Entry!$B442,"نامعتبر")))</f>
        <v/>
      </c>
      <c r="F439" t="str">
        <f>IF(Entry!$B442="","",IF(Entry!$C442="","0000",IF(AND(ISNUMBER(Entry!$C442),Entry!$C442&gt;=0,Entry!$C442&lt;1),RIGHT("00"&amp;HOUR(Entry!$C442),2)&amp;RIGHT("00"&amp;MINUTE(Entry!$C442),2),IFERROR(RIGHT("00"&amp;VALUE(LEFT(Entry!$C442,FIND(":",Entry!$C442)-1)),2)&amp;RIGHT("00"&amp;VALUE(MID(Entry!$C442,FIND(":",Entry!$C442)+1,2)),2),"0000"))))</f>
        <v/>
      </c>
      <c r="G439" t="str">
        <f>IF($A439="","",Entry!$G442)</f>
        <v/>
      </c>
      <c r="H439" t="str">
        <f>IF($A439="","",IF(Entry!$H442="",0,Entry!$H442))</f>
        <v/>
      </c>
      <c r="I439" t="str">
        <f>IF($A439="","",IF(Entry!$I442="",0,Entry!$I442))</f>
        <v/>
      </c>
      <c r="J439" t="str">
        <f t="shared" si="44"/>
        <v/>
      </c>
      <c r="K439" t="str">
        <f>IF($A439="","",Entry!$D442)</f>
        <v/>
      </c>
      <c r="L439" t="str">
        <f>IF($A439="","",Entry!$L442)</f>
        <v/>
      </c>
      <c r="N439" t="str">
        <f>IF(OR(Sync!$M439="",$Q439="",$Q439="نامعتبر"),"",Sync!$M439)</f>
        <v/>
      </c>
      <c r="O439" t="str">
        <f t="shared" si="45"/>
        <v/>
      </c>
      <c r="P439" t="str">
        <f>IF($N439="","",LEFT($Q439,4)&amp;MID($Q439,6,2)&amp;RIGHT($Q439,2)&amp;IF(Sync!$K439="","0000",IF(AND(ISNUMBER(Sync!$K439),Sync!$K439&gt;=0,Sync!$K439&lt;1),RIGHT("00"&amp;HOUR(Sync!$K439),2)&amp;RIGHT("00"&amp;MINUTE(Sync!$K439),2),IFERROR(RIGHT("00"&amp;VALUE(LEFT(Sync!$K439,FIND(":",Sync!$K439)-1)),2)&amp;RIGHT("00"&amp;VALUE(MID(Sync!$K439,FIND(":",Sync!$K439)+1,2)),2),"0000")))&amp;"|"&amp;"2"&amp;RIGHT("00000"&amp;434,5))</f>
        <v/>
      </c>
      <c r="Q439" t="str">
        <f>IF(Sync!$J439="","",IF(ISNUMBER(Sync!$J439),IF(AND(Sync!$J439&gt;=10000101,Sync!$J439&lt;=99991231),INT(Sync!$J439/10000)&amp;"/"&amp;RIGHT("00"&amp;INT(MOD(Sync!$J439,10000)/100),2)&amp;"/"&amp;RIGHT("00"&amp;MOD(Sync!$J439,100),2),"نامعتبر"),IF(LEN(Sync!$J439)=10,Sync!$J439,"نامعتبر")))</f>
        <v/>
      </c>
      <c r="R439" t="str">
        <f t="shared" si="46"/>
        <v/>
      </c>
      <c r="S439" t="str">
        <f t="shared" si="47"/>
        <v/>
      </c>
      <c r="T439" t="str">
        <f>IF($N439="","",IF(Sync!$N439="",0,Sync!$N439))</f>
        <v/>
      </c>
      <c r="U439" t="str">
        <f>IF($N439="","",IF(Sync!$O439="",0,Sync!$O439))</f>
        <v/>
      </c>
      <c r="V439" t="str">
        <f>IF($N439="","",Sync!$L439)</f>
        <v/>
      </c>
      <c r="W439" t="str">
        <f>IF($N439="","",Sync!$P439)</f>
        <v/>
      </c>
      <c r="AA439" t="str">
        <f>IF($A439="","",IF(COUNTIF($A$6:$A439,$A439)=1,1,0))</f>
        <v/>
      </c>
      <c r="AB439">
        <f>SUM($AA$6:$AA439)</f>
        <v>3</v>
      </c>
      <c r="AC439" t="str">
        <f t="shared" si="48"/>
        <v/>
      </c>
    </row>
    <row r="440" spans="1:29" x14ac:dyDescent="0.2">
      <c r="A440" t="str">
        <f>IF(OR(Entry!$B443="",Entry!$E443="",$E440="نامعتبر"),"",Entry!$E443)</f>
        <v/>
      </c>
      <c r="B440" t="str">
        <f>IF($A440="","",LEFT($E440,4)&amp;MID($E440,6,2)&amp;RIGHT($E440,2)&amp;$F440&amp;"|"&amp;"1"&amp;RIGHT("00000"&amp;435,5))</f>
        <v/>
      </c>
      <c r="C440" t="str">
        <f t="shared" si="42"/>
        <v/>
      </c>
      <c r="D440" t="str">
        <f t="shared" si="43"/>
        <v/>
      </c>
      <c r="E440" t="str">
        <f>IF(Entry!$B443="","",IF(ISNUMBER(Entry!$B443),IF(AND(Entry!$B443&gt;=10000101,Entry!$B443&lt;=99991231),INT(Entry!$B443/10000)&amp;"/"&amp;RIGHT("00"&amp;INT(MOD(Entry!$B443,10000)/100),2)&amp;"/"&amp;RIGHT("00"&amp;MOD(Entry!$B443,100),2),"نامعتبر"),IF(LEN(Entry!$B443)=10,Entry!$B443,"نامعتبر")))</f>
        <v/>
      </c>
      <c r="F440" t="str">
        <f>IF(Entry!$B443="","",IF(Entry!$C443="","0000",IF(AND(ISNUMBER(Entry!$C443),Entry!$C443&gt;=0,Entry!$C443&lt;1),RIGHT("00"&amp;HOUR(Entry!$C443),2)&amp;RIGHT("00"&amp;MINUTE(Entry!$C443),2),IFERROR(RIGHT("00"&amp;VALUE(LEFT(Entry!$C443,FIND(":",Entry!$C443)-1)),2)&amp;RIGHT("00"&amp;VALUE(MID(Entry!$C443,FIND(":",Entry!$C443)+1,2)),2),"0000"))))</f>
        <v/>
      </c>
      <c r="G440" t="str">
        <f>IF($A440="","",Entry!$G443)</f>
        <v/>
      </c>
      <c r="H440" t="str">
        <f>IF($A440="","",IF(Entry!$H443="",0,Entry!$H443))</f>
        <v/>
      </c>
      <c r="I440" t="str">
        <f>IF($A440="","",IF(Entry!$I443="",0,Entry!$I443))</f>
        <v/>
      </c>
      <c r="J440" t="str">
        <f t="shared" si="44"/>
        <v/>
      </c>
      <c r="K440" t="str">
        <f>IF($A440="","",Entry!$D443)</f>
        <v/>
      </c>
      <c r="L440" t="str">
        <f>IF($A440="","",Entry!$L443)</f>
        <v/>
      </c>
      <c r="N440" t="str">
        <f>IF(OR(Sync!$M440="",$Q440="",$Q440="نامعتبر"),"",Sync!$M440)</f>
        <v/>
      </c>
      <c r="O440" t="str">
        <f t="shared" si="45"/>
        <v/>
      </c>
      <c r="P440" t="str">
        <f>IF($N440="","",LEFT($Q440,4)&amp;MID($Q440,6,2)&amp;RIGHT($Q440,2)&amp;IF(Sync!$K440="","0000",IF(AND(ISNUMBER(Sync!$K440),Sync!$K440&gt;=0,Sync!$K440&lt;1),RIGHT("00"&amp;HOUR(Sync!$K440),2)&amp;RIGHT("00"&amp;MINUTE(Sync!$K440),2),IFERROR(RIGHT("00"&amp;VALUE(LEFT(Sync!$K440,FIND(":",Sync!$K440)-1)),2)&amp;RIGHT("00"&amp;VALUE(MID(Sync!$K440,FIND(":",Sync!$K440)+1,2)),2),"0000")))&amp;"|"&amp;"2"&amp;RIGHT("00000"&amp;435,5))</f>
        <v/>
      </c>
      <c r="Q440" t="str">
        <f>IF(Sync!$J440="","",IF(ISNUMBER(Sync!$J440),IF(AND(Sync!$J440&gt;=10000101,Sync!$J440&lt;=99991231),INT(Sync!$J440/10000)&amp;"/"&amp;RIGHT("00"&amp;INT(MOD(Sync!$J440,10000)/100),2)&amp;"/"&amp;RIGHT("00"&amp;MOD(Sync!$J440,100),2),"نامعتبر"),IF(LEN(Sync!$J440)=10,Sync!$J440,"نامعتبر")))</f>
        <v/>
      </c>
      <c r="R440" t="str">
        <f t="shared" si="46"/>
        <v/>
      </c>
      <c r="S440" t="str">
        <f t="shared" si="47"/>
        <v/>
      </c>
      <c r="T440" t="str">
        <f>IF($N440="","",IF(Sync!$N440="",0,Sync!$N440))</f>
        <v/>
      </c>
      <c r="U440" t="str">
        <f>IF($N440="","",IF(Sync!$O440="",0,Sync!$O440))</f>
        <v/>
      </c>
      <c r="V440" t="str">
        <f>IF($N440="","",Sync!$L440)</f>
        <v/>
      </c>
      <c r="W440" t="str">
        <f>IF($N440="","",Sync!$P440)</f>
        <v/>
      </c>
      <c r="AA440" t="str">
        <f>IF($A440="","",IF(COUNTIF($A$6:$A440,$A440)=1,1,0))</f>
        <v/>
      </c>
      <c r="AB440">
        <f>SUM($AA$6:$AA440)</f>
        <v>3</v>
      </c>
      <c r="AC440" t="str">
        <f t="shared" si="48"/>
        <v/>
      </c>
    </row>
    <row r="441" spans="1:29" x14ac:dyDescent="0.2">
      <c r="A441" t="str">
        <f>IF(OR(Entry!$B444="",Entry!$E444="",$E441="نامعتبر"),"",Entry!$E444)</f>
        <v/>
      </c>
      <c r="B441" t="str">
        <f>IF($A441="","",LEFT($E441,4)&amp;MID($E441,6,2)&amp;RIGHT($E441,2)&amp;$F441&amp;"|"&amp;"1"&amp;RIGHT("00000"&amp;436,5))</f>
        <v/>
      </c>
      <c r="C441" t="str">
        <f t="shared" si="42"/>
        <v/>
      </c>
      <c r="D441" t="str">
        <f t="shared" si="43"/>
        <v/>
      </c>
      <c r="E441" t="str">
        <f>IF(Entry!$B444="","",IF(ISNUMBER(Entry!$B444),IF(AND(Entry!$B444&gt;=10000101,Entry!$B444&lt;=99991231),INT(Entry!$B444/10000)&amp;"/"&amp;RIGHT("00"&amp;INT(MOD(Entry!$B444,10000)/100),2)&amp;"/"&amp;RIGHT("00"&amp;MOD(Entry!$B444,100),2),"نامعتبر"),IF(LEN(Entry!$B444)=10,Entry!$B444,"نامعتبر")))</f>
        <v/>
      </c>
      <c r="F441" t="str">
        <f>IF(Entry!$B444="","",IF(Entry!$C444="","0000",IF(AND(ISNUMBER(Entry!$C444),Entry!$C444&gt;=0,Entry!$C444&lt;1),RIGHT("00"&amp;HOUR(Entry!$C444),2)&amp;RIGHT("00"&amp;MINUTE(Entry!$C444),2),IFERROR(RIGHT("00"&amp;VALUE(LEFT(Entry!$C444,FIND(":",Entry!$C444)-1)),2)&amp;RIGHT("00"&amp;VALUE(MID(Entry!$C444,FIND(":",Entry!$C444)+1,2)),2),"0000"))))</f>
        <v/>
      </c>
      <c r="G441" t="str">
        <f>IF($A441="","",Entry!$G444)</f>
        <v/>
      </c>
      <c r="H441" t="str">
        <f>IF($A441="","",IF(Entry!$H444="",0,Entry!$H444))</f>
        <v/>
      </c>
      <c r="I441" t="str">
        <f>IF($A441="","",IF(Entry!$I444="",0,Entry!$I444))</f>
        <v/>
      </c>
      <c r="J441" t="str">
        <f t="shared" si="44"/>
        <v/>
      </c>
      <c r="K441" t="str">
        <f>IF($A441="","",Entry!$D444)</f>
        <v/>
      </c>
      <c r="L441" t="str">
        <f>IF($A441="","",Entry!$L444)</f>
        <v/>
      </c>
      <c r="N441" t="str">
        <f>IF(OR(Sync!$M441="",$Q441="",$Q441="نامعتبر"),"",Sync!$M441)</f>
        <v/>
      </c>
      <c r="O441" t="str">
        <f t="shared" si="45"/>
        <v/>
      </c>
      <c r="P441" t="str">
        <f>IF($N441="","",LEFT($Q441,4)&amp;MID($Q441,6,2)&amp;RIGHT($Q441,2)&amp;IF(Sync!$K441="","0000",IF(AND(ISNUMBER(Sync!$K441),Sync!$K441&gt;=0,Sync!$K441&lt;1),RIGHT("00"&amp;HOUR(Sync!$K441),2)&amp;RIGHT("00"&amp;MINUTE(Sync!$K441),2),IFERROR(RIGHT("00"&amp;VALUE(LEFT(Sync!$K441,FIND(":",Sync!$K441)-1)),2)&amp;RIGHT("00"&amp;VALUE(MID(Sync!$K441,FIND(":",Sync!$K441)+1,2)),2),"0000")))&amp;"|"&amp;"2"&amp;RIGHT("00000"&amp;436,5))</f>
        <v/>
      </c>
      <c r="Q441" t="str">
        <f>IF(Sync!$J441="","",IF(ISNUMBER(Sync!$J441),IF(AND(Sync!$J441&gt;=10000101,Sync!$J441&lt;=99991231),INT(Sync!$J441/10000)&amp;"/"&amp;RIGHT("00"&amp;INT(MOD(Sync!$J441,10000)/100),2)&amp;"/"&amp;RIGHT("00"&amp;MOD(Sync!$J441,100),2),"نامعتبر"),IF(LEN(Sync!$J441)=10,Sync!$J441,"نامعتبر")))</f>
        <v/>
      </c>
      <c r="R441" t="str">
        <f t="shared" si="46"/>
        <v/>
      </c>
      <c r="S441" t="str">
        <f t="shared" si="47"/>
        <v/>
      </c>
      <c r="T441" t="str">
        <f>IF($N441="","",IF(Sync!$N441="",0,Sync!$N441))</f>
        <v/>
      </c>
      <c r="U441" t="str">
        <f>IF($N441="","",IF(Sync!$O441="",0,Sync!$O441))</f>
        <v/>
      </c>
      <c r="V441" t="str">
        <f>IF($N441="","",Sync!$L441)</f>
        <v/>
      </c>
      <c r="W441" t="str">
        <f>IF($N441="","",Sync!$P441)</f>
        <v/>
      </c>
      <c r="AA441" t="str">
        <f>IF($A441="","",IF(COUNTIF($A$6:$A441,$A441)=1,1,0))</f>
        <v/>
      </c>
      <c r="AB441">
        <f>SUM($AA$6:$AA441)</f>
        <v>3</v>
      </c>
      <c r="AC441" t="str">
        <f t="shared" si="48"/>
        <v/>
      </c>
    </row>
    <row r="442" spans="1:29" x14ac:dyDescent="0.2">
      <c r="A442" t="str">
        <f>IF(OR(Entry!$B445="",Entry!$E445="",$E442="نامعتبر"),"",Entry!$E445)</f>
        <v/>
      </c>
      <c r="B442" t="str">
        <f>IF($A442="","",LEFT($E442,4)&amp;MID($E442,6,2)&amp;RIGHT($E442,2)&amp;$F442&amp;"|"&amp;"1"&amp;RIGHT("00000"&amp;437,5))</f>
        <v/>
      </c>
      <c r="C442" t="str">
        <f t="shared" si="42"/>
        <v/>
      </c>
      <c r="D442" t="str">
        <f t="shared" si="43"/>
        <v/>
      </c>
      <c r="E442" t="str">
        <f>IF(Entry!$B445="","",IF(ISNUMBER(Entry!$B445),IF(AND(Entry!$B445&gt;=10000101,Entry!$B445&lt;=99991231),INT(Entry!$B445/10000)&amp;"/"&amp;RIGHT("00"&amp;INT(MOD(Entry!$B445,10000)/100),2)&amp;"/"&amp;RIGHT("00"&amp;MOD(Entry!$B445,100),2),"نامعتبر"),IF(LEN(Entry!$B445)=10,Entry!$B445,"نامعتبر")))</f>
        <v/>
      </c>
      <c r="F442" t="str">
        <f>IF(Entry!$B445="","",IF(Entry!$C445="","0000",IF(AND(ISNUMBER(Entry!$C445),Entry!$C445&gt;=0,Entry!$C445&lt;1),RIGHT("00"&amp;HOUR(Entry!$C445),2)&amp;RIGHT("00"&amp;MINUTE(Entry!$C445),2),IFERROR(RIGHT("00"&amp;VALUE(LEFT(Entry!$C445,FIND(":",Entry!$C445)-1)),2)&amp;RIGHT("00"&amp;VALUE(MID(Entry!$C445,FIND(":",Entry!$C445)+1,2)),2),"0000"))))</f>
        <v/>
      </c>
      <c r="G442" t="str">
        <f>IF($A442="","",Entry!$G445)</f>
        <v/>
      </c>
      <c r="H442" t="str">
        <f>IF($A442="","",IF(Entry!$H445="",0,Entry!$H445))</f>
        <v/>
      </c>
      <c r="I442" t="str">
        <f>IF($A442="","",IF(Entry!$I445="",0,Entry!$I445))</f>
        <v/>
      </c>
      <c r="J442" t="str">
        <f t="shared" si="44"/>
        <v/>
      </c>
      <c r="K442" t="str">
        <f>IF($A442="","",Entry!$D445)</f>
        <v/>
      </c>
      <c r="L442" t="str">
        <f>IF($A442="","",Entry!$L445)</f>
        <v/>
      </c>
      <c r="N442" t="str">
        <f>IF(OR(Sync!$M442="",$Q442="",$Q442="نامعتبر"),"",Sync!$M442)</f>
        <v/>
      </c>
      <c r="O442" t="str">
        <f t="shared" si="45"/>
        <v/>
      </c>
      <c r="P442" t="str">
        <f>IF($N442="","",LEFT($Q442,4)&amp;MID($Q442,6,2)&amp;RIGHT($Q442,2)&amp;IF(Sync!$K442="","0000",IF(AND(ISNUMBER(Sync!$K442),Sync!$K442&gt;=0,Sync!$K442&lt;1),RIGHT("00"&amp;HOUR(Sync!$K442),2)&amp;RIGHT("00"&amp;MINUTE(Sync!$K442),2),IFERROR(RIGHT("00"&amp;VALUE(LEFT(Sync!$K442,FIND(":",Sync!$K442)-1)),2)&amp;RIGHT("00"&amp;VALUE(MID(Sync!$K442,FIND(":",Sync!$K442)+1,2)),2),"0000")))&amp;"|"&amp;"2"&amp;RIGHT("00000"&amp;437,5))</f>
        <v/>
      </c>
      <c r="Q442" t="str">
        <f>IF(Sync!$J442="","",IF(ISNUMBER(Sync!$J442),IF(AND(Sync!$J442&gt;=10000101,Sync!$J442&lt;=99991231),INT(Sync!$J442/10000)&amp;"/"&amp;RIGHT("00"&amp;INT(MOD(Sync!$J442,10000)/100),2)&amp;"/"&amp;RIGHT("00"&amp;MOD(Sync!$J442,100),2),"نامعتبر"),IF(LEN(Sync!$J442)=10,Sync!$J442,"نامعتبر")))</f>
        <v/>
      </c>
      <c r="R442" t="str">
        <f t="shared" si="46"/>
        <v/>
      </c>
      <c r="S442" t="str">
        <f t="shared" si="47"/>
        <v/>
      </c>
      <c r="T442" t="str">
        <f>IF($N442="","",IF(Sync!$N442="",0,Sync!$N442))</f>
        <v/>
      </c>
      <c r="U442" t="str">
        <f>IF($N442="","",IF(Sync!$O442="",0,Sync!$O442))</f>
        <v/>
      </c>
      <c r="V442" t="str">
        <f>IF($N442="","",Sync!$L442)</f>
        <v/>
      </c>
      <c r="W442" t="str">
        <f>IF($N442="","",Sync!$P442)</f>
        <v/>
      </c>
      <c r="AA442" t="str">
        <f>IF($A442="","",IF(COUNTIF($A$6:$A442,$A442)=1,1,0))</f>
        <v/>
      </c>
      <c r="AB442">
        <f>SUM($AA$6:$AA442)</f>
        <v>3</v>
      </c>
      <c r="AC442" t="str">
        <f t="shared" si="48"/>
        <v/>
      </c>
    </row>
    <row r="443" spans="1:29" x14ac:dyDescent="0.2">
      <c r="A443" t="str">
        <f>IF(OR(Entry!$B446="",Entry!$E446="",$E443="نامعتبر"),"",Entry!$E446)</f>
        <v/>
      </c>
      <c r="B443" t="str">
        <f>IF($A443="","",LEFT($E443,4)&amp;MID($E443,6,2)&amp;RIGHT($E443,2)&amp;$F443&amp;"|"&amp;"1"&amp;RIGHT("00000"&amp;438,5))</f>
        <v/>
      </c>
      <c r="C443" t="str">
        <f t="shared" si="42"/>
        <v/>
      </c>
      <c r="D443" t="str">
        <f t="shared" si="43"/>
        <v/>
      </c>
      <c r="E443" t="str">
        <f>IF(Entry!$B446="","",IF(ISNUMBER(Entry!$B446),IF(AND(Entry!$B446&gt;=10000101,Entry!$B446&lt;=99991231),INT(Entry!$B446/10000)&amp;"/"&amp;RIGHT("00"&amp;INT(MOD(Entry!$B446,10000)/100),2)&amp;"/"&amp;RIGHT("00"&amp;MOD(Entry!$B446,100),2),"نامعتبر"),IF(LEN(Entry!$B446)=10,Entry!$B446,"نامعتبر")))</f>
        <v/>
      </c>
      <c r="F443" t="str">
        <f>IF(Entry!$B446="","",IF(Entry!$C446="","0000",IF(AND(ISNUMBER(Entry!$C446),Entry!$C446&gt;=0,Entry!$C446&lt;1),RIGHT("00"&amp;HOUR(Entry!$C446),2)&amp;RIGHT("00"&amp;MINUTE(Entry!$C446),2),IFERROR(RIGHT("00"&amp;VALUE(LEFT(Entry!$C446,FIND(":",Entry!$C446)-1)),2)&amp;RIGHT("00"&amp;VALUE(MID(Entry!$C446,FIND(":",Entry!$C446)+1,2)),2),"0000"))))</f>
        <v/>
      </c>
      <c r="G443" t="str">
        <f>IF($A443="","",Entry!$G446)</f>
        <v/>
      </c>
      <c r="H443" t="str">
        <f>IF($A443="","",IF(Entry!$H446="",0,Entry!$H446))</f>
        <v/>
      </c>
      <c r="I443" t="str">
        <f>IF($A443="","",IF(Entry!$I446="",0,Entry!$I446))</f>
        <v/>
      </c>
      <c r="J443" t="str">
        <f t="shared" si="44"/>
        <v/>
      </c>
      <c r="K443" t="str">
        <f>IF($A443="","",Entry!$D446)</f>
        <v/>
      </c>
      <c r="L443" t="str">
        <f>IF($A443="","",Entry!$L446)</f>
        <v/>
      </c>
      <c r="N443" t="str">
        <f>IF(OR(Sync!$M443="",$Q443="",$Q443="نامعتبر"),"",Sync!$M443)</f>
        <v/>
      </c>
      <c r="O443" t="str">
        <f t="shared" si="45"/>
        <v/>
      </c>
      <c r="P443" t="str">
        <f>IF($N443="","",LEFT($Q443,4)&amp;MID($Q443,6,2)&amp;RIGHT($Q443,2)&amp;IF(Sync!$K443="","0000",IF(AND(ISNUMBER(Sync!$K443),Sync!$K443&gt;=0,Sync!$K443&lt;1),RIGHT("00"&amp;HOUR(Sync!$K443),2)&amp;RIGHT("00"&amp;MINUTE(Sync!$K443),2),IFERROR(RIGHT("00"&amp;VALUE(LEFT(Sync!$K443,FIND(":",Sync!$K443)-1)),2)&amp;RIGHT("00"&amp;VALUE(MID(Sync!$K443,FIND(":",Sync!$K443)+1,2)),2),"0000")))&amp;"|"&amp;"2"&amp;RIGHT("00000"&amp;438,5))</f>
        <v/>
      </c>
      <c r="Q443" t="str">
        <f>IF(Sync!$J443="","",IF(ISNUMBER(Sync!$J443),IF(AND(Sync!$J443&gt;=10000101,Sync!$J443&lt;=99991231),INT(Sync!$J443/10000)&amp;"/"&amp;RIGHT("00"&amp;INT(MOD(Sync!$J443,10000)/100),2)&amp;"/"&amp;RIGHT("00"&amp;MOD(Sync!$J443,100),2),"نامعتبر"),IF(LEN(Sync!$J443)=10,Sync!$J443,"نامعتبر")))</f>
        <v/>
      </c>
      <c r="R443" t="str">
        <f t="shared" si="46"/>
        <v/>
      </c>
      <c r="S443" t="str">
        <f t="shared" si="47"/>
        <v/>
      </c>
      <c r="T443" t="str">
        <f>IF($N443="","",IF(Sync!$N443="",0,Sync!$N443))</f>
        <v/>
      </c>
      <c r="U443" t="str">
        <f>IF($N443="","",IF(Sync!$O443="",0,Sync!$O443))</f>
        <v/>
      </c>
      <c r="V443" t="str">
        <f>IF($N443="","",Sync!$L443)</f>
        <v/>
      </c>
      <c r="W443" t="str">
        <f>IF($N443="","",Sync!$P443)</f>
        <v/>
      </c>
      <c r="AA443" t="str">
        <f>IF($A443="","",IF(COUNTIF($A$6:$A443,$A443)=1,1,0))</f>
        <v/>
      </c>
      <c r="AB443">
        <f>SUM($AA$6:$AA443)</f>
        <v>3</v>
      </c>
      <c r="AC443" t="str">
        <f t="shared" si="48"/>
        <v/>
      </c>
    </row>
    <row r="444" spans="1:29" x14ac:dyDescent="0.2">
      <c r="A444" t="str">
        <f>IF(OR(Entry!$B447="",Entry!$E447="",$E444="نامعتبر"),"",Entry!$E447)</f>
        <v/>
      </c>
      <c r="B444" t="str">
        <f>IF($A444="","",LEFT($E444,4)&amp;MID($E444,6,2)&amp;RIGHT($E444,2)&amp;$F444&amp;"|"&amp;"1"&amp;RIGHT("00000"&amp;439,5))</f>
        <v/>
      </c>
      <c r="C444" t="str">
        <f t="shared" si="42"/>
        <v/>
      </c>
      <c r="D444" t="str">
        <f t="shared" si="43"/>
        <v/>
      </c>
      <c r="E444" t="str">
        <f>IF(Entry!$B447="","",IF(ISNUMBER(Entry!$B447),IF(AND(Entry!$B447&gt;=10000101,Entry!$B447&lt;=99991231),INT(Entry!$B447/10000)&amp;"/"&amp;RIGHT("00"&amp;INT(MOD(Entry!$B447,10000)/100),2)&amp;"/"&amp;RIGHT("00"&amp;MOD(Entry!$B447,100),2),"نامعتبر"),IF(LEN(Entry!$B447)=10,Entry!$B447,"نامعتبر")))</f>
        <v/>
      </c>
      <c r="F444" t="str">
        <f>IF(Entry!$B447="","",IF(Entry!$C447="","0000",IF(AND(ISNUMBER(Entry!$C447),Entry!$C447&gt;=0,Entry!$C447&lt;1),RIGHT("00"&amp;HOUR(Entry!$C447),2)&amp;RIGHT("00"&amp;MINUTE(Entry!$C447),2),IFERROR(RIGHT("00"&amp;VALUE(LEFT(Entry!$C447,FIND(":",Entry!$C447)-1)),2)&amp;RIGHT("00"&amp;VALUE(MID(Entry!$C447,FIND(":",Entry!$C447)+1,2)),2),"0000"))))</f>
        <v/>
      </c>
      <c r="G444" t="str">
        <f>IF($A444="","",Entry!$G447)</f>
        <v/>
      </c>
      <c r="H444" t="str">
        <f>IF($A444="","",IF(Entry!$H447="",0,Entry!$H447))</f>
        <v/>
      </c>
      <c r="I444" t="str">
        <f>IF($A444="","",IF(Entry!$I447="",0,Entry!$I447))</f>
        <v/>
      </c>
      <c r="J444" t="str">
        <f t="shared" si="44"/>
        <v/>
      </c>
      <c r="K444" t="str">
        <f>IF($A444="","",Entry!$D447)</f>
        <v/>
      </c>
      <c r="L444" t="str">
        <f>IF($A444="","",Entry!$L447)</f>
        <v/>
      </c>
      <c r="N444" t="str">
        <f>IF(OR(Sync!$M444="",$Q444="",$Q444="نامعتبر"),"",Sync!$M444)</f>
        <v/>
      </c>
      <c r="O444" t="str">
        <f t="shared" si="45"/>
        <v/>
      </c>
      <c r="P444" t="str">
        <f>IF($N444="","",LEFT($Q444,4)&amp;MID($Q444,6,2)&amp;RIGHT($Q444,2)&amp;IF(Sync!$K444="","0000",IF(AND(ISNUMBER(Sync!$K444),Sync!$K444&gt;=0,Sync!$K444&lt;1),RIGHT("00"&amp;HOUR(Sync!$K444),2)&amp;RIGHT("00"&amp;MINUTE(Sync!$K444),2),IFERROR(RIGHT("00"&amp;VALUE(LEFT(Sync!$K444,FIND(":",Sync!$K444)-1)),2)&amp;RIGHT("00"&amp;VALUE(MID(Sync!$K444,FIND(":",Sync!$K444)+1,2)),2),"0000")))&amp;"|"&amp;"2"&amp;RIGHT("00000"&amp;439,5))</f>
        <v/>
      </c>
      <c r="Q444" t="str">
        <f>IF(Sync!$J444="","",IF(ISNUMBER(Sync!$J444),IF(AND(Sync!$J444&gt;=10000101,Sync!$J444&lt;=99991231),INT(Sync!$J444/10000)&amp;"/"&amp;RIGHT("00"&amp;INT(MOD(Sync!$J444,10000)/100),2)&amp;"/"&amp;RIGHT("00"&amp;MOD(Sync!$J444,100),2),"نامعتبر"),IF(LEN(Sync!$J444)=10,Sync!$J444,"نامعتبر")))</f>
        <v/>
      </c>
      <c r="R444" t="str">
        <f t="shared" si="46"/>
        <v/>
      </c>
      <c r="S444" t="str">
        <f t="shared" si="47"/>
        <v/>
      </c>
      <c r="T444" t="str">
        <f>IF($N444="","",IF(Sync!$N444="",0,Sync!$N444))</f>
        <v/>
      </c>
      <c r="U444" t="str">
        <f>IF($N444="","",IF(Sync!$O444="",0,Sync!$O444))</f>
        <v/>
      </c>
      <c r="V444" t="str">
        <f>IF($N444="","",Sync!$L444)</f>
        <v/>
      </c>
      <c r="W444" t="str">
        <f>IF($N444="","",Sync!$P444)</f>
        <v/>
      </c>
      <c r="AA444" t="str">
        <f>IF($A444="","",IF(COUNTIF($A$6:$A444,$A444)=1,1,0))</f>
        <v/>
      </c>
      <c r="AB444">
        <f>SUM($AA$6:$AA444)</f>
        <v>3</v>
      </c>
      <c r="AC444" t="str">
        <f t="shared" si="48"/>
        <v/>
      </c>
    </row>
    <row r="445" spans="1:29" x14ac:dyDescent="0.2">
      <c r="A445" t="str">
        <f>IF(OR(Entry!$B448="",Entry!$E448="",$E445="نامعتبر"),"",Entry!$E448)</f>
        <v/>
      </c>
      <c r="B445" t="str">
        <f>IF($A445="","",LEFT($E445,4)&amp;MID($E445,6,2)&amp;RIGHT($E445,2)&amp;$F445&amp;"|"&amp;"1"&amp;RIGHT("00000"&amp;440,5))</f>
        <v/>
      </c>
      <c r="C445" t="str">
        <f t="shared" si="42"/>
        <v/>
      </c>
      <c r="D445" t="str">
        <f t="shared" si="43"/>
        <v/>
      </c>
      <c r="E445" t="str">
        <f>IF(Entry!$B448="","",IF(ISNUMBER(Entry!$B448),IF(AND(Entry!$B448&gt;=10000101,Entry!$B448&lt;=99991231),INT(Entry!$B448/10000)&amp;"/"&amp;RIGHT("00"&amp;INT(MOD(Entry!$B448,10000)/100),2)&amp;"/"&amp;RIGHT("00"&amp;MOD(Entry!$B448,100),2),"نامعتبر"),IF(LEN(Entry!$B448)=10,Entry!$B448,"نامعتبر")))</f>
        <v/>
      </c>
      <c r="F445" t="str">
        <f>IF(Entry!$B448="","",IF(Entry!$C448="","0000",IF(AND(ISNUMBER(Entry!$C448),Entry!$C448&gt;=0,Entry!$C448&lt;1),RIGHT("00"&amp;HOUR(Entry!$C448),2)&amp;RIGHT("00"&amp;MINUTE(Entry!$C448),2),IFERROR(RIGHT("00"&amp;VALUE(LEFT(Entry!$C448,FIND(":",Entry!$C448)-1)),2)&amp;RIGHT("00"&amp;VALUE(MID(Entry!$C448,FIND(":",Entry!$C448)+1,2)),2),"0000"))))</f>
        <v/>
      </c>
      <c r="G445" t="str">
        <f>IF($A445="","",Entry!$G448)</f>
        <v/>
      </c>
      <c r="H445" t="str">
        <f>IF($A445="","",IF(Entry!$H448="",0,Entry!$H448))</f>
        <v/>
      </c>
      <c r="I445" t="str">
        <f>IF($A445="","",IF(Entry!$I448="",0,Entry!$I448))</f>
        <v/>
      </c>
      <c r="J445" t="str">
        <f t="shared" si="44"/>
        <v/>
      </c>
      <c r="K445" t="str">
        <f>IF($A445="","",Entry!$D448)</f>
        <v/>
      </c>
      <c r="L445" t="str">
        <f>IF($A445="","",Entry!$L448)</f>
        <v/>
      </c>
      <c r="N445" t="str">
        <f>IF(OR(Sync!$M445="",$Q445="",$Q445="نامعتبر"),"",Sync!$M445)</f>
        <v/>
      </c>
      <c r="O445" t="str">
        <f t="shared" si="45"/>
        <v/>
      </c>
      <c r="P445" t="str">
        <f>IF($N445="","",LEFT($Q445,4)&amp;MID($Q445,6,2)&amp;RIGHT($Q445,2)&amp;IF(Sync!$K445="","0000",IF(AND(ISNUMBER(Sync!$K445),Sync!$K445&gt;=0,Sync!$K445&lt;1),RIGHT("00"&amp;HOUR(Sync!$K445),2)&amp;RIGHT("00"&amp;MINUTE(Sync!$K445),2),IFERROR(RIGHT("00"&amp;VALUE(LEFT(Sync!$K445,FIND(":",Sync!$K445)-1)),2)&amp;RIGHT("00"&amp;VALUE(MID(Sync!$K445,FIND(":",Sync!$K445)+1,2)),2),"0000")))&amp;"|"&amp;"2"&amp;RIGHT("00000"&amp;440,5))</f>
        <v/>
      </c>
      <c r="Q445" t="str">
        <f>IF(Sync!$J445="","",IF(ISNUMBER(Sync!$J445),IF(AND(Sync!$J445&gt;=10000101,Sync!$J445&lt;=99991231),INT(Sync!$J445/10000)&amp;"/"&amp;RIGHT("00"&amp;INT(MOD(Sync!$J445,10000)/100),2)&amp;"/"&amp;RIGHT("00"&amp;MOD(Sync!$J445,100),2),"نامعتبر"),IF(LEN(Sync!$J445)=10,Sync!$J445,"نامعتبر")))</f>
        <v/>
      </c>
      <c r="R445" t="str">
        <f t="shared" si="46"/>
        <v/>
      </c>
      <c r="S445" t="str">
        <f t="shared" si="47"/>
        <v/>
      </c>
      <c r="T445" t="str">
        <f>IF($N445="","",IF(Sync!$N445="",0,Sync!$N445))</f>
        <v/>
      </c>
      <c r="U445" t="str">
        <f>IF($N445="","",IF(Sync!$O445="",0,Sync!$O445))</f>
        <v/>
      </c>
      <c r="V445" t="str">
        <f>IF($N445="","",Sync!$L445)</f>
        <v/>
      </c>
      <c r="W445" t="str">
        <f>IF($N445="","",Sync!$P445)</f>
        <v/>
      </c>
      <c r="AA445" t="str">
        <f>IF($A445="","",IF(COUNTIF($A$6:$A445,$A445)=1,1,0))</f>
        <v/>
      </c>
      <c r="AB445">
        <f>SUM($AA$6:$AA445)</f>
        <v>3</v>
      </c>
      <c r="AC445" t="str">
        <f t="shared" si="48"/>
        <v/>
      </c>
    </row>
    <row r="446" spans="1:29" x14ac:dyDescent="0.2">
      <c r="A446" t="str">
        <f>IF(OR(Entry!$B449="",Entry!$E449="",$E446="نامعتبر"),"",Entry!$E449)</f>
        <v/>
      </c>
      <c r="B446" t="str">
        <f>IF($A446="","",LEFT($E446,4)&amp;MID($E446,6,2)&amp;RIGHT($E446,2)&amp;$F446&amp;"|"&amp;"1"&amp;RIGHT("00000"&amp;441,5))</f>
        <v/>
      </c>
      <c r="C446" t="str">
        <f t="shared" si="42"/>
        <v/>
      </c>
      <c r="D446" t="str">
        <f t="shared" si="43"/>
        <v/>
      </c>
      <c r="E446" t="str">
        <f>IF(Entry!$B449="","",IF(ISNUMBER(Entry!$B449),IF(AND(Entry!$B449&gt;=10000101,Entry!$B449&lt;=99991231),INT(Entry!$B449/10000)&amp;"/"&amp;RIGHT("00"&amp;INT(MOD(Entry!$B449,10000)/100),2)&amp;"/"&amp;RIGHT("00"&amp;MOD(Entry!$B449,100),2),"نامعتبر"),IF(LEN(Entry!$B449)=10,Entry!$B449,"نامعتبر")))</f>
        <v/>
      </c>
      <c r="F446" t="str">
        <f>IF(Entry!$B449="","",IF(Entry!$C449="","0000",IF(AND(ISNUMBER(Entry!$C449),Entry!$C449&gt;=0,Entry!$C449&lt;1),RIGHT("00"&amp;HOUR(Entry!$C449),2)&amp;RIGHT("00"&amp;MINUTE(Entry!$C449),2),IFERROR(RIGHT("00"&amp;VALUE(LEFT(Entry!$C449,FIND(":",Entry!$C449)-1)),2)&amp;RIGHT("00"&amp;VALUE(MID(Entry!$C449,FIND(":",Entry!$C449)+1,2)),2),"0000"))))</f>
        <v/>
      </c>
      <c r="G446" t="str">
        <f>IF($A446="","",Entry!$G449)</f>
        <v/>
      </c>
      <c r="H446" t="str">
        <f>IF($A446="","",IF(Entry!$H449="",0,Entry!$H449))</f>
        <v/>
      </c>
      <c r="I446" t="str">
        <f>IF($A446="","",IF(Entry!$I449="",0,Entry!$I449))</f>
        <v/>
      </c>
      <c r="J446" t="str">
        <f t="shared" si="44"/>
        <v/>
      </c>
      <c r="K446" t="str">
        <f>IF($A446="","",Entry!$D449)</f>
        <v/>
      </c>
      <c r="L446" t="str">
        <f>IF($A446="","",Entry!$L449)</f>
        <v/>
      </c>
      <c r="N446" t="str">
        <f>IF(OR(Sync!$M446="",$Q446="",$Q446="نامعتبر"),"",Sync!$M446)</f>
        <v/>
      </c>
      <c r="O446" t="str">
        <f t="shared" si="45"/>
        <v/>
      </c>
      <c r="P446" t="str">
        <f>IF($N446="","",LEFT($Q446,4)&amp;MID($Q446,6,2)&amp;RIGHT($Q446,2)&amp;IF(Sync!$K446="","0000",IF(AND(ISNUMBER(Sync!$K446),Sync!$K446&gt;=0,Sync!$K446&lt;1),RIGHT("00"&amp;HOUR(Sync!$K446),2)&amp;RIGHT("00"&amp;MINUTE(Sync!$K446),2),IFERROR(RIGHT("00"&amp;VALUE(LEFT(Sync!$K446,FIND(":",Sync!$K446)-1)),2)&amp;RIGHT("00"&amp;VALUE(MID(Sync!$K446,FIND(":",Sync!$K446)+1,2)),2),"0000")))&amp;"|"&amp;"2"&amp;RIGHT("00000"&amp;441,5))</f>
        <v/>
      </c>
      <c r="Q446" t="str">
        <f>IF(Sync!$J446="","",IF(ISNUMBER(Sync!$J446),IF(AND(Sync!$J446&gt;=10000101,Sync!$J446&lt;=99991231),INT(Sync!$J446/10000)&amp;"/"&amp;RIGHT("00"&amp;INT(MOD(Sync!$J446,10000)/100),2)&amp;"/"&amp;RIGHT("00"&amp;MOD(Sync!$J446,100),2),"نامعتبر"),IF(LEN(Sync!$J446)=10,Sync!$J446,"نامعتبر")))</f>
        <v/>
      </c>
      <c r="R446" t="str">
        <f t="shared" si="46"/>
        <v/>
      </c>
      <c r="S446" t="str">
        <f t="shared" si="47"/>
        <v/>
      </c>
      <c r="T446" t="str">
        <f>IF($N446="","",IF(Sync!$N446="",0,Sync!$N446))</f>
        <v/>
      </c>
      <c r="U446" t="str">
        <f>IF($N446="","",IF(Sync!$O446="",0,Sync!$O446))</f>
        <v/>
      </c>
      <c r="V446" t="str">
        <f>IF($N446="","",Sync!$L446)</f>
        <v/>
      </c>
      <c r="W446" t="str">
        <f>IF($N446="","",Sync!$P446)</f>
        <v/>
      </c>
      <c r="AA446" t="str">
        <f>IF($A446="","",IF(COUNTIF($A$6:$A446,$A446)=1,1,0))</f>
        <v/>
      </c>
      <c r="AB446">
        <f>SUM($AA$6:$AA446)</f>
        <v>3</v>
      </c>
      <c r="AC446" t="str">
        <f t="shared" si="48"/>
        <v/>
      </c>
    </row>
    <row r="447" spans="1:29" x14ac:dyDescent="0.2">
      <c r="A447" t="str">
        <f>IF(OR(Entry!$B450="",Entry!$E450="",$E447="نامعتبر"),"",Entry!$E450)</f>
        <v/>
      </c>
      <c r="B447" t="str">
        <f>IF($A447="","",LEFT($E447,4)&amp;MID($E447,6,2)&amp;RIGHT($E447,2)&amp;$F447&amp;"|"&amp;"1"&amp;RIGHT("00000"&amp;442,5))</f>
        <v/>
      </c>
      <c r="C447" t="str">
        <f t="shared" si="42"/>
        <v/>
      </c>
      <c r="D447" t="str">
        <f t="shared" si="43"/>
        <v/>
      </c>
      <c r="E447" t="str">
        <f>IF(Entry!$B450="","",IF(ISNUMBER(Entry!$B450),IF(AND(Entry!$B450&gt;=10000101,Entry!$B450&lt;=99991231),INT(Entry!$B450/10000)&amp;"/"&amp;RIGHT("00"&amp;INT(MOD(Entry!$B450,10000)/100),2)&amp;"/"&amp;RIGHT("00"&amp;MOD(Entry!$B450,100),2),"نامعتبر"),IF(LEN(Entry!$B450)=10,Entry!$B450,"نامعتبر")))</f>
        <v/>
      </c>
      <c r="F447" t="str">
        <f>IF(Entry!$B450="","",IF(Entry!$C450="","0000",IF(AND(ISNUMBER(Entry!$C450),Entry!$C450&gt;=0,Entry!$C450&lt;1),RIGHT("00"&amp;HOUR(Entry!$C450),2)&amp;RIGHT("00"&amp;MINUTE(Entry!$C450),2),IFERROR(RIGHT("00"&amp;VALUE(LEFT(Entry!$C450,FIND(":",Entry!$C450)-1)),2)&amp;RIGHT("00"&amp;VALUE(MID(Entry!$C450,FIND(":",Entry!$C450)+1,2)),2),"0000"))))</f>
        <v/>
      </c>
      <c r="G447" t="str">
        <f>IF($A447="","",Entry!$G450)</f>
        <v/>
      </c>
      <c r="H447" t="str">
        <f>IF($A447="","",IF(Entry!$H450="",0,Entry!$H450))</f>
        <v/>
      </c>
      <c r="I447" t="str">
        <f>IF($A447="","",IF(Entry!$I450="",0,Entry!$I450))</f>
        <v/>
      </c>
      <c r="J447" t="str">
        <f t="shared" si="44"/>
        <v/>
      </c>
      <c r="K447" t="str">
        <f>IF($A447="","",Entry!$D450)</f>
        <v/>
      </c>
      <c r="L447" t="str">
        <f>IF($A447="","",Entry!$L450)</f>
        <v/>
      </c>
      <c r="N447" t="str">
        <f>IF(OR(Sync!$M447="",$Q447="",$Q447="نامعتبر"),"",Sync!$M447)</f>
        <v/>
      </c>
      <c r="O447" t="str">
        <f t="shared" si="45"/>
        <v/>
      </c>
      <c r="P447" t="str">
        <f>IF($N447="","",LEFT($Q447,4)&amp;MID($Q447,6,2)&amp;RIGHT($Q447,2)&amp;IF(Sync!$K447="","0000",IF(AND(ISNUMBER(Sync!$K447),Sync!$K447&gt;=0,Sync!$K447&lt;1),RIGHT("00"&amp;HOUR(Sync!$K447),2)&amp;RIGHT("00"&amp;MINUTE(Sync!$K447),2),IFERROR(RIGHT("00"&amp;VALUE(LEFT(Sync!$K447,FIND(":",Sync!$K447)-1)),2)&amp;RIGHT("00"&amp;VALUE(MID(Sync!$K447,FIND(":",Sync!$K447)+1,2)),2),"0000")))&amp;"|"&amp;"2"&amp;RIGHT("00000"&amp;442,5))</f>
        <v/>
      </c>
      <c r="Q447" t="str">
        <f>IF(Sync!$J447="","",IF(ISNUMBER(Sync!$J447),IF(AND(Sync!$J447&gt;=10000101,Sync!$J447&lt;=99991231),INT(Sync!$J447/10000)&amp;"/"&amp;RIGHT("00"&amp;INT(MOD(Sync!$J447,10000)/100),2)&amp;"/"&amp;RIGHT("00"&amp;MOD(Sync!$J447,100),2),"نامعتبر"),IF(LEN(Sync!$J447)=10,Sync!$J447,"نامعتبر")))</f>
        <v/>
      </c>
      <c r="R447" t="str">
        <f t="shared" si="46"/>
        <v/>
      </c>
      <c r="S447" t="str">
        <f t="shared" si="47"/>
        <v/>
      </c>
      <c r="T447" t="str">
        <f>IF($N447="","",IF(Sync!$N447="",0,Sync!$N447))</f>
        <v/>
      </c>
      <c r="U447" t="str">
        <f>IF($N447="","",IF(Sync!$O447="",0,Sync!$O447))</f>
        <v/>
      </c>
      <c r="V447" t="str">
        <f>IF($N447="","",Sync!$L447)</f>
        <v/>
      </c>
      <c r="W447" t="str">
        <f>IF($N447="","",Sync!$P447)</f>
        <v/>
      </c>
      <c r="AA447" t="str">
        <f>IF($A447="","",IF(COUNTIF($A$6:$A447,$A447)=1,1,0))</f>
        <v/>
      </c>
      <c r="AB447">
        <f>SUM($AA$6:$AA447)</f>
        <v>3</v>
      </c>
      <c r="AC447" t="str">
        <f t="shared" si="48"/>
        <v/>
      </c>
    </row>
    <row r="448" spans="1:29" x14ac:dyDescent="0.2">
      <c r="A448" t="str">
        <f>IF(OR(Entry!$B451="",Entry!$E451="",$E448="نامعتبر"),"",Entry!$E451)</f>
        <v/>
      </c>
      <c r="B448" t="str">
        <f>IF($A448="","",LEFT($E448,4)&amp;MID($E448,6,2)&amp;RIGHT($E448,2)&amp;$F448&amp;"|"&amp;"1"&amp;RIGHT("00000"&amp;443,5))</f>
        <v/>
      </c>
      <c r="C448" t="str">
        <f t="shared" si="42"/>
        <v/>
      </c>
      <c r="D448" t="str">
        <f t="shared" si="43"/>
        <v/>
      </c>
      <c r="E448" t="str">
        <f>IF(Entry!$B451="","",IF(ISNUMBER(Entry!$B451),IF(AND(Entry!$B451&gt;=10000101,Entry!$B451&lt;=99991231),INT(Entry!$B451/10000)&amp;"/"&amp;RIGHT("00"&amp;INT(MOD(Entry!$B451,10000)/100),2)&amp;"/"&amp;RIGHT("00"&amp;MOD(Entry!$B451,100),2),"نامعتبر"),IF(LEN(Entry!$B451)=10,Entry!$B451,"نامعتبر")))</f>
        <v/>
      </c>
      <c r="F448" t="str">
        <f>IF(Entry!$B451="","",IF(Entry!$C451="","0000",IF(AND(ISNUMBER(Entry!$C451),Entry!$C451&gt;=0,Entry!$C451&lt;1),RIGHT("00"&amp;HOUR(Entry!$C451),2)&amp;RIGHT("00"&amp;MINUTE(Entry!$C451),2),IFERROR(RIGHT("00"&amp;VALUE(LEFT(Entry!$C451,FIND(":",Entry!$C451)-1)),2)&amp;RIGHT("00"&amp;VALUE(MID(Entry!$C451,FIND(":",Entry!$C451)+1,2)),2),"0000"))))</f>
        <v/>
      </c>
      <c r="G448" t="str">
        <f>IF($A448="","",Entry!$G451)</f>
        <v/>
      </c>
      <c r="H448" t="str">
        <f>IF($A448="","",IF(Entry!$H451="",0,Entry!$H451))</f>
        <v/>
      </c>
      <c r="I448" t="str">
        <f>IF($A448="","",IF(Entry!$I451="",0,Entry!$I451))</f>
        <v/>
      </c>
      <c r="J448" t="str">
        <f t="shared" si="44"/>
        <v/>
      </c>
      <c r="K448" t="str">
        <f>IF($A448="","",Entry!$D451)</f>
        <v/>
      </c>
      <c r="L448" t="str">
        <f>IF($A448="","",Entry!$L451)</f>
        <v/>
      </c>
      <c r="N448" t="str">
        <f>IF(OR(Sync!$M448="",$Q448="",$Q448="نامعتبر"),"",Sync!$M448)</f>
        <v/>
      </c>
      <c r="O448" t="str">
        <f t="shared" si="45"/>
        <v/>
      </c>
      <c r="P448" t="str">
        <f>IF($N448="","",LEFT($Q448,4)&amp;MID($Q448,6,2)&amp;RIGHT($Q448,2)&amp;IF(Sync!$K448="","0000",IF(AND(ISNUMBER(Sync!$K448),Sync!$K448&gt;=0,Sync!$K448&lt;1),RIGHT("00"&amp;HOUR(Sync!$K448),2)&amp;RIGHT("00"&amp;MINUTE(Sync!$K448),2),IFERROR(RIGHT("00"&amp;VALUE(LEFT(Sync!$K448,FIND(":",Sync!$K448)-1)),2)&amp;RIGHT("00"&amp;VALUE(MID(Sync!$K448,FIND(":",Sync!$K448)+1,2)),2),"0000")))&amp;"|"&amp;"2"&amp;RIGHT("00000"&amp;443,5))</f>
        <v/>
      </c>
      <c r="Q448" t="str">
        <f>IF(Sync!$J448="","",IF(ISNUMBER(Sync!$J448),IF(AND(Sync!$J448&gt;=10000101,Sync!$J448&lt;=99991231),INT(Sync!$J448/10000)&amp;"/"&amp;RIGHT("00"&amp;INT(MOD(Sync!$J448,10000)/100),2)&amp;"/"&amp;RIGHT("00"&amp;MOD(Sync!$J448,100),2),"نامعتبر"),IF(LEN(Sync!$J448)=10,Sync!$J448,"نامعتبر")))</f>
        <v/>
      </c>
      <c r="R448" t="str">
        <f t="shared" si="46"/>
        <v/>
      </c>
      <c r="S448" t="str">
        <f t="shared" si="47"/>
        <v/>
      </c>
      <c r="T448" t="str">
        <f>IF($N448="","",IF(Sync!$N448="",0,Sync!$N448))</f>
        <v/>
      </c>
      <c r="U448" t="str">
        <f>IF($N448="","",IF(Sync!$O448="",0,Sync!$O448))</f>
        <v/>
      </c>
      <c r="V448" t="str">
        <f>IF($N448="","",Sync!$L448)</f>
        <v/>
      </c>
      <c r="W448" t="str">
        <f>IF($N448="","",Sync!$P448)</f>
        <v/>
      </c>
      <c r="AA448" t="str">
        <f>IF($A448="","",IF(COUNTIF($A$6:$A448,$A448)=1,1,0))</f>
        <v/>
      </c>
      <c r="AB448">
        <f>SUM($AA$6:$AA448)</f>
        <v>3</v>
      </c>
      <c r="AC448" t="str">
        <f t="shared" si="48"/>
        <v/>
      </c>
    </row>
    <row r="449" spans="1:29" x14ac:dyDescent="0.2">
      <c r="A449" t="str">
        <f>IF(OR(Entry!$B452="",Entry!$E452="",$E449="نامعتبر"),"",Entry!$E452)</f>
        <v/>
      </c>
      <c r="B449" t="str">
        <f>IF($A449="","",LEFT($E449,4)&amp;MID($E449,6,2)&amp;RIGHT($E449,2)&amp;$F449&amp;"|"&amp;"1"&amp;RIGHT("00000"&amp;444,5))</f>
        <v/>
      </c>
      <c r="C449" t="str">
        <f t="shared" si="42"/>
        <v/>
      </c>
      <c r="D449" t="str">
        <f t="shared" si="43"/>
        <v/>
      </c>
      <c r="E449" t="str">
        <f>IF(Entry!$B452="","",IF(ISNUMBER(Entry!$B452),IF(AND(Entry!$B452&gt;=10000101,Entry!$B452&lt;=99991231),INT(Entry!$B452/10000)&amp;"/"&amp;RIGHT("00"&amp;INT(MOD(Entry!$B452,10000)/100),2)&amp;"/"&amp;RIGHT("00"&amp;MOD(Entry!$B452,100),2),"نامعتبر"),IF(LEN(Entry!$B452)=10,Entry!$B452,"نامعتبر")))</f>
        <v/>
      </c>
      <c r="F449" t="str">
        <f>IF(Entry!$B452="","",IF(Entry!$C452="","0000",IF(AND(ISNUMBER(Entry!$C452),Entry!$C452&gt;=0,Entry!$C452&lt;1),RIGHT("00"&amp;HOUR(Entry!$C452),2)&amp;RIGHT("00"&amp;MINUTE(Entry!$C452),2),IFERROR(RIGHT("00"&amp;VALUE(LEFT(Entry!$C452,FIND(":",Entry!$C452)-1)),2)&amp;RIGHT("00"&amp;VALUE(MID(Entry!$C452,FIND(":",Entry!$C452)+1,2)),2),"0000"))))</f>
        <v/>
      </c>
      <c r="G449" t="str">
        <f>IF($A449="","",Entry!$G452)</f>
        <v/>
      </c>
      <c r="H449" t="str">
        <f>IF($A449="","",IF(Entry!$H452="",0,Entry!$H452))</f>
        <v/>
      </c>
      <c r="I449" t="str">
        <f>IF($A449="","",IF(Entry!$I452="",0,Entry!$I452))</f>
        <v/>
      </c>
      <c r="J449" t="str">
        <f t="shared" si="44"/>
        <v/>
      </c>
      <c r="K449" t="str">
        <f>IF($A449="","",Entry!$D452)</f>
        <v/>
      </c>
      <c r="L449" t="str">
        <f>IF($A449="","",Entry!$L452)</f>
        <v/>
      </c>
      <c r="N449" t="str">
        <f>IF(OR(Sync!$M449="",$Q449="",$Q449="نامعتبر"),"",Sync!$M449)</f>
        <v/>
      </c>
      <c r="O449" t="str">
        <f t="shared" si="45"/>
        <v/>
      </c>
      <c r="P449" t="str">
        <f>IF($N449="","",LEFT($Q449,4)&amp;MID($Q449,6,2)&amp;RIGHT($Q449,2)&amp;IF(Sync!$K449="","0000",IF(AND(ISNUMBER(Sync!$K449),Sync!$K449&gt;=0,Sync!$K449&lt;1),RIGHT("00"&amp;HOUR(Sync!$K449),2)&amp;RIGHT("00"&amp;MINUTE(Sync!$K449),2),IFERROR(RIGHT("00"&amp;VALUE(LEFT(Sync!$K449,FIND(":",Sync!$K449)-1)),2)&amp;RIGHT("00"&amp;VALUE(MID(Sync!$K449,FIND(":",Sync!$K449)+1,2)),2),"0000")))&amp;"|"&amp;"2"&amp;RIGHT("00000"&amp;444,5))</f>
        <v/>
      </c>
      <c r="Q449" t="str">
        <f>IF(Sync!$J449="","",IF(ISNUMBER(Sync!$J449),IF(AND(Sync!$J449&gt;=10000101,Sync!$J449&lt;=99991231),INT(Sync!$J449/10000)&amp;"/"&amp;RIGHT("00"&amp;INT(MOD(Sync!$J449,10000)/100),2)&amp;"/"&amp;RIGHT("00"&amp;MOD(Sync!$J449,100),2),"نامعتبر"),IF(LEN(Sync!$J449)=10,Sync!$J449,"نامعتبر")))</f>
        <v/>
      </c>
      <c r="R449" t="str">
        <f t="shared" si="46"/>
        <v/>
      </c>
      <c r="S449" t="str">
        <f t="shared" si="47"/>
        <v/>
      </c>
      <c r="T449" t="str">
        <f>IF($N449="","",IF(Sync!$N449="",0,Sync!$N449))</f>
        <v/>
      </c>
      <c r="U449" t="str">
        <f>IF($N449="","",IF(Sync!$O449="",0,Sync!$O449))</f>
        <v/>
      </c>
      <c r="V449" t="str">
        <f>IF($N449="","",Sync!$L449)</f>
        <v/>
      </c>
      <c r="W449" t="str">
        <f>IF($N449="","",Sync!$P449)</f>
        <v/>
      </c>
      <c r="AA449" t="str">
        <f>IF($A449="","",IF(COUNTIF($A$6:$A449,$A449)=1,1,0))</f>
        <v/>
      </c>
      <c r="AB449">
        <f>SUM($AA$6:$AA449)</f>
        <v>3</v>
      </c>
      <c r="AC449" t="str">
        <f t="shared" si="48"/>
        <v/>
      </c>
    </row>
    <row r="450" spans="1:29" x14ac:dyDescent="0.2">
      <c r="A450" t="str">
        <f>IF(OR(Entry!$B453="",Entry!$E453="",$E450="نامعتبر"),"",Entry!$E453)</f>
        <v/>
      </c>
      <c r="B450" t="str">
        <f>IF($A450="","",LEFT($E450,4)&amp;MID($E450,6,2)&amp;RIGHT($E450,2)&amp;$F450&amp;"|"&amp;"1"&amp;RIGHT("00000"&amp;445,5))</f>
        <v/>
      </c>
      <c r="C450" t="str">
        <f t="shared" si="42"/>
        <v/>
      </c>
      <c r="D450" t="str">
        <f t="shared" si="43"/>
        <v/>
      </c>
      <c r="E450" t="str">
        <f>IF(Entry!$B453="","",IF(ISNUMBER(Entry!$B453),IF(AND(Entry!$B453&gt;=10000101,Entry!$B453&lt;=99991231),INT(Entry!$B453/10000)&amp;"/"&amp;RIGHT("00"&amp;INT(MOD(Entry!$B453,10000)/100),2)&amp;"/"&amp;RIGHT("00"&amp;MOD(Entry!$B453,100),2),"نامعتبر"),IF(LEN(Entry!$B453)=10,Entry!$B453,"نامعتبر")))</f>
        <v/>
      </c>
      <c r="F450" t="str">
        <f>IF(Entry!$B453="","",IF(Entry!$C453="","0000",IF(AND(ISNUMBER(Entry!$C453),Entry!$C453&gt;=0,Entry!$C453&lt;1),RIGHT("00"&amp;HOUR(Entry!$C453),2)&amp;RIGHT("00"&amp;MINUTE(Entry!$C453),2),IFERROR(RIGHT("00"&amp;VALUE(LEFT(Entry!$C453,FIND(":",Entry!$C453)-1)),2)&amp;RIGHT("00"&amp;VALUE(MID(Entry!$C453,FIND(":",Entry!$C453)+1,2)),2),"0000"))))</f>
        <v/>
      </c>
      <c r="G450" t="str">
        <f>IF($A450="","",Entry!$G453)</f>
        <v/>
      </c>
      <c r="H450" t="str">
        <f>IF($A450="","",IF(Entry!$H453="",0,Entry!$H453))</f>
        <v/>
      </c>
      <c r="I450" t="str">
        <f>IF($A450="","",IF(Entry!$I453="",0,Entry!$I453))</f>
        <v/>
      </c>
      <c r="J450" t="str">
        <f t="shared" si="44"/>
        <v/>
      </c>
      <c r="K450" t="str">
        <f>IF($A450="","",Entry!$D453)</f>
        <v/>
      </c>
      <c r="L450" t="str">
        <f>IF($A450="","",Entry!$L453)</f>
        <v/>
      </c>
      <c r="N450" t="str">
        <f>IF(OR(Sync!$M450="",$Q450="",$Q450="نامعتبر"),"",Sync!$M450)</f>
        <v/>
      </c>
      <c r="O450" t="str">
        <f t="shared" si="45"/>
        <v/>
      </c>
      <c r="P450" t="str">
        <f>IF($N450="","",LEFT($Q450,4)&amp;MID($Q450,6,2)&amp;RIGHT($Q450,2)&amp;IF(Sync!$K450="","0000",IF(AND(ISNUMBER(Sync!$K450),Sync!$K450&gt;=0,Sync!$K450&lt;1),RIGHT("00"&amp;HOUR(Sync!$K450),2)&amp;RIGHT("00"&amp;MINUTE(Sync!$K450),2),IFERROR(RIGHT("00"&amp;VALUE(LEFT(Sync!$K450,FIND(":",Sync!$K450)-1)),2)&amp;RIGHT("00"&amp;VALUE(MID(Sync!$K450,FIND(":",Sync!$K450)+1,2)),2),"0000")))&amp;"|"&amp;"2"&amp;RIGHT("00000"&amp;445,5))</f>
        <v/>
      </c>
      <c r="Q450" t="str">
        <f>IF(Sync!$J450="","",IF(ISNUMBER(Sync!$J450),IF(AND(Sync!$J450&gt;=10000101,Sync!$J450&lt;=99991231),INT(Sync!$J450/10000)&amp;"/"&amp;RIGHT("00"&amp;INT(MOD(Sync!$J450,10000)/100),2)&amp;"/"&amp;RIGHT("00"&amp;MOD(Sync!$J450,100),2),"نامعتبر"),IF(LEN(Sync!$J450)=10,Sync!$J450,"نامعتبر")))</f>
        <v/>
      </c>
      <c r="R450" t="str">
        <f t="shared" si="46"/>
        <v/>
      </c>
      <c r="S450" t="str">
        <f t="shared" si="47"/>
        <v/>
      </c>
      <c r="T450" t="str">
        <f>IF($N450="","",IF(Sync!$N450="",0,Sync!$N450))</f>
        <v/>
      </c>
      <c r="U450" t="str">
        <f>IF($N450="","",IF(Sync!$O450="",0,Sync!$O450))</f>
        <v/>
      </c>
      <c r="V450" t="str">
        <f>IF($N450="","",Sync!$L450)</f>
        <v/>
      </c>
      <c r="W450" t="str">
        <f>IF($N450="","",Sync!$P450)</f>
        <v/>
      </c>
      <c r="AA450" t="str">
        <f>IF($A450="","",IF(COUNTIF($A$6:$A450,$A450)=1,1,0))</f>
        <v/>
      </c>
      <c r="AB450">
        <f>SUM($AA$6:$AA450)</f>
        <v>3</v>
      </c>
      <c r="AC450" t="str">
        <f t="shared" si="48"/>
        <v/>
      </c>
    </row>
    <row r="451" spans="1:29" x14ac:dyDescent="0.2">
      <c r="A451" t="str">
        <f>IF(OR(Entry!$B454="",Entry!$E454="",$E451="نامعتبر"),"",Entry!$E454)</f>
        <v/>
      </c>
      <c r="B451" t="str">
        <f>IF($A451="","",LEFT($E451,4)&amp;MID($E451,6,2)&amp;RIGHT($E451,2)&amp;$F451&amp;"|"&amp;"1"&amp;RIGHT("00000"&amp;446,5))</f>
        <v/>
      </c>
      <c r="C451" t="str">
        <f t="shared" si="42"/>
        <v/>
      </c>
      <c r="D451" t="str">
        <f t="shared" si="43"/>
        <v/>
      </c>
      <c r="E451" t="str">
        <f>IF(Entry!$B454="","",IF(ISNUMBER(Entry!$B454),IF(AND(Entry!$B454&gt;=10000101,Entry!$B454&lt;=99991231),INT(Entry!$B454/10000)&amp;"/"&amp;RIGHT("00"&amp;INT(MOD(Entry!$B454,10000)/100),2)&amp;"/"&amp;RIGHT("00"&amp;MOD(Entry!$B454,100),2),"نامعتبر"),IF(LEN(Entry!$B454)=10,Entry!$B454,"نامعتبر")))</f>
        <v/>
      </c>
      <c r="F451" t="str">
        <f>IF(Entry!$B454="","",IF(Entry!$C454="","0000",IF(AND(ISNUMBER(Entry!$C454),Entry!$C454&gt;=0,Entry!$C454&lt;1),RIGHT("00"&amp;HOUR(Entry!$C454),2)&amp;RIGHT("00"&amp;MINUTE(Entry!$C454),2),IFERROR(RIGHT("00"&amp;VALUE(LEFT(Entry!$C454,FIND(":",Entry!$C454)-1)),2)&amp;RIGHT("00"&amp;VALUE(MID(Entry!$C454,FIND(":",Entry!$C454)+1,2)),2),"0000"))))</f>
        <v/>
      </c>
      <c r="G451" t="str">
        <f>IF($A451="","",Entry!$G454)</f>
        <v/>
      </c>
      <c r="H451" t="str">
        <f>IF($A451="","",IF(Entry!$H454="",0,Entry!$H454))</f>
        <v/>
      </c>
      <c r="I451" t="str">
        <f>IF($A451="","",IF(Entry!$I454="",0,Entry!$I454))</f>
        <v/>
      </c>
      <c r="J451" t="str">
        <f t="shared" si="44"/>
        <v/>
      </c>
      <c r="K451" t="str">
        <f>IF($A451="","",Entry!$D454)</f>
        <v/>
      </c>
      <c r="L451" t="str">
        <f>IF($A451="","",Entry!$L454)</f>
        <v/>
      </c>
      <c r="N451" t="str">
        <f>IF(OR(Sync!$M451="",$Q451="",$Q451="نامعتبر"),"",Sync!$M451)</f>
        <v/>
      </c>
      <c r="O451" t="str">
        <f t="shared" si="45"/>
        <v/>
      </c>
      <c r="P451" t="str">
        <f>IF($N451="","",LEFT($Q451,4)&amp;MID($Q451,6,2)&amp;RIGHT($Q451,2)&amp;IF(Sync!$K451="","0000",IF(AND(ISNUMBER(Sync!$K451),Sync!$K451&gt;=0,Sync!$K451&lt;1),RIGHT("00"&amp;HOUR(Sync!$K451),2)&amp;RIGHT("00"&amp;MINUTE(Sync!$K451),2),IFERROR(RIGHT("00"&amp;VALUE(LEFT(Sync!$K451,FIND(":",Sync!$K451)-1)),2)&amp;RIGHT("00"&amp;VALUE(MID(Sync!$K451,FIND(":",Sync!$K451)+1,2)),2),"0000")))&amp;"|"&amp;"2"&amp;RIGHT("00000"&amp;446,5))</f>
        <v/>
      </c>
      <c r="Q451" t="str">
        <f>IF(Sync!$J451="","",IF(ISNUMBER(Sync!$J451),IF(AND(Sync!$J451&gt;=10000101,Sync!$J451&lt;=99991231),INT(Sync!$J451/10000)&amp;"/"&amp;RIGHT("00"&amp;INT(MOD(Sync!$J451,10000)/100),2)&amp;"/"&amp;RIGHT("00"&amp;MOD(Sync!$J451,100),2),"نامعتبر"),IF(LEN(Sync!$J451)=10,Sync!$J451,"نامعتبر")))</f>
        <v/>
      </c>
      <c r="R451" t="str">
        <f t="shared" si="46"/>
        <v/>
      </c>
      <c r="S451" t="str">
        <f t="shared" si="47"/>
        <v/>
      </c>
      <c r="T451" t="str">
        <f>IF($N451="","",IF(Sync!$N451="",0,Sync!$N451))</f>
        <v/>
      </c>
      <c r="U451" t="str">
        <f>IF($N451="","",IF(Sync!$O451="",0,Sync!$O451))</f>
        <v/>
      </c>
      <c r="V451" t="str">
        <f>IF($N451="","",Sync!$L451)</f>
        <v/>
      </c>
      <c r="W451" t="str">
        <f>IF($N451="","",Sync!$P451)</f>
        <v/>
      </c>
      <c r="AA451" t="str">
        <f>IF($A451="","",IF(COUNTIF($A$6:$A451,$A451)=1,1,0))</f>
        <v/>
      </c>
      <c r="AB451">
        <f>SUM($AA$6:$AA451)</f>
        <v>3</v>
      </c>
      <c r="AC451" t="str">
        <f t="shared" si="48"/>
        <v/>
      </c>
    </row>
    <row r="452" spans="1:29" x14ac:dyDescent="0.2">
      <c r="A452" t="str">
        <f>IF(OR(Entry!$B455="",Entry!$E455="",$E452="نامعتبر"),"",Entry!$E455)</f>
        <v/>
      </c>
      <c r="B452" t="str">
        <f>IF($A452="","",LEFT($E452,4)&amp;MID($E452,6,2)&amp;RIGHT($E452,2)&amp;$F452&amp;"|"&amp;"1"&amp;RIGHT("00000"&amp;447,5))</f>
        <v/>
      </c>
      <c r="C452" t="str">
        <f t="shared" si="42"/>
        <v/>
      </c>
      <c r="D452" t="str">
        <f t="shared" si="43"/>
        <v/>
      </c>
      <c r="E452" t="str">
        <f>IF(Entry!$B455="","",IF(ISNUMBER(Entry!$B455),IF(AND(Entry!$B455&gt;=10000101,Entry!$B455&lt;=99991231),INT(Entry!$B455/10000)&amp;"/"&amp;RIGHT("00"&amp;INT(MOD(Entry!$B455,10000)/100),2)&amp;"/"&amp;RIGHT("00"&amp;MOD(Entry!$B455,100),2),"نامعتبر"),IF(LEN(Entry!$B455)=10,Entry!$B455,"نامعتبر")))</f>
        <v/>
      </c>
      <c r="F452" t="str">
        <f>IF(Entry!$B455="","",IF(Entry!$C455="","0000",IF(AND(ISNUMBER(Entry!$C455),Entry!$C455&gt;=0,Entry!$C455&lt;1),RIGHT("00"&amp;HOUR(Entry!$C455),2)&amp;RIGHT("00"&amp;MINUTE(Entry!$C455),2),IFERROR(RIGHT("00"&amp;VALUE(LEFT(Entry!$C455,FIND(":",Entry!$C455)-1)),2)&amp;RIGHT("00"&amp;VALUE(MID(Entry!$C455,FIND(":",Entry!$C455)+1,2)),2),"0000"))))</f>
        <v/>
      </c>
      <c r="G452" t="str">
        <f>IF($A452="","",Entry!$G455)</f>
        <v/>
      </c>
      <c r="H452" t="str">
        <f>IF($A452="","",IF(Entry!$H455="",0,Entry!$H455))</f>
        <v/>
      </c>
      <c r="I452" t="str">
        <f>IF($A452="","",IF(Entry!$I455="",0,Entry!$I455))</f>
        <v/>
      </c>
      <c r="J452" t="str">
        <f t="shared" si="44"/>
        <v/>
      </c>
      <c r="K452" t="str">
        <f>IF($A452="","",Entry!$D455)</f>
        <v/>
      </c>
      <c r="L452" t="str">
        <f>IF($A452="","",Entry!$L455)</f>
        <v/>
      </c>
      <c r="N452" t="str">
        <f>IF(OR(Sync!$M452="",$Q452="",$Q452="نامعتبر"),"",Sync!$M452)</f>
        <v/>
      </c>
      <c r="O452" t="str">
        <f t="shared" si="45"/>
        <v/>
      </c>
      <c r="P452" t="str">
        <f>IF($N452="","",LEFT($Q452,4)&amp;MID($Q452,6,2)&amp;RIGHT($Q452,2)&amp;IF(Sync!$K452="","0000",IF(AND(ISNUMBER(Sync!$K452),Sync!$K452&gt;=0,Sync!$K452&lt;1),RIGHT("00"&amp;HOUR(Sync!$K452),2)&amp;RIGHT("00"&amp;MINUTE(Sync!$K452),2),IFERROR(RIGHT("00"&amp;VALUE(LEFT(Sync!$K452,FIND(":",Sync!$K452)-1)),2)&amp;RIGHT("00"&amp;VALUE(MID(Sync!$K452,FIND(":",Sync!$K452)+1,2)),2),"0000")))&amp;"|"&amp;"2"&amp;RIGHT("00000"&amp;447,5))</f>
        <v/>
      </c>
      <c r="Q452" t="str">
        <f>IF(Sync!$J452="","",IF(ISNUMBER(Sync!$J452),IF(AND(Sync!$J452&gt;=10000101,Sync!$J452&lt;=99991231),INT(Sync!$J452/10000)&amp;"/"&amp;RIGHT("00"&amp;INT(MOD(Sync!$J452,10000)/100),2)&amp;"/"&amp;RIGHT("00"&amp;MOD(Sync!$J452,100),2),"نامعتبر"),IF(LEN(Sync!$J452)=10,Sync!$J452,"نامعتبر")))</f>
        <v/>
      </c>
      <c r="R452" t="str">
        <f t="shared" si="46"/>
        <v/>
      </c>
      <c r="S452" t="str">
        <f t="shared" si="47"/>
        <v/>
      </c>
      <c r="T452" t="str">
        <f>IF($N452="","",IF(Sync!$N452="",0,Sync!$N452))</f>
        <v/>
      </c>
      <c r="U452" t="str">
        <f>IF($N452="","",IF(Sync!$O452="",0,Sync!$O452))</f>
        <v/>
      </c>
      <c r="V452" t="str">
        <f>IF($N452="","",Sync!$L452)</f>
        <v/>
      </c>
      <c r="W452" t="str">
        <f>IF($N452="","",Sync!$P452)</f>
        <v/>
      </c>
      <c r="AA452" t="str">
        <f>IF($A452="","",IF(COUNTIF($A$6:$A452,$A452)=1,1,0))</f>
        <v/>
      </c>
      <c r="AB452">
        <f>SUM($AA$6:$AA452)</f>
        <v>3</v>
      </c>
      <c r="AC452" t="str">
        <f t="shared" si="48"/>
        <v/>
      </c>
    </row>
    <row r="453" spans="1:29" x14ac:dyDescent="0.2">
      <c r="A453" t="str">
        <f>IF(OR(Entry!$B456="",Entry!$E456="",$E453="نامعتبر"),"",Entry!$E456)</f>
        <v/>
      </c>
      <c r="B453" t="str">
        <f>IF($A453="","",LEFT($E453,4)&amp;MID($E453,6,2)&amp;RIGHT($E453,2)&amp;$F453&amp;"|"&amp;"1"&amp;RIGHT("00000"&amp;448,5))</f>
        <v/>
      </c>
      <c r="C453" t="str">
        <f t="shared" si="42"/>
        <v/>
      </c>
      <c r="D453" t="str">
        <f t="shared" si="43"/>
        <v/>
      </c>
      <c r="E453" t="str">
        <f>IF(Entry!$B456="","",IF(ISNUMBER(Entry!$B456),IF(AND(Entry!$B456&gt;=10000101,Entry!$B456&lt;=99991231),INT(Entry!$B456/10000)&amp;"/"&amp;RIGHT("00"&amp;INT(MOD(Entry!$B456,10000)/100),2)&amp;"/"&amp;RIGHT("00"&amp;MOD(Entry!$B456,100),2),"نامعتبر"),IF(LEN(Entry!$B456)=10,Entry!$B456,"نامعتبر")))</f>
        <v/>
      </c>
      <c r="F453" t="str">
        <f>IF(Entry!$B456="","",IF(Entry!$C456="","0000",IF(AND(ISNUMBER(Entry!$C456),Entry!$C456&gt;=0,Entry!$C456&lt;1),RIGHT("00"&amp;HOUR(Entry!$C456),2)&amp;RIGHT("00"&amp;MINUTE(Entry!$C456),2),IFERROR(RIGHT("00"&amp;VALUE(LEFT(Entry!$C456,FIND(":",Entry!$C456)-1)),2)&amp;RIGHT("00"&amp;VALUE(MID(Entry!$C456,FIND(":",Entry!$C456)+1,2)),2),"0000"))))</f>
        <v/>
      </c>
      <c r="G453" t="str">
        <f>IF($A453="","",Entry!$G456)</f>
        <v/>
      </c>
      <c r="H453" t="str">
        <f>IF($A453="","",IF(Entry!$H456="",0,Entry!$H456))</f>
        <v/>
      </c>
      <c r="I453" t="str">
        <f>IF($A453="","",IF(Entry!$I456="",0,Entry!$I456))</f>
        <v/>
      </c>
      <c r="J453" t="str">
        <f t="shared" si="44"/>
        <v/>
      </c>
      <c r="K453" t="str">
        <f>IF($A453="","",Entry!$D456)</f>
        <v/>
      </c>
      <c r="L453" t="str">
        <f>IF($A453="","",Entry!$L456)</f>
        <v/>
      </c>
      <c r="N453" t="str">
        <f>IF(OR(Sync!$M453="",$Q453="",$Q453="نامعتبر"),"",Sync!$M453)</f>
        <v/>
      </c>
      <c r="O453" t="str">
        <f t="shared" si="45"/>
        <v/>
      </c>
      <c r="P453" t="str">
        <f>IF($N453="","",LEFT($Q453,4)&amp;MID($Q453,6,2)&amp;RIGHT($Q453,2)&amp;IF(Sync!$K453="","0000",IF(AND(ISNUMBER(Sync!$K453),Sync!$K453&gt;=0,Sync!$K453&lt;1),RIGHT("00"&amp;HOUR(Sync!$K453),2)&amp;RIGHT("00"&amp;MINUTE(Sync!$K453),2),IFERROR(RIGHT("00"&amp;VALUE(LEFT(Sync!$K453,FIND(":",Sync!$K453)-1)),2)&amp;RIGHT("00"&amp;VALUE(MID(Sync!$K453,FIND(":",Sync!$K453)+1,2)),2),"0000")))&amp;"|"&amp;"2"&amp;RIGHT("00000"&amp;448,5))</f>
        <v/>
      </c>
      <c r="Q453" t="str">
        <f>IF(Sync!$J453="","",IF(ISNUMBER(Sync!$J453),IF(AND(Sync!$J453&gt;=10000101,Sync!$J453&lt;=99991231),INT(Sync!$J453/10000)&amp;"/"&amp;RIGHT("00"&amp;INT(MOD(Sync!$J453,10000)/100),2)&amp;"/"&amp;RIGHT("00"&amp;MOD(Sync!$J453,100),2),"نامعتبر"),IF(LEN(Sync!$J453)=10,Sync!$J453,"نامعتبر")))</f>
        <v/>
      </c>
      <c r="R453" t="str">
        <f t="shared" si="46"/>
        <v/>
      </c>
      <c r="S453" t="str">
        <f t="shared" si="47"/>
        <v/>
      </c>
      <c r="T453" t="str">
        <f>IF($N453="","",IF(Sync!$N453="",0,Sync!$N453))</f>
        <v/>
      </c>
      <c r="U453" t="str">
        <f>IF($N453="","",IF(Sync!$O453="",0,Sync!$O453))</f>
        <v/>
      </c>
      <c r="V453" t="str">
        <f>IF($N453="","",Sync!$L453)</f>
        <v/>
      </c>
      <c r="W453" t="str">
        <f>IF($N453="","",Sync!$P453)</f>
        <v/>
      </c>
      <c r="AA453" t="str">
        <f>IF($A453="","",IF(COUNTIF($A$6:$A453,$A453)=1,1,0))</f>
        <v/>
      </c>
      <c r="AB453">
        <f>SUM($AA$6:$AA453)</f>
        <v>3</v>
      </c>
      <c r="AC453" t="str">
        <f t="shared" si="48"/>
        <v/>
      </c>
    </row>
    <row r="454" spans="1:29" x14ac:dyDescent="0.2">
      <c r="A454" t="str">
        <f>IF(OR(Entry!$B457="",Entry!$E457="",$E454="نامعتبر"),"",Entry!$E457)</f>
        <v/>
      </c>
      <c r="B454" t="str">
        <f>IF($A454="","",LEFT($E454,4)&amp;MID($E454,6,2)&amp;RIGHT($E454,2)&amp;$F454&amp;"|"&amp;"1"&amp;RIGHT("00000"&amp;449,5))</f>
        <v/>
      </c>
      <c r="C454" t="str">
        <f t="shared" ref="C454:C517" si="49">IF($B454="","",COUNTIFS($A$6:$A$1005,$A454,$B$6:$B$1005,"&lt;"&amp;$B454)+COUNTIFS($N$6:$N$2005,$A454,$P$6:$P$2005,"&lt;"&amp;$B454)+1)</f>
        <v/>
      </c>
      <c r="D454" t="str">
        <f t="shared" ref="D454:D517" si="50">IF($C454="","",$A454&amp;"|"&amp;RIGHT("000000"&amp;$C454,6))</f>
        <v/>
      </c>
      <c r="E454" t="str">
        <f>IF(Entry!$B457="","",IF(ISNUMBER(Entry!$B457),IF(AND(Entry!$B457&gt;=10000101,Entry!$B457&lt;=99991231),INT(Entry!$B457/10000)&amp;"/"&amp;RIGHT("00"&amp;INT(MOD(Entry!$B457,10000)/100),2)&amp;"/"&amp;RIGHT("00"&amp;MOD(Entry!$B457,100),2),"نامعتبر"),IF(LEN(Entry!$B457)=10,Entry!$B457,"نامعتبر")))</f>
        <v/>
      </c>
      <c r="F454" t="str">
        <f>IF(Entry!$B457="","",IF(Entry!$C457="","0000",IF(AND(ISNUMBER(Entry!$C457),Entry!$C457&gt;=0,Entry!$C457&lt;1),RIGHT("00"&amp;HOUR(Entry!$C457),2)&amp;RIGHT("00"&amp;MINUTE(Entry!$C457),2),IFERROR(RIGHT("00"&amp;VALUE(LEFT(Entry!$C457,FIND(":",Entry!$C457)-1)),2)&amp;RIGHT("00"&amp;VALUE(MID(Entry!$C457,FIND(":",Entry!$C457)+1,2)),2),"0000"))))</f>
        <v/>
      </c>
      <c r="G454" t="str">
        <f>IF($A454="","",Entry!$G457)</f>
        <v/>
      </c>
      <c r="H454" t="str">
        <f>IF($A454="","",IF(Entry!$H457="",0,Entry!$H457))</f>
        <v/>
      </c>
      <c r="I454" t="str">
        <f>IF($A454="","",IF(Entry!$I457="",0,Entry!$I457))</f>
        <v/>
      </c>
      <c r="J454" t="str">
        <f t="shared" ref="J454:J517" si="51">IF($A454="","",ROUND($H454*$I454,0))</f>
        <v/>
      </c>
      <c r="K454" t="str">
        <f>IF($A454="","",Entry!$D457)</f>
        <v/>
      </c>
      <c r="L454" t="str">
        <f>IF($A454="","",Entry!$L457)</f>
        <v/>
      </c>
      <c r="N454" t="str">
        <f>IF(OR(Sync!$M454="",$Q454="",$Q454="نامعتبر"),"",Sync!$M454)</f>
        <v/>
      </c>
      <c r="O454" t="str">
        <f t="shared" ref="O454:O517" si="52">IF($N454="","",$Q454)</f>
        <v/>
      </c>
      <c r="P454" t="str">
        <f>IF($N454="","",LEFT($Q454,4)&amp;MID($Q454,6,2)&amp;RIGHT($Q454,2)&amp;IF(Sync!$K454="","0000",IF(AND(ISNUMBER(Sync!$K454),Sync!$K454&gt;=0,Sync!$K454&lt;1),RIGHT("00"&amp;HOUR(Sync!$K454),2)&amp;RIGHT("00"&amp;MINUTE(Sync!$K454),2),IFERROR(RIGHT("00"&amp;VALUE(LEFT(Sync!$K454,FIND(":",Sync!$K454)-1)),2)&amp;RIGHT("00"&amp;VALUE(MID(Sync!$K454,FIND(":",Sync!$K454)+1,2)),2),"0000")))&amp;"|"&amp;"2"&amp;RIGHT("00000"&amp;449,5))</f>
        <v/>
      </c>
      <c r="Q454" t="str">
        <f>IF(Sync!$J454="","",IF(ISNUMBER(Sync!$J454),IF(AND(Sync!$J454&gt;=10000101,Sync!$J454&lt;=99991231),INT(Sync!$J454/10000)&amp;"/"&amp;RIGHT("00"&amp;INT(MOD(Sync!$J454,10000)/100),2)&amp;"/"&amp;RIGHT("00"&amp;MOD(Sync!$J454,100),2),"نامعتبر"),IF(LEN(Sync!$J454)=10,Sync!$J454,"نامعتبر")))</f>
        <v/>
      </c>
      <c r="R454" t="str">
        <f t="shared" ref="R454:R517" si="53">IF($P454="","",COUNTIFS($N$6:$N$2005,$N454,$P$6:$P$2005,"&lt;"&amp;$P454)+COUNTIFS($A$6:$A$1005,$N454,$B$6:$B$1005,"&lt;"&amp;$P454)+1)</f>
        <v/>
      </c>
      <c r="S454" t="str">
        <f t="shared" ref="S454:S517" si="54">IF($N454="","",$N454&amp;"|"&amp;RIGHT("000000"&amp;$R454,6))</f>
        <v/>
      </c>
      <c r="T454" t="str">
        <f>IF($N454="","",IF(Sync!$N454="",0,Sync!$N454))</f>
        <v/>
      </c>
      <c r="U454" t="str">
        <f>IF($N454="","",IF(Sync!$O454="",0,Sync!$O454))</f>
        <v/>
      </c>
      <c r="V454" t="str">
        <f>IF($N454="","",Sync!$L454)</f>
        <v/>
      </c>
      <c r="W454" t="str">
        <f>IF($N454="","",Sync!$P454)</f>
        <v/>
      </c>
      <c r="AA454" t="str">
        <f>IF($A454="","",IF(COUNTIF($A$6:$A454,$A454)=1,1,0))</f>
        <v/>
      </c>
      <c r="AB454">
        <f>SUM($AA$6:$AA454)</f>
        <v>3</v>
      </c>
      <c r="AC454" t="str">
        <f t="shared" ref="AC454:AC517" si="55">IFERROR(INDEX($A$6:$A$1005,MATCH(ROW()-5,$AB$6:$AB$1005,0)),"")</f>
        <v/>
      </c>
    </row>
    <row r="455" spans="1:29" x14ac:dyDescent="0.2">
      <c r="A455" t="str">
        <f>IF(OR(Entry!$B458="",Entry!$E458="",$E455="نامعتبر"),"",Entry!$E458)</f>
        <v/>
      </c>
      <c r="B455" t="str">
        <f>IF($A455="","",LEFT($E455,4)&amp;MID($E455,6,2)&amp;RIGHT($E455,2)&amp;$F455&amp;"|"&amp;"1"&amp;RIGHT("00000"&amp;450,5))</f>
        <v/>
      </c>
      <c r="C455" t="str">
        <f t="shared" si="49"/>
        <v/>
      </c>
      <c r="D455" t="str">
        <f t="shared" si="50"/>
        <v/>
      </c>
      <c r="E455" t="str">
        <f>IF(Entry!$B458="","",IF(ISNUMBER(Entry!$B458),IF(AND(Entry!$B458&gt;=10000101,Entry!$B458&lt;=99991231),INT(Entry!$B458/10000)&amp;"/"&amp;RIGHT("00"&amp;INT(MOD(Entry!$B458,10000)/100),2)&amp;"/"&amp;RIGHT("00"&amp;MOD(Entry!$B458,100),2),"نامعتبر"),IF(LEN(Entry!$B458)=10,Entry!$B458,"نامعتبر")))</f>
        <v/>
      </c>
      <c r="F455" t="str">
        <f>IF(Entry!$B458="","",IF(Entry!$C458="","0000",IF(AND(ISNUMBER(Entry!$C458),Entry!$C458&gt;=0,Entry!$C458&lt;1),RIGHT("00"&amp;HOUR(Entry!$C458),2)&amp;RIGHT("00"&amp;MINUTE(Entry!$C458),2),IFERROR(RIGHT("00"&amp;VALUE(LEFT(Entry!$C458,FIND(":",Entry!$C458)-1)),2)&amp;RIGHT("00"&amp;VALUE(MID(Entry!$C458,FIND(":",Entry!$C458)+1,2)),2),"0000"))))</f>
        <v/>
      </c>
      <c r="G455" t="str">
        <f>IF($A455="","",Entry!$G458)</f>
        <v/>
      </c>
      <c r="H455" t="str">
        <f>IF($A455="","",IF(Entry!$H458="",0,Entry!$H458))</f>
        <v/>
      </c>
      <c r="I455" t="str">
        <f>IF($A455="","",IF(Entry!$I458="",0,Entry!$I458))</f>
        <v/>
      </c>
      <c r="J455" t="str">
        <f t="shared" si="51"/>
        <v/>
      </c>
      <c r="K455" t="str">
        <f>IF($A455="","",Entry!$D458)</f>
        <v/>
      </c>
      <c r="L455" t="str">
        <f>IF($A455="","",Entry!$L458)</f>
        <v/>
      </c>
      <c r="N455" t="str">
        <f>IF(OR(Sync!$M455="",$Q455="",$Q455="نامعتبر"),"",Sync!$M455)</f>
        <v/>
      </c>
      <c r="O455" t="str">
        <f t="shared" si="52"/>
        <v/>
      </c>
      <c r="P455" t="str">
        <f>IF($N455="","",LEFT($Q455,4)&amp;MID($Q455,6,2)&amp;RIGHT($Q455,2)&amp;IF(Sync!$K455="","0000",IF(AND(ISNUMBER(Sync!$K455),Sync!$K455&gt;=0,Sync!$K455&lt;1),RIGHT("00"&amp;HOUR(Sync!$K455),2)&amp;RIGHT("00"&amp;MINUTE(Sync!$K455),2),IFERROR(RIGHT("00"&amp;VALUE(LEFT(Sync!$K455,FIND(":",Sync!$K455)-1)),2)&amp;RIGHT("00"&amp;VALUE(MID(Sync!$K455,FIND(":",Sync!$K455)+1,2)),2),"0000")))&amp;"|"&amp;"2"&amp;RIGHT("00000"&amp;450,5))</f>
        <v/>
      </c>
      <c r="Q455" t="str">
        <f>IF(Sync!$J455="","",IF(ISNUMBER(Sync!$J455),IF(AND(Sync!$J455&gt;=10000101,Sync!$J455&lt;=99991231),INT(Sync!$J455/10000)&amp;"/"&amp;RIGHT("00"&amp;INT(MOD(Sync!$J455,10000)/100),2)&amp;"/"&amp;RIGHT("00"&amp;MOD(Sync!$J455,100),2),"نامعتبر"),IF(LEN(Sync!$J455)=10,Sync!$J455,"نامعتبر")))</f>
        <v/>
      </c>
      <c r="R455" t="str">
        <f t="shared" si="53"/>
        <v/>
      </c>
      <c r="S455" t="str">
        <f t="shared" si="54"/>
        <v/>
      </c>
      <c r="T455" t="str">
        <f>IF($N455="","",IF(Sync!$N455="",0,Sync!$N455))</f>
        <v/>
      </c>
      <c r="U455" t="str">
        <f>IF($N455="","",IF(Sync!$O455="",0,Sync!$O455))</f>
        <v/>
      </c>
      <c r="V455" t="str">
        <f>IF($N455="","",Sync!$L455)</f>
        <v/>
      </c>
      <c r="W455" t="str">
        <f>IF($N455="","",Sync!$P455)</f>
        <v/>
      </c>
      <c r="AA455" t="str">
        <f>IF($A455="","",IF(COUNTIF($A$6:$A455,$A455)=1,1,0))</f>
        <v/>
      </c>
      <c r="AB455">
        <f>SUM($AA$6:$AA455)</f>
        <v>3</v>
      </c>
      <c r="AC455" t="str">
        <f t="shared" si="55"/>
        <v/>
      </c>
    </row>
    <row r="456" spans="1:29" x14ac:dyDescent="0.2">
      <c r="A456" t="str">
        <f>IF(OR(Entry!$B459="",Entry!$E459="",$E456="نامعتبر"),"",Entry!$E459)</f>
        <v/>
      </c>
      <c r="B456" t="str">
        <f>IF($A456="","",LEFT($E456,4)&amp;MID($E456,6,2)&amp;RIGHT($E456,2)&amp;$F456&amp;"|"&amp;"1"&amp;RIGHT("00000"&amp;451,5))</f>
        <v/>
      </c>
      <c r="C456" t="str">
        <f t="shared" si="49"/>
        <v/>
      </c>
      <c r="D456" t="str">
        <f t="shared" si="50"/>
        <v/>
      </c>
      <c r="E456" t="str">
        <f>IF(Entry!$B459="","",IF(ISNUMBER(Entry!$B459),IF(AND(Entry!$B459&gt;=10000101,Entry!$B459&lt;=99991231),INT(Entry!$B459/10000)&amp;"/"&amp;RIGHT("00"&amp;INT(MOD(Entry!$B459,10000)/100),2)&amp;"/"&amp;RIGHT("00"&amp;MOD(Entry!$B459,100),2),"نامعتبر"),IF(LEN(Entry!$B459)=10,Entry!$B459,"نامعتبر")))</f>
        <v/>
      </c>
      <c r="F456" t="str">
        <f>IF(Entry!$B459="","",IF(Entry!$C459="","0000",IF(AND(ISNUMBER(Entry!$C459),Entry!$C459&gt;=0,Entry!$C459&lt;1),RIGHT("00"&amp;HOUR(Entry!$C459),2)&amp;RIGHT("00"&amp;MINUTE(Entry!$C459),2),IFERROR(RIGHT("00"&amp;VALUE(LEFT(Entry!$C459,FIND(":",Entry!$C459)-1)),2)&amp;RIGHT("00"&amp;VALUE(MID(Entry!$C459,FIND(":",Entry!$C459)+1,2)),2),"0000"))))</f>
        <v/>
      </c>
      <c r="G456" t="str">
        <f>IF($A456="","",Entry!$G459)</f>
        <v/>
      </c>
      <c r="H456" t="str">
        <f>IF($A456="","",IF(Entry!$H459="",0,Entry!$H459))</f>
        <v/>
      </c>
      <c r="I456" t="str">
        <f>IF($A456="","",IF(Entry!$I459="",0,Entry!$I459))</f>
        <v/>
      </c>
      <c r="J456" t="str">
        <f t="shared" si="51"/>
        <v/>
      </c>
      <c r="K456" t="str">
        <f>IF($A456="","",Entry!$D459)</f>
        <v/>
      </c>
      <c r="L456" t="str">
        <f>IF($A456="","",Entry!$L459)</f>
        <v/>
      </c>
      <c r="N456" t="str">
        <f>IF(OR(Sync!$M456="",$Q456="",$Q456="نامعتبر"),"",Sync!$M456)</f>
        <v/>
      </c>
      <c r="O456" t="str">
        <f t="shared" si="52"/>
        <v/>
      </c>
      <c r="P456" t="str">
        <f>IF($N456="","",LEFT($Q456,4)&amp;MID($Q456,6,2)&amp;RIGHT($Q456,2)&amp;IF(Sync!$K456="","0000",IF(AND(ISNUMBER(Sync!$K456),Sync!$K456&gt;=0,Sync!$K456&lt;1),RIGHT("00"&amp;HOUR(Sync!$K456),2)&amp;RIGHT("00"&amp;MINUTE(Sync!$K456),2),IFERROR(RIGHT("00"&amp;VALUE(LEFT(Sync!$K456,FIND(":",Sync!$K456)-1)),2)&amp;RIGHT("00"&amp;VALUE(MID(Sync!$K456,FIND(":",Sync!$K456)+1,2)),2),"0000")))&amp;"|"&amp;"2"&amp;RIGHT("00000"&amp;451,5))</f>
        <v/>
      </c>
      <c r="Q456" t="str">
        <f>IF(Sync!$J456="","",IF(ISNUMBER(Sync!$J456),IF(AND(Sync!$J456&gt;=10000101,Sync!$J456&lt;=99991231),INT(Sync!$J456/10000)&amp;"/"&amp;RIGHT("00"&amp;INT(MOD(Sync!$J456,10000)/100),2)&amp;"/"&amp;RIGHT("00"&amp;MOD(Sync!$J456,100),2),"نامعتبر"),IF(LEN(Sync!$J456)=10,Sync!$J456,"نامعتبر")))</f>
        <v/>
      </c>
      <c r="R456" t="str">
        <f t="shared" si="53"/>
        <v/>
      </c>
      <c r="S456" t="str">
        <f t="shared" si="54"/>
        <v/>
      </c>
      <c r="T456" t="str">
        <f>IF($N456="","",IF(Sync!$N456="",0,Sync!$N456))</f>
        <v/>
      </c>
      <c r="U456" t="str">
        <f>IF($N456="","",IF(Sync!$O456="",0,Sync!$O456))</f>
        <v/>
      </c>
      <c r="V456" t="str">
        <f>IF($N456="","",Sync!$L456)</f>
        <v/>
      </c>
      <c r="W456" t="str">
        <f>IF($N456="","",Sync!$P456)</f>
        <v/>
      </c>
      <c r="AA456" t="str">
        <f>IF($A456="","",IF(COUNTIF($A$6:$A456,$A456)=1,1,0))</f>
        <v/>
      </c>
      <c r="AB456">
        <f>SUM($AA$6:$AA456)</f>
        <v>3</v>
      </c>
      <c r="AC456" t="str">
        <f t="shared" si="55"/>
        <v/>
      </c>
    </row>
    <row r="457" spans="1:29" x14ac:dyDescent="0.2">
      <c r="A457" t="str">
        <f>IF(OR(Entry!$B460="",Entry!$E460="",$E457="نامعتبر"),"",Entry!$E460)</f>
        <v/>
      </c>
      <c r="B457" t="str">
        <f>IF($A457="","",LEFT($E457,4)&amp;MID($E457,6,2)&amp;RIGHT($E457,2)&amp;$F457&amp;"|"&amp;"1"&amp;RIGHT("00000"&amp;452,5))</f>
        <v/>
      </c>
      <c r="C457" t="str">
        <f t="shared" si="49"/>
        <v/>
      </c>
      <c r="D457" t="str">
        <f t="shared" si="50"/>
        <v/>
      </c>
      <c r="E457" t="str">
        <f>IF(Entry!$B460="","",IF(ISNUMBER(Entry!$B460),IF(AND(Entry!$B460&gt;=10000101,Entry!$B460&lt;=99991231),INT(Entry!$B460/10000)&amp;"/"&amp;RIGHT("00"&amp;INT(MOD(Entry!$B460,10000)/100),2)&amp;"/"&amp;RIGHT("00"&amp;MOD(Entry!$B460,100),2),"نامعتبر"),IF(LEN(Entry!$B460)=10,Entry!$B460,"نامعتبر")))</f>
        <v/>
      </c>
      <c r="F457" t="str">
        <f>IF(Entry!$B460="","",IF(Entry!$C460="","0000",IF(AND(ISNUMBER(Entry!$C460),Entry!$C460&gt;=0,Entry!$C460&lt;1),RIGHT("00"&amp;HOUR(Entry!$C460),2)&amp;RIGHT("00"&amp;MINUTE(Entry!$C460),2),IFERROR(RIGHT("00"&amp;VALUE(LEFT(Entry!$C460,FIND(":",Entry!$C460)-1)),2)&amp;RIGHT("00"&amp;VALUE(MID(Entry!$C460,FIND(":",Entry!$C460)+1,2)),2),"0000"))))</f>
        <v/>
      </c>
      <c r="G457" t="str">
        <f>IF($A457="","",Entry!$G460)</f>
        <v/>
      </c>
      <c r="H457" t="str">
        <f>IF($A457="","",IF(Entry!$H460="",0,Entry!$H460))</f>
        <v/>
      </c>
      <c r="I457" t="str">
        <f>IF($A457="","",IF(Entry!$I460="",0,Entry!$I460))</f>
        <v/>
      </c>
      <c r="J457" t="str">
        <f t="shared" si="51"/>
        <v/>
      </c>
      <c r="K457" t="str">
        <f>IF($A457="","",Entry!$D460)</f>
        <v/>
      </c>
      <c r="L457" t="str">
        <f>IF($A457="","",Entry!$L460)</f>
        <v/>
      </c>
      <c r="N457" t="str">
        <f>IF(OR(Sync!$M457="",$Q457="",$Q457="نامعتبر"),"",Sync!$M457)</f>
        <v/>
      </c>
      <c r="O457" t="str">
        <f t="shared" si="52"/>
        <v/>
      </c>
      <c r="P457" t="str">
        <f>IF($N457="","",LEFT($Q457,4)&amp;MID($Q457,6,2)&amp;RIGHT($Q457,2)&amp;IF(Sync!$K457="","0000",IF(AND(ISNUMBER(Sync!$K457),Sync!$K457&gt;=0,Sync!$K457&lt;1),RIGHT("00"&amp;HOUR(Sync!$K457),2)&amp;RIGHT("00"&amp;MINUTE(Sync!$K457),2),IFERROR(RIGHT("00"&amp;VALUE(LEFT(Sync!$K457,FIND(":",Sync!$K457)-1)),2)&amp;RIGHT("00"&amp;VALUE(MID(Sync!$K457,FIND(":",Sync!$K457)+1,2)),2),"0000")))&amp;"|"&amp;"2"&amp;RIGHT("00000"&amp;452,5))</f>
        <v/>
      </c>
      <c r="Q457" t="str">
        <f>IF(Sync!$J457="","",IF(ISNUMBER(Sync!$J457),IF(AND(Sync!$J457&gt;=10000101,Sync!$J457&lt;=99991231),INT(Sync!$J457/10000)&amp;"/"&amp;RIGHT("00"&amp;INT(MOD(Sync!$J457,10000)/100),2)&amp;"/"&amp;RIGHT("00"&amp;MOD(Sync!$J457,100),2),"نامعتبر"),IF(LEN(Sync!$J457)=10,Sync!$J457,"نامعتبر")))</f>
        <v/>
      </c>
      <c r="R457" t="str">
        <f t="shared" si="53"/>
        <v/>
      </c>
      <c r="S457" t="str">
        <f t="shared" si="54"/>
        <v/>
      </c>
      <c r="T457" t="str">
        <f>IF($N457="","",IF(Sync!$N457="",0,Sync!$N457))</f>
        <v/>
      </c>
      <c r="U457" t="str">
        <f>IF($N457="","",IF(Sync!$O457="",0,Sync!$O457))</f>
        <v/>
      </c>
      <c r="V457" t="str">
        <f>IF($N457="","",Sync!$L457)</f>
        <v/>
      </c>
      <c r="W457" t="str">
        <f>IF($N457="","",Sync!$P457)</f>
        <v/>
      </c>
      <c r="AA457" t="str">
        <f>IF($A457="","",IF(COUNTIF($A$6:$A457,$A457)=1,1,0))</f>
        <v/>
      </c>
      <c r="AB457">
        <f>SUM($AA$6:$AA457)</f>
        <v>3</v>
      </c>
      <c r="AC457" t="str">
        <f t="shared" si="55"/>
        <v/>
      </c>
    </row>
    <row r="458" spans="1:29" x14ac:dyDescent="0.2">
      <c r="A458" t="str">
        <f>IF(OR(Entry!$B461="",Entry!$E461="",$E458="نامعتبر"),"",Entry!$E461)</f>
        <v/>
      </c>
      <c r="B458" t="str">
        <f>IF($A458="","",LEFT($E458,4)&amp;MID($E458,6,2)&amp;RIGHT($E458,2)&amp;$F458&amp;"|"&amp;"1"&amp;RIGHT("00000"&amp;453,5))</f>
        <v/>
      </c>
      <c r="C458" t="str">
        <f t="shared" si="49"/>
        <v/>
      </c>
      <c r="D458" t="str">
        <f t="shared" si="50"/>
        <v/>
      </c>
      <c r="E458" t="str">
        <f>IF(Entry!$B461="","",IF(ISNUMBER(Entry!$B461),IF(AND(Entry!$B461&gt;=10000101,Entry!$B461&lt;=99991231),INT(Entry!$B461/10000)&amp;"/"&amp;RIGHT("00"&amp;INT(MOD(Entry!$B461,10000)/100),2)&amp;"/"&amp;RIGHT("00"&amp;MOD(Entry!$B461,100),2),"نامعتبر"),IF(LEN(Entry!$B461)=10,Entry!$B461,"نامعتبر")))</f>
        <v/>
      </c>
      <c r="F458" t="str">
        <f>IF(Entry!$B461="","",IF(Entry!$C461="","0000",IF(AND(ISNUMBER(Entry!$C461),Entry!$C461&gt;=0,Entry!$C461&lt;1),RIGHT("00"&amp;HOUR(Entry!$C461),2)&amp;RIGHT("00"&amp;MINUTE(Entry!$C461),2),IFERROR(RIGHT("00"&amp;VALUE(LEFT(Entry!$C461,FIND(":",Entry!$C461)-1)),2)&amp;RIGHT("00"&amp;VALUE(MID(Entry!$C461,FIND(":",Entry!$C461)+1,2)),2),"0000"))))</f>
        <v/>
      </c>
      <c r="G458" t="str">
        <f>IF($A458="","",Entry!$G461)</f>
        <v/>
      </c>
      <c r="H458" t="str">
        <f>IF($A458="","",IF(Entry!$H461="",0,Entry!$H461))</f>
        <v/>
      </c>
      <c r="I458" t="str">
        <f>IF($A458="","",IF(Entry!$I461="",0,Entry!$I461))</f>
        <v/>
      </c>
      <c r="J458" t="str">
        <f t="shared" si="51"/>
        <v/>
      </c>
      <c r="K458" t="str">
        <f>IF($A458="","",Entry!$D461)</f>
        <v/>
      </c>
      <c r="L458" t="str">
        <f>IF($A458="","",Entry!$L461)</f>
        <v/>
      </c>
      <c r="N458" t="str">
        <f>IF(OR(Sync!$M458="",$Q458="",$Q458="نامعتبر"),"",Sync!$M458)</f>
        <v/>
      </c>
      <c r="O458" t="str">
        <f t="shared" si="52"/>
        <v/>
      </c>
      <c r="P458" t="str">
        <f>IF($N458="","",LEFT($Q458,4)&amp;MID($Q458,6,2)&amp;RIGHT($Q458,2)&amp;IF(Sync!$K458="","0000",IF(AND(ISNUMBER(Sync!$K458),Sync!$K458&gt;=0,Sync!$K458&lt;1),RIGHT("00"&amp;HOUR(Sync!$K458),2)&amp;RIGHT("00"&amp;MINUTE(Sync!$K458),2),IFERROR(RIGHT("00"&amp;VALUE(LEFT(Sync!$K458,FIND(":",Sync!$K458)-1)),2)&amp;RIGHT("00"&amp;VALUE(MID(Sync!$K458,FIND(":",Sync!$K458)+1,2)),2),"0000")))&amp;"|"&amp;"2"&amp;RIGHT("00000"&amp;453,5))</f>
        <v/>
      </c>
      <c r="Q458" t="str">
        <f>IF(Sync!$J458="","",IF(ISNUMBER(Sync!$J458),IF(AND(Sync!$J458&gt;=10000101,Sync!$J458&lt;=99991231),INT(Sync!$J458/10000)&amp;"/"&amp;RIGHT("00"&amp;INT(MOD(Sync!$J458,10000)/100),2)&amp;"/"&amp;RIGHT("00"&amp;MOD(Sync!$J458,100),2),"نامعتبر"),IF(LEN(Sync!$J458)=10,Sync!$J458,"نامعتبر")))</f>
        <v/>
      </c>
      <c r="R458" t="str">
        <f t="shared" si="53"/>
        <v/>
      </c>
      <c r="S458" t="str">
        <f t="shared" si="54"/>
        <v/>
      </c>
      <c r="T458" t="str">
        <f>IF($N458="","",IF(Sync!$N458="",0,Sync!$N458))</f>
        <v/>
      </c>
      <c r="U458" t="str">
        <f>IF($N458="","",IF(Sync!$O458="",0,Sync!$O458))</f>
        <v/>
      </c>
      <c r="V458" t="str">
        <f>IF($N458="","",Sync!$L458)</f>
        <v/>
      </c>
      <c r="W458" t="str">
        <f>IF($N458="","",Sync!$P458)</f>
        <v/>
      </c>
      <c r="AA458" t="str">
        <f>IF($A458="","",IF(COUNTIF($A$6:$A458,$A458)=1,1,0))</f>
        <v/>
      </c>
      <c r="AB458">
        <f>SUM($AA$6:$AA458)</f>
        <v>3</v>
      </c>
      <c r="AC458" t="str">
        <f t="shared" si="55"/>
        <v/>
      </c>
    </row>
    <row r="459" spans="1:29" x14ac:dyDescent="0.2">
      <c r="A459" t="str">
        <f>IF(OR(Entry!$B462="",Entry!$E462="",$E459="نامعتبر"),"",Entry!$E462)</f>
        <v/>
      </c>
      <c r="B459" t="str">
        <f>IF($A459="","",LEFT($E459,4)&amp;MID($E459,6,2)&amp;RIGHT($E459,2)&amp;$F459&amp;"|"&amp;"1"&amp;RIGHT("00000"&amp;454,5))</f>
        <v/>
      </c>
      <c r="C459" t="str">
        <f t="shared" si="49"/>
        <v/>
      </c>
      <c r="D459" t="str">
        <f t="shared" si="50"/>
        <v/>
      </c>
      <c r="E459" t="str">
        <f>IF(Entry!$B462="","",IF(ISNUMBER(Entry!$B462),IF(AND(Entry!$B462&gt;=10000101,Entry!$B462&lt;=99991231),INT(Entry!$B462/10000)&amp;"/"&amp;RIGHT("00"&amp;INT(MOD(Entry!$B462,10000)/100),2)&amp;"/"&amp;RIGHT("00"&amp;MOD(Entry!$B462,100),2),"نامعتبر"),IF(LEN(Entry!$B462)=10,Entry!$B462,"نامعتبر")))</f>
        <v/>
      </c>
      <c r="F459" t="str">
        <f>IF(Entry!$B462="","",IF(Entry!$C462="","0000",IF(AND(ISNUMBER(Entry!$C462),Entry!$C462&gt;=0,Entry!$C462&lt;1),RIGHT("00"&amp;HOUR(Entry!$C462),2)&amp;RIGHT("00"&amp;MINUTE(Entry!$C462),2),IFERROR(RIGHT("00"&amp;VALUE(LEFT(Entry!$C462,FIND(":",Entry!$C462)-1)),2)&amp;RIGHT("00"&amp;VALUE(MID(Entry!$C462,FIND(":",Entry!$C462)+1,2)),2),"0000"))))</f>
        <v/>
      </c>
      <c r="G459" t="str">
        <f>IF($A459="","",Entry!$G462)</f>
        <v/>
      </c>
      <c r="H459" t="str">
        <f>IF($A459="","",IF(Entry!$H462="",0,Entry!$H462))</f>
        <v/>
      </c>
      <c r="I459" t="str">
        <f>IF($A459="","",IF(Entry!$I462="",0,Entry!$I462))</f>
        <v/>
      </c>
      <c r="J459" t="str">
        <f t="shared" si="51"/>
        <v/>
      </c>
      <c r="K459" t="str">
        <f>IF($A459="","",Entry!$D462)</f>
        <v/>
      </c>
      <c r="L459" t="str">
        <f>IF($A459="","",Entry!$L462)</f>
        <v/>
      </c>
      <c r="N459" t="str">
        <f>IF(OR(Sync!$M459="",$Q459="",$Q459="نامعتبر"),"",Sync!$M459)</f>
        <v/>
      </c>
      <c r="O459" t="str">
        <f t="shared" si="52"/>
        <v/>
      </c>
      <c r="P459" t="str">
        <f>IF($N459="","",LEFT($Q459,4)&amp;MID($Q459,6,2)&amp;RIGHT($Q459,2)&amp;IF(Sync!$K459="","0000",IF(AND(ISNUMBER(Sync!$K459),Sync!$K459&gt;=0,Sync!$K459&lt;1),RIGHT("00"&amp;HOUR(Sync!$K459),2)&amp;RIGHT("00"&amp;MINUTE(Sync!$K459),2),IFERROR(RIGHT("00"&amp;VALUE(LEFT(Sync!$K459,FIND(":",Sync!$K459)-1)),2)&amp;RIGHT("00"&amp;VALUE(MID(Sync!$K459,FIND(":",Sync!$K459)+1,2)),2),"0000")))&amp;"|"&amp;"2"&amp;RIGHT("00000"&amp;454,5))</f>
        <v/>
      </c>
      <c r="Q459" t="str">
        <f>IF(Sync!$J459="","",IF(ISNUMBER(Sync!$J459),IF(AND(Sync!$J459&gt;=10000101,Sync!$J459&lt;=99991231),INT(Sync!$J459/10000)&amp;"/"&amp;RIGHT("00"&amp;INT(MOD(Sync!$J459,10000)/100),2)&amp;"/"&amp;RIGHT("00"&amp;MOD(Sync!$J459,100),2),"نامعتبر"),IF(LEN(Sync!$J459)=10,Sync!$J459,"نامعتبر")))</f>
        <v/>
      </c>
      <c r="R459" t="str">
        <f t="shared" si="53"/>
        <v/>
      </c>
      <c r="S459" t="str">
        <f t="shared" si="54"/>
        <v/>
      </c>
      <c r="T459" t="str">
        <f>IF($N459="","",IF(Sync!$N459="",0,Sync!$N459))</f>
        <v/>
      </c>
      <c r="U459" t="str">
        <f>IF($N459="","",IF(Sync!$O459="",0,Sync!$O459))</f>
        <v/>
      </c>
      <c r="V459" t="str">
        <f>IF($N459="","",Sync!$L459)</f>
        <v/>
      </c>
      <c r="W459" t="str">
        <f>IF($N459="","",Sync!$P459)</f>
        <v/>
      </c>
      <c r="AA459" t="str">
        <f>IF($A459="","",IF(COUNTIF($A$6:$A459,$A459)=1,1,0))</f>
        <v/>
      </c>
      <c r="AB459">
        <f>SUM($AA$6:$AA459)</f>
        <v>3</v>
      </c>
      <c r="AC459" t="str">
        <f t="shared" si="55"/>
        <v/>
      </c>
    </row>
    <row r="460" spans="1:29" x14ac:dyDescent="0.2">
      <c r="A460" t="str">
        <f>IF(OR(Entry!$B463="",Entry!$E463="",$E460="نامعتبر"),"",Entry!$E463)</f>
        <v/>
      </c>
      <c r="B460" t="str">
        <f>IF($A460="","",LEFT($E460,4)&amp;MID($E460,6,2)&amp;RIGHT($E460,2)&amp;$F460&amp;"|"&amp;"1"&amp;RIGHT("00000"&amp;455,5))</f>
        <v/>
      </c>
      <c r="C460" t="str">
        <f t="shared" si="49"/>
        <v/>
      </c>
      <c r="D460" t="str">
        <f t="shared" si="50"/>
        <v/>
      </c>
      <c r="E460" t="str">
        <f>IF(Entry!$B463="","",IF(ISNUMBER(Entry!$B463),IF(AND(Entry!$B463&gt;=10000101,Entry!$B463&lt;=99991231),INT(Entry!$B463/10000)&amp;"/"&amp;RIGHT("00"&amp;INT(MOD(Entry!$B463,10000)/100),2)&amp;"/"&amp;RIGHT("00"&amp;MOD(Entry!$B463,100),2),"نامعتبر"),IF(LEN(Entry!$B463)=10,Entry!$B463,"نامعتبر")))</f>
        <v/>
      </c>
      <c r="F460" t="str">
        <f>IF(Entry!$B463="","",IF(Entry!$C463="","0000",IF(AND(ISNUMBER(Entry!$C463),Entry!$C463&gt;=0,Entry!$C463&lt;1),RIGHT("00"&amp;HOUR(Entry!$C463),2)&amp;RIGHT("00"&amp;MINUTE(Entry!$C463),2),IFERROR(RIGHT("00"&amp;VALUE(LEFT(Entry!$C463,FIND(":",Entry!$C463)-1)),2)&amp;RIGHT("00"&amp;VALUE(MID(Entry!$C463,FIND(":",Entry!$C463)+1,2)),2),"0000"))))</f>
        <v/>
      </c>
      <c r="G460" t="str">
        <f>IF($A460="","",Entry!$G463)</f>
        <v/>
      </c>
      <c r="H460" t="str">
        <f>IF($A460="","",IF(Entry!$H463="",0,Entry!$H463))</f>
        <v/>
      </c>
      <c r="I460" t="str">
        <f>IF($A460="","",IF(Entry!$I463="",0,Entry!$I463))</f>
        <v/>
      </c>
      <c r="J460" t="str">
        <f t="shared" si="51"/>
        <v/>
      </c>
      <c r="K460" t="str">
        <f>IF($A460="","",Entry!$D463)</f>
        <v/>
      </c>
      <c r="L460" t="str">
        <f>IF($A460="","",Entry!$L463)</f>
        <v/>
      </c>
      <c r="N460" t="str">
        <f>IF(OR(Sync!$M460="",$Q460="",$Q460="نامعتبر"),"",Sync!$M460)</f>
        <v/>
      </c>
      <c r="O460" t="str">
        <f t="shared" si="52"/>
        <v/>
      </c>
      <c r="P460" t="str">
        <f>IF($N460="","",LEFT($Q460,4)&amp;MID($Q460,6,2)&amp;RIGHT($Q460,2)&amp;IF(Sync!$K460="","0000",IF(AND(ISNUMBER(Sync!$K460),Sync!$K460&gt;=0,Sync!$K460&lt;1),RIGHT("00"&amp;HOUR(Sync!$K460),2)&amp;RIGHT("00"&amp;MINUTE(Sync!$K460),2),IFERROR(RIGHT("00"&amp;VALUE(LEFT(Sync!$K460,FIND(":",Sync!$K460)-1)),2)&amp;RIGHT("00"&amp;VALUE(MID(Sync!$K460,FIND(":",Sync!$K460)+1,2)),2),"0000")))&amp;"|"&amp;"2"&amp;RIGHT("00000"&amp;455,5))</f>
        <v/>
      </c>
      <c r="Q460" t="str">
        <f>IF(Sync!$J460="","",IF(ISNUMBER(Sync!$J460),IF(AND(Sync!$J460&gt;=10000101,Sync!$J460&lt;=99991231),INT(Sync!$J460/10000)&amp;"/"&amp;RIGHT("00"&amp;INT(MOD(Sync!$J460,10000)/100),2)&amp;"/"&amp;RIGHT("00"&amp;MOD(Sync!$J460,100),2),"نامعتبر"),IF(LEN(Sync!$J460)=10,Sync!$J460,"نامعتبر")))</f>
        <v/>
      </c>
      <c r="R460" t="str">
        <f t="shared" si="53"/>
        <v/>
      </c>
      <c r="S460" t="str">
        <f t="shared" si="54"/>
        <v/>
      </c>
      <c r="T460" t="str">
        <f>IF($N460="","",IF(Sync!$N460="",0,Sync!$N460))</f>
        <v/>
      </c>
      <c r="U460" t="str">
        <f>IF($N460="","",IF(Sync!$O460="",0,Sync!$O460))</f>
        <v/>
      </c>
      <c r="V460" t="str">
        <f>IF($N460="","",Sync!$L460)</f>
        <v/>
      </c>
      <c r="W460" t="str">
        <f>IF($N460="","",Sync!$P460)</f>
        <v/>
      </c>
      <c r="AA460" t="str">
        <f>IF($A460="","",IF(COUNTIF($A$6:$A460,$A460)=1,1,0))</f>
        <v/>
      </c>
      <c r="AB460">
        <f>SUM($AA$6:$AA460)</f>
        <v>3</v>
      </c>
      <c r="AC460" t="str">
        <f t="shared" si="55"/>
        <v/>
      </c>
    </row>
    <row r="461" spans="1:29" x14ac:dyDescent="0.2">
      <c r="A461" t="str">
        <f>IF(OR(Entry!$B464="",Entry!$E464="",$E461="نامعتبر"),"",Entry!$E464)</f>
        <v/>
      </c>
      <c r="B461" t="str">
        <f>IF($A461="","",LEFT($E461,4)&amp;MID($E461,6,2)&amp;RIGHT($E461,2)&amp;$F461&amp;"|"&amp;"1"&amp;RIGHT("00000"&amp;456,5))</f>
        <v/>
      </c>
      <c r="C461" t="str">
        <f t="shared" si="49"/>
        <v/>
      </c>
      <c r="D461" t="str">
        <f t="shared" si="50"/>
        <v/>
      </c>
      <c r="E461" t="str">
        <f>IF(Entry!$B464="","",IF(ISNUMBER(Entry!$B464),IF(AND(Entry!$B464&gt;=10000101,Entry!$B464&lt;=99991231),INT(Entry!$B464/10000)&amp;"/"&amp;RIGHT("00"&amp;INT(MOD(Entry!$B464,10000)/100),2)&amp;"/"&amp;RIGHT("00"&amp;MOD(Entry!$B464,100),2),"نامعتبر"),IF(LEN(Entry!$B464)=10,Entry!$B464,"نامعتبر")))</f>
        <v/>
      </c>
      <c r="F461" t="str">
        <f>IF(Entry!$B464="","",IF(Entry!$C464="","0000",IF(AND(ISNUMBER(Entry!$C464),Entry!$C464&gt;=0,Entry!$C464&lt;1),RIGHT("00"&amp;HOUR(Entry!$C464),2)&amp;RIGHT("00"&amp;MINUTE(Entry!$C464),2),IFERROR(RIGHT("00"&amp;VALUE(LEFT(Entry!$C464,FIND(":",Entry!$C464)-1)),2)&amp;RIGHT("00"&amp;VALUE(MID(Entry!$C464,FIND(":",Entry!$C464)+1,2)),2),"0000"))))</f>
        <v/>
      </c>
      <c r="G461" t="str">
        <f>IF($A461="","",Entry!$G464)</f>
        <v/>
      </c>
      <c r="H461" t="str">
        <f>IF($A461="","",IF(Entry!$H464="",0,Entry!$H464))</f>
        <v/>
      </c>
      <c r="I461" t="str">
        <f>IF($A461="","",IF(Entry!$I464="",0,Entry!$I464))</f>
        <v/>
      </c>
      <c r="J461" t="str">
        <f t="shared" si="51"/>
        <v/>
      </c>
      <c r="K461" t="str">
        <f>IF($A461="","",Entry!$D464)</f>
        <v/>
      </c>
      <c r="L461" t="str">
        <f>IF($A461="","",Entry!$L464)</f>
        <v/>
      </c>
      <c r="N461" t="str">
        <f>IF(OR(Sync!$M461="",$Q461="",$Q461="نامعتبر"),"",Sync!$M461)</f>
        <v/>
      </c>
      <c r="O461" t="str">
        <f t="shared" si="52"/>
        <v/>
      </c>
      <c r="P461" t="str">
        <f>IF($N461="","",LEFT($Q461,4)&amp;MID($Q461,6,2)&amp;RIGHT($Q461,2)&amp;IF(Sync!$K461="","0000",IF(AND(ISNUMBER(Sync!$K461),Sync!$K461&gt;=0,Sync!$K461&lt;1),RIGHT("00"&amp;HOUR(Sync!$K461),2)&amp;RIGHT("00"&amp;MINUTE(Sync!$K461),2),IFERROR(RIGHT("00"&amp;VALUE(LEFT(Sync!$K461,FIND(":",Sync!$K461)-1)),2)&amp;RIGHT("00"&amp;VALUE(MID(Sync!$K461,FIND(":",Sync!$K461)+1,2)),2),"0000")))&amp;"|"&amp;"2"&amp;RIGHT("00000"&amp;456,5))</f>
        <v/>
      </c>
      <c r="Q461" t="str">
        <f>IF(Sync!$J461="","",IF(ISNUMBER(Sync!$J461),IF(AND(Sync!$J461&gt;=10000101,Sync!$J461&lt;=99991231),INT(Sync!$J461/10000)&amp;"/"&amp;RIGHT("00"&amp;INT(MOD(Sync!$J461,10000)/100),2)&amp;"/"&amp;RIGHT("00"&amp;MOD(Sync!$J461,100),2),"نامعتبر"),IF(LEN(Sync!$J461)=10,Sync!$J461,"نامعتبر")))</f>
        <v/>
      </c>
      <c r="R461" t="str">
        <f t="shared" si="53"/>
        <v/>
      </c>
      <c r="S461" t="str">
        <f t="shared" si="54"/>
        <v/>
      </c>
      <c r="T461" t="str">
        <f>IF($N461="","",IF(Sync!$N461="",0,Sync!$N461))</f>
        <v/>
      </c>
      <c r="U461" t="str">
        <f>IF($N461="","",IF(Sync!$O461="",0,Sync!$O461))</f>
        <v/>
      </c>
      <c r="V461" t="str">
        <f>IF($N461="","",Sync!$L461)</f>
        <v/>
      </c>
      <c r="W461" t="str">
        <f>IF($N461="","",Sync!$P461)</f>
        <v/>
      </c>
      <c r="AA461" t="str">
        <f>IF($A461="","",IF(COUNTIF($A$6:$A461,$A461)=1,1,0))</f>
        <v/>
      </c>
      <c r="AB461">
        <f>SUM($AA$6:$AA461)</f>
        <v>3</v>
      </c>
      <c r="AC461" t="str">
        <f t="shared" si="55"/>
        <v/>
      </c>
    </row>
    <row r="462" spans="1:29" x14ac:dyDescent="0.2">
      <c r="A462" t="str">
        <f>IF(OR(Entry!$B465="",Entry!$E465="",$E462="نامعتبر"),"",Entry!$E465)</f>
        <v/>
      </c>
      <c r="B462" t="str">
        <f>IF($A462="","",LEFT($E462,4)&amp;MID($E462,6,2)&amp;RIGHT($E462,2)&amp;$F462&amp;"|"&amp;"1"&amp;RIGHT("00000"&amp;457,5))</f>
        <v/>
      </c>
      <c r="C462" t="str">
        <f t="shared" si="49"/>
        <v/>
      </c>
      <c r="D462" t="str">
        <f t="shared" si="50"/>
        <v/>
      </c>
      <c r="E462" t="str">
        <f>IF(Entry!$B465="","",IF(ISNUMBER(Entry!$B465),IF(AND(Entry!$B465&gt;=10000101,Entry!$B465&lt;=99991231),INT(Entry!$B465/10000)&amp;"/"&amp;RIGHT("00"&amp;INT(MOD(Entry!$B465,10000)/100),2)&amp;"/"&amp;RIGHT("00"&amp;MOD(Entry!$B465,100),2),"نامعتبر"),IF(LEN(Entry!$B465)=10,Entry!$B465,"نامعتبر")))</f>
        <v/>
      </c>
      <c r="F462" t="str">
        <f>IF(Entry!$B465="","",IF(Entry!$C465="","0000",IF(AND(ISNUMBER(Entry!$C465),Entry!$C465&gt;=0,Entry!$C465&lt;1),RIGHT("00"&amp;HOUR(Entry!$C465),2)&amp;RIGHT("00"&amp;MINUTE(Entry!$C465),2),IFERROR(RIGHT("00"&amp;VALUE(LEFT(Entry!$C465,FIND(":",Entry!$C465)-1)),2)&amp;RIGHT("00"&amp;VALUE(MID(Entry!$C465,FIND(":",Entry!$C465)+1,2)),2),"0000"))))</f>
        <v/>
      </c>
      <c r="G462" t="str">
        <f>IF($A462="","",Entry!$G465)</f>
        <v/>
      </c>
      <c r="H462" t="str">
        <f>IF($A462="","",IF(Entry!$H465="",0,Entry!$H465))</f>
        <v/>
      </c>
      <c r="I462" t="str">
        <f>IF($A462="","",IF(Entry!$I465="",0,Entry!$I465))</f>
        <v/>
      </c>
      <c r="J462" t="str">
        <f t="shared" si="51"/>
        <v/>
      </c>
      <c r="K462" t="str">
        <f>IF($A462="","",Entry!$D465)</f>
        <v/>
      </c>
      <c r="L462" t="str">
        <f>IF($A462="","",Entry!$L465)</f>
        <v/>
      </c>
      <c r="N462" t="str">
        <f>IF(OR(Sync!$M462="",$Q462="",$Q462="نامعتبر"),"",Sync!$M462)</f>
        <v/>
      </c>
      <c r="O462" t="str">
        <f t="shared" si="52"/>
        <v/>
      </c>
      <c r="P462" t="str">
        <f>IF($N462="","",LEFT($Q462,4)&amp;MID($Q462,6,2)&amp;RIGHT($Q462,2)&amp;IF(Sync!$K462="","0000",IF(AND(ISNUMBER(Sync!$K462),Sync!$K462&gt;=0,Sync!$K462&lt;1),RIGHT("00"&amp;HOUR(Sync!$K462),2)&amp;RIGHT("00"&amp;MINUTE(Sync!$K462),2),IFERROR(RIGHT("00"&amp;VALUE(LEFT(Sync!$K462,FIND(":",Sync!$K462)-1)),2)&amp;RIGHT("00"&amp;VALUE(MID(Sync!$K462,FIND(":",Sync!$K462)+1,2)),2),"0000")))&amp;"|"&amp;"2"&amp;RIGHT("00000"&amp;457,5))</f>
        <v/>
      </c>
      <c r="Q462" t="str">
        <f>IF(Sync!$J462="","",IF(ISNUMBER(Sync!$J462),IF(AND(Sync!$J462&gt;=10000101,Sync!$J462&lt;=99991231),INT(Sync!$J462/10000)&amp;"/"&amp;RIGHT("00"&amp;INT(MOD(Sync!$J462,10000)/100),2)&amp;"/"&amp;RIGHT("00"&amp;MOD(Sync!$J462,100),2),"نامعتبر"),IF(LEN(Sync!$J462)=10,Sync!$J462,"نامعتبر")))</f>
        <v/>
      </c>
      <c r="R462" t="str">
        <f t="shared" si="53"/>
        <v/>
      </c>
      <c r="S462" t="str">
        <f t="shared" si="54"/>
        <v/>
      </c>
      <c r="T462" t="str">
        <f>IF($N462="","",IF(Sync!$N462="",0,Sync!$N462))</f>
        <v/>
      </c>
      <c r="U462" t="str">
        <f>IF($N462="","",IF(Sync!$O462="",0,Sync!$O462))</f>
        <v/>
      </c>
      <c r="V462" t="str">
        <f>IF($N462="","",Sync!$L462)</f>
        <v/>
      </c>
      <c r="W462" t="str">
        <f>IF($N462="","",Sync!$P462)</f>
        <v/>
      </c>
      <c r="AA462" t="str">
        <f>IF($A462="","",IF(COUNTIF($A$6:$A462,$A462)=1,1,0))</f>
        <v/>
      </c>
      <c r="AB462">
        <f>SUM($AA$6:$AA462)</f>
        <v>3</v>
      </c>
      <c r="AC462" t="str">
        <f t="shared" si="55"/>
        <v/>
      </c>
    </row>
    <row r="463" spans="1:29" x14ac:dyDescent="0.2">
      <c r="A463" t="str">
        <f>IF(OR(Entry!$B466="",Entry!$E466="",$E463="نامعتبر"),"",Entry!$E466)</f>
        <v/>
      </c>
      <c r="B463" t="str">
        <f>IF($A463="","",LEFT($E463,4)&amp;MID($E463,6,2)&amp;RIGHT($E463,2)&amp;$F463&amp;"|"&amp;"1"&amp;RIGHT("00000"&amp;458,5))</f>
        <v/>
      </c>
      <c r="C463" t="str">
        <f t="shared" si="49"/>
        <v/>
      </c>
      <c r="D463" t="str">
        <f t="shared" si="50"/>
        <v/>
      </c>
      <c r="E463" t="str">
        <f>IF(Entry!$B466="","",IF(ISNUMBER(Entry!$B466),IF(AND(Entry!$B466&gt;=10000101,Entry!$B466&lt;=99991231),INT(Entry!$B466/10000)&amp;"/"&amp;RIGHT("00"&amp;INT(MOD(Entry!$B466,10000)/100),2)&amp;"/"&amp;RIGHT("00"&amp;MOD(Entry!$B466,100),2),"نامعتبر"),IF(LEN(Entry!$B466)=10,Entry!$B466,"نامعتبر")))</f>
        <v/>
      </c>
      <c r="F463" t="str">
        <f>IF(Entry!$B466="","",IF(Entry!$C466="","0000",IF(AND(ISNUMBER(Entry!$C466),Entry!$C466&gt;=0,Entry!$C466&lt;1),RIGHT("00"&amp;HOUR(Entry!$C466),2)&amp;RIGHT("00"&amp;MINUTE(Entry!$C466),2),IFERROR(RIGHT("00"&amp;VALUE(LEFT(Entry!$C466,FIND(":",Entry!$C466)-1)),2)&amp;RIGHT("00"&amp;VALUE(MID(Entry!$C466,FIND(":",Entry!$C466)+1,2)),2),"0000"))))</f>
        <v/>
      </c>
      <c r="G463" t="str">
        <f>IF($A463="","",Entry!$G466)</f>
        <v/>
      </c>
      <c r="H463" t="str">
        <f>IF($A463="","",IF(Entry!$H466="",0,Entry!$H466))</f>
        <v/>
      </c>
      <c r="I463" t="str">
        <f>IF($A463="","",IF(Entry!$I466="",0,Entry!$I466))</f>
        <v/>
      </c>
      <c r="J463" t="str">
        <f t="shared" si="51"/>
        <v/>
      </c>
      <c r="K463" t="str">
        <f>IF($A463="","",Entry!$D466)</f>
        <v/>
      </c>
      <c r="L463" t="str">
        <f>IF($A463="","",Entry!$L466)</f>
        <v/>
      </c>
      <c r="N463" t="str">
        <f>IF(OR(Sync!$M463="",$Q463="",$Q463="نامعتبر"),"",Sync!$M463)</f>
        <v/>
      </c>
      <c r="O463" t="str">
        <f t="shared" si="52"/>
        <v/>
      </c>
      <c r="P463" t="str">
        <f>IF($N463="","",LEFT($Q463,4)&amp;MID($Q463,6,2)&amp;RIGHT($Q463,2)&amp;IF(Sync!$K463="","0000",IF(AND(ISNUMBER(Sync!$K463),Sync!$K463&gt;=0,Sync!$K463&lt;1),RIGHT("00"&amp;HOUR(Sync!$K463),2)&amp;RIGHT("00"&amp;MINUTE(Sync!$K463),2),IFERROR(RIGHT("00"&amp;VALUE(LEFT(Sync!$K463,FIND(":",Sync!$K463)-1)),2)&amp;RIGHT("00"&amp;VALUE(MID(Sync!$K463,FIND(":",Sync!$K463)+1,2)),2),"0000")))&amp;"|"&amp;"2"&amp;RIGHT("00000"&amp;458,5))</f>
        <v/>
      </c>
      <c r="Q463" t="str">
        <f>IF(Sync!$J463="","",IF(ISNUMBER(Sync!$J463),IF(AND(Sync!$J463&gt;=10000101,Sync!$J463&lt;=99991231),INT(Sync!$J463/10000)&amp;"/"&amp;RIGHT("00"&amp;INT(MOD(Sync!$J463,10000)/100),2)&amp;"/"&amp;RIGHT("00"&amp;MOD(Sync!$J463,100),2),"نامعتبر"),IF(LEN(Sync!$J463)=10,Sync!$J463,"نامعتبر")))</f>
        <v/>
      </c>
      <c r="R463" t="str">
        <f t="shared" si="53"/>
        <v/>
      </c>
      <c r="S463" t="str">
        <f t="shared" si="54"/>
        <v/>
      </c>
      <c r="T463" t="str">
        <f>IF($N463="","",IF(Sync!$N463="",0,Sync!$N463))</f>
        <v/>
      </c>
      <c r="U463" t="str">
        <f>IF($N463="","",IF(Sync!$O463="",0,Sync!$O463))</f>
        <v/>
      </c>
      <c r="V463" t="str">
        <f>IF($N463="","",Sync!$L463)</f>
        <v/>
      </c>
      <c r="W463" t="str">
        <f>IF($N463="","",Sync!$P463)</f>
        <v/>
      </c>
      <c r="AA463" t="str">
        <f>IF($A463="","",IF(COUNTIF($A$6:$A463,$A463)=1,1,0))</f>
        <v/>
      </c>
      <c r="AB463">
        <f>SUM($AA$6:$AA463)</f>
        <v>3</v>
      </c>
      <c r="AC463" t="str">
        <f t="shared" si="55"/>
        <v/>
      </c>
    </row>
    <row r="464" spans="1:29" x14ac:dyDescent="0.2">
      <c r="A464" t="str">
        <f>IF(OR(Entry!$B467="",Entry!$E467="",$E464="نامعتبر"),"",Entry!$E467)</f>
        <v/>
      </c>
      <c r="B464" t="str">
        <f>IF($A464="","",LEFT($E464,4)&amp;MID($E464,6,2)&amp;RIGHT($E464,2)&amp;$F464&amp;"|"&amp;"1"&amp;RIGHT("00000"&amp;459,5))</f>
        <v/>
      </c>
      <c r="C464" t="str">
        <f t="shared" si="49"/>
        <v/>
      </c>
      <c r="D464" t="str">
        <f t="shared" si="50"/>
        <v/>
      </c>
      <c r="E464" t="str">
        <f>IF(Entry!$B467="","",IF(ISNUMBER(Entry!$B467),IF(AND(Entry!$B467&gt;=10000101,Entry!$B467&lt;=99991231),INT(Entry!$B467/10000)&amp;"/"&amp;RIGHT("00"&amp;INT(MOD(Entry!$B467,10000)/100),2)&amp;"/"&amp;RIGHT("00"&amp;MOD(Entry!$B467,100),2),"نامعتبر"),IF(LEN(Entry!$B467)=10,Entry!$B467,"نامعتبر")))</f>
        <v/>
      </c>
      <c r="F464" t="str">
        <f>IF(Entry!$B467="","",IF(Entry!$C467="","0000",IF(AND(ISNUMBER(Entry!$C467),Entry!$C467&gt;=0,Entry!$C467&lt;1),RIGHT("00"&amp;HOUR(Entry!$C467),2)&amp;RIGHT("00"&amp;MINUTE(Entry!$C467),2),IFERROR(RIGHT("00"&amp;VALUE(LEFT(Entry!$C467,FIND(":",Entry!$C467)-1)),2)&amp;RIGHT("00"&amp;VALUE(MID(Entry!$C467,FIND(":",Entry!$C467)+1,2)),2),"0000"))))</f>
        <v/>
      </c>
      <c r="G464" t="str">
        <f>IF($A464="","",Entry!$G467)</f>
        <v/>
      </c>
      <c r="H464" t="str">
        <f>IF($A464="","",IF(Entry!$H467="",0,Entry!$H467))</f>
        <v/>
      </c>
      <c r="I464" t="str">
        <f>IF($A464="","",IF(Entry!$I467="",0,Entry!$I467))</f>
        <v/>
      </c>
      <c r="J464" t="str">
        <f t="shared" si="51"/>
        <v/>
      </c>
      <c r="K464" t="str">
        <f>IF($A464="","",Entry!$D467)</f>
        <v/>
      </c>
      <c r="L464" t="str">
        <f>IF($A464="","",Entry!$L467)</f>
        <v/>
      </c>
      <c r="N464" t="str">
        <f>IF(OR(Sync!$M464="",$Q464="",$Q464="نامعتبر"),"",Sync!$M464)</f>
        <v/>
      </c>
      <c r="O464" t="str">
        <f t="shared" si="52"/>
        <v/>
      </c>
      <c r="P464" t="str">
        <f>IF($N464="","",LEFT($Q464,4)&amp;MID($Q464,6,2)&amp;RIGHT($Q464,2)&amp;IF(Sync!$K464="","0000",IF(AND(ISNUMBER(Sync!$K464),Sync!$K464&gt;=0,Sync!$K464&lt;1),RIGHT("00"&amp;HOUR(Sync!$K464),2)&amp;RIGHT("00"&amp;MINUTE(Sync!$K464),2),IFERROR(RIGHT("00"&amp;VALUE(LEFT(Sync!$K464,FIND(":",Sync!$K464)-1)),2)&amp;RIGHT("00"&amp;VALUE(MID(Sync!$K464,FIND(":",Sync!$K464)+1,2)),2),"0000")))&amp;"|"&amp;"2"&amp;RIGHT("00000"&amp;459,5))</f>
        <v/>
      </c>
      <c r="Q464" t="str">
        <f>IF(Sync!$J464="","",IF(ISNUMBER(Sync!$J464),IF(AND(Sync!$J464&gt;=10000101,Sync!$J464&lt;=99991231),INT(Sync!$J464/10000)&amp;"/"&amp;RIGHT("00"&amp;INT(MOD(Sync!$J464,10000)/100),2)&amp;"/"&amp;RIGHT("00"&amp;MOD(Sync!$J464,100),2),"نامعتبر"),IF(LEN(Sync!$J464)=10,Sync!$J464,"نامعتبر")))</f>
        <v/>
      </c>
      <c r="R464" t="str">
        <f t="shared" si="53"/>
        <v/>
      </c>
      <c r="S464" t="str">
        <f t="shared" si="54"/>
        <v/>
      </c>
      <c r="T464" t="str">
        <f>IF($N464="","",IF(Sync!$N464="",0,Sync!$N464))</f>
        <v/>
      </c>
      <c r="U464" t="str">
        <f>IF($N464="","",IF(Sync!$O464="",0,Sync!$O464))</f>
        <v/>
      </c>
      <c r="V464" t="str">
        <f>IF($N464="","",Sync!$L464)</f>
        <v/>
      </c>
      <c r="W464" t="str">
        <f>IF($N464="","",Sync!$P464)</f>
        <v/>
      </c>
      <c r="AA464" t="str">
        <f>IF($A464="","",IF(COUNTIF($A$6:$A464,$A464)=1,1,0))</f>
        <v/>
      </c>
      <c r="AB464">
        <f>SUM($AA$6:$AA464)</f>
        <v>3</v>
      </c>
      <c r="AC464" t="str">
        <f t="shared" si="55"/>
        <v/>
      </c>
    </row>
    <row r="465" spans="1:29" x14ac:dyDescent="0.2">
      <c r="A465" t="str">
        <f>IF(OR(Entry!$B468="",Entry!$E468="",$E465="نامعتبر"),"",Entry!$E468)</f>
        <v/>
      </c>
      <c r="B465" t="str">
        <f>IF($A465="","",LEFT($E465,4)&amp;MID($E465,6,2)&amp;RIGHT($E465,2)&amp;$F465&amp;"|"&amp;"1"&amp;RIGHT("00000"&amp;460,5))</f>
        <v/>
      </c>
      <c r="C465" t="str">
        <f t="shared" si="49"/>
        <v/>
      </c>
      <c r="D465" t="str">
        <f t="shared" si="50"/>
        <v/>
      </c>
      <c r="E465" t="str">
        <f>IF(Entry!$B468="","",IF(ISNUMBER(Entry!$B468),IF(AND(Entry!$B468&gt;=10000101,Entry!$B468&lt;=99991231),INT(Entry!$B468/10000)&amp;"/"&amp;RIGHT("00"&amp;INT(MOD(Entry!$B468,10000)/100),2)&amp;"/"&amp;RIGHT("00"&amp;MOD(Entry!$B468,100),2),"نامعتبر"),IF(LEN(Entry!$B468)=10,Entry!$B468,"نامعتبر")))</f>
        <v/>
      </c>
      <c r="F465" t="str">
        <f>IF(Entry!$B468="","",IF(Entry!$C468="","0000",IF(AND(ISNUMBER(Entry!$C468),Entry!$C468&gt;=0,Entry!$C468&lt;1),RIGHT("00"&amp;HOUR(Entry!$C468),2)&amp;RIGHT("00"&amp;MINUTE(Entry!$C468),2),IFERROR(RIGHT("00"&amp;VALUE(LEFT(Entry!$C468,FIND(":",Entry!$C468)-1)),2)&amp;RIGHT("00"&amp;VALUE(MID(Entry!$C468,FIND(":",Entry!$C468)+1,2)),2),"0000"))))</f>
        <v/>
      </c>
      <c r="G465" t="str">
        <f>IF($A465="","",Entry!$G468)</f>
        <v/>
      </c>
      <c r="H465" t="str">
        <f>IF($A465="","",IF(Entry!$H468="",0,Entry!$H468))</f>
        <v/>
      </c>
      <c r="I465" t="str">
        <f>IF($A465="","",IF(Entry!$I468="",0,Entry!$I468))</f>
        <v/>
      </c>
      <c r="J465" t="str">
        <f t="shared" si="51"/>
        <v/>
      </c>
      <c r="K465" t="str">
        <f>IF($A465="","",Entry!$D468)</f>
        <v/>
      </c>
      <c r="L465" t="str">
        <f>IF($A465="","",Entry!$L468)</f>
        <v/>
      </c>
      <c r="N465" t="str">
        <f>IF(OR(Sync!$M465="",$Q465="",$Q465="نامعتبر"),"",Sync!$M465)</f>
        <v/>
      </c>
      <c r="O465" t="str">
        <f t="shared" si="52"/>
        <v/>
      </c>
      <c r="P465" t="str">
        <f>IF($N465="","",LEFT($Q465,4)&amp;MID($Q465,6,2)&amp;RIGHT($Q465,2)&amp;IF(Sync!$K465="","0000",IF(AND(ISNUMBER(Sync!$K465),Sync!$K465&gt;=0,Sync!$K465&lt;1),RIGHT("00"&amp;HOUR(Sync!$K465),2)&amp;RIGHT("00"&amp;MINUTE(Sync!$K465),2),IFERROR(RIGHT("00"&amp;VALUE(LEFT(Sync!$K465,FIND(":",Sync!$K465)-1)),2)&amp;RIGHT("00"&amp;VALUE(MID(Sync!$K465,FIND(":",Sync!$K465)+1,2)),2),"0000")))&amp;"|"&amp;"2"&amp;RIGHT("00000"&amp;460,5))</f>
        <v/>
      </c>
      <c r="Q465" t="str">
        <f>IF(Sync!$J465="","",IF(ISNUMBER(Sync!$J465),IF(AND(Sync!$J465&gt;=10000101,Sync!$J465&lt;=99991231),INT(Sync!$J465/10000)&amp;"/"&amp;RIGHT("00"&amp;INT(MOD(Sync!$J465,10000)/100),2)&amp;"/"&amp;RIGHT("00"&amp;MOD(Sync!$J465,100),2),"نامعتبر"),IF(LEN(Sync!$J465)=10,Sync!$J465,"نامعتبر")))</f>
        <v/>
      </c>
      <c r="R465" t="str">
        <f t="shared" si="53"/>
        <v/>
      </c>
      <c r="S465" t="str">
        <f t="shared" si="54"/>
        <v/>
      </c>
      <c r="T465" t="str">
        <f>IF($N465="","",IF(Sync!$N465="",0,Sync!$N465))</f>
        <v/>
      </c>
      <c r="U465" t="str">
        <f>IF($N465="","",IF(Sync!$O465="",0,Sync!$O465))</f>
        <v/>
      </c>
      <c r="V465" t="str">
        <f>IF($N465="","",Sync!$L465)</f>
        <v/>
      </c>
      <c r="W465" t="str">
        <f>IF($N465="","",Sync!$P465)</f>
        <v/>
      </c>
      <c r="AA465" t="str">
        <f>IF($A465="","",IF(COUNTIF($A$6:$A465,$A465)=1,1,0))</f>
        <v/>
      </c>
      <c r="AB465">
        <f>SUM($AA$6:$AA465)</f>
        <v>3</v>
      </c>
      <c r="AC465" t="str">
        <f t="shared" si="55"/>
        <v/>
      </c>
    </row>
    <row r="466" spans="1:29" x14ac:dyDescent="0.2">
      <c r="A466" t="str">
        <f>IF(OR(Entry!$B469="",Entry!$E469="",$E466="نامعتبر"),"",Entry!$E469)</f>
        <v/>
      </c>
      <c r="B466" t="str">
        <f>IF($A466="","",LEFT($E466,4)&amp;MID($E466,6,2)&amp;RIGHT($E466,2)&amp;$F466&amp;"|"&amp;"1"&amp;RIGHT("00000"&amp;461,5))</f>
        <v/>
      </c>
      <c r="C466" t="str">
        <f t="shared" si="49"/>
        <v/>
      </c>
      <c r="D466" t="str">
        <f t="shared" si="50"/>
        <v/>
      </c>
      <c r="E466" t="str">
        <f>IF(Entry!$B469="","",IF(ISNUMBER(Entry!$B469),IF(AND(Entry!$B469&gt;=10000101,Entry!$B469&lt;=99991231),INT(Entry!$B469/10000)&amp;"/"&amp;RIGHT("00"&amp;INT(MOD(Entry!$B469,10000)/100),2)&amp;"/"&amp;RIGHT("00"&amp;MOD(Entry!$B469,100),2),"نامعتبر"),IF(LEN(Entry!$B469)=10,Entry!$B469,"نامعتبر")))</f>
        <v/>
      </c>
      <c r="F466" t="str">
        <f>IF(Entry!$B469="","",IF(Entry!$C469="","0000",IF(AND(ISNUMBER(Entry!$C469),Entry!$C469&gt;=0,Entry!$C469&lt;1),RIGHT("00"&amp;HOUR(Entry!$C469),2)&amp;RIGHT("00"&amp;MINUTE(Entry!$C469),2),IFERROR(RIGHT("00"&amp;VALUE(LEFT(Entry!$C469,FIND(":",Entry!$C469)-1)),2)&amp;RIGHT("00"&amp;VALUE(MID(Entry!$C469,FIND(":",Entry!$C469)+1,2)),2),"0000"))))</f>
        <v/>
      </c>
      <c r="G466" t="str">
        <f>IF($A466="","",Entry!$G469)</f>
        <v/>
      </c>
      <c r="H466" t="str">
        <f>IF($A466="","",IF(Entry!$H469="",0,Entry!$H469))</f>
        <v/>
      </c>
      <c r="I466" t="str">
        <f>IF($A466="","",IF(Entry!$I469="",0,Entry!$I469))</f>
        <v/>
      </c>
      <c r="J466" t="str">
        <f t="shared" si="51"/>
        <v/>
      </c>
      <c r="K466" t="str">
        <f>IF($A466="","",Entry!$D469)</f>
        <v/>
      </c>
      <c r="L466" t="str">
        <f>IF($A466="","",Entry!$L469)</f>
        <v/>
      </c>
      <c r="N466" t="str">
        <f>IF(OR(Sync!$M466="",$Q466="",$Q466="نامعتبر"),"",Sync!$M466)</f>
        <v/>
      </c>
      <c r="O466" t="str">
        <f t="shared" si="52"/>
        <v/>
      </c>
      <c r="P466" t="str">
        <f>IF($N466="","",LEFT($Q466,4)&amp;MID($Q466,6,2)&amp;RIGHT($Q466,2)&amp;IF(Sync!$K466="","0000",IF(AND(ISNUMBER(Sync!$K466),Sync!$K466&gt;=0,Sync!$K466&lt;1),RIGHT("00"&amp;HOUR(Sync!$K466),2)&amp;RIGHT("00"&amp;MINUTE(Sync!$K466),2),IFERROR(RIGHT("00"&amp;VALUE(LEFT(Sync!$K466,FIND(":",Sync!$K466)-1)),2)&amp;RIGHT("00"&amp;VALUE(MID(Sync!$K466,FIND(":",Sync!$K466)+1,2)),2),"0000")))&amp;"|"&amp;"2"&amp;RIGHT("00000"&amp;461,5))</f>
        <v/>
      </c>
      <c r="Q466" t="str">
        <f>IF(Sync!$J466="","",IF(ISNUMBER(Sync!$J466),IF(AND(Sync!$J466&gt;=10000101,Sync!$J466&lt;=99991231),INT(Sync!$J466/10000)&amp;"/"&amp;RIGHT("00"&amp;INT(MOD(Sync!$J466,10000)/100),2)&amp;"/"&amp;RIGHT("00"&amp;MOD(Sync!$J466,100),2),"نامعتبر"),IF(LEN(Sync!$J466)=10,Sync!$J466,"نامعتبر")))</f>
        <v/>
      </c>
      <c r="R466" t="str">
        <f t="shared" si="53"/>
        <v/>
      </c>
      <c r="S466" t="str">
        <f t="shared" si="54"/>
        <v/>
      </c>
      <c r="T466" t="str">
        <f>IF($N466="","",IF(Sync!$N466="",0,Sync!$N466))</f>
        <v/>
      </c>
      <c r="U466" t="str">
        <f>IF($N466="","",IF(Sync!$O466="",0,Sync!$O466))</f>
        <v/>
      </c>
      <c r="V466" t="str">
        <f>IF($N466="","",Sync!$L466)</f>
        <v/>
      </c>
      <c r="W466" t="str">
        <f>IF($N466="","",Sync!$P466)</f>
        <v/>
      </c>
      <c r="AA466" t="str">
        <f>IF($A466="","",IF(COUNTIF($A$6:$A466,$A466)=1,1,0))</f>
        <v/>
      </c>
      <c r="AB466">
        <f>SUM($AA$6:$AA466)</f>
        <v>3</v>
      </c>
      <c r="AC466" t="str">
        <f t="shared" si="55"/>
        <v/>
      </c>
    </row>
    <row r="467" spans="1:29" x14ac:dyDescent="0.2">
      <c r="A467" t="str">
        <f>IF(OR(Entry!$B470="",Entry!$E470="",$E467="نامعتبر"),"",Entry!$E470)</f>
        <v/>
      </c>
      <c r="B467" t="str">
        <f>IF($A467="","",LEFT($E467,4)&amp;MID($E467,6,2)&amp;RIGHT($E467,2)&amp;$F467&amp;"|"&amp;"1"&amp;RIGHT("00000"&amp;462,5))</f>
        <v/>
      </c>
      <c r="C467" t="str">
        <f t="shared" si="49"/>
        <v/>
      </c>
      <c r="D467" t="str">
        <f t="shared" si="50"/>
        <v/>
      </c>
      <c r="E467" t="str">
        <f>IF(Entry!$B470="","",IF(ISNUMBER(Entry!$B470),IF(AND(Entry!$B470&gt;=10000101,Entry!$B470&lt;=99991231),INT(Entry!$B470/10000)&amp;"/"&amp;RIGHT("00"&amp;INT(MOD(Entry!$B470,10000)/100),2)&amp;"/"&amp;RIGHT("00"&amp;MOD(Entry!$B470,100),2),"نامعتبر"),IF(LEN(Entry!$B470)=10,Entry!$B470,"نامعتبر")))</f>
        <v/>
      </c>
      <c r="F467" t="str">
        <f>IF(Entry!$B470="","",IF(Entry!$C470="","0000",IF(AND(ISNUMBER(Entry!$C470),Entry!$C470&gt;=0,Entry!$C470&lt;1),RIGHT("00"&amp;HOUR(Entry!$C470),2)&amp;RIGHT("00"&amp;MINUTE(Entry!$C470),2),IFERROR(RIGHT("00"&amp;VALUE(LEFT(Entry!$C470,FIND(":",Entry!$C470)-1)),2)&amp;RIGHT("00"&amp;VALUE(MID(Entry!$C470,FIND(":",Entry!$C470)+1,2)),2),"0000"))))</f>
        <v/>
      </c>
      <c r="G467" t="str">
        <f>IF($A467="","",Entry!$G470)</f>
        <v/>
      </c>
      <c r="H467" t="str">
        <f>IF($A467="","",IF(Entry!$H470="",0,Entry!$H470))</f>
        <v/>
      </c>
      <c r="I467" t="str">
        <f>IF($A467="","",IF(Entry!$I470="",0,Entry!$I470))</f>
        <v/>
      </c>
      <c r="J467" t="str">
        <f t="shared" si="51"/>
        <v/>
      </c>
      <c r="K467" t="str">
        <f>IF($A467="","",Entry!$D470)</f>
        <v/>
      </c>
      <c r="L467" t="str">
        <f>IF($A467="","",Entry!$L470)</f>
        <v/>
      </c>
      <c r="N467" t="str">
        <f>IF(OR(Sync!$M467="",$Q467="",$Q467="نامعتبر"),"",Sync!$M467)</f>
        <v/>
      </c>
      <c r="O467" t="str">
        <f t="shared" si="52"/>
        <v/>
      </c>
      <c r="P467" t="str">
        <f>IF($N467="","",LEFT($Q467,4)&amp;MID($Q467,6,2)&amp;RIGHT($Q467,2)&amp;IF(Sync!$K467="","0000",IF(AND(ISNUMBER(Sync!$K467),Sync!$K467&gt;=0,Sync!$K467&lt;1),RIGHT("00"&amp;HOUR(Sync!$K467),2)&amp;RIGHT("00"&amp;MINUTE(Sync!$K467),2),IFERROR(RIGHT("00"&amp;VALUE(LEFT(Sync!$K467,FIND(":",Sync!$K467)-1)),2)&amp;RIGHT("00"&amp;VALUE(MID(Sync!$K467,FIND(":",Sync!$K467)+1,2)),2),"0000")))&amp;"|"&amp;"2"&amp;RIGHT("00000"&amp;462,5))</f>
        <v/>
      </c>
      <c r="Q467" t="str">
        <f>IF(Sync!$J467="","",IF(ISNUMBER(Sync!$J467),IF(AND(Sync!$J467&gt;=10000101,Sync!$J467&lt;=99991231),INT(Sync!$J467/10000)&amp;"/"&amp;RIGHT("00"&amp;INT(MOD(Sync!$J467,10000)/100),2)&amp;"/"&amp;RIGHT("00"&amp;MOD(Sync!$J467,100),2),"نامعتبر"),IF(LEN(Sync!$J467)=10,Sync!$J467,"نامعتبر")))</f>
        <v/>
      </c>
      <c r="R467" t="str">
        <f t="shared" si="53"/>
        <v/>
      </c>
      <c r="S467" t="str">
        <f t="shared" si="54"/>
        <v/>
      </c>
      <c r="T467" t="str">
        <f>IF($N467="","",IF(Sync!$N467="",0,Sync!$N467))</f>
        <v/>
      </c>
      <c r="U467" t="str">
        <f>IF($N467="","",IF(Sync!$O467="",0,Sync!$O467))</f>
        <v/>
      </c>
      <c r="V467" t="str">
        <f>IF($N467="","",Sync!$L467)</f>
        <v/>
      </c>
      <c r="W467" t="str">
        <f>IF($N467="","",Sync!$P467)</f>
        <v/>
      </c>
      <c r="AA467" t="str">
        <f>IF($A467="","",IF(COUNTIF($A$6:$A467,$A467)=1,1,0))</f>
        <v/>
      </c>
      <c r="AB467">
        <f>SUM($AA$6:$AA467)</f>
        <v>3</v>
      </c>
      <c r="AC467" t="str">
        <f t="shared" si="55"/>
        <v/>
      </c>
    </row>
    <row r="468" spans="1:29" x14ac:dyDescent="0.2">
      <c r="A468" t="str">
        <f>IF(OR(Entry!$B471="",Entry!$E471="",$E468="نامعتبر"),"",Entry!$E471)</f>
        <v/>
      </c>
      <c r="B468" t="str">
        <f>IF($A468="","",LEFT($E468,4)&amp;MID($E468,6,2)&amp;RIGHT($E468,2)&amp;$F468&amp;"|"&amp;"1"&amp;RIGHT("00000"&amp;463,5))</f>
        <v/>
      </c>
      <c r="C468" t="str">
        <f t="shared" si="49"/>
        <v/>
      </c>
      <c r="D468" t="str">
        <f t="shared" si="50"/>
        <v/>
      </c>
      <c r="E468" t="str">
        <f>IF(Entry!$B471="","",IF(ISNUMBER(Entry!$B471),IF(AND(Entry!$B471&gt;=10000101,Entry!$B471&lt;=99991231),INT(Entry!$B471/10000)&amp;"/"&amp;RIGHT("00"&amp;INT(MOD(Entry!$B471,10000)/100),2)&amp;"/"&amp;RIGHT("00"&amp;MOD(Entry!$B471,100),2),"نامعتبر"),IF(LEN(Entry!$B471)=10,Entry!$B471,"نامعتبر")))</f>
        <v/>
      </c>
      <c r="F468" t="str">
        <f>IF(Entry!$B471="","",IF(Entry!$C471="","0000",IF(AND(ISNUMBER(Entry!$C471),Entry!$C471&gt;=0,Entry!$C471&lt;1),RIGHT("00"&amp;HOUR(Entry!$C471),2)&amp;RIGHT("00"&amp;MINUTE(Entry!$C471),2),IFERROR(RIGHT("00"&amp;VALUE(LEFT(Entry!$C471,FIND(":",Entry!$C471)-1)),2)&amp;RIGHT("00"&amp;VALUE(MID(Entry!$C471,FIND(":",Entry!$C471)+1,2)),2),"0000"))))</f>
        <v/>
      </c>
      <c r="G468" t="str">
        <f>IF($A468="","",Entry!$G471)</f>
        <v/>
      </c>
      <c r="H468" t="str">
        <f>IF($A468="","",IF(Entry!$H471="",0,Entry!$H471))</f>
        <v/>
      </c>
      <c r="I468" t="str">
        <f>IF($A468="","",IF(Entry!$I471="",0,Entry!$I471))</f>
        <v/>
      </c>
      <c r="J468" t="str">
        <f t="shared" si="51"/>
        <v/>
      </c>
      <c r="K468" t="str">
        <f>IF($A468="","",Entry!$D471)</f>
        <v/>
      </c>
      <c r="L468" t="str">
        <f>IF($A468="","",Entry!$L471)</f>
        <v/>
      </c>
      <c r="N468" t="str">
        <f>IF(OR(Sync!$M468="",$Q468="",$Q468="نامعتبر"),"",Sync!$M468)</f>
        <v/>
      </c>
      <c r="O468" t="str">
        <f t="shared" si="52"/>
        <v/>
      </c>
      <c r="P468" t="str">
        <f>IF($N468="","",LEFT($Q468,4)&amp;MID($Q468,6,2)&amp;RIGHT($Q468,2)&amp;IF(Sync!$K468="","0000",IF(AND(ISNUMBER(Sync!$K468),Sync!$K468&gt;=0,Sync!$K468&lt;1),RIGHT("00"&amp;HOUR(Sync!$K468),2)&amp;RIGHT("00"&amp;MINUTE(Sync!$K468),2),IFERROR(RIGHT("00"&amp;VALUE(LEFT(Sync!$K468,FIND(":",Sync!$K468)-1)),2)&amp;RIGHT("00"&amp;VALUE(MID(Sync!$K468,FIND(":",Sync!$K468)+1,2)),2),"0000")))&amp;"|"&amp;"2"&amp;RIGHT("00000"&amp;463,5))</f>
        <v/>
      </c>
      <c r="Q468" t="str">
        <f>IF(Sync!$J468="","",IF(ISNUMBER(Sync!$J468),IF(AND(Sync!$J468&gt;=10000101,Sync!$J468&lt;=99991231),INT(Sync!$J468/10000)&amp;"/"&amp;RIGHT("00"&amp;INT(MOD(Sync!$J468,10000)/100),2)&amp;"/"&amp;RIGHT("00"&amp;MOD(Sync!$J468,100),2),"نامعتبر"),IF(LEN(Sync!$J468)=10,Sync!$J468,"نامعتبر")))</f>
        <v/>
      </c>
      <c r="R468" t="str">
        <f t="shared" si="53"/>
        <v/>
      </c>
      <c r="S468" t="str">
        <f t="shared" si="54"/>
        <v/>
      </c>
      <c r="T468" t="str">
        <f>IF($N468="","",IF(Sync!$N468="",0,Sync!$N468))</f>
        <v/>
      </c>
      <c r="U468" t="str">
        <f>IF($N468="","",IF(Sync!$O468="",0,Sync!$O468))</f>
        <v/>
      </c>
      <c r="V468" t="str">
        <f>IF($N468="","",Sync!$L468)</f>
        <v/>
      </c>
      <c r="W468" t="str">
        <f>IF($N468="","",Sync!$P468)</f>
        <v/>
      </c>
      <c r="AA468" t="str">
        <f>IF($A468="","",IF(COUNTIF($A$6:$A468,$A468)=1,1,0))</f>
        <v/>
      </c>
      <c r="AB468">
        <f>SUM($AA$6:$AA468)</f>
        <v>3</v>
      </c>
      <c r="AC468" t="str">
        <f t="shared" si="55"/>
        <v/>
      </c>
    </row>
    <row r="469" spans="1:29" x14ac:dyDescent="0.2">
      <c r="A469" t="str">
        <f>IF(OR(Entry!$B472="",Entry!$E472="",$E469="نامعتبر"),"",Entry!$E472)</f>
        <v/>
      </c>
      <c r="B469" t="str">
        <f>IF($A469="","",LEFT($E469,4)&amp;MID($E469,6,2)&amp;RIGHT($E469,2)&amp;$F469&amp;"|"&amp;"1"&amp;RIGHT("00000"&amp;464,5))</f>
        <v/>
      </c>
      <c r="C469" t="str">
        <f t="shared" si="49"/>
        <v/>
      </c>
      <c r="D469" t="str">
        <f t="shared" si="50"/>
        <v/>
      </c>
      <c r="E469" t="str">
        <f>IF(Entry!$B472="","",IF(ISNUMBER(Entry!$B472),IF(AND(Entry!$B472&gt;=10000101,Entry!$B472&lt;=99991231),INT(Entry!$B472/10000)&amp;"/"&amp;RIGHT("00"&amp;INT(MOD(Entry!$B472,10000)/100),2)&amp;"/"&amp;RIGHT("00"&amp;MOD(Entry!$B472,100),2),"نامعتبر"),IF(LEN(Entry!$B472)=10,Entry!$B472,"نامعتبر")))</f>
        <v/>
      </c>
      <c r="F469" t="str">
        <f>IF(Entry!$B472="","",IF(Entry!$C472="","0000",IF(AND(ISNUMBER(Entry!$C472),Entry!$C472&gt;=0,Entry!$C472&lt;1),RIGHT("00"&amp;HOUR(Entry!$C472),2)&amp;RIGHT("00"&amp;MINUTE(Entry!$C472),2),IFERROR(RIGHT("00"&amp;VALUE(LEFT(Entry!$C472,FIND(":",Entry!$C472)-1)),2)&amp;RIGHT("00"&amp;VALUE(MID(Entry!$C472,FIND(":",Entry!$C472)+1,2)),2),"0000"))))</f>
        <v/>
      </c>
      <c r="G469" t="str">
        <f>IF($A469="","",Entry!$G472)</f>
        <v/>
      </c>
      <c r="H469" t="str">
        <f>IF($A469="","",IF(Entry!$H472="",0,Entry!$H472))</f>
        <v/>
      </c>
      <c r="I469" t="str">
        <f>IF($A469="","",IF(Entry!$I472="",0,Entry!$I472))</f>
        <v/>
      </c>
      <c r="J469" t="str">
        <f t="shared" si="51"/>
        <v/>
      </c>
      <c r="K469" t="str">
        <f>IF($A469="","",Entry!$D472)</f>
        <v/>
      </c>
      <c r="L469" t="str">
        <f>IF($A469="","",Entry!$L472)</f>
        <v/>
      </c>
      <c r="N469" t="str">
        <f>IF(OR(Sync!$M469="",$Q469="",$Q469="نامعتبر"),"",Sync!$M469)</f>
        <v/>
      </c>
      <c r="O469" t="str">
        <f t="shared" si="52"/>
        <v/>
      </c>
      <c r="P469" t="str">
        <f>IF($N469="","",LEFT($Q469,4)&amp;MID($Q469,6,2)&amp;RIGHT($Q469,2)&amp;IF(Sync!$K469="","0000",IF(AND(ISNUMBER(Sync!$K469),Sync!$K469&gt;=0,Sync!$K469&lt;1),RIGHT("00"&amp;HOUR(Sync!$K469),2)&amp;RIGHT("00"&amp;MINUTE(Sync!$K469),2),IFERROR(RIGHT("00"&amp;VALUE(LEFT(Sync!$K469,FIND(":",Sync!$K469)-1)),2)&amp;RIGHT("00"&amp;VALUE(MID(Sync!$K469,FIND(":",Sync!$K469)+1,2)),2),"0000")))&amp;"|"&amp;"2"&amp;RIGHT("00000"&amp;464,5))</f>
        <v/>
      </c>
      <c r="Q469" t="str">
        <f>IF(Sync!$J469="","",IF(ISNUMBER(Sync!$J469),IF(AND(Sync!$J469&gt;=10000101,Sync!$J469&lt;=99991231),INT(Sync!$J469/10000)&amp;"/"&amp;RIGHT("00"&amp;INT(MOD(Sync!$J469,10000)/100),2)&amp;"/"&amp;RIGHT("00"&amp;MOD(Sync!$J469,100),2),"نامعتبر"),IF(LEN(Sync!$J469)=10,Sync!$J469,"نامعتبر")))</f>
        <v/>
      </c>
      <c r="R469" t="str">
        <f t="shared" si="53"/>
        <v/>
      </c>
      <c r="S469" t="str">
        <f t="shared" si="54"/>
        <v/>
      </c>
      <c r="T469" t="str">
        <f>IF($N469="","",IF(Sync!$N469="",0,Sync!$N469))</f>
        <v/>
      </c>
      <c r="U469" t="str">
        <f>IF($N469="","",IF(Sync!$O469="",0,Sync!$O469))</f>
        <v/>
      </c>
      <c r="V469" t="str">
        <f>IF($N469="","",Sync!$L469)</f>
        <v/>
      </c>
      <c r="W469" t="str">
        <f>IF($N469="","",Sync!$P469)</f>
        <v/>
      </c>
      <c r="AA469" t="str">
        <f>IF($A469="","",IF(COUNTIF($A$6:$A469,$A469)=1,1,0))</f>
        <v/>
      </c>
      <c r="AB469">
        <f>SUM($AA$6:$AA469)</f>
        <v>3</v>
      </c>
      <c r="AC469" t="str">
        <f t="shared" si="55"/>
        <v/>
      </c>
    </row>
    <row r="470" spans="1:29" x14ac:dyDescent="0.2">
      <c r="A470" t="str">
        <f>IF(OR(Entry!$B473="",Entry!$E473="",$E470="نامعتبر"),"",Entry!$E473)</f>
        <v/>
      </c>
      <c r="B470" t="str">
        <f>IF($A470="","",LEFT($E470,4)&amp;MID($E470,6,2)&amp;RIGHT($E470,2)&amp;$F470&amp;"|"&amp;"1"&amp;RIGHT("00000"&amp;465,5))</f>
        <v/>
      </c>
      <c r="C470" t="str">
        <f t="shared" si="49"/>
        <v/>
      </c>
      <c r="D470" t="str">
        <f t="shared" si="50"/>
        <v/>
      </c>
      <c r="E470" t="str">
        <f>IF(Entry!$B473="","",IF(ISNUMBER(Entry!$B473),IF(AND(Entry!$B473&gt;=10000101,Entry!$B473&lt;=99991231),INT(Entry!$B473/10000)&amp;"/"&amp;RIGHT("00"&amp;INT(MOD(Entry!$B473,10000)/100),2)&amp;"/"&amp;RIGHT("00"&amp;MOD(Entry!$B473,100),2),"نامعتبر"),IF(LEN(Entry!$B473)=10,Entry!$B473,"نامعتبر")))</f>
        <v/>
      </c>
      <c r="F470" t="str">
        <f>IF(Entry!$B473="","",IF(Entry!$C473="","0000",IF(AND(ISNUMBER(Entry!$C473),Entry!$C473&gt;=0,Entry!$C473&lt;1),RIGHT("00"&amp;HOUR(Entry!$C473),2)&amp;RIGHT("00"&amp;MINUTE(Entry!$C473),2),IFERROR(RIGHT("00"&amp;VALUE(LEFT(Entry!$C473,FIND(":",Entry!$C473)-1)),2)&amp;RIGHT("00"&amp;VALUE(MID(Entry!$C473,FIND(":",Entry!$C473)+1,2)),2),"0000"))))</f>
        <v/>
      </c>
      <c r="G470" t="str">
        <f>IF($A470="","",Entry!$G473)</f>
        <v/>
      </c>
      <c r="H470" t="str">
        <f>IF($A470="","",IF(Entry!$H473="",0,Entry!$H473))</f>
        <v/>
      </c>
      <c r="I470" t="str">
        <f>IF($A470="","",IF(Entry!$I473="",0,Entry!$I473))</f>
        <v/>
      </c>
      <c r="J470" t="str">
        <f t="shared" si="51"/>
        <v/>
      </c>
      <c r="K470" t="str">
        <f>IF($A470="","",Entry!$D473)</f>
        <v/>
      </c>
      <c r="L470" t="str">
        <f>IF($A470="","",Entry!$L473)</f>
        <v/>
      </c>
      <c r="N470" t="str">
        <f>IF(OR(Sync!$M470="",$Q470="",$Q470="نامعتبر"),"",Sync!$M470)</f>
        <v/>
      </c>
      <c r="O470" t="str">
        <f t="shared" si="52"/>
        <v/>
      </c>
      <c r="P470" t="str">
        <f>IF($N470="","",LEFT($Q470,4)&amp;MID($Q470,6,2)&amp;RIGHT($Q470,2)&amp;IF(Sync!$K470="","0000",IF(AND(ISNUMBER(Sync!$K470),Sync!$K470&gt;=0,Sync!$K470&lt;1),RIGHT("00"&amp;HOUR(Sync!$K470),2)&amp;RIGHT("00"&amp;MINUTE(Sync!$K470),2),IFERROR(RIGHT("00"&amp;VALUE(LEFT(Sync!$K470,FIND(":",Sync!$K470)-1)),2)&amp;RIGHT("00"&amp;VALUE(MID(Sync!$K470,FIND(":",Sync!$K470)+1,2)),2),"0000")))&amp;"|"&amp;"2"&amp;RIGHT("00000"&amp;465,5))</f>
        <v/>
      </c>
      <c r="Q470" t="str">
        <f>IF(Sync!$J470="","",IF(ISNUMBER(Sync!$J470),IF(AND(Sync!$J470&gt;=10000101,Sync!$J470&lt;=99991231),INT(Sync!$J470/10000)&amp;"/"&amp;RIGHT("00"&amp;INT(MOD(Sync!$J470,10000)/100),2)&amp;"/"&amp;RIGHT("00"&amp;MOD(Sync!$J470,100),2),"نامعتبر"),IF(LEN(Sync!$J470)=10,Sync!$J470,"نامعتبر")))</f>
        <v/>
      </c>
      <c r="R470" t="str">
        <f t="shared" si="53"/>
        <v/>
      </c>
      <c r="S470" t="str">
        <f t="shared" si="54"/>
        <v/>
      </c>
      <c r="T470" t="str">
        <f>IF($N470="","",IF(Sync!$N470="",0,Sync!$N470))</f>
        <v/>
      </c>
      <c r="U470" t="str">
        <f>IF($N470="","",IF(Sync!$O470="",0,Sync!$O470))</f>
        <v/>
      </c>
      <c r="V470" t="str">
        <f>IF($N470="","",Sync!$L470)</f>
        <v/>
      </c>
      <c r="W470" t="str">
        <f>IF($N470="","",Sync!$P470)</f>
        <v/>
      </c>
      <c r="AA470" t="str">
        <f>IF($A470="","",IF(COUNTIF($A$6:$A470,$A470)=1,1,0))</f>
        <v/>
      </c>
      <c r="AB470">
        <f>SUM($AA$6:$AA470)</f>
        <v>3</v>
      </c>
      <c r="AC470" t="str">
        <f t="shared" si="55"/>
        <v/>
      </c>
    </row>
    <row r="471" spans="1:29" x14ac:dyDescent="0.2">
      <c r="A471" t="str">
        <f>IF(OR(Entry!$B474="",Entry!$E474="",$E471="نامعتبر"),"",Entry!$E474)</f>
        <v/>
      </c>
      <c r="B471" t="str">
        <f>IF($A471="","",LEFT($E471,4)&amp;MID($E471,6,2)&amp;RIGHT($E471,2)&amp;$F471&amp;"|"&amp;"1"&amp;RIGHT("00000"&amp;466,5))</f>
        <v/>
      </c>
      <c r="C471" t="str">
        <f t="shared" si="49"/>
        <v/>
      </c>
      <c r="D471" t="str">
        <f t="shared" si="50"/>
        <v/>
      </c>
      <c r="E471" t="str">
        <f>IF(Entry!$B474="","",IF(ISNUMBER(Entry!$B474),IF(AND(Entry!$B474&gt;=10000101,Entry!$B474&lt;=99991231),INT(Entry!$B474/10000)&amp;"/"&amp;RIGHT("00"&amp;INT(MOD(Entry!$B474,10000)/100),2)&amp;"/"&amp;RIGHT("00"&amp;MOD(Entry!$B474,100),2),"نامعتبر"),IF(LEN(Entry!$B474)=10,Entry!$B474,"نامعتبر")))</f>
        <v/>
      </c>
      <c r="F471" t="str">
        <f>IF(Entry!$B474="","",IF(Entry!$C474="","0000",IF(AND(ISNUMBER(Entry!$C474),Entry!$C474&gt;=0,Entry!$C474&lt;1),RIGHT("00"&amp;HOUR(Entry!$C474),2)&amp;RIGHT("00"&amp;MINUTE(Entry!$C474),2),IFERROR(RIGHT("00"&amp;VALUE(LEFT(Entry!$C474,FIND(":",Entry!$C474)-1)),2)&amp;RIGHT("00"&amp;VALUE(MID(Entry!$C474,FIND(":",Entry!$C474)+1,2)),2),"0000"))))</f>
        <v/>
      </c>
      <c r="G471" t="str">
        <f>IF($A471="","",Entry!$G474)</f>
        <v/>
      </c>
      <c r="H471" t="str">
        <f>IF($A471="","",IF(Entry!$H474="",0,Entry!$H474))</f>
        <v/>
      </c>
      <c r="I471" t="str">
        <f>IF($A471="","",IF(Entry!$I474="",0,Entry!$I474))</f>
        <v/>
      </c>
      <c r="J471" t="str">
        <f t="shared" si="51"/>
        <v/>
      </c>
      <c r="K471" t="str">
        <f>IF($A471="","",Entry!$D474)</f>
        <v/>
      </c>
      <c r="L471" t="str">
        <f>IF($A471="","",Entry!$L474)</f>
        <v/>
      </c>
      <c r="N471" t="str">
        <f>IF(OR(Sync!$M471="",$Q471="",$Q471="نامعتبر"),"",Sync!$M471)</f>
        <v/>
      </c>
      <c r="O471" t="str">
        <f t="shared" si="52"/>
        <v/>
      </c>
      <c r="P471" t="str">
        <f>IF($N471="","",LEFT($Q471,4)&amp;MID($Q471,6,2)&amp;RIGHT($Q471,2)&amp;IF(Sync!$K471="","0000",IF(AND(ISNUMBER(Sync!$K471),Sync!$K471&gt;=0,Sync!$K471&lt;1),RIGHT("00"&amp;HOUR(Sync!$K471),2)&amp;RIGHT("00"&amp;MINUTE(Sync!$K471),2),IFERROR(RIGHT("00"&amp;VALUE(LEFT(Sync!$K471,FIND(":",Sync!$K471)-1)),2)&amp;RIGHT("00"&amp;VALUE(MID(Sync!$K471,FIND(":",Sync!$K471)+1,2)),2),"0000")))&amp;"|"&amp;"2"&amp;RIGHT("00000"&amp;466,5))</f>
        <v/>
      </c>
      <c r="Q471" t="str">
        <f>IF(Sync!$J471="","",IF(ISNUMBER(Sync!$J471),IF(AND(Sync!$J471&gt;=10000101,Sync!$J471&lt;=99991231),INT(Sync!$J471/10000)&amp;"/"&amp;RIGHT("00"&amp;INT(MOD(Sync!$J471,10000)/100),2)&amp;"/"&amp;RIGHT("00"&amp;MOD(Sync!$J471,100),2),"نامعتبر"),IF(LEN(Sync!$J471)=10,Sync!$J471,"نامعتبر")))</f>
        <v/>
      </c>
      <c r="R471" t="str">
        <f t="shared" si="53"/>
        <v/>
      </c>
      <c r="S471" t="str">
        <f t="shared" si="54"/>
        <v/>
      </c>
      <c r="T471" t="str">
        <f>IF($N471="","",IF(Sync!$N471="",0,Sync!$N471))</f>
        <v/>
      </c>
      <c r="U471" t="str">
        <f>IF($N471="","",IF(Sync!$O471="",0,Sync!$O471))</f>
        <v/>
      </c>
      <c r="V471" t="str">
        <f>IF($N471="","",Sync!$L471)</f>
        <v/>
      </c>
      <c r="W471" t="str">
        <f>IF($N471="","",Sync!$P471)</f>
        <v/>
      </c>
      <c r="AA471" t="str">
        <f>IF($A471="","",IF(COUNTIF($A$6:$A471,$A471)=1,1,0))</f>
        <v/>
      </c>
      <c r="AB471">
        <f>SUM($AA$6:$AA471)</f>
        <v>3</v>
      </c>
      <c r="AC471" t="str">
        <f t="shared" si="55"/>
        <v/>
      </c>
    </row>
    <row r="472" spans="1:29" x14ac:dyDescent="0.2">
      <c r="A472" t="str">
        <f>IF(OR(Entry!$B475="",Entry!$E475="",$E472="نامعتبر"),"",Entry!$E475)</f>
        <v/>
      </c>
      <c r="B472" t="str">
        <f>IF($A472="","",LEFT($E472,4)&amp;MID($E472,6,2)&amp;RIGHT($E472,2)&amp;$F472&amp;"|"&amp;"1"&amp;RIGHT("00000"&amp;467,5))</f>
        <v/>
      </c>
      <c r="C472" t="str">
        <f t="shared" si="49"/>
        <v/>
      </c>
      <c r="D472" t="str">
        <f t="shared" si="50"/>
        <v/>
      </c>
      <c r="E472" t="str">
        <f>IF(Entry!$B475="","",IF(ISNUMBER(Entry!$B475),IF(AND(Entry!$B475&gt;=10000101,Entry!$B475&lt;=99991231),INT(Entry!$B475/10000)&amp;"/"&amp;RIGHT("00"&amp;INT(MOD(Entry!$B475,10000)/100),2)&amp;"/"&amp;RIGHT("00"&amp;MOD(Entry!$B475,100),2),"نامعتبر"),IF(LEN(Entry!$B475)=10,Entry!$B475,"نامعتبر")))</f>
        <v/>
      </c>
      <c r="F472" t="str">
        <f>IF(Entry!$B475="","",IF(Entry!$C475="","0000",IF(AND(ISNUMBER(Entry!$C475),Entry!$C475&gt;=0,Entry!$C475&lt;1),RIGHT("00"&amp;HOUR(Entry!$C475),2)&amp;RIGHT("00"&amp;MINUTE(Entry!$C475),2),IFERROR(RIGHT("00"&amp;VALUE(LEFT(Entry!$C475,FIND(":",Entry!$C475)-1)),2)&amp;RIGHT("00"&amp;VALUE(MID(Entry!$C475,FIND(":",Entry!$C475)+1,2)),2),"0000"))))</f>
        <v/>
      </c>
      <c r="G472" t="str">
        <f>IF($A472="","",Entry!$G475)</f>
        <v/>
      </c>
      <c r="H472" t="str">
        <f>IF($A472="","",IF(Entry!$H475="",0,Entry!$H475))</f>
        <v/>
      </c>
      <c r="I472" t="str">
        <f>IF($A472="","",IF(Entry!$I475="",0,Entry!$I475))</f>
        <v/>
      </c>
      <c r="J472" t="str">
        <f t="shared" si="51"/>
        <v/>
      </c>
      <c r="K472" t="str">
        <f>IF($A472="","",Entry!$D475)</f>
        <v/>
      </c>
      <c r="L472" t="str">
        <f>IF($A472="","",Entry!$L475)</f>
        <v/>
      </c>
      <c r="N472" t="str">
        <f>IF(OR(Sync!$M472="",$Q472="",$Q472="نامعتبر"),"",Sync!$M472)</f>
        <v/>
      </c>
      <c r="O472" t="str">
        <f t="shared" si="52"/>
        <v/>
      </c>
      <c r="P472" t="str">
        <f>IF($N472="","",LEFT($Q472,4)&amp;MID($Q472,6,2)&amp;RIGHT($Q472,2)&amp;IF(Sync!$K472="","0000",IF(AND(ISNUMBER(Sync!$K472),Sync!$K472&gt;=0,Sync!$K472&lt;1),RIGHT("00"&amp;HOUR(Sync!$K472),2)&amp;RIGHT("00"&amp;MINUTE(Sync!$K472),2),IFERROR(RIGHT("00"&amp;VALUE(LEFT(Sync!$K472,FIND(":",Sync!$K472)-1)),2)&amp;RIGHT("00"&amp;VALUE(MID(Sync!$K472,FIND(":",Sync!$K472)+1,2)),2),"0000")))&amp;"|"&amp;"2"&amp;RIGHT("00000"&amp;467,5))</f>
        <v/>
      </c>
      <c r="Q472" t="str">
        <f>IF(Sync!$J472="","",IF(ISNUMBER(Sync!$J472),IF(AND(Sync!$J472&gt;=10000101,Sync!$J472&lt;=99991231),INT(Sync!$J472/10000)&amp;"/"&amp;RIGHT("00"&amp;INT(MOD(Sync!$J472,10000)/100),2)&amp;"/"&amp;RIGHT("00"&amp;MOD(Sync!$J472,100),2),"نامعتبر"),IF(LEN(Sync!$J472)=10,Sync!$J472,"نامعتبر")))</f>
        <v/>
      </c>
      <c r="R472" t="str">
        <f t="shared" si="53"/>
        <v/>
      </c>
      <c r="S472" t="str">
        <f t="shared" si="54"/>
        <v/>
      </c>
      <c r="T472" t="str">
        <f>IF($N472="","",IF(Sync!$N472="",0,Sync!$N472))</f>
        <v/>
      </c>
      <c r="U472" t="str">
        <f>IF($N472="","",IF(Sync!$O472="",0,Sync!$O472))</f>
        <v/>
      </c>
      <c r="V472" t="str">
        <f>IF($N472="","",Sync!$L472)</f>
        <v/>
      </c>
      <c r="W472" t="str">
        <f>IF($N472="","",Sync!$P472)</f>
        <v/>
      </c>
      <c r="AA472" t="str">
        <f>IF($A472="","",IF(COUNTIF($A$6:$A472,$A472)=1,1,0))</f>
        <v/>
      </c>
      <c r="AB472">
        <f>SUM($AA$6:$AA472)</f>
        <v>3</v>
      </c>
      <c r="AC472" t="str">
        <f t="shared" si="55"/>
        <v/>
      </c>
    </row>
    <row r="473" spans="1:29" x14ac:dyDescent="0.2">
      <c r="A473" t="str">
        <f>IF(OR(Entry!$B476="",Entry!$E476="",$E473="نامعتبر"),"",Entry!$E476)</f>
        <v/>
      </c>
      <c r="B473" t="str">
        <f>IF($A473="","",LEFT($E473,4)&amp;MID($E473,6,2)&amp;RIGHT($E473,2)&amp;$F473&amp;"|"&amp;"1"&amp;RIGHT("00000"&amp;468,5))</f>
        <v/>
      </c>
      <c r="C473" t="str">
        <f t="shared" si="49"/>
        <v/>
      </c>
      <c r="D473" t="str">
        <f t="shared" si="50"/>
        <v/>
      </c>
      <c r="E473" t="str">
        <f>IF(Entry!$B476="","",IF(ISNUMBER(Entry!$B476),IF(AND(Entry!$B476&gt;=10000101,Entry!$B476&lt;=99991231),INT(Entry!$B476/10000)&amp;"/"&amp;RIGHT("00"&amp;INT(MOD(Entry!$B476,10000)/100),2)&amp;"/"&amp;RIGHT("00"&amp;MOD(Entry!$B476,100),2),"نامعتبر"),IF(LEN(Entry!$B476)=10,Entry!$B476,"نامعتبر")))</f>
        <v/>
      </c>
      <c r="F473" t="str">
        <f>IF(Entry!$B476="","",IF(Entry!$C476="","0000",IF(AND(ISNUMBER(Entry!$C476),Entry!$C476&gt;=0,Entry!$C476&lt;1),RIGHT("00"&amp;HOUR(Entry!$C476),2)&amp;RIGHT("00"&amp;MINUTE(Entry!$C476),2),IFERROR(RIGHT("00"&amp;VALUE(LEFT(Entry!$C476,FIND(":",Entry!$C476)-1)),2)&amp;RIGHT("00"&amp;VALUE(MID(Entry!$C476,FIND(":",Entry!$C476)+1,2)),2),"0000"))))</f>
        <v/>
      </c>
      <c r="G473" t="str">
        <f>IF($A473="","",Entry!$G476)</f>
        <v/>
      </c>
      <c r="H473" t="str">
        <f>IF($A473="","",IF(Entry!$H476="",0,Entry!$H476))</f>
        <v/>
      </c>
      <c r="I473" t="str">
        <f>IF($A473="","",IF(Entry!$I476="",0,Entry!$I476))</f>
        <v/>
      </c>
      <c r="J473" t="str">
        <f t="shared" si="51"/>
        <v/>
      </c>
      <c r="K473" t="str">
        <f>IF($A473="","",Entry!$D476)</f>
        <v/>
      </c>
      <c r="L473" t="str">
        <f>IF($A473="","",Entry!$L476)</f>
        <v/>
      </c>
      <c r="N473" t="str">
        <f>IF(OR(Sync!$M473="",$Q473="",$Q473="نامعتبر"),"",Sync!$M473)</f>
        <v/>
      </c>
      <c r="O473" t="str">
        <f t="shared" si="52"/>
        <v/>
      </c>
      <c r="P473" t="str">
        <f>IF($N473="","",LEFT($Q473,4)&amp;MID($Q473,6,2)&amp;RIGHT($Q473,2)&amp;IF(Sync!$K473="","0000",IF(AND(ISNUMBER(Sync!$K473),Sync!$K473&gt;=0,Sync!$K473&lt;1),RIGHT("00"&amp;HOUR(Sync!$K473),2)&amp;RIGHT("00"&amp;MINUTE(Sync!$K473),2),IFERROR(RIGHT("00"&amp;VALUE(LEFT(Sync!$K473,FIND(":",Sync!$K473)-1)),2)&amp;RIGHT("00"&amp;VALUE(MID(Sync!$K473,FIND(":",Sync!$K473)+1,2)),2),"0000")))&amp;"|"&amp;"2"&amp;RIGHT("00000"&amp;468,5))</f>
        <v/>
      </c>
      <c r="Q473" t="str">
        <f>IF(Sync!$J473="","",IF(ISNUMBER(Sync!$J473),IF(AND(Sync!$J473&gt;=10000101,Sync!$J473&lt;=99991231),INT(Sync!$J473/10000)&amp;"/"&amp;RIGHT("00"&amp;INT(MOD(Sync!$J473,10000)/100),2)&amp;"/"&amp;RIGHT("00"&amp;MOD(Sync!$J473,100),2),"نامعتبر"),IF(LEN(Sync!$J473)=10,Sync!$J473,"نامعتبر")))</f>
        <v/>
      </c>
      <c r="R473" t="str">
        <f t="shared" si="53"/>
        <v/>
      </c>
      <c r="S473" t="str">
        <f t="shared" si="54"/>
        <v/>
      </c>
      <c r="T473" t="str">
        <f>IF($N473="","",IF(Sync!$N473="",0,Sync!$N473))</f>
        <v/>
      </c>
      <c r="U473" t="str">
        <f>IF($N473="","",IF(Sync!$O473="",0,Sync!$O473))</f>
        <v/>
      </c>
      <c r="V473" t="str">
        <f>IF($N473="","",Sync!$L473)</f>
        <v/>
      </c>
      <c r="W473" t="str">
        <f>IF($N473="","",Sync!$P473)</f>
        <v/>
      </c>
      <c r="AA473" t="str">
        <f>IF($A473="","",IF(COUNTIF($A$6:$A473,$A473)=1,1,0))</f>
        <v/>
      </c>
      <c r="AB473">
        <f>SUM($AA$6:$AA473)</f>
        <v>3</v>
      </c>
      <c r="AC473" t="str">
        <f t="shared" si="55"/>
        <v/>
      </c>
    </row>
    <row r="474" spans="1:29" x14ac:dyDescent="0.2">
      <c r="A474" t="str">
        <f>IF(OR(Entry!$B477="",Entry!$E477="",$E474="نامعتبر"),"",Entry!$E477)</f>
        <v/>
      </c>
      <c r="B474" t="str">
        <f>IF($A474="","",LEFT($E474,4)&amp;MID($E474,6,2)&amp;RIGHT($E474,2)&amp;$F474&amp;"|"&amp;"1"&amp;RIGHT("00000"&amp;469,5))</f>
        <v/>
      </c>
      <c r="C474" t="str">
        <f t="shared" si="49"/>
        <v/>
      </c>
      <c r="D474" t="str">
        <f t="shared" si="50"/>
        <v/>
      </c>
      <c r="E474" t="str">
        <f>IF(Entry!$B477="","",IF(ISNUMBER(Entry!$B477),IF(AND(Entry!$B477&gt;=10000101,Entry!$B477&lt;=99991231),INT(Entry!$B477/10000)&amp;"/"&amp;RIGHT("00"&amp;INT(MOD(Entry!$B477,10000)/100),2)&amp;"/"&amp;RIGHT("00"&amp;MOD(Entry!$B477,100),2),"نامعتبر"),IF(LEN(Entry!$B477)=10,Entry!$B477,"نامعتبر")))</f>
        <v/>
      </c>
      <c r="F474" t="str">
        <f>IF(Entry!$B477="","",IF(Entry!$C477="","0000",IF(AND(ISNUMBER(Entry!$C477),Entry!$C477&gt;=0,Entry!$C477&lt;1),RIGHT("00"&amp;HOUR(Entry!$C477),2)&amp;RIGHT("00"&amp;MINUTE(Entry!$C477),2),IFERROR(RIGHT("00"&amp;VALUE(LEFT(Entry!$C477,FIND(":",Entry!$C477)-1)),2)&amp;RIGHT("00"&amp;VALUE(MID(Entry!$C477,FIND(":",Entry!$C477)+1,2)),2),"0000"))))</f>
        <v/>
      </c>
      <c r="G474" t="str">
        <f>IF($A474="","",Entry!$G477)</f>
        <v/>
      </c>
      <c r="H474" t="str">
        <f>IF($A474="","",IF(Entry!$H477="",0,Entry!$H477))</f>
        <v/>
      </c>
      <c r="I474" t="str">
        <f>IF($A474="","",IF(Entry!$I477="",0,Entry!$I477))</f>
        <v/>
      </c>
      <c r="J474" t="str">
        <f t="shared" si="51"/>
        <v/>
      </c>
      <c r="K474" t="str">
        <f>IF($A474="","",Entry!$D477)</f>
        <v/>
      </c>
      <c r="L474" t="str">
        <f>IF($A474="","",Entry!$L477)</f>
        <v/>
      </c>
      <c r="N474" t="str">
        <f>IF(OR(Sync!$M474="",$Q474="",$Q474="نامعتبر"),"",Sync!$M474)</f>
        <v/>
      </c>
      <c r="O474" t="str">
        <f t="shared" si="52"/>
        <v/>
      </c>
      <c r="P474" t="str">
        <f>IF($N474="","",LEFT($Q474,4)&amp;MID($Q474,6,2)&amp;RIGHT($Q474,2)&amp;IF(Sync!$K474="","0000",IF(AND(ISNUMBER(Sync!$K474),Sync!$K474&gt;=0,Sync!$K474&lt;1),RIGHT("00"&amp;HOUR(Sync!$K474),2)&amp;RIGHT("00"&amp;MINUTE(Sync!$K474),2),IFERROR(RIGHT("00"&amp;VALUE(LEFT(Sync!$K474,FIND(":",Sync!$K474)-1)),2)&amp;RIGHT("00"&amp;VALUE(MID(Sync!$K474,FIND(":",Sync!$K474)+1,2)),2),"0000")))&amp;"|"&amp;"2"&amp;RIGHT("00000"&amp;469,5))</f>
        <v/>
      </c>
      <c r="Q474" t="str">
        <f>IF(Sync!$J474="","",IF(ISNUMBER(Sync!$J474),IF(AND(Sync!$J474&gt;=10000101,Sync!$J474&lt;=99991231),INT(Sync!$J474/10000)&amp;"/"&amp;RIGHT("00"&amp;INT(MOD(Sync!$J474,10000)/100),2)&amp;"/"&amp;RIGHT("00"&amp;MOD(Sync!$J474,100),2),"نامعتبر"),IF(LEN(Sync!$J474)=10,Sync!$J474,"نامعتبر")))</f>
        <v/>
      </c>
      <c r="R474" t="str">
        <f t="shared" si="53"/>
        <v/>
      </c>
      <c r="S474" t="str">
        <f t="shared" si="54"/>
        <v/>
      </c>
      <c r="T474" t="str">
        <f>IF($N474="","",IF(Sync!$N474="",0,Sync!$N474))</f>
        <v/>
      </c>
      <c r="U474" t="str">
        <f>IF($N474="","",IF(Sync!$O474="",0,Sync!$O474))</f>
        <v/>
      </c>
      <c r="V474" t="str">
        <f>IF($N474="","",Sync!$L474)</f>
        <v/>
      </c>
      <c r="W474" t="str">
        <f>IF($N474="","",Sync!$P474)</f>
        <v/>
      </c>
      <c r="AA474" t="str">
        <f>IF($A474="","",IF(COUNTIF($A$6:$A474,$A474)=1,1,0))</f>
        <v/>
      </c>
      <c r="AB474">
        <f>SUM($AA$6:$AA474)</f>
        <v>3</v>
      </c>
      <c r="AC474" t="str">
        <f t="shared" si="55"/>
        <v/>
      </c>
    </row>
    <row r="475" spans="1:29" x14ac:dyDescent="0.2">
      <c r="A475" t="str">
        <f>IF(OR(Entry!$B478="",Entry!$E478="",$E475="نامعتبر"),"",Entry!$E478)</f>
        <v/>
      </c>
      <c r="B475" t="str">
        <f>IF($A475="","",LEFT($E475,4)&amp;MID($E475,6,2)&amp;RIGHT($E475,2)&amp;$F475&amp;"|"&amp;"1"&amp;RIGHT("00000"&amp;470,5))</f>
        <v/>
      </c>
      <c r="C475" t="str">
        <f t="shared" si="49"/>
        <v/>
      </c>
      <c r="D475" t="str">
        <f t="shared" si="50"/>
        <v/>
      </c>
      <c r="E475" t="str">
        <f>IF(Entry!$B478="","",IF(ISNUMBER(Entry!$B478),IF(AND(Entry!$B478&gt;=10000101,Entry!$B478&lt;=99991231),INT(Entry!$B478/10000)&amp;"/"&amp;RIGHT("00"&amp;INT(MOD(Entry!$B478,10000)/100),2)&amp;"/"&amp;RIGHT("00"&amp;MOD(Entry!$B478,100),2),"نامعتبر"),IF(LEN(Entry!$B478)=10,Entry!$B478,"نامعتبر")))</f>
        <v/>
      </c>
      <c r="F475" t="str">
        <f>IF(Entry!$B478="","",IF(Entry!$C478="","0000",IF(AND(ISNUMBER(Entry!$C478),Entry!$C478&gt;=0,Entry!$C478&lt;1),RIGHT("00"&amp;HOUR(Entry!$C478),2)&amp;RIGHT("00"&amp;MINUTE(Entry!$C478),2),IFERROR(RIGHT("00"&amp;VALUE(LEFT(Entry!$C478,FIND(":",Entry!$C478)-1)),2)&amp;RIGHT("00"&amp;VALUE(MID(Entry!$C478,FIND(":",Entry!$C478)+1,2)),2),"0000"))))</f>
        <v/>
      </c>
      <c r="G475" t="str">
        <f>IF($A475="","",Entry!$G478)</f>
        <v/>
      </c>
      <c r="H475" t="str">
        <f>IF($A475="","",IF(Entry!$H478="",0,Entry!$H478))</f>
        <v/>
      </c>
      <c r="I475" t="str">
        <f>IF($A475="","",IF(Entry!$I478="",0,Entry!$I478))</f>
        <v/>
      </c>
      <c r="J475" t="str">
        <f t="shared" si="51"/>
        <v/>
      </c>
      <c r="K475" t="str">
        <f>IF($A475="","",Entry!$D478)</f>
        <v/>
      </c>
      <c r="L475" t="str">
        <f>IF($A475="","",Entry!$L478)</f>
        <v/>
      </c>
      <c r="N475" t="str">
        <f>IF(OR(Sync!$M475="",$Q475="",$Q475="نامعتبر"),"",Sync!$M475)</f>
        <v/>
      </c>
      <c r="O475" t="str">
        <f t="shared" si="52"/>
        <v/>
      </c>
      <c r="P475" t="str">
        <f>IF($N475="","",LEFT($Q475,4)&amp;MID($Q475,6,2)&amp;RIGHT($Q475,2)&amp;IF(Sync!$K475="","0000",IF(AND(ISNUMBER(Sync!$K475),Sync!$K475&gt;=0,Sync!$K475&lt;1),RIGHT("00"&amp;HOUR(Sync!$K475),2)&amp;RIGHT("00"&amp;MINUTE(Sync!$K475),2),IFERROR(RIGHT("00"&amp;VALUE(LEFT(Sync!$K475,FIND(":",Sync!$K475)-1)),2)&amp;RIGHT("00"&amp;VALUE(MID(Sync!$K475,FIND(":",Sync!$K475)+1,2)),2),"0000")))&amp;"|"&amp;"2"&amp;RIGHT("00000"&amp;470,5))</f>
        <v/>
      </c>
      <c r="Q475" t="str">
        <f>IF(Sync!$J475="","",IF(ISNUMBER(Sync!$J475),IF(AND(Sync!$J475&gt;=10000101,Sync!$J475&lt;=99991231),INT(Sync!$J475/10000)&amp;"/"&amp;RIGHT("00"&amp;INT(MOD(Sync!$J475,10000)/100),2)&amp;"/"&amp;RIGHT("00"&amp;MOD(Sync!$J475,100),2),"نامعتبر"),IF(LEN(Sync!$J475)=10,Sync!$J475,"نامعتبر")))</f>
        <v/>
      </c>
      <c r="R475" t="str">
        <f t="shared" si="53"/>
        <v/>
      </c>
      <c r="S475" t="str">
        <f t="shared" si="54"/>
        <v/>
      </c>
      <c r="T475" t="str">
        <f>IF($N475="","",IF(Sync!$N475="",0,Sync!$N475))</f>
        <v/>
      </c>
      <c r="U475" t="str">
        <f>IF($N475="","",IF(Sync!$O475="",0,Sync!$O475))</f>
        <v/>
      </c>
      <c r="V475" t="str">
        <f>IF($N475="","",Sync!$L475)</f>
        <v/>
      </c>
      <c r="W475" t="str">
        <f>IF($N475="","",Sync!$P475)</f>
        <v/>
      </c>
      <c r="AA475" t="str">
        <f>IF($A475="","",IF(COUNTIF($A$6:$A475,$A475)=1,1,0))</f>
        <v/>
      </c>
      <c r="AB475">
        <f>SUM($AA$6:$AA475)</f>
        <v>3</v>
      </c>
      <c r="AC475" t="str">
        <f t="shared" si="55"/>
        <v/>
      </c>
    </row>
    <row r="476" spans="1:29" x14ac:dyDescent="0.2">
      <c r="A476" t="str">
        <f>IF(OR(Entry!$B479="",Entry!$E479="",$E476="نامعتبر"),"",Entry!$E479)</f>
        <v/>
      </c>
      <c r="B476" t="str">
        <f>IF($A476="","",LEFT($E476,4)&amp;MID($E476,6,2)&amp;RIGHT($E476,2)&amp;$F476&amp;"|"&amp;"1"&amp;RIGHT("00000"&amp;471,5))</f>
        <v/>
      </c>
      <c r="C476" t="str">
        <f t="shared" si="49"/>
        <v/>
      </c>
      <c r="D476" t="str">
        <f t="shared" si="50"/>
        <v/>
      </c>
      <c r="E476" t="str">
        <f>IF(Entry!$B479="","",IF(ISNUMBER(Entry!$B479),IF(AND(Entry!$B479&gt;=10000101,Entry!$B479&lt;=99991231),INT(Entry!$B479/10000)&amp;"/"&amp;RIGHT("00"&amp;INT(MOD(Entry!$B479,10000)/100),2)&amp;"/"&amp;RIGHT("00"&amp;MOD(Entry!$B479,100),2),"نامعتبر"),IF(LEN(Entry!$B479)=10,Entry!$B479,"نامعتبر")))</f>
        <v/>
      </c>
      <c r="F476" t="str">
        <f>IF(Entry!$B479="","",IF(Entry!$C479="","0000",IF(AND(ISNUMBER(Entry!$C479),Entry!$C479&gt;=0,Entry!$C479&lt;1),RIGHT("00"&amp;HOUR(Entry!$C479),2)&amp;RIGHT("00"&amp;MINUTE(Entry!$C479),2),IFERROR(RIGHT("00"&amp;VALUE(LEFT(Entry!$C479,FIND(":",Entry!$C479)-1)),2)&amp;RIGHT("00"&amp;VALUE(MID(Entry!$C479,FIND(":",Entry!$C479)+1,2)),2),"0000"))))</f>
        <v/>
      </c>
      <c r="G476" t="str">
        <f>IF($A476="","",Entry!$G479)</f>
        <v/>
      </c>
      <c r="H476" t="str">
        <f>IF($A476="","",IF(Entry!$H479="",0,Entry!$H479))</f>
        <v/>
      </c>
      <c r="I476" t="str">
        <f>IF($A476="","",IF(Entry!$I479="",0,Entry!$I479))</f>
        <v/>
      </c>
      <c r="J476" t="str">
        <f t="shared" si="51"/>
        <v/>
      </c>
      <c r="K476" t="str">
        <f>IF($A476="","",Entry!$D479)</f>
        <v/>
      </c>
      <c r="L476" t="str">
        <f>IF($A476="","",Entry!$L479)</f>
        <v/>
      </c>
      <c r="N476" t="str">
        <f>IF(OR(Sync!$M476="",$Q476="",$Q476="نامعتبر"),"",Sync!$M476)</f>
        <v/>
      </c>
      <c r="O476" t="str">
        <f t="shared" si="52"/>
        <v/>
      </c>
      <c r="P476" t="str">
        <f>IF($N476="","",LEFT($Q476,4)&amp;MID($Q476,6,2)&amp;RIGHT($Q476,2)&amp;IF(Sync!$K476="","0000",IF(AND(ISNUMBER(Sync!$K476),Sync!$K476&gt;=0,Sync!$K476&lt;1),RIGHT("00"&amp;HOUR(Sync!$K476),2)&amp;RIGHT("00"&amp;MINUTE(Sync!$K476),2),IFERROR(RIGHT("00"&amp;VALUE(LEFT(Sync!$K476,FIND(":",Sync!$K476)-1)),2)&amp;RIGHT("00"&amp;VALUE(MID(Sync!$K476,FIND(":",Sync!$K476)+1,2)),2),"0000")))&amp;"|"&amp;"2"&amp;RIGHT("00000"&amp;471,5))</f>
        <v/>
      </c>
      <c r="Q476" t="str">
        <f>IF(Sync!$J476="","",IF(ISNUMBER(Sync!$J476),IF(AND(Sync!$J476&gt;=10000101,Sync!$J476&lt;=99991231),INT(Sync!$J476/10000)&amp;"/"&amp;RIGHT("00"&amp;INT(MOD(Sync!$J476,10000)/100),2)&amp;"/"&amp;RIGHT("00"&amp;MOD(Sync!$J476,100),2),"نامعتبر"),IF(LEN(Sync!$J476)=10,Sync!$J476,"نامعتبر")))</f>
        <v/>
      </c>
      <c r="R476" t="str">
        <f t="shared" si="53"/>
        <v/>
      </c>
      <c r="S476" t="str">
        <f t="shared" si="54"/>
        <v/>
      </c>
      <c r="T476" t="str">
        <f>IF($N476="","",IF(Sync!$N476="",0,Sync!$N476))</f>
        <v/>
      </c>
      <c r="U476" t="str">
        <f>IF($N476="","",IF(Sync!$O476="",0,Sync!$O476))</f>
        <v/>
      </c>
      <c r="V476" t="str">
        <f>IF($N476="","",Sync!$L476)</f>
        <v/>
      </c>
      <c r="W476" t="str">
        <f>IF($N476="","",Sync!$P476)</f>
        <v/>
      </c>
      <c r="AA476" t="str">
        <f>IF($A476="","",IF(COUNTIF($A$6:$A476,$A476)=1,1,0))</f>
        <v/>
      </c>
      <c r="AB476">
        <f>SUM($AA$6:$AA476)</f>
        <v>3</v>
      </c>
      <c r="AC476" t="str">
        <f t="shared" si="55"/>
        <v/>
      </c>
    </row>
    <row r="477" spans="1:29" x14ac:dyDescent="0.2">
      <c r="A477" t="str">
        <f>IF(OR(Entry!$B480="",Entry!$E480="",$E477="نامعتبر"),"",Entry!$E480)</f>
        <v/>
      </c>
      <c r="B477" t="str">
        <f>IF($A477="","",LEFT($E477,4)&amp;MID($E477,6,2)&amp;RIGHT($E477,2)&amp;$F477&amp;"|"&amp;"1"&amp;RIGHT("00000"&amp;472,5))</f>
        <v/>
      </c>
      <c r="C477" t="str">
        <f t="shared" si="49"/>
        <v/>
      </c>
      <c r="D477" t="str">
        <f t="shared" si="50"/>
        <v/>
      </c>
      <c r="E477" t="str">
        <f>IF(Entry!$B480="","",IF(ISNUMBER(Entry!$B480),IF(AND(Entry!$B480&gt;=10000101,Entry!$B480&lt;=99991231),INT(Entry!$B480/10000)&amp;"/"&amp;RIGHT("00"&amp;INT(MOD(Entry!$B480,10000)/100),2)&amp;"/"&amp;RIGHT("00"&amp;MOD(Entry!$B480,100),2),"نامعتبر"),IF(LEN(Entry!$B480)=10,Entry!$B480,"نامعتبر")))</f>
        <v/>
      </c>
      <c r="F477" t="str">
        <f>IF(Entry!$B480="","",IF(Entry!$C480="","0000",IF(AND(ISNUMBER(Entry!$C480),Entry!$C480&gt;=0,Entry!$C480&lt;1),RIGHT("00"&amp;HOUR(Entry!$C480),2)&amp;RIGHT("00"&amp;MINUTE(Entry!$C480),2),IFERROR(RIGHT("00"&amp;VALUE(LEFT(Entry!$C480,FIND(":",Entry!$C480)-1)),2)&amp;RIGHT("00"&amp;VALUE(MID(Entry!$C480,FIND(":",Entry!$C480)+1,2)),2),"0000"))))</f>
        <v/>
      </c>
      <c r="G477" t="str">
        <f>IF($A477="","",Entry!$G480)</f>
        <v/>
      </c>
      <c r="H477" t="str">
        <f>IF($A477="","",IF(Entry!$H480="",0,Entry!$H480))</f>
        <v/>
      </c>
      <c r="I477" t="str">
        <f>IF($A477="","",IF(Entry!$I480="",0,Entry!$I480))</f>
        <v/>
      </c>
      <c r="J477" t="str">
        <f t="shared" si="51"/>
        <v/>
      </c>
      <c r="K477" t="str">
        <f>IF($A477="","",Entry!$D480)</f>
        <v/>
      </c>
      <c r="L477" t="str">
        <f>IF($A477="","",Entry!$L480)</f>
        <v/>
      </c>
      <c r="N477" t="str">
        <f>IF(OR(Sync!$M477="",$Q477="",$Q477="نامعتبر"),"",Sync!$M477)</f>
        <v/>
      </c>
      <c r="O477" t="str">
        <f t="shared" si="52"/>
        <v/>
      </c>
      <c r="P477" t="str">
        <f>IF($N477="","",LEFT($Q477,4)&amp;MID($Q477,6,2)&amp;RIGHT($Q477,2)&amp;IF(Sync!$K477="","0000",IF(AND(ISNUMBER(Sync!$K477),Sync!$K477&gt;=0,Sync!$K477&lt;1),RIGHT("00"&amp;HOUR(Sync!$K477),2)&amp;RIGHT("00"&amp;MINUTE(Sync!$K477),2),IFERROR(RIGHT("00"&amp;VALUE(LEFT(Sync!$K477,FIND(":",Sync!$K477)-1)),2)&amp;RIGHT("00"&amp;VALUE(MID(Sync!$K477,FIND(":",Sync!$K477)+1,2)),2),"0000")))&amp;"|"&amp;"2"&amp;RIGHT("00000"&amp;472,5))</f>
        <v/>
      </c>
      <c r="Q477" t="str">
        <f>IF(Sync!$J477="","",IF(ISNUMBER(Sync!$J477),IF(AND(Sync!$J477&gt;=10000101,Sync!$J477&lt;=99991231),INT(Sync!$J477/10000)&amp;"/"&amp;RIGHT("00"&amp;INT(MOD(Sync!$J477,10000)/100),2)&amp;"/"&amp;RIGHT("00"&amp;MOD(Sync!$J477,100),2),"نامعتبر"),IF(LEN(Sync!$J477)=10,Sync!$J477,"نامعتبر")))</f>
        <v/>
      </c>
      <c r="R477" t="str">
        <f t="shared" si="53"/>
        <v/>
      </c>
      <c r="S477" t="str">
        <f t="shared" si="54"/>
        <v/>
      </c>
      <c r="T477" t="str">
        <f>IF($N477="","",IF(Sync!$N477="",0,Sync!$N477))</f>
        <v/>
      </c>
      <c r="U477" t="str">
        <f>IF($N477="","",IF(Sync!$O477="",0,Sync!$O477))</f>
        <v/>
      </c>
      <c r="V477" t="str">
        <f>IF($N477="","",Sync!$L477)</f>
        <v/>
      </c>
      <c r="W477" t="str">
        <f>IF($N477="","",Sync!$P477)</f>
        <v/>
      </c>
      <c r="AA477" t="str">
        <f>IF($A477="","",IF(COUNTIF($A$6:$A477,$A477)=1,1,0))</f>
        <v/>
      </c>
      <c r="AB477">
        <f>SUM($AA$6:$AA477)</f>
        <v>3</v>
      </c>
      <c r="AC477" t="str">
        <f t="shared" si="55"/>
        <v/>
      </c>
    </row>
    <row r="478" spans="1:29" x14ac:dyDescent="0.2">
      <c r="A478" t="str">
        <f>IF(OR(Entry!$B481="",Entry!$E481="",$E478="نامعتبر"),"",Entry!$E481)</f>
        <v/>
      </c>
      <c r="B478" t="str">
        <f>IF($A478="","",LEFT($E478,4)&amp;MID($E478,6,2)&amp;RIGHT($E478,2)&amp;$F478&amp;"|"&amp;"1"&amp;RIGHT("00000"&amp;473,5))</f>
        <v/>
      </c>
      <c r="C478" t="str">
        <f t="shared" si="49"/>
        <v/>
      </c>
      <c r="D478" t="str">
        <f t="shared" si="50"/>
        <v/>
      </c>
      <c r="E478" t="str">
        <f>IF(Entry!$B481="","",IF(ISNUMBER(Entry!$B481),IF(AND(Entry!$B481&gt;=10000101,Entry!$B481&lt;=99991231),INT(Entry!$B481/10000)&amp;"/"&amp;RIGHT("00"&amp;INT(MOD(Entry!$B481,10000)/100),2)&amp;"/"&amp;RIGHT("00"&amp;MOD(Entry!$B481,100),2),"نامعتبر"),IF(LEN(Entry!$B481)=10,Entry!$B481,"نامعتبر")))</f>
        <v/>
      </c>
      <c r="F478" t="str">
        <f>IF(Entry!$B481="","",IF(Entry!$C481="","0000",IF(AND(ISNUMBER(Entry!$C481),Entry!$C481&gt;=0,Entry!$C481&lt;1),RIGHT("00"&amp;HOUR(Entry!$C481),2)&amp;RIGHT("00"&amp;MINUTE(Entry!$C481),2),IFERROR(RIGHT("00"&amp;VALUE(LEFT(Entry!$C481,FIND(":",Entry!$C481)-1)),2)&amp;RIGHT("00"&amp;VALUE(MID(Entry!$C481,FIND(":",Entry!$C481)+1,2)),2),"0000"))))</f>
        <v/>
      </c>
      <c r="G478" t="str">
        <f>IF($A478="","",Entry!$G481)</f>
        <v/>
      </c>
      <c r="H478" t="str">
        <f>IF($A478="","",IF(Entry!$H481="",0,Entry!$H481))</f>
        <v/>
      </c>
      <c r="I478" t="str">
        <f>IF($A478="","",IF(Entry!$I481="",0,Entry!$I481))</f>
        <v/>
      </c>
      <c r="J478" t="str">
        <f t="shared" si="51"/>
        <v/>
      </c>
      <c r="K478" t="str">
        <f>IF($A478="","",Entry!$D481)</f>
        <v/>
      </c>
      <c r="L478" t="str">
        <f>IF($A478="","",Entry!$L481)</f>
        <v/>
      </c>
      <c r="N478" t="str">
        <f>IF(OR(Sync!$M478="",$Q478="",$Q478="نامعتبر"),"",Sync!$M478)</f>
        <v/>
      </c>
      <c r="O478" t="str">
        <f t="shared" si="52"/>
        <v/>
      </c>
      <c r="P478" t="str">
        <f>IF($N478="","",LEFT($Q478,4)&amp;MID($Q478,6,2)&amp;RIGHT($Q478,2)&amp;IF(Sync!$K478="","0000",IF(AND(ISNUMBER(Sync!$K478),Sync!$K478&gt;=0,Sync!$K478&lt;1),RIGHT("00"&amp;HOUR(Sync!$K478),2)&amp;RIGHT("00"&amp;MINUTE(Sync!$K478),2),IFERROR(RIGHT("00"&amp;VALUE(LEFT(Sync!$K478,FIND(":",Sync!$K478)-1)),2)&amp;RIGHT("00"&amp;VALUE(MID(Sync!$K478,FIND(":",Sync!$K478)+1,2)),2),"0000")))&amp;"|"&amp;"2"&amp;RIGHT("00000"&amp;473,5))</f>
        <v/>
      </c>
      <c r="Q478" t="str">
        <f>IF(Sync!$J478="","",IF(ISNUMBER(Sync!$J478),IF(AND(Sync!$J478&gt;=10000101,Sync!$J478&lt;=99991231),INT(Sync!$J478/10000)&amp;"/"&amp;RIGHT("00"&amp;INT(MOD(Sync!$J478,10000)/100),2)&amp;"/"&amp;RIGHT("00"&amp;MOD(Sync!$J478,100),2),"نامعتبر"),IF(LEN(Sync!$J478)=10,Sync!$J478,"نامعتبر")))</f>
        <v/>
      </c>
      <c r="R478" t="str">
        <f t="shared" si="53"/>
        <v/>
      </c>
      <c r="S478" t="str">
        <f t="shared" si="54"/>
        <v/>
      </c>
      <c r="T478" t="str">
        <f>IF($N478="","",IF(Sync!$N478="",0,Sync!$N478))</f>
        <v/>
      </c>
      <c r="U478" t="str">
        <f>IF($N478="","",IF(Sync!$O478="",0,Sync!$O478))</f>
        <v/>
      </c>
      <c r="V478" t="str">
        <f>IF($N478="","",Sync!$L478)</f>
        <v/>
      </c>
      <c r="W478" t="str">
        <f>IF($N478="","",Sync!$P478)</f>
        <v/>
      </c>
      <c r="AA478" t="str">
        <f>IF($A478="","",IF(COUNTIF($A$6:$A478,$A478)=1,1,0))</f>
        <v/>
      </c>
      <c r="AB478">
        <f>SUM($AA$6:$AA478)</f>
        <v>3</v>
      </c>
      <c r="AC478" t="str">
        <f t="shared" si="55"/>
        <v/>
      </c>
    </row>
    <row r="479" spans="1:29" x14ac:dyDescent="0.2">
      <c r="A479" t="str">
        <f>IF(OR(Entry!$B482="",Entry!$E482="",$E479="نامعتبر"),"",Entry!$E482)</f>
        <v/>
      </c>
      <c r="B479" t="str">
        <f>IF($A479="","",LEFT($E479,4)&amp;MID($E479,6,2)&amp;RIGHT($E479,2)&amp;$F479&amp;"|"&amp;"1"&amp;RIGHT("00000"&amp;474,5))</f>
        <v/>
      </c>
      <c r="C479" t="str">
        <f t="shared" si="49"/>
        <v/>
      </c>
      <c r="D479" t="str">
        <f t="shared" si="50"/>
        <v/>
      </c>
      <c r="E479" t="str">
        <f>IF(Entry!$B482="","",IF(ISNUMBER(Entry!$B482),IF(AND(Entry!$B482&gt;=10000101,Entry!$B482&lt;=99991231),INT(Entry!$B482/10000)&amp;"/"&amp;RIGHT("00"&amp;INT(MOD(Entry!$B482,10000)/100),2)&amp;"/"&amp;RIGHT("00"&amp;MOD(Entry!$B482,100),2),"نامعتبر"),IF(LEN(Entry!$B482)=10,Entry!$B482,"نامعتبر")))</f>
        <v/>
      </c>
      <c r="F479" t="str">
        <f>IF(Entry!$B482="","",IF(Entry!$C482="","0000",IF(AND(ISNUMBER(Entry!$C482),Entry!$C482&gt;=0,Entry!$C482&lt;1),RIGHT("00"&amp;HOUR(Entry!$C482),2)&amp;RIGHT("00"&amp;MINUTE(Entry!$C482),2),IFERROR(RIGHT("00"&amp;VALUE(LEFT(Entry!$C482,FIND(":",Entry!$C482)-1)),2)&amp;RIGHT("00"&amp;VALUE(MID(Entry!$C482,FIND(":",Entry!$C482)+1,2)),2),"0000"))))</f>
        <v/>
      </c>
      <c r="G479" t="str">
        <f>IF($A479="","",Entry!$G482)</f>
        <v/>
      </c>
      <c r="H479" t="str">
        <f>IF($A479="","",IF(Entry!$H482="",0,Entry!$H482))</f>
        <v/>
      </c>
      <c r="I479" t="str">
        <f>IF($A479="","",IF(Entry!$I482="",0,Entry!$I482))</f>
        <v/>
      </c>
      <c r="J479" t="str">
        <f t="shared" si="51"/>
        <v/>
      </c>
      <c r="K479" t="str">
        <f>IF($A479="","",Entry!$D482)</f>
        <v/>
      </c>
      <c r="L479" t="str">
        <f>IF($A479="","",Entry!$L482)</f>
        <v/>
      </c>
      <c r="N479" t="str">
        <f>IF(OR(Sync!$M479="",$Q479="",$Q479="نامعتبر"),"",Sync!$M479)</f>
        <v/>
      </c>
      <c r="O479" t="str">
        <f t="shared" si="52"/>
        <v/>
      </c>
      <c r="P479" t="str">
        <f>IF($N479="","",LEFT($Q479,4)&amp;MID($Q479,6,2)&amp;RIGHT($Q479,2)&amp;IF(Sync!$K479="","0000",IF(AND(ISNUMBER(Sync!$K479),Sync!$K479&gt;=0,Sync!$K479&lt;1),RIGHT("00"&amp;HOUR(Sync!$K479),2)&amp;RIGHT("00"&amp;MINUTE(Sync!$K479),2),IFERROR(RIGHT("00"&amp;VALUE(LEFT(Sync!$K479,FIND(":",Sync!$K479)-1)),2)&amp;RIGHT("00"&amp;VALUE(MID(Sync!$K479,FIND(":",Sync!$K479)+1,2)),2),"0000")))&amp;"|"&amp;"2"&amp;RIGHT("00000"&amp;474,5))</f>
        <v/>
      </c>
      <c r="Q479" t="str">
        <f>IF(Sync!$J479="","",IF(ISNUMBER(Sync!$J479),IF(AND(Sync!$J479&gt;=10000101,Sync!$J479&lt;=99991231),INT(Sync!$J479/10000)&amp;"/"&amp;RIGHT("00"&amp;INT(MOD(Sync!$J479,10000)/100),2)&amp;"/"&amp;RIGHT("00"&amp;MOD(Sync!$J479,100),2),"نامعتبر"),IF(LEN(Sync!$J479)=10,Sync!$J479,"نامعتبر")))</f>
        <v/>
      </c>
      <c r="R479" t="str">
        <f t="shared" si="53"/>
        <v/>
      </c>
      <c r="S479" t="str">
        <f t="shared" si="54"/>
        <v/>
      </c>
      <c r="T479" t="str">
        <f>IF($N479="","",IF(Sync!$N479="",0,Sync!$N479))</f>
        <v/>
      </c>
      <c r="U479" t="str">
        <f>IF($N479="","",IF(Sync!$O479="",0,Sync!$O479))</f>
        <v/>
      </c>
      <c r="V479" t="str">
        <f>IF($N479="","",Sync!$L479)</f>
        <v/>
      </c>
      <c r="W479" t="str">
        <f>IF($N479="","",Sync!$P479)</f>
        <v/>
      </c>
      <c r="AA479" t="str">
        <f>IF($A479="","",IF(COUNTIF($A$6:$A479,$A479)=1,1,0))</f>
        <v/>
      </c>
      <c r="AB479">
        <f>SUM($AA$6:$AA479)</f>
        <v>3</v>
      </c>
      <c r="AC479" t="str">
        <f t="shared" si="55"/>
        <v/>
      </c>
    </row>
    <row r="480" spans="1:29" x14ac:dyDescent="0.2">
      <c r="A480" t="str">
        <f>IF(OR(Entry!$B483="",Entry!$E483="",$E480="نامعتبر"),"",Entry!$E483)</f>
        <v/>
      </c>
      <c r="B480" t="str">
        <f>IF($A480="","",LEFT($E480,4)&amp;MID($E480,6,2)&amp;RIGHT($E480,2)&amp;$F480&amp;"|"&amp;"1"&amp;RIGHT("00000"&amp;475,5))</f>
        <v/>
      </c>
      <c r="C480" t="str">
        <f t="shared" si="49"/>
        <v/>
      </c>
      <c r="D480" t="str">
        <f t="shared" si="50"/>
        <v/>
      </c>
      <c r="E480" t="str">
        <f>IF(Entry!$B483="","",IF(ISNUMBER(Entry!$B483),IF(AND(Entry!$B483&gt;=10000101,Entry!$B483&lt;=99991231),INT(Entry!$B483/10000)&amp;"/"&amp;RIGHT("00"&amp;INT(MOD(Entry!$B483,10000)/100),2)&amp;"/"&amp;RIGHT("00"&amp;MOD(Entry!$B483,100),2),"نامعتبر"),IF(LEN(Entry!$B483)=10,Entry!$B483,"نامعتبر")))</f>
        <v/>
      </c>
      <c r="F480" t="str">
        <f>IF(Entry!$B483="","",IF(Entry!$C483="","0000",IF(AND(ISNUMBER(Entry!$C483),Entry!$C483&gt;=0,Entry!$C483&lt;1),RIGHT("00"&amp;HOUR(Entry!$C483),2)&amp;RIGHT("00"&amp;MINUTE(Entry!$C483),2),IFERROR(RIGHT("00"&amp;VALUE(LEFT(Entry!$C483,FIND(":",Entry!$C483)-1)),2)&amp;RIGHT("00"&amp;VALUE(MID(Entry!$C483,FIND(":",Entry!$C483)+1,2)),2),"0000"))))</f>
        <v/>
      </c>
      <c r="G480" t="str">
        <f>IF($A480="","",Entry!$G483)</f>
        <v/>
      </c>
      <c r="H480" t="str">
        <f>IF($A480="","",IF(Entry!$H483="",0,Entry!$H483))</f>
        <v/>
      </c>
      <c r="I480" t="str">
        <f>IF($A480="","",IF(Entry!$I483="",0,Entry!$I483))</f>
        <v/>
      </c>
      <c r="J480" t="str">
        <f t="shared" si="51"/>
        <v/>
      </c>
      <c r="K480" t="str">
        <f>IF($A480="","",Entry!$D483)</f>
        <v/>
      </c>
      <c r="L480" t="str">
        <f>IF($A480="","",Entry!$L483)</f>
        <v/>
      </c>
      <c r="N480" t="str">
        <f>IF(OR(Sync!$M480="",$Q480="",$Q480="نامعتبر"),"",Sync!$M480)</f>
        <v/>
      </c>
      <c r="O480" t="str">
        <f t="shared" si="52"/>
        <v/>
      </c>
      <c r="P480" t="str">
        <f>IF($N480="","",LEFT($Q480,4)&amp;MID($Q480,6,2)&amp;RIGHT($Q480,2)&amp;IF(Sync!$K480="","0000",IF(AND(ISNUMBER(Sync!$K480),Sync!$K480&gt;=0,Sync!$K480&lt;1),RIGHT("00"&amp;HOUR(Sync!$K480),2)&amp;RIGHT("00"&amp;MINUTE(Sync!$K480),2),IFERROR(RIGHT("00"&amp;VALUE(LEFT(Sync!$K480,FIND(":",Sync!$K480)-1)),2)&amp;RIGHT("00"&amp;VALUE(MID(Sync!$K480,FIND(":",Sync!$K480)+1,2)),2),"0000")))&amp;"|"&amp;"2"&amp;RIGHT("00000"&amp;475,5))</f>
        <v/>
      </c>
      <c r="Q480" t="str">
        <f>IF(Sync!$J480="","",IF(ISNUMBER(Sync!$J480),IF(AND(Sync!$J480&gt;=10000101,Sync!$J480&lt;=99991231),INT(Sync!$J480/10000)&amp;"/"&amp;RIGHT("00"&amp;INT(MOD(Sync!$J480,10000)/100),2)&amp;"/"&amp;RIGHT("00"&amp;MOD(Sync!$J480,100),2),"نامعتبر"),IF(LEN(Sync!$J480)=10,Sync!$J480,"نامعتبر")))</f>
        <v/>
      </c>
      <c r="R480" t="str">
        <f t="shared" si="53"/>
        <v/>
      </c>
      <c r="S480" t="str">
        <f t="shared" si="54"/>
        <v/>
      </c>
      <c r="T480" t="str">
        <f>IF($N480="","",IF(Sync!$N480="",0,Sync!$N480))</f>
        <v/>
      </c>
      <c r="U480" t="str">
        <f>IF($N480="","",IF(Sync!$O480="",0,Sync!$O480))</f>
        <v/>
      </c>
      <c r="V480" t="str">
        <f>IF($N480="","",Sync!$L480)</f>
        <v/>
      </c>
      <c r="W480" t="str">
        <f>IF($N480="","",Sync!$P480)</f>
        <v/>
      </c>
      <c r="AA480" t="str">
        <f>IF($A480="","",IF(COUNTIF($A$6:$A480,$A480)=1,1,0))</f>
        <v/>
      </c>
      <c r="AB480">
        <f>SUM($AA$6:$AA480)</f>
        <v>3</v>
      </c>
      <c r="AC480" t="str">
        <f t="shared" si="55"/>
        <v/>
      </c>
    </row>
    <row r="481" spans="1:29" x14ac:dyDescent="0.2">
      <c r="A481" t="str">
        <f>IF(OR(Entry!$B484="",Entry!$E484="",$E481="نامعتبر"),"",Entry!$E484)</f>
        <v/>
      </c>
      <c r="B481" t="str">
        <f>IF($A481="","",LEFT($E481,4)&amp;MID($E481,6,2)&amp;RIGHT($E481,2)&amp;$F481&amp;"|"&amp;"1"&amp;RIGHT("00000"&amp;476,5))</f>
        <v/>
      </c>
      <c r="C481" t="str">
        <f t="shared" si="49"/>
        <v/>
      </c>
      <c r="D481" t="str">
        <f t="shared" si="50"/>
        <v/>
      </c>
      <c r="E481" t="str">
        <f>IF(Entry!$B484="","",IF(ISNUMBER(Entry!$B484),IF(AND(Entry!$B484&gt;=10000101,Entry!$B484&lt;=99991231),INT(Entry!$B484/10000)&amp;"/"&amp;RIGHT("00"&amp;INT(MOD(Entry!$B484,10000)/100),2)&amp;"/"&amp;RIGHT("00"&amp;MOD(Entry!$B484,100),2),"نامعتبر"),IF(LEN(Entry!$B484)=10,Entry!$B484,"نامعتبر")))</f>
        <v/>
      </c>
      <c r="F481" t="str">
        <f>IF(Entry!$B484="","",IF(Entry!$C484="","0000",IF(AND(ISNUMBER(Entry!$C484),Entry!$C484&gt;=0,Entry!$C484&lt;1),RIGHT("00"&amp;HOUR(Entry!$C484),2)&amp;RIGHT("00"&amp;MINUTE(Entry!$C484),2),IFERROR(RIGHT("00"&amp;VALUE(LEFT(Entry!$C484,FIND(":",Entry!$C484)-1)),2)&amp;RIGHT("00"&amp;VALUE(MID(Entry!$C484,FIND(":",Entry!$C484)+1,2)),2),"0000"))))</f>
        <v/>
      </c>
      <c r="G481" t="str">
        <f>IF($A481="","",Entry!$G484)</f>
        <v/>
      </c>
      <c r="H481" t="str">
        <f>IF($A481="","",IF(Entry!$H484="",0,Entry!$H484))</f>
        <v/>
      </c>
      <c r="I481" t="str">
        <f>IF($A481="","",IF(Entry!$I484="",0,Entry!$I484))</f>
        <v/>
      </c>
      <c r="J481" t="str">
        <f t="shared" si="51"/>
        <v/>
      </c>
      <c r="K481" t="str">
        <f>IF($A481="","",Entry!$D484)</f>
        <v/>
      </c>
      <c r="L481" t="str">
        <f>IF($A481="","",Entry!$L484)</f>
        <v/>
      </c>
      <c r="N481" t="str">
        <f>IF(OR(Sync!$M481="",$Q481="",$Q481="نامعتبر"),"",Sync!$M481)</f>
        <v/>
      </c>
      <c r="O481" t="str">
        <f t="shared" si="52"/>
        <v/>
      </c>
      <c r="P481" t="str">
        <f>IF($N481="","",LEFT($Q481,4)&amp;MID($Q481,6,2)&amp;RIGHT($Q481,2)&amp;IF(Sync!$K481="","0000",IF(AND(ISNUMBER(Sync!$K481),Sync!$K481&gt;=0,Sync!$K481&lt;1),RIGHT("00"&amp;HOUR(Sync!$K481),2)&amp;RIGHT("00"&amp;MINUTE(Sync!$K481),2),IFERROR(RIGHT("00"&amp;VALUE(LEFT(Sync!$K481,FIND(":",Sync!$K481)-1)),2)&amp;RIGHT("00"&amp;VALUE(MID(Sync!$K481,FIND(":",Sync!$K481)+1,2)),2),"0000")))&amp;"|"&amp;"2"&amp;RIGHT("00000"&amp;476,5))</f>
        <v/>
      </c>
      <c r="Q481" t="str">
        <f>IF(Sync!$J481="","",IF(ISNUMBER(Sync!$J481),IF(AND(Sync!$J481&gt;=10000101,Sync!$J481&lt;=99991231),INT(Sync!$J481/10000)&amp;"/"&amp;RIGHT("00"&amp;INT(MOD(Sync!$J481,10000)/100),2)&amp;"/"&amp;RIGHT("00"&amp;MOD(Sync!$J481,100),2),"نامعتبر"),IF(LEN(Sync!$J481)=10,Sync!$J481,"نامعتبر")))</f>
        <v/>
      </c>
      <c r="R481" t="str">
        <f t="shared" si="53"/>
        <v/>
      </c>
      <c r="S481" t="str">
        <f t="shared" si="54"/>
        <v/>
      </c>
      <c r="T481" t="str">
        <f>IF($N481="","",IF(Sync!$N481="",0,Sync!$N481))</f>
        <v/>
      </c>
      <c r="U481" t="str">
        <f>IF($N481="","",IF(Sync!$O481="",0,Sync!$O481))</f>
        <v/>
      </c>
      <c r="V481" t="str">
        <f>IF($N481="","",Sync!$L481)</f>
        <v/>
      </c>
      <c r="W481" t="str">
        <f>IF($N481="","",Sync!$P481)</f>
        <v/>
      </c>
      <c r="AA481" t="str">
        <f>IF($A481="","",IF(COUNTIF($A$6:$A481,$A481)=1,1,0))</f>
        <v/>
      </c>
      <c r="AB481">
        <f>SUM($AA$6:$AA481)</f>
        <v>3</v>
      </c>
      <c r="AC481" t="str">
        <f t="shared" si="55"/>
        <v/>
      </c>
    </row>
    <row r="482" spans="1:29" x14ac:dyDescent="0.2">
      <c r="A482" t="str">
        <f>IF(OR(Entry!$B485="",Entry!$E485="",$E482="نامعتبر"),"",Entry!$E485)</f>
        <v/>
      </c>
      <c r="B482" t="str">
        <f>IF($A482="","",LEFT($E482,4)&amp;MID($E482,6,2)&amp;RIGHT($E482,2)&amp;$F482&amp;"|"&amp;"1"&amp;RIGHT("00000"&amp;477,5))</f>
        <v/>
      </c>
      <c r="C482" t="str">
        <f t="shared" si="49"/>
        <v/>
      </c>
      <c r="D482" t="str">
        <f t="shared" si="50"/>
        <v/>
      </c>
      <c r="E482" t="str">
        <f>IF(Entry!$B485="","",IF(ISNUMBER(Entry!$B485),IF(AND(Entry!$B485&gt;=10000101,Entry!$B485&lt;=99991231),INT(Entry!$B485/10000)&amp;"/"&amp;RIGHT("00"&amp;INT(MOD(Entry!$B485,10000)/100),2)&amp;"/"&amp;RIGHT("00"&amp;MOD(Entry!$B485,100),2),"نامعتبر"),IF(LEN(Entry!$B485)=10,Entry!$B485,"نامعتبر")))</f>
        <v/>
      </c>
      <c r="F482" t="str">
        <f>IF(Entry!$B485="","",IF(Entry!$C485="","0000",IF(AND(ISNUMBER(Entry!$C485),Entry!$C485&gt;=0,Entry!$C485&lt;1),RIGHT("00"&amp;HOUR(Entry!$C485),2)&amp;RIGHT("00"&amp;MINUTE(Entry!$C485),2),IFERROR(RIGHT("00"&amp;VALUE(LEFT(Entry!$C485,FIND(":",Entry!$C485)-1)),2)&amp;RIGHT("00"&amp;VALUE(MID(Entry!$C485,FIND(":",Entry!$C485)+1,2)),2),"0000"))))</f>
        <v/>
      </c>
      <c r="G482" t="str">
        <f>IF($A482="","",Entry!$G485)</f>
        <v/>
      </c>
      <c r="H482" t="str">
        <f>IF($A482="","",IF(Entry!$H485="",0,Entry!$H485))</f>
        <v/>
      </c>
      <c r="I482" t="str">
        <f>IF($A482="","",IF(Entry!$I485="",0,Entry!$I485))</f>
        <v/>
      </c>
      <c r="J482" t="str">
        <f t="shared" si="51"/>
        <v/>
      </c>
      <c r="K482" t="str">
        <f>IF($A482="","",Entry!$D485)</f>
        <v/>
      </c>
      <c r="L482" t="str">
        <f>IF($A482="","",Entry!$L485)</f>
        <v/>
      </c>
      <c r="N482" t="str">
        <f>IF(OR(Sync!$M482="",$Q482="",$Q482="نامعتبر"),"",Sync!$M482)</f>
        <v/>
      </c>
      <c r="O482" t="str">
        <f t="shared" si="52"/>
        <v/>
      </c>
      <c r="P482" t="str">
        <f>IF($N482="","",LEFT($Q482,4)&amp;MID($Q482,6,2)&amp;RIGHT($Q482,2)&amp;IF(Sync!$K482="","0000",IF(AND(ISNUMBER(Sync!$K482),Sync!$K482&gt;=0,Sync!$K482&lt;1),RIGHT("00"&amp;HOUR(Sync!$K482),2)&amp;RIGHT("00"&amp;MINUTE(Sync!$K482),2),IFERROR(RIGHT("00"&amp;VALUE(LEFT(Sync!$K482,FIND(":",Sync!$K482)-1)),2)&amp;RIGHT("00"&amp;VALUE(MID(Sync!$K482,FIND(":",Sync!$K482)+1,2)),2),"0000")))&amp;"|"&amp;"2"&amp;RIGHT("00000"&amp;477,5))</f>
        <v/>
      </c>
      <c r="Q482" t="str">
        <f>IF(Sync!$J482="","",IF(ISNUMBER(Sync!$J482),IF(AND(Sync!$J482&gt;=10000101,Sync!$J482&lt;=99991231),INT(Sync!$J482/10000)&amp;"/"&amp;RIGHT("00"&amp;INT(MOD(Sync!$J482,10000)/100),2)&amp;"/"&amp;RIGHT("00"&amp;MOD(Sync!$J482,100),2),"نامعتبر"),IF(LEN(Sync!$J482)=10,Sync!$J482,"نامعتبر")))</f>
        <v/>
      </c>
      <c r="R482" t="str">
        <f t="shared" si="53"/>
        <v/>
      </c>
      <c r="S482" t="str">
        <f t="shared" si="54"/>
        <v/>
      </c>
      <c r="T482" t="str">
        <f>IF($N482="","",IF(Sync!$N482="",0,Sync!$N482))</f>
        <v/>
      </c>
      <c r="U482" t="str">
        <f>IF($N482="","",IF(Sync!$O482="",0,Sync!$O482))</f>
        <v/>
      </c>
      <c r="V482" t="str">
        <f>IF($N482="","",Sync!$L482)</f>
        <v/>
      </c>
      <c r="W482" t="str">
        <f>IF($N482="","",Sync!$P482)</f>
        <v/>
      </c>
      <c r="AA482" t="str">
        <f>IF($A482="","",IF(COUNTIF($A$6:$A482,$A482)=1,1,0))</f>
        <v/>
      </c>
      <c r="AB482">
        <f>SUM($AA$6:$AA482)</f>
        <v>3</v>
      </c>
      <c r="AC482" t="str">
        <f t="shared" si="55"/>
        <v/>
      </c>
    </row>
    <row r="483" spans="1:29" x14ac:dyDescent="0.2">
      <c r="A483" t="str">
        <f>IF(OR(Entry!$B486="",Entry!$E486="",$E483="نامعتبر"),"",Entry!$E486)</f>
        <v/>
      </c>
      <c r="B483" t="str">
        <f>IF($A483="","",LEFT($E483,4)&amp;MID($E483,6,2)&amp;RIGHT($E483,2)&amp;$F483&amp;"|"&amp;"1"&amp;RIGHT("00000"&amp;478,5))</f>
        <v/>
      </c>
      <c r="C483" t="str">
        <f t="shared" si="49"/>
        <v/>
      </c>
      <c r="D483" t="str">
        <f t="shared" si="50"/>
        <v/>
      </c>
      <c r="E483" t="str">
        <f>IF(Entry!$B486="","",IF(ISNUMBER(Entry!$B486),IF(AND(Entry!$B486&gt;=10000101,Entry!$B486&lt;=99991231),INT(Entry!$B486/10000)&amp;"/"&amp;RIGHT("00"&amp;INT(MOD(Entry!$B486,10000)/100),2)&amp;"/"&amp;RIGHT("00"&amp;MOD(Entry!$B486,100),2),"نامعتبر"),IF(LEN(Entry!$B486)=10,Entry!$B486,"نامعتبر")))</f>
        <v/>
      </c>
      <c r="F483" t="str">
        <f>IF(Entry!$B486="","",IF(Entry!$C486="","0000",IF(AND(ISNUMBER(Entry!$C486),Entry!$C486&gt;=0,Entry!$C486&lt;1),RIGHT("00"&amp;HOUR(Entry!$C486),2)&amp;RIGHT("00"&amp;MINUTE(Entry!$C486),2),IFERROR(RIGHT("00"&amp;VALUE(LEFT(Entry!$C486,FIND(":",Entry!$C486)-1)),2)&amp;RIGHT("00"&amp;VALUE(MID(Entry!$C486,FIND(":",Entry!$C486)+1,2)),2),"0000"))))</f>
        <v/>
      </c>
      <c r="G483" t="str">
        <f>IF($A483="","",Entry!$G486)</f>
        <v/>
      </c>
      <c r="H483" t="str">
        <f>IF($A483="","",IF(Entry!$H486="",0,Entry!$H486))</f>
        <v/>
      </c>
      <c r="I483" t="str">
        <f>IF($A483="","",IF(Entry!$I486="",0,Entry!$I486))</f>
        <v/>
      </c>
      <c r="J483" t="str">
        <f t="shared" si="51"/>
        <v/>
      </c>
      <c r="K483" t="str">
        <f>IF($A483="","",Entry!$D486)</f>
        <v/>
      </c>
      <c r="L483" t="str">
        <f>IF($A483="","",Entry!$L486)</f>
        <v/>
      </c>
      <c r="N483" t="str">
        <f>IF(OR(Sync!$M483="",$Q483="",$Q483="نامعتبر"),"",Sync!$M483)</f>
        <v/>
      </c>
      <c r="O483" t="str">
        <f t="shared" si="52"/>
        <v/>
      </c>
      <c r="P483" t="str">
        <f>IF($N483="","",LEFT($Q483,4)&amp;MID($Q483,6,2)&amp;RIGHT($Q483,2)&amp;IF(Sync!$K483="","0000",IF(AND(ISNUMBER(Sync!$K483),Sync!$K483&gt;=0,Sync!$K483&lt;1),RIGHT("00"&amp;HOUR(Sync!$K483),2)&amp;RIGHT("00"&amp;MINUTE(Sync!$K483),2),IFERROR(RIGHT("00"&amp;VALUE(LEFT(Sync!$K483,FIND(":",Sync!$K483)-1)),2)&amp;RIGHT("00"&amp;VALUE(MID(Sync!$K483,FIND(":",Sync!$K483)+1,2)),2),"0000")))&amp;"|"&amp;"2"&amp;RIGHT("00000"&amp;478,5))</f>
        <v/>
      </c>
      <c r="Q483" t="str">
        <f>IF(Sync!$J483="","",IF(ISNUMBER(Sync!$J483),IF(AND(Sync!$J483&gt;=10000101,Sync!$J483&lt;=99991231),INT(Sync!$J483/10000)&amp;"/"&amp;RIGHT("00"&amp;INT(MOD(Sync!$J483,10000)/100),2)&amp;"/"&amp;RIGHT("00"&amp;MOD(Sync!$J483,100),2),"نامعتبر"),IF(LEN(Sync!$J483)=10,Sync!$J483,"نامعتبر")))</f>
        <v/>
      </c>
      <c r="R483" t="str">
        <f t="shared" si="53"/>
        <v/>
      </c>
      <c r="S483" t="str">
        <f t="shared" si="54"/>
        <v/>
      </c>
      <c r="T483" t="str">
        <f>IF($N483="","",IF(Sync!$N483="",0,Sync!$N483))</f>
        <v/>
      </c>
      <c r="U483" t="str">
        <f>IF($N483="","",IF(Sync!$O483="",0,Sync!$O483))</f>
        <v/>
      </c>
      <c r="V483" t="str">
        <f>IF($N483="","",Sync!$L483)</f>
        <v/>
      </c>
      <c r="W483" t="str">
        <f>IF($N483="","",Sync!$P483)</f>
        <v/>
      </c>
      <c r="AA483" t="str">
        <f>IF($A483="","",IF(COUNTIF($A$6:$A483,$A483)=1,1,0))</f>
        <v/>
      </c>
      <c r="AB483">
        <f>SUM($AA$6:$AA483)</f>
        <v>3</v>
      </c>
      <c r="AC483" t="str">
        <f t="shared" si="55"/>
        <v/>
      </c>
    </row>
    <row r="484" spans="1:29" x14ac:dyDescent="0.2">
      <c r="A484" t="str">
        <f>IF(OR(Entry!$B487="",Entry!$E487="",$E484="نامعتبر"),"",Entry!$E487)</f>
        <v/>
      </c>
      <c r="B484" t="str">
        <f>IF($A484="","",LEFT($E484,4)&amp;MID($E484,6,2)&amp;RIGHT($E484,2)&amp;$F484&amp;"|"&amp;"1"&amp;RIGHT("00000"&amp;479,5))</f>
        <v/>
      </c>
      <c r="C484" t="str">
        <f t="shared" si="49"/>
        <v/>
      </c>
      <c r="D484" t="str">
        <f t="shared" si="50"/>
        <v/>
      </c>
      <c r="E484" t="str">
        <f>IF(Entry!$B487="","",IF(ISNUMBER(Entry!$B487),IF(AND(Entry!$B487&gt;=10000101,Entry!$B487&lt;=99991231),INT(Entry!$B487/10000)&amp;"/"&amp;RIGHT("00"&amp;INT(MOD(Entry!$B487,10000)/100),2)&amp;"/"&amp;RIGHT("00"&amp;MOD(Entry!$B487,100),2),"نامعتبر"),IF(LEN(Entry!$B487)=10,Entry!$B487,"نامعتبر")))</f>
        <v/>
      </c>
      <c r="F484" t="str">
        <f>IF(Entry!$B487="","",IF(Entry!$C487="","0000",IF(AND(ISNUMBER(Entry!$C487),Entry!$C487&gt;=0,Entry!$C487&lt;1),RIGHT("00"&amp;HOUR(Entry!$C487),2)&amp;RIGHT("00"&amp;MINUTE(Entry!$C487),2),IFERROR(RIGHT("00"&amp;VALUE(LEFT(Entry!$C487,FIND(":",Entry!$C487)-1)),2)&amp;RIGHT("00"&amp;VALUE(MID(Entry!$C487,FIND(":",Entry!$C487)+1,2)),2),"0000"))))</f>
        <v/>
      </c>
      <c r="G484" t="str">
        <f>IF($A484="","",Entry!$G487)</f>
        <v/>
      </c>
      <c r="H484" t="str">
        <f>IF($A484="","",IF(Entry!$H487="",0,Entry!$H487))</f>
        <v/>
      </c>
      <c r="I484" t="str">
        <f>IF($A484="","",IF(Entry!$I487="",0,Entry!$I487))</f>
        <v/>
      </c>
      <c r="J484" t="str">
        <f t="shared" si="51"/>
        <v/>
      </c>
      <c r="K484" t="str">
        <f>IF($A484="","",Entry!$D487)</f>
        <v/>
      </c>
      <c r="L484" t="str">
        <f>IF($A484="","",Entry!$L487)</f>
        <v/>
      </c>
      <c r="N484" t="str">
        <f>IF(OR(Sync!$M484="",$Q484="",$Q484="نامعتبر"),"",Sync!$M484)</f>
        <v/>
      </c>
      <c r="O484" t="str">
        <f t="shared" si="52"/>
        <v/>
      </c>
      <c r="P484" t="str">
        <f>IF($N484="","",LEFT($Q484,4)&amp;MID($Q484,6,2)&amp;RIGHT($Q484,2)&amp;IF(Sync!$K484="","0000",IF(AND(ISNUMBER(Sync!$K484),Sync!$K484&gt;=0,Sync!$K484&lt;1),RIGHT("00"&amp;HOUR(Sync!$K484),2)&amp;RIGHT("00"&amp;MINUTE(Sync!$K484),2),IFERROR(RIGHT("00"&amp;VALUE(LEFT(Sync!$K484,FIND(":",Sync!$K484)-1)),2)&amp;RIGHT("00"&amp;VALUE(MID(Sync!$K484,FIND(":",Sync!$K484)+1,2)),2),"0000")))&amp;"|"&amp;"2"&amp;RIGHT("00000"&amp;479,5))</f>
        <v/>
      </c>
      <c r="Q484" t="str">
        <f>IF(Sync!$J484="","",IF(ISNUMBER(Sync!$J484),IF(AND(Sync!$J484&gt;=10000101,Sync!$J484&lt;=99991231),INT(Sync!$J484/10000)&amp;"/"&amp;RIGHT("00"&amp;INT(MOD(Sync!$J484,10000)/100),2)&amp;"/"&amp;RIGHT("00"&amp;MOD(Sync!$J484,100),2),"نامعتبر"),IF(LEN(Sync!$J484)=10,Sync!$J484,"نامعتبر")))</f>
        <v/>
      </c>
      <c r="R484" t="str">
        <f t="shared" si="53"/>
        <v/>
      </c>
      <c r="S484" t="str">
        <f t="shared" si="54"/>
        <v/>
      </c>
      <c r="T484" t="str">
        <f>IF($N484="","",IF(Sync!$N484="",0,Sync!$N484))</f>
        <v/>
      </c>
      <c r="U484" t="str">
        <f>IF($N484="","",IF(Sync!$O484="",0,Sync!$O484))</f>
        <v/>
      </c>
      <c r="V484" t="str">
        <f>IF($N484="","",Sync!$L484)</f>
        <v/>
      </c>
      <c r="W484" t="str">
        <f>IF($N484="","",Sync!$P484)</f>
        <v/>
      </c>
      <c r="AA484" t="str">
        <f>IF($A484="","",IF(COUNTIF($A$6:$A484,$A484)=1,1,0))</f>
        <v/>
      </c>
      <c r="AB484">
        <f>SUM($AA$6:$AA484)</f>
        <v>3</v>
      </c>
      <c r="AC484" t="str">
        <f t="shared" si="55"/>
        <v/>
      </c>
    </row>
    <row r="485" spans="1:29" x14ac:dyDescent="0.2">
      <c r="A485" t="str">
        <f>IF(OR(Entry!$B488="",Entry!$E488="",$E485="نامعتبر"),"",Entry!$E488)</f>
        <v/>
      </c>
      <c r="B485" t="str">
        <f>IF($A485="","",LEFT($E485,4)&amp;MID($E485,6,2)&amp;RIGHT($E485,2)&amp;$F485&amp;"|"&amp;"1"&amp;RIGHT("00000"&amp;480,5))</f>
        <v/>
      </c>
      <c r="C485" t="str">
        <f t="shared" si="49"/>
        <v/>
      </c>
      <c r="D485" t="str">
        <f t="shared" si="50"/>
        <v/>
      </c>
      <c r="E485" t="str">
        <f>IF(Entry!$B488="","",IF(ISNUMBER(Entry!$B488),IF(AND(Entry!$B488&gt;=10000101,Entry!$B488&lt;=99991231),INT(Entry!$B488/10000)&amp;"/"&amp;RIGHT("00"&amp;INT(MOD(Entry!$B488,10000)/100),2)&amp;"/"&amp;RIGHT("00"&amp;MOD(Entry!$B488,100),2),"نامعتبر"),IF(LEN(Entry!$B488)=10,Entry!$B488,"نامعتبر")))</f>
        <v/>
      </c>
      <c r="F485" t="str">
        <f>IF(Entry!$B488="","",IF(Entry!$C488="","0000",IF(AND(ISNUMBER(Entry!$C488),Entry!$C488&gt;=0,Entry!$C488&lt;1),RIGHT("00"&amp;HOUR(Entry!$C488),2)&amp;RIGHT("00"&amp;MINUTE(Entry!$C488),2),IFERROR(RIGHT("00"&amp;VALUE(LEFT(Entry!$C488,FIND(":",Entry!$C488)-1)),2)&amp;RIGHT("00"&amp;VALUE(MID(Entry!$C488,FIND(":",Entry!$C488)+1,2)),2),"0000"))))</f>
        <v/>
      </c>
      <c r="G485" t="str">
        <f>IF($A485="","",Entry!$G488)</f>
        <v/>
      </c>
      <c r="H485" t="str">
        <f>IF($A485="","",IF(Entry!$H488="",0,Entry!$H488))</f>
        <v/>
      </c>
      <c r="I485" t="str">
        <f>IF($A485="","",IF(Entry!$I488="",0,Entry!$I488))</f>
        <v/>
      </c>
      <c r="J485" t="str">
        <f t="shared" si="51"/>
        <v/>
      </c>
      <c r="K485" t="str">
        <f>IF($A485="","",Entry!$D488)</f>
        <v/>
      </c>
      <c r="L485" t="str">
        <f>IF($A485="","",Entry!$L488)</f>
        <v/>
      </c>
      <c r="N485" t="str">
        <f>IF(OR(Sync!$M485="",$Q485="",$Q485="نامعتبر"),"",Sync!$M485)</f>
        <v/>
      </c>
      <c r="O485" t="str">
        <f t="shared" si="52"/>
        <v/>
      </c>
      <c r="P485" t="str">
        <f>IF($N485="","",LEFT($Q485,4)&amp;MID($Q485,6,2)&amp;RIGHT($Q485,2)&amp;IF(Sync!$K485="","0000",IF(AND(ISNUMBER(Sync!$K485),Sync!$K485&gt;=0,Sync!$K485&lt;1),RIGHT("00"&amp;HOUR(Sync!$K485),2)&amp;RIGHT("00"&amp;MINUTE(Sync!$K485),2),IFERROR(RIGHT("00"&amp;VALUE(LEFT(Sync!$K485,FIND(":",Sync!$K485)-1)),2)&amp;RIGHT("00"&amp;VALUE(MID(Sync!$K485,FIND(":",Sync!$K485)+1,2)),2),"0000")))&amp;"|"&amp;"2"&amp;RIGHT("00000"&amp;480,5))</f>
        <v/>
      </c>
      <c r="Q485" t="str">
        <f>IF(Sync!$J485="","",IF(ISNUMBER(Sync!$J485),IF(AND(Sync!$J485&gt;=10000101,Sync!$J485&lt;=99991231),INT(Sync!$J485/10000)&amp;"/"&amp;RIGHT("00"&amp;INT(MOD(Sync!$J485,10000)/100),2)&amp;"/"&amp;RIGHT("00"&amp;MOD(Sync!$J485,100),2),"نامعتبر"),IF(LEN(Sync!$J485)=10,Sync!$J485,"نامعتبر")))</f>
        <v/>
      </c>
      <c r="R485" t="str">
        <f t="shared" si="53"/>
        <v/>
      </c>
      <c r="S485" t="str">
        <f t="shared" si="54"/>
        <v/>
      </c>
      <c r="T485" t="str">
        <f>IF($N485="","",IF(Sync!$N485="",0,Sync!$N485))</f>
        <v/>
      </c>
      <c r="U485" t="str">
        <f>IF($N485="","",IF(Sync!$O485="",0,Sync!$O485))</f>
        <v/>
      </c>
      <c r="V485" t="str">
        <f>IF($N485="","",Sync!$L485)</f>
        <v/>
      </c>
      <c r="W485" t="str">
        <f>IF($N485="","",Sync!$P485)</f>
        <v/>
      </c>
      <c r="AA485" t="str">
        <f>IF($A485="","",IF(COUNTIF($A$6:$A485,$A485)=1,1,0))</f>
        <v/>
      </c>
      <c r="AB485">
        <f>SUM($AA$6:$AA485)</f>
        <v>3</v>
      </c>
      <c r="AC485" t="str">
        <f t="shared" si="55"/>
        <v/>
      </c>
    </row>
    <row r="486" spans="1:29" x14ac:dyDescent="0.2">
      <c r="A486" t="str">
        <f>IF(OR(Entry!$B489="",Entry!$E489="",$E486="نامعتبر"),"",Entry!$E489)</f>
        <v/>
      </c>
      <c r="B486" t="str">
        <f>IF($A486="","",LEFT($E486,4)&amp;MID($E486,6,2)&amp;RIGHT($E486,2)&amp;$F486&amp;"|"&amp;"1"&amp;RIGHT("00000"&amp;481,5))</f>
        <v/>
      </c>
      <c r="C486" t="str">
        <f t="shared" si="49"/>
        <v/>
      </c>
      <c r="D486" t="str">
        <f t="shared" si="50"/>
        <v/>
      </c>
      <c r="E486" t="str">
        <f>IF(Entry!$B489="","",IF(ISNUMBER(Entry!$B489),IF(AND(Entry!$B489&gt;=10000101,Entry!$B489&lt;=99991231),INT(Entry!$B489/10000)&amp;"/"&amp;RIGHT("00"&amp;INT(MOD(Entry!$B489,10000)/100),2)&amp;"/"&amp;RIGHT("00"&amp;MOD(Entry!$B489,100),2),"نامعتبر"),IF(LEN(Entry!$B489)=10,Entry!$B489,"نامعتبر")))</f>
        <v/>
      </c>
      <c r="F486" t="str">
        <f>IF(Entry!$B489="","",IF(Entry!$C489="","0000",IF(AND(ISNUMBER(Entry!$C489),Entry!$C489&gt;=0,Entry!$C489&lt;1),RIGHT("00"&amp;HOUR(Entry!$C489),2)&amp;RIGHT("00"&amp;MINUTE(Entry!$C489),2),IFERROR(RIGHT("00"&amp;VALUE(LEFT(Entry!$C489,FIND(":",Entry!$C489)-1)),2)&amp;RIGHT("00"&amp;VALUE(MID(Entry!$C489,FIND(":",Entry!$C489)+1,2)),2),"0000"))))</f>
        <v/>
      </c>
      <c r="G486" t="str">
        <f>IF($A486="","",Entry!$G489)</f>
        <v/>
      </c>
      <c r="H486" t="str">
        <f>IF($A486="","",IF(Entry!$H489="",0,Entry!$H489))</f>
        <v/>
      </c>
      <c r="I486" t="str">
        <f>IF($A486="","",IF(Entry!$I489="",0,Entry!$I489))</f>
        <v/>
      </c>
      <c r="J486" t="str">
        <f t="shared" si="51"/>
        <v/>
      </c>
      <c r="K486" t="str">
        <f>IF($A486="","",Entry!$D489)</f>
        <v/>
      </c>
      <c r="L486" t="str">
        <f>IF($A486="","",Entry!$L489)</f>
        <v/>
      </c>
      <c r="N486" t="str">
        <f>IF(OR(Sync!$M486="",$Q486="",$Q486="نامعتبر"),"",Sync!$M486)</f>
        <v/>
      </c>
      <c r="O486" t="str">
        <f t="shared" si="52"/>
        <v/>
      </c>
      <c r="P486" t="str">
        <f>IF($N486="","",LEFT($Q486,4)&amp;MID($Q486,6,2)&amp;RIGHT($Q486,2)&amp;IF(Sync!$K486="","0000",IF(AND(ISNUMBER(Sync!$K486),Sync!$K486&gt;=0,Sync!$K486&lt;1),RIGHT("00"&amp;HOUR(Sync!$K486),2)&amp;RIGHT("00"&amp;MINUTE(Sync!$K486),2),IFERROR(RIGHT("00"&amp;VALUE(LEFT(Sync!$K486,FIND(":",Sync!$K486)-1)),2)&amp;RIGHT("00"&amp;VALUE(MID(Sync!$K486,FIND(":",Sync!$K486)+1,2)),2),"0000")))&amp;"|"&amp;"2"&amp;RIGHT("00000"&amp;481,5))</f>
        <v/>
      </c>
      <c r="Q486" t="str">
        <f>IF(Sync!$J486="","",IF(ISNUMBER(Sync!$J486),IF(AND(Sync!$J486&gt;=10000101,Sync!$J486&lt;=99991231),INT(Sync!$J486/10000)&amp;"/"&amp;RIGHT("00"&amp;INT(MOD(Sync!$J486,10000)/100),2)&amp;"/"&amp;RIGHT("00"&amp;MOD(Sync!$J486,100),2),"نامعتبر"),IF(LEN(Sync!$J486)=10,Sync!$J486,"نامعتبر")))</f>
        <v/>
      </c>
      <c r="R486" t="str">
        <f t="shared" si="53"/>
        <v/>
      </c>
      <c r="S486" t="str">
        <f t="shared" si="54"/>
        <v/>
      </c>
      <c r="T486" t="str">
        <f>IF($N486="","",IF(Sync!$N486="",0,Sync!$N486))</f>
        <v/>
      </c>
      <c r="U486" t="str">
        <f>IF($N486="","",IF(Sync!$O486="",0,Sync!$O486))</f>
        <v/>
      </c>
      <c r="V486" t="str">
        <f>IF($N486="","",Sync!$L486)</f>
        <v/>
      </c>
      <c r="W486" t="str">
        <f>IF($N486="","",Sync!$P486)</f>
        <v/>
      </c>
      <c r="AA486" t="str">
        <f>IF($A486="","",IF(COUNTIF($A$6:$A486,$A486)=1,1,0))</f>
        <v/>
      </c>
      <c r="AB486">
        <f>SUM($AA$6:$AA486)</f>
        <v>3</v>
      </c>
      <c r="AC486" t="str">
        <f t="shared" si="55"/>
        <v/>
      </c>
    </row>
    <row r="487" spans="1:29" x14ac:dyDescent="0.2">
      <c r="A487" t="str">
        <f>IF(OR(Entry!$B490="",Entry!$E490="",$E487="نامعتبر"),"",Entry!$E490)</f>
        <v/>
      </c>
      <c r="B487" t="str">
        <f>IF($A487="","",LEFT($E487,4)&amp;MID($E487,6,2)&amp;RIGHT($E487,2)&amp;$F487&amp;"|"&amp;"1"&amp;RIGHT("00000"&amp;482,5))</f>
        <v/>
      </c>
      <c r="C487" t="str">
        <f t="shared" si="49"/>
        <v/>
      </c>
      <c r="D487" t="str">
        <f t="shared" si="50"/>
        <v/>
      </c>
      <c r="E487" t="str">
        <f>IF(Entry!$B490="","",IF(ISNUMBER(Entry!$B490),IF(AND(Entry!$B490&gt;=10000101,Entry!$B490&lt;=99991231),INT(Entry!$B490/10000)&amp;"/"&amp;RIGHT("00"&amp;INT(MOD(Entry!$B490,10000)/100),2)&amp;"/"&amp;RIGHT("00"&amp;MOD(Entry!$B490,100),2),"نامعتبر"),IF(LEN(Entry!$B490)=10,Entry!$B490,"نامعتبر")))</f>
        <v/>
      </c>
      <c r="F487" t="str">
        <f>IF(Entry!$B490="","",IF(Entry!$C490="","0000",IF(AND(ISNUMBER(Entry!$C490),Entry!$C490&gt;=0,Entry!$C490&lt;1),RIGHT("00"&amp;HOUR(Entry!$C490),2)&amp;RIGHT("00"&amp;MINUTE(Entry!$C490),2),IFERROR(RIGHT("00"&amp;VALUE(LEFT(Entry!$C490,FIND(":",Entry!$C490)-1)),2)&amp;RIGHT("00"&amp;VALUE(MID(Entry!$C490,FIND(":",Entry!$C490)+1,2)),2),"0000"))))</f>
        <v/>
      </c>
      <c r="G487" t="str">
        <f>IF($A487="","",Entry!$G490)</f>
        <v/>
      </c>
      <c r="H487" t="str">
        <f>IF($A487="","",IF(Entry!$H490="",0,Entry!$H490))</f>
        <v/>
      </c>
      <c r="I487" t="str">
        <f>IF($A487="","",IF(Entry!$I490="",0,Entry!$I490))</f>
        <v/>
      </c>
      <c r="J487" t="str">
        <f t="shared" si="51"/>
        <v/>
      </c>
      <c r="K487" t="str">
        <f>IF($A487="","",Entry!$D490)</f>
        <v/>
      </c>
      <c r="L487" t="str">
        <f>IF($A487="","",Entry!$L490)</f>
        <v/>
      </c>
      <c r="N487" t="str">
        <f>IF(OR(Sync!$M487="",$Q487="",$Q487="نامعتبر"),"",Sync!$M487)</f>
        <v/>
      </c>
      <c r="O487" t="str">
        <f t="shared" si="52"/>
        <v/>
      </c>
      <c r="P487" t="str">
        <f>IF($N487="","",LEFT($Q487,4)&amp;MID($Q487,6,2)&amp;RIGHT($Q487,2)&amp;IF(Sync!$K487="","0000",IF(AND(ISNUMBER(Sync!$K487),Sync!$K487&gt;=0,Sync!$K487&lt;1),RIGHT("00"&amp;HOUR(Sync!$K487),2)&amp;RIGHT("00"&amp;MINUTE(Sync!$K487),2),IFERROR(RIGHT("00"&amp;VALUE(LEFT(Sync!$K487,FIND(":",Sync!$K487)-1)),2)&amp;RIGHT("00"&amp;VALUE(MID(Sync!$K487,FIND(":",Sync!$K487)+1,2)),2),"0000")))&amp;"|"&amp;"2"&amp;RIGHT("00000"&amp;482,5))</f>
        <v/>
      </c>
      <c r="Q487" t="str">
        <f>IF(Sync!$J487="","",IF(ISNUMBER(Sync!$J487),IF(AND(Sync!$J487&gt;=10000101,Sync!$J487&lt;=99991231),INT(Sync!$J487/10000)&amp;"/"&amp;RIGHT("00"&amp;INT(MOD(Sync!$J487,10000)/100),2)&amp;"/"&amp;RIGHT("00"&amp;MOD(Sync!$J487,100),2),"نامعتبر"),IF(LEN(Sync!$J487)=10,Sync!$J487,"نامعتبر")))</f>
        <v/>
      </c>
      <c r="R487" t="str">
        <f t="shared" si="53"/>
        <v/>
      </c>
      <c r="S487" t="str">
        <f t="shared" si="54"/>
        <v/>
      </c>
      <c r="T487" t="str">
        <f>IF($N487="","",IF(Sync!$N487="",0,Sync!$N487))</f>
        <v/>
      </c>
      <c r="U487" t="str">
        <f>IF($N487="","",IF(Sync!$O487="",0,Sync!$O487))</f>
        <v/>
      </c>
      <c r="V487" t="str">
        <f>IF($N487="","",Sync!$L487)</f>
        <v/>
      </c>
      <c r="W487" t="str">
        <f>IF($N487="","",Sync!$P487)</f>
        <v/>
      </c>
      <c r="AA487" t="str">
        <f>IF($A487="","",IF(COUNTIF($A$6:$A487,$A487)=1,1,0))</f>
        <v/>
      </c>
      <c r="AB487">
        <f>SUM($AA$6:$AA487)</f>
        <v>3</v>
      </c>
      <c r="AC487" t="str">
        <f t="shared" si="55"/>
        <v/>
      </c>
    </row>
    <row r="488" spans="1:29" x14ac:dyDescent="0.2">
      <c r="A488" t="str">
        <f>IF(OR(Entry!$B491="",Entry!$E491="",$E488="نامعتبر"),"",Entry!$E491)</f>
        <v/>
      </c>
      <c r="B488" t="str">
        <f>IF($A488="","",LEFT($E488,4)&amp;MID($E488,6,2)&amp;RIGHT($E488,2)&amp;$F488&amp;"|"&amp;"1"&amp;RIGHT("00000"&amp;483,5))</f>
        <v/>
      </c>
      <c r="C488" t="str">
        <f t="shared" si="49"/>
        <v/>
      </c>
      <c r="D488" t="str">
        <f t="shared" si="50"/>
        <v/>
      </c>
      <c r="E488" t="str">
        <f>IF(Entry!$B491="","",IF(ISNUMBER(Entry!$B491),IF(AND(Entry!$B491&gt;=10000101,Entry!$B491&lt;=99991231),INT(Entry!$B491/10000)&amp;"/"&amp;RIGHT("00"&amp;INT(MOD(Entry!$B491,10000)/100),2)&amp;"/"&amp;RIGHT("00"&amp;MOD(Entry!$B491,100),2),"نامعتبر"),IF(LEN(Entry!$B491)=10,Entry!$B491,"نامعتبر")))</f>
        <v/>
      </c>
      <c r="F488" t="str">
        <f>IF(Entry!$B491="","",IF(Entry!$C491="","0000",IF(AND(ISNUMBER(Entry!$C491),Entry!$C491&gt;=0,Entry!$C491&lt;1),RIGHT("00"&amp;HOUR(Entry!$C491),2)&amp;RIGHT("00"&amp;MINUTE(Entry!$C491),2),IFERROR(RIGHT("00"&amp;VALUE(LEFT(Entry!$C491,FIND(":",Entry!$C491)-1)),2)&amp;RIGHT("00"&amp;VALUE(MID(Entry!$C491,FIND(":",Entry!$C491)+1,2)),2),"0000"))))</f>
        <v/>
      </c>
      <c r="G488" t="str">
        <f>IF($A488="","",Entry!$G491)</f>
        <v/>
      </c>
      <c r="H488" t="str">
        <f>IF($A488="","",IF(Entry!$H491="",0,Entry!$H491))</f>
        <v/>
      </c>
      <c r="I488" t="str">
        <f>IF($A488="","",IF(Entry!$I491="",0,Entry!$I491))</f>
        <v/>
      </c>
      <c r="J488" t="str">
        <f t="shared" si="51"/>
        <v/>
      </c>
      <c r="K488" t="str">
        <f>IF($A488="","",Entry!$D491)</f>
        <v/>
      </c>
      <c r="L488" t="str">
        <f>IF($A488="","",Entry!$L491)</f>
        <v/>
      </c>
      <c r="N488" t="str">
        <f>IF(OR(Sync!$M488="",$Q488="",$Q488="نامعتبر"),"",Sync!$M488)</f>
        <v/>
      </c>
      <c r="O488" t="str">
        <f t="shared" si="52"/>
        <v/>
      </c>
      <c r="P488" t="str">
        <f>IF($N488="","",LEFT($Q488,4)&amp;MID($Q488,6,2)&amp;RIGHT($Q488,2)&amp;IF(Sync!$K488="","0000",IF(AND(ISNUMBER(Sync!$K488),Sync!$K488&gt;=0,Sync!$K488&lt;1),RIGHT("00"&amp;HOUR(Sync!$K488),2)&amp;RIGHT("00"&amp;MINUTE(Sync!$K488),2),IFERROR(RIGHT("00"&amp;VALUE(LEFT(Sync!$K488,FIND(":",Sync!$K488)-1)),2)&amp;RIGHT("00"&amp;VALUE(MID(Sync!$K488,FIND(":",Sync!$K488)+1,2)),2),"0000")))&amp;"|"&amp;"2"&amp;RIGHT("00000"&amp;483,5))</f>
        <v/>
      </c>
      <c r="Q488" t="str">
        <f>IF(Sync!$J488="","",IF(ISNUMBER(Sync!$J488),IF(AND(Sync!$J488&gt;=10000101,Sync!$J488&lt;=99991231),INT(Sync!$J488/10000)&amp;"/"&amp;RIGHT("00"&amp;INT(MOD(Sync!$J488,10000)/100),2)&amp;"/"&amp;RIGHT("00"&amp;MOD(Sync!$J488,100),2),"نامعتبر"),IF(LEN(Sync!$J488)=10,Sync!$J488,"نامعتبر")))</f>
        <v/>
      </c>
      <c r="R488" t="str">
        <f t="shared" si="53"/>
        <v/>
      </c>
      <c r="S488" t="str">
        <f t="shared" si="54"/>
        <v/>
      </c>
      <c r="T488" t="str">
        <f>IF($N488="","",IF(Sync!$N488="",0,Sync!$N488))</f>
        <v/>
      </c>
      <c r="U488" t="str">
        <f>IF($N488="","",IF(Sync!$O488="",0,Sync!$O488))</f>
        <v/>
      </c>
      <c r="V488" t="str">
        <f>IF($N488="","",Sync!$L488)</f>
        <v/>
      </c>
      <c r="W488" t="str">
        <f>IF($N488="","",Sync!$P488)</f>
        <v/>
      </c>
      <c r="AA488" t="str">
        <f>IF($A488="","",IF(COUNTIF($A$6:$A488,$A488)=1,1,0))</f>
        <v/>
      </c>
      <c r="AB488">
        <f>SUM($AA$6:$AA488)</f>
        <v>3</v>
      </c>
      <c r="AC488" t="str">
        <f t="shared" si="55"/>
        <v/>
      </c>
    </row>
    <row r="489" spans="1:29" x14ac:dyDescent="0.2">
      <c r="A489" t="str">
        <f>IF(OR(Entry!$B492="",Entry!$E492="",$E489="نامعتبر"),"",Entry!$E492)</f>
        <v/>
      </c>
      <c r="B489" t="str">
        <f>IF($A489="","",LEFT($E489,4)&amp;MID($E489,6,2)&amp;RIGHT($E489,2)&amp;$F489&amp;"|"&amp;"1"&amp;RIGHT("00000"&amp;484,5))</f>
        <v/>
      </c>
      <c r="C489" t="str">
        <f t="shared" si="49"/>
        <v/>
      </c>
      <c r="D489" t="str">
        <f t="shared" si="50"/>
        <v/>
      </c>
      <c r="E489" t="str">
        <f>IF(Entry!$B492="","",IF(ISNUMBER(Entry!$B492),IF(AND(Entry!$B492&gt;=10000101,Entry!$B492&lt;=99991231),INT(Entry!$B492/10000)&amp;"/"&amp;RIGHT("00"&amp;INT(MOD(Entry!$B492,10000)/100),2)&amp;"/"&amp;RIGHT("00"&amp;MOD(Entry!$B492,100),2),"نامعتبر"),IF(LEN(Entry!$B492)=10,Entry!$B492,"نامعتبر")))</f>
        <v/>
      </c>
      <c r="F489" t="str">
        <f>IF(Entry!$B492="","",IF(Entry!$C492="","0000",IF(AND(ISNUMBER(Entry!$C492),Entry!$C492&gt;=0,Entry!$C492&lt;1),RIGHT("00"&amp;HOUR(Entry!$C492),2)&amp;RIGHT("00"&amp;MINUTE(Entry!$C492),2),IFERROR(RIGHT("00"&amp;VALUE(LEFT(Entry!$C492,FIND(":",Entry!$C492)-1)),2)&amp;RIGHT("00"&amp;VALUE(MID(Entry!$C492,FIND(":",Entry!$C492)+1,2)),2),"0000"))))</f>
        <v/>
      </c>
      <c r="G489" t="str">
        <f>IF($A489="","",Entry!$G492)</f>
        <v/>
      </c>
      <c r="H489" t="str">
        <f>IF($A489="","",IF(Entry!$H492="",0,Entry!$H492))</f>
        <v/>
      </c>
      <c r="I489" t="str">
        <f>IF($A489="","",IF(Entry!$I492="",0,Entry!$I492))</f>
        <v/>
      </c>
      <c r="J489" t="str">
        <f t="shared" si="51"/>
        <v/>
      </c>
      <c r="K489" t="str">
        <f>IF($A489="","",Entry!$D492)</f>
        <v/>
      </c>
      <c r="L489" t="str">
        <f>IF($A489="","",Entry!$L492)</f>
        <v/>
      </c>
      <c r="N489" t="str">
        <f>IF(OR(Sync!$M489="",$Q489="",$Q489="نامعتبر"),"",Sync!$M489)</f>
        <v/>
      </c>
      <c r="O489" t="str">
        <f t="shared" si="52"/>
        <v/>
      </c>
      <c r="P489" t="str">
        <f>IF($N489="","",LEFT($Q489,4)&amp;MID($Q489,6,2)&amp;RIGHT($Q489,2)&amp;IF(Sync!$K489="","0000",IF(AND(ISNUMBER(Sync!$K489),Sync!$K489&gt;=0,Sync!$K489&lt;1),RIGHT("00"&amp;HOUR(Sync!$K489),2)&amp;RIGHT("00"&amp;MINUTE(Sync!$K489),2),IFERROR(RIGHT("00"&amp;VALUE(LEFT(Sync!$K489,FIND(":",Sync!$K489)-1)),2)&amp;RIGHT("00"&amp;VALUE(MID(Sync!$K489,FIND(":",Sync!$K489)+1,2)),2),"0000")))&amp;"|"&amp;"2"&amp;RIGHT("00000"&amp;484,5))</f>
        <v/>
      </c>
      <c r="Q489" t="str">
        <f>IF(Sync!$J489="","",IF(ISNUMBER(Sync!$J489),IF(AND(Sync!$J489&gt;=10000101,Sync!$J489&lt;=99991231),INT(Sync!$J489/10000)&amp;"/"&amp;RIGHT("00"&amp;INT(MOD(Sync!$J489,10000)/100),2)&amp;"/"&amp;RIGHT("00"&amp;MOD(Sync!$J489,100),2),"نامعتبر"),IF(LEN(Sync!$J489)=10,Sync!$J489,"نامعتبر")))</f>
        <v/>
      </c>
      <c r="R489" t="str">
        <f t="shared" si="53"/>
        <v/>
      </c>
      <c r="S489" t="str">
        <f t="shared" si="54"/>
        <v/>
      </c>
      <c r="T489" t="str">
        <f>IF($N489="","",IF(Sync!$N489="",0,Sync!$N489))</f>
        <v/>
      </c>
      <c r="U489" t="str">
        <f>IF($N489="","",IF(Sync!$O489="",0,Sync!$O489))</f>
        <v/>
      </c>
      <c r="V489" t="str">
        <f>IF($N489="","",Sync!$L489)</f>
        <v/>
      </c>
      <c r="W489" t="str">
        <f>IF($N489="","",Sync!$P489)</f>
        <v/>
      </c>
      <c r="AA489" t="str">
        <f>IF($A489="","",IF(COUNTIF($A$6:$A489,$A489)=1,1,0))</f>
        <v/>
      </c>
      <c r="AB489">
        <f>SUM($AA$6:$AA489)</f>
        <v>3</v>
      </c>
      <c r="AC489" t="str">
        <f t="shared" si="55"/>
        <v/>
      </c>
    </row>
    <row r="490" spans="1:29" x14ac:dyDescent="0.2">
      <c r="A490" t="str">
        <f>IF(OR(Entry!$B493="",Entry!$E493="",$E490="نامعتبر"),"",Entry!$E493)</f>
        <v/>
      </c>
      <c r="B490" t="str">
        <f>IF($A490="","",LEFT($E490,4)&amp;MID($E490,6,2)&amp;RIGHT($E490,2)&amp;$F490&amp;"|"&amp;"1"&amp;RIGHT("00000"&amp;485,5))</f>
        <v/>
      </c>
      <c r="C490" t="str">
        <f t="shared" si="49"/>
        <v/>
      </c>
      <c r="D490" t="str">
        <f t="shared" si="50"/>
        <v/>
      </c>
      <c r="E490" t="str">
        <f>IF(Entry!$B493="","",IF(ISNUMBER(Entry!$B493),IF(AND(Entry!$B493&gt;=10000101,Entry!$B493&lt;=99991231),INT(Entry!$B493/10000)&amp;"/"&amp;RIGHT("00"&amp;INT(MOD(Entry!$B493,10000)/100),2)&amp;"/"&amp;RIGHT("00"&amp;MOD(Entry!$B493,100),2),"نامعتبر"),IF(LEN(Entry!$B493)=10,Entry!$B493,"نامعتبر")))</f>
        <v/>
      </c>
      <c r="F490" t="str">
        <f>IF(Entry!$B493="","",IF(Entry!$C493="","0000",IF(AND(ISNUMBER(Entry!$C493),Entry!$C493&gt;=0,Entry!$C493&lt;1),RIGHT("00"&amp;HOUR(Entry!$C493),2)&amp;RIGHT("00"&amp;MINUTE(Entry!$C493),2),IFERROR(RIGHT("00"&amp;VALUE(LEFT(Entry!$C493,FIND(":",Entry!$C493)-1)),2)&amp;RIGHT("00"&amp;VALUE(MID(Entry!$C493,FIND(":",Entry!$C493)+1,2)),2),"0000"))))</f>
        <v/>
      </c>
      <c r="G490" t="str">
        <f>IF($A490="","",Entry!$G493)</f>
        <v/>
      </c>
      <c r="H490" t="str">
        <f>IF($A490="","",IF(Entry!$H493="",0,Entry!$H493))</f>
        <v/>
      </c>
      <c r="I490" t="str">
        <f>IF($A490="","",IF(Entry!$I493="",0,Entry!$I493))</f>
        <v/>
      </c>
      <c r="J490" t="str">
        <f t="shared" si="51"/>
        <v/>
      </c>
      <c r="K490" t="str">
        <f>IF($A490="","",Entry!$D493)</f>
        <v/>
      </c>
      <c r="L490" t="str">
        <f>IF($A490="","",Entry!$L493)</f>
        <v/>
      </c>
      <c r="N490" t="str">
        <f>IF(OR(Sync!$M490="",$Q490="",$Q490="نامعتبر"),"",Sync!$M490)</f>
        <v/>
      </c>
      <c r="O490" t="str">
        <f t="shared" si="52"/>
        <v/>
      </c>
      <c r="P490" t="str">
        <f>IF($N490="","",LEFT($Q490,4)&amp;MID($Q490,6,2)&amp;RIGHT($Q490,2)&amp;IF(Sync!$K490="","0000",IF(AND(ISNUMBER(Sync!$K490),Sync!$K490&gt;=0,Sync!$K490&lt;1),RIGHT("00"&amp;HOUR(Sync!$K490),2)&amp;RIGHT("00"&amp;MINUTE(Sync!$K490),2),IFERROR(RIGHT("00"&amp;VALUE(LEFT(Sync!$K490,FIND(":",Sync!$K490)-1)),2)&amp;RIGHT("00"&amp;VALUE(MID(Sync!$K490,FIND(":",Sync!$K490)+1,2)),2),"0000")))&amp;"|"&amp;"2"&amp;RIGHT("00000"&amp;485,5))</f>
        <v/>
      </c>
      <c r="Q490" t="str">
        <f>IF(Sync!$J490="","",IF(ISNUMBER(Sync!$J490),IF(AND(Sync!$J490&gt;=10000101,Sync!$J490&lt;=99991231),INT(Sync!$J490/10000)&amp;"/"&amp;RIGHT("00"&amp;INT(MOD(Sync!$J490,10000)/100),2)&amp;"/"&amp;RIGHT("00"&amp;MOD(Sync!$J490,100),2),"نامعتبر"),IF(LEN(Sync!$J490)=10,Sync!$J490,"نامعتبر")))</f>
        <v/>
      </c>
      <c r="R490" t="str">
        <f t="shared" si="53"/>
        <v/>
      </c>
      <c r="S490" t="str">
        <f t="shared" si="54"/>
        <v/>
      </c>
      <c r="T490" t="str">
        <f>IF($N490="","",IF(Sync!$N490="",0,Sync!$N490))</f>
        <v/>
      </c>
      <c r="U490" t="str">
        <f>IF($N490="","",IF(Sync!$O490="",0,Sync!$O490))</f>
        <v/>
      </c>
      <c r="V490" t="str">
        <f>IF($N490="","",Sync!$L490)</f>
        <v/>
      </c>
      <c r="W490" t="str">
        <f>IF($N490="","",Sync!$P490)</f>
        <v/>
      </c>
      <c r="AA490" t="str">
        <f>IF($A490="","",IF(COUNTIF($A$6:$A490,$A490)=1,1,0))</f>
        <v/>
      </c>
      <c r="AB490">
        <f>SUM($AA$6:$AA490)</f>
        <v>3</v>
      </c>
      <c r="AC490" t="str">
        <f t="shared" si="55"/>
        <v/>
      </c>
    </row>
    <row r="491" spans="1:29" x14ac:dyDescent="0.2">
      <c r="A491" t="str">
        <f>IF(OR(Entry!$B494="",Entry!$E494="",$E491="نامعتبر"),"",Entry!$E494)</f>
        <v/>
      </c>
      <c r="B491" t="str">
        <f>IF($A491="","",LEFT($E491,4)&amp;MID($E491,6,2)&amp;RIGHT($E491,2)&amp;$F491&amp;"|"&amp;"1"&amp;RIGHT("00000"&amp;486,5))</f>
        <v/>
      </c>
      <c r="C491" t="str">
        <f t="shared" si="49"/>
        <v/>
      </c>
      <c r="D491" t="str">
        <f t="shared" si="50"/>
        <v/>
      </c>
      <c r="E491" t="str">
        <f>IF(Entry!$B494="","",IF(ISNUMBER(Entry!$B494),IF(AND(Entry!$B494&gt;=10000101,Entry!$B494&lt;=99991231),INT(Entry!$B494/10000)&amp;"/"&amp;RIGHT("00"&amp;INT(MOD(Entry!$B494,10000)/100),2)&amp;"/"&amp;RIGHT("00"&amp;MOD(Entry!$B494,100),2),"نامعتبر"),IF(LEN(Entry!$B494)=10,Entry!$B494,"نامعتبر")))</f>
        <v/>
      </c>
      <c r="F491" t="str">
        <f>IF(Entry!$B494="","",IF(Entry!$C494="","0000",IF(AND(ISNUMBER(Entry!$C494),Entry!$C494&gt;=0,Entry!$C494&lt;1),RIGHT("00"&amp;HOUR(Entry!$C494),2)&amp;RIGHT("00"&amp;MINUTE(Entry!$C494),2),IFERROR(RIGHT("00"&amp;VALUE(LEFT(Entry!$C494,FIND(":",Entry!$C494)-1)),2)&amp;RIGHT("00"&amp;VALUE(MID(Entry!$C494,FIND(":",Entry!$C494)+1,2)),2),"0000"))))</f>
        <v/>
      </c>
      <c r="G491" t="str">
        <f>IF($A491="","",Entry!$G494)</f>
        <v/>
      </c>
      <c r="H491" t="str">
        <f>IF($A491="","",IF(Entry!$H494="",0,Entry!$H494))</f>
        <v/>
      </c>
      <c r="I491" t="str">
        <f>IF($A491="","",IF(Entry!$I494="",0,Entry!$I494))</f>
        <v/>
      </c>
      <c r="J491" t="str">
        <f t="shared" si="51"/>
        <v/>
      </c>
      <c r="K491" t="str">
        <f>IF($A491="","",Entry!$D494)</f>
        <v/>
      </c>
      <c r="L491" t="str">
        <f>IF($A491="","",Entry!$L494)</f>
        <v/>
      </c>
      <c r="N491" t="str">
        <f>IF(OR(Sync!$M491="",$Q491="",$Q491="نامعتبر"),"",Sync!$M491)</f>
        <v/>
      </c>
      <c r="O491" t="str">
        <f t="shared" si="52"/>
        <v/>
      </c>
      <c r="P491" t="str">
        <f>IF($N491="","",LEFT($Q491,4)&amp;MID($Q491,6,2)&amp;RIGHT($Q491,2)&amp;IF(Sync!$K491="","0000",IF(AND(ISNUMBER(Sync!$K491),Sync!$K491&gt;=0,Sync!$K491&lt;1),RIGHT("00"&amp;HOUR(Sync!$K491),2)&amp;RIGHT("00"&amp;MINUTE(Sync!$K491),2),IFERROR(RIGHT("00"&amp;VALUE(LEFT(Sync!$K491,FIND(":",Sync!$K491)-1)),2)&amp;RIGHT("00"&amp;VALUE(MID(Sync!$K491,FIND(":",Sync!$K491)+1,2)),2),"0000")))&amp;"|"&amp;"2"&amp;RIGHT("00000"&amp;486,5))</f>
        <v/>
      </c>
      <c r="Q491" t="str">
        <f>IF(Sync!$J491="","",IF(ISNUMBER(Sync!$J491),IF(AND(Sync!$J491&gt;=10000101,Sync!$J491&lt;=99991231),INT(Sync!$J491/10000)&amp;"/"&amp;RIGHT("00"&amp;INT(MOD(Sync!$J491,10000)/100),2)&amp;"/"&amp;RIGHT("00"&amp;MOD(Sync!$J491,100),2),"نامعتبر"),IF(LEN(Sync!$J491)=10,Sync!$J491,"نامعتبر")))</f>
        <v/>
      </c>
      <c r="R491" t="str">
        <f t="shared" si="53"/>
        <v/>
      </c>
      <c r="S491" t="str">
        <f t="shared" si="54"/>
        <v/>
      </c>
      <c r="T491" t="str">
        <f>IF($N491="","",IF(Sync!$N491="",0,Sync!$N491))</f>
        <v/>
      </c>
      <c r="U491" t="str">
        <f>IF($N491="","",IF(Sync!$O491="",0,Sync!$O491))</f>
        <v/>
      </c>
      <c r="V491" t="str">
        <f>IF($N491="","",Sync!$L491)</f>
        <v/>
      </c>
      <c r="W491" t="str">
        <f>IF($N491="","",Sync!$P491)</f>
        <v/>
      </c>
      <c r="AA491" t="str">
        <f>IF($A491="","",IF(COUNTIF($A$6:$A491,$A491)=1,1,0))</f>
        <v/>
      </c>
      <c r="AB491">
        <f>SUM($AA$6:$AA491)</f>
        <v>3</v>
      </c>
      <c r="AC491" t="str">
        <f t="shared" si="55"/>
        <v/>
      </c>
    </row>
    <row r="492" spans="1:29" x14ac:dyDescent="0.2">
      <c r="A492" t="str">
        <f>IF(OR(Entry!$B495="",Entry!$E495="",$E492="نامعتبر"),"",Entry!$E495)</f>
        <v/>
      </c>
      <c r="B492" t="str">
        <f>IF($A492="","",LEFT($E492,4)&amp;MID($E492,6,2)&amp;RIGHT($E492,2)&amp;$F492&amp;"|"&amp;"1"&amp;RIGHT("00000"&amp;487,5))</f>
        <v/>
      </c>
      <c r="C492" t="str">
        <f t="shared" si="49"/>
        <v/>
      </c>
      <c r="D492" t="str">
        <f t="shared" si="50"/>
        <v/>
      </c>
      <c r="E492" t="str">
        <f>IF(Entry!$B495="","",IF(ISNUMBER(Entry!$B495),IF(AND(Entry!$B495&gt;=10000101,Entry!$B495&lt;=99991231),INT(Entry!$B495/10000)&amp;"/"&amp;RIGHT("00"&amp;INT(MOD(Entry!$B495,10000)/100),2)&amp;"/"&amp;RIGHT("00"&amp;MOD(Entry!$B495,100),2),"نامعتبر"),IF(LEN(Entry!$B495)=10,Entry!$B495,"نامعتبر")))</f>
        <v/>
      </c>
      <c r="F492" t="str">
        <f>IF(Entry!$B495="","",IF(Entry!$C495="","0000",IF(AND(ISNUMBER(Entry!$C495),Entry!$C495&gt;=0,Entry!$C495&lt;1),RIGHT("00"&amp;HOUR(Entry!$C495),2)&amp;RIGHT("00"&amp;MINUTE(Entry!$C495),2),IFERROR(RIGHT("00"&amp;VALUE(LEFT(Entry!$C495,FIND(":",Entry!$C495)-1)),2)&amp;RIGHT("00"&amp;VALUE(MID(Entry!$C495,FIND(":",Entry!$C495)+1,2)),2),"0000"))))</f>
        <v/>
      </c>
      <c r="G492" t="str">
        <f>IF($A492="","",Entry!$G495)</f>
        <v/>
      </c>
      <c r="H492" t="str">
        <f>IF($A492="","",IF(Entry!$H495="",0,Entry!$H495))</f>
        <v/>
      </c>
      <c r="I492" t="str">
        <f>IF($A492="","",IF(Entry!$I495="",0,Entry!$I495))</f>
        <v/>
      </c>
      <c r="J492" t="str">
        <f t="shared" si="51"/>
        <v/>
      </c>
      <c r="K492" t="str">
        <f>IF($A492="","",Entry!$D495)</f>
        <v/>
      </c>
      <c r="L492" t="str">
        <f>IF($A492="","",Entry!$L495)</f>
        <v/>
      </c>
      <c r="N492" t="str">
        <f>IF(OR(Sync!$M492="",$Q492="",$Q492="نامعتبر"),"",Sync!$M492)</f>
        <v/>
      </c>
      <c r="O492" t="str">
        <f t="shared" si="52"/>
        <v/>
      </c>
      <c r="P492" t="str">
        <f>IF($N492="","",LEFT($Q492,4)&amp;MID($Q492,6,2)&amp;RIGHT($Q492,2)&amp;IF(Sync!$K492="","0000",IF(AND(ISNUMBER(Sync!$K492),Sync!$K492&gt;=0,Sync!$K492&lt;1),RIGHT("00"&amp;HOUR(Sync!$K492),2)&amp;RIGHT("00"&amp;MINUTE(Sync!$K492),2),IFERROR(RIGHT("00"&amp;VALUE(LEFT(Sync!$K492,FIND(":",Sync!$K492)-1)),2)&amp;RIGHT("00"&amp;VALUE(MID(Sync!$K492,FIND(":",Sync!$K492)+1,2)),2),"0000")))&amp;"|"&amp;"2"&amp;RIGHT("00000"&amp;487,5))</f>
        <v/>
      </c>
      <c r="Q492" t="str">
        <f>IF(Sync!$J492="","",IF(ISNUMBER(Sync!$J492),IF(AND(Sync!$J492&gt;=10000101,Sync!$J492&lt;=99991231),INT(Sync!$J492/10000)&amp;"/"&amp;RIGHT("00"&amp;INT(MOD(Sync!$J492,10000)/100),2)&amp;"/"&amp;RIGHT("00"&amp;MOD(Sync!$J492,100),2),"نامعتبر"),IF(LEN(Sync!$J492)=10,Sync!$J492,"نامعتبر")))</f>
        <v/>
      </c>
      <c r="R492" t="str">
        <f t="shared" si="53"/>
        <v/>
      </c>
      <c r="S492" t="str">
        <f t="shared" si="54"/>
        <v/>
      </c>
      <c r="T492" t="str">
        <f>IF($N492="","",IF(Sync!$N492="",0,Sync!$N492))</f>
        <v/>
      </c>
      <c r="U492" t="str">
        <f>IF($N492="","",IF(Sync!$O492="",0,Sync!$O492))</f>
        <v/>
      </c>
      <c r="V492" t="str">
        <f>IF($N492="","",Sync!$L492)</f>
        <v/>
      </c>
      <c r="W492" t="str">
        <f>IF($N492="","",Sync!$P492)</f>
        <v/>
      </c>
      <c r="AA492" t="str">
        <f>IF($A492="","",IF(COUNTIF($A$6:$A492,$A492)=1,1,0))</f>
        <v/>
      </c>
      <c r="AB492">
        <f>SUM($AA$6:$AA492)</f>
        <v>3</v>
      </c>
      <c r="AC492" t="str">
        <f t="shared" si="55"/>
        <v/>
      </c>
    </row>
    <row r="493" spans="1:29" x14ac:dyDescent="0.2">
      <c r="A493" t="str">
        <f>IF(OR(Entry!$B496="",Entry!$E496="",$E493="نامعتبر"),"",Entry!$E496)</f>
        <v/>
      </c>
      <c r="B493" t="str">
        <f>IF($A493="","",LEFT($E493,4)&amp;MID($E493,6,2)&amp;RIGHT($E493,2)&amp;$F493&amp;"|"&amp;"1"&amp;RIGHT("00000"&amp;488,5))</f>
        <v/>
      </c>
      <c r="C493" t="str">
        <f t="shared" si="49"/>
        <v/>
      </c>
      <c r="D493" t="str">
        <f t="shared" si="50"/>
        <v/>
      </c>
      <c r="E493" t="str">
        <f>IF(Entry!$B496="","",IF(ISNUMBER(Entry!$B496),IF(AND(Entry!$B496&gt;=10000101,Entry!$B496&lt;=99991231),INT(Entry!$B496/10000)&amp;"/"&amp;RIGHT("00"&amp;INT(MOD(Entry!$B496,10000)/100),2)&amp;"/"&amp;RIGHT("00"&amp;MOD(Entry!$B496,100),2),"نامعتبر"),IF(LEN(Entry!$B496)=10,Entry!$B496,"نامعتبر")))</f>
        <v/>
      </c>
      <c r="F493" t="str">
        <f>IF(Entry!$B496="","",IF(Entry!$C496="","0000",IF(AND(ISNUMBER(Entry!$C496),Entry!$C496&gt;=0,Entry!$C496&lt;1),RIGHT("00"&amp;HOUR(Entry!$C496),2)&amp;RIGHT("00"&amp;MINUTE(Entry!$C496),2),IFERROR(RIGHT("00"&amp;VALUE(LEFT(Entry!$C496,FIND(":",Entry!$C496)-1)),2)&amp;RIGHT("00"&amp;VALUE(MID(Entry!$C496,FIND(":",Entry!$C496)+1,2)),2),"0000"))))</f>
        <v/>
      </c>
      <c r="G493" t="str">
        <f>IF($A493="","",Entry!$G496)</f>
        <v/>
      </c>
      <c r="H493" t="str">
        <f>IF($A493="","",IF(Entry!$H496="",0,Entry!$H496))</f>
        <v/>
      </c>
      <c r="I493" t="str">
        <f>IF($A493="","",IF(Entry!$I496="",0,Entry!$I496))</f>
        <v/>
      </c>
      <c r="J493" t="str">
        <f t="shared" si="51"/>
        <v/>
      </c>
      <c r="K493" t="str">
        <f>IF($A493="","",Entry!$D496)</f>
        <v/>
      </c>
      <c r="L493" t="str">
        <f>IF($A493="","",Entry!$L496)</f>
        <v/>
      </c>
      <c r="N493" t="str">
        <f>IF(OR(Sync!$M493="",$Q493="",$Q493="نامعتبر"),"",Sync!$M493)</f>
        <v/>
      </c>
      <c r="O493" t="str">
        <f t="shared" si="52"/>
        <v/>
      </c>
      <c r="P493" t="str">
        <f>IF($N493="","",LEFT($Q493,4)&amp;MID($Q493,6,2)&amp;RIGHT($Q493,2)&amp;IF(Sync!$K493="","0000",IF(AND(ISNUMBER(Sync!$K493),Sync!$K493&gt;=0,Sync!$K493&lt;1),RIGHT("00"&amp;HOUR(Sync!$K493),2)&amp;RIGHT("00"&amp;MINUTE(Sync!$K493),2),IFERROR(RIGHT("00"&amp;VALUE(LEFT(Sync!$K493,FIND(":",Sync!$K493)-1)),2)&amp;RIGHT("00"&amp;VALUE(MID(Sync!$K493,FIND(":",Sync!$K493)+1,2)),2),"0000")))&amp;"|"&amp;"2"&amp;RIGHT("00000"&amp;488,5))</f>
        <v/>
      </c>
      <c r="Q493" t="str">
        <f>IF(Sync!$J493="","",IF(ISNUMBER(Sync!$J493),IF(AND(Sync!$J493&gt;=10000101,Sync!$J493&lt;=99991231),INT(Sync!$J493/10000)&amp;"/"&amp;RIGHT("00"&amp;INT(MOD(Sync!$J493,10000)/100),2)&amp;"/"&amp;RIGHT("00"&amp;MOD(Sync!$J493,100),2),"نامعتبر"),IF(LEN(Sync!$J493)=10,Sync!$J493,"نامعتبر")))</f>
        <v/>
      </c>
      <c r="R493" t="str">
        <f t="shared" si="53"/>
        <v/>
      </c>
      <c r="S493" t="str">
        <f t="shared" si="54"/>
        <v/>
      </c>
      <c r="T493" t="str">
        <f>IF($N493="","",IF(Sync!$N493="",0,Sync!$N493))</f>
        <v/>
      </c>
      <c r="U493" t="str">
        <f>IF($N493="","",IF(Sync!$O493="",0,Sync!$O493))</f>
        <v/>
      </c>
      <c r="V493" t="str">
        <f>IF($N493="","",Sync!$L493)</f>
        <v/>
      </c>
      <c r="W493" t="str">
        <f>IF($N493="","",Sync!$P493)</f>
        <v/>
      </c>
      <c r="AA493" t="str">
        <f>IF($A493="","",IF(COUNTIF($A$6:$A493,$A493)=1,1,0))</f>
        <v/>
      </c>
      <c r="AB493">
        <f>SUM($AA$6:$AA493)</f>
        <v>3</v>
      </c>
      <c r="AC493" t="str">
        <f t="shared" si="55"/>
        <v/>
      </c>
    </row>
    <row r="494" spans="1:29" x14ac:dyDescent="0.2">
      <c r="A494" t="str">
        <f>IF(OR(Entry!$B497="",Entry!$E497="",$E494="نامعتبر"),"",Entry!$E497)</f>
        <v/>
      </c>
      <c r="B494" t="str">
        <f>IF($A494="","",LEFT($E494,4)&amp;MID($E494,6,2)&amp;RIGHT($E494,2)&amp;$F494&amp;"|"&amp;"1"&amp;RIGHT("00000"&amp;489,5))</f>
        <v/>
      </c>
      <c r="C494" t="str">
        <f t="shared" si="49"/>
        <v/>
      </c>
      <c r="D494" t="str">
        <f t="shared" si="50"/>
        <v/>
      </c>
      <c r="E494" t="str">
        <f>IF(Entry!$B497="","",IF(ISNUMBER(Entry!$B497),IF(AND(Entry!$B497&gt;=10000101,Entry!$B497&lt;=99991231),INT(Entry!$B497/10000)&amp;"/"&amp;RIGHT("00"&amp;INT(MOD(Entry!$B497,10000)/100),2)&amp;"/"&amp;RIGHT("00"&amp;MOD(Entry!$B497,100),2),"نامعتبر"),IF(LEN(Entry!$B497)=10,Entry!$B497,"نامعتبر")))</f>
        <v/>
      </c>
      <c r="F494" t="str">
        <f>IF(Entry!$B497="","",IF(Entry!$C497="","0000",IF(AND(ISNUMBER(Entry!$C497),Entry!$C497&gt;=0,Entry!$C497&lt;1),RIGHT("00"&amp;HOUR(Entry!$C497),2)&amp;RIGHT("00"&amp;MINUTE(Entry!$C497),2),IFERROR(RIGHT("00"&amp;VALUE(LEFT(Entry!$C497,FIND(":",Entry!$C497)-1)),2)&amp;RIGHT("00"&amp;VALUE(MID(Entry!$C497,FIND(":",Entry!$C497)+1,2)),2),"0000"))))</f>
        <v/>
      </c>
      <c r="G494" t="str">
        <f>IF($A494="","",Entry!$G497)</f>
        <v/>
      </c>
      <c r="H494" t="str">
        <f>IF($A494="","",IF(Entry!$H497="",0,Entry!$H497))</f>
        <v/>
      </c>
      <c r="I494" t="str">
        <f>IF($A494="","",IF(Entry!$I497="",0,Entry!$I497))</f>
        <v/>
      </c>
      <c r="J494" t="str">
        <f t="shared" si="51"/>
        <v/>
      </c>
      <c r="K494" t="str">
        <f>IF($A494="","",Entry!$D497)</f>
        <v/>
      </c>
      <c r="L494" t="str">
        <f>IF($A494="","",Entry!$L497)</f>
        <v/>
      </c>
      <c r="N494" t="str">
        <f>IF(OR(Sync!$M494="",$Q494="",$Q494="نامعتبر"),"",Sync!$M494)</f>
        <v/>
      </c>
      <c r="O494" t="str">
        <f t="shared" si="52"/>
        <v/>
      </c>
      <c r="P494" t="str">
        <f>IF($N494="","",LEFT($Q494,4)&amp;MID($Q494,6,2)&amp;RIGHT($Q494,2)&amp;IF(Sync!$K494="","0000",IF(AND(ISNUMBER(Sync!$K494),Sync!$K494&gt;=0,Sync!$K494&lt;1),RIGHT("00"&amp;HOUR(Sync!$K494),2)&amp;RIGHT("00"&amp;MINUTE(Sync!$K494),2),IFERROR(RIGHT("00"&amp;VALUE(LEFT(Sync!$K494,FIND(":",Sync!$K494)-1)),2)&amp;RIGHT("00"&amp;VALUE(MID(Sync!$K494,FIND(":",Sync!$K494)+1,2)),2),"0000")))&amp;"|"&amp;"2"&amp;RIGHT("00000"&amp;489,5))</f>
        <v/>
      </c>
      <c r="Q494" t="str">
        <f>IF(Sync!$J494="","",IF(ISNUMBER(Sync!$J494),IF(AND(Sync!$J494&gt;=10000101,Sync!$J494&lt;=99991231),INT(Sync!$J494/10000)&amp;"/"&amp;RIGHT("00"&amp;INT(MOD(Sync!$J494,10000)/100),2)&amp;"/"&amp;RIGHT("00"&amp;MOD(Sync!$J494,100),2),"نامعتبر"),IF(LEN(Sync!$J494)=10,Sync!$J494,"نامعتبر")))</f>
        <v/>
      </c>
      <c r="R494" t="str">
        <f t="shared" si="53"/>
        <v/>
      </c>
      <c r="S494" t="str">
        <f t="shared" si="54"/>
        <v/>
      </c>
      <c r="T494" t="str">
        <f>IF($N494="","",IF(Sync!$N494="",0,Sync!$N494))</f>
        <v/>
      </c>
      <c r="U494" t="str">
        <f>IF($N494="","",IF(Sync!$O494="",0,Sync!$O494))</f>
        <v/>
      </c>
      <c r="V494" t="str">
        <f>IF($N494="","",Sync!$L494)</f>
        <v/>
      </c>
      <c r="W494" t="str">
        <f>IF($N494="","",Sync!$P494)</f>
        <v/>
      </c>
      <c r="AA494" t="str">
        <f>IF($A494="","",IF(COUNTIF($A$6:$A494,$A494)=1,1,0))</f>
        <v/>
      </c>
      <c r="AB494">
        <f>SUM($AA$6:$AA494)</f>
        <v>3</v>
      </c>
      <c r="AC494" t="str">
        <f t="shared" si="55"/>
        <v/>
      </c>
    </row>
    <row r="495" spans="1:29" x14ac:dyDescent="0.2">
      <c r="A495" t="str">
        <f>IF(OR(Entry!$B498="",Entry!$E498="",$E495="نامعتبر"),"",Entry!$E498)</f>
        <v/>
      </c>
      <c r="B495" t="str">
        <f>IF($A495="","",LEFT($E495,4)&amp;MID($E495,6,2)&amp;RIGHT($E495,2)&amp;$F495&amp;"|"&amp;"1"&amp;RIGHT("00000"&amp;490,5))</f>
        <v/>
      </c>
      <c r="C495" t="str">
        <f t="shared" si="49"/>
        <v/>
      </c>
      <c r="D495" t="str">
        <f t="shared" si="50"/>
        <v/>
      </c>
      <c r="E495" t="str">
        <f>IF(Entry!$B498="","",IF(ISNUMBER(Entry!$B498),IF(AND(Entry!$B498&gt;=10000101,Entry!$B498&lt;=99991231),INT(Entry!$B498/10000)&amp;"/"&amp;RIGHT("00"&amp;INT(MOD(Entry!$B498,10000)/100),2)&amp;"/"&amp;RIGHT("00"&amp;MOD(Entry!$B498,100),2),"نامعتبر"),IF(LEN(Entry!$B498)=10,Entry!$B498,"نامعتبر")))</f>
        <v/>
      </c>
      <c r="F495" t="str">
        <f>IF(Entry!$B498="","",IF(Entry!$C498="","0000",IF(AND(ISNUMBER(Entry!$C498),Entry!$C498&gt;=0,Entry!$C498&lt;1),RIGHT("00"&amp;HOUR(Entry!$C498),2)&amp;RIGHT("00"&amp;MINUTE(Entry!$C498),2),IFERROR(RIGHT("00"&amp;VALUE(LEFT(Entry!$C498,FIND(":",Entry!$C498)-1)),2)&amp;RIGHT("00"&amp;VALUE(MID(Entry!$C498,FIND(":",Entry!$C498)+1,2)),2),"0000"))))</f>
        <v/>
      </c>
      <c r="G495" t="str">
        <f>IF($A495="","",Entry!$G498)</f>
        <v/>
      </c>
      <c r="H495" t="str">
        <f>IF($A495="","",IF(Entry!$H498="",0,Entry!$H498))</f>
        <v/>
      </c>
      <c r="I495" t="str">
        <f>IF($A495="","",IF(Entry!$I498="",0,Entry!$I498))</f>
        <v/>
      </c>
      <c r="J495" t="str">
        <f t="shared" si="51"/>
        <v/>
      </c>
      <c r="K495" t="str">
        <f>IF($A495="","",Entry!$D498)</f>
        <v/>
      </c>
      <c r="L495" t="str">
        <f>IF($A495="","",Entry!$L498)</f>
        <v/>
      </c>
      <c r="N495" t="str">
        <f>IF(OR(Sync!$M495="",$Q495="",$Q495="نامعتبر"),"",Sync!$M495)</f>
        <v/>
      </c>
      <c r="O495" t="str">
        <f t="shared" si="52"/>
        <v/>
      </c>
      <c r="P495" t="str">
        <f>IF($N495="","",LEFT($Q495,4)&amp;MID($Q495,6,2)&amp;RIGHT($Q495,2)&amp;IF(Sync!$K495="","0000",IF(AND(ISNUMBER(Sync!$K495),Sync!$K495&gt;=0,Sync!$K495&lt;1),RIGHT("00"&amp;HOUR(Sync!$K495),2)&amp;RIGHT("00"&amp;MINUTE(Sync!$K495),2),IFERROR(RIGHT("00"&amp;VALUE(LEFT(Sync!$K495,FIND(":",Sync!$K495)-1)),2)&amp;RIGHT("00"&amp;VALUE(MID(Sync!$K495,FIND(":",Sync!$K495)+1,2)),2),"0000")))&amp;"|"&amp;"2"&amp;RIGHT("00000"&amp;490,5))</f>
        <v/>
      </c>
      <c r="Q495" t="str">
        <f>IF(Sync!$J495="","",IF(ISNUMBER(Sync!$J495),IF(AND(Sync!$J495&gt;=10000101,Sync!$J495&lt;=99991231),INT(Sync!$J495/10000)&amp;"/"&amp;RIGHT("00"&amp;INT(MOD(Sync!$J495,10000)/100),2)&amp;"/"&amp;RIGHT("00"&amp;MOD(Sync!$J495,100),2),"نامعتبر"),IF(LEN(Sync!$J495)=10,Sync!$J495,"نامعتبر")))</f>
        <v/>
      </c>
      <c r="R495" t="str">
        <f t="shared" si="53"/>
        <v/>
      </c>
      <c r="S495" t="str">
        <f t="shared" si="54"/>
        <v/>
      </c>
      <c r="T495" t="str">
        <f>IF($N495="","",IF(Sync!$N495="",0,Sync!$N495))</f>
        <v/>
      </c>
      <c r="U495" t="str">
        <f>IF($N495="","",IF(Sync!$O495="",0,Sync!$O495))</f>
        <v/>
      </c>
      <c r="V495" t="str">
        <f>IF($N495="","",Sync!$L495)</f>
        <v/>
      </c>
      <c r="W495" t="str">
        <f>IF($N495="","",Sync!$P495)</f>
        <v/>
      </c>
      <c r="AA495" t="str">
        <f>IF($A495="","",IF(COUNTIF($A$6:$A495,$A495)=1,1,0))</f>
        <v/>
      </c>
      <c r="AB495">
        <f>SUM($AA$6:$AA495)</f>
        <v>3</v>
      </c>
      <c r="AC495" t="str">
        <f t="shared" si="55"/>
        <v/>
      </c>
    </row>
    <row r="496" spans="1:29" x14ac:dyDescent="0.2">
      <c r="A496" t="str">
        <f>IF(OR(Entry!$B499="",Entry!$E499="",$E496="نامعتبر"),"",Entry!$E499)</f>
        <v/>
      </c>
      <c r="B496" t="str">
        <f>IF($A496="","",LEFT($E496,4)&amp;MID($E496,6,2)&amp;RIGHT($E496,2)&amp;$F496&amp;"|"&amp;"1"&amp;RIGHT("00000"&amp;491,5))</f>
        <v/>
      </c>
      <c r="C496" t="str">
        <f t="shared" si="49"/>
        <v/>
      </c>
      <c r="D496" t="str">
        <f t="shared" si="50"/>
        <v/>
      </c>
      <c r="E496" t="str">
        <f>IF(Entry!$B499="","",IF(ISNUMBER(Entry!$B499),IF(AND(Entry!$B499&gt;=10000101,Entry!$B499&lt;=99991231),INT(Entry!$B499/10000)&amp;"/"&amp;RIGHT("00"&amp;INT(MOD(Entry!$B499,10000)/100),2)&amp;"/"&amp;RIGHT("00"&amp;MOD(Entry!$B499,100),2),"نامعتبر"),IF(LEN(Entry!$B499)=10,Entry!$B499,"نامعتبر")))</f>
        <v/>
      </c>
      <c r="F496" t="str">
        <f>IF(Entry!$B499="","",IF(Entry!$C499="","0000",IF(AND(ISNUMBER(Entry!$C499),Entry!$C499&gt;=0,Entry!$C499&lt;1),RIGHT("00"&amp;HOUR(Entry!$C499),2)&amp;RIGHT("00"&amp;MINUTE(Entry!$C499),2),IFERROR(RIGHT("00"&amp;VALUE(LEFT(Entry!$C499,FIND(":",Entry!$C499)-1)),2)&amp;RIGHT("00"&amp;VALUE(MID(Entry!$C499,FIND(":",Entry!$C499)+1,2)),2),"0000"))))</f>
        <v/>
      </c>
      <c r="G496" t="str">
        <f>IF($A496="","",Entry!$G499)</f>
        <v/>
      </c>
      <c r="H496" t="str">
        <f>IF($A496="","",IF(Entry!$H499="",0,Entry!$H499))</f>
        <v/>
      </c>
      <c r="I496" t="str">
        <f>IF($A496="","",IF(Entry!$I499="",0,Entry!$I499))</f>
        <v/>
      </c>
      <c r="J496" t="str">
        <f t="shared" si="51"/>
        <v/>
      </c>
      <c r="K496" t="str">
        <f>IF($A496="","",Entry!$D499)</f>
        <v/>
      </c>
      <c r="L496" t="str">
        <f>IF($A496="","",Entry!$L499)</f>
        <v/>
      </c>
      <c r="N496" t="str">
        <f>IF(OR(Sync!$M496="",$Q496="",$Q496="نامعتبر"),"",Sync!$M496)</f>
        <v/>
      </c>
      <c r="O496" t="str">
        <f t="shared" si="52"/>
        <v/>
      </c>
      <c r="P496" t="str">
        <f>IF($N496="","",LEFT($Q496,4)&amp;MID($Q496,6,2)&amp;RIGHT($Q496,2)&amp;IF(Sync!$K496="","0000",IF(AND(ISNUMBER(Sync!$K496),Sync!$K496&gt;=0,Sync!$K496&lt;1),RIGHT("00"&amp;HOUR(Sync!$K496),2)&amp;RIGHT("00"&amp;MINUTE(Sync!$K496),2),IFERROR(RIGHT("00"&amp;VALUE(LEFT(Sync!$K496,FIND(":",Sync!$K496)-1)),2)&amp;RIGHT("00"&amp;VALUE(MID(Sync!$K496,FIND(":",Sync!$K496)+1,2)),2),"0000")))&amp;"|"&amp;"2"&amp;RIGHT("00000"&amp;491,5))</f>
        <v/>
      </c>
      <c r="Q496" t="str">
        <f>IF(Sync!$J496="","",IF(ISNUMBER(Sync!$J496),IF(AND(Sync!$J496&gt;=10000101,Sync!$J496&lt;=99991231),INT(Sync!$J496/10000)&amp;"/"&amp;RIGHT("00"&amp;INT(MOD(Sync!$J496,10000)/100),2)&amp;"/"&amp;RIGHT("00"&amp;MOD(Sync!$J496,100),2),"نامعتبر"),IF(LEN(Sync!$J496)=10,Sync!$J496,"نامعتبر")))</f>
        <v/>
      </c>
      <c r="R496" t="str">
        <f t="shared" si="53"/>
        <v/>
      </c>
      <c r="S496" t="str">
        <f t="shared" si="54"/>
        <v/>
      </c>
      <c r="T496" t="str">
        <f>IF($N496="","",IF(Sync!$N496="",0,Sync!$N496))</f>
        <v/>
      </c>
      <c r="U496" t="str">
        <f>IF($N496="","",IF(Sync!$O496="",0,Sync!$O496))</f>
        <v/>
      </c>
      <c r="V496" t="str">
        <f>IF($N496="","",Sync!$L496)</f>
        <v/>
      </c>
      <c r="W496" t="str">
        <f>IF($N496="","",Sync!$P496)</f>
        <v/>
      </c>
      <c r="AA496" t="str">
        <f>IF($A496="","",IF(COUNTIF($A$6:$A496,$A496)=1,1,0))</f>
        <v/>
      </c>
      <c r="AB496">
        <f>SUM($AA$6:$AA496)</f>
        <v>3</v>
      </c>
      <c r="AC496" t="str">
        <f t="shared" si="55"/>
        <v/>
      </c>
    </row>
    <row r="497" spans="1:29" x14ac:dyDescent="0.2">
      <c r="A497" t="str">
        <f>IF(OR(Entry!$B500="",Entry!$E500="",$E497="نامعتبر"),"",Entry!$E500)</f>
        <v/>
      </c>
      <c r="B497" t="str">
        <f>IF($A497="","",LEFT($E497,4)&amp;MID($E497,6,2)&amp;RIGHT($E497,2)&amp;$F497&amp;"|"&amp;"1"&amp;RIGHT("00000"&amp;492,5))</f>
        <v/>
      </c>
      <c r="C497" t="str">
        <f t="shared" si="49"/>
        <v/>
      </c>
      <c r="D497" t="str">
        <f t="shared" si="50"/>
        <v/>
      </c>
      <c r="E497" t="str">
        <f>IF(Entry!$B500="","",IF(ISNUMBER(Entry!$B500),IF(AND(Entry!$B500&gt;=10000101,Entry!$B500&lt;=99991231),INT(Entry!$B500/10000)&amp;"/"&amp;RIGHT("00"&amp;INT(MOD(Entry!$B500,10000)/100),2)&amp;"/"&amp;RIGHT("00"&amp;MOD(Entry!$B500,100),2),"نامعتبر"),IF(LEN(Entry!$B500)=10,Entry!$B500,"نامعتبر")))</f>
        <v/>
      </c>
      <c r="F497" t="str">
        <f>IF(Entry!$B500="","",IF(Entry!$C500="","0000",IF(AND(ISNUMBER(Entry!$C500),Entry!$C500&gt;=0,Entry!$C500&lt;1),RIGHT("00"&amp;HOUR(Entry!$C500),2)&amp;RIGHT("00"&amp;MINUTE(Entry!$C500),2),IFERROR(RIGHT("00"&amp;VALUE(LEFT(Entry!$C500,FIND(":",Entry!$C500)-1)),2)&amp;RIGHT("00"&amp;VALUE(MID(Entry!$C500,FIND(":",Entry!$C500)+1,2)),2),"0000"))))</f>
        <v/>
      </c>
      <c r="G497" t="str">
        <f>IF($A497="","",Entry!$G500)</f>
        <v/>
      </c>
      <c r="H497" t="str">
        <f>IF($A497="","",IF(Entry!$H500="",0,Entry!$H500))</f>
        <v/>
      </c>
      <c r="I497" t="str">
        <f>IF($A497="","",IF(Entry!$I500="",0,Entry!$I500))</f>
        <v/>
      </c>
      <c r="J497" t="str">
        <f t="shared" si="51"/>
        <v/>
      </c>
      <c r="K497" t="str">
        <f>IF($A497="","",Entry!$D500)</f>
        <v/>
      </c>
      <c r="L497" t="str">
        <f>IF($A497="","",Entry!$L500)</f>
        <v/>
      </c>
      <c r="N497" t="str">
        <f>IF(OR(Sync!$M497="",$Q497="",$Q497="نامعتبر"),"",Sync!$M497)</f>
        <v/>
      </c>
      <c r="O497" t="str">
        <f t="shared" si="52"/>
        <v/>
      </c>
      <c r="P497" t="str">
        <f>IF($N497="","",LEFT($Q497,4)&amp;MID($Q497,6,2)&amp;RIGHT($Q497,2)&amp;IF(Sync!$K497="","0000",IF(AND(ISNUMBER(Sync!$K497),Sync!$K497&gt;=0,Sync!$K497&lt;1),RIGHT("00"&amp;HOUR(Sync!$K497),2)&amp;RIGHT("00"&amp;MINUTE(Sync!$K497),2),IFERROR(RIGHT("00"&amp;VALUE(LEFT(Sync!$K497,FIND(":",Sync!$K497)-1)),2)&amp;RIGHT("00"&amp;VALUE(MID(Sync!$K497,FIND(":",Sync!$K497)+1,2)),2),"0000")))&amp;"|"&amp;"2"&amp;RIGHT("00000"&amp;492,5))</f>
        <v/>
      </c>
      <c r="Q497" t="str">
        <f>IF(Sync!$J497="","",IF(ISNUMBER(Sync!$J497),IF(AND(Sync!$J497&gt;=10000101,Sync!$J497&lt;=99991231),INT(Sync!$J497/10000)&amp;"/"&amp;RIGHT("00"&amp;INT(MOD(Sync!$J497,10000)/100),2)&amp;"/"&amp;RIGHT("00"&amp;MOD(Sync!$J497,100),2),"نامعتبر"),IF(LEN(Sync!$J497)=10,Sync!$J497,"نامعتبر")))</f>
        <v/>
      </c>
      <c r="R497" t="str">
        <f t="shared" si="53"/>
        <v/>
      </c>
      <c r="S497" t="str">
        <f t="shared" si="54"/>
        <v/>
      </c>
      <c r="T497" t="str">
        <f>IF($N497="","",IF(Sync!$N497="",0,Sync!$N497))</f>
        <v/>
      </c>
      <c r="U497" t="str">
        <f>IF($N497="","",IF(Sync!$O497="",0,Sync!$O497))</f>
        <v/>
      </c>
      <c r="V497" t="str">
        <f>IF($N497="","",Sync!$L497)</f>
        <v/>
      </c>
      <c r="W497" t="str">
        <f>IF($N497="","",Sync!$P497)</f>
        <v/>
      </c>
      <c r="AA497" t="str">
        <f>IF($A497="","",IF(COUNTIF($A$6:$A497,$A497)=1,1,0))</f>
        <v/>
      </c>
      <c r="AB497">
        <f>SUM($AA$6:$AA497)</f>
        <v>3</v>
      </c>
      <c r="AC497" t="str">
        <f t="shared" si="55"/>
        <v/>
      </c>
    </row>
    <row r="498" spans="1:29" x14ac:dyDescent="0.2">
      <c r="A498" t="str">
        <f>IF(OR(Entry!$B501="",Entry!$E501="",$E498="نامعتبر"),"",Entry!$E501)</f>
        <v/>
      </c>
      <c r="B498" t="str">
        <f>IF($A498="","",LEFT($E498,4)&amp;MID($E498,6,2)&amp;RIGHT($E498,2)&amp;$F498&amp;"|"&amp;"1"&amp;RIGHT("00000"&amp;493,5))</f>
        <v/>
      </c>
      <c r="C498" t="str">
        <f t="shared" si="49"/>
        <v/>
      </c>
      <c r="D498" t="str">
        <f t="shared" si="50"/>
        <v/>
      </c>
      <c r="E498" t="str">
        <f>IF(Entry!$B501="","",IF(ISNUMBER(Entry!$B501),IF(AND(Entry!$B501&gt;=10000101,Entry!$B501&lt;=99991231),INT(Entry!$B501/10000)&amp;"/"&amp;RIGHT("00"&amp;INT(MOD(Entry!$B501,10000)/100),2)&amp;"/"&amp;RIGHT("00"&amp;MOD(Entry!$B501,100),2),"نامعتبر"),IF(LEN(Entry!$B501)=10,Entry!$B501,"نامعتبر")))</f>
        <v/>
      </c>
      <c r="F498" t="str">
        <f>IF(Entry!$B501="","",IF(Entry!$C501="","0000",IF(AND(ISNUMBER(Entry!$C501),Entry!$C501&gt;=0,Entry!$C501&lt;1),RIGHT("00"&amp;HOUR(Entry!$C501),2)&amp;RIGHT("00"&amp;MINUTE(Entry!$C501),2),IFERROR(RIGHT("00"&amp;VALUE(LEFT(Entry!$C501,FIND(":",Entry!$C501)-1)),2)&amp;RIGHT("00"&amp;VALUE(MID(Entry!$C501,FIND(":",Entry!$C501)+1,2)),2),"0000"))))</f>
        <v/>
      </c>
      <c r="G498" t="str">
        <f>IF($A498="","",Entry!$G501)</f>
        <v/>
      </c>
      <c r="H498" t="str">
        <f>IF($A498="","",IF(Entry!$H501="",0,Entry!$H501))</f>
        <v/>
      </c>
      <c r="I498" t="str">
        <f>IF($A498="","",IF(Entry!$I501="",0,Entry!$I501))</f>
        <v/>
      </c>
      <c r="J498" t="str">
        <f t="shared" si="51"/>
        <v/>
      </c>
      <c r="K498" t="str">
        <f>IF($A498="","",Entry!$D501)</f>
        <v/>
      </c>
      <c r="L498" t="str">
        <f>IF($A498="","",Entry!$L501)</f>
        <v/>
      </c>
      <c r="N498" t="str">
        <f>IF(OR(Sync!$M498="",$Q498="",$Q498="نامعتبر"),"",Sync!$M498)</f>
        <v/>
      </c>
      <c r="O498" t="str">
        <f t="shared" si="52"/>
        <v/>
      </c>
      <c r="P498" t="str">
        <f>IF($N498="","",LEFT($Q498,4)&amp;MID($Q498,6,2)&amp;RIGHT($Q498,2)&amp;IF(Sync!$K498="","0000",IF(AND(ISNUMBER(Sync!$K498),Sync!$K498&gt;=0,Sync!$K498&lt;1),RIGHT("00"&amp;HOUR(Sync!$K498),2)&amp;RIGHT("00"&amp;MINUTE(Sync!$K498),2),IFERROR(RIGHT("00"&amp;VALUE(LEFT(Sync!$K498,FIND(":",Sync!$K498)-1)),2)&amp;RIGHT("00"&amp;VALUE(MID(Sync!$K498,FIND(":",Sync!$K498)+1,2)),2),"0000")))&amp;"|"&amp;"2"&amp;RIGHT("00000"&amp;493,5))</f>
        <v/>
      </c>
      <c r="Q498" t="str">
        <f>IF(Sync!$J498="","",IF(ISNUMBER(Sync!$J498),IF(AND(Sync!$J498&gt;=10000101,Sync!$J498&lt;=99991231),INT(Sync!$J498/10000)&amp;"/"&amp;RIGHT("00"&amp;INT(MOD(Sync!$J498,10000)/100),2)&amp;"/"&amp;RIGHT("00"&amp;MOD(Sync!$J498,100),2),"نامعتبر"),IF(LEN(Sync!$J498)=10,Sync!$J498,"نامعتبر")))</f>
        <v/>
      </c>
      <c r="R498" t="str">
        <f t="shared" si="53"/>
        <v/>
      </c>
      <c r="S498" t="str">
        <f t="shared" si="54"/>
        <v/>
      </c>
      <c r="T498" t="str">
        <f>IF($N498="","",IF(Sync!$N498="",0,Sync!$N498))</f>
        <v/>
      </c>
      <c r="U498" t="str">
        <f>IF($N498="","",IF(Sync!$O498="",0,Sync!$O498))</f>
        <v/>
      </c>
      <c r="V498" t="str">
        <f>IF($N498="","",Sync!$L498)</f>
        <v/>
      </c>
      <c r="W498" t="str">
        <f>IF($N498="","",Sync!$P498)</f>
        <v/>
      </c>
      <c r="AA498" t="str">
        <f>IF($A498="","",IF(COUNTIF($A$6:$A498,$A498)=1,1,0))</f>
        <v/>
      </c>
      <c r="AB498">
        <f>SUM($AA$6:$AA498)</f>
        <v>3</v>
      </c>
      <c r="AC498" t="str">
        <f t="shared" si="55"/>
        <v/>
      </c>
    </row>
    <row r="499" spans="1:29" x14ac:dyDescent="0.2">
      <c r="A499" t="str">
        <f>IF(OR(Entry!$B502="",Entry!$E502="",$E499="نامعتبر"),"",Entry!$E502)</f>
        <v/>
      </c>
      <c r="B499" t="str">
        <f>IF($A499="","",LEFT($E499,4)&amp;MID($E499,6,2)&amp;RIGHT($E499,2)&amp;$F499&amp;"|"&amp;"1"&amp;RIGHT("00000"&amp;494,5))</f>
        <v/>
      </c>
      <c r="C499" t="str">
        <f t="shared" si="49"/>
        <v/>
      </c>
      <c r="D499" t="str">
        <f t="shared" si="50"/>
        <v/>
      </c>
      <c r="E499" t="str">
        <f>IF(Entry!$B502="","",IF(ISNUMBER(Entry!$B502),IF(AND(Entry!$B502&gt;=10000101,Entry!$B502&lt;=99991231),INT(Entry!$B502/10000)&amp;"/"&amp;RIGHT("00"&amp;INT(MOD(Entry!$B502,10000)/100),2)&amp;"/"&amp;RIGHT("00"&amp;MOD(Entry!$B502,100),2),"نامعتبر"),IF(LEN(Entry!$B502)=10,Entry!$B502,"نامعتبر")))</f>
        <v/>
      </c>
      <c r="F499" t="str">
        <f>IF(Entry!$B502="","",IF(Entry!$C502="","0000",IF(AND(ISNUMBER(Entry!$C502),Entry!$C502&gt;=0,Entry!$C502&lt;1),RIGHT("00"&amp;HOUR(Entry!$C502),2)&amp;RIGHT("00"&amp;MINUTE(Entry!$C502),2),IFERROR(RIGHT("00"&amp;VALUE(LEFT(Entry!$C502,FIND(":",Entry!$C502)-1)),2)&amp;RIGHT("00"&amp;VALUE(MID(Entry!$C502,FIND(":",Entry!$C502)+1,2)),2),"0000"))))</f>
        <v/>
      </c>
      <c r="G499" t="str">
        <f>IF($A499="","",Entry!$G502)</f>
        <v/>
      </c>
      <c r="H499" t="str">
        <f>IF($A499="","",IF(Entry!$H502="",0,Entry!$H502))</f>
        <v/>
      </c>
      <c r="I499" t="str">
        <f>IF($A499="","",IF(Entry!$I502="",0,Entry!$I502))</f>
        <v/>
      </c>
      <c r="J499" t="str">
        <f t="shared" si="51"/>
        <v/>
      </c>
      <c r="K499" t="str">
        <f>IF($A499="","",Entry!$D502)</f>
        <v/>
      </c>
      <c r="L499" t="str">
        <f>IF($A499="","",Entry!$L502)</f>
        <v/>
      </c>
      <c r="N499" t="str">
        <f>IF(OR(Sync!$M499="",$Q499="",$Q499="نامعتبر"),"",Sync!$M499)</f>
        <v/>
      </c>
      <c r="O499" t="str">
        <f t="shared" si="52"/>
        <v/>
      </c>
      <c r="P499" t="str">
        <f>IF($N499="","",LEFT($Q499,4)&amp;MID($Q499,6,2)&amp;RIGHT($Q499,2)&amp;IF(Sync!$K499="","0000",IF(AND(ISNUMBER(Sync!$K499),Sync!$K499&gt;=0,Sync!$K499&lt;1),RIGHT("00"&amp;HOUR(Sync!$K499),2)&amp;RIGHT("00"&amp;MINUTE(Sync!$K499),2),IFERROR(RIGHT("00"&amp;VALUE(LEFT(Sync!$K499,FIND(":",Sync!$K499)-1)),2)&amp;RIGHT("00"&amp;VALUE(MID(Sync!$K499,FIND(":",Sync!$K499)+1,2)),2),"0000")))&amp;"|"&amp;"2"&amp;RIGHT("00000"&amp;494,5))</f>
        <v/>
      </c>
      <c r="Q499" t="str">
        <f>IF(Sync!$J499="","",IF(ISNUMBER(Sync!$J499),IF(AND(Sync!$J499&gt;=10000101,Sync!$J499&lt;=99991231),INT(Sync!$J499/10000)&amp;"/"&amp;RIGHT("00"&amp;INT(MOD(Sync!$J499,10000)/100),2)&amp;"/"&amp;RIGHT("00"&amp;MOD(Sync!$J499,100),2),"نامعتبر"),IF(LEN(Sync!$J499)=10,Sync!$J499,"نامعتبر")))</f>
        <v/>
      </c>
      <c r="R499" t="str">
        <f t="shared" si="53"/>
        <v/>
      </c>
      <c r="S499" t="str">
        <f t="shared" si="54"/>
        <v/>
      </c>
      <c r="T499" t="str">
        <f>IF($N499="","",IF(Sync!$N499="",0,Sync!$N499))</f>
        <v/>
      </c>
      <c r="U499" t="str">
        <f>IF($N499="","",IF(Sync!$O499="",0,Sync!$O499))</f>
        <v/>
      </c>
      <c r="V499" t="str">
        <f>IF($N499="","",Sync!$L499)</f>
        <v/>
      </c>
      <c r="W499" t="str">
        <f>IF($N499="","",Sync!$P499)</f>
        <v/>
      </c>
      <c r="AA499" t="str">
        <f>IF($A499="","",IF(COUNTIF($A$6:$A499,$A499)=1,1,0))</f>
        <v/>
      </c>
      <c r="AB499">
        <f>SUM($AA$6:$AA499)</f>
        <v>3</v>
      </c>
      <c r="AC499" t="str">
        <f t="shared" si="55"/>
        <v/>
      </c>
    </row>
    <row r="500" spans="1:29" x14ac:dyDescent="0.2">
      <c r="A500" t="str">
        <f>IF(OR(Entry!$B503="",Entry!$E503="",$E500="نامعتبر"),"",Entry!$E503)</f>
        <v/>
      </c>
      <c r="B500" t="str">
        <f>IF($A500="","",LEFT($E500,4)&amp;MID($E500,6,2)&amp;RIGHT($E500,2)&amp;$F500&amp;"|"&amp;"1"&amp;RIGHT("00000"&amp;495,5))</f>
        <v/>
      </c>
      <c r="C500" t="str">
        <f t="shared" si="49"/>
        <v/>
      </c>
      <c r="D500" t="str">
        <f t="shared" si="50"/>
        <v/>
      </c>
      <c r="E500" t="str">
        <f>IF(Entry!$B503="","",IF(ISNUMBER(Entry!$B503),IF(AND(Entry!$B503&gt;=10000101,Entry!$B503&lt;=99991231),INT(Entry!$B503/10000)&amp;"/"&amp;RIGHT("00"&amp;INT(MOD(Entry!$B503,10000)/100),2)&amp;"/"&amp;RIGHT("00"&amp;MOD(Entry!$B503,100),2),"نامعتبر"),IF(LEN(Entry!$B503)=10,Entry!$B503,"نامعتبر")))</f>
        <v/>
      </c>
      <c r="F500" t="str">
        <f>IF(Entry!$B503="","",IF(Entry!$C503="","0000",IF(AND(ISNUMBER(Entry!$C503),Entry!$C503&gt;=0,Entry!$C503&lt;1),RIGHT("00"&amp;HOUR(Entry!$C503),2)&amp;RIGHT("00"&amp;MINUTE(Entry!$C503),2),IFERROR(RIGHT("00"&amp;VALUE(LEFT(Entry!$C503,FIND(":",Entry!$C503)-1)),2)&amp;RIGHT("00"&amp;VALUE(MID(Entry!$C503,FIND(":",Entry!$C503)+1,2)),2),"0000"))))</f>
        <v/>
      </c>
      <c r="G500" t="str">
        <f>IF($A500="","",Entry!$G503)</f>
        <v/>
      </c>
      <c r="H500" t="str">
        <f>IF($A500="","",IF(Entry!$H503="",0,Entry!$H503))</f>
        <v/>
      </c>
      <c r="I500" t="str">
        <f>IF($A500="","",IF(Entry!$I503="",0,Entry!$I503))</f>
        <v/>
      </c>
      <c r="J500" t="str">
        <f t="shared" si="51"/>
        <v/>
      </c>
      <c r="K500" t="str">
        <f>IF($A500="","",Entry!$D503)</f>
        <v/>
      </c>
      <c r="L500" t="str">
        <f>IF($A500="","",Entry!$L503)</f>
        <v/>
      </c>
      <c r="N500" t="str">
        <f>IF(OR(Sync!$M500="",$Q500="",$Q500="نامعتبر"),"",Sync!$M500)</f>
        <v/>
      </c>
      <c r="O500" t="str">
        <f t="shared" si="52"/>
        <v/>
      </c>
      <c r="P500" t="str">
        <f>IF($N500="","",LEFT($Q500,4)&amp;MID($Q500,6,2)&amp;RIGHT($Q500,2)&amp;IF(Sync!$K500="","0000",IF(AND(ISNUMBER(Sync!$K500),Sync!$K500&gt;=0,Sync!$K500&lt;1),RIGHT("00"&amp;HOUR(Sync!$K500),2)&amp;RIGHT("00"&amp;MINUTE(Sync!$K500),2),IFERROR(RIGHT("00"&amp;VALUE(LEFT(Sync!$K500,FIND(":",Sync!$K500)-1)),2)&amp;RIGHT("00"&amp;VALUE(MID(Sync!$K500,FIND(":",Sync!$K500)+1,2)),2),"0000")))&amp;"|"&amp;"2"&amp;RIGHT("00000"&amp;495,5))</f>
        <v/>
      </c>
      <c r="Q500" t="str">
        <f>IF(Sync!$J500="","",IF(ISNUMBER(Sync!$J500),IF(AND(Sync!$J500&gt;=10000101,Sync!$J500&lt;=99991231),INT(Sync!$J500/10000)&amp;"/"&amp;RIGHT("00"&amp;INT(MOD(Sync!$J500,10000)/100),2)&amp;"/"&amp;RIGHT("00"&amp;MOD(Sync!$J500,100),2),"نامعتبر"),IF(LEN(Sync!$J500)=10,Sync!$J500,"نامعتبر")))</f>
        <v/>
      </c>
      <c r="R500" t="str">
        <f t="shared" si="53"/>
        <v/>
      </c>
      <c r="S500" t="str">
        <f t="shared" si="54"/>
        <v/>
      </c>
      <c r="T500" t="str">
        <f>IF($N500="","",IF(Sync!$N500="",0,Sync!$N500))</f>
        <v/>
      </c>
      <c r="U500" t="str">
        <f>IF($N500="","",IF(Sync!$O500="",0,Sync!$O500))</f>
        <v/>
      </c>
      <c r="V500" t="str">
        <f>IF($N500="","",Sync!$L500)</f>
        <v/>
      </c>
      <c r="W500" t="str">
        <f>IF($N500="","",Sync!$P500)</f>
        <v/>
      </c>
      <c r="AA500" t="str">
        <f>IF($A500="","",IF(COUNTIF($A$6:$A500,$A500)=1,1,0))</f>
        <v/>
      </c>
      <c r="AB500">
        <f>SUM($AA$6:$AA500)</f>
        <v>3</v>
      </c>
      <c r="AC500" t="str">
        <f t="shared" si="55"/>
        <v/>
      </c>
    </row>
    <row r="501" spans="1:29" x14ac:dyDescent="0.2">
      <c r="A501" t="str">
        <f>IF(OR(Entry!$B504="",Entry!$E504="",$E501="نامعتبر"),"",Entry!$E504)</f>
        <v/>
      </c>
      <c r="B501" t="str">
        <f>IF($A501="","",LEFT($E501,4)&amp;MID($E501,6,2)&amp;RIGHT($E501,2)&amp;$F501&amp;"|"&amp;"1"&amp;RIGHT("00000"&amp;496,5))</f>
        <v/>
      </c>
      <c r="C501" t="str">
        <f t="shared" si="49"/>
        <v/>
      </c>
      <c r="D501" t="str">
        <f t="shared" si="50"/>
        <v/>
      </c>
      <c r="E501" t="str">
        <f>IF(Entry!$B504="","",IF(ISNUMBER(Entry!$B504),IF(AND(Entry!$B504&gt;=10000101,Entry!$B504&lt;=99991231),INT(Entry!$B504/10000)&amp;"/"&amp;RIGHT("00"&amp;INT(MOD(Entry!$B504,10000)/100),2)&amp;"/"&amp;RIGHT("00"&amp;MOD(Entry!$B504,100),2),"نامعتبر"),IF(LEN(Entry!$B504)=10,Entry!$B504,"نامعتبر")))</f>
        <v/>
      </c>
      <c r="F501" t="str">
        <f>IF(Entry!$B504="","",IF(Entry!$C504="","0000",IF(AND(ISNUMBER(Entry!$C504),Entry!$C504&gt;=0,Entry!$C504&lt;1),RIGHT("00"&amp;HOUR(Entry!$C504),2)&amp;RIGHT("00"&amp;MINUTE(Entry!$C504),2),IFERROR(RIGHT("00"&amp;VALUE(LEFT(Entry!$C504,FIND(":",Entry!$C504)-1)),2)&amp;RIGHT("00"&amp;VALUE(MID(Entry!$C504,FIND(":",Entry!$C504)+1,2)),2),"0000"))))</f>
        <v/>
      </c>
      <c r="G501" t="str">
        <f>IF($A501="","",Entry!$G504)</f>
        <v/>
      </c>
      <c r="H501" t="str">
        <f>IF($A501="","",IF(Entry!$H504="",0,Entry!$H504))</f>
        <v/>
      </c>
      <c r="I501" t="str">
        <f>IF($A501="","",IF(Entry!$I504="",0,Entry!$I504))</f>
        <v/>
      </c>
      <c r="J501" t="str">
        <f t="shared" si="51"/>
        <v/>
      </c>
      <c r="K501" t="str">
        <f>IF($A501="","",Entry!$D504)</f>
        <v/>
      </c>
      <c r="L501" t="str">
        <f>IF($A501="","",Entry!$L504)</f>
        <v/>
      </c>
      <c r="N501" t="str">
        <f>IF(OR(Sync!$M501="",$Q501="",$Q501="نامعتبر"),"",Sync!$M501)</f>
        <v/>
      </c>
      <c r="O501" t="str">
        <f t="shared" si="52"/>
        <v/>
      </c>
      <c r="P501" t="str">
        <f>IF($N501="","",LEFT($Q501,4)&amp;MID($Q501,6,2)&amp;RIGHT($Q501,2)&amp;IF(Sync!$K501="","0000",IF(AND(ISNUMBER(Sync!$K501),Sync!$K501&gt;=0,Sync!$K501&lt;1),RIGHT("00"&amp;HOUR(Sync!$K501),2)&amp;RIGHT("00"&amp;MINUTE(Sync!$K501),2),IFERROR(RIGHT("00"&amp;VALUE(LEFT(Sync!$K501,FIND(":",Sync!$K501)-1)),2)&amp;RIGHT("00"&amp;VALUE(MID(Sync!$K501,FIND(":",Sync!$K501)+1,2)),2),"0000")))&amp;"|"&amp;"2"&amp;RIGHT("00000"&amp;496,5))</f>
        <v/>
      </c>
      <c r="Q501" t="str">
        <f>IF(Sync!$J501="","",IF(ISNUMBER(Sync!$J501),IF(AND(Sync!$J501&gt;=10000101,Sync!$J501&lt;=99991231),INT(Sync!$J501/10000)&amp;"/"&amp;RIGHT("00"&amp;INT(MOD(Sync!$J501,10000)/100),2)&amp;"/"&amp;RIGHT("00"&amp;MOD(Sync!$J501,100),2),"نامعتبر"),IF(LEN(Sync!$J501)=10,Sync!$J501,"نامعتبر")))</f>
        <v/>
      </c>
      <c r="R501" t="str">
        <f t="shared" si="53"/>
        <v/>
      </c>
      <c r="S501" t="str">
        <f t="shared" si="54"/>
        <v/>
      </c>
      <c r="T501" t="str">
        <f>IF($N501="","",IF(Sync!$N501="",0,Sync!$N501))</f>
        <v/>
      </c>
      <c r="U501" t="str">
        <f>IF($N501="","",IF(Sync!$O501="",0,Sync!$O501))</f>
        <v/>
      </c>
      <c r="V501" t="str">
        <f>IF($N501="","",Sync!$L501)</f>
        <v/>
      </c>
      <c r="W501" t="str">
        <f>IF($N501="","",Sync!$P501)</f>
        <v/>
      </c>
      <c r="AA501" t="str">
        <f>IF($A501="","",IF(COUNTIF($A$6:$A501,$A501)=1,1,0))</f>
        <v/>
      </c>
      <c r="AB501">
        <f>SUM($AA$6:$AA501)</f>
        <v>3</v>
      </c>
      <c r="AC501" t="str">
        <f t="shared" si="55"/>
        <v/>
      </c>
    </row>
    <row r="502" spans="1:29" x14ac:dyDescent="0.2">
      <c r="A502" t="str">
        <f>IF(OR(Entry!$B505="",Entry!$E505="",$E502="نامعتبر"),"",Entry!$E505)</f>
        <v/>
      </c>
      <c r="B502" t="str">
        <f>IF($A502="","",LEFT($E502,4)&amp;MID($E502,6,2)&amp;RIGHT($E502,2)&amp;$F502&amp;"|"&amp;"1"&amp;RIGHT("00000"&amp;497,5))</f>
        <v/>
      </c>
      <c r="C502" t="str">
        <f t="shared" si="49"/>
        <v/>
      </c>
      <c r="D502" t="str">
        <f t="shared" si="50"/>
        <v/>
      </c>
      <c r="E502" t="str">
        <f>IF(Entry!$B505="","",IF(ISNUMBER(Entry!$B505),IF(AND(Entry!$B505&gt;=10000101,Entry!$B505&lt;=99991231),INT(Entry!$B505/10000)&amp;"/"&amp;RIGHT("00"&amp;INT(MOD(Entry!$B505,10000)/100),2)&amp;"/"&amp;RIGHT("00"&amp;MOD(Entry!$B505,100),2),"نامعتبر"),IF(LEN(Entry!$B505)=10,Entry!$B505,"نامعتبر")))</f>
        <v/>
      </c>
      <c r="F502" t="str">
        <f>IF(Entry!$B505="","",IF(Entry!$C505="","0000",IF(AND(ISNUMBER(Entry!$C505),Entry!$C505&gt;=0,Entry!$C505&lt;1),RIGHT("00"&amp;HOUR(Entry!$C505),2)&amp;RIGHT("00"&amp;MINUTE(Entry!$C505),2),IFERROR(RIGHT("00"&amp;VALUE(LEFT(Entry!$C505,FIND(":",Entry!$C505)-1)),2)&amp;RIGHT("00"&amp;VALUE(MID(Entry!$C505,FIND(":",Entry!$C505)+1,2)),2),"0000"))))</f>
        <v/>
      </c>
      <c r="G502" t="str">
        <f>IF($A502="","",Entry!$G505)</f>
        <v/>
      </c>
      <c r="H502" t="str">
        <f>IF($A502="","",IF(Entry!$H505="",0,Entry!$H505))</f>
        <v/>
      </c>
      <c r="I502" t="str">
        <f>IF($A502="","",IF(Entry!$I505="",0,Entry!$I505))</f>
        <v/>
      </c>
      <c r="J502" t="str">
        <f t="shared" si="51"/>
        <v/>
      </c>
      <c r="K502" t="str">
        <f>IF($A502="","",Entry!$D505)</f>
        <v/>
      </c>
      <c r="L502" t="str">
        <f>IF($A502="","",Entry!$L505)</f>
        <v/>
      </c>
      <c r="N502" t="str">
        <f>IF(OR(Sync!$M502="",$Q502="",$Q502="نامعتبر"),"",Sync!$M502)</f>
        <v/>
      </c>
      <c r="O502" t="str">
        <f t="shared" si="52"/>
        <v/>
      </c>
      <c r="P502" t="str">
        <f>IF($N502="","",LEFT($Q502,4)&amp;MID($Q502,6,2)&amp;RIGHT($Q502,2)&amp;IF(Sync!$K502="","0000",IF(AND(ISNUMBER(Sync!$K502),Sync!$K502&gt;=0,Sync!$K502&lt;1),RIGHT("00"&amp;HOUR(Sync!$K502),2)&amp;RIGHT("00"&amp;MINUTE(Sync!$K502),2),IFERROR(RIGHT("00"&amp;VALUE(LEFT(Sync!$K502,FIND(":",Sync!$K502)-1)),2)&amp;RIGHT("00"&amp;VALUE(MID(Sync!$K502,FIND(":",Sync!$K502)+1,2)),2),"0000")))&amp;"|"&amp;"2"&amp;RIGHT("00000"&amp;497,5))</f>
        <v/>
      </c>
      <c r="Q502" t="str">
        <f>IF(Sync!$J502="","",IF(ISNUMBER(Sync!$J502),IF(AND(Sync!$J502&gt;=10000101,Sync!$J502&lt;=99991231),INT(Sync!$J502/10000)&amp;"/"&amp;RIGHT("00"&amp;INT(MOD(Sync!$J502,10000)/100),2)&amp;"/"&amp;RIGHT("00"&amp;MOD(Sync!$J502,100),2),"نامعتبر"),IF(LEN(Sync!$J502)=10,Sync!$J502,"نامعتبر")))</f>
        <v/>
      </c>
      <c r="R502" t="str">
        <f t="shared" si="53"/>
        <v/>
      </c>
      <c r="S502" t="str">
        <f t="shared" si="54"/>
        <v/>
      </c>
      <c r="T502" t="str">
        <f>IF($N502="","",IF(Sync!$N502="",0,Sync!$N502))</f>
        <v/>
      </c>
      <c r="U502" t="str">
        <f>IF($N502="","",IF(Sync!$O502="",0,Sync!$O502))</f>
        <v/>
      </c>
      <c r="V502" t="str">
        <f>IF($N502="","",Sync!$L502)</f>
        <v/>
      </c>
      <c r="W502" t="str">
        <f>IF($N502="","",Sync!$P502)</f>
        <v/>
      </c>
      <c r="AA502" t="str">
        <f>IF($A502="","",IF(COUNTIF($A$6:$A502,$A502)=1,1,0))</f>
        <v/>
      </c>
      <c r="AB502">
        <f>SUM($AA$6:$AA502)</f>
        <v>3</v>
      </c>
      <c r="AC502" t="str">
        <f t="shared" si="55"/>
        <v/>
      </c>
    </row>
    <row r="503" spans="1:29" x14ac:dyDescent="0.2">
      <c r="A503" t="str">
        <f>IF(OR(Entry!$B506="",Entry!$E506="",$E503="نامعتبر"),"",Entry!$E506)</f>
        <v/>
      </c>
      <c r="B503" t="str">
        <f>IF($A503="","",LEFT($E503,4)&amp;MID($E503,6,2)&amp;RIGHT($E503,2)&amp;$F503&amp;"|"&amp;"1"&amp;RIGHT("00000"&amp;498,5))</f>
        <v/>
      </c>
      <c r="C503" t="str">
        <f t="shared" si="49"/>
        <v/>
      </c>
      <c r="D503" t="str">
        <f t="shared" si="50"/>
        <v/>
      </c>
      <c r="E503" t="str">
        <f>IF(Entry!$B506="","",IF(ISNUMBER(Entry!$B506),IF(AND(Entry!$B506&gt;=10000101,Entry!$B506&lt;=99991231),INT(Entry!$B506/10000)&amp;"/"&amp;RIGHT("00"&amp;INT(MOD(Entry!$B506,10000)/100),2)&amp;"/"&amp;RIGHT("00"&amp;MOD(Entry!$B506,100),2),"نامعتبر"),IF(LEN(Entry!$B506)=10,Entry!$B506,"نامعتبر")))</f>
        <v/>
      </c>
      <c r="F503" t="str">
        <f>IF(Entry!$B506="","",IF(Entry!$C506="","0000",IF(AND(ISNUMBER(Entry!$C506),Entry!$C506&gt;=0,Entry!$C506&lt;1),RIGHT("00"&amp;HOUR(Entry!$C506),2)&amp;RIGHT("00"&amp;MINUTE(Entry!$C506),2),IFERROR(RIGHT("00"&amp;VALUE(LEFT(Entry!$C506,FIND(":",Entry!$C506)-1)),2)&amp;RIGHT("00"&amp;VALUE(MID(Entry!$C506,FIND(":",Entry!$C506)+1,2)),2),"0000"))))</f>
        <v/>
      </c>
      <c r="G503" t="str">
        <f>IF($A503="","",Entry!$G506)</f>
        <v/>
      </c>
      <c r="H503" t="str">
        <f>IF($A503="","",IF(Entry!$H506="",0,Entry!$H506))</f>
        <v/>
      </c>
      <c r="I503" t="str">
        <f>IF($A503="","",IF(Entry!$I506="",0,Entry!$I506))</f>
        <v/>
      </c>
      <c r="J503" t="str">
        <f t="shared" si="51"/>
        <v/>
      </c>
      <c r="K503" t="str">
        <f>IF($A503="","",Entry!$D506)</f>
        <v/>
      </c>
      <c r="L503" t="str">
        <f>IF($A503="","",Entry!$L506)</f>
        <v/>
      </c>
      <c r="N503" t="str">
        <f>IF(OR(Sync!$M503="",$Q503="",$Q503="نامعتبر"),"",Sync!$M503)</f>
        <v/>
      </c>
      <c r="O503" t="str">
        <f t="shared" si="52"/>
        <v/>
      </c>
      <c r="P503" t="str">
        <f>IF($N503="","",LEFT($Q503,4)&amp;MID($Q503,6,2)&amp;RIGHT($Q503,2)&amp;IF(Sync!$K503="","0000",IF(AND(ISNUMBER(Sync!$K503),Sync!$K503&gt;=0,Sync!$K503&lt;1),RIGHT("00"&amp;HOUR(Sync!$K503),2)&amp;RIGHT("00"&amp;MINUTE(Sync!$K503),2),IFERROR(RIGHT("00"&amp;VALUE(LEFT(Sync!$K503,FIND(":",Sync!$K503)-1)),2)&amp;RIGHT("00"&amp;VALUE(MID(Sync!$K503,FIND(":",Sync!$K503)+1,2)),2),"0000")))&amp;"|"&amp;"2"&amp;RIGHT("00000"&amp;498,5))</f>
        <v/>
      </c>
      <c r="Q503" t="str">
        <f>IF(Sync!$J503="","",IF(ISNUMBER(Sync!$J503),IF(AND(Sync!$J503&gt;=10000101,Sync!$J503&lt;=99991231),INT(Sync!$J503/10000)&amp;"/"&amp;RIGHT("00"&amp;INT(MOD(Sync!$J503,10000)/100),2)&amp;"/"&amp;RIGHT("00"&amp;MOD(Sync!$J503,100),2),"نامعتبر"),IF(LEN(Sync!$J503)=10,Sync!$J503,"نامعتبر")))</f>
        <v/>
      </c>
      <c r="R503" t="str">
        <f t="shared" si="53"/>
        <v/>
      </c>
      <c r="S503" t="str">
        <f t="shared" si="54"/>
        <v/>
      </c>
      <c r="T503" t="str">
        <f>IF($N503="","",IF(Sync!$N503="",0,Sync!$N503))</f>
        <v/>
      </c>
      <c r="U503" t="str">
        <f>IF($N503="","",IF(Sync!$O503="",0,Sync!$O503))</f>
        <v/>
      </c>
      <c r="V503" t="str">
        <f>IF($N503="","",Sync!$L503)</f>
        <v/>
      </c>
      <c r="W503" t="str">
        <f>IF($N503="","",Sync!$P503)</f>
        <v/>
      </c>
      <c r="AA503" t="str">
        <f>IF($A503="","",IF(COUNTIF($A$6:$A503,$A503)=1,1,0))</f>
        <v/>
      </c>
      <c r="AB503">
        <f>SUM($AA$6:$AA503)</f>
        <v>3</v>
      </c>
      <c r="AC503" t="str">
        <f t="shared" si="55"/>
        <v/>
      </c>
    </row>
    <row r="504" spans="1:29" x14ac:dyDescent="0.2">
      <c r="A504" t="str">
        <f>IF(OR(Entry!$B507="",Entry!$E507="",$E504="نامعتبر"),"",Entry!$E507)</f>
        <v/>
      </c>
      <c r="B504" t="str">
        <f>IF($A504="","",LEFT($E504,4)&amp;MID($E504,6,2)&amp;RIGHT($E504,2)&amp;$F504&amp;"|"&amp;"1"&amp;RIGHT("00000"&amp;499,5))</f>
        <v/>
      </c>
      <c r="C504" t="str">
        <f t="shared" si="49"/>
        <v/>
      </c>
      <c r="D504" t="str">
        <f t="shared" si="50"/>
        <v/>
      </c>
      <c r="E504" t="str">
        <f>IF(Entry!$B507="","",IF(ISNUMBER(Entry!$B507),IF(AND(Entry!$B507&gt;=10000101,Entry!$B507&lt;=99991231),INT(Entry!$B507/10000)&amp;"/"&amp;RIGHT("00"&amp;INT(MOD(Entry!$B507,10000)/100),2)&amp;"/"&amp;RIGHT("00"&amp;MOD(Entry!$B507,100),2),"نامعتبر"),IF(LEN(Entry!$B507)=10,Entry!$B507,"نامعتبر")))</f>
        <v/>
      </c>
      <c r="F504" t="str">
        <f>IF(Entry!$B507="","",IF(Entry!$C507="","0000",IF(AND(ISNUMBER(Entry!$C507),Entry!$C507&gt;=0,Entry!$C507&lt;1),RIGHT("00"&amp;HOUR(Entry!$C507),2)&amp;RIGHT("00"&amp;MINUTE(Entry!$C507),2),IFERROR(RIGHT("00"&amp;VALUE(LEFT(Entry!$C507,FIND(":",Entry!$C507)-1)),2)&amp;RIGHT("00"&amp;VALUE(MID(Entry!$C507,FIND(":",Entry!$C507)+1,2)),2),"0000"))))</f>
        <v/>
      </c>
      <c r="G504" t="str">
        <f>IF($A504="","",Entry!$G507)</f>
        <v/>
      </c>
      <c r="H504" t="str">
        <f>IF($A504="","",IF(Entry!$H507="",0,Entry!$H507))</f>
        <v/>
      </c>
      <c r="I504" t="str">
        <f>IF($A504="","",IF(Entry!$I507="",0,Entry!$I507))</f>
        <v/>
      </c>
      <c r="J504" t="str">
        <f t="shared" si="51"/>
        <v/>
      </c>
      <c r="K504" t="str">
        <f>IF($A504="","",Entry!$D507)</f>
        <v/>
      </c>
      <c r="L504" t="str">
        <f>IF($A504="","",Entry!$L507)</f>
        <v/>
      </c>
      <c r="N504" t="str">
        <f>IF(OR(Sync!$M504="",$Q504="",$Q504="نامعتبر"),"",Sync!$M504)</f>
        <v/>
      </c>
      <c r="O504" t="str">
        <f t="shared" si="52"/>
        <v/>
      </c>
      <c r="P504" t="str">
        <f>IF($N504="","",LEFT($Q504,4)&amp;MID($Q504,6,2)&amp;RIGHT($Q504,2)&amp;IF(Sync!$K504="","0000",IF(AND(ISNUMBER(Sync!$K504),Sync!$K504&gt;=0,Sync!$K504&lt;1),RIGHT("00"&amp;HOUR(Sync!$K504),2)&amp;RIGHT("00"&amp;MINUTE(Sync!$K504),2),IFERROR(RIGHT("00"&amp;VALUE(LEFT(Sync!$K504,FIND(":",Sync!$K504)-1)),2)&amp;RIGHT("00"&amp;VALUE(MID(Sync!$K504,FIND(":",Sync!$K504)+1,2)),2),"0000")))&amp;"|"&amp;"2"&amp;RIGHT("00000"&amp;499,5))</f>
        <v/>
      </c>
      <c r="Q504" t="str">
        <f>IF(Sync!$J504="","",IF(ISNUMBER(Sync!$J504),IF(AND(Sync!$J504&gt;=10000101,Sync!$J504&lt;=99991231),INT(Sync!$J504/10000)&amp;"/"&amp;RIGHT("00"&amp;INT(MOD(Sync!$J504,10000)/100),2)&amp;"/"&amp;RIGHT("00"&amp;MOD(Sync!$J504,100),2),"نامعتبر"),IF(LEN(Sync!$J504)=10,Sync!$J504,"نامعتبر")))</f>
        <v/>
      </c>
      <c r="R504" t="str">
        <f t="shared" si="53"/>
        <v/>
      </c>
      <c r="S504" t="str">
        <f t="shared" si="54"/>
        <v/>
      </c>
      <c r="T504" t="str">
        <f>IF($N504="","",IF(Sync!$N504="",0,Sync!$N504))</f>
        <v/>
      </c>
      <c r="U504" t="str">
        <f>IF($N504="","",IF(Sync!$O504="",0,Sync!$O504))</f>
        <v/>
      </c>
      <c r="V504" t="str">
        <f>IF($N504="","",Sync!$L504)</f>
        <v/>
      </c>
      <c r="W504" t="str">
        <f>IF($N504="","",Sync!$P504)</f>
        <v/>
      </c>
      <c r="AA504" t="str">
        <f>IF($A504="","",IF(COUNTIF($A$6:$A504,$A504)=1,1,0))</f>
        <v/>
      </c>
      <c r="AB504">
        <f>SUM($AA$6:$AA504)</f>
        <v>3</v>
      </c>
      <c r="AC504" t="str">
        <f t="shared" si="55"/>
        <v/>
      </c>
    </row>
    <row r="505" spans="1:29" x14ac:dyDescent="0.2">
      <c r="A505" t="str">
        <f>IF(OR(Entry!$B508="",Entry!$E508="",$E505="نامعتبر"),"",Entry!$E508)</f>
        <v/>
      </c>
      <c r="B505" t="str">
        <f>IF($A505="","",LEFT($E505,4)&amp;MID($E505,6,2)&amp;RIGHT($E505,2)&amp;$F505&amp;"|"&amp;"1"&amp;RIGHT("00000"&amp;500,5))</f>
        <v/>
      </c>
      <c r="C505" t="str">
        <f t="shared" si="49"/>
        <v/>
      </c>
      <c r="D505" t="str">
        <f t="shared" si="50"/>
        <v/>
      </c>
      <c r="E505" t="str">
        <f>IF(Entry!$B508="","",IF(ISNUMBER(Entry!$B508),IF(AND(Entry!$B508&gt;=10000101,Entry!$B508&lt;=99991231),INT(Entry!$B508/10000)&amp;"/"&amp;RIGHT("00"&amp;INT(MOD(Entry!$B508,10000)/100),2)&amp;"/"&amp;RIGHT("00"&amp;MOD(Entry!$B508,100),2),"نامعتبر"),IF(LEN(Entry!$B508)=10,Entry!$B508,"نامعتبر")))</f>
        <v/>
      </c>
      <c r="F505" t="str">
        <f>IF(Entry!$B508="","",IF(Entry!$C508="","0000",IF(AND(ISNUMBER(Entry!$C508),Entry!$C508&gt;=0,Entry!$C508&lt;1),RIGHT("00"&amp;HOUR(Entry!$C508),2)&amp;RIGHT("00"&amp;MINUTE(Entry!$C508),2),IFERROR(RIGHT("00"&amp;VALUE(LEFT(Entry!$C508,FIND(":",Entry!$C508)-1)),2)&amp;RIGHT("00"&amp;VALUE(MID(Entry!$C508,FIND(":",Entry!$C508)+1,2)),2),"0000"))))</f>
        <v/>
      </c>
      <c r="G505" t="str">
        <f>IF($A505="","",Entry!$G508)</f>
        <v/>
      </c>
      <c r="H505" t="str">
        <f>IF($A505="","",IF(Entry!$H508="",0,Entry!$H508))</f>
        <v/>
      </c>
      <c r="I505" t="str">
        <f>IF($A505="","",IF(Entry!$I508="",0,Entry!$I508))</f>
        <v/>
      </c>
      <c r="J505" t="str">
        <f t="shared" si="51"/>
        <v/>
      </c>
      <c r="K505" t="str">
        <f>IF($A505="","",Entry!$D508)</f>
        <v/>
      </c>
      <c r="L505" t="str">
        <f>IF($A505="","",Entry!$L508)</f>
        <v/>
      </c>
      <c r="N505" t="str">
        <f>IF(OR(Sync!$M505="",$Q505="",$Q505="نامعتبر"),"",Sync!$M505)</f>
        <v/>
      </c>
      <c r="O505" t="str">
        <f t="shared" si="52"/>
        <v/>
      </c>
      <c r="P505" t="str">
        <f>IF($N505="","",LEFT($Q505,4)&amp;MID($Q505,6,2)&amp;RIGHT($Q505,2)&amp;IF(Sync!$K505="","0000",IF(AND(ISNUMBER(Sync!$K505),Sync!$K505&gt;=0,Sync!$K505&lt;1),RIGHT("00"&amp;HOUR(Sync!$K505),2)&amp;RIGHT("00"&amp;MINUTE(Sync!$K505),2),IFERROR(RIGHT("00"&amp;VALUE(LEFT(Sync!$K505,FIND(":",Sync!$K505)-1)),2)&amp;RIGHT("00"&amp;VALUE(MID(Sync!$K505,FIND(":",Sync!$K505)+1,2)),2),"0000")))&amp;"|"&amp;"2"&amp;RIGHT("00000"&amp;500,5))</f>
        <v/>
      </c>
      <c r="Q505" t="str">
        <f>IF(Sync!$J505="","",IF(ISNUMBER(Sync!$J505),IF(AND(Sync!$J505&gt;=10000101,Sync!$J505&lt;=99991231),INT(Sync!$J505/10000)&amp;"/"&amp;RIGHT("00"&amp;INT(MOD(Sync!$J505,10000)/100),2)&amp;"/"&amp;RIGHT("00"&amp;MOD(Sync!$J505,100),2),"نامعتبر"),IF(LEN(Sync!$J505)=10,Sync!$J505,"نامعتبر")))</f>
        <v/>
      </c>
      <c r="R505" t="str">
        <f t="shared" si="53"/>
        <v/>
      </c>
      <c r="S505" t="str">
        <f t="shared" si="54"/>
        <v/>
      </c>
      <c r="T505" t="str">
        <f>IF($N505="","",IF(Sync!$N505="",0,Sync!$N505))</f>
        <v/>
      </c>
      <c r="U505" t="str">
        <f>IF($N505="","",IF(Sync!$O505="",0,Sync!$O505))</f>
        <v/>
      </c>
      <c r="V505" t="str">
        <f>IF($N505="","",Sync!$L505)</f>
        <v/>
      </c>
      <c r="W505" t="str">
        <f>IF($N505="","",Sync!$P505)</f>
        <v/>
      </c>
      <c r="AA505" t="str">
        <f>IF($A505="","",IF(COUNTIF($A$6:$A505,$A505)=1,1,0))</f>
        <v/>
      </c>
      <c r="AB505">
        <f>SUM($AA$6:$AA505)</f>
        <v>3</v>
      </c>
      <c r="AC505" t="str">
        <f t="shared" si="55"/>
        <v/>
      </c>
    </row>
    <row r="506" spans="1:29" x14ac:dyDescent="0.2">
      <c r="A506" t="str">
        <f>IF(OR(Entry!$B509="",Entry!$E509="",$E506="نامعتبر"),"",Entry!$E509)</f>
        <v/>
      </c>
      <c r="B506" t="str">
        <f>IF($A506="","",LEFT($E506,4)&amp;MID($E506,6,2)&amp;RIGHT($E506,2)&amp;$F506&amp;"|"&amp;"1"&amp;RIGHT("00000"&amp;501,5))</f>
        <v/>
      </c>
      <c r="C506" t="str">
        <f t="shared" si="49"/>
        <v/>
      </c>
      <c r="D506" t="str">
        <f t="shared" si="50"/>
        <v/>
      </c>
      <c r="E506" t="str">
        <f>IF(Entry!$B509="","",IF(ISNUMBER(Entry!$B509),IF(AND(Entry!$B509&gt;=10000101,Entry!$B509&lt;=99991231),INT(Entry!$B509/10000)&amp;"/"&amp;RIGHT("00"&amp;INT(MOD(Entry!$B509,10000)/100),2)&amp;"/"&amp;RIGHT("00"&amp;MOD(Entry!$B509,100),2),"نامعتبر"),IF(LEN(Entry!$B509)=10,Entry!$B509,"نامعتبر")))</f>
        <v/>
      </c>
      <c r="F506" t="str">
        <f>IF(Entry!$B509="","",IF(Entry!$C509="","0000",IF(AND(ISNUMBER(Entry!$C509),Entry!$C509&gt;=0,Entry!$C509&lt;1),RIGHT("00"&amp;HOUR(Entry!$C509),2)&amp;RIGHT("00"&amp;MINUTE(Entry!$C509),2),IFERROR(RIGHT("00"&amp;VALUE(LEFT(Entry!$C509,FIND(":",Entry!$C509)-1)),2)&amp;RIGHT("00"&amp;VALUE(MID(Entry!$C509,FIND(":",Entry!$C509)+1,2)),2),"0000"))))</f>
        <v/>
      </c>
      <c r="G506" t="str">
        <f>IF($A506="","",Entry!$G509)</f>
        <v/>
      </c>
      <c r="H506" t="str">
        <f>IF($A506="","",IF(Entry!$H509="",0,Entry!$H509))</f>
        <v/>
      </c>
      <c r="I506" t="str">
        <f>IF($A506="","",IF(Entry!$I509="",0,Entry!$I509))</f>
        <v/>
      </c>
      <c r="J506" t="str">
        <f t="shared" si="51"/>
        <v/>
      </c>
      <c r="K506" t="str">
        <f>IF($A506="","",Entry!$D509)</f>
        <v/>
      </c>
      <c r="L506" t="str">
        <f>IF($A506="","",Entry!$L509)</f>
        <v/>
      </c>
      <c r="N506" t="str">
        <f>IF(OR(Sync!$M506="",$Q506="",$Q506="نامعتبر"),"",Sync!$M506)</f>
        <v/>
      </c>
      <c r="O506" t="str">
        <f t="shared" si="52"/>
        <v/>
      </c>
      <c r="P506" t="str">
        <f>IF($N506="","",LEFT($Q506,4)&amp;MID($Q506,6,2)&amp;RIGHT($Q506,2)&amp;IF(Sync!$K506="","0000",IF(AND(ISNUMBER(Sync!$K506),Sync!$K506&gt;=0,Sync!$K506&lt;1),RIGHT("00"&amp;HOUR(Sync!$K506),2)&amp;RIGHT("00"&amp;MINUTE(Sync!$K506),2),IFERROR(RIGHT("00"&amp;VALUE(LEFT(Sync!$K506,FIND(":",Sync!$K506)-1)),2)&amp;RIGHT("00"&amp;VALUE(MID(Sync!$K506,FIND(":",Sync!$K506)+1,2)),2),"0000")))&amp;"|"&amp;"2"&amp;RIGHT("00000"&amp;501,5))</f>
        <v/>
      </c>
      <c r="Q506" t="str">
        <f>IF(Sync!$J506="","",IF(ISNUMBER(Sync!$J506),IF(AND(Sync!$J506&gt;=10000101,Sync!$J506&lt;=99991231),INT(Sync!$J506/10000)&amp;"/"&amp;RIGHT("00"&amp;INT(MOD(Sync!$J506,10000)/100),2)&amp;"/"&amp;RIGHT("00"&amp;MOD(Sync!$J506,100),2),"نامعتبر"),IF(LEN(Sync!$J506)=10,Sync!$J506,"نامعتبر")))</f>
        <v/>
      </c>
      <c r="R506" t="str">
        <f t="shared" si="53"/>
        <v/>
      </c>
      <c r="S506" t="str">
        <f t="shared" si="54"/>
        <v/>
      </c>
      <c r="T506" t="str">
        <f>IF($N506="","",IF(Sync!$N506="",0,Sync!$N506))</f>
        <v/>
      </c>
      <c r="U506" t="str">
        <f>IF($N506="","",IF(Sync!$O506="",0,Sync!$O506))</f>
        <v/>
      </c>
      <c r="V506" t="str">
        <f>IF($N506="","",Sync!$L506)</f>
        <v/>
      </c>
      <c r="W506" t="str">
        <f>IF($N506="","",Sync!$P506)</f>
        <v/>
      </c>
      <c r="AA506" t="str">
        <f>IF($A506="","",IF(COUNTIF($A$6:$A506,$A506)=1,1,0))</f>
        <v/>
      </c>
      <c r="AB506">
        <f>SUM($AA$6:$AA506)</f>
        <v>3</v>
      </c>
      <c r="AC506" t="str">
        <f t="shared" si="55"/>
        <v/>
      </c>
    </row>
    <row r="507" spans="1:29" x14ac:dyDescent="0.2">
      <c r="A507" t="str">
        <f>IF(OR(Entry!$B510="",Entry!$E510="",$E507="نامعتبر"),"",Entry!$E510)</f>
        <v/>
      </c>
      <c r="B507" t="str">
        <f>IF($A507="","",LEFT($E507,4)&amp;MID($E507,6,2)&amp;RIGHT($E507,2)&amp;$F507&amp;"|"&amp;"1"&amp;RIGHT("00000"&amp;502,5))</f>
        <v/>
      </c>
      <c r="C507" t="str">
        <f t="shared" si="49"/>
        <v/>
      </c>
      <c r="D507" t="str">
        <f t="shared" si="50"/>
        <v/>
      </c>
      <c r="E507" t="str">
        <f>IF(Entry!$B510="","",IF(ISNUMBER(Entry!$B510),IF(AND(Entry!$B510&gt;=10000101,Entry!$B510&lt;=99991231),INT(Entry!$B510/10000)&amp;"/"&amp;RIGHT("00"&amp;INT(MOD(Entry!$B510,10000)/100),2)&amp;"/"&amp;RIGHT("00"&amp;MOD(Entry!$B510,100),2),"نامعتبر"),IF(LEN(Entry!$B510)=10,Entry!$B510,"نامعتبر")))</f>
        <v/>
      </c>
      <c r="F507" t="str">
        <f>IF(Entry!$B510="","",IF(Entry!$C510="","0000",IF(AND(ISNUMBER(Entry!$C510),Entry!$C510&gt;=0,Entry!$C510&lt;1),RIGHT("00"&amp;HOUR(Entry!$C510),2)&amp;RIGHT("00"&amp;MINUTE(Entry!$C510),2),IFERROR(RIGHT("00"&amp;VALUE(LEFT(Entry!$C510,FIND(":",Entry!$C510)-1)),2)&amp;RIGHT("00"&amp;VALUE(MID(Entry!$C510,FIND(":",Entry!$C510)+1,2)),2),"0000"))))</f>
        <v/>
      </c>
      <c r="G507" t="str">
        <f>IF($A507="","",Entry!$G510)</f>
        <v/>
      </c>
      <c r="H507" t="str">
        <f>IF($A507="","",IF(Entry!$H510="",0,Entry!$H510))</f>
        <v/>
      </c>
      <c r="I507" t="str">
        <f>IF($A507="","",IF(Entry!$I510="",0,Entry!$I510))</f>
        <v/>
      </c>
      <c r="J507" t="str">
        <f t="shared" si="51"/>
        <v/>
      </c>
      <c r="K507" t="str">
        <f>IF($A507="","",Entry!$D510)</f>
        <v/>
      </c>
      <c r="L507" t="str">
        <f>IF($A507="","",Entry!$L510)</f>
        <v/>
      </c>
      <c r="N507" t="str">
        <f>IF(OR(Sync!$M507="",$Q507="",$Q507="نامعتبر"),"",Sync!$M507)</f>
        <v/>
      </c>
      <c r="O507" t="str">
        <f t="shared" si="52"/>
        <v/>
      </c>
      <c r="P507" t="str">
        <f>IF($N507="","",LEFT($Q507,4)&amp;MID($Q507,6,2)&amp;RIGHT($Q507,2)&amp;IF(Sync!$K507="","0000",IF(AND(ISNUMBER(Sync!$K507),Sync!$K507&gt;=0,Sync!$K507&lt;1),RIGHT("00"&amp;HOUR(Sync!$K507),2)&amp;RIGHT("00"&amp;MINUTE(Sync!$K507),2),IFERROR(RIGHT("00"&amp;VALUE(LEFT(Sync!$K507,FIND(":",Sync!$K507)-1)),2)&amp;RIGHT("00"&amp;VALUE(MID(Sync!$K507,FIND(":",Sync!$K507)+1,2)),2),"0000")))&amp;"|"&amp;"2"&amp;RIGHT("00000"&amp;502,5))</f>
        <v/>
      </c>
      <c r="Q507" t="str">
        <f>IF(Sync!$J507="","",IF(ISNUMBER(Sync!$J507),IF(AND(Sync!$J507&gt;=10000101,Sync!$J507&lt;=99991231),INT(Sync!$J507/10000)&amp;"/"&amp;RIGHT("00"&amp;INT(MOD(Sync!$J507,10000)/100),2)&amp;"/"&amp;RIGHT("00"&amp;MOD(Sync!$J507,100),2),"نامعتبر"),IF(LEN(Sync!$J507)=10,Sync!$J507,"نامعتبر")))</f>
        <v/>
      </c>
      <c r="R507" t="str">
        <f t="shared" si="53"/>
        <v/>
      </c>
      <c r="S507" t="str">
        <f t="shared" si="54"/>
        <v/>
      </c>
      <c r="T507" t="str">
        <f>IF($N507="","",IF(Sync!$N507="",0,Sync!$N507))</f>
        <v/>
      </c>
      <c r="U507" t="str">
        <f>IF($N507="","",IF(Sync!$O507="",0,Sync!$O507))</f>
        <v/>
      </c>
      <c r="V507" t="str">
        <f>IF($N507="","",Sync!$L507)</f>
        <v/>
      </c>
      <c r="W507" t="str">
        <f>IF($N507="","",Sync!$P507)</f>
        <v/>
      </c>
      <c r="AA507" t="str">
        <f>IF($A507="","",IF(COUNTIF($A$6:$A507,$A507)=1,1,0))</f>
        <v/>
      </c>
      <c r="AB507">
        <f>SUM($AA$6:$AA507)</f>
        <v>3</v>
      </c>
      <c r="AC507" t="str">
        <f t="shared" si="55"/>
        <v/>
      </c>
    </row>
    <row r="508" spans="1:29" x14ac:dyDescent="0.2">
      <c r="A508" t="str">
        <f>IF(OR(Entry!$B511="",Entry!$E511="",$E508="نامعتبر"),"",Entry!$E511)</f>
        <v/>
      </c>
      <c r="B508" t="str">
        <f>IF($A508="","",LEFT($E508,4)&amp;MID($E508,6,2)&amp;RIGHT($E508,2)&amp;$F508&amp;"|"&amp;"1"&amp;RIGHT("00000"&amp;503,5))</f>
        <v/>
      </c>
      <c r="C508" t="str">
        <f t="shared" si="49"/>
        <v/>
      </c>
      <c r="D508" t="str">
        <f t="shared" si="50"/>
        <v/>
      </c>
      <c r="E508" t="str">
        <f>IF(Entry!$B511="","",IF(ISNUMBER(Entry!$B511),IF(AND(Entry!$B511&gt;=10000101,Entry!$B511&lt;=99991231),INT(Entry!$B511/10000)&amp;"/"&amp;RIGHT("00"&amp;INT(MOD(Entry!$B511,10000)/100),2)&amp;"/"&amp;RIGHT("00"&amp;MOD(Entry!$B511,100),2),"نامعتبر"),IF(LEN(Entry!$B511)=10,Entry!$B511,"نامعتبر")))</f>
        <v/>
      </c>
      <c r="F508" t="str">
        <f>IF(Entry!$B511="","",IF(Entry!$C511="","0000",IF(AND(ISNUMBER(Entry!$C511),Entry!$C511&gt;=0,Entry!$C511&lt;1),RIGHT("00"&amp;HOUR(Entry!$C511),2)&amp;RIGHT("00"&amp;MINUTE(Entry!$C511),2),IFERROR(RIGHT("00"&amp;VALUE(LEFT(Entry!$C511,FIND(":",Entry!$C511)-1)),2)&amp;RIGHT("00"&amp;VALUE(MID(Entry!$C511,FIND(":",Entry!$C511)+1,2)),2),"0000"))))</f>
        <v/>
      </c>
      <c r="G508" t="str">
        <f>IF($A508="","",Entry!$G511)</f>
        <v/>
      </c>
      <c r="H508" t="str">
        <f>IF($A508="","",IF(Entry!$H511="",0,Entry!$H511))</f>
        <v/>
      </c>
      <c r="I508" t="str">
        <f>IF($A508="","",IF(Entry!$I511="",0,Entry!$I511))</f>
        <v/>
      </c>
      <c r="J508" t="str">
        <f t="shared" si="51"/>
        <v/>
      </c>
      <c r="K508" t="str">
        <f>IF($A508="","",Entry!$D511)</f>
        <v/>
      </c>
      <c r="L508" t="str">
        <f>IF($A508="","",Entry!$L511)</f>
        <v/>
      </c>
      <c r="N508" t="str">
        <f>IF(OR(Sync!$M508="",$Q508="",$Q508="نامعتبر"),"",Sync!$M508)</f>
        <v/>
      </c>
      <c r="O508" t="str">
        <f t="shared" si="52"/>
        <v/>
      </c>
      <c r="P508" t="str">
        <f>IF($N508="","",LEFT($Q508,4)&amp;MID($Q508,6,2)&amp;RIGHT($Q508,2)&amp;IF(Sync!$K508="","0000",IF(AND(ISNUMBER(Sync!$K508),Sync!$K508&gt;=0,Sync!$K508&lt;1),RIGHT("00"&amp;HOUR(Sync!$K508),2)&amp;RIGHT("00"&amp;MINUTE(Sync!$K508),2),IFERROR(RIGHT("00"&amp;VALUE(LEFT(Sync!$K508,FIND(":",Sync!$K508)-1)),2)&amp;RIGHT("00"&amp;VALUE(MID(Sync!$K508,FIND(":",Sync!$K508)+1,2)),2),"0000")))&amp;"|"&amp;"2"&amp;RIGHT("00000"&amp;503,5))</f>
        <v/>
      </c>
      <c r="Q508" t="str">
        <f>IF(Sync!$J508="","",IF(ISNUMBER(Sync!$J508),IF(AND(Sync!$J508&gt;=10000101,Sync!$J508&lt;=99991231),INT(Sync!$J508/10000)&amp;"/"&amp;RIGHT("00"&amp;INT(MOD(Sync!$J508,10000)/100),2)&amp;"/"&amp;RIGHT("00"&amp;MOD(Sync!$J508,100),2),"نامعتبر"),IF(LEN(Sync!$J508)=10,Sync!$J508,"نامعتبر")))</f>
        <v/>
      </c>
      <c r="R508" t="str">
        <f t="shared" si="53"/>
        <v/>
      </c>
      <c r="S508" t="str">
        <f t="shared" si="54"/>
        <v/>
      </c>
      <c r="T508" t="str">
        <f>IF($N508="","",IF(Sync!$N508="",0,Sync!$N508))</f>
        <v/>
      </c>
      <c r="U508" t="str">
        <f>IF($N508="","",IF(Sync!$O508="",0,Sync!$O508))</f>
        <v/>
      </c>
      <c r="V508" t="str">
        <f>IF($N508="","",Sync!$L508)</f>
        <v/>
      </c>
      <c r="W508" t="str">
        <f>IF($N508="","",Sync!$P508)</f>
        <v/>
      </c>
      <c r="AA508" t="str">
        <f>IF($A508="","",IF(COUNTIF($A$6:$A508,$A508)=1,1,0))</f>
        <v/>
      </c>
      <c r="AB508">
        <f>SUM($AA$6:$AA508)</f>
        <v>3</v>
      </c>
      <c r="AC508" t="str">
        <f t="shared" si="55"/>
        <v/>
      </c>
    </row>
    <row r="509" spans="1:29" x14ac:dyDescent="0.2">
      <c r="A509" t="str">
        <f>IF(OR(Entry!$B512="",Entry!$E512="",$E509="نامعتبر"),"",Entry!$E512)</f>
        <v/>
      </c>
      <c r="B509" t="str">
        <f>IF($A509="","",LEFT($E509,4)&amp;MID($E509,6,2)&amp;RIGHT($E509,2)&amp;$F509&amp;"|"&amp;"1"&amp;RIGHT("00000"&amp;504,5))</f>
        <v/>
      </c>
      <c r="C509" t="str">
        <f t="shared" si="49"/>
        <v/>
      </c>
      <c r="D509" t="str">
        <f t="shared" si="50"/>
        <v/>
      </c>
      <c r="E509" t="str">
        <f>IF(Entry!$B512="","",IF(ISNUMBER(Entry!$B512),IF(AND(Entry!$B512&gt;=10000101,Entry!$B512&lt;=99991231),INT(Entry!$B512/10000)&amp;"/"&amp;RIGHT("00"&amp;INT(MOD(Entry!$B512,10000)/100),2)&amp;"/"&amp;RIGHT("00"&amp;MOD(Entry!$B512,100),2),"نامعتبر"),IF(LEN(Entry!$B512)=10,Entry!$B512,"نامعتبر")))</f>
        <v/>
      </c>
      <c r="F509" t="str">
        <f>IF(Entry!$B512="","",IF(Entry!$C512="","0000",IF(AND(ISNUMBER(Entry!$C512),Entry!$C512&gt;=0,Entry!$C512&lt;1),RIGHT("00"&amp;HOUR(Entry!$C512),2)&amp;RIGHT("00"&amp;MINUTE(Entry!$C512),2),IFERROR(RIGHT("00"&amp;VALUE(LEFT(Entry!$C512,FIND(":",Entry!$C512)-1)),2)&amp;RIGHT("00"&amp;VALUE(MID(Entry!$C512,FIND(":",Entry!$C512)+1,2)),2),"0000"))))</f>
        <v/>
      </c>
      <c r="G509" t="str">
        <f>IF($A509="","",Entry!$G512)</f>
        <v/>
      </c>
      <c r="H509" t="str">
        <f>IF($A509="","",IF(Entry!$H512="",0,Entry!$H512))</f>
        <v/>
      </c>
      <c r="I509" t="str">
        <f>IF($A509="","",IF(Entry!$I512="",0,Entry!$I512))</f>
        <v/>
      </c>
      <c r="J509" t="str">
        <f t="shared" si="51"/>
        <v/>
      </c>
      <c r="K509" t="str">
        <f>IF($A509="","",Entry!$D512)</f>
        <v/>
      </c>
      <c r="L509" t="str">
        <f>IF($A509="","",Entry!$L512)</f>
        <v/>
      </c>
      <c r="N509" t="str">
        <f>IF(OR(Sync!$M509="",$Q509="",$Q509="نامعتبر"),"",Sync!$M509)</f>
        <v/>
      </c>
      <c r="O509" t="str">
        <f t="shared" si="52"/>
        <v/>
      </c>
      <c r="P509" t="str">
        <f>IF($N509="","",LEFT($Q509,4)&amp;MID($Q509,6,2)&amp;RIGHT($Q509,2)&amp;IF(Sync!$K509="","0000",IF(AND(ISNUMBER(Sync!$K509),Sync!$K509&gt;=0,Sync!$K509&lt;1),RIGHT("00"&amp;HOUR(Sync!$K509),2)&amp;RIGHT("00"&amp;MINUTE(Sync!$K509),2),IFERROR(RIGHT("00"&amp;VALUE(LEFT(Sync!$K509,FIND(":",Sync!$K509)-1)),2)&amp;RIGHT("00"&amp;VALUE(MID(Sync!$K509,FIND(":",Sync!$K509)+1,2)),2),"0000")))&amp;"|"&amp;"2"&amp;RIGHT("00000"&amp;504,5))</f>
        <v/>
      </c>
      <c r="Q509" t="str">
        <f>IF(Sync!$J509="","",IF(ISNUMBER(Sync!$J509),IF(AND(Sync!$J509&gt;=10000101,Sync!$J509&lt;=99991231),INT(Sync!$J509/10000)&amp;"/"&amp;RIGHT("00"&amp;INT(MOD(Sync!$J509,10000)/100),2)&amp;"/"&amp;RIGHT("00"&amp;MOD(Sync!$J509,100),2),"نامعتبر"),IF(LEN(Sync!$J509)=10,Sync!$J509,"نامعتبر")))</f>
        <v/>
      </c>
      <c r="R509" t="str">
        <f t="shared" si="53"/>
        <v/>
      </c>
      <c r="S509" t="str">
        <f t="shared" si="54"/>
        <v/>
      </c>
      <c r="T509" t="str">
        <f>IF($N509="","",IF(Sync!$N509="",0,Sync!$N509))</f>
        <v/>
      </c>
      <c r="U509" t="str">
        <f>IF($N509="","",IF(Sync!$O509="",0,Sync!$O509))</f>
        <v/>
      </c>
      <c r="V509" t="str">
        <f>IF($N509="","",Sync!$L509)</f>
        <v/>
      </c>
      <c r="W509" t="str">
        <f>IF($N509="","",Sync!$P509)</f>
        <v/>
      </c>
      <c r="AA509" t="str">
        <f>IF($A509="","",IF(COUNTIF($A$6:$A509,$A509)=1,1,0))</f>
        <v/>
      </c>
      <c r="AB509">
        <f>SUM($AA$6:$AA509)</f>
        <v>3</v>
      </c>
      <c r="AC509" t="str">
        <f t="shared" si="55"/>
        <v/>
      </c>
    </row>
    <row r="510" spans="1:29" x14ac:dyDescent="0.2">
      <c r="A510" t="str">
        <f>IF(OR(Entry!$B513="",Entry!$E513="",$E510="نامعتبر"),"",Entry!$E513)</f>
        <v/>
      </c>
      <c r="B510" t="str">
        <f>IF($A510="","",LEFT($E510,4)&amp;MID($E510,6,2)&amp;RIGHT($E510,2)&amp;$F510&amp;"|"&amp;"1"&amp;RIGHT("00000"&amp;505,5))</f>
        <v/>
      </c>
      <c r="C510" t="str">
        <f t="shared" si="49"/>
        <v/>
      </c>
      <c r="D510" t="str">
        <f t="shared" si="50"/>
        <v/>
      </c>
      <c r="E510" t="str">
        <f>IF(Entry!$B513="","",IF(ISNUMBER(Entry!$B513),IF(AND(Entry!$B513&gt;=10000101,Entry!$B513&lt;=99991231),INT(Entry!$B513/10000)&amp;"/"&amp;RIGHT("00"&amp;INT(MOD(Entry!$B513,10000)/100),2)&amp;"/"&amp;RIGHT("00"&amp;MOD(Entry!$B513,100),2),"نامعتبر"),IF(LEN(Entry!$B513)=10,Entry!$B513,"نامعتبر")))</f>
        <v/>
      </c>
      <c r="F510" t="str">
        <f>IF(Entry!$B513="","",IF(Entry!$C513="","0000",IF(AND(ISNUMBER(Entry!$C513),Entry!$C513&gt;=0,Entry!$C513&lt;1),RIGHT("00"&amp;HOUR(Entry!$C513),2)&amp;RIGHT("00"&amp;MINUTE(Entry!$C513),2),IFERROR(RIGHT("00"&amp;VALUE(LEFT(Entry!$C513,FIND(":",Entry!$C513)-1)),2)&amp;RIGHT("00"&amp;VALUE(MID(Entry!$C513,FIND(":",Entry!$C513)+1,2)),2),"0000"))))</f>
        <v/>
      </c>
      <c r="G510" t="str">
        <f>IF($A510="","",Entry!$G513)</f>
        <v/>
      </c>
      <c r="H510" t="str">
        <f>IF($A510="","",IF(Entry!$H513="",0,Entry!$H513))</f>
        <v/>
      </c>
      <c r="I510" t="str">
        <f>IF($A510="","",IF(Entry!$I513="",0,Entry!$I513))</f>
        <v/>
      </c>
      <c r="J510" t="str">
        <f t="shared" si="51"/>
        <v/>
      </c>
      <c r="K510" t="str">
        <f>IF($A510="","",Entry!$D513)</f>
        <v/>
      </c>
      <c r="L510" t="str">
        <f>IF($A510="","",Entry!$L513)</f>
        <v/>
      </c>
      <c r="N510" t="str">
        <f>IF(OR(Sync!$M510="",$Q510="",$Q510="نامعتبر"),"",Sync!$M510)</f>
        <v/>
      </c>
      <c r="O510" t="str">
        <f t="shared" si="52"/>
        <v/>
      </c>
      <c r="P510" t="str">
        <f>IF($N510="","",LEFT($Q510,4)&amp;MID($Q510,6,2)&amp;RIGHT($Q510,2)&amp;IF(Sync!$K510="","0000",IF(AND(ISNUMBER(Sync!$K510),Sync!$K510&gt;=0,Sync!$K510&lt;1),RIGHT("00"&amp;HOUR(Sync!$K510),2)&amp;RIGHT("00"&amp;MINUTE(Sync!$K510),2),IFERROR(RIGHT("00"&amp;VALUE(LEFT(Sync!$K510,FIND(":",Sync!$K510)-1)),2)&amp;RIGHT("00"&amp;VALUE(MID(Sync!$K510,FIND(":",Sync!$K510)+1,2)),2),"0000")))&amp;"|"&amp;"2"&amp;RIGHT("00000"&amp;505,5))</f>
        <v/>
      </c>
      <c r="Q510" t="str">
        <f>IF(Sync!$J510="","",IF(ISNUMBER(Sync!$J510),IF(AND(Sync!$J510&gt;=10000101,Sync!$J510&lt;=99991231),INT(Sync!$J510/10000)&amp;"/"&amp;RIGHT("00"&amp;INT(MOD(Sync!$J510,10000)/100),2)&amp;"/"&amp;RIGHT("00"&amp;MOD(Sync!$J510,100),2),"نامعتبر"),IF(LEN(Sync!$J510)=10,Sync!$J510,"نامعتبر")))</f>
        <v/>
      </c>
      <c r="R510" t="str">
        <f t="shared" si="53"/>
        <v/>
      </c>
      <c r="S510" t="str">
        <f t="shared" si="54"/>
        <v/>
      </c>
      <c r="T510" t="str">
        <f>IF($N510="","",IF(Sync!$N510="",0,Sync!$N510))</f>
        <v/>
      </c>
      <c r="U510" t="str">
        <f>IF($N510="","",IF(Sync!$O510="",0,Sync!$O510))</f>
        <v/>
      </c>
      <c r="V510" t="str">
        <f>IF($N510="","",Sync!$L510)</f>
        <v/>
      </c>
      <c r="W510" t="str">
        <f>IF($N510="","",Sync!$P510)</f>
        <v/>
      </c>
      <c r="AA510" t="str">
        <f>IF($A510="","",IF(COUNTIF($A$6:$A510,$A510)=1,1,0))</f>
        <v/>
      </c>
      <c r="AB510">
        <f>SUM($AA$6:$AA510)</f>
        <v>3</v>
      </c>
      <c r="AC510" t="str">
        <f t="shared" si="55"/>
        <v/>
      </c>
    </row>
    <row r="511" spans="1:29" x14ac:dyDescent="0.2">
      <c r="A511" t="str">
        <f>IF(OR(Entry!$B514="",Entry!$E514="",$E511="نامعتبر"),"",Entry!$E514)</f>
        <v/>
      </c>
      <c r="B511" t="str">
        <f>IF($A511="","",LEFT($E511,4)&amp;MID($E511,6,2)&amp;RIGHT($E511,2)&amp;$F511&amp;"|"&amp;"1"&amp;RIGHT("00000"&amp;506,5))</f>
        <v/>
      </c>
      <c r="C511" t="str">
        <f t="shared" si="49"/>
        <v/>
      </c>
      <c r="D511" t="str">
        <f t="shared" si="50"/>
        <v/>
      </c>
      <c r="E511" t="str">
        <f>IF(Entry!$B514="","",IF(ISNUMBER(Entry!$B514),IF(AND(Entry!$B514&gt;=10000101,Entry!$B514&lt;=99991231),INT(Entry!$B514/10000)&amp;"/"&amp;RIGHT("00"&amp;INT(MOD(Entry!$B514,10000)/100),2)&amp;"/"&amp;RIGHT("00"&amp;MOD(Entry!$B514,100),2),"نامعتبر"),IF(LEN(Entry!$B514)=10,Entry!$B514,"نامعتبر")))</f>
        <v/>
      </c>
      <c r="F511" t="str">
        <f>IF(Entry!$B514="","",IF(Entry!$C514="","0000",IF(AND(ISNUMBER(Entry!$C514),Entry!$C514&gt;=0,Entry!$C514&lt;1),RIGHT("00"&amp;HOUR(Entry!$C514),2)&amp;RIGHT("00"&amp;MINUTE(Entry!$C514),2),IFERROR(RIGHT("00"&amp;VALUE(LEFT(Entry!$C514,FIND(":",Entry!$C514)-1)),2)&amp;RIGHT("00"&amp;VALUE(MID(Entry!$C514,FIND(":",Entry!$C514)+1,2)),2),"0000"))))</f>
        <v/>
      </c>
      <c r="G511" t="str">
        <f>IF($A511="","",Entry!$G514)</f>
        <v/>
      </c>
      <c r="H511" t="str">
        <f>IF($A511="","",IF(Entry!$H514="",0,Entry!$H514))</f>
        <v/>
      </c>
      <c r="I511" t="str">
        <f>IF($A511="","",IF(Entry!$I514="",0,Entry!$I514))</f>
        <v/>
      </c>
      <c r="J511" t="str">
        <f t="shared" si="51"/>
        <v/>
      </c>
      <c r="K511" t="str">
        <f>IF($A511="","",Entry!$D514)</f>
        <v/>
      </c>
      <c r="L511" t="str">
        <f>IF($A511="","",Entry!$L514)</f>
        <v/>
      </c>
      <c r="N511" t="str">
        <f>IF(OR(Sync!$M511="",$Q511="",$Q511="نامعتبر"),"",Sync!$M511)</f>
        <v/>
      </c>
      <c r="O511" t="str">
        <f t="shared" si="52"/>
        <v/>
      </c>
      <c r="P511" t="str">
        <f>IF($N511="","",LEFT($Q511,4)&amp;MID($Q511,6,2)&amp;RIGHT($Q511,2)&amp;IF(Sync!$K511="","0000",IF(AND(ISNUMBER(Sync!$K511),Sync!$K511&gt;=0,Sync!$K511&lt;1),RIGHT("00"&amp;HOUR(Sync!$K511),2)&amp;RIGHT("00"&amp;MINUTE(Sync!$K511),2),IFERROR(RIGHT("00"&amp;VALUE(LEFT(Sync!$K511,FIND(":",Sync!$K511)-1)),2)&amp;RIGHT("00"&amp;VALUE(MID(Sync!$K511,FIND(":",Sync!$K511)+1,2)),2),"0000")))&amp;"|"&amp;"2"&amp;RIGHT("00000"&amp;506,5))</f>
        <v/>
      </c>
      <c r="Q511" t="str">
        <f>IF(Sync!$J511="","",IF(ISNUMBER(Sync!$J511),IF(AND(Sync!$J511&gt;=10000101,Sync!$J511&lt;=99991231),INT(Sync!$J511/10000)&amp;"/"&amp;RIGHT("00"&amp;INT(MOD(Sync!$J511,10000)/100),2)&amp;"/"&amp;RIGHT("00"&amp;MOD(Sync!$J511,100),2),"نامعتبر"),IF(LEN(Sync!$J511)=10,Sync!$J511,"نامعتبر")))</f>
        <v/>
      </c>
      <c r="R511" t="str">
        <f t="shared" si="53"/>
        <v/>
      </c>
      <c r="S511" t="str">
        <f t="shared" si="54"/>
        <v/>
      </c>
      <c r="T511" t="str">
        <f>IF($N511="","",IF(Sync!$N511="",0,Sync!$N511))</f>
        <v/>
      </c>
      <c r="U511" t="str">
        <f>IF($N511="","",IF(Sync!$O511="",0,Sync!$O511))</f>
        <v/>
      </c>
      <c r="V511" t="str">
        <f>IF($N511="","",Sync!$L511)</f>
        <v/>
      </c>
      <c r="W511" t="str">
        <f>IF($N511="","",Sync!$P511)</f>
        <v/>
      </c>
      <c r="AA511" t="str">
        <f>IF($A511="","",IF(COUNTIF($A$6:$A511,$A511)=1,1,0))</f>
        <v/>
      </c>
      <c r="AB511">
        <f>SUM($AA$6:$AA511)</f>
        <v>3</v>
      </c>
      <c r="AC511" t="str">
        <f t="shared" si="55"/>
        <v/>
      </c>
    </row>
    <row r="512" spans="1:29" x14ac:dyDescent="0.2">
      <c r="A512" t="str">
        <f>IF(OR(Entry!$B515="",Entry!$E515="",$E512="نامعتبر"),"",Entry!$E515)</f>
        <v/>
      </c>
      <c r="B512" t="str">
        <f>IF($A512="","",LEFT($E512,4)&amp;MID($E512,6,2)&amp;RIGHT($E512,2)&amp;$F512&amp;"|"&amp;"1"&amp;RIGHT("00000"&amp;507,5))</f>
        <v/>
      </c>
      <c r="C512" t="str">
        <f t="shared" si="49"/>
        <v/>
      </c>
      <c r="D512" t="str">
        <f t="shared" si="50"/>
        <v/>
      </c>
      <c r="E512" t="str">
        <f>IF(Entry!$B515="","",IF(ISNUMBER(Entry!$B515),IF(AND(Entry!$B515&gt;=10000101,Entry!$B515&lt;=99991231),INT(Entry!$B515/10000)&amp;"/"&amp;RIGHT("00"&amp;INT(MOD(Entry!$B515,10000)/100),2)&amp;"/"&amp;RIGHT("00"&amp;MOD(Entry!$B515,100),2),"نامعتبر"),IF(LEN(Entry!$B515)=10,Entry!$B515,"نامعتبر")))</f>
        <v/>
      </c>
      <c r="F512" t="str">
        <f>IF(Entry!$B515="","",IF(Entry!$C515="","0000",IF(AND(ISNUMBER(Entry!$C515),Entry!$C515&gt;=0,Entry!$C515&lt;1),RIGHT("00"&amp;HOUR(Entry!$C515),2)&amp;RIGHT("00"&amp;MINUTE(Entry!$C515),2),IFERROR(RIGHT("00"&amp;VALUE(LEFT(Entry!$C515,FIND(":",Entry!$C515)-1)),2)&amp;RIGHT("00"&amp;VALUE(MID(Entry!$C515,FIND(":",Entry!$C515)+1,2)),2),"0000"))))</f>
        <v/>
      </c>
      <c r="G512" t="str">
        <f>IF($A512="","",Entry!$G515)</f>
        <v/>
      </c>
      <c r="H512" t="str">
        <f>IF($A512="","",IF(Entry!$H515="",0,Entry!$H515))</f>
        <v/>
      </c>
      <c r="I512" t="str">
        <f>IF($A512="","",IF(Entry!$I515="",0,Entry!$I515))</f>
        <v/>
      </c>
      <c r="J512" t="str">
        <f t="shared" si="51"/>
        <v/>
      </c>
      <c r="K512" t="str">
        <f>IF($A512="","",Entry!$D515)</f>
        <v/>
      </c>
      <c r="L512" t="str">
        <f>IF($A512="","",Entry!$L515)</f>
        <v/>
      </c>
      <c r="N512" t="str">
        <f>IF(OR(Sync!$M512="",$Q512="",$Q512="نامعتبر"),"",Sync!$M512)</f>
        <v/>
      </c>
      <c r="O512" t="str">
        <f t="shared" si="52"/>
        <v/>
      </c>
      <c r="P512" t="str">
        <f>IF($N512="","",LEFT($Q512,4)&amp;MID($Q512,6,2)&amp;RIGHT($Q512,2)&amp;IF(Sync!$K512="","0000",IF(AND(ISNUMBER(Sync!$K512),Sync!$K512&gt;=0,Sync!$K512&lt;1),RIGHT("00"&amp;HOUR(Sync!$K512),2)&amp;RIGHT("00"&amp;MINUTE(Sync!$K512),2),IFERROR(RIGHT("00"&amp;VALUE(LEFT(Sync!$K512,FIND(":",Sync!$K512)-1)),2)&amp;RIGHT("00"&amp;VALUE(MID(Sync!$K512,FIND(":",Sync!$K512)+1,2)),2),"0000")))&amp;"|"&amp;"2"&amp;RIGHT("00000"&amp;507,5))</f>
        <v/>
      </c>
      <c r="Q512" t="str">
        <f>IF(Sync!$J512="","",IF(ISNUMBER(Sync!$J512),IF(AND(Sync!$J512&gt;=10000101,Sync!$J512&lt;=99991231),INT(Sync!$J512/10000)&amp;"/"&amp;RIGHT("00"&amp;INT(MOD(Sync!$J512,10000)/100),2)&amp;"/"&amp;RIGHT("00"&amp;MOD(Sync!$J512,100),2),"نامعتبر"),IF(LEN(Sync!$J512)=10,Sync!$J512,"نامعتبر")))</f>
        <v/>
      </c>
      <c r="R512" t="str">
        <f t="shared" si="53"/>
        <v/>
      </c>
      <c r="S512" t="str">
        <f t="shared" si="54"/>
        <v/>
      </c>
      <c r="T512" t="str">
        <f>IF($N512="","",IF(Sync!$N512="",0,Sync!$N512))</f>
        <v/>
      </c>
      <c r="U512" t="str">
        <f>IF($N512="","",IF(Sync!$O512="",0,Sync!$O512))</f>
        <v/>
      </c>
      <c r="V512" t="str">
        <f>IF($N512="","",Sync!$L512)</f>
        <v/>
      </c>
      <c r="W512" t="str">
        <f>IF($N512="","",Sync!$P512)</f>
        <v/>
      </c>
      <c r="AA512" t="str">
        <f>IF($A512="","",IF(COUNTIF($A$6:$A512,$A512)=1,1,0))</f>
        <v/>
      </c>
      <c r="AB512">
        <f>SUM($AA$6:$AA512)</f>
        <v>3</v>
      </c>
      <c r="AC512" t="str">
        <f t="shared" si="55"/>
        <v/>
      </c>
    </row>
    <row r="513" spans="1:29" x14ac:dyDescent="0.2">
      <c r="A513" t="str">
        <f>IF(OR(Entry!$B516="",Entry!$E516="",$E513="نامعتبر"),"",Entry!$E516)</f>
        <v/>
      </c>
      <c r="B513" t="str">
        <f>IF($A513="","",LEFT($E513,4)&amp;MID($E513,6,2)&amp;RIGHT($E513,2)&amp;$F513&amp;"|"&amp;"1"&amp;RIGHT("00000"&amp;508,5))</f>
        <v/>
      </c>
      <c r="C513" t="str">
        <f t="shared" si="49"/>
        <v/>
      </c>
      <c r="D513" t="str">
        <f t="shared" si="50"/>
        <v/>
      </c>
      <c r="E513" t="str">
        <f>IF(Entry!$B516="","",IF(ISNUMBER(Entry!$B516),IF(AND(Entry!$B516&gt;=10000101,Entry!$B516&lt;=99991231),INT(Entry!$B516/10000)&amp;"/"&amp;RIGHT("00"&amp;INT(MOD(Entry!$B516,10000)/100),2)&amp;"/"&amp;RIGHT("00"&amp;MOD(Entry!$B516,100),2),"نامعتبر"),IF(LEN(Entry!$B516)=10,Entry!$B516,"نامعتبر")))</f>
        <v/>
      </c>
      <c r="F513" t="str">
        <f>IF(Entry!$B516="","",IF(Entry!$C516="","0000",IF(AND(ISNUMBER(Entry!$C516),Entry!$C516&gt;=0,Entry!$C516&lt;1),RIGHT("00"&amp;HOUR(Entry!$C516),2)&amp;RIGHT("00"&amp;MINUTE(Entry!$C516),2),IFERROR(RIGHT("00"&amp;VALUE(LEFT(Entry!$C516,FIND(":",Entry!$C516)-1)),2)&amp;RIGHT("00"&amp;VALUE(MID(Entry!$C516,FIND(":",Entry!$C516)+1,2)),2),"0000"))))</f>
        <v/>
      </c>
      <c r="G513" t="str">
        <f>IF($A513="","",Entry!$G516)</f>
        <v/>
      </c>
      <c r="H513" t="str">
        <f>IF($A513="","",IF(Entry!$H516="",0,Entry!$H516))</f>
        <v/>
      </c>
      <c r="I513" t="str">
        <f>IF($A513="","",IF(Entry!$I516="",0,Entry!$I516))</f>
        <v/>
      </c>
      <c r="J513" t="str">
        <f t="shared" si="51"/>
        <v/>
      </c>
      <c r="K513" t="str">
        <f>IF($A513="","",Entry!$D516)</f>
        <v/>
      </c>
      <c r="L513" t="str">
        <f>IF($A513="","",Entry!$L516)</f>
        <v/>
      </c>
      <c r="N513" t="str">
        <f>IF(OR(Sync!$M513="",$Q513="",$Q513="نامعتبر"),"",Sync!$M513)</f>
        <v/>
      </c>
      <c r="O513" t="str">
        <f t="shared" si="52"/>
        <v/>
      </c>
      <c r="P513" t="str">
        <f>IF($N513="","",LEFT($Q513,4)&amp;MID($Q513,6,2)&amp;RIGHT($Q513,2)&amp;IF(Sync!$K513="","0000",IF(AND(ISNUMBER(Sync!$K513),Sync!$K513&gt;=0,Sync!$K513&lt;1),RIGHT("00"&amp;HOUR(Sync!$K513),2)&amp;RIGHT("00"&amp;MINUTE(Sync!$K513),2),IFERROR(RIGHT("00"&amp;VALUE(LEFT(Sync!$K513,FIND(":",Sync!$K513)-1)),2)&amp;RIGHT("00"&amp;VALUE(MID(Sync!$K513,FIND(":",Sync!$K513)+1,2)),2),"0000")))&amp;"|"&amp;"2"&amp;RIGHT("00000"&amp;508,5))</f>
        <v/>
      </c>
      <c r="Q513" t="str">
        <f>IF(Sync!$J513="","",IF(ISNUMBER(Sync!$J513),IF(AND(Sync!$J513&gt;=10000101,Sync!$J513&lt;=99991231),INT(Sync!$J513/10000)&amp;"/"&amp;RIGHT("00"&amp;INT(MOD(Sync!$J513,10000)/100),2)&amp;"/"&amp;RIGHT("00"&amp;MOD(Sync!$J513,100),2),"نامعتبر"),IF(LEN(Sync!$J513)=10,Sync!$J513,"نامعتبر")))</f>
        <v/>
      </c>
      <c r="R513" t="str">
        <f t="shared" si="53"/>
        <v/>
      </c>
      <c r="S513" t="str">
        <f t="shared" si="54"/>
        <v/>
      </c>
      <c r="T513" t="str">
        <f>IF($N513="","",IF(Sync!$N513="",0,Sync!$N513))</f>
        <v/>
      </c>
      <c r="U513" t="str">
        <f>IF($N513="","",IF(Sync!$O513="",0,Sync!$O513))</f>
        <v/>
      </c>
      <c r="V513" t="str">
        <f>IF($N513="","",Sync!$L513)</f>
        <v/>
      </c>
      <c r="W513" t="str">
        <f>IF($N513="","",Sync!$P513)</f>
        <v/>
      </c>
      <c r="AA513" t="str">
        <f>IF($A513="","",IF(COUNTIF($A$6:$A513,$A513)=1,1,0))</f>
        <v/>
      </c>
      <c r="AB513">
        <f>SUM($AA$6:$AA513)</f>
        <v>3</v>
      </c>
      <c r="AC513" t="str">
        <f t="shared" si="55"/>
        <v/>
      </c>
    </row>
    <row r="514" spans="1:29" x14ac:dyDescent="0.2">
      <c r="A514" t="str">
        <f>IF(OR(Entry!$B517="",Entry!$E517="",$E514="نامعتبر"),"",Entry!$E517)</f>
        <v/>
      </c>
      <c r="B514" t="str">
        <f>IF($A514="","",LEFT($E514,4)&amp;MID($E514,6,2)&amp;RIGHT($E514,2)&amp;$F514&amp;"|"&amp;"1"&amp;RIGHT("00000"&amp;509,5))</f>
        <v/>
      </c>
      <c r="C514" t="str">
        <f t="shared" si="49"/>
        <v/>
      </c>
      <c r="D514" t="str">
        <f t="shared" si="50"/>
        <v/>
      </c>
      <c r="E514" t="str">
        <f>IF(Entry!$B517="","",IF(ISNUMBER(Entry!$B517),IF(AND(Entry!$B517&gt;=10000101,Entry!$B517&lt;=99991231),INT(Entry!$B517/10000)&amp;"/"&amp;RIGHT("00"&amp;INT(MOD(Entry!$B517,10000)/100),2)&amp;"/"&amp;RIGHT("00"&amp;MOD(Entry!$B517,100),2),"نامعتبر"),IF(LEN(Entry!$B517)=10,Entry!$B517,"نامعتبر")))</f>
        <v/>
      </c>
      <c r="F514" t="str">
        <f>IF(Entry!$B517="","",IF(Entry!$C517="","0000",IF(AND(ISNUMBER(Entry!$C517),Entry!$C517&gt;=0,Entry!$C517&lt;1),RIGHT("00"&amp;HOUR(Entry!$C517),2)&amp;RIGHT("00"&amp;MINUTE(Entry!$C517),2),IFERROR(RIGHT("00"&amp;VALUE(LEFT(Entry!$C517,FIND(":",Entry!$C517)-1)),2)&amp;RIGHT("00"&amp;VALUE(MID(Entry!$C517,FIND(":",Entry!$C517)+1,2)),2),"0000"))))</f>
        <v/>
      </c>
      <c r="G514" t="str">
        <f>IF($A514="","",Entry!$G517)</f>
        <v/>
      </c>
      <c r="H514" t="str">
        <f>IF($A514="","",IF(Entry!$H517="",0,Entry!$H517))</f>
        <v/>
      </c>
      <c r="I514" t="str">
        <f>IF($A514="","",IF(Entry!$I517="",0,Entry!$I517))</f>
        <v/>
      </c>
      <c r="J514" t="str">
        <f t="shared" si="51"/>
        <v/>
      </c>
      <c r="K514" t="str">
        <f>IF($A514="","",Entry!$D517)</f>
        <v/>
      </c>
      <c r="L514" t="str">
        <f>IF($A514="","",Entry!$L517)</f>
        <v/>
      </c>
      <c r="N514" t="str">
        <f>IF(OR(Sync!$M514="",$Q514="",$Q514="نامعتبر"),"",Sync!$M514)</f>
        <v/>
      </c>
      <c r="O514" t="str">
        <f t="shared" si="52"/>
        <v/>
      </c>
      <c r="P514" t="str">
        <f>IF($N514="","",LEFT($Q514,4)&amp;MID($Q514,6,2)&amp;RIGHT($Q514,2)&amp;IF(Sync!$K514="","0000",IF(AND(ISNUMBER(Sync!$K514),Sync!$K514&gt;=0,Sync!$K514&lt;1),RIGHT("00"&amp;HOUR(Sync!$K514),2)&amp;RIGHT("00"&amp;MINUTE(Sync!$K514),2),IFERROR(RIGHT("00"&amp;VALUE(LEFT(Sync!$K514,FIND(":",Sync!$K514)-1)),2)&amp;RIGHT("00"&amp;VALUE(MID(Sync!$K514,FIND(":",Sync!$K514)+1,2)),2),"0000")))&amp;"|"&amp;"2"&amp;RIGHT("00000"&amp;509,5))</f>
        <v/>
      </c>
      <c r="Q514" t="str">
        <f>IF(Sync!$J514="","",IF(ISNUMBER(Sync!$J514),IF(AND(Sync!$J514&gt;=10000101,Sync!$J514&lt;=99991231),INT(Sync!$J514/10000)&amp;"/"&amp;RIGHT("00"&amp;INT(MOD(Sync!$J514,10000)/100),2)&amp;"/"&amp;RIGHT("00"&amp;MOD(Sync!$J514,100),2),"نامعتبر"),IF(LEN(Sync!$J514)=10,Sync!$J514,"نامعتبر")))</f>
        <v/>
      </c>
      <c r="R514" t="str">
        <f t="shared" si="53"/>
        <v/>
      </c>
      <c r="S514" t="str">
        <f t="shared" si="54"/>
        <v/>
      </c>
      <c r="T514" t="str">
        <f>IF($N514="","",IF(Sync!$N514="",0,Sync!$N514))</f>
        <v/>
      </c>
      <c r="U514" t="str">
        <f>IF($N514="","",IF(Sync!$O514="",0,Sync!$O514))</f>
        <v/>
      </c>
      <c r="V514" t="str">
        <f>IF($N514="","",Sync!$L514)</f>
        <v/>
      </c>
      <c r="W514" t="str">
        <f>IF($N514="","",Sync!$P514)</f>
        <v/>
      </c>
      <c r="AA514" t="str">
        <f>IF($A514="","",IF(COUNTIF($A$6:$A514,$A514)=1,1,0))</f>
        <v/>
      </c>
      <c r="AB514">
        <f>SUM($AA$6:$AA514)</f>
        <v>3</v>
      </c>
      <c r="AC514" t="str">
        <f t="shared" si="55"/>
        <v/>
      </c>
    </row>
    <row r="515" spans="1:29" x14ac:dyDescent="0.2">
      <c r="A515" t="str">
        <f>IF(OR(Entry!$B518="",Entry!$E518="",$E515="نامعتبر"),"",Entry!$E518)</f>
        <v/>
      </c>
      <c r="B515" t="str">
        <f>IF($A515="","",LEFT($E515,4)&amp;MID($E515,6,2)&amp;RIGHT($E515,2)&amp;$F515&amp;"|"&amp;"1"&amp;RIGHT("00000"&amp;510,5))</f>
        <v/>
      </c>
      <c r="C515" t="str">
        <f t="shared" si="49"/>
        <v/>
      </c>
      <c r="D515" t="str">
        <f t="shared" si="50"/>
        <v/>
      </c>
      <c r="E515" t="str">
        <f>IF(Entry!$B518="","",IF(ISNUMBER(Entry!$B518),IF(AND(Entry!$B518&gt;=10000101,Entry!$B518&lt;=99991231),INT(Entry!$B518/10000)&amp;"/"&amp;RIGHT("00"&amp;INT(MOD(Entry!$B518,10000)/100),2)&amp;"/"&amp;RIGHT("00"&amp;MOD(Entry!$B518,100),2),"نامعتبر"),IF(LEN(Entry!$B518)=10,Entry!$B518,"نامعتبر")))</f>
        <v/>
      </c>
      <c r="F515" t="str">
        <f>IF(Entry!$B518="","",IF(Entry!$C518="","0000",IF(AND(ISNUMBER(Entry!$C518),Entry!$C518&gt;=0,Entry!$C518&lt;1),RIGHT("00"&amp;HOUR(Entry!$C518),2)&amp;RIGHT("00"&amp;MINUTE(Entry!$C518),2),IFERROR(RIGHT("00"&amp;VALUE(LEFT(Entry!$C518,FIND(":",Entry!$C518)-1)),2)&amp;RIGHT("00"&amp;VALUE(MID(Entry!$C518,FIND(":",Entry!$C518)+1,2)),2),"0000"))))</f>
        <v/>
      </c>
      <c r="G515" t="str">
        <f>IF($A515="","",Entry!$G518)</f>
        <v/>
      </c>
      <c r="H515" t="str">
        <f>IF($A515="","",IF(Entry!$H518="",0,Entry!$H518))</f>
        <v/>
      </c>
      <c r="I515" t="str">
        <f>IF($A515="","",IF(Entry!$I518="",0,Entry!$I518))</f>
        <v/>
      </c>
      <c r="J515" t="str">
        <f t="shared" si="51"/>
        <v/>
      </c>
      <c r="K515" t="str">
        <f>IF($A515="","",Entry!$D518)</f>
        <v/>
      </c>
      <c r="L515" t="str">
        <f>IF($A515="","",Entry!$L518)</f>
        <v/>
      </c>
      <c r="N515" t="str">
        <f>IF(OR(Sync!$M515="",$Q515="",$Q515="نامعتبر"),"",Sync!$M515)</f>
        <v/>
      </c>
      <c r="O515" t="str">
        <f t="shared" si="52"/>
        <v/>
      </c>
      <c r="P515" t="str">
        <f>IF($N515="","",LEFT($Q515,4)&amp;MID($Q515,6,2)&amp;RIGHT($Q515,2)&amp;IF(Sync!$K515="","0000",IF(AND(ISNUMBER(Sync!$K515),Sync!$K515&gt;=0,Sync!$K515&lt;1),RIGHT("00"&amp;HOUR(Sync!$K515),2)&amp;RIGHT("00"&amp;MINUTE(Sync!$K515),2),IFERROR(RIGHT("00"&amp;VALUE(LEFT(Sync!$K515,FIND(":",Sync!$K515)-1)),2)&amp;RIGHT("00"&amp;VALUE(MID(Sync!$K515,FIND(":",Sync!$K515)+1,2)),2),"0000")))&amp;"|"&amp;"2"&amp;RIGHT("00000"&amp;510,5))</f>
        <v/>
      </c>
      <c r="Q515" t="str">
        <f>IF(Sync!$J515="","",IF(ISNUMBER(Sync!$J515),IF(AND(Sync!$J515&gt;=10000101,Sync!$J515&lt;=99991231),INT(Sync!$J515/10000)&amp;"/"&amp;RIGHT("00"&amp;INT(MOD(Sync!$J515,10000)/100),2)&amp;"/"&amp;RIGHT("00"&amp;MOD(Sync!$J515,100),2),"نامعتبر"),IF(LEN(Sync!$J515)=10,Sync!$J515,"نامعتبر")))</f>
        <v/>
      </c>
      <c r="R515" t="str">
        <f t="shared" si="53"/>
        <v/>
      </c>
      <c r="S515" t="str">
        <f t="shared" si="54"/>
        <v/>
      </c>
      <c r="T515" t="str">
        <f>IF($N515="","",IF(Sync!$N515="",0,Sync!$N515))</f>
        <v/>
      </c>
      <c r="U515" t="str">
        <f>IF($N515="","",IF(Sync!$O515="",0,Sync!$O515))</f>
        <v/>
      </c>
      <c r="V515" t="str">
        <f>IF($N515="","",Sync!$L515)</f>
        <v/>
      </c>
      <c r="W515" t="str">
        <f>IF($N515="","",Sync!$P515)</f>
        <v/>
      </c>
      <c r="AA515" t="str">
        <f>IF($A515="","",IF(COUNTIF($A$6:$A515,$A515)=1,1,0))</f>
        <v/>
      </c>
      <c r="AB515">
        <f>SUM($AA$6:$AA515)</f>
        <v>3</v>
      </c>
      <c r="AC515" t="str">
        <f t="shared" si="55"/>
        <v/>
      </c>
    </row>
    <row r="516" spans="1:29" x14ac:dyDescent="0.2">
      <c r="A516" t="str">
        <f>IF(OR(Entry!$B519="",Entry!$E519="",$E516="نامعتبر"),"",Entry!$E519)</f>
        <v/>
      </c>
      <c r="B516" t="str">
        <f>IF($A516="","",LEFT($E516,4)&amp;MID($E516,6,2)&amp;RIGHT($E516,2)&amp;$F516&amp;"|"&amp;"1"&amp;RIGHT("00000"&amp;511,5))</f>
        <v/>
      </c>
      <c r="C516" t="str">
        <f t="shared" si="49"/>
        <v/>
      </c>
      <c r="D516" t="str">
        <f t="shared" si="50"/>
        <v/>
      </c>
      <c r="E516" t="str">
        <f>IF(Entry!$B519="","",IF(ISNUMBER(Entry!$B519),IF(AND(Entry!$B519&gt;=10000101,Entry!$B519&lt;=99991231),INT(Entry!$B519/10000)&amp;"/"&amp;RIGHT("00"&amp;INT(MOD(Entry!$B519,10000)/100),2)&amp;"/"&amp;RIGHT("00"&amp;MOD(Entry!$B519,100),2),"نامعتبر"),IF(LEN(Entry!$B519)=10,Entry!$B519,"نامعتبر")))</f>
        <v/>
      </c>
      <c r="F516" t="str">
        <f>IF(Entry!$B519="","",IF(Entry!$C519="","0000",IF(AND(ISNUMBER(Entry!$C519),Entry!$C519&gt;=0,Entry!$C519&lt;1),RIGHT("00"&amp;HOUR(Entry!$C519),2)&amp;RIGHT("00"&amp;MINUTE(Entry!$C519),2),IFERROR(RIGHT("00"&amp;VALUE(LEFT(Entry!$C519,FIND(":",Entry!$C519)-1)),2)&amp;RIGHT("00"&amp;VALUE(MID(Entry!$C519,FIND(":",Entry!$C519)+1,2)),2),"0000"))))</f>
        <v/>
      </c>
      <c r="G516" t="str">
        <f>IF($A516="","",Entry!$G519)</f>
        <v/>
      </c>
      <c r="H516" t="str">
        <f>IF($A516="","",IF(Entry!$H519="",0,Entry!$H519))</f>
        <v/>
      </c>
      <c r="I516" t="str">
        <f>IF($A516="","",IF(Entry!$I519="",0,Entry!$I519))</f>
        <v/>
      </c>
      <c r="J516" t="str">
        <f t="shared" si="51"/>
        <v/>
      </c>
      <c r="K516" t="str">
        <f>IF($A516="","",Entry!$D519)</f>
        <v/>
      </c>
      <c r="L516" t="str">
        <f>IF($A516="","",Entry!$L519)</f>
        <v/>
      </c>
      <c r="N516" t="str">
        <f>IF(OR(Sync!$M516="",$Q516="",$Q516="نامعتبر"),"",Sync!$M516)</f>
        <v/>
      </c>
      <c r="O516" t="str">
        <f t="shared" si="52"/>
        <v/>
      </c>
      <c r="P516" t="str">
        <f>IF($N516="","",LEFT($Q516,4)&amp;MID($Q516,6,2)&amp;RIGHT($Q516,2)&amp;IF(Sync!$K516="","0000",IF(AND(ISNUMBER(Sync!$K516),Sync!$K516&gt;=0,Sync!$K516&lt;1),RIGHT("00"&amp;HOUR(Sync!$K516),2)&amp;RIGHT("00"&amp;MINUTE(Sync!$K516),2),IFERROR(RIGHT("00"&amp;VALUE(LEFT(Sync!$K516,FIND(":",Sync!$K516)-1)),2)&amp;RIGHT("00"&amp;VALUE(MID(Sync!$K516,FIND(":",Sync!$K516)+1,2)),2),"0000")))&amp;"|"&amp;"2"&amp;RIGHT("00000"&amp;511,5))</f>
        <v/>
      </c>
      <c r="Q516" t="str">
        <f>IF(Sync!$J516="","",IF(ISNUMBER(Sync!$J516),IF(AND(Sync!$J516&gt;=10000101,Sync!$J516&lt;=99991231),INT(Sync!$J516/10000)&amp;"/"&amp;RIGHT("00"&amp;INT(MOD(Sync!$J516,10000)/100),2)&amp;"/"&amp;RIGHT("00"&amp;MOD(Sync!$J516,100),2),"نامعتبر"),IF(LEN(Sync!$J516)=10,Sync!$J516,"نامعتبر")))</f>
        <v/>
      </c>
      <c r="R516" t="str">
        <f t="shared" si="53"/>
        <v/>
      </c>
      <c r="S516" t="str">
        <f t="shared" si="54"/>
        <v/>
      </c>
      <c r="T516" t="str">
        <f>IF($N516="","",IF(Sync!$N516="",0,Sync!$N516))</f>
        <v/>
      </c>
      <c r="U516" t="str">
        <f>IF($N516="","",IF(Sync!$O516="",0,Sync!$O516))</f>
        <v/>
      </c>
      <c r="V516" t="str">
        <f>IF($N516="","",Sync!$L516)</f>
        <v/>
      </c>
      <c r="W516" t="str">
        <f>IF($N516="","",Sync!$P516)</f>
        <v/>
      </c>
      <c r="AA516" t="str">
        <f>IF($A516="","",IF(COUNTIF($A$6:$A516,$A516)=1,1,0))</f>
        <v/>
      </c>
      <c r="AB516">
        <f>SUM($AA$6:$AA516)</f>
        <v>3</v>
      </c>
      <c r="AC516" t="str">
        <f t="shared" si="55"/>
        <v/>
      </c>
    </row>
    <row r="517" spans="1:29" x14ac:dyDescent="0.2">
      <c r="A517" t="str">
        <f>IF(OR(Entry!$B520="",Entry!$E520="",$E517="نامعتبر"),"",Entry!$E520)</f>
        <v/>
      </c>
      <c r="B517" t="str">
        <f>IF($A517="","",LEFT($E517,4)&amp;MID($E517,6,2)&amp;RIGHT($E517,2)&amp;$F517&amp;"|"&amp;"1"&amp;RIGHT("00000"&amp;512,5))</f>
        <v/>
      </c>
      <c r="C517" t="str">
        <f t="shared" si="49"/>
        <v/>
      </c>
      <c r="D517" t="str">
        <f t="shared" si="50"/>
        <v/>
      </c>
      <c r="E517" t="str">
        <f>IF(Entry!$B520="","",IF(ISNUMBER(Entry!$B520),IF(AND(Entry!$B520&gt;=10000101,Entry!$B520&lt;=99991231),INT(Entry!$B520/10000)&amp;"/"&amp;RIGHT("00"&amp;INT(MOD(Entry!$B520,10000)/100),2)&amp;"/"&amp;RIGHT("00"&amp;MOD(Entry!$B520,100),2),"نامعتبر"),IF(LEN(Entry!$B520)=10,Entry!$B520,"نامعتبر")))</f>
        <v/>
      </c>
      <c r="F517" t="str">
        <f>IF(Entry!$B520="","",IF(Entry!$C520="","0000",IF(AND(ISNUMBER(Entry!$C520),Entry!$C520&gt;=0,Entry!$C520&lt;1),RIGHT("00"&amp;HOUR(Entry!$C520),2)&amp;RIGHT("00"&amp;MINUTE(Entry!$C520),2),IFERROR(RIGHT("00"&amp;VALUE(LEFT(Entry!$C520,FIND(":",Entry!$C520)-1)),2)&amp;RIGHT("00"&amp;VALUE(MID(Entry!$C520,FIND(":",Entry!$C520)+1,2)),2),"0000"))))</f>
        <v/>
      </c>
      <c r="G517" t="str">
        <f>IF($A517="","",Entry!$G520)</f>
        <v/>
      </c>
      <c r="H517" t="str">
        <f>IF($A517="","",IF(Entry!$H520="",0,Entry!$H520))</f>
        <v/>
      </c>
      <c r="I517" t="str">
        <f>IF($A517="","",IF(Entry!$I520="",0,Entry!$I520))</f>
        <v/>
      </c>
      <c r="J517" t="str">
        <f t="shared" si="51"/>
        <v/>
      </c>
      <c r="K517" t="str">
        <f>IF($A517="","",Entry!$D520)</f>
        <v/>
      </c>
      <c r="L517" t="str">
        <f>IF($A517="","",Entry!$L520)</f>
        <v/>
      </c>
      <c r="N517" t="str">
        <f>IF(OR(Sync!$M517="",$Q517="",$Q517="نامعتبر"),"",Sync!$M517)</f>
        <v/>
      </c>
      <c r="O517" t="str">
        <f t="shared" si="52"/>
        <v/>
      </c>
      <c r="P517" t="str">
        <f>IF($N517="","",LEFT($Q517,4)&amp;MID($Q517,6,2)&amp;RIGHT($Q517,2)&amp;IF(Sync!$K517="","0000",IF(AND(ISNUMBER(Sync!$K517),Sync!$K517&gt;=0,Sync!$K517&lt;1),RIGHT("00"&amp;HOUR(Sync!$K517),2)&amp;RIGHT("00"&amp;MINUTE(Sync!$K517),2),IFERROR(RIGHT("00"&amp;VALUE(LEFT(Sync!$K517,FIND(":",Sync!$K517)-1)),2)&amp;RIGHT("00"&amp;VALUE(MID(Sync!$K517,FIND(":",Sync!$K517)+1,2)),2),"0000")))&amp;"|"&amp;"2"&amp;RIGHT("00000"&amp;512,5))</f>
        <v/>
      </c>
      <c r="Q517" t="str">
        <f>IF(Sync!$J517="","",IF(ISNUMBER(Sync!$J517),IF(AND(Sync!$J517&gt;=10000101,Sync!$J517&lt;=99991231),INT(Sync!$J517/10000)&amp;"/"&amp;RIGHT("00"&amp;INT(MOD(Sync!$J517,10000)/100),2)&amp;"/"&amp;RIGHT("00"&amp;MOD(Sync!$J517,100),2),"نامعتبر"),IF(LEN(Sync!$J517)=10,Sync!$J517,"نامعتبر")))</f>
        <v/>
      </c>
      <c r="R517" t="str">
        <f t="shared" si="53"/>
        <v/>
      </c>
      <c r="S517" t="str">
        <f t="shared" si="54"/>
        <v/>
      </c>
      <c r="T517" t="str">
        <f>IF($N517="","",IF(Sync!$N517="",0,Sync!$N517))</f>
        <v/>
      </c>
      <c r="U517" t="str">
        <f>IF($N517="","",IF(Sync!$O517="",0,Sync!$O517))</f>
        <v/>
      </c>
      <c r="V517" t="str">
        <f>IF($N517="","",Sync!$L517)</f>
        <v/>
      </c>
      <c r="W517" t="str">
        <f>IF($N517="","",Sync!$P517)</f>
        <v/>
      </c>
      <c r="AA517" t="str">
        <f>IF($A517="","",IF(COUNTIF($A$6:$A517,$A517)=1,1,0))</f>
        <v/>
      </c>
      <c r="AB517">
        <f>SUM($AA$6:$AA517)</f>
        <v>3</v>
      </c>
      <c r="AC517" t="str">
        <f t="shared" si="55"/>
        <v/>
      </c>
    </row>
    <row r="518" spans="1:29" x14ac:dyDescent="0.2">
      <c r="A518" t="str">
        <f>IF(OR(Entry!$B521="",Entry!$E521="",$E518="نامعتبر"),"",Entry!$E521)</f>
        <v/>
      </c>
      <c r="B518" t="str">
        <f>IF($A518="","",LEFT($E518,4)&amp;MID($E518,6,2)&amp;RIGHT($E518,2)&amp;$F518&amp;"|"&amp;"1"&amp;RIGHT("00000"&amp;513,5))</f>
        <v/>
      </c>
      <c r="C518" t="str">
        <f t="shared" ref="C518:C581" si="56">IF($B518="","",COUNTIFS($A$6:$A$1005,$A518,$B$6:$B$1005,"&lt;"&amp;$B518)+COUNTIFS($N$6:$N$2005,$A518,$P$6:$P$2005,"&lt;"&amp;$B518)+1)</f>
        <v/>
      </c>
      <c r="D518" t="str">
        <f t="shared" ref="D518:D581" si="57">IF($C518="","",$A518&amp;"|"&amp;RIGHT("000000"&amp;$C518,6))</f>
        <v/>
      </c>
      <c r="E518" t="str">
        <f>IF(Entry!$B521="","",IF(ISNUMBER(Entry!$B521),IF(AND(Entry!$B521&gt;=10000101,Entry!$B521&lt;=99991231),INT(Entry!$B521/10000)&amp;"/"&amp;RIGHT("00"&amp;INT(MOD(Entry!$B521,10000)/100),2)&amp;"/"&amp;RIGHT("00"&amp;MOD(Entry!$B521,100),2),"نامعتبر"),IF(LEN(Entry!$B521)=10,Entry!$B521,"نامعتبر")))</f>
        <v/>
      </c>
      <c r="F518" t="str">
        <f>IF(Entry!$B521="","",IF(Entry!$C521="","0000",IF(AND(ISNUMBER(Entry!$C521),Entry!$C521&gt;=0,Entry!$C521&lt;1),RIGHT("00"&amp;HOUR(Entry!$C521),2)&amp;RIGHT("00"&amp;MINUTE(Entry!$C521),2),IFERROR(RIGHT("00"&amp;VALUE(LEFT(Entry!$C521,FIND(":",Entry!$C521)-1)),2)&amp;RIGHT("00"&amp;VALUE(MID(Entry!$C521,FIND(":",Entry!$C521)+1,2)),2),"0000"))))</f>
        <v/>
      </c>
      <c r="G518" t="str">
        <f>IF($A518="","",Entry!$G521)</f>
        <v/>
      </c>
      <c r="H518" t="str">
        <f>IF($A518="","",IF(Entry!$H521="",0,Entry!$H521))</f>
        <v/>
      </c>
      <c r="I518" t="str">
        <f>IF($A518="","",IF(Entry!$I521="",0,Entry!$I521))</f>
        <v/>
      </c>
      <c r="J518" t="str">
        <f t="shared" ref="J518:J581" si="58">IF($A518="","",ROUND($H518*$I518,0))</f>
        <v/>
      </c>
      <c r="K518" t="str">
        <f>IF($A518="","",Entry!$D521)</f>
        <v/>
      </c>
      <c r="L518" t="str">
        <f>IF($A518="","",Entry!$L521)</f>
        <v/>
      </c>
      <c r="N518" t="str">
        <f>IF(OR(Sync!$M518="",$Q518="",$Q518="نامعتبر"),"",Sync!$M518)</f>
        <v/>
      </c>
      <c r="O518" t="str">
        <f t="shared" ref="O518:O581" si="59">IF($N518="","",$Q518)</f>
        <v/>
      </c>
      <c r="P518" t="str">
        <f>IF($N518="","",LEFT($Q518,4)&amp;MID($Q518,6,2)&amp;RIGHT($Q518,2)&amp;IF(Sync!$K518="","0000",IF(AND(ISNUMBER(Sync!$K518),Sync!$K518&gt;=0,Sync!$K518&lt;1),RIGHT("00"&amp;HOUR(Sync!$K518),2)&amp;RIGHT("00"&amp;MINUTE(Sync!$K518),2),IFERROR(RIGHT("00"&amp;VALUE(LEFT(Sync!$K518,FIND(":",Sync!$K518)-1)),2)&amp;RIGHT("00"&amp;VALUE(MID(Sync!$K518,FIND(":",Sync!$K518)+1,2)),2),"0000")))&amp;"|"&amp;"2"&amp;RIGHT("00000"&amp;513,5))</f>
        <v/>
      </c>
      <c r="Q518" t="str">
        <f>IF(Sync!$J518="","",IF(ISNUMBER(Sync!$J518),IF(AND(Sync!$J518&gt;=10000101,Sync!$J518&lt;=99991231),INT(Sync!$J518/10000)&amp;"/"&amp;RIGHT("00"&amp;INT(MOD(Sync!$J518,10000)/100),2)&amp;"/"&amp;RIGHT("00"&amp;MOD(Sync!$J518,100),2),"نامعتبر"),IF(LEN(Sync!$J518)=10,Sync!$J518,"نامعتبر")))</f>
        <v/>
      </c>
      <c r="R518" t="str">
        <f t="shared" ref="R518:R581" si="60">IF($P518="","",COUNTIFS($N$6:$N$2005,$N518,$P$6:$P$2005,"&lt;"&amp;$P518)+COUNTIFS($A$6:$A$1005,$N518,$B$6:$B$1005,"&lt;"&amp;$P518)+1)</f>
        <v/>
      </c>
      <c r="S518" t="str">
        <f t="shared" ref="S518:S581" si="61">IF($N518="","",$N518&amp;"|"&amp;RIGHT("000000"&amp;$R518,6))</f>
        <v/>
      </c>
      <c r="T518" t="str">
        <f>IF($N518="","",IF(Sync!$N518="",0,Sync!$N518))</f>
        <v/>
      </c>
      <c r="U518" t="str">
        <f>IF($N518="","",IF(Sync!$O518="",0,Sync!$O518))</f>
        <v/>
      </c>
      <c r="V518" t="str">
        <f>IF($N518="","",Sync!$L518)</f>
        <v/>
      </c>
      <c r="W518" t="str">
        <f>IF($N518="","",Sync!$P518)</f>
        <v/>
      </c>
      <c r="AA518" t="str">
        <f>IF($A518="","",IF(COUNTIF($A$6:$A518,$A518)=1,1,0))</f>
        <v/>
      </c>
      <c r="AB518">
        <f>SUM($AA$6:$AA518)</f>
        <v>3</v>
      </c>
      <c r="AC518" t="str">
        <f t="shared" ref="AC518:AC581" si="62">IFERROR(INDEX($A$6:$A$1005,MATCH(ROW()-5,$AB$6:$AB$1005,0)),"")</f>
        <v/>
      </c>
    </row>
    <row r="519" spans="1:29" x14ac:dyDescent="0.2">
      <c r="A519" t="str">
        <f>IF(OR(Entry!$B522="",Entry!$E522="",$E519="نامعتبر"),"",Entry!$E522)</f>
        <v/>
      </c>
      <c r="B519" t="str">
        <f>IF($A519="","",LEFT($E519,4)&amp;MID($E519,6,2)&amp;RIGHT($E519,2)&amp;$F519&amp;"|"&amp;"1"&amp;RIGHT("00000"&amp;514,5))</f>
        <v/>
      </c>
      <c r="C519" t="str">
        <f t="shared" si="56"/>
        <v/>
      </c>
      <c r="D519" t="str">
        <f t="shared" si="57"/>
        <v/>
      </c>
      <c r="E519" t="str">
        <f>IF(Entry!$B522="","",IF(ISNUMBER(Entry!$B522),IF(AND(Entry!$B522&gt;=10000101,Entry!$B522&lt;=99991231),INT(Entry!$B522/10000)&amp;"/"&amp;RIGHT("00"&amp;INT(MOD(Entry!$B522,10000)/100),2)&amp;"/"&amp;RIGHT("00"&amp;MOD(Entry!$B522,100),2),"نامعتبر"),IF(LEN(Entry!$B522)=10,Entry!$B522,"نامعتبر")))</f>
        <v/>
      </c>
      <c r="F519" t="str">
        <f>IF(Entry!$B522="","",IF(Entry!$C522="","0000",IF(AND(ISNUMBER(Entry!$C522),Entry!$C522&gt;=0,Entry!$C522&lt;1),RIGHT("00"&amp;HOUR(Entry!$C522),2)&amp;RIGHT("00"&amp;MINUTE(Entry!$C522),2),IFERROR(RIGHT("00"&amp;VALUE(LEFT(Entry!$C522,FIND(":",Entry!$C522)-1)),2)&amp;RIGHT("00"&amp;VALUE(MID(Entry!$C522,FIND(":",Entry!$C522)+1,2)),2),"0000"))))</f>
        <v/>
      </c>
      <c r="G519" t="str">
        <f>IF($A519="","",Entry!$G522)</f>
        <v/>
      </c>
      <c r="H519" t="str">
        <f>IF($A519="","",IF(Entry!$H522="",0,Entry!$H522))</f>
        <v/>
      </c>
      <c r="I519" t="str">
        <f>IF($A519="","",IF(Entry!$I522="",0,Entry!$I522))</f>
        <v/>
      </c>
      <c r="J519" t="str">
        <f t="shared" si="58"/>
        <v/>
      </c>
      <c r="K519" t="str">
        <f>IF($A519="","",Entry!$D522)</f>
        <v/>
      </c>
      <c r="L519" t="str">
        <f>IF($A519="","",Entry!$L522)</f>
        <v/>
      </c>
      <c r="N519" t="str">
        <f>IF(OR(Sync!$M519="",$Q519="",$Q519="نامعتبر"),"",Sync!$M519)</f>
        <v/>
      </c>
      <c r="O519" t="str">
        <f t="shared" si="59"/>
        <v/>
      </c>
      <c r="P519" t="str">
        <f>IF($N519="","",LEFT($Q519,4)&amp;MID($Q519,6,2)&amp;RIGHT($Q519,2)&amp;IF(Sync!$K519="","0000",IF(AND(ISNUMBER(Sync!$K519),Sync!$K519&gt;=0,Sync!$K519&lt;1),RIGHT("00"&amp;HOUR(Sync!$K519),2)&amp;RIGHT("00"&amp;MINUTE(Sync!$K519),2),IFERROR(RIGHT("00"&amp;VALUE(LEFT(Sync!$K519,FIND(":",Sync!$K519)-1)),2)&amp;RIGHT("00"&amp;VALUE(MID(Sync!$K519,FIND(":",Sync!$K519)+1,2)),2),"0000")))&amp;"|"&amp;"2"&amp;RIGHT("00000"&amp;514,5))</f>
        <v/>
      </c>
      <c r="Q519" t="str">
        <f>IF(Sync!$J519="","",IF(ISNUMBER(Sync!$J519),IF(AND(Sync!$J519&gt;=10000101,Sync!$J519&lt;=99991231),INT(Sync!$J519/10000)&amp;"/"&amp;RIGHT("00"&amp;INT(MOD(Sync!$J519,10000)/100),2)&amp;"/"&amp;RIGHT("00"&amp;MOD(Sync!$J519,100),2),"نامعتبر"),IF(LEN(Sync!$J519)=10,Sync!$J519,"نامعتبر")))</f>
        <v/>
      </c>
      <c r="R519" t="str">
        <f t="shared" si="60"/>
        <v/>
      </c>
      <c r="S519" t="str">
        <f t="shared" si="61"/>
        <v/>
      </c>
      <c r="T519" t="str">
        <f>IF($N519="","",IF(Sync!$N519="",0,Sync!$N519))</f>
        <v/>
      </c>
      <c r="U519" t="str">
        <f>IF($N519="","",IF(Sync!$O519="",0,Sync!$O519))</f>
        <v/>
      </c>
      <c r="V519" t="str">
        <f>IF($N519="","",Sync!$L519)</f>
        <v/>
      </c>
      <c r="W519" t="str">
        <f>IF($N519="","",Sync!$P519)</f>
        <v/>
      </c>
      <c r="AA519" t="str">
        <f>IF($A519="","",IF(COUNTIF($A$6:$A519,$A519)=1,1,0))</f>
        <v/>
      </c>
      <c r="AB519">
        <f>SUM($AA$6:$AA519)</f>
        <v>3</v>
      </c>
      <c r="AC519" t="str">
        <f t="shared" si="62"/>
        <v/>
      </c>
    </row>
    <row r="520" spans="1:29" x14ac:dyDescent="0.2">
      <c r="A520" t="str">
        <f>IF(OR(Entry!$B523="",Entry!$E523="",$E520="نامعتبر"),"",Entry!$E523)</f>
        <v/>
      </c>
      <c r="B520" t="str">
        <f>IF($A520="","",LEFT($E520,4)&amp;MID($E520,6,2)&amp;RIGHT($E520,2)&amp;$F520&amp;"|"&amp;"1"&amp;RIGHT("00000"&amp;515,5))</f>
        <v/>
      </c>
      <c r="C520" t="str">
        <f t="shared" si="56"/>
        <v/>
      </c>
      <c r="D520" t="str">
        <f t="shared" si="57"/>
        <v/>
      </c>
      <c r="E520" t="str">
        <f>IF(Entry!$B523="","",IF(ISNUMBER(Entry!$B523),IF(AND(Entry!$B523&gt;=10000101,Entry!$B523&lt;=99991231),INT(Entry!$B523/10000)&amp;"/"&amp;RIGHT("00"&amp;INT(MOD(Entry!$B523,10000)/100),2)&amp;"/"&amp;RIGHT("00"&amp;MOD(Entry!$B523,100),2),"نامعتبر"),IF(LEN(Entry!$B523)=10,Entry!$B523,"نامعتبر")))</f>
        <v/>
      </c>
      <c r="F520" t="str">
        <f>IF(Entry!$B523="","",IF(Entry!$C523="","0000",IF(AND(ISNUMBER(Entry!$C523),Entry!$C523&gt;=0,Entry!$C523&lt;1),RIGHT("00"&amp;HOUR(Entry!$C523),2)&amp;RIGHT("00"&amp;MINUTE(Entry!$C523),2),IFERROR(RIGHT("00"&amp;VALUE(LEFT(Entry!$C523,FIND(":",Entry!$C523)-1)),2)&amp;RIGHT("00"&amp;VALUE(MID(Entry!$C523,FIND(":",Entry!$C523)+1,2)),2),"0000"))))</f>
        <v/>
      </c>
      <c r="G520" t="str">
        <f>IF($A520="","",Entry!$G523)</f>
        <v/>
      </c>
      <c r="H520" t="str">
        <f>IF($A520="","",IF(Entry!$H523="",0,Entry!$H523))</f>
        <v/>
      </c>
      <c r="I520" t="str">
        <f>IF($A520="","",IF(Entry!$I523="",0,Entry!$I523))</f>
        <v/>
      </c>
      <c r="J520" t="str">
        <f t="shared" si="58"/>
        <v/>
      </c>
      <c r="K520" t="str">
        <f>IF($A520="","",Entry!$D523)</f>
        <v/>
      </c>
      <c r="L520" t="str">
        <f>IF($A520="","",Entry!$L523)</f>
        <v/>
      </c>
      <c r="N520" t="str">
        <f>IF(OR(Sync!$M520="",$Q520="",$Q520="نامعتبر"),"",Sync!$M520)</f>
        <v/>
      </c>
      <c r="O520" t="str">
        <f t="shared" si="59"/>
        <v/>
      </c>
      <c r="P520" t="str">
        <f>IF($N520="","",LEFT($Q520,4)&amp;MID($Q520,6,2)&amp;RIGHT($Q520,2)&amp;IF(Sync!$K520="","0000",IF(AND(ISNUMBER(Sync!$K520),Sync!$K520&gt;=0,Sync!$K520&lt;1),RIGHT("00"&amp;HOUR(Sync!$K520),2)&amp;RIGHT("00"&amp;MINUTE(Sync!$K520),2),IFERROR(RIGHT("00"&amp;VALUE(LEFT(Sync!$K520,FIND(":",Sync!$K520)-1)),2)&amp;RIGHT("00"&amp;VALUE(MID(Sync!$K520,FIND(":",Sync!$K520)+1,2)),2),"0000")))&amp;"|"&amp;"2"&amp;RIGHT("00000"&amp;515,5))</f>
        <v/>
      </c>
      <c r="Q520" t="str">
        <f>IF(Sync!$J520="","",IF(ISNUMBER(Sync!$J520),IF(AND(Sync!$J520&gt;=10000101,Sync!$J520&lt;=99991231),INT(Sync!$J520/10000)&amp;"/"&amp;RIGHT("00"&amp;INT(MOD(Sync!$J520,10000)/100),2)&amp;"/"&amp;RIGHT("00"&amp;MOD(Sync!$J520,100),2),"نامعتبر"),IF(LEN(Sync!$J520)=10,Sync!$J520,"نامعتبر")))</f>
        <v/>
      </c>
      <c r="R520" t="str">
        <f t="shared" si="60"/>
        <v/>
      </c>
      <c r="S520" t="str">
        <f t="shared" si="61"/>
        <v/>
      </c>
      <c r="T520" t="str">
        <f>IF($N520="","",IF(Sync!$N520="",0,Sync!$N520))</f>
        <v/>
      </c>
      <c r="U520" t="str">
        <f>IF($N520="","",IF(Sync!$O520="",0,Sync!$O520))</f>
        <v/>
      </c>
      <c r="V520" t="str">
        <f>IF($N520="","",Sync!$L520)</f>
        <v/>
      </c>
      <c r="W520" t="str">
        <f>IF($N520="","",Sync!$P520)</f>
        <v/>
      </c>
      <c r="AA520" t="str">
        <f>IF($A520="","",IF(COUNTIF($A$6:$A520,$A520)=1,1,0))</f>
        <v/>
      </c>
      <c r="AB520">
        <f>SUM($AA$6:$AA520)</f>
        <v>3</v>
      </c>
      <c r="AC520" t="str">
        <f t="shared" si="62"/>
        <v/>
      </c>
    </row>
    <row r="521" spans="1:29" x14ac:dyDescent="0.2">
      <c r="A521" t="str">
        <f>IF(OR(Entry!$B524="",Entry!$E524="",$E521="نامعتبر"),"",Entry!$E524)</f>
        <v/>
      </c>
      <c r="B521" t="str">
        <f>IF($A521="","",LEFT($E521,4)&amp;MID($E521,6,2)&amp;RIGHT($E521,2)&amp;$F521&amp;"|"&amp;"1"&amp;RIGHT("00000"&amp;516,5))</f>
        <v/>
      </c>
      <c r="C521" t="str">
        <f t="shared" si="56"/>
        <v/>
      </c>
      <c r="D521" t="str">
        <f t="shared" si="57"/>
        <v/>
      </c>
      <c r="E521" t="str">
        <f>IF(Entry!$B524="","",IF(ISNUMBER(Entry!$B524),IF(AND(Entry!$B524&gt;=10000101,Entry!$B524&lt;=99991231),INT(Entry!$B524/10000)&amp;"/"&amp;RIGHT("00"&amp;INT(MOD(Entry!$B524,10000)/100),2)&amp;"/"&amp;RIGHT("00"&amp;MOD(Entry!$B524,100),2),"نامعتبر"),IF(LEN(Entry!$B524)=10,Entry!$B524,"نامعتبر")))</f>
        <v/>
      </c>
      <c r="F521" t="str">
        <f>IF(Entry!$B524="","",IF(Entry!$C524="","0000",IF(AND(ISNUMBER(Entry!$C524),Entry!$C524&gt;=0,Entry!$C524&lt;1),RIGHT("00"&amp;HOUR(Entry!$C524),2)&amp;RIGHT("00"&amp;MINUTE(Entry!$C524),2),IFERROR(RIGHT("00"&amp;VALUE(LEFT(Entry!$C524,FIND(":",Entry!$C524)-1)),2)&amp;RIGHT("00"&amp;VALUE(MID(Entry!$C524,FIND(":",Entry!$C524)+1,2)),2),"0000"))))</f>
        <v/>
      </c>
      <c r="G521" t="str">
        <f>IF($A521="","",Entry!$G524)</f>
        <v/>
      </c>
      <c r="H521" t="str">
        <f>IF($A521="","",IF(Entry!$H524="",0,Entry!$H524))</f>
        <v/>
      </c>
      <c r="I521" t="str">
        <f>IF($A521="","",IF(Entry!$I524="",0,Entry!$I524))</f>
        <v/>
      </c>
      <c r="J521" t="str">
        <f t="shared" si="58"/>
        <v/>
      </c>
      <c r="K521" t="str">
        <f>IF($A521="","",Entry!$D524)</f>
        <v/>
      </c>
      <c r="L521" t="str">
        <f>IF($A521="","",Entry!$L524)</f>
        <v/>
      </c>
      <c r="N521" t="str">
        <f>IF(OR(Sync!$M521="",$Q521="",$Q521="نامعتبر"),"",Sync!$M521)</f>
        <v/>
      </c>
      <c r="O521" t="str">
        <f t="shared" si="59"/>
        <v/>
      </c>
      <c r="P521" t="str">
        <f>IF($N521="","",LEFT($Q521,4)&amp;MID($Q521,6,2)&amp;RIGHT($Q521,2)&amp;IF(Sync!$K521="","0000",IF(AND(ISNUMBER(Sync!$K521),Sync!$K521&gt;=0,Sync!$K521&lt;1),RIGHT("00"&amp;HOUR(Sync!$K521),2)&amp;RIGHT("00"&amp;MINUTE(Sync!$K521),2),IFERROR(RIGHT("00"&amp;VALUE(LEFT(Sync!$K521,FIND(":",Sync!$K521)-1)),2)&amp;RIGHT("00"&amp;VALUE(MID(Sync!$K521,FIND(":",Sync!$K521)+1,2)),2),"0000")))&amp;"|"&amp;"2"&amp;RIGHT("00000"&amp;516,5))</f>
        <v/>
      </c>
      <c r="Q521" t="str">
        <f>IF(Sync!$J521="","",IF(ISNUMBER(Sync!$J521),IF(AND(Sync!$J521&gt;=10000101,Sync!$J521&lt;=99991231),INT(Sync!$J521/10000)&amp;"/"&amp;RIGHT("00"&amp;INT(MOD(Sync!$J521,10000)/100),2)&amp;"/"&amp;RIGHT("00"&amp;MOD(Sync!$J521,100),2),"نامعتبر"),IF(LEN(Sync!$J521)=10,Sync!$J521,"نامعتبر")))</f>
        <v/>
      </c>
      <c r="R521" t="str">
        <f t="shared" si="60"/>
        <v/>
      </c>
      <c r="S521" t="str">
        <f t="shared" si="61"/>
        <v/>
      </c>
      <c r="T521" t="str">
        <f>IF($N521="","",IF(Sync!$N521="",0,Sync!$N521))</f>
        <v/>
      </c>
      <c r="U521" t="str">
        <f>IF($N521="","",IF(Sync!$O521="",0,Sync!$O521))</f>
        <v/>
      </c>
      <c r="V521" t="str">
        <f>IF($N521="","",Sync!$L521)</f>
        <v/>
      </c>
      <c r="W521" t="str">
        <f>IF($N521="","",Sync!$P521)</f>
        <v/>
      </c>
      <c r="AA521" t="str">
        <f>IF($A521="","",IF(COUNTIF($A$6:$A521,$A521)=1,1,0))</f>
        <v/>
      </c>
      <c r="AB521">
        <f>SUM($AA$6:$AA521)</f>
        <v>3</v>
      </c>
      <c r="AC521" t="str">
        <f t="shared" si="62"/>
        <v/>
      </c>
    </row>
    <row r="522" spans="1:29" x14ac:dyDescent="0.2">
      <c r="A522" t="str">
        <f>IF(OR(Entry!$B525="",Entry!$E525="",$E522="نامعتبر"),"",Entry!$E525)</f>
        <v/>
      </c>
      <c r="B522" t="str">
        <f>IF($A522="","",LEFT($E522,4)&amp;MID($E522,6,2)&amp;RIGHT($E522,2)&amp;$F522&amp;"|"&amp;"1"&amp;RIGHT("00000"&amp;517,5))</f>
        <v/>
      </c>
      <c r="C522" t="str">
        <f t="shared" si="56"/>
        <v/>
      </c>
      <c r="D522" t="str">
        <f t="shared" si="57"/>
        <v/>
      </c>
      <c r="E522" t="str">
        <f>IF(Entry!$B525="","",IF(ISNUMBER(Entry!$B525),IF(AND(Entry!$B525&gt;=10000101,Entry!$B525&lt;=99991231),INT(Entry!$B525/10000)&amp;"/"&amp;RIGHT("00"&amp;INT(MOD(Entry!$B525,10000)/100),2)&amp;"/"&amp;RIGHT("00"&amp;MOD(Entry!$B525,100),2),"نامعتبر"),IF(LEN(Entry!$B525)=10,Entry!$B525,"نامعتبر")))</f>
        <v/>
      </c>
      <c r="F522" t="str">
        <f>IF(Entry!$B525="","",IF(Entry!$C525="","0000",IF(AND(ISNUMBER(Entry!$C525),Entry!$C525&gt;=0,Entry!$C525&lt;1),RIGHT("00"&amp;HOUR(Entry!$C525),2)&amp;RIGHT("00"&amp;MINUTE(Entry!$C525),2),IFERROR(RIGHT("00"&amp;VALUE(LEFT(Entry!$C525,FIND(":",Entry!$C525)-1)),2)&amp;RIGHT("00"&amp;VALUE(MID(Entry!$C525,FIND(":",Entry!$C525)+1,2)),2),"0000"))))</f>
        <v/>
      </c>
      <c r="G522" t="str">
        <f>IF($A522="","",Entry!$G525)</f>
        <v/>
      </c>
      <c r="H522" t="str">
        <f>IF($A522="","",IF(Entry!$H525="",0,Entry!$H525))</f>
        <v/>
      </c>
      <c r="I522" t="str">
        <f>IF($A522="","",IF(Entry!$I525="",0,Entry!$I525))</f>
        <v/>
      </c>
      <c r="J522" t="str">
        <f t="shared" si="58"/>
        <v/>
      </c>
      <c r="K522" t="str">
        <f>IF($A522="","",Entry!$D525)</f>
        <v/>
      </c>
      <c r="L522" t="str">
        <f>IF($A522="","",Entry!$L525)</f>
        <v/>
      </c>
      <c r="N522" t="str">
        <f>IF(OR(Sync!$M522="",$Q522="",$Q522="نامعتبر"),"",Sync!$M522)</f>
        <v/>
      </c>
      <c r="O522" t="str">
        <f t="shared" si="59"/>
        <v/>
      </c>
      <c r="P522" t="str">
        <f>IF($N522="","",LEFT($Q522,4)&amp;MID($Q522,6,2)&amp;RIGHT($Q522,2)&amp;IF(Sync!$K522="","0000",IF(AND(ISNUMBER(Sync!$K522),Sync!$K522&gt;=0,Sync!$K522&lt;1),RIGHT("00"&amp;HOUR(Sync!$K522),2)&amp;RIGHT("00"&amp;MINUTE(Sync!$K522),2),IFERROR(RIGHT("00"&amp;VALUE(LEFT(Sync!$K522,FIND(":",Sync!$K522)-1)),2)&amp;RIGHT("00"&amp;VALUE(MID(Sync!$K522,FIND(":",Sync!$K522)+1,2)),2),"0000")))&amp;"|"&amp;"2"&amp;RIGHT("00000"&amp;517,5))</f>
        <v/>
      </c>
      <c r="Q522" t="str">
        <f>IF(Sync!$J522="","",IF(ISNUMBER(Sync!$J522),IF(AND(Sync!$J522&gt;=10000101,Sync!$J522&lt;=99991231),INT(Sync!$J522/10000)&amp;"/"&amp;RIGHT("00"&amp;INT(MOD(Sync!$J522,10000)/100),2)&amp;"/"&amp;RIGHT("00"&amp;MOD(Sync!$J522,100),2),"نامعتبر"),IF(LEN(Sync!$J522)=10,Sync!$J522,"نامعتبر")))</f>
        <v/>
      </c>
      <c r="R522" t="str">
        <f t="shared" si="60"/>
        <v/>
      </c>
      <c r="S522" t="str">
        <f t="shared" si="61"/>
        <v/>
      </c>
      <c r="T522" t="str">
        <f>IF($N522="","",IF(Sync!$N522="",0,Sync!$N522))</f>
        <v/>
      </c>
      <c r="U522" t="str">
        <f>IF($N522="","",IF(Sync!$O522="",0,Sync!$O522))</f>
        <v/>
      </c>
      <c r="V522" t="str">
        <f>IF($N522="","",Sync!$L522)</f>
        <v/>
      </c>
      <c r="W522" t="str">
        <f>IF($N522="","",Sync!$P522)</f>
        <v/>
      </c>
      <c r="AA522" t="str">
        <f>IF($A522="","",IF(COUNTIF($A$6:$A522,$A522)=1,1,0))</f>
        <v/>
      </c>
      <c r="AB522">
        <f>SUM($AA$6:$AA522)</f>
        <v>3</v>
      </c>
      <c r="AC522" t="str">
        <f t="shared" si="62"/>
        <v/>
      </c>
    </row>
    <row r="523" spans="1:29" x14ac:dyDescent="0.2">
      <c r="A523" t="str">
        <f>IF(OR(Entry!$B526="",Entry!$E526="",$E523="نامعتبر"),"",Entry!$E526)</f>
        <v/>
      </c>
      <c r="B523" t="str">
        <f>IF($A523="","",LEFT($E523,4)&amp;MID($E523,6,2)&amp;RIGHT($E523,2)&amp;$F523&amp;"|"&amp;"1"&amp;RIGHT("00000"&amp;518,5))</f>
        <v/>
      </c>
      <c r="C523" t="str">
        <f t="shared" si="56"/>
        <v/>
      </c>
      <c r="D523" t="str">
        <f t="shared" si="57"/>
        <v/>
      </c>
      <c r="E523" t="str">
        <f>IF(Entry!$B526="","",IF(ISNUMBER(Entry!$B526),IF(AND(Entry!$B526&gt;=10000101,Entry!$B526&lt;=99991231),INT(Entry!$B526/10000)&amp;"/"&amp;RIGHT("00"&amp;INT(MOD(Entry!$B526,10000)/100),2)&amp;"/"&amp;RIGHT("00"&amp;MOD(Entry!$B526,100),2),"نامعتبر"),IF(LEN(Entry!$B526)=10,Entry!$B526,"نامعتبر")))</f>
        <v/>
      </c>
      <c r="F523" t="str">
        <f>IF(Entry!$B526="","",IF(Entry!$C526="","0000",IF(AND(ISNUMBER(Entry!$C526),Entry!$C526&gt;=0,Entry!$C526&lt;1),RIGHT("00"&amp;HOUR(Entry!$C526),2)&amp;RIGHT("00"&amp;MINUTE(Entry!$C526),2),IFERROR(RIGHT("00"&amp;VALUE(LEFT(Entry!$C526,FIND(":",Entry!$C526)-1)),2)&amp;RIGHT("00"&amp;VALUE(MID(Entry!$C526,FIND(":",Entry!$C526)+1,2)),2),"0000"))))</f>
        <v/>
      </c>
      <c r="G523" t="str">
        <f>IF($A523="","",Entry!$G526)</f>
        <v/>
      </c>
      <c r="H523" t="str">
        <f>IF($A523="","",IF(Entry!$H526="",0,Entry!$H526))</f>
        <v/>
      </c>
      <c r="I523" t="str">
        <f>IF($A523="","",IF(Entry!$I526="",0,Entry!$I526))</f>
        <v/>
      </c>
      <c r="J523" t="str">
        <f t="shared" si="58"/>
        <v/>
      </c>
      <c r="K523" t="str">
        <f>IF($A523="","",Entry!$D526)</f>
        <v/>
      </c>
      <c r="L523" t="str">
        <f>IF($A523="","",Entry!$L526)</f>
        <v/>
      </c>
      <c r="N523" t="str">
        <f>IF(OR(Sync!$M523="",$Q523="",$Q523="نامعتبر"),"",Sync!$M523)</f>
        <v/>
      </c>
      <c r="O523" t="str">
        <f t="shared" si="59"/>
        <v/>
      </c>
      <c r="P523" t="str">
        <f>IF($N523="","",LEFT($Q523,4)&amp;MID($Q523,6,2)&amp;RIGHT($Q523,2)&amp;IF(Sync!$K523="","0000",IF(AND(ISNUMBER(Sync!$K523),Sync!$K523&gt;=0,Sync!$K523&lt;1),RIGHT("00"&amp;HOUR(Sync!$K523),2)&amp;RIGHT("00"&amp;MINUTE(Sync!$K523),2),IFERROR(RIGHT("00"&amp;VALUE(LEFT(Sync!$K523,FIND(":",Sync!$K523)-1)),2)&amp;RIGHT("00"&amp;VALUE(MID(Sync!$K523,FIND(":",Sync!$K523)+1,2)),2),"0000")))&amp;"|"&amp;"2"&amp;RIGHT("00000"&amp;518,5))</f>
        <v/>
      </c>
      <c r="Q523" t="str">
        <f>IF(Sync!$J523="","",IF(ISNUMBER(Sync!$J523),IF(AND(Sync!$J523&gt;=10000101,Sync!$J523&lt;=99991231),INT(Sync!$J523/10000)&amp;"/"&amp;RIGHT("00"&amp;INT(MOD(Sync!$J523,10000)/100),2)&amp;"/"&amp;RIGHT("00"&amp;MOD(Sync!$J523,100),2),"نامعتبر"),IF(LEN(Sync!$J523)=10,Sync!$J523,"نامعتبر")))</f>
        <v/>
      </c>
      <c r="R523" t="str">
        <f t="shared" si="60"/>
        <v/>
      </c>
      <c r="S523" t="str">
        <f t="shared" si="61"/>
        <v/>
      </c>
      <c r="T523" t="str">
        <f>IF($N523="","",IF(Sync!$N523="",0,Sync!$N523))</f>
        <v/>
      </c>
      <c r="U523" t="str">
        <f>IF($N523="","",IF(Sync!$O523="",0,Sync!$O523))</f>
        <v/>
      </c>
      <c r="V523" t="str">
        <f>IF($N523="","",Sync!$L523)</f>
        <v/>
      </c>
      <c r="W523" t="str">
        <f>IF($N523="","",Sync!$P523)</f>
        <v/>
      </c>
      <c r="AA523" t="str">
        <f>IF($A523="","",IF(COUNTIF($A$6:$A523,$A523)=1,1,0))</f>
        <v/>
      </c>
      <c r="AB523">
        <f>SUM($AA$6:$AA523)</f>
        <v>3</v>
      </c>
      <c r="AC523" t="str">
        <f t="shared" si="62"/>
        <v/>
      </c>
    </row>
    <row r="524" spans="1:29" x14ac:dyDescent="0.2">
      <c r="A524" t="str">
        <f>IF(OR(Entry!$B527="",Entry!$E527="",$E524="نامعتبر"),"",Entry!$E527)</f>
        <v/>
      </c>
      <c r="B524" t="str">
        <f>IF($A524="","",LEFT($E524,4)&amp;MID($E524,6,2)&amp;RIGHT($E524,2)&amp;$F524&amp;"|"&amp;"1"&amp;RIGHT("00000"&amp;519,5))</f>
        <v/>
      </c>
      <c r="C524" t="str">
        <f t="shared" si="56"/>
        <v/>
      </c>
      <c r="D524" t="str">
        <f t="shared" si="57"/>
        <v/>
      </c>
      <c r="E524" t="str">
        <f>IF(Entry!$B527="","",IF(ISNUMBER(Entry!$B527),IF(AND(Entry!$B527&gt;=10000101,Entry!$B527&lt;=99991231),INT(Entry!$B527/10000)&amp;"/"&amp;RIGHT("00"&amp;INT(MOD(Entry!$B527,10000)/100),2)&amp;"/"&amp;RIGHT("00"&amp;MOD(Entry!$B527,100),2),"نامعتبر"),IF(LEN(Entry!$B527)=10,Entry!$B527,"نامعتبر")))</f>
        <v/>
      </c>
      <c r="F524" t="str">
        <f>IF(Entry!$B527="","",IF(Entry!$C527="","0000",IF(AND(ISNUMBER(Entry!$C527),Entry!$C527&gt;=0,Entry!$C527&lt;1),RIGHT("00"&amp;HOUR(Entry!$C527),2)&amp;RIGHT("00"&amp;MINUTE(Entry!$C527),2),IFERROR(RIGHT("00"&amp;VALUE(LEFT(Entry!$C527,FIND(":",Entry!$C527)-1)),2)&amp;RIGHT("00"&amp;VALUE(MID(Entry!$C527,FIND(":",Entry!$C527)+1,2)),2),"0000"))))</f>
        <v/>
      </c>
      <c r="G524" t="str">
        <f>IF($A524="","",Entry!$G527)</f>
        <v/>
      </c>
      <c r="H524" t="str">
        <f>IF($A524="","",IF(Entry!$H527="",0,Entry!$H527))</f>
        <v/>
      </c>
      <c r="I524" t="str">
        <f>IF($A524="","",IF(Entry!$I527="",0,Entry!$I527))</f>
        <v/>
      </c>
      <c r="J524" t="str">
        <f t="shared" si="58"/>
        <v/>
      </c>
      <c r="K524" t="str">
        <f>IF($A524="","",Entry!$D527)</f>
        <v/>
      </c>
      <c r="L524" t="str">
        <f>IF($A524="","",Entry!$L527)</f>
        <v/>
      </c>
      <c r="N524" t="str">
        <f>IF(OR(Sync!$M524="",$Q524="",$Q524="نامعتبر"),"",Sync!$M524)</f>
        <v/>
      </c>
      <c r="O524" t="str">
        <f t="shared" si="59"/>
        <v/>
      </c>
      <c r="P524" t="str">
        <f>IF($N524="","",LEFT($Q524,4)&amp;MID($Q524,6,2)&amp;RIGHT($Q524,2)&amp;IF(Sync!$K524="","0000",IF(AND(ISNUMBER(Sync!$K524),Sync!$K524&gt;=0,Sync!$K524&lt;1),RIGHT("00"&amp;HOUR(Sync!$K524),2)&amp;RIGHT("00"&amp;MINUTE(Sync!$K524),2),IFERROR(RIGHT("00"&amp;VALUE(LEFT(Sync!$K524,FIND(":",Sync!$K524)-1)),2)&amp;RIGHT("00"&amp;VALUE(MID(Sync!$K524,FIND(":",Sync!$K524)+1,2)),2),"0000")))&amp;"|"&amp;"2"&amp;RIGHT("00000"&amp;519,5))</f>
        <v/>
      </c>
      <c r="Q524" t="str">
        <f>IF(Sync!$J524="","",IF(ISNUMBER(Sync!$J524),IF(AND(Sync!$J524&gt;=10000101,Sync!$J524&lt;=99991231),INT(Sync!$J524/10000)&amp;"/"&amp;RIGHT("00"&amp;INT(MOD(Sync!$J524,10000)/100),2)&amp;"/"&amp;RIGHT("00"&amp;MOD(Sync!$J524,100),2),"نامعتبر"),IF(LEN(Sync!$J524)=10,Sync!$J524,"نامعتبر")))</f>
        <v/>
      </c>
      <c r="R524" t="str">
        <f t="shared" si="60"/>
        <v/>
      </c>
      <c r="S524" t="str">
        <f t="shared" si="61"/>
        <v/>
      </c>
      <c r="T524" t="str">
        <f>IF($N524="","",IF(Sync!$N524="",0,Sync!$N524))</f>
        <v/>
      </c>
      <c r="U524" t="str">
        <f>IF($N524="","",IF(Sync!$O524="",0,Sync!$O524))</f>
        <v/>
      </c>
      <c r="V524" t="str">
        <f>IF($N524="","",Sync!$L524)</f>
        <v/>
      </c>
      <c r="W524" t="str">
        <f>IF($N524="","",Sync!$P524)</f>
        <v/>
      </c>
      <c r="AA524" t="str">
        <f>IF($A524="","",IF(COUNTIF($A$6:$A524,$A524)=1,1,0))</f>
        <v/>
      </c>
      <c r="AB524">
        <f>SUM($AA$6:$AA524)</f>
        <v>3</v>
      </c>
      <c r="AC524" t="str">
        <f t="shared" si="62"/>
        <v/>
      </c>
    </row>
    <row r="525" spans="1:29" x14ac:dyDescent="0.2">
      <c r="A525" t="str">
        <f>IF(OR(Entry!$B528="",Entry!$E528="",$E525="نامعتبر"),"",Entry!$E528)</f>
        <v/>
      </c>
      <c r="B525" t="str">
        <f>IF($A525="","",LEFT($E525,4)&amp;MID($E525,6,2)&amp;RIGHT($E525,2)&amp;$F525&amp;"|"&amp;"1"&amp;RIGHT("00000"&amp;520,5))</f>
        <v/>
      </c>
      <c r="C525" t="str">
        <f t="shared" si="56"/>
        <v/>
      </c>
      <c r="D525" t="str">
        <f t="shared" si="57"/>
        <v/>
      </c>
      <c r="E525" t="str">
        <f>IF(Entry!$B528="","",IF(ISNUMBER(Entry!$B528),IF(AND(Entry!$B528&gt;=10000101,Entry!$B528&lt;=99991231),INT(Entry!$B528/10000)&amp;"/"&amp;RIGHT("00"&amp;INT(MOD(Entry!$B528,10000)/100),2)&amp;"/"&amp;RIGHT("00"&amp;MOD(Entry!$B528,100),2),"نامعتبر"),IF(LEN(Entry!$B528)=10,Entry!$B528,"نامعتبر")))</f>
        <v/>
      </c>
      <c r="F525" t="str">
        <f>IF(Entry!$B528="","",IF(Entry!$C528="","0000",IF(AND(ISNUMBER(Entry!$C528),Entry!$C528&gt;=0,Entry!$C528&lt;1),RIGHT("00"&amp;HOUR(Entry!$C528),2)&amp;RIGHT("00"&amp;MINUTE(Entry!$C528),2),IFERROR(RIGHT("00"&amp;VALUE(LEFT(Entry!$C528,FIND(":",Entry!$C528)-1)),2)&amp;RIGHT("00"&amp;VALUE(MID(Entry!$C528,FIND(":",Entry!$C528)+1,2)),2),"0000"))))</f>
        <v/>
      </c>
      <c r="G525" t="str">
        <f>IF($A525="","",Entry!$G528)</f>
        <v/>
      </c>
      <c r="H525" t="str">
        <f>IF($A525="","",IF(Entry!$H528="",0,Entry!$H528))</f>
        <v/>
      </c>
      <c r="I525" t="str">
        <f>IF($A525="","",IF(Entry!$I528="",0,Entry!$I528))</f>
        <v/>
      </c>
      <c r="J525" t="str">
        <f t="shared" si="58"/>
        <v/>
      </c>
      <c r="K525" t="str">
        <f>IF($A525="","",Entry!$D528)</f>
        <v/>
      </c>
      <c r="L525" t="str">
        <f>IF($A525="","",Entry!$L528)</f>
        <v/>
      </c>
      <c r="N525" t="str">
        <f>IF(OR(Sync!$M525="",$Q525="",$Q525="نامعتبر"),"",Sync!$M525)</f>
        <v/>
      </c>
      <c r="O525" t="str">
        <f t="shared" si="59"/>
        <v/>
      </c>
      <c r="P525" t="str">
        <f>IF($N525="","",LEFT($Q525,4)&amp;MID($Q525,6,2)&amp;RIGHT($Q525,2)&amp;IF(Sync!$K525="","0000",IF(AND(ISNUMBER(Sync!$K525),Sync!$K525&gt;=0,Sync!$K525&lt;1),RIGHT("00"&amp;HOUR(Sync!$K525),2)&amp;RIGHT("00"&amp;MINUTE(Sync!$K525),2),IFERROR(RIGHT("00"&amp;VALUE(LEFT(Sync!$K525,FIND(":",Sync!$K525)-1)),2)&amp;RIGHT("00"&amp;VALUE(MID(Sync!$K525,FIND(":",Sync!$K525)+1,2)),2),"0000")))&amp;"|"&amp;"2"&amp;RIGHT("00000"&amp;520,5))</f>
        <v/>
      </c>
      <c r="Q525" t="str">
        <f>IF(Sync!$J525="","",IF(ISNUMBER(Sync!$J525),IF(AND(Sync!$J525&gt;=10000101,Sync!$J525&lt;=99991231),INT(Sync!$J525/10000)&amp;"/"&amp;RIGHT("00"&amp;INT(MOD(Sync!$J525,10000)/100),2)&amp;"/"&amp;RIGHT("00"&amp;MOD(Sync!$J525,100),2),"نامعتبر"),IF(LEN(Sync!$J525)=10,Sync!$J525,"نامعتبر")))</f>
        <v/>
      </c>
      <c r="R525" t="str">
        <f t="shared" si="60"/>
        <v/>
      </c>
      <c r="S525" t="str">
        <f t="shared" si="61"/>
        <v/>
      </c>
      <c r="T525" t="str">
        <f>IF($N525="","",IF(Sync!$N525="",0,Sync!$N525))</f>
        <v/>
      </c>
      <c r="U525" t="str">
        <f>IF($N525="","",IF(Sync!$O525="",0,Sync!$O525))</f>
        <v/>
      </c>
      <c r="V525" t="str">
        <f>IF($N525="","",Sync!$L525)</f>
        <v/>
      </c>
      <c r="W525" t="str">
        <f>IF($N525="","",Sync!$P525)</f>
        <v/>
      </c>
      <c r="AA525" t="str">
        <f>IF($A525="","",IF(COUNTIF($A$6:$A525,$A525)=1,1,0))</f>
        <v/>
      </c>
      <c r="AB525">
        <f>SUM($AA$6:$AA525)</f>
        <v>3</v>
      </c>
      <c r="AC525" t="str">
        <f t="shared" si="62"/>
        <v/>
      </c>
    </row>
    <row r="526" spans="1:29" x14ac:dyDescent="0.2">
      <c r="A526" t="str">
        <f>IF(OR(Entry!$B529="",Entry!$E529="",$E526="نامعتبر"),"",Entry!$E529)</f>
        <v/>
      </c>
      <c r="B526" t="str">
        <f>IF($A526="","",LEFT($E526,4)&amp;MID($E526,6,2)&amp;RIGHT($E526,2)&amp;$F526&amp;"|"&amp;"1"&amp;RIGHT("00000"&amp;521,5))</f>
        <v/>
      </c>
      <c r="C526" t="str">
        <f t="shared" si="56"/>
        <v/>
      </c>
      <c r="D526" t="str">
        <f t="shared" si="57"/>
        <v/>
      </c>
      <c r="E526" t="str">
        <f>IF(Entry!$B529="","",IF(ISNUMBER(Entry!$B529),IF(AND(Entry!$B529&gt;=10000101,Entry!$B529&lt;=99991231),INT(Entry!$B529/10000)&amp;"/"&amp;RIGHT("00"&amp;INT(MOD(Entry!$B529,10000)/100),2)&amp;"/"&amp;RIGHT("00"&amp;MOD(Entry!$B529,100),2),"نامعتبر"),IF(LEN(Entry!$B529)=10,Entry!$B529,"نامعتبر")))</f>
        <v/>
      </c>
      <c r="F526" t="str">
        <f>IF(Entry!$B529="","",IF(Entry!$C529="","0000",IF(AND(ISNUMBER(Entry!$C529),Entry!$C529&gt;=0,Entry!$C529&lt;1),RIGHT("00"&amp;HOUR(Entry!$C529),2)&amp;RIGHT("00"&amp;MINUTE(Entry!$C529),2),IFERROR(RIGHT("00"&amp;VALUE(LEFT(Entry!$C529,FIND(":",Entry!$C529)-1)),2)&amp;RIGHT("00"&amp;VALUE(MID(Entry!$C529,FIND(":",Entry!$C529)+1,2)),2),"0000"))))</f>
        <v/>
      </c>
      <c r="G526" t="str">
        <f>IF($A526="","",Entry!$G529)</f>
        <v/>
      </c>
      <c r="H526" t="str">
        <f>IF($A526="","",IF(Entry!$H529="",0,Entry!$H529))</f>
        <v/>
      </c>
      <c r="I526" t="str">
        <f>IF($A526="","",IF(Entry!$I529="",0,Entry!$I529))</f>
        <v/>
      </c>
      <c r="J526" t="str">
        <f t="shared" si="58"/>
        <v/>
      </c>
      <c r="K526" t="str">
        <f>IF($A526="","",Entry!$D529)</f>
        <v/>
      </c>
      <c r="L526" t="str">
        <f>IF($A526="","",Entry!$L529)</f>
        <v/>
      </c>
      <c r="N526" t="str">
        <f>IF(OR(Sync!$M526="",$Q526="",$Q526="نامعتبر"),"",Sync!$M526)</f>
        <v/>
      </c>
      <c r="O526" t="str">
        <f t="shared" si="59"/>
        <v/>
      </c>
      <c r="P526" t="str">
        <f>IF($N526="","",LEFT($Q526,4)&amp;MID($Q526,6,2)&amp;RIGHT($Q526,2)&amp;IF(Sync!$K526="","0000",IF(AND(ISNUMBER(Sync!$K526),Sync!$K526&gt;=0,Sync!$K526&lt;1),RIGHT("00"&amp;HOUR(Sync!$K526),2)&amp;RIGHT("00"&amp;MINUTE(Sync!$K526),2),IFERROR(RIGHT("00"&amp;VALUE(LEFT(Sync!$K526,FIND(":",Sync!$K526)-1)),2)&amp;RIGHT("00"&amp;VALUE(MID(Sync!$K526,FIND(":",Sync!$K526)+1,2)),2),"0000")))&amp;"|"&amp;"2"&amp;RIGHT("00000"&amp;521,5))</f>
        <v/>
      </c>
      <c r="Q526" t="str">
        <f>IF(Sync!$J526="","",IF(ISNUMBER(Sync!$J526),IF(AND(Sync!$J526&gt;=10000101,Sync!$J526&lt;=99991231),INT(Sync!$J526/10000)&amp;"/"&amp;RIGHT("00"&amp;INT(MOD(Sync!$J526,10000)/100),2)&amp;"/"&amp;RIGHT("00"&amp;MOD(Sync!$J526,100),2),"نامعتبر"),IF(LEN(Sync!$J526)=10,Sync!$J526,"نامعتبر")))</f>
        <v/>
      </c>
      <c r="R526" t="str">
        <f t="shared" si="60"/>
        <v/>
      </c>
      <c r="S526" t="str">
        <f t="shared" si="61"/>
        <v/>
      </c>
      <c r="T526" t="str">
        <f>IF($N526="","",IF(Sync!$N526="",0,Sync!$N526))</f>
        <v/>
      </c>
      <c r="U526" t="str">
        <f>IF($N526="","",IF(Sync!$O526="",0,Sync!$O526))</f>
        <v/>
      </c>
      <c r="V526" t="str">
        <f>IF($N526="","",Sync!$L526)</f>
        <v/>
      </c>
      <c r="W526" t="str">
        <f>IF($N526="","",Sync!$P526)</f>
        <v/>
      </c>
      <c r="AA526" t="str">
        <f>IF($A526="","",IF(COUNTIF($A$6:$A526,$A526)=1,1,0))</f>
        <v/>
      </c>
      <c r="AB526">
        <f>SUM($AA$6:$AA526)</f>
        <v>3</v>
      </c>
      <c r="AC526" t="str">
        <f t="shared" si="62"/>
        <v/>
      </c>
    </row>
    <row r="527" spans="1:29" x14ac:dyDescent="0.2">
      <c r="A527" t="str">
        <f>IF(OR(Entry!$B530="",Entry!$E530="",$E527="نامعتبر"),"",Entry!$E530)</f>
        <v/>
      </c>
      <c r="B527" t="str">
        <f>IF($A527="","",LEFT($E527,4)&amp;MID($E527,6,2)&amp;RIGHT($E527,2)&amp;$F527&amp;"|"&amp;"1"&amp;RIGHT("00000"&amp;522,5))</f>
        <v/>
      </c>
      <c r="C527" t="str">
        <f t="shared" si="56"/>
        <v/>
      </c>
      <c r="D527" t="str">
        <f t="shared" si="57"/>
        <v/>
      </c>
      <c r="E527" t="str">
        <f>IF(Entry!$B530="","",IF(ISNUMBER(Entry!$B530),IF(AND(Entry!$B530&gt;=10000101,Entry!$B530&lt;=99991231),INT(Entry!$B530/10000)&amp;"/"&amp;RIGHT("00"&amp;INT(MOD(Entry!$B530,10000)/100),2)&amp;"/"&amp;RIGHT("00"&amp;MOD(Entry!$B530,100),2),"نامعتبر"),IF(LEN(Entry!$B530)=10,Entry!$B530,"نامعتبر")))</f>
        <v/>
      </c>
      <c r="F527" t="str">
        <f>IF(Entry!$B530="","",IF(Entry!$C530="","0000",IF(AND(ISNUMBER(Entry!$C530),Entry!$C530&gt;=0,Entry!$C530&lt;1),RIGHT("00"&amp;HOUR(Entry!$C530),2)&amp;RIGHT("00"&amp;MINUTE(Entry!$C530),2),IFERROR(RIGHT("00"&amp;VALUE(LEFT(Entry!$C530,FIND(":",Entry!$C530)-1)),2)&amp;RIGHT("00"&amp;VALUE(MID(Entry!$C530,FIND(":",Entry!$C530)+1,2)),2),"0000"))))</f>
        <v/>
      </c>
      <c r="G527" t="str">
        <f>IF($A527="","",Entry!$G530)</f>
        <v/>
      </c>
      <c r="H527" t="str">
        <f>IF($A527="","",IF(Entry!$H530="",0,Entry!$H530))</f>
        <v/>
      </c>
      <c r="I527" t="str">
        <f>IF($A527="","",IF(Entry!$I530="",0,Entry!$I530))</f>
        <v/>
      </c>
      <c r="J527" t="str">
        <f t="shared" si="58"/>
        <v/>
      </c>
      <c r="K527" t="str">
        <f>IF($A527="","",Entry!$D530)</f>
        <v/>
      </c>
      <c r="L527" t="str">
        <f>IF($A527="","",Entry!$L530)</f>
        <v/>
      </c>
      <c r="N527" t="str">
        <f>IF(OR(Sync!$M527="",$Q527="",$Q527="نامعتبر"),"",Sync!$M527)</f>
        <v/>
      </c>
      <c r="O527" t="str">
        <f t="shared" si="59"/>
        <v/>
      </c>
      <c r="P527" t="str">
        <f>IF($N527="","",LEFT($Q527,4)&amp;MID($Q527,6,2)&amp;RIGHT($Q527,2)&amp;IF(Sync!$K527="","0000",IF(AND(ISNUMBER(Sync!$K527),Sync!$K527&gt;=0,Sync!$K527&lt;1),RIGHT("00"&amp;HOUR(Sync!$K527),2)&amp;RIGHT("00"&amp;MINUTE(Sync!$K527),2),IFERROR(RIGHT("00"&amp;VALUE(LEFT(Sync!$K527,FIND(":",Sync!$K527)-1)),2)&amp;RIGHT("00"&amp;VALUE(MID(Sync!$K527,FIND(":",Sync!$K527)+1,2)),2),"0000")))&amp;"|"&amp;"2"&amp;RIGHT("00000"&amp;522,5))</f>
        <v/>
      </c>
      <c r="Q527" t="str">
        <f>IF(Sync!$J527="","",IF(ISNUMBER(Sync!$J527),IF(AND(Sync!$J527&gt;=10000101,Sync!$J527&lt;=99991231),INT(Sync!$J527/10000)&amp;"/"&amp;RIGHT("00"&amp;INT(MOD(Sync!$J527,10000)/100),2)&amp;"/"&amp;RIGHT("00"&amp;MOD(Sync!$J527,100),2),"نامعتبر"),IF(LEN(Sync!$J527)=10,Sync!$J527,"نامعتبر")))</f>
        <v/>
      </c>
      <c r="R527" t="str">
        <f t="shared" si="60"/>
        <v/>
      </c>
      <c r="S527" t="str">
        <f t="shared" si="61"/>
        <v/>
      </c>
      <c r="T527" t="str">
        <f>IF($N527="","",IF(Sync!$N527="",0,Sync!$N527))</f>
        <v/>
      </c>
      <c r="U527" t="str">
        <f>IF($N527="","",IF(Sync!$O527="",0,Sync!$O527))</f>
        <v/>
      </c>
      <c r="V527" t="str">
        <f>IF($N527="","",Sync!$L527)</f>
        <v/>
      </c>
      <c r="W527" t="str">
        <f>IF($N527="","",Sync!$P527)</f>
        <v/>
      </c>
      <c r="AA527" t="str">
        <f>IF($A527="","",IF(COUNTIF($A$6:$A527,$A527)=1,1,0))</f>
        <v/>
      </c>
      <c r="AB527">
        <f>SUM($AA$6:$AA527)</f>
        <v>3</v>
      </c>
      <c r="AC527" t="str">
        <f t="shared" si="62"/>
        <v/>
      </c>
    </row>
    <row r="528" spans="1:29" x14ac:dyDescent="0.2">
      <c r="A528" t="str">
        <f>IF(OR(Entry!$B531="",Entry!$E531="",$E528="نامعتبر"),"",Entry!$E531)</f>
        <v/>
      </c>
      <c r="B528" t="str">
        <f>IF($A528="","",LEFT($E528,4)&amp;MID($E528,6,2)&amp;RIGHT($E528,2)&amp;$F528&amp;"|"&amp;"1"&amp;RIGHT("00000"&amp;523,5))</f>
        <v/>
      </c>
      <c r="C528" t="str">
        <f t="shared" si="56"/>
        <v/>
      </c>
      <c r="D528" t="str">
        <f t="shared" si="57"/>
        <v/>
      </c>
      <c r="E528" t="str">
        <f>IF(Entry!$B531="","",IF(ISNUMBER(Entry!$B531),IF(AND(Entry!$B531&gt;=10000101,Entry!$B531&lt;=99991231),INT(Entry!$B531/10000)&amp;"/"&amp;RIGHT("00"&amp;INT(MOD(Entry!$B531,10000)/100),2)&amp;"/"&amp;RIGHT("00"&amp;MOD(Entry!$B531,100),2),"نامعتبر"),IF(LEN(Entry!$B531)=10,Entry!$B531,"نامعتبر")))</f>
        <v/>
      </c>
      <c r="F528" t="str">
        <f>IF(Entry!$B531="","",IF(Entry!$C531="","0000",IF(AND(ISNUMBER(Entry!$C531),Entry!$C531&gt;=0,Entry!$C531&lt;1),RIGHT("00"&amp;HOUR(Entry!$C531),2)&amp;RIGHT("00"&amp;MINUTE(Entry!$C531),2),IFERROR(RIGHT("00"&amp;VALUE(LEFT(Entry!$C531,FIND(":",Entry!$C531)-1)),2)&amp;RIGHT("00"&amp;VALUE(MID(Entry!$C531,FIND(":",Entry!$C531)+1,2)),2),"0000"))))</f>
        <v/>
      </c>
      <c r="G528" t="str">
        <f>IF($A528="","",Entry!$G531)</f>
        <v/>
      </c>
      <c r="H528" t="str">
        <f>IF($A528="","",IF(Entry!$H531="",0,Entry!$H531))</f>
        <v/>
      </c>
      <c r="I528" t="str">
        <f>IF($A528="","",IF(Entry!$I531="",0,Entry!$I531))</f>
        <v/>
      </c>
      <c r="J528" t="str">
        <f t="shared" si="58"/>
        <v/>
      </c>
      <c r="K528" t="str">
        <f>IF($A528="","",Entry!$D531)</f>
        <v/>
      </c>
      <c r="L528" t="str">
        <f>IF($A528="","",Entry!$L531)</f>
        <v/>
      </c>
      <c r="N528" t="str">
        <f>IF(OR(Sync!$M528="",$Q528="",$Q528="نامعتبر"),"",Sync!$M528)</f>
        <v/>
      </c>
      <c r="O528" t="str">
        <f t="shared" si="59"/>
        <v/>
      </c>
      <c r="P528" t="str">
        <f>IF($N528="","",LEFT($Q528,4)&amp;MID($Q528,6,2)&amp;RIGHT($Q528,2)&amp;IF(Sync!$K528="","0000",IF(AND(ISNUMBER(Sync!$K528),Sync!$K528&gt;=0,Sync!$K528&lt;1),RIGHT("00"&amp;HOUR(Sync!$K528),2)&amp;RIGHT("00"&amp;MINUTE(Sync!$K528),2),IFERROR(RIGHT("00"&amp;VALUE(LEFT(Sync!$K528,FIND(":",Sync!$K528)-1)),2)&amp;RIGHT("00"&amp;VALUE(MID(Sync!$K528,FIND(":",Sync!$K528)+1,2)),2),"0000")))&amp;"|"&amp;"2"&amp;RIGHT("00000"&amp;523,5))</f>
        <v/>
      </c>
      <c r="Q528" t="str">
        <f>IF(Sync!$J528="","",IF(ISNUMBER(Sync!$J528),IF(AND(Sync!$J528&gt;=10000101,Sync!$J528&lt;=99991231),INT(Sync!$J528/10000)&amp;"/"&amp;RIGHT("00"&amp;INT(MOD(Sync!$J528,10000)/100),2)&amp;"/"&amp;RIGHT("00"&amp;MOD(Sync!$J528,100),2),"نامعتبر"),IF(LEN(Sync!$J528)=10,Sync!$J528,"نامعتبر")))</f>
        <v/>
      </c>
      <c r="R528" t="str">
        <f t="shared" si="60"/>
        <v/>
      </c>
      <c r="S528" t="str">
        <f t="shared" si="61"/>
        <v/>
      </c>
      <c r="T528" t="str">
        <f>IF($N528="","",IF(Sync!$N528="",0,Sync!$N528))</f>
        <v/>
      </c>
      <c r="U528" t="str">
        <f>IF($N528="","",IF(Sync!$O528="",0,Sync!$O528))</f>
        <v/>
      </c>
      <c r="V528" t="str">
        <f>IF($N528="","",Sync!$L528)</f>
        <v/>
      </c>
      <c r="W528" t="str">
        <f>IF($N528="","",Sync!$P528)</f>
        <v/>
      </c>
      <c r="AA528" t="str">
        <f>IF($A528="","",IF(COUNTIF($A$6:$A528,$A528)=1,1,0))</f>
        <v/>
      </c>
      <c r="AB528">
        <f>SUM($AA$6:$AA528)</f>
        <v>3</v>
      </c>
      <c r="AC528" t="str">
        <f t="shared" si="62"/>
        <v/>
      </c>
    </row>
    <row r="529" spans="1:29" x14ac:dyDescent="0.2">
      <c r="A529" t="str">
        <f>IF(OR(Entry!$B532="",Entry!$E532="",$E529="نامعتبر"),"",Entry!$E532)</f>
        <v/>
      </c>
      <c r="B529" t="str">
        <f>IF($A529="","",LEFT($E529,4)&amp;MID($E529,6,2)&amp;RIGHT($E529,2)&amp;$F529&amp;"|"&amp;"1"&amp;RIGHT("00000"&amp;524,5))</f>
        <v/>
      </c>
      <c r="C529" t="str">
        <f t="shared" si="56"/>
        <v/>
      </c>
      <c r="D529" t="str">
        <f t="shared" si="57"/>
        <v/>
      </c>
      <c r="E529" t="str">
        <f>IF(Entry!$B532="","",IF(ISNUMBER(Entry!$B532),IF(AND(Entry!$B532&gt;=10000101,Entry!$B532&lt;=99991231),INT(Entry!$B532/10000)&amp;"/"&amp;RIGHT("00"&amp;INT(MOD(Entry!$B532,10000)/100),2)&amp;"/"&amp;RIGHT("00"&amp;MOD(Entry!$B532,100),2),"نامعتبر"),IF(LEN(Entry!$B532)=10,Entry!$B532,"نامعتبر")))</f>
        <v/>
      </c>
      <c r="F529" t="str">
        <f>IF(Entry!$B532="","",IF(Entry!$C532="","0000",IF(AND(ISNUMBER(Entry!$C532),Entry!$C532&gt;=0,Entry!$C532&lt;1),RIGHT("00"&amp;HOUR(Entry!$C532),2)&amp;RIGHT("00"&amp;MINUTE(Entry!$C532),2),IFERROR(RIGHT("00"&amp;VALUE(LEFT(Entry!$C532,FIND(":",Entry!$C532)-1)),2)&amp;RIGHT("00"&amp;VALUE(MID(Entry!$C532,FIND(":",Entry!$C532)+1,2)),2),"0000"))))</f>
        <v/>
      </c>
      <c r="G529" t="str">
        <f>IF($A529="","",Entry!$G532)</f>
        <v/>
      </c>
      <c r="H529" t="str">
        <f>IF($A529="","",IF(Entry!$H532="",0,Entry!$H532))</f>
        <v/>
      </c>
      <c r="I529" t="str">
        <f>IF($A529="","",IF(Entry!$I532="",0,Entry!$I532))</f>
        <v/>
      </c>
      <c r="J529" t="str">
        <f t="shared" si="58"/>
        <v/>
      </c>
      <c r="K529" t="str">
        <f>IF($A529="","",Entry!$D532)</f>
        <v/>
      </c>
      <c r="L529" t="str">
        <f>IF($A529="","",Entry!$L532)</f>
        <v/>
      </c>
      <c r="N529" t="str">
        <f>IF(OR(Sync!$M529="",$Q529="",$Q529="نامعتبر"),"",Sync!$M529)</f>
        <v/>
      </c>
      <c r="O529" t="str">
        <f t="shared" si="59"/>
        <v/>
      </c>
      <c r="P529" t="str">
        <f>IF($N529="","",LEFT($Q529,4)&amp;MID($Q529,6,2)&amp;RIGHT($Q529,2)&amp;IF(Sync!$K529="","0000",IF(AND(ISNUMBER(Sync!$K529),Sync!$K529&gt;=0,Sync!$K529&lt;1),RIGHT("00"&amp;HOUR(Sync!$K529),2)&amp;RIGHT("00"&amp;MINUTE(Sync!$K529),2),IFERROR(RIGHT("00"&amp;VALUE(LEFT(Sync!$K529,FIND(":",Sync!$K529)-1)),2)&amp;RIGHT("00"&amp;VALUE(MID(Sync!$K529,FIND(":",Sync!$K529)+1,2)),2),"0000")))&amp;"|"&amp;"2"&amp;RIGHT("00000"&amp;524,5))</f>
        <v/>
      </c>
      <c r="Q529" t="str">
        <f>IF(Sync!$J529="","",IF(ISNUMBER(Sync!$J529),IF(AND(Sync!$J529&gt;=10000101,Sync!$J529&lt;=99991231),INT(Sync!$J529/10000)&amp;"/"&amp;RIGHT("00"&amp;INT(MOD(Sync!$J529,10000)/100),2)&amp;"/"&amp;RIGHT("00"&amp;MOD(Sync!$J529,100),2),"نامعتبر"),IF(LEN(Sync!$J529)=10,Sync!$J529,"نامعتبر")))</f>
        <v/>
      </c>
      <c r="R529" t="str">
        <f t="shared" si="60"/>
        <v/>
      </c>
      <c r="S529" t="str">
        <f t="shared" si="61"/>
        <v/>
      </c>
      <c r="T529" t="str">
        <f>IF($N529="","",IF(Sync!$N529="",0,Sync!$N529))</f>
        <v/>
      </c>
      <c r="U529" t="str">
        <f>IF($N529="","",IF(Sync!$O529="",0,Sync!$O529))</f>
        <v/>
      </c>
      <c r="V529" t="str">
        <f>IF($N529="","",Sync!$L529)</f>
        <v/>
      </c>
      <c r="W529" t="str">
        <f>IF($N529="","",Sync!$P529)</f>
        <v/>
      </c>
      <c r="AA529" t="str">
        <f>IF($A529="","",IF(COUNTIF($A$6:$A529,$A529)=1,1,0))</f>
        <v/>
      </c>
      <c r="AB529">
        <f>SUM($AA$6:$AA529)</f>
        <v>3</v>
      </c>
      <c r="AC529" t="str">
        <f t="shared" si="62"/>
        <v/>
      </c>
    </row>
    <row r="530" spans="1:29" x14ac:dyDescent="0.2">
      <c r="A530" t="str">
        <f>IF(OR(Entry!$B533="",Entry!$E533="",$E530="نامعتبر"),"",Entry!$E533)</f>
        <v/>
      </c>
      <c r="B530" t="str">
        <f>IF($A530="","",LEFT($E530,4)&amp;MID($E530,6,2)&amp;RIGHT($E530,2)&amp;$F530&amp;"|"&amp;"1"&amp;RIGHT("00000"&amp;525,5))</f>
        <v/>
      </c>
      <c r="C530" t="str">
        <f t="shared" si="56"/>
        <v/>
      </c>
      <c r="D530" t="str">
        <f t="shared" si="57"/>
        <v/>
      </c>
      <c r="E530" t="str">
        <f>IF(Entry!$B533="","",IF(ISNUMBER(Entry!$B533),IF(AND(Entry!$B533&gt;=10000101,Entry!$B533&lt;=99991231),INT(Entry!$B533/10000)&amp;"/"&amp;RIGHT("00"&amp;INT(MOD(Entry!$B533,10000)/100),2)&amp;"/"&amp;RIGHT("00"&amp;MOD(Entry!$B533,100),2),"نامعتبر"),IF(LEN(Entry!$B533)=10,Entry!$B533,"نامعتبر")))</f>
        <v/>
      </c>
      <c r="F530" t="str">
        <f>IF(Entry!$B533="","",IF(Entry!$C533="","0000",IF(AND(ISNUMBER(Entry!$C533),Entry!$C533&gt;=0,Entry!$C533&lt;1),RIGHT("00"&amp;HOUR(Entry!$C533),2)&amp;RIGHT("00"&amp;MINUTE(Entry!$C533),2),IFERROR(RIGHT("00"&amp;VALUE(LEFT(Entry!$C533,FIND(":",Entry!$C533)-1)),2)&amp;RIGHT("00"&amp;VALUE(MID(Entry!$C533,FIND(":",Entry!$C533)+1,2)),2),"0000"))))</f>
        <v/>
      </c>
      <c r="G530" t="str">
        <f>IF($A530="","",Entry!$G533)</f>
        <v/>
      </c>
      <c r="H530" t="str">
        <f>IF($A530="","",IF(Entry!$H533="",0,Entry!$H533))</f>
        <v/>
      </c>
      <c r="I530" t="str">
        <f>IF($A530="","",IF(Entry!$I533="",0,Entry!$I533))</f>
        <v/>
      </c>
      <c r="J530" t="str">
        <f t="shared" si="58"/>
        <v/>
      </c>
      <c r="K530" t="str">
        <f>IF($A530="","",Entry!$D533)</f>
        <v/>
      </c>
      <c r="L530" t="str">
        <f>IF($A530="","",Entry!$L533)</f>
        <v/>
      </c>
      <c r="N530" t="str">
        <f>IF(OR(Sync!$M530="",$Q530="",$Q530="نامعتبر"),"",Sync!$M530)</f>
        <v/>
      </c>
      <c r="O530" t="str">
        <f t="shared" si="59"/>
        <v/>
      </c>
      <c r="P530" t="str">
        <f>IF($N530="","",LEFT($Q530,4)&amp;MID($Q530,6,2)&amp;RIGHT($Q530,2)&amp;IF(Sync!$K530="","0000",IF(AND(ISNUMBER(Sync!$K530),Sync!$K530&gt;=0,Sync!$K530&lt;1),RIGHT("00"&amp;HOUR(Sync!$K530),2)&amp;RIGHT("00"&amp;MINUTE(Sync!$K530),2),IFERROR(RIGHT("00"&amp;VALUE(LEFT(Sync!$K530,FIND(":",Sync!$K530)-1)),2)&amp;RIGHT("00"&amp;VALUE(MID(Sync!$K530,FIND(":",Sync!$K530)+1,2)),2),"0000")))&amp;"|"&amp;"2"&amp;RIGHT("00000"&amp;525,5))</f>
        <v/>
      </c>
      <c r="Q530" t="str">
        <f>IF(Sync!$J530="","",IF(ISNUMBER(Sync!$J530),IF(AND(Sync!$J530&gt;=10000101,Sync!$J530&lt;=99991231),INT(Sync!$J530/10000)&amp;"/"&amp;RIGHT("00"&amp;INT(MOD(Sync!$J530,10000)/100),2)&amp;"/"&amp;RIGHT("00"&amp;MOD(Sync!$J530,100),2),"نامعتبر"),IF(LEN(Sync!$J530)=10,Sync!$J530,"نامعتبر")))</f>
        <v/>
      </c>
      <c r="R530" t="str">
        <f t="shared" si="60"/>
        <v/>
      </c>
      <c r="S530" t="str">
        <f t="shared" si="61"/>
        <v/>
      </c>
      <c r="T530" t="str">
        <f>IF($N530="","",IF(Sync!$N530="",0,Sync!$N530))</f>
        <v/>
      </c>
      <c r="U530" t="str">
        <f>IF($N530="","",IF(Sync!$O530="",0,Sync!$O530))</f>
        <v/>
      </c>
      <c r="V530" t="str">
        <f>IF($N530="","",Sync!$L530)</f>
        <v/>
      </c>
      <c r="W530" t="str">
        <f>IF($N530="","",Sync!$P530)</f>
        <v/>
      </c>
      <c r="AA530" t="str">
        <f>IF($A530="","",IF(COUNTIF($A$6:$A530,$A530)=1,1,0))</f>
        <v/>
      </c>
      <c r="AB530">
        <f>SUM($AA$6:$AA530)</f>
        <v>3</v>
      </c>
      <c r="AC530" t="str">
        <f t="shared" si="62"/>
        <v/>
      </c>
    </row>
    <row r="531" spans="1:29" x14ac:dyDescent="0.2">
      <c r="A531" t="str">
        <f>IF(OR(Entry!$B534="",Entry!$E534="",$E531="نامعتبر"),"",Entry!$E534)</f>
        <v/>
      </c>
      <c r="B531" t="str">
        <f>IF($A531="","",LEFT($E531,4)&amp;MID($E531,6,2)&amp;RIGHT($E531,2)&amp;$F531&amp;"|"&amp;"1"&amp;RIGHT("00000"&amp;526,5))</f>
        <v/>
      </c>
      <c r="C531" t="str">
        <f t="shared" si="56"/>
        <v/>
      </c>
      <c r="D531" t="str">
        <f t="shared" si="57"/>
        <v/>
      </c>
      <c r="E531" t="str">
        <f>IF(Entry!$B534="","",IF(ISNUMBER(Entry!$B534),IF(AND(Entry!$B534&gt;=10000101,Entry!$B534&lt;=99991231),INT(Entry!$B534/10000)&amp;"/"&amp;RIGHT("00"&amp;INT(MOD(Entry!$B534,10000)/100),2)&amp;"/"&amp;RIGHT("00"&amp;MOD(Entry!$B534,100),2),"نامعتبر"),IF(LEN(Entry!$B534)=10,Entry!$B534,"نامعتبر")))</f>
        <v/>
      </c>
      <c r="F531" t="str">
        <f>IF(Entry!$B534="","",IF(Entry!$C534="","0000",IF(AND(ISNUMBER(Entry!$C534),Entry!$C534&gt;=0,Entry!$C534&lt;1),RIGHT("00"&amp;HOUR(Entry!$C534),2)&amp;RIGHT("00"&amp;MINUTE(Entry!$C534),2),IFERROR(RIGHT("00"&amp;VALUE(LEFT(Entry!$C534,FIND(":",Entry!$C534)-1)),2)&amp;RIGHT("00"&amp;VALUE(MID(Entry!$C534,FIND(":",Entry!$C534)+1,2)),2),"0000"))))</f>
        <v/>
      </c>
      <c r="G531" t="str">
        <f>IF($A531="","",Entry!$G534)</f>
        <v/>
      </c>
      <c r="H531" t="str">
        <f>IF($A531="","",IF(Entry!$H534="",0,Entry!$H534))</f>
        <v/>
      </c>
      <c r="I531" t="str">
        <f>IF($A531="","",IF(Entry!$I534="",0,Entry!$I534))</f>
        <v/>
      </c>
      <c r="J531" t="str">
        <f t="shared" si="58"/>
        <v/>
      </c>
      <c r="K531" t="str">
        <f>IF($A531="","",Entry!$D534)</f>
        <v/>
      </c>
      <c r="L531" t="str">
        <f>IF($A531="","",Entry!$L534)</f>
        <v/>
      </c>
      <c r="N531" t="str">
        <f>IF(OR(Sync!$M531="",$Q531="",$Q531="نامعتبر"),"",Sync!$M531)</f>
        <v/>
      </c>
      <c r="O531" t="str">
        <f t="shared" si="59"/>
        <v/>
      </c>
      <c r="P531" t="str">
        <f>IF($N531="","",LEFT($Q531,4)&amp;MID($Q531,6,2)&amp;RIGHT($Q531,2)&amp;IF(Sync!$K531="","0000",IF(AND(ISNUMBER(Sync!$K531),Sync!$K531&gt;=0,Sync!$K531&lt;1),RIGHT("00"&amp;HOUR(Sync!$K531),2)&amp;RIGHT("00"&amp;MINUTE(Sync!$K531),2),IFERROR(RIGHT("00"&amp;VALUE(LEFT(Sync!$K531,FIND(":",Sync!$K531)-1)),2)&amp;RIGHT("00"&amp;VALUE(MID(Sync!$K531,FIND(":",Sync!$K531)+1,2)),2),"0000")))&amp;"|"&amp;"2"&amp;RIGHT("00000"&amp;526,5))</f>
        <v/>
      </c>
      <c r="Q531" t="str">
        <f>IF(Sync!$J531="","",IF(ISNUMBER(Sync!$J531),IF(AND(Sync!$J531&gt;=10000101,Sync!$J531&lt;=99991231),INT(Sync!$J531/10000)&amp;"/"&amp;RIGHT("00"&amp;INT(MOD(Sync!$J531,10000)/100),2)&amp;"/"&amp;RIGHT("00"&amp;MOD(Sync!$J531,100),2),"نامعتبر"),IF(LEN(Sync!$J531)=10,Sync!$J531,"نامعتبر")))</f>
        <v/>
      </c>
      <c r="R531" t="str">
        <f t="shared" si="60"/>
        <v/>
      </c>
      <c r="S531" t="str">
        <f t="shared" si="61"/>
        <v/>
      </c>
      <c r="T531" t="str">
        <f>IF($N531="","",IF(Sync!$N531="",0,Sync!$N531))</f>
        <v/>
      </c>
      <c r="U531" t="str">
        <f>IF($N531="","",IF(Sync!$O531="",0,Sync!$O531))</f>
        <v/>
      </c>
      <c r="V531" t="str">
        <f>IF($N531="","",Sync!$L531)</f>
        <v/>
      </c>
      <c r="W531" t="str">
        <f>IF($N531="","",Sync!$P531)</f>
        <v/>
      </c>
      <c r="AA531" t="str">
        <f>IF($A531="","",IF(COUNTIF($A$6:$A531,$A531)=1,1,0))</f>
        <v/>
      </c>
      <c r="AB531">
        <f>SUM($AA$6:$AA531)</f>
        <v>3</v>
      </c>
      <c r="AC531" t="str">
        <f t="shared" si="62"/>
        <v/>
      </c>
    </row>
    <row r="532" spans="1:29" x14ac:dyDescent="0.2">
      <c r="A532" t="str">
        <f>IF(OR(Entry!$B535="",Entry!$E535="",$E532="نامعتبر"),"",Entry!$E535)</f>
        <v/>
      </c>
      <c r="B532" t="str">
        <f>IF($A532="","",LEFT($E532,4)&amp;MID($E532,6,2)&amp;RIGHT($E532,2)&amp;$F532&amp;"|"&amp;"1"&amp;RIGHT("00000"&amp;527,5))</f>
        <v/>
      </c>
      <c r="C532" t="str">
        <f t="shared" si="56"/>
        <v/>
      </c>
      <c r="D532" t="str">
        <f t="shared" si="57"/>
        <v/>
      </c>
      <c r="E532" t="str">
        <f>IF(Entry!$B535="","",IF(ISNUMBER(Entry!$B535),IF(AND(Entry!$B535&gt;=10000101,Entry!$B535&lt;=99991231),INT(Entry!$B535/10000)&amp;"/"&amp;RIGHT("00"&amp;INT(MOD(Entry!$B535,10000)/100),2)&amp;"/"&amp;RIGHT("00"&amp;MOD(Entry!$B535,100),2),"نامعتبر"),IF(LEN(Entry!$B535)=10,Entry!$B535,"نامعتبر")))</f>
        <v/>
      </c>
      <c r="F532" t="str">
        <f>IF(Entry!$B535="","",IF(Entry!$C535="","0000",IF(AND(ISNUMBER(Entry!$C535),Entry!$C535&gt;=0,Entry!$C535&lt;1),RIGHT("00"&amp;HOUR(Entry!$C535),2)&amp;RIGHT("00"&amp;MINUTE(Entry!$C535),2),IFERROR(RIGHT("00"&amp;VALUE(LEFT(Entry!$C535,FIND(":",Entry!$C535)-1)),2)&amp;RIGHT("00"&amp;VALUE(MID(Entry!$C535,FIND(":",Entry!$C535)+1,2)),2),"0000"))))</f>
        <v/>
      </c>
      <c r="G532" t="str">
        <f>IF($A532="","",Entry!$G535)</f>
        <v/>
      </c>
      <c r="H532" t="str">
        <f>IF($A532="","",IF(Entry!$H535="",0,Entry!$H535))</f>
        <v/>
      </c>
      <c r="I532" t="str">
        <f>IF($A532="","",IF(Entry!$I535="",0,Entry!$I535))</f>
        <v/>
      </c>
      <c r="J532" t="str">
        <f t="shared" si="58"/>
        <v/>
      </c>
      <c r="K532" t="str">
        <f>IF($A532="","",Entry!$D535)</f>
        <v/>
      </c>
      <c r="L532" t="str">
        <f>IF($A532="","",Entry!$L535)</f>
        <v/>
      </c>
      <c r="N532" t="str">
        <f>IF(OR(Sync!$M532="",$Q532="",$Q532="نامعتبر"),"",Sync!$M532)</f>
        <v/>
      </c>
      <c r="O532" t="str">
        <f t="shared" si="59"/>
        <v/>
      </c>
      <c r="P532" t="str">
        <f>IF($N532="","",LEFT($Q532,4)&amp;MID($Q532,6,2)&amp;RIGHT($Q532,2)&amp;IF(Sync!$K532="","0000",IF(AND(ISNUMBER(Sync!$K532),Sync!$K532&gt;=0,Sync!$K532&lt;1),RIGHT("00"&amp;HOUR(Sync!$K532),2)&amp;RIGHT("00"&amp;MINUTE(Sync!$K532),2),IFERROR(RIGHT("00"&amp;VALUE(LEFT(Sync!$K532,FIND(":",Sync!$K532)-1)),2)&amp;RIGHT("00"&amp;VALUE(MID(Sync!$K532,FIND(":",Sync!$K532)+1,2)),2),"0000")))&amp;"|"&amp;"2"&amp;RIGHT("00000"&amp;527,5))</f>
        <v/>
      </c>
      <c r="Q532" t="str">
        <f>IF(Sync!$J532="","",IF(ISNUMBER(Sync!$J532),IF(AND(Sync!$J532&gt;=10000101,Sync!$J532&lt;=99991231),INT(Sync!$J532/10000)&amp;"/"&amp;RIGHT("00"&amp;INT(MOD(Sync!$J532,10000)/100),2)&amp;"/"&amp;RIGHT("00"&amp;MOD(Sync!$J532,100),2),"نامعتبر"),IF(LEN(Sync!$J532)=10,Sync!$J532,"نامعتبر")))</f>
        <v/>
      </c>
      <c r="R532" t="str">
        <f t="shared" si="60"/>
        <v/>
      </c>
      <c r="S532" t="str">
        <f t="shared" si="61"/>
        <v/>
      </c>
      <c r="T532" t="str">
        <f>IF($N532="","",IF(Sync!$N532="",0,Sync!$N532))</f>
        <v/>
      </c>
      <c r="U532" t="str">
        <f>IF($N532="","",IF(Sync!$O532="",0,Sync!$O532))</f>
        <v/>
      </c>
      <c r="V532" t="str">
        <f>IF($N532="","",Sync!$L532)</f>
        <v/>
      </c>
      <c r="W532" t="str">
        <f>IF($N532="","",Sync!$P532)</f>
        <v/>
      </c>
      <c r="AA532" t="str">
        <f>IF($A532="","",IF(COUNTIF($A$6:$A532,$A532)=1,1,0))</f>
        <v/>
      </c>
      <c r="AB532">
        <f>SUM($AA$6:$AA532)</f>
        <v>3</v>
      </c>
      <c r="AC532" t="str">
        <f t="shared" si="62"/>
        <v/>
      </c>
    </row>
    <row r="533" spans="1:29" x14ac:dyDescent="0.2">
      <c r="A533" t="str">
        <f>IF(OR(Entry!$B536="",Entry!$E536="",$E533="نامعتبر"),"",Entry!$E536)</f>
        <v/>
      </c>
      <c r="B533" t="str">
        <f>IF($A533="","",LEFT($E533,4)&amp;MID($E533,6,2)&amp;RIGHT($E533,2)&amp;$F533&amp;"|"&amp;"1"&amp;RIGHT("00000"&amp;528,5))</f>
        <v/>
      </c>
      <c r="C533" t="str">
        <f t="shared" si="56"/>
        <v/>
      </c>
      <c r="D533" t="str">
        <f t="shared" si="57"/>
        <v/>
      </c>
      <c r="E533" t="str">
        <f>IF(Entry!$B536="","",IF(ISNUMBER(Entry!$B536),IF(AND(Entry!$B536&gt;=10000101,Entry!$B536&lt;=99991231),INT(Entry!$B536/10000)&amp;"/"&amp;RIGHT("00"&amp;INT(MOD(Entry!$B536,10000)/100),2)&amp;"/"&amp;RIGHT("00"&amp;MOD(Entry!$B536,100),2),"نامعتبر"),IF(LEN(Entry!$B536)=10,Entry!$B536,"نامعتبر")))</f>
        <v/>
      </c>
      <c r="F533" t="str">
        <f>IF(Entry!$B536="","",IF(Entry!$C536="","0000",IF(AND(ISNUMBER(Entry!$C536),Entry!$C536&gt;=0,Entry!$C536&lt;1),RIGHT("00"&amp;HOUR(Entry!$C536),2)&amp;RIGHT("00"&amp;MINUTE(Entry!$C536),2),IFERROR(RIGHT("00"&amp;VALUE(LEFT(Entry!$C536,FIND(":",Entry!$C536)-1)),2)&amp;RIGHT("00"&amp;VALUE(MID(Entry!$C536,FIND(":",Entry!$C536)+1,2)),2),"0000"))))</f>
        <v/>
      </c>
      <c r="G533" t="str">
        <f>IF($A533="","",Entry!$G536)</f>
        <v/>
      </c>
      <c r="H533" t="str">
        <f>IF($A533="","",IF(Entry!$H536="",0,Entry!$H536))</f>
        <v/>
      </c>
      <c r="I533" t="str">
        <f>IF($A533="","",IF(Entry!$I536="",0,Entry!$I536))</f>
        <v/>
      </c>
      <c r="J533" t="str">
        <f t="shared" si="58"/>
        <v/>
      </c>
      <c r="K533" t="str">
        <f>IF($A533="","",Entry!$D536)</f>
        <v/>
      </c>
      <c r="L533" t="str">
        <f>IF($A533="","",Entry!$L536)</f>
        <v/>
      </c>
      <c r="N533" t="str">
        <f>IF(OR(Sync!$M533="",$Q533="",$Q533="نامعتبر"),"",Sync!$M533)</f>
        <v/>
      </c>
      <c r="O533" t="str">
        <f t="shared" si="59"/>
        <v/>
      </c>
      <c r="P533" t="str">
        <f>IF($N533="","",LEFT($Q533,4)&amp;MID($Q533,6,2)&amp;RIGHT($Q533,2)&amp;IF(Sync!$K533="","0000",IF(AND(ISNUMBER(Sync!$K533),Sync!$K533&gt;=0,Sync!$K533&lt;1),RIGHT("00"&amp;HOUR(Sync!$K533),2)&amp;RIGHT("00"&amp;MINUTE(Sync!$K533),2),IFERROR(RIGHT("00"&amp;VALUE(LEFT(Sync!$K533,FIND(":",Sync!$K533)-1)),2)&amp;RIGHT("00"&amp;VALUE(MID(Sync!$K533,FIND(":",Sync!$K533)+1,2)),2),"0000")))&amp;"|"&amp;"2"&amp;RIGHT("00000"&amp;528,5))</f>
        <v/>
      </c>
      <c r="Q533" t="str">
        <f>IF(Sync!$J533="","",IF(ISNUMBER(Sync!$J533),IF(AND(Sync!$J533&gt;=10000101,Sync!$J533&lt;=99991231),INT(Sync!$J533/10000)&amp;"/"&amp;RIGHT("00"&amp;INT(MOD(Sync!$J533,10000)/100),2)&amp;"/"&amp;RIGHT("00"&amp;MOD(Sync!$J533,100),2),"نامعتبر"),IF(LEN(Sync!$J533)=10,Sync!$J533,"نامعتبر")))</f>
        <v/>
      </c>
      <c r="R533" t="str">
        <f t="shared" si="60"/>
        <v/>
      </c>
      <c r="S533" t="str">
        <f t="shared" si="61"/>
        <v/>
      </c>
      <c r="T533" t="str">
        <f>IF($N533="","",IF(Sync!$N533="",0,Sync!$N533))</f>
        <v/>
      </c>
      <c r="U533" t="str">
        <f>IF($N533="","",IF(Sync!$O533="",0,Sync!$O533))</f>
        <v/>
      </c>
      <c r="V533" t="str">
        <f>IF($N533="","",Sync!$L533)</f>
        <v/>
      </c>
      <c r="W533" t="str">
        <f>IF($N533="","",Sync!$P533)</f>
        <v/>
      </c>
      <c r="AA533" t="str">
        <f>IF($A533="","",IF(COUNTIF($A$6:$A533,$A533)=1,1,0))</f>
        <v/>
      </c>
      <c r="AB533">
        <f>SUM($AA$6:$AA533)</f>
        <v>3</v>
      </c>
      <c r="AC533" t="str">
        <f t="shared" si="62"/>
        <v/>
      </c>
    </row>
    <row r="534" spans="1:29" x14ac:dyDescent="0.2">
      <c r="A534" t="str">
        <f>IF(OR(Entry!$B537="",Entry!$E537="",$E534="نامعتبر"),"",Entry!$E537)</f>
        <v/>
      </c>
      <c r="B534" t="str">
        <f>IF($A534="","",LEFT($E534,4)&amp;MID($E534,6,2)&amp;RIGHT($E534,2)&amp;$F534&amp;"|"&amp;"1"&amp;RIGHT("00000"&amp;529,5))</f>
        <v/>
      </c>
      <c r="C534" t="str">
        <f t="shared" si="56"/>
        <v/>
      </c>
      <c r="D534" t="str">
        <f t="shared" si="57"/>
        <v/>
      </c>
      <c r="E534" t="str">
        <f>IF(Entry!$B537="","",IF(ISNUMBER(Entry!$B537),IF(AND(Entry!$B537&gt;=10000101,Entry!$B537&lt;=99991231),INT(Entry!$B537/10000)&amp;"/"&amp;RIGHT("00"&amp;INT(MOD(Entry!$B537,10000)/100),2)&amp;"/"&amp;RIGHT("00"&amp;MOD(Entry!$B537,100),2),"نامعتبر"),IF(LEN(Entry!$B537)=10,Entry!$B537,"نامعتبر")))</f>
        <v/>
      </c>
      <c r="F534" t="str">
        <f>IF(Entry!$B537="","",IF(Entry!$C537="","0000",IF(AND(ISNUMBER(Entry!$C537),Entry!$C537&gt;=0,Entry!$C537&lt;1),RIGHT("00"&amp;HOUR(Entry!$C537),2)&amp;RIGHT("00"&amp;MINUTE(Entry!$C537),2),IFERROR(RIGHT("00"&amp;VALUE(LEFT(Entry!$C537,FIND(":",Entry!$C537)-1)),2)&amp;RIGHT("00"&amp;VALUE(MID(Entry!$C537,FIND(":",Entry!$C537)+1,2)),2),"0000"))))</f>
        <v/>
      </c>
      <c r="G534" t="str">
        <f>IF($A534="","",Entry!$G537)</f>
        <v/>
      </c>
      <c r="H534" t="str">
        <f>IF($A534="","",IF(Entry!$H537="",0,Entry!$H537))</f>
        <v/>
      </c>
      <c r="I534" t="str">
        <f>IF($A534="","",IF(Entry!$I537="",0,Entry!$I537))</f>
        <v/>
      </c>
      <c r="J534" t="str">
        <f t="shared" si="58"/>
        <v/>
      </c>
      <c r="K534" t="str">
        <f>IF($A534="","",Entry!$D537)</f>
        <v/>
      </c>
      <c r="L534" t="str">
        <f>IF($A534="","",Entry!$L537)</f>
        <v/>
      </c>
      <c r="N534" t="str">
        <f>IF(OR(Sync!$M534="",$Q534="",$Q534="نامعتبر"),"",Sync!$M534)</f>
        <v/>
      </c>
      <c r="O534" t="str">
        <f t="shared" si="59"/>
        <v/>
      </c>
      <c r="P534" t="str">
        <f>IF($N534="","",LEFT($Q534,4)&amp;MID($Q534,6,2)&amp;RIGHT($Q534,2)&amp;IF(Sync!$K534="","0000",IF(AND(ISNUMBER(Sync!$K534),Sync!$K534&gt;=0,Sync!$K534&lt;1),RIGHT("00"&amp;HOUR(Sync!$K534),2)&amp;RIGHT("00"&amp;MINUTE(Sync!$K534),2),IFERROR(RIGHT("00"&amp;VALUE(LEFT(Sync!$K534,FIND(":",Sync!$K534)-1)),2)&amp;RIGHT("00"&amp;VALUE(MID(Sync!$K534,FIND(":",Sync!$K534)+1,2)),2),"0000")))&amp;"|"&amp;"2"&amp;RIGHT("00000"&amp;529,5))</f>
        <v/>
      </c>
      <c r="Q534" t="str">
        <f>IF(Sync!$J534="","",IF(ISNUMBER(Sync!$J534),IF(AND(Sync!$J534&gt;=10000101,Sync!$J534&lt;=99991231),INT(Sync!$J534/10000)&amp;"/"&amp;RIGHT("00"&amp;INT(MOD(Sync!$J534,10000)/100),2)&amp;"/"&amp;RIGHT("00"&amp;MOD(Sync!$J534,100),2),"نامعتبر"),IF(LEN(Sync!$J534)=10,Sync!$J534,"نامعتبر")))</f>
        <v/>
      </c>
      <c r="R534" t="str">
        <f t="shared" si="60"/>
        <v/>
      </c>
      <c r="S534" t="str">
        <f t="shared" si="61"/>
        <v/>
      </c>
      <c r="T534" t="str">
        <f>IF($N534="","",IF(Sync!$N534="",0,Sync!$N534))</f>
        <v/>
      </c>
      <c r="U534" t="str">
        <f>IF($N534="","",IF(Sync!$O534="",0,Sync!$O534))</f>
        <v/>
      </c>
      <c r="V534" t="str">
        <f>IF($N534="","",Sync!$L534)</f>
        <v/>
      </c>
      <c r="W534" t="str">
        <f>IF($N534="","",Sync!$P534)</f>
        <v/>
      </c>
      <c r="AA534" t="str">
        <f>IF($A534="","",IF(COUNTIF($A$6:$A534,$A534)=1,1,0))</f>
        <v/>
      </c>
      <c r="AB534">
        <f>SUM($AA$6:$AA534)</f>
        <v>3</v>
      </c>
      <c r="AC534" t="str">
        <f t="shared" si="62"/>
        <v/>
      </c>
    </row>
    <row r="535" spans="1:29" x14ac:dyDescent="0.2">
      <c r="A535" t="str">
        <f>IF(OR(Entry!$B538="",Entry!$E538="",$E535="نامعتبر"),"",Entry!$E538)</f>
        <v/>
      </c>
      <c r="B535" t="str">
        <f>IF($A535="","",LEFT($E535,4)&amp;MID($E535,6,2)&amp;RIGHT($E535,2)&amp;$F535&amp;"|"&amp;"1"&amp;RIGHT("00000"&amp;530,5))</f>
        <v/>
      </c>
      <c r="C535" t="str">
        <f t="shared" si="56"/>
        <v/>
      </c>
      <c r="D535" t="str">
        <f t="shared" si="57"/>
        <v/>
      </c>
      <c r="E535" t="str">
        <f>IF(Entry!$B538="","",IF(ISNUMBER(Entry!$B538),IF(AND(Entry!$B538&gt;=10000101,Entry!$B538&lt;=99991231),INT(Entry!$B538/10000)&amp;"/"&amp;RIGHT("00"&amp;INT(MOD(Entry!$B538,10000)/100),2)&amp;"/"&amp;RIGHT("00"&amp;MOD(Entry!$B538,100),2),"نامعتبر"),IF(LEN(Entry!$B538)=10,Entry!$B538,"نامعتبر")))</f>
        <v/>
      </c>
      <c r="F535" t="str">
        <f>IF(Entry!$B538="","",IF(Entry!$C538="","0000",IF(AND(ISNUMBER(Entry!$C538),Entry!$C538&gt;=0,Entry!$C538&lt;1),RIGHT("00"&amp;HOUR(Entry!$C538),2)&amp;RIGHT("00"&amp;MINUTE(Entry!$C538),2),IFERROR(RIGHT("00"&amp;VALUE(LEFT(Entry!$C538,FIND(":",Entry!$C538)-1)),2)&amp;RIGHT("00"&amp;VALUE(MID(Entry!$C538,FIND(":",Entry!$C538)+1,2)),2),"0000"))))</f>
        <v/>
      </c>
      <c r="G535" t="str">
        <f>IF($A535="","",Entry!$G538)</f>
        <v/>
      </c>
      <c r="H535" t="str">
        <f>IF($A535="","",IF(Entry!$H538="",0,Entry!$H538))</f>
        <v/>
      </c>
      <c r="I535" t="str">
        <f>IF($A535="","",IF(Entry!$I538="",0,Entry!$I538))</f>
        <v/>
      </c>
      <c r="J535" t="str">
        <f t="shared" si="58"/>
        <v/>
      </c>
      <c r="K535" t="str">
        <f>IF($A535="","",Entry!$D538)</f>
        <v/>
      </c>
      <c r="L535" t="str">
        <f>IF($A535="","",Entry!$L538)</f>
        <v/>
      </c>
      <c r="N535" t="str">
        <f>IF(OR(Sync!$M535="",$Q535="",$Q535="نامعتبر"),"",Sync!$M535)</f>
        <v/>
      </c>
      <c r="O535" t="str">
        <f t="shared" si="59"/>
        <v/>
      </c>
      <c r="P535" t="str">
        <f>IF($N535="","",LEFT($Q535,4)&amp;MID($Q535,6,2)&amp;RIGHT($Q535,2)&amp;IF(Sync!$K535="","0000",IF(AND(ISNUMBER(Sync!$K535),Sync!$K535&gt;=0,Sync!$K535&lt;1),RIGHT("00"&amp;HOUR(Sync!$K535),2)&amp;RIGHT("00"&amp;MINUTE(Sync!$K535),2),IFERROR(RIGHT("00"&amp;VALUE(LEFT(Sync!$K535,FIND(":",Sync!$K535)-1)),2)&amp;RIGHT("00"&amp;VALUE(MID(Sync!$K535,FIND(":",Sync!$K535)+1,2)),2),"0000")))&amp;"|"&amp;"2"&amp;RIGHT("00000"&amp;530,5))</f>
        <v/>
      </c>
      <c r="Q535" t="str">
        <f>IF(Sync!$J535="","",IF(ISNUMBER(Sync!$J535),IF(AND(Sync!$J535&gt;=10000101,Sync!$J535&lt;=99991231),INT(Sync!$J535/10000)&amp;"/"&amp;RIGHT("00"&amp;INT(MOD(Sync!$J535,10000)/100),2)&amp;"/"&amp;RIGHT("00"&amp;MOD(Sync!$J535,100),2),"نامعتبر"),IF(LEN(Sync!$J535)=10,Sync!$J535,"نامعتبر")))</f>
        <v/>
      </c>
      <c r="R535" t="str">
        <f t="shared" si="60"/>
        <v/>
      </c>
      <c r="S535" t="str">
        <f t="shared" si="61"/>
        <v/>
      </c>
      <c r="T535" t="str">
        <f>IF($N535="","",IF(Sync!$N535="",0,Sync!$N535))</f>
        <v/>
      </c>
      <c r="U535" t="str">
        <f>IF($N535="","",IF(Sync!$O535="",0,Sync!$O535))</f>
        <v/>
      </c>
      <c r="V535" t="str">
        <f>IF($N535="","",Sync!$L535)</f>
        <v/>
      </c>
      <c r="W535" t="str">
        <f>IF($N535="","",Sync!$P535)</f>
        <v/>
      </c>
      <c r="AA535" t="str">
        <f>IF($A535="","",IF(COUNTIF($A$6:$A535,$A535)=1,1,0))</f>
        <v/>
      </c>
      <c r="AB535">
        <f>SUM($AA$6:$AA535)</f>
        <v>3</v>
      </c>
      <c r="AC535" t="str">
        <f t="shared" si="62"/>
        <v/>
      </c>
    </row>
    <row r="536" spans="1:29" x14ac:dyDescent="0.2">
      <c r="A536" t="str">
        <f>IF(OR(Entry!$B539="",Entry!$E539="",$E536="نامعتبر"),"",Entry!$E539)</f>
        <v/>
      </c>
      <c r="B536" t="str">
        <f>IF($A536="","",LEFT($E536,4)&amp;MID($E536,6,2)&amp;RIGHT($E536,2)&amp;$F536&amp;"|"&amp;"1"&amp;RIGHT("00000"&amp;531,5))</f>
        <v/>
      </c>
      <c r="C536" t="str">
        <f t="shared" si="56"/>
        <v/>
      </c>
      <c r="D536" t="str">
        <f t="shared" si="57"/>
        <v/>
      </c>
      <c r="E536" t="str">
        <f>IF(Entry!$B539="","",IF(ISNUMBER(Entry!$B539),IF(AND(Entry!$B539&gt;=10000101,Entry!$B539&lt;=99991231),INT(Entry!$B539/10000)&amp;"/"&amp;RIGHT("00"&amp;INT(MOD(Entry!$B539,10000)/100),2)&amp;"/"&amp;RIGHT("00"&amp;MOD(Entry!$B539,100),2),"نامعتبر"),IF(LEN(Entry!$B539)=10,Entry!$B539,"نامعتبر")))</f>
        <v/>
      </c>
      <c r="F536" t="str">
        <f>IF(Entry!$B539="","",IF(Entry!$C539="","0000",IF(AND(ISNUMBER(Entry!$C539),Entry!$C539&gt;=0,Entry!$C539&lt;1),RIGHT("00"&amp;HOUR(Entry!$C539),2)&amp;RIGHT("00"&amp;MINUTE(Entry!$C539),2),IFERROR(RIGHT("00"&amp;VALUE(LEFT(Entry!$C539,FIND(":",Entry!$C539)-1)),2)&amp;RIGHT("00"&amp;VALUE(MID(Entry!$C539,FIND(":",Entry!$C539)+1,2)),2),"0000"))))</f>
        <v/>
      </c>
      <c r="G536" t="str">
        <f>IF($A536="","",Entry!$G539)</f>
        <v/>
      </c>
      <c r="H536" t="str">
        <f>IF($A536="","",IF(Entry!$H539="",0,Entry!$H539))</f>
        <v/>
      </c>
      <c r="I536" t="str">
        <f>IF($A536="","",IF(Entry!$I539="",0,Entry!$I539))</f>
        <v/>
      </c>
      <c r="J536" t="str">
        <f t="shared" si="58"/>
        <v/>
      </c>
      <c r="K536" t="str">
        <f>IF($A536="","",Entry!$D539)</f>
        <v/>
      </c>
      <c r="L536" t="str">
        <f>IF($A536="","",Entry!$L539)</f>
        <v/>
      </c>
      <c r="N536" t="str">
        <f>IF(OR(Sync!$M536="",$Q536="",$Q536="نامعتبر"),"",Sync!$M536)</f>
        <v/>
      </c>
      <c r="O536" t="str">
        <f t="shared" si="59"/>
        <v/>
      </c>
      <c r="P536" t="str">
        <f>IF($N536="","",LEFT($Q536,4)&amp;MID($Q536,6,2)&amp;RIGHT($Q536,2)&amp;IF(Sync!$K536="","0000",IF(AND(ISNUMBER(Sync!$K536),Sync!$K536&gt;=0,Sync!$K536&lt;1),RIGHT("00"&amp;HOUR(Sync!$K536),2)&amp;RIGHT("00"&amp;MINUTE(Sync!$K536),2),IFERROR(RIGHT("00"&amp;VALUE(LEFT(Sync!$K536,FIND(":",Sync!$K536)-1)),2)&amp;RIGHT("00"&amp;VALUE(MID(Sync!$K536,FIND(":",Sync!$K536)+1,2)),2),"0000")))&amp;"|"&amp;"2"&amp;RIGHT("00000"&amp;531,5))</f>
        <v/>
      </c>
      <c r="Q536" t="str">
        <f>IF(Sync!$J536="","",IF(ISNUMBER(Sync!$J536),IF(AND(Sync!$J536&gt;=10000101,Sync!$J536&lt;=99991231),INT(Sync!$J536/10000)&amp;"/"&amp;RIGHT("00"&amp;INT(MOD(Sync!$J536,10000)/100),2)&amp;"/"&amp;RIGHT("00"&amp;MOD(Sync!$J536,100),2),"نامعتبر"),IF(LEN(Sync!$J536)=10,Sync!$J536,"نامعتبر")))</f>
        <v/>
      </c>
      <c r="R536" t="str">
        <f t="shared" si="60"/>
        <v/>
      </c>
      <c r="S536" t="str">
        <f t="shared" si="61"/>
        <v/>
      </c>
      <c r="T536" t="str">
        <f>IF($N536="","",IF(Sync!$N536="",0,Sync!$N536))</f>
        <v/>
      </c>
      <c r="U536" t="str">
        <f>IF($N536="","",IF(Sync!$O536="",0,Sync!$O536))</f>
        <v/>
      </c>
      <c r="V536" t="str">
        <f>IF($N536="","",Sync!$L536)</f>
        <v/>
      </c>
      <c r="W536" t="str">
        <f>IF($N536="","",Sync!$P536)</f>
        <v/>
      </c>
      <c r="AA536" t="str">
        <f>IF($A536="","",IF(COUNTIF($A$6:$A536,$A536)=1,1,0))</f>
        <v/>
      </c>
      <c r="AB536">
        <f>SUM($AA$6:$AA536)</f>
        <v>3</v>
      </c>
      <c r="AC536" t="str">
        <f t="shared" si="62"/>
        <v/>
      </c>
    </row>
    <row r="537" spans="1:29" x14ac:dyDescent="0.2">
      <c r="A537" t="str">
        <f>IF(OR(Entry!$B540="",Entry!$E540="",$E537="نامعتبر"),"",Entry!$E540)</f>
        <v/>
      </c>
      <c r="B537" t="str">
        <f>IF($A537="","",LEFT($E537,4)&amp;MID($E537,6,2)&amp;RIGHT($E537,2)&amp;$F537&amp;"|"&amp;"1"&amp;RIGHT("00000"&amp;532,5))</f>
        <v/>
      </c>
      <c r="C537" t="str">
        <f t="shared" si="56"/>
        <v/>
      </c>
      <c r="D537" t="str">
        <f t="shared" si="57"/>
        <v/>
      </c>
      <c r="E537" t="str">
        <f>IF(Entry!$B540="","",IF(ISNUMBER(Entry!$B540),IF(AND(Entry!$B540&gt;=10000101,Entry!$B540&lt;=99991231),INT(Entry!$B540/10000)&amp;"/"&amp;RIGHT("00"&amp;INT(MOD(Entry!$B540,10000)/100),2)&amp;"/"&amp;RIGHT("00"&amp;MOD(Entry!$B540,100),2),"نامعتبر"),IF(LEN(Entry!$B540)=10,Entry!$B540,"نامعتبر")))</f>
        <v/>
      </c>
      <c r="F537" t="str">
        <f>IF(Entry!$B540="","",IF(Entry!$C540="","0000",IF(AND(ISNUMBER(Entry!$C540),Entry!$C540&gt;=0,Entry!$C540&lt;1),RIGHT("00"&amp;HOUR(Entry!$C540),2)&amp;RIGHT("00"&amp;MINUTE(Entry!$C540),2),IFERROR(RIGHT("00"&amp;VALUE(LEFT(Entry!$C540,FIND(":",Entry!$C540)-1)),2)&amp;RIGHT("00"&amp;VALUE(MID(Entry!$C540,FIND(":",Entry!$C540)+1,2)),2),"0000"))))</f>
        <v/>
      </c>
      <c r="G537" t="str">
        <f>IF($A537="","",Entry!$G540)</f>
        <v/>
      </c>
      <c r="H537" t="str">
        <f>IF($A537="","",IF(Entry!$H540="",0,Entry!$H540))</f>
        <v/>
      </c>
      <c r="I537" t="str">
        <f>IF($A537="","",IF(Entry!$I540="",0,Entry!$I540))</f>
        <v/>
      </c>
      <c r="J537" t="str">
        <f t="shared" si="58"/>
        <v/>
      </c>
      <c r="K537" t="str">
        <f>IF($A537="","",Entry!$D540)</f>
        <v/>
      </c>
      <c r="L537" t="str">
        <f>IF($A537="","",Entry!$L540)</f>
        <v/>
      </c>
      <c r="N537" t="str">
        <f>IF(OR(Sync!$M537="",$Q537="",$Q537="نامعتبر"),"",Sync!$M537)</f>
        <v/>
      </c>
      <c r="O537" t="str">
        <f t="shared" si="59"/>
        <v/>
      </c>
      <c r="P537" t="str">
        <f>IF($N537="","",LEFT($Q537,4)&amp;MID($Q537,6,2)&amp;RIGHT($Q537,2)&amp;IF(Sync!$K537="","0000",IF(AND(ISNUMBER(Sync!$K537),Sync!$K537&gt;=0,Sync!$K537&lt;1),RIGHT("00"&amp;HOUR(Sync!$K537),2)&amp;RIGHT("00"&amp;MINUTE(Sync!$K537),2),IFERROR(RIGHT("00"&amp;VALUE(LEFT(Sync!$K537,FIND(":",Sync!$K537)-1)),2)&amp;RIGHT("00"&amp;VALUE(MID(Sync!$K537,FIND(":",Sync!$K537)+1,2)),2),"0000")))&amp;"|"&amp;"2"&amp;RIGHT("00000"&amp;532,5))</f>
        <v/>
      </c>
      <c r="Q537" t="str">
        <f>IF(Sync!$J537="","",IF(ISNUMBER(Sync!$J537),IF(AND(Sync!$J537&gt;=10000101,Sync!$J537&lt;=99991231),INT(Sync!$J537/10000)&amp;"/"&amp;RIGHT("00"&amp;INT(MOD(Sync!$J537,10000)/100),2)&amp;"/"&amp;RIGHT("00"&amp;MOD(Sync!$J537,100),2),"نامعتبر"),IF(LEN(Sync!$J537)=10,Sync!$J537,"نامعتبر")))</f>
        <v/>
      </c>
      <c r="R537" t="str">
        <f t="shared" si="60"/>
        <v/>
      </c>
      <c r="S537" t="str">
        <f t="shared" si="61"/>
        <v/>
      </c>
      <c r="T537" t="str">
        <f>IF($N537="","",IF(Sync!$N537="",0,Sync!$N537))</f>
        <v/>
      </c>
      <c r="U537" t="str">
        <f>IF($N537="","",IF(Sync!$O537="",0,Sync!$O537))</f>
        <v/>
      </c>
      <c r="V537" t="str">
        <f>IF($N537="","",Sync!$L537)</f>
        <v/>
      </c>
      <c r="W537" t="str">
        <f>IF($N537="","",Sync!$P537)</f>
        <v/>
      </c>
      <c r="AA537" t="str">
        <f>IF($A537="","",IF(COUNTIF($A$6:$A537,$A537)=1,1,0))</f>
        <v/>
      </c>
      <c r="AB537">
        <f>SUM($AA$6:$AA537)</f>
        <v>3</v>
      </c>
      <c r="AC537" t="str">
        <f t="shared" si="62"/>
        <v/>
      </c>
    </row>
    <row r="538" spans="1:29" x14ac:dyDescent="0.2">
      <c r="A538" t="str">
        <f>IF(OR(Entry!$B541="",Entry!$E541="",$E538="نامعتبر"),"",Entry!$E541)</f>
        <v/>
      </c>
      <c r="B538" t="str">
        <f>IF($A538="","",LEFT($E538,4)&amp;MID($E538,6,2)&amp;RIGHT($E538,2)&amp;$F538&amp;"|"&amp;"1"&amp;RIGHT("00000"&amp;533,5))</f>
        <v/>
      </c>
      <c r="C538" t="str">
        <f t="shared" si="56"/>
        <v/>
      </c>
      <c r="D538" t="str">
        <f t="shared" si="57"/>
        <v/>
      </c>
      <c r="E538" t="str">
        <f>IF(Entry!$B541="","",IF(ISNUMBER(Entry!$B541),IF(AND(Entry!$B541&gt;=10000101,Entry!$B541&lt;=99991231),INT(Entry!$B541/10000)&amp;"/"&amp;RIGHT("00"&amp;INT(MOD(Entry!$B541,10000)/100),2)&amp;"/"&amp;RIGHT("00"&amp;MOD(Entry!$B541,100),2),"نامعتبر"),IF(LEN(Entry!$B541)=10,Entry!$B541,"نامعتبر")))</f>
        <v/>
      </c>
      <c r="F538" t="str">
        <f>IF(Entry!$B541="","",IF(Entry!$C541="","0000",IF(AND(ISNUMBER(Entry!$C541),Entry!$C541&gt;=0,Entry!$C541&lt;1),RIGHT("00"&amp;HOUR(Entry!$C541),2)&amp;RIGHT("00"&amp;MINUTE(Entry!$C541),2),IFERROR(RIGHT("00"&amp;VALUE(LEFT(Entry!$C541,FIND(":",Entry!$C541)-1)),2)&amp;RIGHT("00"&amp;VALUE(MID(Entry!$C541,FIND(":",Entry!$C541)+1,2)),2),"0000"))))</f>
        <v/>
      </c>
      <c r="G538" t="str">
        <f>IF($A538="","",Entry!$G541)</f>
        <v/>
      </c>
      <c r="H538" t="str">
        <f>IF($A538="","",IF(Entry!$H541="",0,Entry!$H541))</f>
        <v/>
      </c>
      <c r="I538" t="str">
        <f>IF($A538="","",IF(Entry!$I541="",0,Entry!$I541))</f>
        <v/>
      </c>
      <c r="J538" t="str">
        <f t="shared" si="58"/>
        <v/>
      </c>
      <c r="K538" t="str">
        <f>IF($A538="","",Entry!$D541)</f>
        <v/>
      </c>
      <c r="L538" t="str">
        <f>IF($A538="","",Entry!$L541)</f>
        <v/>
      </c>
      <c r="N538" t="str">
        <f>IF(OR(Sync!$M538="",$Q538="",$Q538="نامعتبر"),"",Sync!$M538)</f>
        <v/>
      </c>
      <c r="O538" t="str">
        <f t="shared" si="59"/>
        <v/>
      </c>
      <c r="P538" t="str">
        <f>IF($N538="","",LEFT($Q538,4)&amp;MID($Q538,6,2)&amp;RIGHT($Q538,2)&amp;IF(Sync!$K538="","0000",IF(AND(ISNUMBER(Sync!$K538),Sync!$K538&gt;=0,Sync!$K538&lt;1),RIGHT("00"&amp;HOUR(Sync!$K538),2)&amp;RIGHT("00"&amp;MINUTE(Sync!$K538),2),IFERROR(RIGHT("00"&amp;VALUE(LEFT(Sync!$K538,FIND(":",Sync!$K538)-1)),2)&amp;RIGHT("00"&amp;VALUE(MID(Sync!$K538,FIND(":",Sync!$K538)+1,2)),2),"0000")))&amp;"|"&amp;"2"&amp;RIGHT("00000"&amp;533,5))</f>
        <v/>
      </c>
      <c r="Q538" t="str">
        <f>IF(Sync!$J538="","",IF(ISNUMBER(Sync!$J538),IF(AND(Sync!$J538&gt;=10000101,Sync!$J538&lt;=99991231),INT(Sync!$J538/10000)&amp;"/"&amp;RIGHT("00"&amp;INT(MOD(Sync!$J538,10000)/100),2)&amp;"/"&amp;RIGHT("00"&amp;MOD(Sync!$J538,100),2),"نامعتبر"),IF(LEN(Sync!$J538)=10,Sync!$J538,"نامعتبر")))</f>
        <v/>
      </c>
      <c r="R538" t="str">
        <f t="shared" si="60"/>
        <v/>
      </c>
      <c r="S538" t="str">
        <f t="shared" si="61"/>
        <v/>
      </c>
      <c r="T538" t="str">
        <f>IF($N538="","",IF(Sync!$N538="",0,Sync!$N538))</f>
        <v/>
      </c>
      <c r="U538" t="str">
        <f>IF($N538="","",IF(Sync!$O538="",0,Sync!$O538))</f>
        <v/>
      </c>
      <c r="V538" t="str">
        <f>IF($N538="","",Sync!$L538)</f>
        <v/>
      </c>
      <c r="W538" t="str">
        <f>IF($N538="","",Sync!$P538)</f>
        <v/>
      </c>
      <c r="AA538" t="str">
        <f>IF($A538="","",IF(COUNTIF($A$6:$A538,$A538)=1,1,0))</f>
        <v/>
      </c>
      <c r="AB538">
        <f>SUM($AA$6:$AA538)</f>
        <v>3</v>
      </c>
      <c r="AC538" t="str">
        <f t="shared" si="62"/>
        <v/>
      </c>
    </row>
    <row r="539" spans="1:29" x14ac:dyDescent="0.2">
      <c r="A539" t="str">
        <f>IF(OR(Entry!$B542="",Entry!$E542="",$E539="نامعتبر"),"",Entry!$E542)</f>
        <v/>
      </c>
      <c r="B539" t="str">
        <f>IF($A539="","",LEFT($E539,4)&amp;MID($E539,6,2)&amp;RIGHT($E539,2)&amp;$F539&amp;"|"&amp;"1"&amp;RIGHT("00000"&amp;534,5))</f>
        <v/>
      </c>
      <c r="C539" t="str">
        <f t="shared" si="56"/>
        <v/>
      </c>
      <c r="D539" t="str">
        <f t="shared" si="57"/>
        <v/>
      </c>
      <c r="E539" t="str">
        <f>IF(Entry!$B542="","",IF(ISNUMBER(Entry!$B542),IF(AND(Entry!$B542&gt;=10000101,Entry!$B542&lt;=99991231),INT(Entry!$B542/10000)&amp;"/"&amp;RIGHT("00"&amp;INT(MOD(Entry!$B542,10000)/100),2)&amp;"/"&amp;RIGHT("00"&amp;MOD(Entry!$B542,100),2),"نامعتبر"),IF(LEN(Entry!$B542)=10,Entry!$B542,"نامعتبر")))</f>
        <v/>
      </c>
      <c r="F539" t="str">
        <f>IF(Entry!$B542="","",IF(Entry!$C542="","0000",IF(AND(ISNUMBER(Entry!$C542),Entry!$C542&gt;=0,Entry!$C542&lt;1),RIGHT("00"&amp;HOUR(Entry!$C542),2)&amp;RIGHT("00"&amp;MINUTE(Entry!$C542),2),IFERROR(RIGHT("00"&amp;VALUE(LEFT(Entry!$C542,FIND(":",Entry!$C542)-1)),2)&amp;RIGHT("00"&amp;VALUE(MID(Entry!$C542,FIND(":",Entry!$C542)+1,2)),2),"0000"))))</f>
        <v/>
      </c>
      <c r="G539" t="str">
        <f>IF($A539="","",Entry!$G542)</f>
        <v/>
      </c>
      <c r="H539" t="str">
        <f>IF($A539="","",IF(Entry!$H542="",0,Entry!$H542))</f>
        <v/>
      </c>
      <c r="I539" t="str">
        <f>IF($A539="","",IF(Entry!$I542="",0,Entry!$I542))</f>
        <v/>
      </c>
      <c r="J539" t="str">
        <f t="shared" si="58"/>
        <v/>
      </c>
      <c r="K539" t="str">
        <f>IF($A539="","",Entry!$D542)</f>
        <v/>
      </c>
      <c r="L539" t="str">
        <f>IF($A539="","",Entry!$L542)</f>
        <v/>
      </c>
      <c r="N539" t="str">
        <f>IF(OR(Sync!$M539="",$Q539="",$Q539="نامعتبر"),"",Sync!$M539)</f>
        <v/>
      </c>
      <c r="O539" t="str">
        <f t="shared" si="59"/>
        <v/>
      </c>
      <c r="P539" t="str">
        <f>IF($N539="","",LEFT($Q539,4)&amp;MID($Q539,6,2)&amp;RIGHT($Q539,2)&amp;IF(Sync!$K539="","0000",IF(AND(ISNUMBER(Sync!$K539),Sync!$K539&gt;=0,Sync!$K539&lt;1),RIGHT("00"&amp;HOUR(Sync!$K539),2)&amp;RIGHT("00"&amp;MINUTE(Sync!$K539),2),IFERROR(RIGHT("00"&amp;VALUE(LEFT(Sync!$K539,FIND(":",Sync!$K539)-1)),2)&amp;RIGHT("00"&amp;VALUE(MID(Sync!$K539,FIND(":",Sync!$K539)+1,2)),2),"0000")))&amp;"|"&amp;"2"&amp;RIGHT("00000"&amp;534,5))</f>
        <v/>
      </c>
      <c r="Q539" t="str">
        <f>IF(Sync!$J539="","",IF(ISNUMBER(Sync!$J539),IF(AND(Sync!$J539&gt;=10000101,Sync!$J539&lt;=99991231),INT(Sync!$J539/10000)&amp;"/"&amp;RIGHT("00"&amp;INT(MOD(Sync!$J539,10000)/100),2)&amp;"/"&amp;RIGHT("00"&amp;MOD(Sync!$J539,100),2),"نامعتبر"),IF(LEN(Sync!$J539)=10,Sync!$J539,"نامعتبر")))</f>
        <v/>
      </c>
      <c r="R539" t="str">
        <f t="shared" si="60"/>
        <v/>
      </c>
      <c r="S539" t="str">
        <f t="shared" si="61"/>
        <v/>
      </c>
      <c r="T539" t="str">
        <f>IF($N539="","",IF(Sync!$N539="",0,Sync!$N539))</f>
        <v/>
      </c>
      <c r="U539" t="str">
        <f>IF($N539="","",IF(Sync!$O539="",0,Sync!$O539))</f>
        <v/>
      </c>
      <c r="V539" t="str">
        <f>IF($N539="","",Sync!$L539)</f>
        <v/>
      </c>
      <c r="W539" t="str">
        <f>IF($N539="","",Sync!$P539)</f>
        <v/>
      </c>
      <c r="AA539" t="str">
        <f>IF($A539="","",IF(COUNTIF($A$6:$A539,$A539)=1,1,0))</f>
        <v/>
      </c>
      <c r="AB539">
        <f>SUM($AA$6:$AA539)</f>
        <v>3</v>
      </c>
      <c r="AC539" t="str">
        <f t="shared" si="62"/>
        <v/>
      </c>
    </row>
    <row r="540" spans="1:29" x14ac:dyDescent="0.2">
      <c r="A540" t="str">
        <f>IF(OR(Entry!$B543="",Entry!$E543="",$E540="نامعتبر"),"",Entry!$E543)</f>
        <v/>
      </c>
      <c r="B540" t="str">
        <f>IF($A540="","",LEFT($E540,4)&amp;MID($E540,6,2)&amp;RIGHT($E540,2)&amp;$F540&amp;"|"&amp;"1"&amp;RIGHT("00000"&amp;535,5))</f>
        <v/>
      </c>
      <c r="C540" t="str">
        <f t="shared" si="56"/>
        <v/>
      </c>
      <c r="D540" t="str">
        <f t="shared" si="57"/>
        <v/>
      </c>
      <c r="E540" t="str">
        <f>IF(Entry!$B543="","",IF(ISNUMBER(Entry!$B543),IF(AND(Entry!$B543&gt;=10000101,Entry!$B543&lt;=99991231),INT(Entry!$B543/10000)&amp;"/"&amp;RIGHT("00"&amp;INT(MOD(Entry!$B543,10000)/100),2)&amp;"/"&amp;RIGHT("00"&amp;MOD(Entry!$B543,100),2),"نامعتبر"),IF(LEN(Entry!$B543)=10,Entry!$B543,"نامعتبر")))</f>
        <v/>
      </c>
      <c r="F540" t="str">
        <f>IF(Entry!$B543="","",IF(Entry!$C543="","0000",IF(AND(ISNUMBER(Entry!$C543),Entry!$C543&gt;=0,Entry!$C543&lt;1),RIGHT("00"&amp;HOUR(Entry!$C543),2)&amp;RIGHT("00"&amp;MINUTE(Entry!$C543),2),IFERROR(RIGHT("00"&amp;VALUE(LEFT(Entry!$C543,FIND(":",Entry!$C543)-1)),2)&amp;RIGHT("00"&amp;VALUE(MID(Entry!$C543,FIND(":",Entry!$C543)+1,2)),2),"0000"))))</f>
        <v/>
      </c>
      <c r="G540" t="str">
        <f>IF($A540="","",Entry!$G543)</f>
        <v/>
      </c>
      <c r="H540" t="str">
        <f>IF($A540="","",IF(Entry!$H543="",0,Entry!$H543))</f>
        <v/>
      </c>
      <c r="I540" t="str">
        <f>IF($A540="","",IF(Entry!$I543="",0,Entry!$I543))</f>
        <v/>
      </c>
      <c r="J540" t="str">
        <f t="shared" si="58"/>
        <v/>
      </c>
      <c r="K540" t="str">
        <f>IF($A540="","",Entry!$D543)</f>
        <v/>
      </c>
      <c r="L540" t="str">
        <f>IF($A540="","",Entry!$L543)</f>
        <v/>
      </c>
      <c r="N540" t="str">
        <f>IF(OR(Sync!$M540="",$Q540="",$Q540="نامعتبر"),"",Sync!$M540)</f>
        <v/>
      </c>
      <c r="O540" t="str">
        <f t="shared" si="59"/>
        <v/>
      </c>
      <c r="P540" t="str">
        <f>IF($N540="","",LEFT($Q540,4)&amp;MID($Q540,6,2)&amp;RIGHT($Q540,2)&amp;IF(Sync!$K540="","0000",IF(AND(ISNUMBER(Sync!$K540),Sync!$K540&gt;=0,Sync!$K540&lt;1),RIGHT("00"&amp;HOUR(Sync!$K540),2)&amp;RIGHT("00"&amp;MINUTE(Sync!$K540),2),IFERROR(RIGHT("00"&amp;VALUE(LEFT(Sync!$K540,FIND(":",Sync!$K540)-1)),2)&amp;RIGHT("00"&amp;VALUE(MID(Sync!$K540,FIND(":",Sync!$K540)+1,2)),2),"0000")))&amp;"|"&amp;"2"&amp;RIGHT("00000"&amp;535,5))</f>
        <v/>
      </c>
      <c r="Q540" t="str">
        <f>IF(Sync!$J540="","",IF(ISNUMBER(Sync!$J540),IF(AND(Sync!$J540&gt;=10000101,Sync!$J540&lt;=99991231),INT(Sync!$J540/10000)&amp;"/"&amp;RIGHT("00"&amp;INT(MOD(Sync!$J540,10000)/100),2)&amp;"/"&amp;RIGHT("00"&amp;MOD(Sync!$J540,100),2),"نامعتبر"),IF(LEN(Sync!$J540)=10,Sync!$J540,"نامعتبر")))</f>
        <v/>
      </c>
      <c r="R540" t="str">
        <f t="shared" si="60"/>
        <v/>
      </c>
      <c r="S540" t="str">
        <f t="shared" si="61"/>
        <v/>
      </c>
      <c r="T540" t="str">
        <f>IF($N540="","",IF(Sync!$N540="",0,Sync!$N540))</f>
        <v/>
      </c>
      <c r="U540" t="str">
        <f>IF($N540="","",IF(Sync!$O540="",0,Sync!$O540))</f>
        <v/>
      </c>
      <c r="V540" t="str">
        <f>IF($N540="","",Sync!$L540)</f>
        <v/>
      </c>
      <c r="W540" t="str">
        <f>IF($N540="","",Sync!$P540)</f>
        <v/>
      </c>
      <c r="AA540" t="str">
        <f>IF($A540="","",IF(COUNTIF($A$6:$A540,$A540)=1,1,0))</f>
        <v/>
      </c>
      <c r="AB540">
        <f>SUM($AA$6:$AA540)</f>
        <v>3</v>
      </c>
      <c r="AC540" t="str">
        <f t="shared" si="62"/>
        <v/>
      </c>
    </row>
    <row r="541" spans="1:29" x14ac:dyDescent="0.2">
      <c r="A541" t="str">
        <f>IF(OR(Entry!$B544="",Entry!$E544="",$E541="نامعتبر"),"",Entry!$E544)</f>
        <v/>
      </c>
      <c r="B541" t="str">
        <f>IF($A541="","",LEFT($E541,4)&amp;MID($E541,6,2)&amp;RIGHT($E541,2)&amp;$F541&amp;"|"&amp;"1"&amp;RIGHT("00000"&amp;536,5))</f>
        <v/>
      </c>
      <c r="C541" t="str">
        <f t="shared" si="56"/>
        <v/>
      </c>
      <c r="D541" t="str">
        <f t="shared" si="57"/>
        <v/>
      </c>
      <c r="E541" t="str">
        <f>IF(Entry!$B544="","",IF(ISNUMBER(Entry!$B544),IF(AND(Entry!$B544&gt;=10000101,Entry!$B544&lt;=99991231),INT(Entry!$B544/10000)&amp;"/"&amp;RIGHT("00"&amp;INT(MOD(Entry!$B544,10000)/100),2)&amp;"/"&amp;RIGHT("00"&amp;MOD(Entry!$B544,100),2),"نامعتبر"),IF(LEN(Entry!$B544)=10,Entry!$B544,"نامعتبر")))</f>
        <v/>
      </c>
      <c r="F541" t="str">
        <f>IF(Entry!$B544="","",IF(Entry!$C544="","0000",IF(AND(ISNUMBER(Entry!$C544),Entry!$C544&gt;=0,Entry!$C544&lt;1),RIGHT("00"&amp;HOUR(Entry!$C544),2)&amp;RIGHT("00"&amp;MINUTE(Entry!$C544),2),IFERROR(RIGHT("00"&amp;VALUE(LEFT(Entry!$C544,FIND(":",Entry!$C544)-1)),2)&amp;RIGHT("00"&amp;VALUE(MID(Entry!$C544,FIND(":",Entry!$C544)+1,2)),2),"0000"))))</f>
        <v/>
      </c>
      <c r="G541" t="str">
        <f>IF($A541="","",Entry!$G544)</f>
        <v/>
      </c>
      <c r="H541" t="str">
        <f>IF($A541="","",IF(Entry!$H544="",0,Entry!$H544))</f>
        <v/>
      </c>
      <c r="I541" t="str">
        <f>IF($A541="","",IF(Entry!$I544="",0,Entry!$I544))</f>
        <v/>
      </c>
      <c r="J541" t="str">
        <f t="shared" si="58"/>
        <v/>
      </c>
      <c r="K541" t="str">
        <f>IF($A541="","",Entry!$D544)</f>
        <v/>
      </c>
      <c r="L541" t="str">
        <f>IF($A541="","",Entry!$L544)</f>
        <v/>
      </c>
      <c r="N541" t="str">
        <f>IF(OR(Sync!$M541="",$Q541="",$Q541="نامعتبر"),"",Sync!$M541)</f>
        <v/>
      </c>
      <c r="O541" t="str">
        <f t="shared" si="59"/>
        <v/>
      </c>
      <c r="P541" t="str">
        <f>IF($N541="","",LEFT($Q541,4)&amp;MID($Q541,6,2)&amp;RIGHT($Q541,2)&amp;IF(Sync!$K541="","0000",IF(AND(ISNUMBER(Sync!$K541),Sync!$K541&gt;=0,Sync!$K541&lt;1),RIGHT("00"&amp;HOUR(Sync!$K541),2)&amp;RIGHT("00"&amp;MINUTE(Sync!$K541),2),IFERROR(RIGHT("00"&amp;VALUE(LEFT(Sync!$K541,FIND(":",Sync!$K541)-1)),2)&amp;RIGHT("00"&amp;VALUE(MID(Sync!$K541,FIND(":",Sync!$K541)+1,2)),2),"0000")))&amp;"|"&amp;"2"&amp;RIGHT("00000"&amp;536,5))</f>
        <v/>
      </c>
      <c r="Q541" t="str">
        <f>IF(Sync!$J541="","",IF(ISNUMBER(Sync!$J541),IF(AND(Sync!$J541&gt;=10000101,Sync!$J541&lt;=99991231),INT(Sync!$J541/10000)&amp;"/"&amp;RIGHT("00"&amp;INT(MOD(Sync!$J541,10000)/100),2)&amp;"/"&amp;RIGHT("00"&amp;MOD(Sync!$J541,100),2),"نامعتبر"),IF(LEN(Sync!$J541)=10,Sync!$J541,"نامعتبر")))</f>
        <v/>
      </c>
      <c r="R541" t="str">
        <f t="shared" si="60"/>
        <v/>
      </c>
      <c r="S541" t="str">
        <f t="shared" si="61"/>
        <v/>
      </c>
      <c r="T541" t="str">
        <f>IF($N541="","",IF(Sync!$N541="",0,Sync!$N541))</f>
        <v/>
      </c>
      <c r="U541" t="str">
        <f>IF($N541="","",IF(Sync!$O541="",0,Sync!$O541))</f>
        <v/>
      </c>
      <c r="V541" t="str">
        <f>IF($N541="","",Sync!$L541)</f>
        <v/>
      </c>
      <c r="W541" t="str">
        <f>IF($N541="","",Sync!$P541)</f>
        <v/>
      </c>
      <c r="AA541" t="str">
        <f>IF($A541="","",IF(COUNTIF($A$6:$A541,$A541)=1,1,0))</f>
        <v/>
      </c>
      <c r="AB541">
        <f>SUM($AA$6:$AA541)</f>
        <v>3</v>
      </c>
      <c r="AC541" t="str">
        <f t="shared" si="62"/>
        <v/>
      </c>
    </row>
    <row r="542" spans="1:29" x14ac:dyDescent="0.2">
      <c r="A542" t="str">
        <f>IF(OR(Entry!$B545="",Entry!$E545="",$E542="نامعتبر"),"",Entry!$E545)</f>
        <v/>
      </c>
      <c r="B542" t="str">
        <f>IF($A542="","",LEFT($E542,4)&amp;MID($E542,6,2)&amp;RIGHT($E542,2)&amp;$F542&amp;"|"&amp;"1"&amp;RIGHT("00000"&amp;537,5))</f>
        <v/>
      </c>
      <c r="C542" t="str">
        <f t="shared" si="56"/>
        <v/>
      </c>
      <c r="D542" t="str">
        <f t="shared" si="57"/>
        <v/>
      </c>
      <c r="E542" t="str">
        <f>IF(Entry!$B545="","",IF(ISNUMBER(Entry!$B545),IF(AND(Entry!$B545&gt;=10000101,Entry!$B545&lt;=99991231),INT(Entry!$B545/10000)&amp;"/"&amp;RIGHT("00"&amp;INT(MOD(Entry!$B545,10000)/100),2)&amp;"/"&amp;RIGHT("00"&amp;MOD(Entry!$B545,100),2),"نامعتبر"),IF(LEN(Entry!$B545)=10,Entry!$B545,"نامعتبر")))</f>
        <v/>
      </c>
      <c r="F542" t="str">
        <f>IF(Entry!$B545="","",IF(Entry!$C545="","0000",IF(AND(ISNUMBER(Entry!$C545),Entry!$C545&gt;=0,Entry!$C545&lt;1),RIGHT("00"&amp;HOUR(Entry!$C545),2)&amp;RIGHT("00"&amp;MINUTE(Entry!$C545),2),IFERROR(RIGHT("00"&amp;VALUE(LEFT(Entry!$C545,FIND(":",Entry!$C545)-1)),2)&amp;RIGHT("00"&amp;VALUE(MID(Entry!$C545,FIND(":",Entry!$C545)+1,2)),2),"0000"))))</f>
        <v/>
      </c>
      <c r="G542" t="str">
        <f>IF($A542="","",Entry!$G545)</f>
        <v/>
      </c>
      <c r="H542" t="str">
        <f>IF($A542="","",IF(Entry!$H545="",0,Entry!$H545))</f>
        <v/>
      </c>
      <c r="I542" t="str">
        <f>IF($A542="","",IF(Entry!$I545="",0,Entry!$I545))</f>
        <v/>
      </c>
      <c r="J542" t="str">
        <f t="shared" si="58"/>
        <v/>
      </c>
      <c r="K542" t="str">
        <f>IF($A542="","",Entry!$D545)</f>
        <v/>
      </c>
      <c r="L542" t="str">
        <f>IF($A542="","",Entry!$L545)</f>
        <v/>
      </c>
      <c r="N542" t="str">
        <f>IF(OR(Sync!$M542="",$Q542="",$Q542="نامعتبر"),"",Sync!$M542)</f>
        <v/>
      </c>
      <c r="O542" t="str">
        <f t="shared" si="59"/>
        <v/>
      </c>
      <c r="P542" t="str">
        <f>IF($N542="","",LEFT($Q542,4)&amp;MID($Q542,6,2)&amp;RIGHT($Q542,2)&amp;IF(Sync!$K542="","0000",IF(AND(ISNUMBER(Sync!$K542),Sync!$K542&gt;=0,Sync!$K542&lt;1),RIGHT("00"&amp;HOUR(Sync!$K542),2)&amp;RIGHT("00"&amp;MINUTE(Sync!$K542),2),IFERROR(RIGHT("00"&amp;VALUE(LEFT(Sync!$K542,FIND(":",Sync!$K542)-1)),2)&amp;RIGHT("00"&amp;VALUE(MID(Sync!$K542,FIND(":",Sync!$K542)+1,2)),2),"0000")))&amp;"|"&amp;"2"&amp;RIGHT("00000"&amp;537,5))</f>
        <v/>
      </c>
      <c r="Q542" t="str">
        <f>IF(Sync!$J542="","",IF(ISNUMBER(Sync!$J542),IF(AND(Sync!$J542&gt;=10000101,Sync!$J542&lt;=99991231),INT(Sync!$J542/10000)&amp;"/"&amp;RIGHT("00"&amp;INT(MOD(Sync!$J542,10000)/100),2)&amp;"/"&amp;RIGHT("00"&amp;MOD(Sync!$J542,100),2),"نامعتبر"),IF(LEN(Sync!$J542)=10,Sync!$J542,"نامعتبر")))</f>
        <v/>
      </c>
      <c r="R542" t="str">
        <f t="shared" si="60"/>
        <v/>
      </c>
      <c r="S542" t="str">
        <f t="shared" si="61"/>
        <v/>
      </c>
      <c r="T542" t="str">
        <f>IF($N542="","",IF(Sync!$N542="",0,Sync!$N542))</f>
        <v/>
      </c>
      <c r="U542" t="str">
        <f>IF($N542="","",IF(Sync!$O542="",0,Sync!$O542))</f>
        <v/>
      </c>
      <c r="V542" t="str">
        <f>IF($N542="","",Sync!$L542)</f>
        <v/>
      </c>
      <c r="W542" t="str">
        <f>IF($N542="","",Sync!$P542)</f>
        <v/>
      </c>
      <c r="AA542" t="str">
        <f>IF($A542="","",IF(COUNTIF($A$6:$A542,$A542)=1,1,0))</f>
        <v/>
      </c>
      <c r="AB542">
        <f>SUM($AA$6:$AA542)</f>
        <v>3</v>
      </c>
      <c r="AC542" t="str">
        <f t="shared" si="62"/>
        <v/>
      </c>
    </row>
    <row r="543" spans="1:29" x14ac:dyDescent="0.2">
      <c r="A543" t="str">
        <f>IF(OR(Entry!$B546="",Entry!$E546="",$E543="نامعتبر"),"",Entry!$E546)</f>
        <v/>
      </c>
      <c r="B543" t="str">
        <f>IF($A543="","",LEFT($E543,4)&amp;MID($E543,6,2)&amp;RIGHT($E543,2)&amp;$F543&amp;"|"&amp;"1"&amp;RIGHT("00000"&amp;538,5))</f>
        <v/>
      </c>
      <c r="C543" t="str">
        <f t="shared" si="56"/>
        <v/>
      </c>
      <c r="D543" t="str">
        <f t="shared" si="57"/>
        <v/>
      </c>
      <c r="E543" t="str">
        <f>IF(Entry!$B546="","",IF(ISNUMBER(Entry!$B546),IF(AND(Entry!$B546&gt;=10000101,Entry!$B546&lt;=99991231),INT(Entry!$B546/10000)&amp;"/"&amp;RIGHT("00"&amp;INT(MOD(Entry!$B546,10000)/100),2)&amp;"/"&amp;RIGHT("00"&amp;MOD(Entry!$B546,100),2),"نامعتبر"),IF(LEN(Entry!$B546)=10,Entry!$B546,"نامعتبر")))</f>
        <v/>
      </c>
      <c r="F543" t="str">
        <f>IF(Entry!$B546="","",IF(Entry!$C546="","0000",IF(AND(ISNUMBER(Entry!$C546),Entry!$C546&gt;=0,Entry!$C546&lt;1),RIGHT("00"&amp;HOUR(Entry!$C546),2)&amp;RIGHT("00"&amp;MINUTE(Entry!$C546),2),IFERROR(RIGHT("00"&amp;VALUE(LEFT(Entry!$C546,FIND(":",Entry!$C546)-1)),2)&amp;RIGHT("00"&amp;VALUE(MID(Entry!$C546,FIND(":",Entry!$C546)+1,2)),2),"0000"))))</f>
        <v/>
      </c>
      <c r="G543" t="str">
        <f>IF($A543="","",Entry!$G546)</f>
        <v/>
      </c>
      <c r="H543" t="str">
        <f>IF($A543="","",IF(Entry!$H546="",0,Entry!$H546))</f>
        <v/>
      </c>
      <c r="I543" t="str">
        <f>IF($A543="","",IF(Entry!$I546="",0,Entry!$I546))</f>
        <v/>
      </c>
      <c r="J543" t="str">
        <f t="shared" si="58"/>
        <v/>
      </c>
      <c r="K543" t="str">
        <f>IF($A543="","",Entry!$D546)</f>
        <v/>
      </c>
      <c r="L543" t="str">
        <f>IF($A543="","",Entry!$L546)</f>
        <v/>
      </c>
      <c r="N543" t="str">
        <f>IF(OR(Sync!$M543="",$Q543="",$Q543="نامعتبر"),"",Sync!$M543)</f>
        <v/>
      </c>
      <c r="O543" t="str">
        <f t="shared" si="59"/>
        <v/>
      </c>
      <c r="P543" t="str">
        <f>IF($N543="","",LEFT($Q543,4)&amp;MID($Q543,6,2)&amp;RIGHT($Q543,2)&amp;IF(Sync!$K543="","0000",IF(AND(ISNUMBER(Sync!$K543),Sync!$K543&gt;=0,Sync!$K543&lt;1),RIGHT("00"&amp;HOUR(Sync!$K543),2)&amp;RIGHT("00"&amp;MINUTE(Sync!$K543),2),IFERROR(RIGHT("00"&amp;VALUE(LEFT(Sync!$K543,FIND(":",Sync!$K543)-1)),2)&amp;RIGHT("00"&amp;VALUE(MID(Sync!$K543,FIND(":",Sync!$K543)+1,2)),2),"0000")))&amp;"|"&amp;"2"&amp;RIGHT("00000"&amp;538,5))</f>
        <v/>
      </c>
      <c r="Q543" t="str">
        <f>IF(Sync!$J543="","",IF(ISNUMBER(Sync!$J543),IF(AND(Sync!$J543&gt;=10000101,Sync!$J543&lt;=99991231),INT(Sync!$J543/10000)&amp;"/"&amp;RIGHT("00"&amp;INT(MOD(Sync!$J543,10000)/100),2)&amp;"/"&amp;RIGHT("00"&amp;MOD(Sync!$J543,100),2),"نامعتبر"),IF(LEN(Sync!$J543)=10,Sync!$J543,"نامعتبر")))</f>
        <v/>
      </c>
      <c r="R543" t="str">
        <f t="shared" si="60"/>
        <v/>
      </c>
      <c r="S543" t="str">
        <f t="shared" si="61"/>
        <v/>
      </c>
      <c r="T543" t="str">
        <f>IF($N543="","",IF(Sync!$N543="",0,Sync!$N543))</f>
        <v/>
      </c>
      <c r="U543" t="str">
        <f>IF($N543="","",IF(Sync!$O543="",0,Sync!$O543))</f>
        <v/>
      </c>
      <c r="V543" t="str">
        <f>IF($N543="","",Sync!$L543)</f>
        <v/>
      </c>
      <c r="W543" t="str">
        <f>IF($N543="","",Sync!$P543)</f>
        <v/>
      </c>
      <c r="AA543" t="str">
        <f>IF($A543="","",IF(COUNTIF($A$6:$A543,$A543)=1,1,0))</f>
        <v/>
      </c>
      <c r="AB543">
        <f>SUM($AA$6:$AA543)</f>
        <v>3</v>
      </c>
      <c r="AC543" t="str">
        <f t="shared" si="62"/>
        <v/>
      </c>
    </row>
    <row r="544" spans="1:29" x14ac:dyDescent="0.2">
      <c r="A544" t="str">
        <f>IF(OR(Entry!$B547="",Entry!$E547="",$E544="نامعتبر"),"",Entry!$E547)</f>
        <v/>
      </c>
      <c r="B544" t="str">
        <f>IF($A544="","",LEFT($E544,4)&amp;MID($E544,6,2)&amp;RIGHT($E544,2)&amp;$F544&amp;"|"&amp;"1"&amp;RIGHT("00000"&amp;539,5))</f>
        <v/>
      </c>
      <c r="C544" t="str">
        <f t="shared" si="56"/>
        <v/>
      </c>
      <c r="D544" t="str">
        <f t="shared" si="57"/>
        <v/>
      </c>
      <c r="E544" t="str">
        <f>IF(Entry!$B547="","",IF(ISNUMBER(Entry!$B547),IF(AND(Entry!$B547&gt;=10000101,Entry!$B547&lt;=99991231),INT(Entry!$B547/10000)&amp;"/"&amp;RIGHT("00"&amp;INT(MOD(Entry!$B547,10000)/100),2)&amp;"/"&amp;RIGHT("00"&amp;MOD(Entry!$B547,100),2),"نامعتبر"),IF(LEN(Entry!$B547)=10,Entry!$B547,"نامعتبر")))</f>
        <v/>
      </c>
      <c r="F544" t="str">
        <f>IF(Entry!$B547="","",IF(Entry!$C547="","0000",IF(AND(ISNUMBER(Entry!$C547),Entry!$C547&gt;=0,Entry!$C547&lt;1),RIGHT("00"&amp;HOUR(Entry!$C547),2)&amp;RIGHT("00"&amp;MINUTE(Entry!$C547),2),IFERROR(RIGHT("00"&amp;VALUE(LEFT(Entry!$C547,FIND(":",Entry!$C547)-1)),2)&amp;RIGHT("00"&amp;VALUE(MID(Entry!$C547,FIND(":",Entry!$C547)+1,2)),2),"0000"))))</f>
        <v/>
      </c>
      <c r="G544" t="str">
        <f>IF($A544="","",Entry!$G547)</f>
        <v/>
      </c>
      <c r="H544" t="str">
        <f>IF($A544="","",IF(Entry!$H547="",0,Entry!$H547))</f>
        <v/>
      </c>
      <c r="I544" t="str">
        <f>IF($A544="","",IF(Entry!$I547="",0,Entry!$I547))</f>
        <v/>
      </c>
      <c r="J544" t="str">
        <f t="shared" si="58"/>
        <v/>
      </c>
      <c r="K544" t="str">
        <f>IF($A544="","",Entry!$D547)</f>
        <v/>
      </c>
      <c r="L544" t="str">
        <f>IF($A544="","",Entry!$L547)</f>
        <v/>
      </c>
      <c r="N544" t="str">
        <f>IF(OR(Sync!$M544="",$Q544="",$Q544="نامعتبر"),"",Sync!$M544)</f>
        <v/>
      </c>
      <c r="O544" t="str">
        <f t="shared" si="59"/>
        <v/>
      </c>
      <c r="P544" t="str">
        <f>IF($N544="","",LEFT($Q544,4)&amp;MID($Q544,6,2)&amp;RIGHT($Q544,2)&amp;IF(Sync!$K544="","0000",IF(AND(ISNUMBER(Sync!$K544),Sync!$K544&gt;=0,Sync!$K544&lt;1),RIGHT("00"&amp;HOUR(Sync!$K544),2)&amp;RIGHT("00"&amp;MINUTE(Sync!$K544),2),IFERROR(RIGHT("00"&amp;VALUE(LEFT(Sync!$K544,FIND(":",Sync!$K544)-1)),2)&amp;RIGHT("00"&amp;VALUE(MID(Sync!$K544,FIND(":",Sync!$K544)+1,2)),2),"0000")))&amp;"|"&amp;"2"&amp;RIGHT("00000"&amp;539,5))</f>
        <v/>
      </c>
      <c r="Q544" t="str">
        <f>IF(Sync!$J544="","",IF(ISNUMBER(Sync!$J544),IF(AND(Sync!$J544&gt;=10000101,Sync!$J544&lt;=99991231),INT(Sync!$J544/10000)&amp;"/"&amp;RIGHT("00"&amp;INT(MOD(Sync!$J544,10000)/100),2)&amp;"/"&amp;RIGHT("00"&amp;MOD(Sync!$J544,100),2),"نامعتبر"),IF(LEN(Sync!$J544)=10,Sync!$J544,"نامعتبر")))</f>
        <v/>
      </c>
      <c r="R544" t="str">
        <f t="shared" si="60"/>
        <v/>
      </c>
      <c r="S544" t="str">
        <f t="shared" si="61"/>
        <v/>
      </c>
      <c r="T544" t="str">
        <f>IF($N544="","",IF(Sync!$N544="",0,Sync!$N544))</f>
        <v/>
      </c>
      <c r="U544" t="str">
        <f>IF($N544="","",IF(Sync!$O544="",0,Sync!$O544))</f>
        <v/>
      </c>
      <c r="V544" t="str">
        <f>IF($N544="","",Sync!$L544)</f>
        <v/>
      </c>
      <c r="W544" t="str">
        <f>IF($N544="","",Sync!$P544)</f>
        <v/>
      </c>
      <c r="AA544" t="str">
        <f>IF($A544="","",IF(COUNTIF($A$6:$A544,$A544)=1,1,0))</f>
        <v/>
      </c>
      <c r="AB544">
        <f>SUM($AA$6:$AA544)</f>
        <v>3</v>
      </c>
      <c r="AC544" t="str">
        <f t="shared" si="62"/>
        <v/>
      </c>
    </row>
    <row r="545" spans="1:29" x14ac:dyDescent="0.2">
      <c r="A545" t="str">
        <f>IF(OR(Entry!$B548="",Entry!$E548="",$E545="نامعتبر"),"",Entry!$E548)</f>
        <v/>
      </c>
      <c r="B545" t="str">
        <f>IF($A545="","",LEFT($E545,4)&amp;MID($E545,6,2)&amp;RIGHT($E545,2)&amp;$F545&amp;"|"&amp;"1"&amp;RIGHT("00000"&amp;540,5))</f>
        <v/>
      </c>
      <c r="C545" t="str">
        <f t="shared" si="56"/>
        <v/>
      </c>
      <c r="D545" t="str">
        <f t="shared" si="57"/>
        <v/>
      </c>
      <c r="E545" t="str">
        <f>IF(Entry!$B548="","",IF(ISNUMBER(Entry!$B548),IF(AND(Entry!$B548&gt;=10000101,Entry!$B548&lt;=99991231),INT(Entry!$B548/10000)&amp;"/"&amp;RIGHT("00"&amp;INT(MOD(Entry!$B548,10000)/100),2)&amp;"/"&amp;RIGHT("00"&amp;MOD(Entry!$B548,100),2),"نامعتبر"),IF(LEN(Entry!$B548)=10,Entry!$B548,"نامعتبر")))</f>
        <v/>
      </c>
      <c r="F545" t="str">
        <f>IF(Entry!$B548="","",IF(Entry!$C548="","0000",IF(AND(ISNUMBER(Entry!$C548),Entry!$C548&gt;=0,Entry!$C548&lt;1),RIGHT("00"&amp;HOUR(Entry!$C548),2)&amp;RIGHT("00"&amp;MINUTE(Entry!$C548),2),IFERROR(RIGHT("00"&amp;VALUE(LEFT(Entry!$C548,FIND(":",Entry!$C548)-1)),2)&amp;RIGHT("00"&amp;VALUE(MID(Entry!$C548,FIND(":",Entry!$C548)+1,2)),2),"0000"))))</f>
        <v/>
      </c>
      <c r="G545" t="str">
        <f>IF($A545="","",Entry!$G548)</f>
        <v/>
      </c>
      <c r="H545" t="str">
        <f>IF($A545="","",IF(Entry!$H548="",0,Entry!$H548))</f>
        <v/>
      </c>
      <c r="I545" t="str">
        <f>IF($A545="","",IF(Entry!$I548="",0,Entry!$I548))</f>
        <v/>
      </c>
      <c r="J545" t="str">
        <f t="shared" si="58"/>
        <v/>
      </c>
      <c r="K545" t="str">
        <f>IF($A545="","",Entry!$D548)</f>
        <v/>
      </c>
      <c r="L545" t="str">
        <f>IF($A545="","",Entry!$L548)</f>
        <v/>
      </c>
      <c r="N545" t="str">
        <f>IF(OR(Sync!$M545="",$Q545="",$Q545="نامعتبر"),"",Sync!$M545)</f>
        <v/>
      </c>
      <c r="O545" t="str">
        <f t="shared" si="59"/>
        <v/>
      </c>
      <c r="P545" t="str">
        <f>IF($N545="","",LEFT($Q545,4)&amp;MID($Q545,6,2)&amp;RIGHT($Q545,2)&amp;IF(Sync!$K545="","0000",IF(AND(ISNUMBER(Sync!$K545),Sync!$K545&gt;=0,Sync!$K545&lt;1),RIGHT("00"&amp;HOUR(Sync!$K545),2)&amp;RIGHT("00"&amp;MINUTE(Sync!$K545),2),IFERROR(RIGHT("00"&amp;VALUE(LEFT(Sync!$K545,FIND(":",Sync!$K545)-1)),2)&amp;RIGHT("00"&amp;VALUE(MID(Sync!$K545,FIND(":",Sync!$K545)+1,2)),2),"0000")))&amp;"|"&amp;"2"&amp;RIGHT("00000"&amp;540,5))</f>
        <v/>
      </c>
      <c r="Q545" t="str">
        <f>IF(Sync!$J545="","",IF(ISNUMBER(Sync!$J545),IF(AND(Sync!$J545&gt;=10000101,Sync!$J545&lt;=99991231),INT(Sync!$J545/10000)&amp;"/"&amp;RIGHT("00"&amp;INT(MOD(Sync!$J545,10000)/100),2)&amp;"/"&amp;RIGHT("00"&amp;MOD(Sync!$J545,100),2),"نامعتبر"),IF(LEN(Sync!$J545)=10,Sync!$J545,"نامعتبر")))</f>
        <v/>
      </c>
      <c r="R545" t="str">
        <f t="shared" si="60"/>
        <v/>
      </c>
      <c r="S545" t="str">
        <f t="shared" si="61"/>
        <v/>
      </c>
      <c r="T545" t="str">
        <f>IF($N545="","",IF(Sync!$N545="",0,Sync!$N545))</f>
        <v/>
      </c>
      <c r="U545" t="str">
        <f>IF($N545="","",IF(Sync!$O545="",0,Sync!$O545))</f>
        <v/>
      </c>
      <c r="V545" t="str">
        <f>IF($N545="","",Sync!$L545)</f>
        <v/>
      </c>
      <c r="W545" t="str">
        <f>IF($N545="","",Sync!$P545)</f>
        <v/>
      </c>
      <c r="AA545" t="str">
        <f>IF($A545="","",IF(COUNTIF($A$6:$A545,$A545)=1,1,0))</f>
        <v/>
      </c>
      <c r="AB545">
        <f>SUM($AA$6:$AA545)</f>
        <v>3</v>
      </c>
      <c r="AC545" t="str">
        <f t="shared" si="62"/>
        <v/>
      </c>
    </row>
    <row r="546" spans="1:29" x14ac:dyDescent="0.2">
      <c r="A546" t="str">
        <f>IF(OR(Entry!$B549="",Entry!$E549="",$E546="نامعتبر"),"",Entry!$E549)</f>
        <v/>
      </c>
      <c r="B546" t="str">
        <f>IF($A546="","",LEFT($E546,4)&amp;MID($E546,6,2)&amp;RIGHT($E546,2)&amp;$F546&amp;"|"&amp;"1"&amp;RIGHT("00000"&amp;541,5))</f>
        <v/>
      </c>
      <c r="C546" t="str">
        <f t="shared" si="56"/>
        <v/>
      </c>
      <c r="D546" t="str">
        <f t="shared" si="57"/>
        <v/>
      </c>
      <c r="E546" t="str">
        <f>IF(Entry!$B549="","",IF(ISNUMBER(Entry!$B549),IF(AND(Entry!$B549&gt;=10000101,Entry!$B549&lt;=99991231),INT(Entry!$B549/10000)&amp;"/"&amp;RIGHT("00"&amp;INT(MOD(Entry!$B549,10000)/100),2)&amp;"/"&amp;RIGHT("00"&amp;MOD(Entry!$B549,100),2),"نامعتبر"),IF(LEN(Entry!$B549)=10,Entry!$B549,"نامعتبر")))</f>
        <v/>
      </c>
      <c r="F546" t="str">
        <f>IF(Entry!$B549="","",IF(Entry!$C549="","0000",IF(AND(ISNUMBER(Entry!$C549),Entry!$C549&gt;=0,Entry!$C549&lt;1),RIGHT("00"&amp;HOUR(Entry!$C549),2)&amp;RIGHT("00"&amp;MINUTE(Entry!$C549),2),IFERROR(RIGHT("00"&amp;VALUE(LEFT(Entry!$C549,FIND(":",Entry!$C549)-1)),2)&amp;RIGHT("00"&amp;VALUE(MID(Entry!$C549,FIND(":",Entry!$C549)+1,2)),2),"0000"))))</f>
        <v/>
      </c>
      <c r="G546" t="str">
        <f>IF($A546="","",Entry!$G549)</f>
        <v/>
      </c>
      <c r="H546" t="str">
        <f>IF($A546="","",IF(Entry!$H549="",0,Entry!$H549))</f>
        <v/>
      </c>
      <c r="I546" t="str">
        <f>IF($A546="","",IF(Entry!$I549="",0,Entry!$I549))</f>
        <v/>
      </c>
      <c r="J546" t="str">
        <f t="shared" si="58"/>
        <v/>
      </c>
      <c r="K546" t="str">
        <f>IF($A546="","",Entry!$D549)</f>
        <v/>
      </c>
      <c r="L546" t="str">
        <f>IF($A546="","",Entry!$L549)</f>
        <v/>
      </c>
      <c r="N546" t="str">
        <f>IF(OR(Sync!$M546="",$Q546="",$Q546="نامعتبر"),"",Sync!$M546)</f>
        <v/>
      </c>
      <c r="O546" t="str">
        <f t="shared" si="59"/>
        <v/>
      </c>
      <c r="P546" t="str">
        <f>IF($N546="","",LEFT($Q546,4)&amp;MID($Q546,6,2)&amp;RIGHT($Q546,2)&amp;IF(Sync!$K546="","0000",IF(AND(ISNUMBER(Sync!$K546),Sync!$K546&gt;=0,Sync!$K546&lt;1),RIGHT("00"&amp;HOUR(Sync!$K546),2)&amp;RIGHT("00"&amp;MINUTE(Sync!$K546),2),IFERROR(RIGHT("00"&amp;VALUE(LEFT(Sync!$K546,FIND(":",Sync!$K546)-1)),2)&amp;RIGHT("00"&amp;VALUE(MID(Sync!$K546,FIND(":",Sync!$K546)+1,2)),2),"0000")))&amp;"|"&amp;"2"&amp;RIGHT("00000"&amp;541,5))</f>
        <v/>
      </c>
      <c r="Q546" t="str">
        <f>IF(Sync!$J546="","",IF(ISNUMBER(Sync!$J546),IF(AND(Sync!$J546&gt;=10000101,Sync!$J546&lt;=99991231),INT(Sync!$J546/10000)&amp;"/"&amp;RIGHT("00"&amp;INT(MOD(Sync!$J546,10000)/100),2)&amp;"/"&amp;RIGHT("00"&amp;MOD(Sync!$J546,100),2),"نامعتبر"),IF(LEN(Sync!$J546)=10,Sync!$J546,"نامعتبر")))</f>
        <v/>
      </c>
      <c r="R546" t="str">
        <f t="shared" si="60"/>
        <v/>
      </c>
      <c r="S546" t="str">
        <f t="shared" si="61"/>
        <v/>
      </c>
      <c r="T546" t="str">
        <f>IF($N546="","",IF(Sync!$N546="",0,Sync!$N546))</f>
        <v/>
      </c>
      <c r="U546" t="str">
        <f>IF($N546="","",IF(Sync!$O546="",0,Sync!$O546))</f>
        <v/>
      </c>
      <c r="V546" t="str">
        <f>IF($N546="","",Sync!$L546)</f>
        <v/>
      </c>
      <c r="W546" t="str">
        <f>IF($N546="","",Sync!$P546)</f>
        <v/>
      </c>
      <c r="AA546" t="str">
        <f>IF($A546="","",IF(COUNTIF($A$6:$A546,$A546)=1,1,0))</f>
        <v/>
      </c>
      <c r="AB546">
        <f>SUM($AA$6:$AA546)</f>
        <v>3</v>
      </c>
      <c r="AC546" t="str">
        <f t="shared" si="62"/>
        <v/>
      </c>
    </row>
    <row r="547" spans="1:29" x14ac:dyDescent="0.2">
      <c r="A547" t="str">
        <f>IF(OR(Entry!$B550="",Entry!$E550="",$E547="نامعتبر"),"",Entry!$E550)</f>
        <v/>
      </c>
      <c r="B547" t="str">
        <f>IF($A547="","",LEFT($E547,4)&amp;MID($E547,6,2)&amp;RIGHT($E547,2)&amp;$F547&amp;"|"&amp;"1"&amp;RIGHT("00000"&amp;542,5))</f>
        <v/>
      </c>
      <c r="C547" t="str">
        <f t="shared" si="56"/>
        <v/>
      </c>
      <c r="D547" t="str">
        <f t="shared" si="57"/>
        <v/>
      </c>
      <c r="E547" t="str">
        <f>IF(Entry!$B550="","",IF(ISNUMBER(Entry!$B550),IF(AND(Entry!$B550&gt;=10000101,Entry!$B550&lt;=99991231),INT(Entry!$B550/10000)&amp;"/"&amp;RIGHT("00"&amp;INT(MOD(Entry!$B550,10000)/100),2)&amp;"/"&amp;RIGHT("00"&amp;MOD(Entry!$B550,100),2),"نامعتبر"),IF(LEN(Entry!$B550)=10,Entry!$B550,"نامعتبر")))</f>
        <v/>
      </c>
      <c r="F547" t="str">
        <f>IF(Entry!$B550="","",IF(Entry!$C550="","0000",IF(AND(ISNUMBER(Entry!$C550),Entry!$C550&gt;=0,Entry!$C550&lt;1),RIGHT("00"&amp;HOUR(Entry!$C550),2)&amp;RIGHT("00"&amp;MINUTE(Entry!$C550),2),IFERROR(RIGHT("00"&amp;VALUE(LEFT(Entry!$C550,FIND(":",Entry!$C550)-1)),2)&amp;RIGHT("00"&amp;VALUE(MID(Entry!$C550,FIND(":",Entry!$C550)+1,2)),2),"0000"))))</f>
        <v/>
      </c>
      <c r="G547" t="str">
        <f>IF($A547="","",Entry!$G550)</f>
        <v/>
      </c>
      <c r="H547" t="str">
        <f>IF($A547="","",IF(Entry!$H550="",0,Entry!$H550))</f>
        <v/>
      </c>
      <c r="I547" t="str">
        <f>IF($A547="","",IF(Entry!$I550="",0,Entry!$I550))</f>
        <v/>
      </c>
      <c r="J547" t="str">
        <f t="shared" si="58"/>
        <v/>
      </c>
      <c r="K547" t="str">
        <f>IF($A547="","",Entry!$D550)</f>
        <v/>
      </c>
      <c r="L547" t="str">
        <f>IF($A547="","",Entry!$L550)</f>
        <v/>
      </c>
      <c r="N547" t="str">
        <f>IF(OR(Sync!$M547="",$Q547="",$Q547="نامعتبر"),"",Sync!$M547)</f>
        <v/>
      </c>
      <c r="O547" t="str">
        <f t="shared" si="59"/>
        <v/>
      </c>
      <c r="P547" t="str">
        <f>IF($N547="","",LEFT($Q547,4)&amp;MID($Q547,6,2)&amp;RIGHT($Q547,2)&amp;IF(Sync!$K547="","0000",IF(AND(ISNUMBER(Sync!$K547),Sync!$K547&gt;=0,Sync!$K547&lt;1),RIGHT("00"&amp;HOUR(Sync!$K547),2)&amp;RIGHT("00"&amp;MINUTE(Sync!$K547),2),IFERROR(RIGHT("00"&amp;VALUE(LEFT(Sync!$K547,FIND(":",Sync!$K547)-1)),2)&amp;RIGHT("00"&amp;VALUE(MID(Sync!$K547,FIND(":",Sync!$K547)+1,2)),2),"0000")))&amp;"|"&amp;"2"&amp;RIGHT("00000"&amp;542,5))</f>
        <v/>
      </c>
      <c r="Q547" t="str">
        <f>IF(Sync!$J547="","",IF(ISNUMBER(Sync!$J547),IF(AND(Sync!$J547&gt;=10000101,Sync!$J547&lt;=99991231),INT(Sync!$J547/10000)&amp;"/"&amp;RIGHT("00"&amp;INT(MOD(Sync!$J547,10000)/100),2)&amp;"/"&amp;RIGHT("00"&amp;MOD(Sync!$J547,100),2),"نامعتبر"),IF(LEN(Sync!$J547)=10,Sync!$J547,"نامعتبر")))</f>
        <v/>
      </c>
      <c r="R547" t="str">
        <f t="shared" si="60"/>
        <v/>
      </c>
      <c r="S547" t="str">
        <f t="shared" si="61"/>
        <v/>
      </c>
      <c r="T547" t="str">
        <f>IF($N547="","",IF(Sync!$N547="",0,Sync!$N547))</f>
        <v/>
      </c>
      <c r="U547" t="str">
        <f>IF($N547="","",IF(Sync!$O547="",0,Sync!$O547))</f>
        <v/>
      </c>
      <c r="V547" t="str">
        <f>IF($N547="","",Sync!$L547)</f>
        <v/>
      </c>
      <c r="W547" t="str">
        <f>IF($N547="","",Sync!$P547)</f>
        <v/>
      </c>
      <c r="AA547" t="str">
        <f>IF($A547="","",IF(COUNTIF($A$6:$A547,$A547)=1,1,0))</f>
        <v/>
      </c>
      <c r="AB547">
        <f>SUM($AA$6:$AA547)</f>
        <v>3</v>
      </c>
      <c r="AC547" t="str">
        <f t="shared" si="62"/>
        <v/>
      </c>
    </row>
    <row r="548" spans="1:29" x14ac:dyDescent="0.2">
      <c r="A548" t="str">
        <f>IF(OR(Entry!$B551="",Entry!$E551="",$E548="نامعتبر"),"",Entry!$E551)</f>
        <v/>
      </c>
      <c r="B548" t="str">
        <f>IF($A548="","",LEFT($E548,4)&amp;MID($E548,6,2)&amp;RIGHT($E548,2)&amp;$F548&amp;"|"&amp;"1"&amp;RIGHT("00000"&amp;543,5))</f>
        <v/>
      </c>
      <c r="C548" t="str">
        <f t="shared" si="56"/>
        <v/>
      </c>
      <c r="D548" t="str">
        <f t="shared" si="57"/>
        <v/>
      </c>
      <c r="E548" t="str">
        <f>IF(Entry!$B551="","",IF(ISNUMBER(Entry!$B551),IF(AND(Entry!$B551&gt;=10000101,Entry!$B551&lt;=99991231),INT(Entry!$B551/10000)&amp;"/"&amp;RIGHT("00"&amp;INT(MOD(Entry!$B551,10000)/100),2)&amp;"/"&amp;RIGHT("00"&amp;MOD(Entry!$B551,100),2),"نامعتبر"),IF(LEN(Entry!$B551)=10,Entry!$B551,"نامعتبر")))</f>
        <v/>
      </c>
      <c r="F548" t="str">
        <f>IF(Entry!$B551="","",IF(Entry!$C551="","0000",IF(AND(ISNUMBER(Entry!$C551),Entry!$C551&gt;=0,Entry!$C551&lt;1),RIGHT("00"&amp;HOUR(Entry!$C551),2)&amp;RIGHT("00"&amp;MINUTE(Entry!$C551),2),IFERROR(RIGHT("00"&amp;VALUE(LEFT(Entry!$C551,FIND(":",Entry!$C551)-1)),2)&amp;RIGHT("00"&amp;VALUE(MID(Entry!$C551,FIND(":",Entry!$C551)+1,2)),2),"0000"))))</f>
        <v/>
      </c>
      <c r="G548" t="str">
        <f>IF($A548="","",Entry!$G551)</f>
        <v/>
      </c>
      <c r="H548" t="str">
        <f>IF($A548="","",IF(Entry!$H551="",0,Entry!$H551))</f>
        <v/>
      </c>
      <c r="I548" t="str">
        <f>IF($A548="","",IF(Entry!$I551="",0,Entry!$I551))</f>
        <v/>
      </c>
      <c r="J548" t="str">
        <f t="shared" si="58"/>
        <v/>
      </c>
      <c r="K548" t="str">
        <f>IF($A548="","",Entry!$D551)</f>
        <v/>
      </c>
      <c r="L548" t="str">
        <f>IF($A548="","",Entry!$L551)</f>
        <v/>
      </c>
      <c r="N548" t="str">
        <f>IF(OR(Sync!$M548="",$Q548="",$Q548="نامعتبر"),"",Sync!$M548)</f>
        <v/>
      </c>
      <c r="O548" t="str">
        <f t="shared" si="59"/>
        <v/>
      </c>
      <c r="P548" t="str">
        <f>IF($N548="","",LEFT($Q548,4)&amp;MID($Q548,6,2)&amp;RIGHT($Q548,2)&amp;IF(Sync!$K548="","0000",IF(AND(ISNUMBER(Sync!$K548),Sync!$K548&gt;=0,Sync!$K548&lt;1),RIGHT("00"&amp;HOUR(Sync!$K548),2)&amp;RIGHT("00"&amp;MINUTE(Sync!$K548),2),IFERROR(RIGHT("00"&amp;VALUE(LEFT(Sync!$K548,FIND(":",Sync!$K548)-1)),2)&amp;RIGHT("00"&amp;VALUE(MID(Sync!$K548,FIND(":",Sync!$K548)+1,2)),2),"0000")))&amp;"|"&amp;"2"&amp;RIGHT("00000"&amp;543,5))</f>
        <v/>
      </c>
      <c r="Q548" t="str">
        <f>IF(Sync!$J548="","",IF(ISNUMBER(Sync!$J548),IF(AND(Sync!$J548&gt;=10000101,Sync!$J548&lt;=99991231),INT(Sync!$J548/10000)&amp;"/"&amp;RIGHT("00"&amp;INT(MOD(Sync!$J548,10000)/100),2)&amp;"/"&amp;RIGHT("00"&amp;MOD(Sync!$J548,100),2),"نامعتبر"),IF(LEN(Sync!$J548)=10,Sync!$J548,"نامعتبر")))</f>
        <v/>
      </c>
      <c r="R548" t="str">
        <f t="shared" si="60"/>
        <v/>
      </c>
      <c r="S548" t="str">
        <f t="shared" si="61"/>
        <v/>
      </c>
      <c r="T548" t="str">
        <f>IF($N548="","",IF(Sync!$N548="",0,Sync!$N548))</f>
        <v/>
      </c>
      <c r="U548" t="str">
        <f>IF($N548="","",IF(Sync!$O548="",0,Sync!$O548))</f>
        <v/>
      </c>
      <c r="V548" t="str">
        <f>IF($N548="","",Sync!$L548)</f>
        <v/>
      </c>
      <c r="W548" t="str">
        <f>IF($N548="","",Sync!$P548)</f>
        <v/>
      </c>
      <c r="AA548" t="str">
        <f>IF($A548="","",IF(COUNTIF($A$6:$A548,$A548)=1,1,0))</f>
        <v/>
      </c>
      <c r="AB548">
        <f>SUM($AA$6:$AA548)</f>
        <v>3</v>
      </c>
      <c r="AC548" t="str">
        <f t="shared" si="62"/>
        <v/>
      </c>
    </row>
    <row r="549" spans="1:29" x14ac:dyDescent="0.2">
      <c r="A549" t="str">
        <f>IF(OR(Entry!$B552="",Entry!$E552="",$E549="نامعتبر"),"",Entry!$E552)</f>
        <v/>
      </c>
      <c r="B549" t="str">
        <f>IF($A549="","",LEFT($E549,4)&amp;MID($E549,6,2)&amp;RIGHT($E549,2)&amp;$F549&amp;"|"&amp;"1"&amp;RIGHT("00000"&amp;544,5))</f>
        <v/>
      </c>
      <c r="C549" t="str">
        <f t="shared" si="56"/>
        <v/>
      </c>
      <c r="D549" t="str">
        <f t="shared" si="57"/>
        <v/>
      </c>
      <c r="E549" t="str">
        <f>IF(Entry!$B552="","",IF(ISNUMBER(Entry!$B552),IF(AND(Entry!$B552&gt;=10000101,Entry!$B552&lt;=99991231),INT(Entry!$B552/10000)&amp;"/"&amp;RIGHT("00"&amp;INT(MOD(Entry!$B552,10000)/100),2)&amp;"/"&amp;RIGHT("00"&amp;MOD(Entry!$B552,100),2),"نامعتبر"),IF(LEN(Entry!$B552)=10,Entry!$B552,"نامعتبر")))</f>
        <v/>
      </c>
      <c r="F549" t="str">
        <f>IF(Entry!$B552="","",IF(Entry!$C552="","0000",IF(AND(ISNUMBER(Entry!$C552),Entry!$C552&gt;=0,Entry!$C552&lt;1),RIGHT("00"&amp;HOUR(Entry!$C552),2)&amp;RIGHT("00"&amp;MINUTE(Entry!$C552),2),IFERROR(RIGHT("00"&amp;VALUE(LEFT(Entry!$C552,FIND(":",Entry!$C552)-1)),2)&amp;RIGHT("00"&amp;VALUE(MID(Entry!$C552,FIND(":",Entry!$C552)+1,2)),2),"0000"))))</f>
        <v/>
      </c>
      <c r="G549" t="str">
        <f>IF($A549="","",Entry!$G552)</f>
        <v/>
      </c>
      <c r="H549" t="str">
        <f>IF($A549="","",IF(Entry!$H552="",0,Entry!$H552))</f>
        <v/>
      </c>
      <c r="I549" t="str">
        <f>IF($A549="","",IF(Entry!$I552="",0,Entry!$I552))</f>
        <v/>
      </c>
      <c r="J549" t="str">
        <f t="shared" si="58"/>
        <v/>
      </c>
      <c r="K549" t="str">
        <f>IF($A549="","",Entry!$D552)</f>
        <v/>
      </c>
      <c r="L549" t="str">
        <f>IF($A549="","",Entry!$L552)</f>
        <v/>
      </c>
      <c r="N549" t="str">
        <f>IF(OR(Sync!$M549="",$Q549="",$Q549="نامعتبر"),"",Sync!$M549)</f>
        <v/>
      </c>
      <c r="O549" t="str">
        <f t="shared" si="59"/>
        <v/>
      </c>
      <c r="P549" t="str">
        <f>IF($N549="","",LEFT($Q549,4)&amp;MID($Q549,6,2)&amp;RIGHT($Q549,2)&amp;IF(Sync!$K549="","0000",IF(AND(ISNUMBER(Sync!$K549),Sync!$K549&gt;=0,Sync!$K549&lt;1),RIGHT("00"&amp;HOUR(Sync!$K549),2)&amp;RIGHT("00"&amp;MINUTE(Sync!$K549),2),IFERROR(RIGHT("00"&amp;VALUE(LEFT(Sync!$K549,FIND(":",Sync!$K549)-1)),2)&amp;RIGHT("00"&amp;VALUE(MID(Sync!$K549,FIND(":",Sync!$K549)+1,2)),2),"0000")))&amp;"|"&amp;"2"&amp;RIGHT("00000"&amp;544,5))</f>
        <v/>
      </c>
      <c r="Q549" t="str">
        <f>IF(Sync!$J549="","",IF(ISNUMBER(Sync!$J549),IF(AND(Sync!$J549&gt;=10000101,Sync!$J549&lt;=99991231),INT(Sync!$J549/10000)&amp;"/"&amp;RIGHT("00"&amp;INT(MOD(Sync!$J549,10000)/100),2)&amp;"/"&amp;RIGHT("00"&amp;MOD(Sync!$J549,100),2),"نامعتبر"),IF(LEN(Sync!$J549)=10,Sync!$J549,"نامعتبر")))</f>
        <v/>
      </c>
      <c r="R549" t="str">
        <f t="shared" si="60"/>
        <v/>
      </c>
      <c r="S549" t="str">
        <f t="shared" si="61"/>
        <v/>
      </c>
      <c r="T549" t="str">
        <f>IF($N549="","",IF(Sync!$N549="",0,Sync!$N549))</f>
        <v/>
      </c>
      <c r="U549" t="str">
        <f>IF($N549="","",IF(Sync!$O549="",0,Sync!$O549))</f>
        <v/>
      </c>
      <c r="V549" t="str">
        <f>IF($N549="","",Sync!$L549)</f>
        <v/>
      </c>
      <c r="W549" t="str">
        <f>IF($N549="","",Sync!$P549)</f>
        <v/>
      </c>
      <c r="AA549" t="str">
        <f>IF($A549="","",IF(COUNTIF($A$6:$A549,$A549)=1,1,0))</f>
        <v/>
      </c>
      <c r="AB549">
        <f>SUM($AA$6:$AA549)</f>
        <v>3</v>
      </c>
      <c r="AC549" t="str">
        <f t="shared" si="62"/>
        <v/>
      </c>
    </row>
    <row r="550" spans="1:29" x14ac:dyDescent="0.2">
      <c r="A550" t="str">
        <f>IF(OR(Entry!$B553="",Entry!$E553="",$E550="نامعتبر"),"",Entry!$E553)</f>
        <v/>
      </c>
      <c r="B550" t="str">
        <f>IF($A550="","",LEFT($E550,4)&amp;MID($E550,6,2)&amp;RIGHT($E550,2)&amp;$F550&amp;"|"&amp;"1"&amp;RIGHT("00000"&amp;545,5))</f>
        <v/>
      </c>
      <c r="C550" t="str">
        <f t="shared" si="56"/>
        <v/>
      </c>
      <c r="D550" t="str">
        <f t="shared" si="57"/>
        <v/>
      </c>
      <c r="E550" t="str">
        <f>IF(Entry!$B553="","",IF(ISNUMBER(Entry!$B553),IF(AND(Entry!$B553&gt;=10000101,Entry!$B553&lt;=99991231),INT(Entry!$B553/10000)&amp;"/"&amp;RIGHT("00"&amp;INT(MOD(Entry!$B553,10000)/100),2)&amp;"/"&amp;RIGHT("00"&amp;MOD(Entry!$B553,100),2),"نامعتبر"),IF(LEN(Entry!$B553)=10,Entry!$B553,"نامعتبر")))</f>
        <v/>
      </c>
      <c r="F550" t="str">
        <f>IF(Entry!$B553="","",IF(Entry!$C553="","0000",IF(AND(ISNUMBER(Entry!$C553),Entry!$C553&gt;=0,Entry!$C553&lt;1),RIGHT("00"&amp;HOUR(Entry!$C553),2)&amp;RIGHT("00"&amp;MINUTE(Entry!$C553),2),IFERROR(RIGHT("00"&amp;VALUE(LEFT(Entry!$C553,FIND(":",Entry!$C553)-1)),2)&amp;RIGHT("00"&amp;VALUE(MID(Entry!$C553,FIND(":",Entry!$C553)+1,2)),2),"0000"))))</f>
        <v/>
      </c>
      <c r="G550" t="str">
        <f>IF($A550="","",Entry!$G553)</f>
        <v/>
      </c>
      <c r="H550" t="str">
        <f>IF($A550="","",IF(Entry!$H553="",0,Entry!$H553))</f>
        <v/>
      </c>
      <c r="I550" t="str">
        <f>IF($A550="","",IF(Entry!$I553="",0,Entry!$I553))</f>
        <v/>
      </c>
      <c r="J550" t="str">
        <f t="shared" si="58"/>
        <v/>
      </c>
      <c r="K550" t="str">
        <f>IF($A550="","",Entry!$D553)</f>
        <v/>
      </c>
      <c r="L550" t="str">
        <f>IF($A550="","",Entry!$L553)</f>
        <v/>
      </c>
      <c r="N550" t="str">
        <f>IF(OR(Sync!$M550="",$Q550="",$Q550="نامعتبر"),"",Sync!$M550)</f>
        <v/>
      </c>
      <c r="O550" t="str">
        <f t="shared" si="59"/>
        <v/>
      </c>
      <c r="P550" t="str">
        <f>IF($N550="","",LEFT($Q550,4)&amp;MID($Q550,6,2)&amp;RIGHT($Q550,2)&amp;IF(Sync!$K550="","0000",IF(AND(ISNUMBER(Sync!$K550),Sync!$K550&gt;=0,Sync!$K550&lt;1),RIGHT("00"&amp;HOUR(Sync!$K550),2)&amp;RIGHT("00"&amp;MINUTE(Sync!$K550),2),IFERROR(RIGHT("00"&amp;VALUE(LEFT(Sync!$K550,FIND(":",Sync!$K550)-1)),2)&amp;RIGHT("00"&amp;VALUE(MID(Sync!$K550,FIND(":",Sync!$K550)+1,2)),2),"0000")))&amp;"|"&amp;"2"&amp;RIGHT("00000"&amp;545,5))</f>
        <v/>
      </c>
      <c r="Q550" t="str">
        <f>IF(Sync!$J550="","",IF(ISNUMBER(Sync!$J550),IF(AND(Sync!$J550&gt;=10000101,Sync!$J550&lt;=99991231),INT(Sync!$J550/10000)&amp;"/"&amp;RIGHT("00"&amp;INT(MOD(Sync!$J550,10000)/100),2)&amp;"/"&amp;RIGHT("00"&amp;MOD(Sync!$J550,100),2),"نامعتبر"),IF(LEN(Sync!$J550)=10,Sync!$J550,"نامعتبر")))</f>
        <v/>
      </c>
      <c r="R550" t="str">
        <f t="shared" si="60"/>
        <v/>
      </c>
      <c r="S550" t="str">
        <f t="shared" si="61"/>
        <v/>
      </c>
      <c r="T550" t="str">
        <f>IF($N550="","",IF(Sync!$N550="",0,Sync!$N550))</f>
        <v/>
      </c>
      <c r="U550" t="str">
        <f>IF($N550="","",IF(Sync!$O550="",0,Sync!$O550))</f>
        <v/>
      </c>
      <c r="V550" t="str">
        <f>IF($N550="","",Sync!$L550)</f>
        <v/>
      </c>
      <c r="W550" t="str">
        <f>IF($N550="","",Sync!$P550)</f>
        <v/>
      </c>
      <c r="AA550" t="str">
        <f>IF($A550="","",IF(COUNTIF($A$6:$A550,$A550)=1,1,0))</f>
        <v/>
      </c>
      <c r="AB550">
        <f>SUM($AA$6:$AA550)</f>
        <v>3</v>
      </c>
      <c r="AC550" t="str">
        <f t="shared" si="62"/>
        <v/>
      </c>
    </row>
    <row r="551" spans="1:29" x14ac:dyDescent="0.2">
      <c r="A551" t="str">
        <f>IF(OR(Entry!$B554="",Entry!$E554="",$E551="نامعتبر"),"",Entry!$E554)</f>
        <v/>
      </c>
      <c r="B551" t="str">
        <f>IF($A551="","",LEFT($E551,4)&amp;MID($E551,6,2)&amp;RIGHT($E551,2)&amp;$F551&amp;"|"&amp;"1"&amp;RIGHT("00000"&amp;546,5))</f>
        <v/>
      </c>
      <c r="C551" t="str">
        <f t="shared" si="56"/>
        <v/>
      </c>
      <c r="D551" t="str">
        <f t="shared" si="57"/>
        <v/>
      </c>
      <c r="E551" t="str">
        <f>IF(Entry!$B554="","",IF(ISNUMBER(Entry!$B554),IF(AND(Entry!$B554&gt;=10000101,Entry!$B554&lt;=99991231),INT(Entry!$B554/10000)&amp;"/"&amp;RIGHT("00"&amp;INT(MOD(Entry!$B554,10000)/100),2)&amp;"/"&amp;RIGHT("00"&amp;MOD(Entry!$B554,100),2),"نامعتبر"),IF(LEN(Entry!$B554)=10,Entry!$B554,"نامعتبر")))</f>
        <v/>
      </c>
      <c r="F551" t="str">
        <f>IF(Entry!$B554="","",IF(Entry!$C554="","0000",IF(AND(ISNUMBER(Entry!$C554),Entry!$C554&gt;=0,Entry!$C554&lt;1),RIGHT("00"&amp;HOUR(Entry!$C554),2)&amp;RIGHT("00"&amp;MINUTE(Entry!$C554),2),IFERROR(RIGHT("00"&amp;VALUE(LEFT(Entry!$C554,FIND(":",Entry!$C554)-1)),2)&amp;RIGHT("00"&amp;VALUE(MID(Entry!$C554,FIND(":",Entry!$C554)+1,2)),2),"0000"))))</f>
        <v/>
      </c>
      <c r="G551" t="str">
        <f>IF($A551="","",Entry!$G554)</f>
        <v/>
      </c>
      <c r="H551" t="str">
        <f>IF($A551="","",IF(Entry!$H554="",0,Entry!$H554))</f>
        <v/>
      </c>
      <c r="I551" t="str">
        <f>IF($A551="","",IF(Entry!$I554="",0,Entry!$I554))</f>
        <v/>
      </c>
      <c r="J551" t="str">
        <f t="shared" si="58"/>
        <v/>
      </c>
      <c r="K551" t="str">
        <f>IF($A551="","",Entry!$D554)</f>
        <v/>
      </c>
      <c r="L551" t="str">
        <f>IF($A551="","",Entry!$L554)</f>
        <v/>
      </c>
      <c r="N551" t="str">
        <f>IF(OR(Sync!$M551="",$Q551="",$Q551="نامعتبر"),"",Sync!$M551)</f>
        <v/>
      </c>
      <c r="O551" t="str">
        <f t="shared" si="59"/>
        <v/>
      </c>
      <c r="P551" t="str">
        <f>IF($N551="","",LEFT($Q551,4)&amp;MID($Q551,6,2)&amp;RIGHT($Q551,2)&amp;IF(Sync!$K551="","0000",IF(AND(ISNUMBER(Sync!$K551),Sync!$K551&gt;=0,Sync!$K551&lt;1),RIGHT("00"&amp;HOUR(Sync!$K551),2)&amp;RIGHT("00"&amp;MINUTE(Sync!$K551),2),IFERROR(RIGHT("00"&amp;VALUE(LEFT(Sync!$K551,FIND(":",Sync!$K551)-1)),2)&amp;RIGHT("00"&amp;VALUE(MID(Sync!$K551,FIND(":",Sync!$K551)+1,2)),2),"0000")))&amp;"|"&amp;"2"&amp;RIGHT("00000"&amp;546,5))</f>
        <v/>
      </c>
      <c r="Q551" t="str">
        <f>IF(Sync!$J551="","",IF(ISNUMBER(Sync!$J551),IF(AND(Sync!$J551&gt;=10000101,Sync!$J551&lt;=99991231),INT(Sync!$J551/10000)&amp;"/"&amp;RIGHT("00"&amp;INT(MOD(Sync!$J551,10000)/100),2)&amp;"/"&amp;RIGHT("00"&amp;MOD(Sync!$J551,100),2),"نامعتبر"),IF(LEN(Sync!$J551)=10,Sync!$J551,"نامعتبر")))</f>
        <v/>
      </c>
      <c r="R551" t="str">
        <f t="shared" si="60"/>
        <v/>
      </c>
      <c r="S551" t="str">
        <f t="shared" si="61"/>
        <v/>
      </c>
      <c r="T551" t="str">
        <f>IF($N551="","",IF(Sync!$N551="",0,Sync!$N551))</f>
        <v/>
      </c>
      <c r="U551" t="str">
        <f>IF($N551="","",IF(Sync!$O551="",0,Sync!$O551))</f>
        <v/>
      </c>
      <c r="V551" t="str">
        <f>IF($N551="","",Sync!$L551)</f>
        <v/>
      </c>
      <c r="W551" t="str">
        <f>IF($N551="","",Sync!$P551)</f>
        <v/>
      </c>
      <c r="AA551" t="str">
        <f>IF($A551="","",IF(COUNTIF($A$6:$A551,$A551)=1,1,0))</f>
        <v/>
      </c>
      <c r="AB551">
        <f>SUM($AA$6:$AA551)</f>
        <v>3</v>
      </c>
      <c r="AC551" t="str">
        <f t="shared" si="62"/>
        <v/>
      </c>
    </row>
    <row r="552" spans="1:29" x14ac:dyDescent="0.2">
      <c r="A552" t="str">
        <f>IF(OR(Entry!$B555="",Entry!$E555="",$E552="نامعتبر"),"",Entry!$E555)</f>
        <v/>
      </c>
      <c r="B552" t="str">
        <f>IF($A552="","",LEFT($E552,4)&amp;MID($E552,6,2)&amp;RIGHT($E552,2)&amp;$F552&amp;"|"&amp;"1"&amp;RIGHT("00000"&amp;547,5))</f>
        <v/>
      </c>
      <c r="C552" t="str">
        <f t="shared" si="56"/>
        <v/>
      </c>
      <c r="D552" t="str">
        <f t="shared" si="57"/>
        <v/>
      </c>
      <c r="E552" t="str">
        <f>IF(Entry!$B555="","",IF(ISNUMBER(Entry!$B555),IF(AND(Entry!$B555&gt;=10000101,Entry!$B555&lt;=99991231),INT(Entry!$B555/10000)&amp;"/"&amp;RIGHT("00"&amp;INT(MOD(Entry!$B555,10000)/100),2)&amp;"/"&amp;RIGHT("00"&amp;MOD(Entry!$B555,100),2),"نامعتبر"),IF(LEN(Entry!$B555)=10,Entry!$B555,"نامعتبر")))</f>
        <v/>
      </c>
      <c r="F552" t="str">
        <f>IF(Entry!$B555="","",IF(Entry!$C555="","0000",IF(AND(ISNUMBER(Entry!$C555),Entry!$C555&gt;=0,Entry!$C555&lt;1),RIGHT("00"&amp;HOUR(Entry!$C555),2)&amp;RIGHT("00"&amp;MINUTE(Entry!$C555),2),IFERROR(RIGHT("00"&amp;VALUE(LEFT(Entry!$C555,FIND(":",Entry!$C555)-1)),2)&amp;RIGHT("00"&amp;VALUE(MID(Entry!$C555,FIND(":",Entry!$C555)+1,2)),2),"0000"))))</f>
        <v/>
      </c>
      <c r="G552" t="str">
        <f>IF($A552="","",Entry!$G555)</f>
        <v/>
      </c>
      <c r="H552" t="str">
        <f>IF($A552="","",IF(Entry!$H555="",0,Entry!$H555))</f>
        <v/>
      </c>
      <c r="I552" t="str">
        <f>IF($A552="","",IF(Entry!$I555="",0,Entry!$I555))</f>
        <v/>
      </c>
      <c r="J552" t="str">
        <f t="shared" si="58"/>
        <v/>
      </c>
      <c r="K552" t="str">
        <f>IF($A552="","",Entry!$D555)</f>
        <v/>
      </c>
      <c r="L552" t="str">
        <f>IF($A552="","",Entry!$L555)</f>
        <v/>
      </c>
      <c r="N552" t="str">
        <f>IF(OR(Sync!$M552="",$Q552="",$Q552="نامعتبر"),"",Sync!$M552)</f>
        <v/>
      </c>
      <c r="O552" t="str">
        <f t="shared" si="59"/>
        <v/>
      </c>
      <c r="P552" t="str">
        <f>IF($N552="","",LEFT($Q552,4)&amp;MID($Q552,6,2)&amp;RIGHT($Q552,2)&amp;IF(Sync!$K552="","0000",IF(AND(ISNUMBER(Sync!$K552),Sync!$K552&gt;=0,Sync!$K552&lt;1),RIGHT("00"&amp;HOUR(Sync!$K552),2)&amp;RIGHT("00"&amp;MINUTE(Sync!$K552),2),IFERROR(RIGHT("00"&amp;VALUE(LEFT(Sync!$K552,FIND(":",Sync!$K552)-1)),2)&amp;RIGHT("00"&amp;VALUE(MID(Sync!$K552,FIND(":",Sync!$K552)+1,2)),2),"0000")))&amp;"|"&amp;"2"&amp;RIGHT("00000"&amp;547,5))</f>
        <v/>
      </c>
      <c r="Q552" t="str">
        <f>IF(Sync!$J552="","",IF(ISNUMBER(Sync!$J552),IF(AND(Sync!$J552&gt;=10000101,Sync!$J552&lt;=99991231),INT(Sync!$J552/10000)&amp;"/"&amp;RIGHT("00"&amp;INT(MOD(Sync!$J552,10000)/100),2)&amp;"/"&amp;RIGHT("00"&amp;MOD(Sync!$J552,100),2),"نامعتبر"),IF(LEN(Sync!$J552)=10,Sync!$J552,"نامعتبر")))</f>
        <v/>
      </c>
      <c r="R552" t="str">
        <f t="shared" si="60"/>
        <v/>
      </c>
      <c r="S552" t="str">
        <f t="shared" si="61"/>
        <v/>
      </c>
      <c r="T552" t="str">
        <f>IF($N552="","",IF(Sync!$N552="",0,Sync!$N552))</f>
        <v/>
      </c>
      <c r="U552" t="str">
        <f>IF($N552="","",IF(Sync!$O552="",0,Sync!$O552))</f>
        <v/>
      </c>
      <c r="V552" t="str">
        <f>IF($N552="","",Sync!$L552)</f>
        <v/>
      </c>
      <c r="W552" t="str">
        <f>IF($N552="","",Sync!$P552)</f>
        <v/>
      </c>
      <c r="AA552" t="str">
        <f>IF($A552="","",IF(COUNTIF($A$6:$A552,$A552)=1,1,0))</f>
        <v/>
      </c>
      <c r="AB552">
        <f>SUM($AA$6:$AA552)</f>
        <v>3</v>
      </c>
      <c r="AC552" t="str">
        <f t="shared" si="62"/>
        <v/>
      </c>
    </row>
    <row r="553" spans="1:29" x14ac:dyDescent="0.2">
      <c r="A553" t="str">
        <f>IF(OR(Entry!$B556="",Entry!$E556="",$E553="نامعتبر"),"",Entry!$E556)</f>
        <v/>
      </c>
      <c r="B553" t="str">
        <f>IF($A553="","",LEFT($E553,4)&amp;MID($E553,6,2)&amp;RIGHT($E553,2)&amp;$F553&amp;"|"&amp;"1"&amp;RIGHT("00000"&amp;548,5))</f>
        <v/>
      </c>
      <c r="C553" t="str">
        <f t="shared" si="56"/>
        <v/>
      </c>
      <c r="D553" t="str">
        <f t="shared" si="57"/>
        <v/>
      </c>
      <c r="E553" t="str">
        <f>IF(Entry!$B556="","",IF(ISNUMBER(Entry!$B556),IF(AND(Entry!$B556&gt;=10000101,Entry!$B556&lt;=99991231),INT(Entry!$B556/10000)&amp;"/"&amp;RIGHT("00"&amp;INT(MOD(Entry!$B556,10000)/100),2)&amp;"/"&amp;RIGHT("00"&amp;MOD(Entry!$B556,100),2),"نامعتبر"),IF(LEN(Entry!$B556)=10,Entry!$B556,"نامعتبر")))</f>
        <v/>
      </c>
      <c r="F553" t="str">
        <f>IF(Entry!$B556="","",IF(Entry!$C556="","0000",IF(AND(ISNUMBER(Entry!$C556),Entry!$C556&gt;=0,Entry!$C556&lt;1),RIGHT("00"&amp;HOUR(Entry!$C556),2)&amp;RIGHT("00"&amp;MINUTE(Entry!$C556),2),IFERROR(RIGHT("00"&amp;VALUE(LEFT(Entry!$C556,FIND(":",Entry!$C556)-1)),2)&amp;RIGHT("00"&amp;VALUE(MID(Entry!$C556,FIND(":",Entry!$C556)+1,2)),2),"0000"))))</f>
        <v/>
      </c>
      <c r="G553" t="str">
        <f>IF($A553="","",Entry!$G556)</f>
        <v/>
      </c>
      <c r="H553" t="str">
        <f>IF($A553="","",IF(Entry!$H556="",0,Entry!$H556))</f>
        <v/>
      </c>
      <c r="I553" t="str">
        <f>IF($A553="","",IF(Entry!$I556="",0,Entry!$I556))</f>
        <v/>
      </c>
      <c r="J553" t="str">
        <f t="shared" si="58"/>
        <v/>
      </c>
      <c r="K553" t="str">
        <f>IF($A553="","",Entry!$D556)</f>
        <v/>
      </c>
      <c r="L553" t="str">
        <f>IF($A553="","",Entry!$L556)</f>
        <v/>
      </c>
      <c r="N553" t="str">
        <f>IF(OR(Sync!$M553="",$Q553="",$Q553="نامعتبر"),"",Sync!$M553)</f>
        <v/>
      </c>
      <c r="O553" t="str">
        <f t="shared" si="59"/>
        <v/>
      </c>
      <c r="P553" t="str">
        <f>IF($N553="","",LEFT($Q553,4)&amp;MID($Q553,6,2)&amp;RIGHT($Q553,2)&amp;IF(Sync!$K553="","0000",IF(AND(ISNUMBER(Sync!$K553),Sync!$K553&gt;=0,Sync!$K553&lt;1),RIGHT("00"&amp;HOUR(Sync!$K553),2)&amp;RIGHT("00"&amp;MINUTE(Sync!$K553),2),IFERROR(RIGHT("00"&amp;VALUE(LEFT(Sync!$K553,FIND(":",Sync!$K553)-1)),2)&amp;RIGHT("00"&amp;VALUE(MID(Sync!$K553,FIND(":",Sync!$K553)+1,2)),2),"0000")))&amp;"|"&amp;"2"&amp;RIGHT("00000"&amp;548,5))</f>
        <v/>
      </c>
      <c r="Q553" t="str">
        <f>IF(Sync!$J553="","",IF(ISNUMBER(Sync!$J553),IF(AND(Sync!$J553&gt;=10000101,Sync!$J553&lt;=99991231),INT(Sync!$J553/10000)&amp;"/"&amp;RIGHT("00"&amp;INT(MOD(Sync!$J553,10000)/100),2)&amp;"/"&amp;RIGHT("00"&amp;MOD(Sync!$J553,100),2),"نامعتبر"),IF(LEN(Sync!$J553)=10,Sync!$J553,"نامعتبر")))</f>
        <v/>
      </c>
      <c r="R553" t="str">
        <f t="shared" si="60"/>
        <v/>
      </c>
      <c r="S553" t="str">
        <f t="shared" si="61"/>
        <v/>
      </c>
      <c r="T553" t="str">
        <f>IF($N553="","",IF(Sync!$N553="",0,Sync!$N553))</f>
        <v/>
      </c>
      <c r="U553" t="str">
        <f>IF($N553="","",IF(Sync!$O553="",0,Sync!$O553))</f>
        <v/>
      </c>
      <c r="V553" t="str">
        <f>IF($N553="","",Sync!$L553)</f>
        <v/>
      </c>
      <c r="W553" t="str">
        <f>IF($N553="","",Sync!$P553)</f>
        <v/>
      </c>
      <c r="AA553" t="str">
        <f>IF($A553="","",IF(COUNTIF($A$6:$A553,$A553)=1,1,0))</f>
        <v/>
      </c>
      <c r="AB553">
        <f>SUM($AA$6:$AA553)</f>
        <v>3</v>
      </c>
      <c r="AC553" t="str">
        <f t="shared" si="62"/>
        <v/>
      </c>
    </row>
    <row r="554" spans="1:29" x14ac:dyDescent="0.2">
      <c r="A554" t="str">
        <f>IF(OR(Entry!$B557="",Entry!$E557="",$E554="نامعتبر"),"",Entry!$E557)</f>
        <v/>
      </c>
      <c r="B554" t="str">
        <f>IF($A554="","",LEFT($E554,4)&amp;MID($E554,6,2)&amp;RIGHT($E554,2)&amp;$F554&amp;"|"&amp;"1"&amp;RIGHT("00000"&amp;549,5))</f>
        <v/>
      </c>
      <c r="C554" t="str">
        <f t="shared" si="56"/>
        <v/>
      </c>
      <c r="D554" t="str">
        <f t="shared" si="57"/>
        <v/>
      </c>
      <c r="E554" t="str">
        <f>IF(Entry!$B557="","",IF(ISNUMBER(Entry!$B557),IF(AND(Entry!$B557&gt;=10000101,Entry!$B557&lt;=99991231),INT(Entry!$B557/10000)&amp;"/"&amp;RIGHT("00"&amp;INT(MOD(Entry!$B557,10000)/100),2)&amp;"/"&amp;RIGHT("00"&amp;MOD(Entry!$B557,100),2),"نامعتبر"),IF(LEN(Entry!$B557)=10,Entry!$B557,"نامعتبر")))</f>
        <v/>
      </c>
      <c r="F554" t="str">
        <f>IF(Entry!$B557="","",IF(Entry!$C557="","0000",IF(AND(ISNUMBER(Entry!$C557),Entry!$C557&gt;=0,Entry!$C557&lt;1),RIGHT("00"&amp;HOUR(Entry!$C557),2)&amp;RIGHT("00"&amp;MINUTE(Entry!$C557),2),IFERROR(RIGHT("00"&amp;VALUE(LEFT(Entry!$C557,FIND(":",Entry!$C557)-1)),2)&amp;RIGHT("00"&amp;VALUE(MID(Entry!$C557,FIND(":",Entry!$C557)+1,2)),2),"0000"))))</f>
        <v/>
      </c>
      <c r="G554" t="str">
        <f>IF($A554="","",Entry!$G557)</f>
        <v/>
      </c>
      <c r="H554" t="str">
        <f>IF($A554="","",IF(Entry!$H557="",0,Entry!$H557))</f>
        <v/>
      </c>
      <c r="I554" t="str">
        <f>IF($A554="","",IF(Entry!$I557="",0,Entry!$I557))</f>
        <v/>
      </c>
      <c r="J554" t="str">
        <f t="shared" si="58"/>
        <v/>
      </c>
      <c r="K554" t="str">
        <f>IF($A554="","",Entry!$D557)</f>
        <v/>
      </c>
      <c r="L554" t="str">
        <f>IF($A554="","",Entry!$L557)</f>
        <v/>
      </c>
      <c r="N554" t="str">
        <f>IF(OR(Sync!$M554="",$Q554="",$Q554="نامعتبر"),"",Sync!$M554)</f>
        <v/>
      </c>
      <c r="O554" t="str">
        <f t="shared" si="59"/>
        <v/>
      </c>
      <c r="P554" t="str">
        <f>IF($N554="","",LEFT($Q554,4)&amp;MID($Q554,6,2)&amp;RIGHT($Q554,2)&amp;IF(Sync!$K554="","0000",IF(AND(ISNUMBER(Sync!$K554),Sync!$K554&gt;=0,Sync!$K554&lt;1),RIGHT("00"&amp;HOUR(Sync!$K554),2)&amp;RIGHT("00"&amp;MINUTE(Sync!$K554),2),IFERROR(RIGHT("00"&amp;VALUE(LEFT(Sync!$K554,FIND(":",Sync!$K554)-1)),2)&amp;RIGHT("00"&amp;VALUE(MID(Sync!$K554,FIND(":",Sync!$K554)+1,2)),2),"0000")))&amp;"|"&amp;"2"&amp;RIGHT("00000"&amp;549,5))</f>
        <v/>
      </c>
      <c r="Q554" t="str">
        <f>IF(Sync!$J554="","",IF(ISNUMBER(Sync!$J554),IF(AND(Sync!$J554&gt;=10000101,Sync!$J554&lt;=99991231),INT(Sync!$J554/10000)&amp;"/"&amp;RIGHT("00"&amp;INT(MOD(Sync!$J554,10000)/100),2)&amp;"/"&amp;RIGHT("00"&amp;MOD(Sync!$J554,100),2),"نامعتبر"),IF(LEN(Sync!$J554)=10,Sync!$J554,"نامعتبر")))</f>
        <v/>
      </c>
      <c r="R554" t="str">
        <f t="shared" si="60"/>
        <v/>
      </c>
      <c r="S554" t="str">
        <f t="shared" si="61"/>
        <v/>
      </c>
      <c r="T554" t="str">
        <f>IF($N554="","",IF(Sync!$N554="",0,Sync!$N554))</f>
        <v/>
      </c>
      <c r="U554" t="str">
        <f>IF($N554="","",IF(Sync!$O554="",0,Sync!$O554))</f>
        <v/>
      </c>
      <c r="V554" t="str">
        <f>IF($N554="","",Sync!$L554)</f>
        <v/>
      </c>
      <c r="W554" t="str">
        <f>IF($N554="","",Sync!$P554)</f>
        <v/>
      </c>
      <c r="AA554" t="str">
        <f>IF($A554="","",IF(COUNTIF($A$6:$A554,$A554)=1,1,0))</f>
        <v/>
      </c>
      <c r="AB554">
        <f>SUM($AA$6:$AA554)</f>
        <v>3</v>
      </c>
      <c r="AC554" t="str">
        <f t="shared" si="62"/>
        <v/>
      </c>
    </row>
    <row r="555" spans="1:29" x14ac:dyDescent="0.2">
      <c r="A555" t="str">
        <f>IF(OR(Entry!$B558="",Entry!$E558="",$E555="نامعتبر"),"",Entry!$E558)</f>
        <v/>
      </c>
      <c r="B555" t="str">
        <f>IF($A555="","",LEFT($E555,4)&amp;MID($E555,6,2)&amp;RIGHT($E555,2)&amp;$F555&amp;"|"&amp;"1"&amp;RIGHT("00000"&amp;550,5))</f>
        <v/>
      </c>
      <c r="C555" t="str">
        <f t="shared" si="56"/>
        <v/>
      </c>
      <c r="D555" t="str">
        <f t="shared" si="57"/>
        <v/>
      </c>
      <c r="E555" t="str">
        <f>IF(Entry!$B558="","",IF(ISNUMBER(Entry!$B558),IF(AND(Entry!$B558&gt;=10000101,Entry!$B558&lt;=99991231),INT(Entry!$B558/10000)&amp;"/"&amp;RIGHT("00"&amp;INT(MOD(Entry!$B558,10000)/100),2)&amp;"/"&amp;RIGHT("00"&amp;MOD(Entry!$B558,100),2),"نامعتبر"),IF(LEN(Entry!$B558)=10,Entry!$B558,"نامعتبر")))</f>
        <v/>
      </c>
      <c r="F555" t="str">
        <f>IF(Entry!$B558="","",IF(Entry!$C558="","0000",IF(AND(ISNUMBER(Entry!$C558),Entry!$C558&gt;=0,Entry!$C558&lt;1),RIGHT("00"&amp;HOUR(Entry!$C558),2)&amp;RIGHT("00"&amp;MINUTE(Entry!$C558),2),IFERROR(RIGHT("00"&amp;VALUE(LEFT(Entry!$C558,FIND(":",Entry!$C558)-1)),2)&amp;RIGHT("00"&amp;VALUE(MID(Entry!$C558,FIND(":",Entry!$C558)+1,2)),2),"0000"))))</f>
        <v/>
      </c>
      <c r="G555" t="str">
        <f>IF($A555="","",Entry!$G558)</f>
        <v/>
      </c>
      <c r="H555" t="str">
        <f>IF($A555="","",IF(Entry!$H558="",0,Entry!$H558))</f>
        <v/>
      </c>
      <c r="I555" t="str">
        <f>IF($A555="","",IF(Entry!$I558="",0,Entry!$I558))</f>
        <v/>
      </c>
      <c r="J555" t="str">
        <f t="shared" si="58"/>
        <v/>
      </c>
      <c r="K555" t="str">
        <f>IF($A555="","",Entry!$D558)</f>
        <v/>
      </c>
      <c r="L555" t="str">
        <f>IF($A555="","",Entry!$L558)</f>
        <v/>
      </c>
      <c r="N555" t="str">
        <f>IF(OR(Sync!$M555="",$Q555="",$Q555="نامعتبر"),"",Sync!$M555)</f>
        <v/>
      </c>
      <c r="O555" t="str">
        <f t="shared" si="59"/>
        <v/>
      </c>
      <c r="P555" t="str">
        <f>IF($N555="","",LEFT($Q555,4)&amp;MID($Q555,6,2)&amp;RIGHT($Q555,2)&amp;IF(Sync!$K555="","0000",IF(AND(ISNUMBER(Sync!$K555),Sync!$K555&gt;=0,Sync!$K555&lt;1),RIGHT("00"&amp;HOUR(Sync!$K555),2)&amp;RIGHT("00"&amp;MINUTE(Sync!$K555),2),IFERROR(RIGHT("00"&amp;VALUE(LEFT(Sync!$K555,FIND(":",Sync!$K555)-1)),2)&amp;RIGHT("00"&amp;VALUE(MID(Sync!$K555,FIND(":",Sync!$K555)+1,2)),2),"0000")))&amp;"|"&amp;"2"&amp;RIGHT("00000"&amp;550,5))</f>
        <v/>
      </c>
      <c r="Q555" t="str">
        <f>IF(Sync!$J555="","",IF(ISNUMBER(Sync!$J555),IF(AND(Sync!$J555&gt;=10000101,Sync!$J555&lt;=99991231),INT(Sync!$J555/10000)&amp;"/"&amp;RIGHT("00"&amp;INT(MOD(Sync!$J555,10000)/100),2)&amp;"/"&amp;RIGHT("00"&amp;MOD(Sync!$J555,100),2),"نامعتبر"),IF(LEN(Sync!$J555)=10,Sync!$J555,"نامعتبر")))</f>
        <v/>
      </c>
      <c r="R555" t="str">
        <f t="shared" si="60"/>
        <v/>
      </c>
      <c r="S555" t="str">
        <f t="shared" si="61"/>
        <v/>
      </c>
      <c r="T555" t="str">
        <f>IF($N555="","",IF(Sync!$N555="",0,Sync!$N555))</f>
        <v/>
      </c>
      <c r="U555" t="str">
        <f>IF($N555="","",IF(Sync!$O555="",0,Sync!$O555))</f>
        <v/>
      </c>
      <c r="V555" t="str">
        <f>IF($N555="","",Sync!$L555)</f>
        <v/>
      </c>
      <c r="W555" t="str">
        <f>IF($N555="","",Sync!$P555)</f>
        <v/>
      </c>
      <c r="AA555" t="str">
        <f>IF($A555="","",IF(COUNTIF($A$6:$A555,$A555)=1,1,0))</f>
        <v/>
      </c>
      <c r="AB555">
        <f>SUM($AA$6:$AA555)</f>
        <v>3</v>
      </c>
      <c r="AC555" t="str">
        <f t="shared" si="62"/>
        <v/>
      </c>
    </row>
    <row r="556" spans="1:29" x14ac:dyDescent="0.2">
      <c r="A556" t="str">
        <f>IF(OR(Entry!$B559="",Entry!$E559="",$E556="نامعتبر"),"",Entry!$E559)</f>
        <v/>
      </c>
      <c r="B556" t="str">
        <f>IF($A556="","",LEFT($E556,4)&amp;MID($E556,6,2)&amp;RIGHT($E556,2)&amp;$F556&amp;"|"&amp;"1"&amp;RIGHT("00000"&amp;551,5))</f>
        <v/>
      </c>
      <c r="C556" t="str">
        <f t="shared" si="56"/>
        <v/>
      </c>
      <c r="D556" t="str">
        <f t="shared" si="57"/>
        <v/>
      </c>
      <c r="E556" t="str">
        <f>IF(Entry!$B559="","",IF(ISNUMBER(Entry!$B559),IF(AND(Entry!$B559&gt;=10000101,Entry!$B559&lt;=99991231),INT(Entry!$B559/10000)&amp;"/"&amp;RIGHT("00"&amp;INT(MOD(Entry!$B559,10000)/100),2)&amp;"/"&amp;RIGHT("00"&amp;MOD(Entry!$B559,100),2),"نامعتبر"),IF(LEN(Entry!$B559)=10,Entry!$B559,"نامعتبر")))</f>
        <v/>
      </c>
      <c r="F556" t="str">
        <f>IF(Entry!$B559="","",IF(Entry!$C559="","0000",IF(AND(ISNUMBER(Entry!$C559),Entry!$C559&gt;=0,Entry!$C559&lt;1),RIGHT("00"&amp;HOUR(Entry!$C559),2)&amp;RIGHT("00"&amp;MINUTE(Entry!$C559),2),IFERROR(RIGHT("00"&amp;VALUE(LEFT(Entry!$C559,FIND(":",Entry!$C559)-1)),2)&amp;RIGHT("00"&amp;VALUE(MID(Entry!$C559,FIND(":",Entry!$C559)+1,2)),2),"0000"))))</f>
        <v/>
      </c>
      <c r="G556" t="str">
        <f>IF($A556="","",Entry!$G559)</f>
        <v/>
      </c>
      <c r="H556" t="str">
        <f>IF($A556="","",IF(Entry!$H559="",0,Entry!$H559))</f>
        <v/>
      </c>
      <c r="I556" t="str">
        <f>IF($A556="","",IF(Entry!$I559="",0,Entry!$I559))</f>
        <v/>
      </c>
      <c r="J556" t="str">
        <f t="shared" si="58"/>
        <v/>
      </c>
      <c r="K556" t="str">
        <f>IF($A556="","",Entry!$D559)</f>
        <v/>
      </c>
      <c r="L556" t="str">
        <f>IF($A556="","",Entry!$L559)</f>
        <v/>
      </c>
      <c r="N556" t="str">
        <f>IF(OR(Sync!$M556="",$Q556="",$Q556="نامعتبر"),"",Sync!$M556)</f>
        <v/>
      </c>
      <c r="O556" t="str">
        <f t="shared" si="59"/>
        <v/>
      </c>
      <c r="P556" t="str">
        <f>IF($N556="","",LEFT($Q556,4)&amp;MID($Q556,6,2)&amp;RIGHT($Q556,2)&amp;IF(Sync!$K556="","0000",IF(AND(ISNUMBER(Sync!$K556),Sync!$K556&gt;=0,Sync!$K556&lt;1),RIGHT("00"&amp;HOUR(Sync!$K556),2)&amp;RIGHT("00"&amp;MINUTE(Sync!$K556),2),IFERROR(RIGHT("00"&amp;VALUE(LEFT(Sync!$K556,FIND(":",Sync!$K556)-1)),2)&amp;RIGHT("00"&amp;VALUE(MID(Sync!$K556,FIND(":",Sync!$K556)+1,2)),2),"0000")))&amp;"|"&amp;"2"&amp;RIGHT("00000"&amp;551,5))</f>
        <v/>
      </c>
      <c r="Q556" t="str">
        <f>IF(Sync!$J556="","",IF(ISNUMBER(Sync!$J556),IF(AND(Sync!$J556&gt;=10000101,Sync!$J556&lt;=99991231),INT(Sync!$J556/10000)&amp;"/"&amp;RIGHT("00"&amp;INT(MOD(Sync!$J556,10000)/100),2)&amp;"/"&amp;RIGHT("00"&amp;MOD(Sync!$J556,100),2),"نامعتبر"),IF(LEN(Sync!$J556)=10,Sync!$J556,"نامعتبر")))</f>
        <v/>
      </c>
      <c r="R556" t="str">
        <f t="shared" si="60"/>
        <v/>
      </c>
      <c r="S556" t="str">
        <f t="shared" si="61"/>
        <v/>
      </c>
      <c r="T556" t="str">
        <f>IF($N556="","",IF(Sync!$N556="",0,Sync!$N556))</f>
        <v/>
      </c>
      <c r="U556" t="str">
        <f>IF($N556="","",IF(Sync!$O556="",0,Sync!$O556))</f>
        <v/>
      </c>
      <c r="V556" t="str">
        <f>IF($N556="","",Sync!$L556)</f>
        <v/>
      </c>
      <c r="W556" t="str">
        <f>IF($N556="","",Sync!$P556)</f>
        <v/>
      </c>
      <c r="AA556" t="str">
        <f>IF($A556="","",IF(COUNTIF($A$6:$A556,$A556)=1,1,0))</f>
        <v/>
      </c>
      <c r="AB556">
        <f>SUM($AA$6:$AA556)</f>
        <v>3</v>
      </c>
      <c r="AC556" t="str">
        <f t="shared" si="62"/>
        <v/>
      </c>
    </row>
    <row r="557" spans="1:29" x14ac:dyDescent="0.2">
      <c r="A557" t="str">
        <f>IF(OR(Entry!$B560="",Entry!$E560="",$E557="نامعتبر"),"",Entry!$E560)</f>
        <v/>
      </c>
      <c r="B557" t="str">
        <f>IF($A557="","",LEFT($E557,4)&amp;MID($E557,6,2)&amp;RIGHT($E557,2)&amp;$F557&amp;"|"&amp;"1"&amp;RIGHT("00000"&amp;552,5))</f>
        <v/>
      </c>
      <c r="C557" t="str">
        <f t="shared" si="56"/>
        <v/>
      </c>
      <c r="D557" t="str">
        <f t="shared" si="57"/>
        <v/>
      </c>
      <c r="E557" t="str">
        <f>IF(Entry!$B560="","",IF(ISNUMBER(Entry!$B560),IF(AND(Entry!$B560&gt;=10000101,Entry!$B560&lt;=99991231),INT(Entry!$B560/10000)&amp;"/"&amp;RIGHT("00"&amp;INT(MOD(Entry!$B560,10000)/100),2)&amp;"/"&amp;RIGHT("00"&amp;MOD(Entry!$B560,100),2),"نامعتبر"),IF(LEN(Entry!$B560)=10,Entry!$B560,"نامعتبر")))</f>
        <v/>
      </c>
      <c r="F557" t="str">
        <f>IF(Entry!$B560="","",IF(Entry!$C560="","0000",IF(AND(ISNUMBER(Entry!$C560),Entry!$C560&gt;=0,Entry!$C560&lt;1),RIGHT("00"&amp;HOUR(Entry!$C560),2)&amp;RIGHT("00"&amp;MINUTE(Entry!$C560),2),IFERROR(RIGHT("00"&amp;VALUE(LEFT(Entry!$C560,FIND(":",Entry!$C560)-1)),2)&amp;RIGHT("00"&amp;VALUE(MID(Entry!$C560,FIND(":",Entry!$C560)+1,2)),2),"0000"))))</f>
        <v/>
      </c>
      <c r="G557" t="str">
        <f>IF($A557="","",Entry!$G560)</f>
        <v/>
      </c>
      <c r="H557" t="str">
        <f>IF($A557="","",IF(Entry!$H560="",0,Entry!$H560))</f>
        <v/>
      </c>
      <c r="I557" t="str">
        <f>IF($A557="","",IF(Entry!$I560="",0,Entry!$I560))</f>
        <v/>
      </c>
      <c r="J557" t="str">
        <f t="shared" si="58"/>
        <v/>
      </c>
      <c r="K557" t="str">
        <f>IF($A557="","",Entry!$D560)</f>
        <v/>
      </c>
      <c r="L557" t="str">
        <f>IF($A557="","",Entry!$L560)</f>
        <v/>
      </c>
      <c r="N557" t="str">
        <f>IF(OR(Sync!$M557="",$Q557="",$Q557="نامعتبر"),"",Sync!$M557)</f>
        <v/>
      </c>
      <c r="O557" t="str">
        <f t="shared" si="59"/>
        <v/>
      </c>
      <c r="P557" t="str">
        <f>IF($N557="","",LEFT($Q557,4)&amp;MID($Q557,6,2)&amp;RIGHT($Q557,2)&amp;IF(Sync!$K557="","0000",IF(AND(ISNUMBER(Sync!$K557),Sync!$K557&gt;=0,Sync!$K557&lt;1),RIGHT("00"&amp;HOUR(Sync!$K557),2)&amp;RIGHT("00"&amp;MINUTE(Sync!$K557),2),IFERROR(RIGHT("00"&amp;VALUE(LEFT(Sync!$K557,FIND(":",Sync!$K557)-1)),2)&amp;RIGHT("00"&amp;VALUE(MID(Sync!$K557,FIND(":",Sync!$K557)+1,2)),2),"0000")))&amp;"|"&amp;"2"&amp;RIGHT("00000"&amp;552,5))</f>
        <v/>
      </c>
      <c r="Q557" t="str">
        <f>IF(Sync!$J557="","",IF(ISNUMBER(Sync!$J557),IF(AND(Sync!$J557&gt;=10000101,Sync!$J557&lt;=99991231),INT(Sync!$J557/10000)&amp;"/"&amp;RIGHT("00"&amp;INT(MOD(Sync!$J557,10000)/100),2)&amp;"/"&amp;RIGHT("00"&amp;MOD(Sync!$J557,100),2),"نامعتبر"),IF(LEN(Sync!$J557)=10,Sync!$J557,"نامعتبر")))</f>
        <v/>
      </c>
      <c r="R557" t="str">
        <f t="shared" si="60"/>
        <v/>
      </c>
      <c r="S557" t="str">
        <f t="shared" si="61"/>
        <v/>
      </c>
      <c r="T557" t="str">
        <f>IF($N557="","",IF(Sync!$N557="",0,Sync!$N557))</f>
        <v/>
      </c>
      <c r="U557" t="str">
        <f>IF($N557="","",IF(Sync!$O557="",0,Sync!$O557))</f>
        <v/>
      </c>
      <c r="V557" t="str">
        <f>IF($N557="","",Sync!$L557)</f>
        <v/>
      </c>
      <c r="W557" t="str">
        <f>IF($N557="","",Sync!$P557)</f>
        <v/>
      </c>
      <c r="AA557" t="str">
        <f>IF($A557="","",IF(COUNTIF($A$6:$A557,$A557)=1,1,0))</f>
        <v/>
      </c>
      <c r="AB557">
        <f>SUM($AA$6:$AA557)</f>
        <v>3</v>
      </c>
      <c r="AC557" t="str">
        <f t="shared" si="62"/>
        <v/>
      </c>
    </row>
    <row r="558" spans="1:29" x14ac:dyDescent="0.2">
      <c r="A558" t="str">
        <f>IF(OR(Entry!$B561="",Entry!$E561="",$E558="نامعتبر"),"",Entry!$E561)</f>
        <v/>
      </c>
      <c r="B558" t="str">
        <f>IF($A558="","",LEFT($E558,4)&amp;MID($E558,6,2)&amp;RIGHT($E558,2)&amp;$F558&amp;"|"&amp;"1"&amp;RIGHT("00000"&amp;553,5))</f>
        <v/>
      </c>
      <c r="C558" t="str">
        <f t="shared" si="56"/>
        <v/>
      </c>
      <c r="D558" t="str">
        <f t="shared" si="57"/>
        <v/>
      </c>
      <c r="E558" t="str">
        <f>IF(Entry!$B561="","",IF(ISNUMBER(Entry!$B561),IF(AND(Entry!$B561&gt;=10000101,Entry!$B561&lt;=99991231),INT(Entry!$B561/10000)&amp;"/"&amp;RIGHT("00"&amp;INT(MOD(Entry!$B561,10000)/100),2)&amp;"/"&amp;RIGHT("00"&amp;MOD(Entry!$B561,100),2),"نامعتبر"),IF(LEN(Entry!$B561)=10,Entry!$B561,"نامعتبر")))</f>
        <v/>
      </c>
      <c r="F558" t="str">
        <f>IF(Entry!$B561="","",IF(Entry!$C561="","0000",IF(AND(ISNUMBER(Entry!$C561),Entry!$C561&gt;=0,Entry!$C561&lt;1),RIGHT("00"&amp;HOUR(Entry!$C561),2)&amp;RIGHT("00"&amp;MINUTE(Entry!$C561),2),IFERROR(RIGHT("00"&amp;VALUE(LEFT(Entry!$C561,FIND(":",Entry!$C561)-1)),2)&amp;RIGHT("00"&amp;VALUE(MID(Entry!$C561,FIND(":",Entry!$C561)+1,2)),2),"0000"))))</f>
        <v/>
      </c>
      <c r="G558" t="str">
        <f>IF($A558="","",Entry!$G561)</f>
        <v/>
      </c>
      <c r="H558" t="str">
        <f>IF($A558="","",IF(Entry!$H561="",0,Entry!$H561))</f>
        <v/>
      </c>
      <c r="I558" t="str">
        <f>IF($A558="","",IF(Entry!$I561="",0,Entry!$I561))</f>
        <v/>
      </c>
      <c r="J558" t="str">
        <f t="shared" si="58"/>
        <v/>
      </c>
      <c r="K558" t="str">
        <f>IF($A558="","",Entry!$D561)</f>
        <v/>
      </c>
      <c r="L558" t="str">
        <f>IF($A558="","",Entry!$L561)</f>
        <v/>
      </c>
      <c r="N558" t="str">
        <f>IF(OR(Sync!$M558="",$Q558="",$Q558="نامعتبر"),"",Sync!$M558)</f>
        <v/>
      </c>
      <c r="O558" t="str">
        <f t="shared" si="59"/>
        <v/>
      </c>
      <c r="P558" t="str">
        <f>IF($N558="","",LEFT($Q558,4)&amp;MID($Q558,6,2)&amp;RIGHT($Q558,2)&amp;IF(Sync!$K558="","0000",IF(AND(ISNUMBER(Sync!$K558),Sync!$K558&gt;=0,Sync!$K558&lt;1),RIGHT("00"&amp;HOUR(Sync!$K558),2)&amp;RIGHT("00"&amp;MINUTE(Sync!$K558),2),IFERROR(RIGHT("00"&amp;VALUE(LEFT(Sync!$K558,FIND(":",Sync!$K558)-1)),2)&amp;RIGHT("00"&amp;VALUE(MID(Sync!$K558,FIND(":",Sync!$K558)+1,2)),2),"0000")))&amp;"|"&amp;"2"&amp;RIGHT("00000"&amp;553,5))</f>
        <v/>
      </c>
      <c r="Q558" t="str">
        <f>IF(Sync!$J558="","",IF(ISNUMBER(Sync!$J558),IF(AND(Sync!$J558&gt;=10000101,Sync!$J558&lt;=99991231),INT(Sync!$J558/10000)&amp;"/"&amp;RIGHT("00"&amp;INT(MOD(Sync!$J558,10000)/100),2)&amp;"/"&amp;RIGHT("00"&amp;MOD(Sync!$J558,100),2),"نامعتبر"),IF(LEN(Sync!$J558)=10,Sync!$J558,"نامعتبر")))</f>
        <v/>
      </c>
      <c r="R558" t="str">
        <f t="shared" si="60"/>
        <v/>
      </c>
      <c r="S558" t="str">
        <f t="shared" si="61"/>
        <v/>
      </c>
      <c r="T558" t="str">
        <f>IF($N558="","",IF(Sync!$N558="",0,Sync!$N558))</f>
        <v/>
      </c>
      <c r="U558" t="str">
        <f>IF($N558="","",IF(Sync!$O558="",0,Sync!$O558))</f>
        <v/>
      </c>
      <c r="V558" t="str">
        <f>IF($N558="","",Sync!$L558)</f>
        <v/>
      </c>
      <c r="W558" t="str">
        <f>IF($N558="","",Sync!$P558)</f>
        <v/>
      </c>
      <c r="AA558" t="str">
        <f>IF($A558="","",IF(COUNTIF($A$6:$A558,$A558)=1,1,0))</f>
        <v/>
      </c>
      <c r="AB558">
        <f>SUM($AA$6:$AA558)</f>
        <v>3</v>
      </c>
      <c r="AC558" t="str">
        <f t="shared" si="62"/>
        <v/>
      </c>
    </row>
    <row r="559" spans="1:29" x14ac:dyDescent="0.2">
      <c r="A559" t="str">
        <f>IF(OR(Entry!$B562="",Entry!$E562="",$E559="نامعتبر"),"",Entry!$E562)</f>
        <v/>
      </c>
      <c r="B559" t="str">
        <f>IF($A559="","",LEFT($E559,4)&amp;MID($E559,6,2)&amp;RIGHT($E559,2)&amp;$F559&amp;"|"&amp;"1"&amp;RIGHT("00000"&amp;554,5))</f>
        <v/>
      </c>
      <c r="C559" t="str">
        <f t="shared" si="56"/>
        <v/>
      </c>
      <c r="D559" t="str">
        <f t="shared" si="57"/>
        <v/>
      </c>
      <c r="E559" t="str">
        <f>IF(Entry!$B562="","",IF(ISNUMBER(Entry!$B562),IF(AND(Entry!$B562&gt;=10000101,Entry!$B562&lt;=99991231),INT(Entry!$B562/10000)&amp;"/"&amp;RIGHT("00"&amp;INT(MOD(Entry!$B562,10000)/100),2)&amp;"/"&amp;RIGHT("00"&amp;MOD(Entry!$B562,100),2),"نامعتبر"),IF(LEN(Entry!$B562)=10,Entry!$B562,"نامعتبر")))</f>
        <v/>
      </c>
      <c r="F559" t="str">
        <f>IF(Entry!$B562="","",IF(Entry!$C562="","0000",IF(AND(ISNUMBER(Entry!$C562),Entry!$C562&gt;=0,Entry!$C562&lt;1),RIGHT("00"&amp;HOUR(Entry!$C562),2)&amp;RIGHT("00"&amp;MINUTE(Entry!$C562),2),IFERROR(RIGHT("00"&amp;VALUE(LEFT(Entry!$C562,FIND(":",Entry!$C562)-1)),2)&amp;RIGHT("00"&amp;VALUE(MID(Entry!$C562,FIND(":",Entry!$C562)+1,2)),2),"0000"))))</f>
        <v/>
      </c>
      <c r="G559" t="str">
        <f>IF($A559="","",Entry!$G562)</f>
        <v/>
      </c>
      <c r="H559" t="str">
        <f>IF($A559="","",IF(Entry!$H562="",0,Entry!$H562))</f>
        <v/>
      </c>
      <c r="I559" t="str">
        <f>IF($A559="","",IF(Entry!$I562="",0,Entry!$I562))</f>
        <v/>
      </c>
      <c r="J559" t="str">
        <f t="shared" si="58"/>
        <v/>
      </c>
      <c r="K559" t="str">
        <f>IF($A559="","",Entry!$D562)</f>
        <v/>
      </c>
      <c r="L559" t="str">
        <f>IF($A559="","",Entry!$L562)</f>
        <v/>
      </c>
      <c r="N559" t="str">
        <f>IF(OR(Sync!$M559="",$Q559="",$Q559="نامعتبر"),"",Sync!$M559)</f>
        <v/>
      </c>
      <c r="O559" t="str">
        <f t="shared" si="59"/>
        <v/>
      </c>
      <c r="P559" t="str">
        <f>IF($N559="","",LEFT($Q559,4)&amp;MID($Q559,6,2)&amp;RIGHT($Q559,2)&amp;IF(Sync!$K559="","0000",IF(AND(ISNUMBER(Sync!$K559),Sync!$K559&gt;=0,Sync!$K559&lt;1),RIGHT("00"&amp;HOUR(Sync!$K559),2)&amp;RIGHT("00"&amp;MINUTE(Sync!$K559),2),IFERROR(RIGHT("00"&amp;VALUE(LEFT(Sync!$K559,FIND(":",Sync!$K559)-1)),2)&amp;RIGHT("00"&amp;VALUE(MID(Sync!$K559,FIND(":",Sync!$K559)+1,2)),2),"0000")))&amp;"|"&amp;"2"&amp;RIGHT("00000"&amp;554,5))</f>
        <v/>
      </c>
      <c r="Q559" t="str">
        <f>IF(Sync!$J559="","",IF(ISNUMBER(Sync!$J559),IF(AND(Sync!$J559&gt;=10000101,Sync!$J559&lt;=99991231),INT(Sync!$J559/10000)&amp;"/"&amp;RIGHT("00"&amp;INT(MOD(Sync!$J559,10000)/100),2)&amp;"/"&amp;RIGHT("00"&amp;MOD(Sync!$J559,100),2),"نامعتبر"),IF(LEN(Sync!$J559)=10,Sync!$J559,"نامعتبر")))</f>
        <v/>
      </c>
      <c r="R559" t="str">
        <f t="shared" si="60"/>
        <v/>
      </c>
      <c r="S559" t="str">
        <f t="shared" si="61"/>
        <v/>
      </c>
      <c r="T559" t="str">
        <f>IF($N559="","",IF(Sync!$N559="",0,Sync!$N559))</f>
        <v/>
      </c>
      <c r="U559" t="str">
        <f>IF($N559="","",IF(Sync!$O559="",0,Sync!$O559))</f>
        <v/>
      </c>
      <c r="V559" t="str">
        <f>IF($N559="","",Sync!$L559)</f>
        <v/>
      </c>
      <c r="W559" t="str">
        <f>IF($N559="","",Sync!$P559)</f>
        <v/>
      </c>
      <c r="AA559" t="str">
        <f>IF($A559="","",IF(COUNTIF($A$6:$A559,$A559)=1,1,0))</f>
        <v/>
      </c>
      <c r="AB559">
        <f>SUM($AA$6:$AA559)</f>
        <v>3</v>
      </c>
      <c r="AC559" t="str">
        <f t="shared" si="62"/>
        <v/>
      </c>
    </row>
    <row r="560" spans="1:29" x14ac:dyDescent="0.2">
      <c r="A560" t="str">
        <f>IF(OR(Entry!$B563="",Entry!$E563="",$E560="نامعتبر"),"",Entry!$E563)</f>
        <v/>
      </c>
      <c r="B560" t="str">
        <f>IF($A560="","",LEFT($E560,4)&amp;MID($E560,6,2)&amp;RIGHT($E560,2)&amp;$F560&amp;"|"&amp;"1"&amp;RIGHT("00000"&amp;555,5))</f>
        <v/>
      </c>
      <c r="C560" t="str">
        <f t="shared" si="56"/>
        <v/>
      </c>
      <c r="D560" t="str">
        <f t="shared" si="57"/>
        <v/>
      </c>
      <c r="E560" t="str">
        <f>IF(Entry!$B563="","",IF(ISNUMBER(Entry!$B563),IF(AND(Entry!$B563&gt;=10000101,Entry!$B563&lt;=99991231),INT(Entry!$B563/10000)&amp;"/"&amp;RIGHT("00"&amp;INT(MOD(Entry!$B563,10000)/100),2)&amp;"/"&amp;RIGHT("00"&amp;MOD(Entry!$B563,100),2),"نامعتبر"),IF(LEN(Entry!$B563)=10,Entry!$B563,"نامعتبر")))</f>
        <v/>
      </c>
      <c r="F560" t="str">
        <f>IF(Entry!$B563="","",IF(Entry!$C563="","0000",IF(AND(ISNUMBER(Entry!$C563),Entry!$C563&gt;=0,Entry!$C563&lt;1),RIGHT("00"&amp;HOUR(Entry!$C563),2)&amp;RIGHT("00"&amp;MINUTE(Entry!$C563),2),IFERROR(RIGHT("00"&amp;VALUE(LEFT(Entry!$C563,FIND(":",Entry!$C563)-1)),2)&amp;RIGHT("00"&amp;VALUE(MID(Entry!$C563,FIND(":",Entry!$C563)+1,2)),2),"0000"))))</f>
        <v/>
      </c>
      <c r="G560" t="str">
        <f>IF($A560="","",Entry!$G563)</f>
        <v/>
      </c>
      <c r="H560" t="str">
        <f>IF($A560="","",IF(Entry!$H563="",0,Entry!$H563))</f>
        <v/>
      </c>
      <c r="I560" t="str">
        <f>IF($A560="","",IF(Entry!$I563="",0,Entry!$I563))</f>
        <v/>
      </c>
      <c r="J560" t="str">
        <f t="shared" si="58"/>
        <v/>
      </c>
      <c r="K560" t="str">
        <f>IF($A560="","",Entry!$D563)</f>
        <v/>
      </c>
      <c r="L560" t="str">
        <f>IF($A560="","",Entry!$L563)</f>
        <v/>
      </c>
      <c r="N560" t="str">
        <f>IF(OR(Sync!$M560="",$Q560="",$Q560="نامعتبر"),"",Sync!$M560)</f>
        <v/>
      </c>
      <c r="O560" t="str">
        <f t="shared" si="59"/>
        <v/>
      </c>
      <c r="P560" t="str">
        <f>IF($N560="","",LEFT($Q560,4)&amp;MID($Q560,6,2)&amp;RIGHT($Q560,2)&amp;IF(Sync!$K560="","0000",IF(AND(ISNUMBER(Sync!$K560),Sync!$K560&gt;=0,Sync!$K560&lt;1),RIGHT("00"&amp;HOUR(Sync!$K560),2)&amp;RIGHT("00"&amp;MINUTE(Sync!$K560),2),IFERROR(RIGHT("00"&amp;VALUE(LEFT(Sync!$K560,FIND(":",Sync!$K560)-1)),2)&amp;RIGHT("00"&amp;VALUE(MID(Sync!$K560,FIND(":",Sync!$K560)+1,2)),2),"0000")))&amp;"|"&amp;"2"&amp;RIGHT("00000"&amp;555,5))</f>
        <v/>
      </c>
      <c r="Q560" t="str">
        <f>IF(Sync!$J560="","",IF(ISNUMBER(Sync!$J560),IF(AND(Sync!$J560&gt;=10000101,Sync!$J560&lt;=99991231),INT(Sync!$J560/10000)&amp;"/"&amp;RIGHT("00"&amp;INT(MOD(Sync!$J560,10000)/100),2)&amp;"/"&amp;RIGHT("00"&amp;MOD(Sync!$J560,100),2),"نامعتبر"),IF(LEN(Sync!$J560)=10,Sync!$J560,"نامعتبر")))</f>
        <v/>
      </c>
      <c r="R560" t="str">
        <f t="shared" si="60"/>
        <v/>
      </c>
      <c r="S560" t="str">
        <f t="shared" si="61"/>
        <v/>
      </c>
      <c r="T560" t="str">
        <f>IF($N560="","",IF(Sync!$N560="",0,Sync!$N560))</f>
        <v/>
      </c>
      <c r="U560" t="str">
        <f>IF($N560="","",IF(Sync!$O560="",0,Sync!$O560))</f>
        <v/>
      </c>
      <c r="V560" t="str">
        <f>IF($N560="","",Sync!$L560)</f>
        <v/>
      </c>
      <c r="W560" t="str">
        <f>IF($N560="","",Sync!$P560)</f>
        <v/>
      </c>
      <c r="AA560" t="str">
        <f>IF($A560="","",IF(COUNTIF($A$6:$A560,$A560)=1,1,0))</f>
        <v/>
      </c>
      <c r="AB560">
        <f>SUM($AA$6:$AA560)</f>
        <v>3</v>
      </c>
      <c r="AC560" t="str">
        <f t="shared" si="62"/>
        <v/>
      </c>
    </row>
    <row r="561" spans="1:29" x14ac:dyDescent="0.2">
      <c r="A561" t="str">
        <f>IF(OR(Entry!$B564="",Entry!$E564="",$E561="نامعتبر"),"",Entry!$E564)</f>
        <v/>
      </c>
      <c r="B561" t="str">
        <f>IF($A561="","",LEFT($E561,4)&amp;MID($E561,6,2)&amp;RIGHT($E561,2)&amp;$F561&amp;"|"&amp;"1"&amp;RIGHT("00000"&amp;556,5))</f>
        <v/>
      </c>
      <c r="C561" t="str">
        <f t="shared" si="56"/>
        <v/>
      </c>
      <c r="D561" t="str">
        <f t="shared" si="57"/>
        <v/>
      </c>
      <c r="E561" t="str">
        <f>IF(Entry!$B564="","",IF(ISNUMBER(Entry!$B564),IF(AND(Entry!$B564&gt;=10000101,Entry!$B564&lt;=99991231),INT(Entry!$B564/10000)&amp;"/"&amp;RIGHT("00"&amp;INT(MOD(Entry!$B564,10000)/100),2)&amp;"/"&amp;RIGHT("00"&amp;MOD(Entry!$B564,100),2),"نامعتبر"),IF(LEN(Entry!$B564)=10,Entry!$B564,"نامعتبر")))</f>
        <v/>
      </c>
      <c r="F561" t="str">
        <f>IF(Entry!$B564="","",IF(Entry!$C564="","0000",IF(AND(ISNUMBER(Entry!$C564),Entry!$C564&gt;=0,Entry!$C564&lt;1),RIGHT("00"&amp;HOUR(Entry!$C564),2)&amp;RIGHT("00"&amp;MINUTE(Entry!$C564),2),IFERROR(RIGHT("00"&amp;VALUE(LEFT(Entry!$C564,FIND(":",Entry!$C564)-1)),2)&amp;RIGHT("00"&amp;VALUE(MID(Entry!$C564,FIND(":",Entry!$C564)+1,2)),2),"0000"))))</f>
        <v/>
      </c>
      <c r="G561" t="str">
        <f>IF($A561="","",Entry!$G564)</f>
        <v/>
      </c>
      <c r="H561" t="str">
        <f>IF($A561="","",IF(Entry!$H564="",0,Entry!$H564))</f>
        <v/>
      </c>
      <c r="I561" t="str">
        <f>IF($A561="","",IF(Entry!$I564="",0,Entry!$I564))</f>
        <v/>
      </c>
      <c r="J561" t="str">
        <f t="shared" si="58"/>
        <v/>
      </c>
      <c r="K561" t="str">
        <f>IF($A561="","",Entry!$D564)</f>
        <v/>
      </c>
      <c r="L561" t="str">
        <f>IF($A561="","",Entry!$L564)</f>
        <v/>
      </c>
      <c r="N561" t="str">
        <f>IF(OR(Sync!$M561="",$Q561="",$Q561="نامعتبر"),"",Sync!$M561)</f>
        <v/>
      </c>
      <c r="O561" t="str">
        <f t="shared" si="59"/>
        <v/>
      </c>
      <c r="P561" t="str">
        <f>IF($N561="","",LEFT($Q561,4)&amp;MID($Q561,6,2)&amp;RIGHT($Q561,2)&amp;IF(Sync!$K561="","0000",IF(AND(ISNUMBER(Sync!$K561),Sync!$K561&gt;=0,Sync!$K561&lt;1),RIGHT("00"&amp;HOUR(Sync!$K561),2)&amp;RIGHT("00"&amp;MINUTE(Sync!$K561),2),IFERROR(RIGHT("00"&amp;VALUE(LEFT(Sync!$K561,FIND(":",Sync!$K561)-1)),2)&amp;RIGHT("00"&amp;VALUE(MID(Sync!$K561,FIND(":",Sync!$K561)+1,2)),2),"0000")))&amp;"|"&amp;"2"&amp;RIGHT("00000"&amp;556,5))</f>
        <v/>
      </c>
      <c r="Q561" t="str">
        <f>IF(Sync!$J561="","",IF(ISNUMBER(Sync!$J561),IF(AND(Sync!$J561&gt;=10000101,Sync!$J561&lt;=99991231),INT(Sync!$J561/10000)&amp;"/"&amp;RIGHT("00"&amp;INT(MOD(Sync!$J561,10000)/100),2)&amp;"/"&amp;RIGHT("00"&amp;MOD(Sync!$J561,100),2),"نامعتبر"),IF(LEN(Sync!$J561)=10,Sync!$J561,"نامعتبر")))</f>
        <v/>
      </c>
      <c r="R561" t="str">
        <f t="shared" si="60"/>
        <v/>
      </c>
      <c r="S561" t="str">
        <f t="shared" si="61"/>
        <v/>
      </c>
      <c r="T561" t="str">
        <f>IF($N561="","",IF(Sync!$N561="",0,Sync!$N561))</f>
        <v/>
      </c>
      <c r="U561" t="str">
        <f>IF($N561="","",IF(Sync!$O561="",0,Sync!$O561))</f>
        <v/>
      </c>
      <c r="V561" t="str">
        <f>IF($N561="","",Sync!$L561)</f>
        <v/>
      </c>
      <c r="W561" t="str">
        <f>IF($N561="","",Sync!$P561)</f>
        <v/>
      </c>
      <c r="AA561" t="str">
        <f>IF($A561="","",IF(COUNTIF($A$6:$A561,$A561)=1,1,0))</f>
        <v/>
      </c>
      <c r="AB561">
        <f>SUM($AA$6:$AA561)</f>
        <v>3</v>
      </c>
      <c r="AC561" t="str">
        <f t="shared" si="62"/>
        <v/>
      </c>
    </row>
    <row r="562" spans="1:29" x14ac:dyDescent="0.2">
      <c r="A562" t="str">
        <f>IF(OR(Entry!$B565="",Entry!$E565="",$E562="نامعتبر"),"",Entry!$E565)</f>
        <v/>
      </c>
      <c r="B562" t="str">
        <f>IF($A562="","",LEFT($E562,4)&amp;MID($E562,6,2)&amp;RIGHT($E562,2)&amp;$F562&amp;"|"&amp;"1"&amp;RIGHT("00000"&amp;557,5))</f>
        <v/>
      </c>
      <c r="C562" t="str">
        <f t="shared" si="56"/>
        <v/>
      </c>
      <c r="D562" t="str">
        <f t="shared" si="57"/>
        <v/>
      </c>
      <c r="E562" t="str">
        <f>IF(Entry!$B565="","",IF(ISNUMBER(Entry!$B565),IF(AND(Entry!$B565&gt;=10000101,Entry!$B565&lt;=99991231),INT(Entry!$B565/10000)&amp;"/"&amp;RIGHT("00"&amp;INT(MOD(Entry!$B565,10000)/100),2)&amp;"/"&amp;RIGHT("00"&amp;MOD(Entry!$B565,100),2),"نامعتبر"),IF(LEN(Entry!$B565)=10,Entry!$B565,"نامعتبر")))</f>
        <v/>
      </c>
      <c r="F562" t="str">
        <f>IF(Entry!$B565="","",IF(Entry!$C565="","0000",IF(AND(ISNUMBER(Entry!$C565),Entry!$C565&gt;=0,Entry!$C565&lt;1),RIGHT("00"&amp;HOUR(Entry!$C565),2)&amp;RIGHT("00"&amp;MINUTE(Entry!$C565),2),IFERROR(RIGHT("00"&amp;VALUE(LEFT(Entry!$C565,FIND(":",Entry!$C565)-1)),2)&amp;RIGHT("00"&amp;VALUE(MID(Entry!$C565,FIND(":",Entry!$C565)+1,2)),2),"0000"))))</f>
        <v/>
      </c>
      <c r="G562" t="str">
        <f>IF($A562="","",Entry!$G565)</f>
        <v/>
      </c>
      <c r="H562" t="str">
        <f>IF($A562="","",IF(Entry!$H565="",0,Entry!$H565))</f>
        <v/>
      </c>
      <c r="I562" t="str">
        <f>IF($A562="","",IF(Entry!$I565="",0,Entry!$I565))</f>
        <v/>
      </c>
      <c r="J562" t="str">
        <f t="shared" si="58"/>
        <v/>
      </c>
      <c r="K562" t="str">
        <f>IF($A562="","",Entry!$D565)</f>
        <v/>
      </c>
      <c r="L562" t="str">
        <f>IF($A562="","",Entry!$L565)</f>
        <v/>
      </c>
      <c r="N562" t="str">
        <f>IF(OR(Sync!$M562="",$Q562="",$Q562="نامعتبر"),"",Sync!$M562)</f>
        <v/>
      </c>
      <c r="O562" t="str">
        <f t="shared" si="59"/>
        <v/>
      </c>
      <c r="P562" t="str">
        <f>IF($N562="","",LEFT($Q562,4)&amp;MID($Q562,6,2)&amp;RIGHT($Q562,2)&amp;IF(Sync!$K562="","0000",IF(AND(ISNUMBER(Sync!$K562),Sync!$K562&gt;=0,Sync!$K562&lt;1),RIGHT("00"&amp;HOUR(Sync!$K562),2)&amp;RIGHT("00"&amp;MINUTE(Sync!$K562),2),IFERROR(RIGHT("00"&amp;VALUE(LEFT(Sync!$K562,FIND(":",Sync!$K562)-1)),2)&amp;RIGHT("00"&amp;VALUE(MID(Sync!$K562,FIND(":",Sync!$K562)+1,2)),2),"0000")))&amp;"|"&amp;"2"&amp;RIGHT("00000"&amp;557,5))</f>
        <v/>
      </c>
      <c r="Q562" t="str">
        <f>IF(Sync!$J562="","",IF(ISNUMBER(Sync!$J562),IF(AND(Sync!$J562&gt;=10000101,Sync!$J562&lt;=99991231),INT(Sync!$J562/10000)&amp;"/"&amp;RIGHT("00"&amp;INT(MOD(Sync!$J562,10000)/100),2)&amp;"/"&amp;RIGHT("00"&amp;MOD(Sync!$J562,100),2),"نامعتبر"),IF(LEN(Sync!$J562)=10,Sync!$J562,"نامعتبر")))</f>
        <v/>
      </c>
      <c r="R562" t="str">
        <f t="shared" si="60"/>
        <v/>
      </c>
      <c r="S562" t="str">
        <f t="shared" si="61"/>
        <v/>
      </c>
      <c r="T562" t="str">
        <f>IF($N562="","",IF(Sync!$N562="",0,Sync!$N562))</f>
        <v/>
      </c>
      <c r="U562" t="str">
        <f>IF($N562="","",IF(Sync!$O562="",0,Sync!$O562))</f>
        <v/>
      </c>
      <c r="V562" t="str">
        <f>IF($N562="","",Sync!$L562)</f>
        <v/>
      </c>
      <c r="W562" t="str">
        <f>IF($N562="","",Sync!$P562)</f>
        <v/>
      </c>
      <c r="AA562" t="str">
        <f>IF($A562="","",IF(COUNTIF($A$6:$A562,$A562)=1,1,0))</f>
        <v/>
      </c>
      <c r="AB562">
        <f>SUM($AA$6:$AA562)</f>
        <v>3</v>
      </c>
      <c r="AC562" t="str">
        <f t="shared" si="62"/>
        <v/>
      </c>
    </row>
    <row r="563" spans="1:29" x14ac:dyDescent="0.2">
      <c r="A563" t="str">
        <f>IF(OR(Entry!$B566="",Entry!$E566="",$E563="نامعتبر"),"",Entry!$E566)</f>
        <v/>
      </c>
      <c r="B563" t="str">
        <f>IF($A563="","",LEFT($E563,4)&amp;MID($E563,6,2)&amp;RIGHT($E563,2)&amp;$F563&amp;"|"&amp;"1"&amp;RIGHT("00000"&amp;558,5))</f>
        <v/>
      </c>
      <c r="C563" t="str">
        <f t="shared" si="56"/>
        <v/>
      </c>
      <c r="D563" t="str">
        <f t="shared" si="57"/>
        <v/>
      </c>
      <c r="E563" t="str">
        <f>IF(Entry!$B566="","",IF(ISNUMBER(Entry!$B566),IF(AND(Entry!$B566&gt;=10000101,Entry!$B566&lt;=99991231),INT(Entry!$B566/10000)&amp;"/"&amp;RIGHT("00"&amp;INT(MOD(Entry!$B566,10000)/100),2)&amp;"/"&amp;RIGHT("00"&amp;MOD(Entry!$B566,100),2),"نامعتبر"),IF(LEN(Entry!$B566)=10,Entry!$B566,"نامعتبر")))</f>
        <v/>
      </c>
      <c r="F563" t="str">
        <f>IF(Entry!$B566="","",IF(Entry!$C566="","0000",IF(AND(ISNUMBER(Entry!$C566),Entry!$C566&gt;=0,Entry!$C566&lt;1),RIGHT("00"&amp;HOUR(Entry!$C566),2)&amp;RIGHT("00"&amp;MINUTE(Entry!$C566),2),IFERROR(RIGHT("00"&amp;VALUE(LEFT(Entry!$C566,FIND(":",Entry!$C566)-1)),2)&amp;RIGHT("00"&amp;VALUE(MID(Entry!$C566,FIND(":",Entry!$C566)+1,2)),2),"0000"))))</f>
        <v/>
      </c>
      <c r="G563" t="str">
        <f>IF($A563="","",Entry!$G566)</f>
        <v/>
      </c>
      <c r="H563" t="str">
        <f>IF($A563="","",IF(Entry!$H566="",0,Entry!$H566))</f>
        <v/>
      </c>
      <c r="I563" t="str">
        <f>IF($A563="","",IF(Entry!$I566="",0,Entry!$I566))</f>
        <v/>
      </c>
      <c r="J563" t="str">
        <f t="shared" si="58"/>
        <v/>
      </c>
      <c r="K563" t="str">
        <f>IF($A563="","",Entry!$D566)</f>
        <v/>
      </c>
      <c r="L563" t="str">
        <f>IF($A563="","",Entry!$L566)</f>
        <v/>
      </c>
      <c r="N563" t="str">
        <f>IF(OR(Sync!$M563="",$Q563="",$Q563="نامعتبر"),"",Sync!$M563)</f>
        <v/>
      </c>
      <c r="O563" t="str">
        <f t="shared" si="59"/>
        <v/>
      </c>
      <c r="P563" t="str">
        <f>IF($N563="","",LEFT($Q563,4)&amp;MID($Q563,6,2)&amp;RIGHT($Q563,2)&amp;IF(Sync!$K563="","0000",IF(AND(ISNUMBER(Sync!$K563),Sync!$K563&gt;=0,Sync!$K563&lt;1),RIGHT("00"&amp;HOUR(Sync!$K563),2)&amp;RIGHT("00"&amp;MINUTE(Sync!$K563),2),IFERROR(RIGHT("00"&amp;VALUE(LEFT(Sync!$K563,FIND(":",Sync!$K563)-1)),2)&amp;RIGHT("00"&amp;VALUE(MID(Sync!$K563,FIND(":",Sync!$K563)+1,2)),2),"0000")))&amp;"|"&amp;"2"&amp;RIGHT("00000"&amp;558,5))</f>
        <v/>
      </c>
      <c r="Q563" t="str">
        <f>IF(Sync!$J563="","",IF(ISNUMBER(Sync!$J563),IF(AND(Sync!$J563&gt;=10000101,Sync!$J563&lt;=99991231),INT(Sync!$J563/10000)&amp;"/"&amp;RIGHT("00"&amp;INT(MOD(Sync!$J563,10000)/100),2)&amp;"/"&amp;RIGHT("00"&amp;MOD(Sync!$J563,100),2),"نامعتبر"),IF(LEN(Sync!$J563)=10,Sync!$J563,"نامعتبر")))</f>
        <v/>
      </c>
      <c r="R563" t="str">
        <f t="shared" si="60"/>
        <v/>
      </c>
      <c r="S563" t="str">
        <f t="shared" si="61"/>
        <v/>
      </c>
      <c r="T563" t="str">
        <f>IF($N563="","",IF(Sync!$N563="",0,Sync!$N563))</f>
        <v/>
      </c>
      <c r="U563" t="str">
        <f>IF($N563="","",IF(Sync!$O563="",0,Sync!$O563))</f>
        <v/>
      </c>
      <c r="V563" t="str">
        <f>IF($N563="","",Sync!$L563)</f>
        <v/>
      </c>
      <c r="W563" t="str">
        <f>IF($N563="","",Sync!$P563)</f>
        <v/>
      </c>
      <c r="AA563" t="str">
        <f>IF($A563="","",IF(COUNTIF($A$6:$A563,$A563)=1,1,0))</f>
        <v/>
      </c>
      <c r="AB563">
        <f>SUM($AA$6:$AA563)</f>
        <v>3</v>
      </c>
      <c r="AC563" t="str">
        <f t="shared" si="62"/>
        <v/>
      </c>
    </row>
    <row r="564" spans="1:29" x14ac:dyDescent="0.2">
      <c r="A564" t="str">
        <f>IF(OR(Entry!$B567="",Entry!$E567="",$E564="نامعتبر"),"",Entry!$E567)</f>
        <v/>
      </c>
      <c r="B564" t="str">
        <f>IF($A564="","",LEFT($E564,4)&amp;MID($E564,6,2)&amp;RIGHT($E564,2)&amp;$F564&amp;"|"&amp;"1"&amp;RIGHT("00000"&amp;559,5))</f>
        <v/>
      </c>
      <c r="C564" t="str">
        <f t="shared" si="56"/>
        <v/>
      </c>
      <c r="D564" t="str">
        <f t="shared" si="57"/>
        <v/>
      </c>
      <c r="E564" t="str">
        <f>IF(Entry!$B567="","",IF(ISNUMBER(Entry!$B567),IF(AND(Entry!$B567&gt;=10000101,Entry!$B567&lt;=99991231),INT(Entry!$B567/10000)&amp;"/"&amp;RIGHT("00"&amp;INT(MOD(Entry!$B567,10000)/100),2)&amp;"/"&amp;RIGHT("00"&amp;MOD(Entry!$B567,100),2),"نامعتبر"),IF(LEN(Entry!$B567)=10,Entry!$B567,"نامعتبر")))</f>
        <v/>
      </c>
      <c r="F564" t="str">
        <f>IF(Entry!$B567="","",IF(Entry!$C567="","0000",IF(AND(ISNUMBER(Entry!$C567),Entry!$C567&gt;=0,Entry!$C567&lt;1),RIGHT("00"&amp;HOUR(Entry!$C567),2)&amp;RIGHT("00"&amp;MINUTE(Entry!$C567),2),IFERROR(RIGHT("00"&amp;VALUE(LEFT(Entry!$C567,FIND(":",Entry!$C567)-1)),2)&amp;RIGHT("00"&amp;VALUE(MID(Entry!$C567,FIND(":",Entry!$C567)+1,2)),2),"0000"))))</f>
        <v/>
      </c>
      <c r="G564" t="str">
        <f>IF($A564="","",Entry!$G567)</f>
        <v/>
      </c>
      <c r="H564" t="str">
        <f>IF($A564="","",IF(Entry!$H567="",0,Entry!$H567))</f>
        <v/>
      </c>
      <c r="I564" t="str">
        <f>IF($A564="","",IF(Entry!$I567="",0,Entry!$I567))</f>
        <v/>
      </c>
      <c r="J564" t="str">
        <f t="shared" si="58"/>
        <v/>
      </c>
      <c r="K564" t="str">
        <f>IF($A564="","",Entry!$D567)</f>
        <v/>
      </c>
      <c r="L564" t="str">
        <f>IF($A564="","",Entry!$L567)</f>
        <v/>
      </c>
      <c r="N564" t="str">
        <f>IF(OR(Sync!$M564="",$Q564="",$Q564="نامعتبر"),"",Sync!$M564)</f>
        <v/>
      </c>
      <c r="O564" t="str">
        <f t="shared" si="59"/>
        <v/>
      </c>
      <c r="P564" t="str">
        <f>IF($N564="","",LEFT($Q564,4)&amp;MID($Q564,6,2)&amp;RIGHT($Q564,2)&amp;IF(Sync!$K564="","0000",IF(AND(ISNUMBER(Sync!$K564),Sync!$K564&gt;=0,Sync!$K564&lt;1),RIGHT("00"&amp;HOUR(Sync!$K564),2)&amp;RIGHT("00"&amp;MINUTE(Sync!$K564),2),IFERROR(RIGHT("00"&amp;VALUE(LEFT(Sync!$K564,FIND(":",Sync!$K564)-1)),2)&amp;RIGHT("00"&amp;VALUE(MID(Sync!$K564,FIND(":",Sync!$K564)+1,2)),2),"0000")))&amp;"|"&amp;"2"&amp;RIGHT("00000"&amp;559,5))</f>
        <v/>
      </c>
      <c r="Q564" t="str">
        <f>IF(Sync!$J564="","",IF(ISNUMBER(Sync!$J564),IF(AND(Sync!$J564&gt;=10000101,Sync!$J564&lt;=99991231),INT(Sync!$J564/10000)&amp;"/"&amp;RIGHT("00"&amp;INT(MOD(Sync!$J564,10000)/100),2)&amp;"/"&amp;RIGHT("00"&amp;MOD(Sync!$J564,100),2),"نامعتبر"),IF(LEN(Sync!$J564)=10,Sync!$J564,"نامعتبر")))</f>
        <v/>
      </c>
      <c r="R564" t="str">
        <f t="shared" si="60"/>
        <v/>
      </c>
      <c r="S564" t="str">
        <f t="shared" si="61"/>
        <v/>
      </c>
      <c r="T564" t="str">
        <f>IF($N564="","",IF(Sync!$N564="",0,Sync!$N564))</f>
        <v/>
      </c>
      <c r="U564" t="str">
        <f>IF($N564="","",IF(Sync!$O564="",0,Sync!$O564))</f>
        <v/>
      </c>
      <c r="V564" t="str">
        <f>IF($N564="","",Sync!$L564)</f>
        <v/>
      </c>
      <c r="W564" t="str">
        <f>IF($N564="","",Sync!$P564)</f>
        <v/>
      </c>
      <c r="AA564" t="str">
        <f>IF($A564="","",IF(COUNTIF($A$6:$A564,$A564)=1,1,0))</f>
        <v/>
      </c>
      <c r="AB564">
        <f>SUM($AA$6:$AA564)</f>
        <v>3</v>
      </c>
      <c r="AC564" t="str">
        <f t="shared" si="62"/>
        <v/>
      </c>
    </row>
    <row r="565" spans="1:29" x14ac:dyDescent="0.2">
      <c r="A565" t="str">
        <f>IF(OR(Entry!$B568="",Entry!$E568="",$E565="نامعتبر"),"",Entry!$E568)</f>
        <v/>
      </c>
      <c r="B565" t="str">
        <f>IF($A565="","",LEFT($E565,4)&amp;MID($E565,6,2)&amp;RIGHT($E565,2)&amp;$F565&amp;"|"&amp;"1"&amp;RIGHT("00000"&amp;560,5))</f>
        <v/>
      </c>
      <c r="C565" t="str">
        <f t="shared" si="56"/>
        <v/>
      </c>
      <c r="D565" t="str">
        <f t="shared" si="57"/>
        <v/>
      </c>
      <c r="E565" t="str">
        <f>IF(Entry!$B568="","",IF(ISNUMBER(Entry!$B568),IF(AND(Entry!$B568&gt;=10000101,Entry!$B568&lt;=99991231),INT(Entry!$B568/10000)&amp;"/"&amp;RIGHT("00"&amp;INT(MOD(Entry!$B568,10000)/100),2)&amp;"/"&amp;RIGHT("00"&amp;MOD(Entry!$B568,100),2),"نامعتبر"),IF(LEN(Entry!$B568)=10,Entry!$B568,"نامعتبر")))</f>
        <v/>
      </c>
      <c r="F565" t="str">
        <f>IF(Entry!$B568="","",IF(Entry!$C568="","0000",IF(AND(ISNUMBER(Entry!$C568),Entry!$C568&gt;=0,Entry!$C568&lt;1),RIGHT("00"&amp;HOUR(Entry!$C568),2)&amp;RIGHT("00"&amp;MINUTE(Entry!$C568),2),IFERROR(RIGHT("00"&amp;VALUE(LEFT(Entry!$C568,FIND(":",Entry!$C568)-1)),2)&amp;RIGHT("00"&amp;VALUE(MID(Entry!$C568,FIND(":",Entry!$C568)+1,2)),2),"0000"))))</f>
        <v/>
      </c>
      <c r="G565" t="str">
        <f>IF($A565="","",Entry!$G568)</f>
        <v/>
      </c>
      <c r="H565" t="str">
        <f>IF($A565="","",IF(Entry!$H568="",0,Entry!$H568))</f>
        <v/>
      </c>
      <c r="I565" t="str">
        <f>IF($A565="","",IF(Entry!$I568="",0,Entry!$I568))</f>
        <v/>
      </c>
      <c r="J565" t="str">
        <f t="shared" si="58"/>
        <v/>
      </c>
      <c r="K565" t="str">
        <f>IF($A565="","",Entry!$D568)</f>
        <v/>
      </c>
      <c r="L565" t="str">
        <f>IF($A565="","",Entry!$L568)</f>
        <v/>
      </c>
      <c r="N565" t="str">
        <f>IF(OR(Sync!$M565="",$Q565="",$Q565="نامعتبر"),"",Sync!$M565)</f>
        <v/>
      </c>
      <c r="O565" t="str">
        <f t="shared" si="59"/>
        <v/>
      </c>
      <c r="P565" t="str">
        <f>IF($N565="","",LEFT($Q565,4)&amp;MID($Q565,6,2)&amp;RIGHT($Q565,2)&amp;IF(Sync!$K565="","0000",IF(AND(ISNUMBER(Sync!$K565),Sync!$K565&gt;=0,Sync!$K565&lt;1),RIGHT("00"&amp;HOUR(Sync!$K565),2)&amp;RIGHT("00"&amp;MINUTE(Sync!$K565),2),IFERROR(RIGHT("00"&amp;VALUE(LEFT(Sync!$K565,FIND(":",Sync!$K565)-1)),2)&amp;RIGHT("00"&amp;VALUE(MID(Sync!$K565,FIND(":",Sync!$K565)+1,2)),2),"0000")))&amp;"|"&amp;"2"&amp;RIGHT("00000"&amp;560,5))</f>
        <v/>
      </c>
      <c r="Q565" t="str">
        <f>IF(Sync!$J565="","",IF(ISNUMBER(Sync!$J565),IF(AND(Sync!$J565&gt;=10000101,Sync!$J565&lt;=99991231),INT(Sync!$J565/10000)&amp;"/"&amp;RIGHT("00"&amp;INT(MOD(Sync!$J565,10000)/100),2)&amp;"/"&amp;RIGHT("00"&amp;MOD(Sync!$J565,100),2),"نامعتبر"),IF(LEN(Sync!$J565)=10,Sync!$J565,"نامعتبر")))</f>
        <v/>
      </c>
      <c r="R565" t="str">
        <f t="shared" si="60"/>
        <v/>
      </c>
      <c r="S565" t="str">
        <f t="shared" si="61"/>
        <v/>
      </c>
      <c r="T565" t="str">
        <f>IF($N565="","",IF(Sync!$N565="",0,Sync!$N565))</f>
        <v/>
      </c>
      <c r="U565" t="str">
        <f>IF($N565="","",IF(Sync!$O565="",0,Sync!$O565))</f>
        <v/>
      </c>
      <c r="V565" t="str">
        <f>IF($N565="","",Sync!$L565)</f>
        <v/>
      </c>
      <c r="W565" t="str">
        <f>IF($N565="","",Sync!$P565)</f>
        <v/>
      </c>
      <c r="AA565" t="str">
        <f>IF($A565="","",IF(COUNTIF($A$6:$A565,$A565)=1,1,0))</f>
        <v/>
      </c>
      <c r="AB565">
        <f>SUM($AA$6:$AA565)</f>
        <v>3</v>
      </c>
      <c r="AC565" t="str">
        <f t="shared" si="62"/>
        <v/>
      </c>
    </row>
    <row r="566" spans="1:29" x14ac:dyDescent="0.2">
      <c r="A566" t="str">
        <f>IF(OR(Entry!$B569="",Entry!$E569="",$E566="نامعتبر"),"",Entry!$E569)</f>
        <v/>
      </c>
      <c r="B566" t="str">
        <f>IF($A566="","",LEFT($E566,4)&amp;MID($E566,6,2)&amp;RIGHT($E566,2)&amp;$F566&amp;"|"&amp;"1"&amp;RIGHT("00000"&amp;561,5))</f>
        <v/>
      </c>
      <c r="C566" t="str">
        <f t="shared" si="56"/>
        <v/>
      </c>
      <c r="D566" t="str">
        <f t="shared" si="57"/>
        <v/>
      </c>
      <c r="E566" t="str">
        <f>IF(Entry!$B569="","",IF(ISNUMBER(Entry!$B569),IF(AND(Entry!$B569&gt;=10000101,Entry!$B569&lt;=99991231),INT(Entry!$B569/10000)&amp;"/"&amp;RIGHT("00"&amp;INT(MOD(Entry!$B569,10000)/100),2)&amp;"/"&amp;RIGHT("00"&amp;MOD(Entry!$B569,100),2),"نامعتبر"),IF(LEN(Entry!$B569)=10,Entry!$B569,"نامعتبر")))</f>
        <v/>
      </c>
      <c r="F566" t="str">
        <f>IF(Entry!$B569="","",IF(Entry!$C569="","0000",IF(AND(ISNUMBER(Entry!$C569),Entry!$C569&gt;=0,Entry!$C569&lt;1),RIGHT("00"&amp;HOUR(Entry!$C569),2)&amp;RIGHT("00"&amp;MINUTE(Entry!$C569),2),IFERROR(RIGHT("00"&amp;VALUE(LEFT(Entry!$C569,FIND(":",Entry!$C569)-1)),2)&amp;RIGHT("00"&amp;VALUE(MID(Entry!$C569,FIND(":",Entry!$C569)+1,2)),2),"0000"))))</f>
        <v/>
      </c>
      <c r="G566" t="str">
        <f>IF($A566="","",Entry!$G569)</f>
        <v/>
      </c>
      <c r="H566" t="str">
        <f>IF($A566="","",IF(Entry!$H569="",0,Entry!$H569))</f>
        <v/>
      </c>
      <c r="I566" t="str">
        <f>IF($A566="","",IF(Entry!$I569="",0,Entry!$I569))</f>
        <v/>
      </c>
      <c r="J566" t="str">
        <f t="shared" si="58"/>
        <v/>
      </c>
      <c r="K566" t="str">
        <f>IF($A566="","",Entry!$D569)</f>
        <v/>
      </c>
      <c r="L566" t="str">
        <f>IF($A566="","",Entry!$L569)</f>
        <v/>
      </c>
      <c r="N566" t="str">
        <f>IF(OR(Sync!$M566="",$Q566="",$Q566="نامعتبر"),"",Sync!$M566)</f>
        <v/>
      </c>
      <c r="O566" t="str">
        <f t="shared" si="59"/>
        <v/>
      </c>
      <c r="P566" t="str">
        <f>IF($N566="","",LEFT($Q566,4)&amp;MID($Q566,6,2)&amp;RIGHT($Q566,2)&amp;IF(Sync!$K566="","0000",IF(AND(ISNUMBER(Sync!$K566),Sync!$K566&gt;=0,Sync!$K566&lt;1),RIGHT("00"&amp;HOUR(Sync!$K566),2)&amp;RIGHT("00"&amp;MINUTE(Sync!$K566),2),IFERROR(RIGHT("00"&amp;VALUE(LEFT(Sync!$K566,FIND(":",Sync!$K566)-1)),2)&amp;RIGHT("00"&amp;VALUE(MID(Sync!$K566,FIND(":",Sync!$K566)+1,2)),2),"0000")))&amp;"|"&amp;"2"&amp;RIGHT("00000"&amp;561,5))</f>
        <v/>
      </c>
      <c r="Q566" t="str">
        <f>IF(Sync!$J566="","",IF(ISNUMBER(Sync!$J566),IF(AND(Sync!$J566&gt;=10000101,Sync!$J566&lt;=99991231),INT(Sync!$J566/10000)&amp;"/"&amp;RIGHT("00"&amp;INT(MOD(Sync!$J566,10000)/100),2)&amp;"/"&amp;RIGHT("00"&amp;MOD(Sync!$J566,100),2),"نامعتبر"),IF(LEN(Sync!$J566)=10,Sync!$J566,"نامعتبر")))</f>
        <v/>
      </c>
      <c r="R566" t="str">
        <f t="shared" si="60"/>
        <v/>
      </c>
      <c r="S566" t="str">
        <f t="shared" si="61"/>
        <v/>
      </c>
      <c r="T566" t="str">
        <f>IF($N566="","",IF(Sync!$N566="",0,Sync!$N566))</f>
        <v/>
      </c>
      <c r="U566" t="str">
        <f>IF($N566="","",IF(Sync!$O566="",0,Sync!$O566))</f>
        <v/>
      </c>
      <c r="V566" t="str">
        <f>IF($N566="","",Sync!$L566)</f>
        <v/>
      </c>
      <c r="W566" t="str">
        <f>IF($N566="","",Sync!$P566)</f>
        <v/>
      </c>
      <c r="AA566" t="str">
        <f>IF($A566="","",IF(COUNTIF($A$6:$A566,$A566)=1,1,0))</f>
        <v/>
      </c>
      <c r="AB566">
        <f>SUM($AA$6:$AA566)</f>
        <v>3</v>
      </c>
      <c r="AC566" t="str">
        <f t="shared" si="62"/>
        <v/>
      </c>
    </row>
    <row r="567" spans="1:29" x14ac:dyDescent="0.2">
      <c r="A567" t="str">
        <f>IF(OR(Entry!$B570="",Entry!$E570="",$E567="نامعتبر"),"",Entry!$E570)</f>
        <v/>
      </c>
      <c r="B567" t="str">
        <f>IF($A567="","",LEFT($E567,4)&amp;MID($E567,6,2)&amp;RIGHT($E567,2)&amp;$F567&amp;"|"&amp;"1"&amp;RIGHT("00000"&amp;562,5))</f>
        <v/>
      </c>
      <c r="C567" t="str">
        <f t="shared" si="56"/>
        <v/>
      </c>
      <c r="D567" t="str">
        <f t="shared" si="57"/>
        <v/>
      </c>
      <c r="E567" t="str">
        <f>IF(Entry!$B570="","",IF(ISNUMBER(Entry!$B570),IF(AND(Entry!$B570&gt;=10000101,Entry!$B570&lt;=99991231),INT(Entry!$B570/10000)&amp;"/"&amp;RIGHT("00"&amp;INT(MOD(Entry!$B570,10000)/100),2)&amp;"/"&amp;RIGHT("00"&amp;MOD(Entry!$B570,100),2),"نامعتبر"),IF(LEN(Entry!$B570)=10,Entry!$B570,"نامعتبر")))</f>
        <v/>
      </c>
      <c r="F567" t="str">
        <f>IF(Entry!$B570="","",IF(Entry!$C570="","0000",IF(AND(ISNUMBER(Entry!$C570),Entry!$C570&gt;=0,Entry!$C570&lt;1),RIGHT("00"&amp;HOUR(Entry!$C570),2)&amp;RIGHT("00"&amp;MINUTE(Entry!$C570),2),IFERROR(RIGHT("00"&amp;VALUE(LEFT(Entry!$C570,FIND(":",Entry!$C570)-1)),2)&amp;RIGHT("00"&amp;VALUE(MID(Entry!$C570,FIND(":",Entry!$C570)+1,2)),2),"0000"))))</f>
        <v/>
      </c>
      <c r="G567" t="str">
        <f>IF($A567="","",Entry!$G570)</f>
        <v/>
      </c>
      <c r="H567" t="str">
        <f>IF($A567="","",IF(Entry!$H570="",0,Entry!$H570))</f>
        <v/>
      </c>
      <c r="I567" t="str">
        <f>IF($A567="","",IF(Entry!$I570="",0,Entry!$I570))</f>
        <v/>
      </c>
      <c r="J567" t="str">
        <f t="shared" si="58"/>
        <v/>
      </c>
      <c r="K567" t="str">
        <f>IF($A567="","",Entry!$D570)</f>
        <v/>
      </c>
      <c r="L567" t="str">
        <f>IF($A567="","",Entry!$L570)</f>
        <v/>
      </c>
      <c r="N567" t="str">
        <f>IF(OR(Sync!$M567="",$Q567="",$Q567="نامعتبر"),"",Sync!$M567)</f>
        <v/>
      </c>
      <c r="O567" t="str">
        <f t="shared" si="59"/>
        <v/>
      </c>
      <c r="P567" t="str">
        <f>IF($N567="","",LEFT($Q567,4)&amp;MID($Q567,6,2)&amp;RIGHT($Q567,2)&amp;IF(Sync!$K567="","0000",IF(AND(ISNUMBER(Sync!$K567),Sync!$K567&gt;=0,Sync!$K567&lt;1),RIGHT("00"&amp;HOUR(Sync!$K567),2)&amp;RIGHT("00"&amp;MINUTE(Sync!$K567),2),IFERROR(RIGHT("00"&amp;VALUE(LEFT(Sync!$K567,FIND(":",Sync!$K567)-1)),2)&amp;RIGHT("00"&amp;VALUE(MID(Sync!$K567,FIND(":",Sync!$K567)+1,2)),2),"0000")))&amp;"|"&amp;"2"&amp;RIGHT("00000"&amp;562,5))</f>
        <v/>
      </c>
      <c r="Q567" t="str">
        <f>IF(Sync!$J567="","",IF(ISNUMBER(Sync!$J567),IF(AND(Sync!$J567&gt;=10000101,Sync!$J567&lt;=99991231),INT(Sync!$J567/10000)&amp;"/"&amp;RIGHT("00"&amp;INT(MOD(Sync!$J567,10000)/100),2)&amp;"/"&amp;RIGHT("00"&amp;MOD(Sync!$J567,100),2),"نامعتبر"),IF(LEN(Sync!$J567)=10,Sync!$J567,"نامعتبر")))</f>
        <v/>
      </c>
      <c r="R567" t="str">
        <f t="shared" si="60"/>
        <v/>
      </c>
      <c r="S567" t="str">
        <f t="shared" si="61"/>
        <v/>
      </c>
      <c r="T567" t="str">
        <f>IF($N567="","",IF(Sync!$N567="",0,Sync!$N567))</f>
        <v/>
      </c>
      <c r="U567" t="str">
        <f>IF($N567="","",IF(Sync!$O567="",0,Sync!$O567))</f>
        <v/>
      </c>
      <c r="V567" t="str">
        <f>IF($N567="","",Sync!$L567)</f>
        <v/>
      </c>
      <c r="W567" t="str">
        <f>IF($N567="","",Sync!$P567)</f>
        <v/>
      </c>
      <c r="AA567" t="str">
        <f>IF($A567="","",IF(COUNTIF($A$6:$A567,$A567)=1,1,0))</f>
        <v/>
      </c>
      <c r="AB567">
        <f>SUM($AA$6:$AA567)</f>
        <v>3</v>
      </c>
      <c r="AC567" t="str">
        <f t="shared" si="62"/>
        <v/>
      </c>
    </row>
    <row r="568" spans="1:29" x14ac:dyDescent="0.2">
      <c r="A568" t="str">
        <f>IF(OR(Entry!$B571="",Entry!$E571="",$E568="نامعتبر"),"",Entry!$E571)</f>
        <v/>
      </c>
      <c r="B568" t="str">
        <f>IF($A568="","",LEFT($E568,4)&amp;MID($E568,6,2)&amp;RIGHT($E568,2)&amp;$F568&amp;"|"&amp;"1"&amp;RIGHT("00000"&amp;563,5))</f>
        <v/>
      </c>
      <c r="C568" t="str">
        <f t="shared" si="56"/>
        <v/>
      </c>
      <c r="D568" t="str">
        <f t="shared" si="57"/>
        <v/>
      </c>
      <c r="E568" t="str">
        <f>IF(Entry!$B571="","",IF(ISNUMBER(Entry!$B571),IF(AND(Entry!$B571&gt;=10000101,Entry!$B571&lt;=99991231),INT(Entry!$B571/10000)&amp;"/"&amp;RIGHT("00"&amp;INT(MOD(Entry!$B571,10000)/100),2)&amp;"/"&amp;RIGHT("00"&amp;MOD(Entry!$B571,100),2),"نامعتبر"),IF(LEN(Entry!$B571)=10,Entry!$B571,"نامعتبر")))</f>
        <v/>
      </c>
      <c r="F568" t="str">
        <f>IF(Entry!$B571="","",IF(Entry!$C571="","0000",IF(AND(ISNUMBER(Entry!$C571),Entry!$C571&gt;=0,Entry!$C571&lt;1),RIGHT("00"&amp;HOUR(Entry!$C571),2)&amp;RIGHT("00"&amp;MINUTE(Entry!$C571),2),IFERROR(RIGHT("00"&amp;VALUE(LEFT(Entry!$C571,FIND(":",Entry!$C571)-1)),2)&amp;RIGHT("00"&amp;VALUE(MID(Entry!$C571,FIND(":",Entry!$C571)+1,2)),2),"0000"))))</f>
        <v/>
      </c>
      <c r="G568" t="str">
        <f>IF($A568="","",Entry!$G571)</f>
        <v/>
      </c>
      <c r="H568" t="str">
        <f>IF($A568="","",IF(Entry!$H571="",0,Entry!$H571))</f>
        <v/>
      </c>
      <c r="I568" t="str">
        <f>IF($A568="","",IF(Entry!$I571="",0,Entry!$I571))</f>
        <v/>
      </c>
      <c r="J568" t="str">
        <f t="shared" si="58"/>
        <v/>
      </c>
      <c r="K568" t="str">
        <f>IF($A568="","",Entry!$D571)</f>
        <v/>
      </c>
      <c r="L568" t="str">
        <f>IF($A568="","",Entry!$L571)</f>
        <v/>
      </c>
      <c r="N568" t="str">
        <f>IF(OR(Sync!$M568="",$Q568="",$Q568="نامعتبر"),"",Sync!$M568)</f>
        <v/>
      </c>
      <c r="O568" t="str">
        <f t="shared" si="59"/>
        <v/>
      </c>
      <c r="P568" t="str">
        <f>IF($N568="","",LEFT($Q568,4)&amp;MID($Q568,6,2)&amp;RIGHT($Q568,2)&amp;IF(Sync!$K568="","0000",IF(AND(ISNUMBER(Sync!$K568),Sync!$K568&gt;=0,Sync!$K568&lt;1),RIGHT("00"&amp;HOUR(Sync!$K568),2)&amp;RIGHT("00"&amp;MINUTE(Sync!$K568),2),IFERROR(RIGHT("00"&amp;VALUE(LEFT(Sync!$K568,FIND(":",Sync!$K568)-1)),2)&amp;RIGHT("00"&amp;VALUE(MID(Sync!$K568,FIND(":",Sync!$K568)+1,2)),2),"0000")))&amp;"|"&amp;"2"&amp;RIGHT("00000"&amp;563,5))</f>
        <v/>
      </c>
      <c r="Q568" t="str">
        <f>IF(Sync!$J568="","",IF(ISNUMBER(Sync!$J568),IF(AND(Sync!$J568&gt;=10000101,Sync!$J568&lt;=99991231),INT(Sync!$J568/10000)&amp;"/"&amp;RIGHT("00"&amp;INT(MOD(Sync!$J568,10000)/100),2)&amp;"/"&amp;RIGHT("00"&amp;MOD(Sync!$J568,100),2),"نامعتبر"),IF(LEN(Sync!$J568)=10,Sync!$J568,"نامعتبر")))</f>
        <v/>
      </c>
      <c r="R568" t="str">
        <f t="shared" si="60"/>
        <v/>
      </c>
      <c r="S568" t="str">
        <f t="shared" si="61"/>
        <v/>
      </c>
      <c r="T568" t="str">
        <f>IF($N568="","",IF(Sync!$N568="",0,Sync!$N568))</f>
        <v/>
      </c>
      <c r="U568" t="str">
        <f>IF($N568="","",IF(Sync!$O568="",0,Sync!$O568))</f>
        <v/>
      </c>
      <c r="V568" t="str">
        <f>IF($N568="","",Sync!$L568)</f>
        <v/>
      </c>
      <c r="W568" t="str">
        <f>IF($N568="","",Sync!$P568)</f>
        <v/>
      </c>
      <c r="AA568" t="str">
        <f>IF($A568="","",IF(COUNTIF($A$6:$A568,$A568)=1,1,0))</f>
        <v/>
      </c>
      <c r="AB568">
        <f>SUM($AA$6:$AA568)</f>
        <v>3</v>
      </c>
      <c r="AC568" t="str">
        <f t="shared" si="62"/>
        <v/>
      </c>
    </row>
    <row r="569" spans="1:29" x14ac:dyDescent="0.2">
      <c r="A569" t="str">
        <f>IF(OR(Entry!$B572="",Entry!$E572="",$E569="نامعتبر"),"",Entry!$E572)</f>
        <v/>
      </c>
      <c r="B569" t="str">
        <f>IF($A569="","",LEFT($E569,4)&amp;MID($E569,6,2)&amp;RIGHT($E569,2)&amp;$F569&amp;"|"&amp;"1"&amp;RIGHT("00000"&amp;564,5))</f>
        <v/>
      </c>
      <c r="C569" t="str">
        <f t="shared" si="56"/>
        <v/>
      </c>
      <c r="D569" t="str">
        <f t="shared" si="57"/>
        <v/>
      </c>
      <c r="E569" t="str">
        <f>IF(Entry!$B572="","",IF(ISNUMBER(Entry!$B572),IF(AND(Entry!$B572&gt;=10000101,Entry!$B572&lt;=99991231),INT(Entry!$B572/10000)&amp;"/"&amp;RIGHT("00"&amp;INT(MOD(Entry!$B572,10000)/100),2)&amp;"/"&amp;RIGHT("00"&amp;MOD(Entry!$B572,100),2),"نامعتبر"),IF(LEN(Entry!$B572)=10,Entry!$B572,"نامعتبر")))</f>
        <v/>
      </c>
      <c r="F569" t="str">
        <f>IF(Entry!$B572="","",IF(Entry!$C572="","0000",IF(AND(ISNUMBER(Entry!$C572),Entry!$C572&gt;=0,Entry!$C572&lt;1),RIGHT("00"&amp;HOUR(Entry!$C572),2)&amp;RIGHT("00"&amp;MINUTE(Entry!$C572),2),IFERROR(RIGHT("00"&amp;VALUE(LEFT(Entry!$C572,FIND(":",Entry!$C572)-1)),2)&amp;RIGHT("00"&amp;VALUE(MID(Entry!$C572,FIND(":",Entry!$C572)+1,2)),2),"0000"))))</f>
        <v/>
      </c>
      <c r="G569" t="str">
        <f>IF($A569="","",Entry!$G572)</f>
        <v/>
      </c>
      <c r="H569" t="str">
        <f>IF($A569="","",IF(Entry!$H572="",0,Entry!$H572))</f>
        <v/>
      </c>
      <c r="I569" t="str">
        <f>IF($A569="","",IF(Entry!$I572="",0,Entry!$I572))</f>
        <v/>
      </c>
      <c r="J569" t="str">
        <f t="shared" si="58"/>
        <v/>
      </c>
      <c r="K569" t="str">
        <f>IF($A569="","",Entry!$D572)</f>
        <v/>
      </c>
      <c r="L569" t="str">
        <f>IF($A569="","",Entry!$L572)</f>
        <v/>
      </c>
      <c r="N569" t="str">
        <f>IF(OR(Sync!$M569="",$Q569="",$Q569="نامعتبر"),"",Sync!$M569)</f>
        <v/>
      </c>
      <c r="O569" t="str">
        <f t="shared" si="59"/>
        <v/>
      </c>
      <c r="P569" t="str">
        <f>IF($N569="","",LEFT($Q569,4)&amp;MID($Q569,6,2)&amp;RIGHT($Q569,2)&amp;IF(Sync!$K569="","0000",IF(AND(ISNUMBER(Sync!$K569),Sync!$K569&gt;=0,Sync!$K569&lt;1),RIGHT("00"&amp;HOUR(Sync!$K569),2)&amp;RIGHT("00"&amp;MINUTE(Sync!$K569),2),IFERROR(RIGHT("00"&amp;VALUE(LEFT(Sync!$K569,FIND(":",Sync!$K569)-1)),2)&amp;RIGHT("00"&amp;VALUE(MID(Sync!$K569,FIND(":",Sync!$K569)+1,2)),2),"0000")))&amp;"|"&amp;"2"&amp;RIGHT("00000"&amp;564,5))</f>
        <v/>
      </c>
      <c r="Q569" t="str">
        <f>IF(Sync!$J569="","",IF(ISNUMBER(Sync!$J569),IF(AND(Sync!$J569&gt;=10000101,Sync!$J569&lt;=99991231),INT(Sync!$J569/10000)&amp;"/"&amp;RIGHT("00"&amp;INT(MOD(Sync!$J569,10000)/100),2)&amp;"/"&amp;RIGHT("00"&amp;MOD(Sync!$J569,100),2),"نامعتبر"),IF(LEN(Sync!$J569)=10,Sync!$J569,"نامعتبر")))</f>
        <v/>
      </c>
      <c r="R569" t="str">
        <f t="shared" si="60"/>
        <v/>
      </c>
      <c r="S569" t="str">
        <f t="shared" si="61"/>
        <v/>
      </c>
      <c r="T569" t="str">
        <f>IF($N569="","",IF(Sync!$N569="",0,Sync!$N569))</f>
        <v/>
      </c>
      <c r="U569" t="str">
        <f>IF($N569="","",IF(Sync!$O569="",0,Sync!$O569))</f>
        <v/>
      </c>
      <c r="V569" t="str">
        <f>IF($N569="","",Sync!$L569)</f>
        <v/>
      </c>
      <c r="W569" t="str">
        <f>IF($N569="","",Sync!$P569)</f>
        <v/>
      </c>
      <c r="AA569" t="str">
        <f>IF($A569="","",IF(COUNTIF($A$6:$A569,$A569)=1,1,0))</f>
        <v/>
      </c>
      <c r="AB569">
        <f>SUM($AA$6:$AA569)</f>
        <v>3</v>
      </c>
      <c r="AC569" t="str">
        <f t="shared" si="62"/>
        <v/>
      </c>
    </row>
    <row r="570" spans="1:29" x14ac:dyDescent="0.2">
      <c r="A570" t="str">
        <f>IF(OR(Entry!$B573="",Entry!$E573="",$E570="نامعتبر"),"",Entry!$E573)</f>
        <v/>
      </c>
      <c r="B570" t="str">
        <f>IF($A570="","",LEFT($E570,4)&amp;MID($E570,6,2)&amp;RIGHT($E570,2)&amp;$F570&amp;"|"&amp;"1"&amp;RIGHT("00000"&amp;565,5))</f>
        <v/>
      </c>
      <c r="C570" t="str">
        <f t="shared" si="56"/>
        <v/>
      </c>
      <c r="D570" t="str">
        <f t="shared" si="57"/>
        <v/>
      </c>
      <c r="E570" t="str">
        <f>IF(Entry!$B573="","",IF(ISNUMBER(Entry!$B573),IF(AND(Entry!$B573&gt;=10000101,Entry!$B573&lt;=99991231),INT(Entry!$B573/10000)&amp;"/"&amp;RIGHT("00"&amp;INT(MOD(Entry!$B573,10000)/100),2)&amp;"/"&amp;RIGHT("00"&amp;MOD(Entry!$B573,100),2),"نامعتبر"),IF(LEN(Entry!$B573)=10,Entry!$B573,"نامعتبر")))</f>
        <v/>
      </c>
      <c r="F570" t="str">
        <f>IF(Entry!$B573="","",IF(Entry!$C573="","0000",IF(AND(ISNUMBER(Entry!$C573),Entry!$C573&gt;=0,Entry!$C573&lt;1),RIGHT("00"&amp;HOUR(Entry!$C573),2)&amp;RIGHT("00"&amp;MINUTE(Entry!$C573),2),IFERROR(RIGHT("00"&amp;VALUE(LEFT(Entry!$C573,FIND(":",Entry!$C573)-1)),2)&amp;RIGHT("00"&amp;VALUE(MID(Entry!$C573,FIND(":",Entry!$C573)+1,2)),2),"0000"))))</f>
        <v/>
      </c>
      <c r="G570" t="str">
        <f>IF($A570="","",Entry!$G573)</f>
        <v/>
      </c>
      <c r="H570" t="str">
        <f>IF($A570="","",IF(Entry!$H573="",0,Entry!$H573))</f>
        <v/>
      </c>
      <c r="I570" t="str">
        <f>IF($A570="","",IF(Entry!$I573="",0,Entry!$I573))</f>
        <v/>
      </c>
      <c r="J570" t="str">
        <f t="shared" si="58"/>
        <v/>
      </c>
      <c r="K570" t="str">
        <f>IF($A570="","",Entry!$D573)</f>
        <v/>
      </c>
      <c r="L570" t="str">
        <f>IF($A570="","",Entry!$L573)</f>
        <v/>
      </c>
      <c r="N570" t="str">
        <f>IF(OR(Sync!$M570="",$Q570="",$Q570="نامعتبر"),"",Sync!$M570)</f>
        <v/>
      </c>
      <c r="O570" t="str">
        <f t="shared" si="59"/>
        <v/>
      </c>
      <c r="P570" t="str">
        <f>IF($N570="","",LEFT($Q570,4)&amp;MID($Q570,6,2)&amp;RIGHT($Q570,2)&amp;IF(Sync!$K570="","0000",IF(AND(ISNUMBER(Sync!$K570),Sync!$K570&gt;=0,Sync!$K570&lt;1),RIGHT("00"&amp;HOUR(Sync!$K570),2)&amp;RIGHT("00"&amp;MINUTE(Sync!$K570),2),IFERROR(RIGHT("00"&amp;VALUE(LEFT(Sync!$K570,FIND(":",Sync!$K570)-1)),2)&amp;RIGHT("00"&amp;VALUE(MID(Sync!$K570,FIND(":",Sync!$K570)+1,2)),2),"0000")))&amp;"|"&amp;"2"&amp;RIGHT("00000"&amp;565,5))</f>
        <v/>
      </c>
      <c r="Q570" t="str">
        <f>IF(Sync!$J570="","",IF(ISNUMBER(Sync!$J570),IF(AND(Sync!$J570&gt;=10000101,Sync!$J570&lt;=99991231),INT(Sync!$J570/10000)&amp;"/"&amp;RIGHT("00"&amp;INT(MOD(Sync!$J570,10000)/100),2)&amp;"/"&amp;RIGHT("00"&amp;MOD(Sync!$J570,100),2),"نامعتبر"),IF(LEN(Sync!$J570)=10,Sync!$J570,"نامعتبر")))</f>
        <v/>
      </c>
      <c r="R570" t="str">
        <f t="shared" si="60"/>
        <v/>
      </c>
      <c r="S570" t="str">
        <f t="shared" si="61"/>
        <v/>
      </c>
      <c r="T570" t="str">
        <f>IF($N570="","",IF(Sync!$N570="",0,Sync!$N570))</f>
        <v/>
      </c>
      <c r="U570" t="str">
        <f>IF($N570="","",IF(Sync!$O570="",0,Sync!$O570))</f>
        <v/>
      </c>
      <c r="V570" t="str">
        <f>IF($N570="","",Sync!$L570)</f>
        <v/>
      </c>
      <c r="W570" t="str">
        <f>IF($N570="","",Sync!$P570)</f>
        <v/>
      </c>
      <c r="AA570" t="str">
        <f>IF($A570="","",IF(COUNTIF($A$6:$A570,$A570)=1,1,0))</f>
        <v/>
      </c>
      <c r="AB570">
        <f>SUM($AA$6:$AA570)</f>
        <v>3</v>
      </c>
      <c r="AC570" t="str">
        <f t="shared" si="62"/>
        <v/>
      </c>
    </row>
    <row r="571" spans="1:29" x14ac:dyDescent="0.2">
      <c r="A571" t="str">
        <f>IF(OR(Entry!$B574="",Entry!$E574="",$E571="نامعتبر"),"",Entry!$E574)</f>
        <v/>
      </c>
      <c r="B571" t="str">
        <f>IF($A571="","",LEFT($E571,4)&amp;MID($E571,6,2)&amp;RIGHT($E571,2)&amp;$F571&amp;"|"&amp;"1"&amp;RIGHT("00000"&amp;566,5))</f>
        <v/>
      </c>
      <c r="C571" t="str">
        <f t="shared" si="56"/>
        <v/>
      </c>
      <c r="D571" t="str">
        <f t="shared" si="57"/>
        <v/>
      </c>
      <c r="E571" t="str">
        <f>IF(Entry!$B574="","",IF(ISNUMBER(Entry!$B574),IF(AND(Entry!$B574&gt;=10000101,Entry!$B574&lt;=99991231),INT(Entry!$B574/10000)&amp;"/"&amp;RIGHT("00"&amp;INT(MOD(Entry!$B574,10000)/100),2)&amp;"/"&amp;RIGHT("00"&amp;MOD(Entry!$B574,100),2),"نامعتبر"),IF(LEN(Entry!$B574)=10,Entry!$B574,"نامعتبر")))</f>
        <v/>
      </c>
      <c r="F571" t="str">
        <f>IF(Entry!$B574="","",IF(Entry!$C574="","0000",IF(AND(ISNUMBER(Entry!$C574),Entry!$C574&gt;=0,Entry!$C574&lt;1),RIGHT("00"&amp;HOUR(Entry!$C574),2)&amp;RIGHT("00"&amp;MINUTE(Entry!$C574),2),IFERROR(RIGHT("00"&amp;VALUE(LEFT(Entry!$C574,FIND(":",Entry!$C574)-1)),2)&amp;RIGHT("00"&amp;VALUE(MID(Entry!$C574,FIND(":",Entry!$C574)+1,2)),2),"0000"))))</f>
        <v/>
      </c>
      <c r="G571" t="str">
        <f>IF($A571="","",Entry!$G574)</f>
        <v/>
      </c>
      <c r="H571" t="str">
        <f>IF($A571="","",IF(Entry!$H574="",0,Entry!$H574))</f>
        <v/>
      </c>
      <c r="I571" t="str">
        <f>IF($A571="","",IF(Entry!$I574="",0,Entry!$I574))</f>
        <v/>
      </c>
      <c r="J571" t="str">
        <f t="shared" si="58"/>
        <v/>
      </c>
      <c r="K571" t="str">
        <f>IF($A571="","",Entry!$D574)</f>
        <v/>
      </c>
      <c r="L571" t="str">
        <f>IF($A571="","",Entry!$L574)</f>
        <v/>
      </c>
      <c r="N571" t="str">
        <f>IF(OR(Sync!$M571="",$Q571="",$Q571="نامعتبر"),"",Sync!$M571)</f>
        <v/>
      </c>
      <c r="O571" t="str">
        <f t="shared" si="59"/>
        <v/>
      </c>
      <c r="P571" t="str">
        <f>IF($N571="","",LEFT($Q571,4)&amp;MID($Q571,6,2)&amp;RIGHT($Q571,2)&amp;IF(Sync!$K571="","0000",IF(AND(ISNUMBER(Sync!$K571),Sync!$K571&gt;=0,Sync!$K571&lt;1),RIGHT("00"&amp;HOUR(Sync!$K571),2)&amp;RIGHT("00"&amp;MINUTE(Sync!$K571),2),IFERROR(RIGHT("00"&amp;VALUE(LEFT(Sync!$K571,FIND(":",Sync!$K571)-1)),2)&amp;RIGHT("00"&amp;VALUE(MID(Sync!$K571,FIND(":",Sync!$K571)+1,2)),2),"0000")))&amp;"|"&amp;"2"&amp;RIGHT("00000"&amp;566,5))</f>
        <v/>
      </c>
      <c r="Q571" t="str">
        <f>IF(Sync!$J571="","",IF(ISNUMBER(Sync!$J571),IF(AND(Sync!$J571&gt;=10000101,Sync!$J571&lt;=99991231),INT(Sync!$J571/10000)&amp;"/"&amp;RIGHT("00"&amp;INT(MOD(Sync!$J571,10000)/100),2)&amp;"/"&amp;RIGHT("00"&amp;MOD(Sync!$J571,100),2),"نامعتبر"),IF(LEN(Sync!$J571)=10,Sync!$J571,"نامعتبر")))</f>
        <v/>
      </c>
      <c r="R571" t="str">
        <f t="shared" si="60"/>
        <v/>
      </c>
      <c r="S571" t="str">
        <f t="shared" si="61"/>
        <v/>
      </c>
      <c r="T571" t="str">
        <f>IF($N571="","",IF(Sync!$N571="",0,Sync!$N571))</f>
        <v/>
      </c>
      <c r="U571" t="str">
        <f>IF($N571="","",IF(Sync!$O571="",0,Sync!$O571))</f>
        <v/>
      </c>
      <c r="V571" t="str">
        <f>IF($N571="","",Sync!$L571)</f>
        <v/>
      </c>
      <c r="W571" t="str">
        <f>IF($N571="","",Sync!$P571)</f>
        <v/>
      </c>
      <c r="AA571" t="str">
        <f>IF($A571="","",IF(COUNTIF($A$6:$A571,$A571)=1,1,0))</f>
        <v/>
      </c>
      <c r="AB571">
        <f>SUM($AA$6:$AA571)</f>
        <v>3</v>
      </c>
      <c r="AC571" t="str">
        <f t="shared" si="62"/>
        <v/>
      </c>
    </row>
    <row r="572" spans="1:29" x14ac:dyDescent="0.2">
      <c r="A572" t="str">
        <f>IF(OR(Entry!$B575="",Entry!$E575="",$E572="نامعتبر"),"",Entry!$E575)</f>
        <v/>
      </c>
      <c r="B572" t="str">
        <f>IF($A572="","",LEFT($E572,4)&amp;MID($E572,6,2)&amp;RIGHT($E572,2)&amp;$F572&amp;"|"&amp;"1"&amp;RIGHT("00000"&amp;567,5))</f>
        <v/>
      </c>
      <c r="C572" t="str">
        <f t="shared" si="56"/>
        <v/>
      </c>
      <c r="D572" t="str">
        <f t="shared" si="57"/>
        <v/>
      </c>
      <c r="E572" t="str">
        <f>IF(Entry!$B575="","",IF(ISNUMBER(Entry!$B575),IF(AND(Entry!$B575&gt;=10000101,Entry!$B575&lt;=99991231),INT(Entry!$B575/10000)&amp;"/"&amp;RIGHT("00"&amp;INT(MOD(Entry!$B575,10000)/100),2)&amp;"/"&amp;RIGHT("00"&amp;MOD(Entry!$B575,100),2),"نامعتبر"),IF(LEN(Entry!$B575)=10,Entry!$B575,"نامعتبر")))</f>
        <v/>
      </c>
      <c r="F572" t="str">
        <f>IF(Entry!$B575="","",IF(Entry!$C575="","0000",IF(AND(ISNUMBER(Entry!$C575),Entry!$C575&gt;=0,Entry!$C575&lt;1),RIGHT("00"&amp;HOUR(Entry!$C575),2)&amp;RIGHT("00"&amp;MINUTE(Entry!$C575),2),IFERROR(RIGHT("00"&amp;VALUE(LEFT(Entry!$C575,FIND(":",Entry!$C575)-1)),2)&amp;RIGHT("00"&amp;VALUE(MID(Entry!$C575,FIND(":",Entry!$C575)+1,2)),2),"0000"))))</f>
        <v/>
      </c>
      <c r="G572" t="str">
        <f>IF($A572="","",Entry!$G575)</f>
        <v/>
      </c>
      <c r="H572" t="str">
        <f>IF($A572="","",IF(Entry!$H575="",0,Entry!$H575))</f>
        <v/>
      </c>
      <c r="I572" t="str">
        <f>IF($A572="","",IF(Entry!$I575="",0,Entry!$I575))</f>
        <v/>
      </c>
      <c r="J572" t="str">
        <f t="shared" si="58"/>
        <v/>
      </c>
      <c r="K572" t="str">
        <f>IF($A572="","",Entry!$D575)</f>
        <v/>
      </c>
      <c r="L572" t="str">
        <f>IF($A572="","",Entry!$L575)</f>
        <v/>
      </c>
      <c r="N572" t="str">
        <f>IF(OR(Sync!$M572="",$Q572="",$Q572="نامعتبر"),"",Sync!$M572)</f>
        <v/>
      </c>
      <c r="O572" t="str">
        <f t="shared" si="59"/>
        <v/>
      </c>
      <c r="P572" t="str">
        <f>IF($N572="","",LEFT($Q572,4)&amp;MID($Q572,6,2)&amp;RIGHT($Q572,2)&amp;IF(Sync!$K572="","0000",IF(AND(ISNUMBER(Sync!$K572),Sync!$K572&gt;=0,Sync!$K572&lt;1),RIGHT("00"&amp;HOUR(Sync!$K572),2)&amp;RIGHT("00"&amp;MINUTE(Sync!$K572),2),IFERROR(RIGHT("00"&amp;VALUE(LEFT(Sync!$K572,FIND(":",Sync!$K572)-1)),2)&amp;RIGHT("00"&amp;VALUE(MID(Sync!$K572,FIND(":",Sync!$K572)+1,2)),2),"0000")))&amp;"|"&amp;"2"&amp;RIGHT("00000"&amp;567,5))</f>
        <v/>
      </c>
      <c r="Q572" t="str">
        <f>IF(Sync!$J572="","",IF(ISNUMBER(Sync!$J572),IF(AND(Sync!$J572&gt;=10000101,Sync!$J572&lt;=99991231),INT(Sync!$J572/10000)&amp;"/"&amp;RIGHT("00"&amp;INT(MOD(Sync!$J572,10000)/100),2)&amp;"/"&amp;RIGHT("00"&amp;MOD(Sync!$J572,100),2),"نامعتبر"),IF(LEN(Sync!$J572)=10,Sync!$J572,"نامعتبر")))</f>
        <v/>
      </c>
      <c r="R572" t="str">
        <f t="shared" si="60"/>
        <v/>
      </c>
      <c r="S572" t="str">
        <f t="shared" si="61"/>
        <v/>
      </c>
      <c r="T572" t="str">
        <f>IF($N572="","",IF(Sync!$N572="",0,Sync!$N572))</f>
        <v/>
      </c>
      <c r="U572" t="str">
        <f>IF($N572="","",IF(Sync!$O572="",0,Sync!$O572))</f>
        <v/>
      </c>
      <c r="V572" t="str">
        <f>IF($N572="","",Sync!$L572)</f>
        <v/>
      </c>
      <c r="W572" t="str">
        <f>IF($N572="","",Sync!$P572)</f>
        <v/>
      </c>
      <c r="AA572" t="str">
        <f>IF($A572="","",IF(COUNTIF($A$6:$A572,$A572)=1,1,0))</f>
        <v/>
      </c>
      <c r="AB572">
        <f>SUM($AA$6:$AA572)</f>
        <v>3</v>
      </c>
      <c r="AC572" t="str">
        <f t="shared" si="62"/>
        <v/>
      </c>
    </row>
    <row r="573" spans="1:29" x14ac:dyDescent="0.2">
      <c r="A573" t="str">
        <f>IF(OR(Entry!$B576="",Entry!$E576="",$E573="نامعتبر"),"",Entry!$E576)</f>
        <v/>
      </c>
      <c r="B573" t="str">
        <f>IF($A573="","",LEFT($E573,4)&amp;MID($E573,6,2)&amp;RIGHT($E573,2)&amp;$F573&amp;"|"&amp;"1"&amp;RIGHT("00000"&amp;568,5))</f>
        <v/>
      </c>
      <c r="C573" t="str">
        <f t="shared" si="56"/>
        <v/>
      </c>
      <c r="D573" t="str">
        <f t="shared" si="57"/>
        <v/>
      </c>
      <c r="E573" t="str">
        <f>IF(Entry!$B576="","",IF(ISNUMBER(Entry!$B576),IF(AND(Entry!$B576&gt;=10000101,Entry!$B576&lt;=99991231),INT(Entry!$B576/10000)&amp;"/"&amp;RIGHT("00"&amp;INT(MOD(Entry!$B576,10000)/100),2)&amp;"/"&amp;RIGHT("00"&amp;MOD(Entry!$B576,100),2),"نامعتبر"),IF(LEN(Entry!$B576)=10,Entry!$B576,"نامعتبر")))</f>
        <v/>
      </c>
      <c r="F573" t="str">
        <f>IF(Entry!$B576="","",IF(Entry!$C576="","0000",IF(AND(ISNUMBER(Entry!$C576),Entry!$C576&gt;=0,Entry!$C576&lt;1),RIGHT("00"&amp;HOUR(Entry!$C576),2)&amp;RIGHT("00"&amp;MINUTE(Entry!$C576),2),IFERROR(RIGHT("00"&amp;VALUE(LEFT(Entry!$C576,FIND(":",Entry!$C576)-1)),2)&amp;RIGHT("00"&amp;VALUE(MID(Entry!$C576,FIND(":",Entry!$C576)+1,2)),2),"0000"))))</f>
        <v/>
      </c>
      <c r="G573" t="str">
        <f>IF($A573="","",Entry!$G576)</f>
        <v/>
      </c>
      <c r="H573" t="str">
        <f>IF($A573="","",IF(Entry!$H576="",0,Entry!$H576))</f>
        <v/>
      </c>
      <c r="I573" t="str">
        <f>IF($A573="","",IF(Entry!$I576="",0,Entry!$I576))</f>
        <v/>
      </c>
      <c r="J573" t="str">
        <f t="shared" si="58"/>
        <v/>
      </c>
      <c r="K573" t="str">
        <f>IF($A573="","",Entry!$D576)</f>
        <v/>
      </c>
      <c r="L573" t="str">
        <f>IF($A573="","",Entry!$L576)</f>
        <v/>
      </c>
      <c r="N573" t="str">
        <f>IF(OR(Sync!$M573="",$Q573="",$Q573="نامعتبر"),"",Sync!$M573)</f>
        <v/>
      </c>
      <c r="O573" t="str">
        <f t="shared" si="59"/>
        <v/>
      </c>
      <c r="P573" t="str">
        <f>IF($N573="","",LEFT($Q573,4)&amp;MID($Q573,6,2)&amp;RIGHT($Q573,2)&amp;IF(Sync!$K573="","0000",IF(AND(ISNUMBER(Sync!$K573),Sync!$K573&gt;=0,Sync!$K573&lt;1),RIGHT("00"&amp;HOUR(Sync!$K573),2)&amp;RIGHT("00"&amp;MINUTE(Sync!$K573),2),IFERROR(RIGHT("00"&amp;VALUE(LEFT(Sync!$K573,FIND(":",Sync!$K573)-1)),2)&amp;RIGHT("00"&amp;VALUE(MID(Sync!$K573,FIND(":",Sync!$K573)+1,2)),2),"0000")))&amp;"|"&amp;"2"&amp;RIGHT("00000"&amp;568,5))</f>
        <v/>
      </c>
      <c r="Q573" t="str">
        <f>IF(Sync!$J573="","",IF(ISNUMBER(Sync!$J573),IF(AND(Sync!$J573&gt;=10000101,Sync!$J573&lt;=99991231),INT(Sync!$J573/10000)&amp;"/"&amp;RIGHT("00"&amp;INT(MOD(Sync!$J573,10000)/100),2)&amp;"/"&amp;RIGHT("00"&amp;MOD(Sync!$J573,100),2),"نامعتبر"),IF(LEN(Sync!$J573)=10,Sync!$J573,"نامعتبر")))</f>
        <v/>
      </c>
      <c r="R573" t="str">
        <f t="shared" si="60"/>
        <v/>
      </c>
      <c r="S573" t="str">
        <f t="shared" si="61"/>
        <v/>
      </c>
      <c r="T573" t="str">
        <f>IF($N573="","",IF(Sync!$N573="",0,Sync!$N573))</f>
        <v/>
      </c>
      <c r="U573" t="str">
        <f>IF($N573="","",IF(Sync!$O573="",0,Sync!$O573))</f>
        <v/>
      </c>
      <c r="V573" t="str">
        <f>IF($N573="","",Sync!$L573)</f>
        <v/>
      </c>
      <c r="W573" t="str">
        <f>IF($N573="","",Sync!$P573)</f>
        <v/>
      </c>
      <c r="AA573" t="str">
        <f>IF($A573="","",IF(COUNTIF($A$6:$A573,$A573)=1,1,0))</f>
        <v/>
      </c>
      <c r="AB573">
        <f>SUM($AA$6:$AA573)</f>
        <v>3</v>
      </c>
      <c r="AC573" t="str">
        <f t="shared" si="62"/>
        <v/>
      </c>
    </row>
    <row r="574" spans="1:29" x14ac:dyDescent="0.2">
      <c r="A574" t="str">
        <f>IF(OR(Entry!$B577="",Entry!$E577="",$E574="نامعتبر"),"",Entry!$E577)</f>
        <v/>
      </c>
      <c r="B574" t="str">
        <f>IF($A574="","",LEFT($E574,4)&amp;MID($E574,6,2)&amp;RIGHT($E574,2)&amp;$F574&amp;"|"&amp;"1"&amp;RIGHT("00000"&amp;569,5))</f>
        <v/>
      </c>
      <c r="C574" t="str">
        <f t="shared" si="56"/>
        <v/>
      </c>
      <c r="D574" t="str">
        <f t="shared" si="57"/>
        <v/>
      </c>
      <c r="E574" t="str">
        <f>IF(Entry!$B577="","",IF(ISNUMBER(Entry!$B577),IF(AND(Entry!$B577&gt;=10000101,Entry!$B577&lt;=99991231),INT(Entry!$B577/10000)&amp;"/"&amp;RIGHT("00"&amp;INT(MOD(Entry!$B577,10000)/100),2)&amp;"/"&amp;RIGHT("00"&amp;MOD(Entry!$B577,100),2),"نامعتبر"),IF(LEN(Entry!$B577)=10,Entry!$B577,"نامعتبر")))</f>
        <v/>
      </c>
      <c r="F574" t="str">
        <f>IF(Entry!$B577="","",IF(Entry!$C577="","0000",IF(AND(ISNUMBER(Entry!$C577),Entry!$C577&gt;=0,Entry!$C577&lt;1),RIGHT("00"&amp;HOUR(Entry!$C577),2)&amp;RIGHT("00"&amp;MINUTE(Entry!$C577),2),IFERROR(RIGHT("00"&amp;VALUE(LEFT(Entry!$C577,FIND(":",Entry!$C577)-1)),2)&amp;RIGHT("00"&amp;VALUE(MID(Entry!$C577,FIND(":",Entry!$C577)+1,2)),2),"0000"))))</f>
        <v/>
      </c>
      <c r="G574" t="str">
        <f>IF($A574="","",Entry!$G577)</f>
        <v/>
      </c>
      <c r="H574" t="str">
        <f>IF($A574="","",IF(Entry!$H577="",0,Entry!$H577))</f>
        <v/>
      </c>
      <c r="I574" t="str">
        <f>IF($A574="","",IF(Entry!$I577="",0,Entry!$I577))</f>
        <v/>
      </c>
      <c r="J574" t="str">
        <f t="shared" si="58"/>
        <v/>
      </c>
      <c r="K574" t="str">
        <f>IF($A574="","",Entry!$D577)</f>
        <v/>
      </c>
      <c r="L574" t="str">
        <f>IF($A574="","",Entry!$L577)</f>
        <v/>
      </c>
      <c r="N574" t="str">
        <f>IF(OR(Sync!$M574="",$Q574="",$Q574="نامعتبر"),"",Sync!$M574)</f>
        <v/>
      </c>
      <c r="O574" t="str">
        <f t="shared" si="59"/>
        <v/>
      </c>
      <c r="P574" t="str">
        <f>IF($N574="","",LEFT($Q574,4)&amp;MID($Q574,6,2)&amp;RIGHT($Q574,2)&amp;IF(Sync!$K574="","0000",IF(AND(ISNUMBER(Sync!$K574),Sync!$K574&gt;=0,Sync!$K574&lt;1),RIGHT("00"&amp;HOUR(Sync!$K574),2)&amp;RIGHT("00"&amp;MINUTE(Sync!$K574),2),IFERROR(RIGHT("00"&amp;VALUE(LEFT(Sync!$K574,FIND(":",Sync!$K574)-1)),2)&amp;RIGHT("00"&amp;VALUE(MID(Sync!$K574,FIND(":",Sync!$K574)+1,2)),2),"0000")))&amp;"|"&amp;"2"&amp;RIGHT("00000"&amp;569,5))</f>
        <v/>
      </c>
      <c r="Q574" t="str">
        <f>IF(Sync!$J574="","",IF(ISNUMBER(Sync!$J574),IF(AND(Sync!$J574&gt;=10000101,Sync!$J574&lt;=99991231),INT(Sync!$J574/10000)&amp;"/"&amp;RIGHT("00"&amp;INT(MOD(Sync!$J574,10000)/100),2)&amp;"/"&amp;RIGHT("00"&amp;MOD(Sync!$J574,100),2),"نامعتبر"),IF(LEN(Sync!$J574)=10,Sync!$J574,"نامعتبر")))</f>
        <v/>
      </c>
      <c r="R574" t="str">
        <f t="shared" si="60"/>
        <v/>
      </c>
      <c r="S574" t="str">
        <f t="shared" si="61"/>
        <v/>
      </c>
      <c r="T574" t="str">
        <f>IF($N574="","",IF(Sync!$N574="",0,Sync!$N574))</f>
        <v/>
      </c>
      <c r="U574" t="str">
        <f>IF($N574="","",IF(Sync!$O574="",0,Sync!$O574))</f>
        <v/>
      </c>
      <c r="V574" t="str">
        <f>IF($N574="","",Sync!$L574)</f>
        <v/>
      </c>
      <c r="W574" t="str">
        <f>IF($N574="","",Sync!$P574)</f>
        <v/>
      </c>
      <c r="AA574" t="str">
        <f>IF($A574="","",IF(COUNTIF($A$6:$A574,$A574)=1,1,0))</f>
        <v/>
      </c>
      <c r="AB574">
        <f>SUM($AA$6:$AA574)</f>
        <v>3</v>
      </c>
      <c r="AC574" t="str">
        <f t="shared" si="62"/>
        <v/>
      </c>
    </row>
    <row r="575" spans="1:29" x14ac:dyDescent="0.2">
      <c r="A575" t="str">
        <f>IF(OR(Entry!$B578="",Entry!$E578="",$E575="نامعتبر"),"",Entry!$E578)</f>
        <v/>
      </c>
      <c r="B575" t="str">
        <f>IF($A575="","",LEFT($E575,4)&amp;MID($E575,6,2)&amp;RIGHT($E575,2)&amp;$F575&amp;"|"&amp;"1"&amp;RIGHT("00000"&amp;570,5))</f>
        <v/>
      </c>
      <c r="C575" t="str">
        <f t="shared" si="56"/>
        <v/>
      </c>
      <c r="D575" t="str">
        <f t="shared" si="57"/>
        <v/>
      </c>
      <c r="E575" t="str">
        <f>IF(Entry!$B578="","",IF(ISNUMBER(Entry!$B578),IF(AND(Entry!$B578&gt;=10000101,Entry!$B578&lt;=99991231),INT(Entry!$B578/10000)&amp;"/"&amp;RIGHT("00"&amp;INT(MOD(Entry!$B578,10000)/100),2)&amp;"/"&amp;RIGHT("00"&amp;MOD(Entry!$B578,100),2),"نامعتبر"),IF(LEN(Entry!$B578)=10,Entry!$B578,"نامعتبر")))</f>
        <v/>
      </c>
      <c r="F575" t="str">
        <f>IF(Entry!$B578="","",IF(Entry!$C578="","0000",IF(AND(ISNUMBER(Entry!$C578),Entry!$C578&gt;=0,Entry!$C578&lt;1),RIGHT("00"&amp;HOUR(Entry!$C578),2)&amp;RIGHT("00"&amp;MINUTE(Entry!$C578),2),IFERROR(RIGHT("00"&amp;VALUE(LEFT(Entry!$C578,FIND(":",Entry!$C578)-1)),2)&amp;RIGHT("00"&amp;VALUE(MID(Entry!$C578,FIND(":",Entry!$C578)+1,2)),2),"0000"))))</f>
        <v/>
      </c>
      <c r="G575" t="str">
        <f>IF($A575="","",Entry!$G578)</f>
        <v/>
      </c>
      <c r="H575" t="str">
        <f>IF($A575="","",IF(Entry!$H578="",0,Entry!$H578))</f>
        <v/>
      </c>
      <c r="I575" t="str">
        <f>IF($A575="","",IF(Entry!$I578="",0,Entry!$I578))</f>
        <v/>
      </c>
      <c r="J575" t="str">
        <f t="shared" si="58"/>
        <v/>
      </c>
      <c r="K575" t="str">
        <f>IF($A575="","",Entry!$D578)</f>
        <v/>
      </c>
      <c r="L575" t="str">
        <f>IF($A575="","",Entry!$L578)</f>
        <v/>
      </c>
      <c r="N575" t="str">
        <f>IF(OR(Sync!$M575="",$Q575="",$Q575="نامعتبر"),"",Sync!$M575)</f>
        <v/>
      </c>
      <c r="O575" t="str">
        <f t="shared" si="59"/>
        <v/>
      </c>
      <c r="P575" t="str">
        <f>IF($N575="","",LEFT($Q575,4)&amp;MID($Q575,6,2)&amp;RIGHT($Q575,2)&amp;IF(Sync!$K575="","0000",IF(AND(ISNUMBER(Sync!$K575),Sync!$K575&gt;=0,Sync!$K575&lt;1),RIGHT("00"&amp;HOUR(Sync!$K575),2)&amp;RIGHT("00"&amp;MINUTE(Sync!$K575),2),IFERROR(RIGHT("00"&amp;VALUE(LEFT(Sync!$K575,FIND(":",Sync!$K575)-1)),2)&amp;RIGHT("00"&amp;VALUE(MID(Sync!$K575,FIND(":",Sync!$K575)+1,2)),2),"0000")))&amp;"|"&amp;"2"&amp;RIGHT("00000"&amp;570,5))</f>
        <v/>
      </c>
      <c r="Q575" t="str">
        <f>IF(Sync!$J575="","",IF(ISNUMBER(Sync!$J575),IF(AND(Sync!$J575&gt;=10000101,Sync!$J575&lt;=99991231),INT(Sync!$J575/10000)&amp;"/"&amp;RIGHT("00"&amp;INT(MOD(Sync!$J575,10000)/100),2)&amp;"/"&amp;RIGHT("00"&amp;MOD(Sync!$J575,100),2),"نامعتبر"),IF(LEN(Sync!$J575)=10,Sync!$J575,"نامعتبر")))</f>
        <v/>
      </c>
      <c r="R575" t="str">
        <f t="shared" si="60"/>
        <v/>
      </c>
      <c r="S575" t="str">
        <f t="shared" si="61"/>
        <v/>
      </c>
      <c r="T575" t="str">
        <f>IF($N575="","",IF(Sync!$N575="",0,Sync!$N575))</f>
        <v/>
      </c>
      <c r="U575" t="str">
        <f>IF($N575="","",IF(Sync!$O575="",0,Sync!$O575))</f>
        <v/>
      </c>
      <c r="V575" t="str">
        <f>IF($N575="","",Sync!$L575)</f>
        <v/>
      </c>
      <c r="W575" t="str">
        <f>IF($N575="","",Sync!$P575)</f>
        <v/>
      </c>
      <c r="AA575" t="str">
        <f>IF($A575="","",IF(COUNTIF($A$6:$A575,$A575)=1,1,0))</f>
        <v/>
      </c>
      <c r="AB575">
        <f>SUM($AA$6:$AA575)</f>
        <v>3</v>
      </c>
      <c r="AC575" t="str">
        <f t="shared" si="62"/>
        <v/>
      </c>
    </row>
    <row r="576" spans="1:29" x14ac:dyDescent="0.2">
      <c r="A576" t="str">
        <f>IF(OR(Entry!$B579="",Entry!$E579="",$E576="نامعتبر"),"",Entry!$E579)</f>
        <v/>
      </c>
      <c r="B576" t="str">
        <f>IF($A576="","",LEFT($E576,4)&amp;MID($E576,6,2)&amp;RIGHT($E576,2)&amp;$F576&amp;"|"&amp;"1"&amp;RIGHT("00000"&amp;571,5))</f>
        <v/>
      </c>
      <c r="C576" t="str">
        <f t="shared" si="56"/>
        <v/>
      </c>
      <c r="D576" t="str">
        <f t="shared" si="57"/>
        <v/>
      </c>
      <c r="E576" t="str">
        <f>IF(Entry!$B579="","",IF(ISNUMBER(Entry!$B579),IF(AND(Entry!$B579&gt;=10000101,Entry!$B579&lt;=99991231),INT(Entry!$B579/10000)&amp;"/"&amp;RIGHT("00"&amp;INT(MOD(Entry!$B579,10000)/100),2)&amp;"/"&amp;RIGHT("00"&amp;MOD(Entry!$B579,100),2),"نامعتبر"),IF(LEN(Entry!$B579)=10,Entry!$B579,"نامعتبر")))</f>
        <v/>
      </c>
      <c r="F576" t="str">
        <f>IF(Entry!$B579="","",IF(Entry!$C579="","0000",IF(AND(ISNUMBER(Entry!$C579),Entry!$C579&gt;=0,Entry!$C579&lt;1),RIGHT("00"&amp;HOUR(Entry!$C579),2)&amp;RIGHT("00"&amp;MINUTE(Entry!$C579),2),IFERROR(RIGHT("00"&amp;VALUE(LEFT(Entry!$C579,FIND(":",Entry!$C579)-1)),2)&amp;RIGHT("00"&amp;VALUE(MID(Entry!$C579,FIND(":",Entry!$C579)+1,2)),2),"0000"))))</f>
        <v/>
      </c>
      <c r="G576" t="str">
        <f>IF($A576="","",Entry!$G579)</f>
        <v/>
      </c>
      <c r="H576" t="str">
        <f>IF($A576="","",IF(Entry!$H579="",0,Entry!$H579))</f>
        <v/>
      </c>
      <c r="I576" t="str">
        <f>IF($A576="","",IF(Entry!$I579="",0,Entry!$I579))</f>
        <v/>
      </c>
      <c r="J576" t="str">
        <f t="shared" si="58"/>
        <v/>
      </c>
      <c r="K576" t="str">
        <f>IF($A576="","",Entry!$D579)</f>
        <v/>
      </c>
      <c r="L576" t="str">
        <f>IF($A576="","",Entry!$L579)</f>
        <v/>
      </c>
      <c r="N576" t="str">
        <f>IF(OR(Sync!$M576="",$Q576="",$Q576="نامعتبر"),"",Sync!$M576)</f>
        <v/>
      </c>
      <c r="O576" t="str">
        <f t="shared" si="59"/>
        <v/>
      </c>
      <c r="P576" t="str">
        <f>IF($N576="","",LEFT($Q576,4)&amp;MID($Q576,6,2)&amp;RIGHT($Q576,2)&amp;IF(Sync!$K576="","0000",IF(AND(ISNUMBER(Sync!$K576),Sync!$K576&gt;=0,Sync!$K576&lt;1),RIGHT("00"&amp;HOUR(Sync!$K576),2)&amp;RIGHT("00"&amp;MINUTE(Sync!$K576),2),IFERROR(RIGHT("00"&amp;VALUE(LEFT(Sync!$K576,FIND(":",Sync!$K576)-1)),2)&amp;RIGHT("00"&amp;VALUE(MID(Sync!$K576,FIND(":",Sync!$K576)+1,2)),2),"0000")))&amp;"|"&amp;"2"&amp;RIGHT("00000"&amp;571,5))</f>
        <v/>
      </c>
      <c r="Q576" t="str">
        <f>IF(Sync!$J576="","",IF(ISNUMBER(Sync!$J576),IF(AND(Sync!$J576&gt;=10000101,Sync!$J576&lt;=99991231),INT(Sync!$J576/10000)&amp;"/"&amp;RIGHT("00"&amp;INT(MOD(Sync!$J576,10000)/100),2)&amp;"/"&amp;RIGHT("00"&amp;MOD(Sync!$J576,100),2),"نامعتبر"),IF(LEN(Sync!$J576)=10,Sync!$J576,"نامعتبر")))</f>
        <v/>
      </c>
      <c r="R576" t="str">
        <f t="shared" si="60"/>
        <v/>
      </c>
      <c r="S576" t="str">
        <f t="shared" si="61"/>
        <v/>
      </c>
      <c r="T576" t="str">
        <f>IF($N576="","",IF(Sync!$N576="",0,Sync!$N576))</f>
        <v/>
      </c>
      <c r="U576" t="str">
        <f>IF($N576="","",IF(Sync!$O576="",0,Sync!$O576))</f>
        <v/>
      </c>
      <c r="V576" t="str">
        <f>IF($N576="","",Sync!$L576)</f>
        <v/>
      </c>
      <c r="W576" t="str">
        <f>IF($N576="","",Sync!$P576)</f>
        <v/>
      </c>
      <c r="AA576" t="str">
        <f>IF($A576="","",IF(COUNTIF($A$6:$A576,$A576)=1,1,0))</f>
        <v/>
      </c>
      <c r="AB576">
        <f>SUM($AA$6:$AA576)</f>
        <v>3</v>
      </c>
      <c r="AC576" t="str">
        <f t="shared" si="62"/>
        <v/>
      </c>
    </row>
    <row r="577" spans="1:29" x14ac:dyDescent="0.2">
      <c r="A577" t="str">
        <f>IF(OR(Entry!$B580="",Entry!$E580="",$E577="نامعتبر"),"",Entry!$E580)</f>
        <v/>
      </c>
      <c r="B577" t="str">
        <f>IF($A577="","",LEFT($E577,4)&amp;MID($E577,6,2)&amp;RIGHT($E577,2)&amp;$F577&amp;"|"&amp;"1"&amp;RIGHT("00000"&amp;572,5))</f>
        <v/>
      </c>
      <c r="C577" t="str">
        <f t="shared" si="56"/>
        <v/>
      </c>
      <c r="D577" t="str">
        <f t="shared" si="57"/>
        <v/>
      </c>
      <c r="E577" t="str">
        <f>IF(Entry!$B580="","",IF(ISNUMBER(Entry!$B580),IF(AND(Entry!$B580&gt;=10000101,Entry!$B580&lt;=99991231),INT(Entry!$B580/10000)&amp;"/"&amp;RIGHT("00"&amp;INT(MOD(Entry!$B580,10000)/100),2)&amp;"/"&amp;RIGHT("00"&amp;MOD(Entry!$B580,100),2),"نامعتبر"),IF(LEN(Entry!$B580)=10,Entry!$B580,"نامعتبر")))</f>
        <v/>
      </c>
      <c r="F577" t="str">
        <f>IF(Entry!$B580="","",IF(Entry!$C580="","0000",IF(AND(ISNUMBER(Entry!$C580),Entry!$C580&gt;=0,Entry!$C580&lt;1),RIGHT("00"&amp;HOUR(Entry!$C580),2)&amp;RIGHT("00"&amp;MINUTE(Entry!$C580),2),IFERROR(RIGHT("00"&amp;VALUE(LEFT(Entry!$C580,FIND(":",Entry!$C580)-1)),2)&amp;RIGHT("00"&amp;VALUE(MID(Entry!$C580,FIND(":",Entry!$C580)+1,2)),2),"0000"))))</f>
        <v/>
      </c>
      <c r="G577" t="str">
        <f>IF($A577="","",Entry!$G580)</f>
        <v/>
      </c>
      <c r="H577" t="str">
        <f>IF($A577="","",IF(Entry!$H580="",0,Entry!$H580))</f>
        <v/>
      </c>
      <c r="I577" t="str">
        <f>IF($A577="","",IF(Entry!$I580="",0,Entry!$I580))</f>
        <v/>
      </c>
      <c r="J577" t="str">
        <f t="shared" si="58"/>
        <v/>
      </c>
      <c r="K577" t="str">
        <f>IF($A577="","",Entry!$D580)</f>
        <v/>
      </c>
      <c r="L577" t="str">
        <f>IF($A577="","",Entry!$L580)</f>
        <v/>
      </c>
      <c r="N577" t="str">
        <f>IF(OR(Sync!$M577="",$Q577="",$Q577="نامعتبر"),"",Sync!$M577)</f>
        <v/>
      </c>
      <c r="O577" t="str">
        <f t="shared" si="59"/>
        <v/>
      </c>
      <c r="P577" t="str">
        <f>IF($N577="","",LEFT($Q577,4)&amp;MID($Q577,6,2)&amp;RIGHT($Q577,2)&amp;IF(Sync!$K577="","0000",IF(AND(ISNUMBER(Sync!$K577),Sync!$K577&gt;=0,Sync!$K577&lt;1),RIGHT("00"&amp;HOUR(Sync!$K577),2)&amp;RIGHT("00"&amp;MINUTE(Sync!$K577),2),IFERROR(RIGHT("00"&amp;VALUE(LEFT(Sync!$K577,FIND(":",Sync!$K577)-1)),2)&amp;RIGHT("00"&amp;VALUE(MID(Sync!$K577,FIND(":",Sync!$K577)+1,2)),2),"0000")))&amp;"|"&amp;"2"&amp;RIGHT("00000"&amp;572,5))</f>
        <v/>
      </c>
      <c r="Q577" t="str">
        <f>IF(Sync!$J577="","",IF(ISNUMBER(Sync!$J577),IF(AND(Sync!$J577&gt;=10000101,Sync!$J577&lt;=99991231),INT(Sync!$J577/10000)&amp;"/"&amp;RIGHT("00"&amp;INT(MOD(Sync!$J577,10000)/100),2)&amp;"/"&amp;RIGHT("00"&amp;MOD(Sync!$J577,100),2),"نامعتبر"),IF(LEN(Sync!$J577)=10,Sync!$J577,"نامعتبر")))</f>
        <v/>
      </c>
      <c r="R577" t="str">
        <f t="shared" si="60"/>
        <v/>
      </c>
      <c r="S577" t="str">
        <f t="shared" si="61"/>
        <v/>
      </c>
      <c r="T577" t="str">
        <f>IF($N577="","",IF(Sync!$N577="",0,Sync!$N577))</f>
        <v/>
      </c>
      <c r="U577" t="str">
        <f>IF($N577="","",IF(Sync!$O577="",0,Sync!$O577))</f>
        <v/>
      </c>
      <c r="V577" t="str">
        <f>IF($N577="","",Sync!$L577)</f>
        <v/>
      </c>
      <c r="W577" t="str">
        <f>IF($N577="","",Sync!$P577)</f>
        <v/>
      </c>
      <c r="AA577" t="str">
        <f>IF($A577="","",IF(COUNTIF($A$6:$A577,$A577)=1,1,0))</f>
        <v/>
      </c>
      <c r="AB577">
        <f>SUM($AA$6:$AA577)</f>
        <v>3</v>
      </c>
      <c r="AC577" t="str">
        <f t="shared" si="62"/>
        <v/>
      </c>
    </row>
    <row r="578" spans="1:29" x14ac:dyDescent="0.2">
      <c r="A578" t="str">
        <f>IF(OR(Entry!$B581="",Entry!$E581="",$E578="نامعتبر"),"",Entry!$E581)</f>
        <v/>
      </c>
      <c r="B578" t="str">
        <f>IF($A578="","",LEFT($E578,4)&amp;MID($E578,6,2)&amp;RIGHT($E578,2)&amp;$F578&amp;"|"&amp;"1"&amp;RIGHT("00000"&amp;573,5))</f>
        <v/>
      </c>
      <c r="C578" t="str">
        <f t="shared" si="56"/>
        <v/>
      </c>
      <c r="D578" t="str">
        <f t="shared" si="57"/>
        <v/>
      </c>
      <c r="E578" t="str">
        <f>IF(Entry!$B581="","",IF(ISNUMBER(Entry!$B581),IF(AND(Entry!$B581&gt;=10000101,Entry!$B581&lt;=99991231),INT(Entry!$B581/10000)&amp;"/"&amp;RIGHT("00"&amp;INT(MOD(Entry!$B581,10000)/100),2)&amp;"/"&amp;RIGHT("00"&amp;MOD(Entry!$B581,100),2),"نامعتبر"),IF(LEN(Entry!$B581)=10,Entry!$B581,"نامعتبر")))</f>
        <v/>
      </c>
      <c r="F578" t="str">
        <f>IF(Entry!$B581="","",IF(Entry!$C581="","0000",IF(AND(ISNUMBER(Entry!$C581),Entry!$C581&gt;=0,Entry!$C581&lt;1),RIGHT("00"&amp;HOUR(Entry!$C581),2)&amp;RIGHT("00"&amp;MINUTE(Entry!$C581),2),IFERROR(RIGHT("00"&amp;VALUE(LEFT(Entry!$C581,FIND(":",Entry!$C581)-1)),2)&amp;RIGHT("00"&amp;VALUE(MID(Entry!$C581,FIND(":",Entry!$C581)+1,2)),2),"0000"))))</f>
        <v/>
      </c>
      <c r="G578" t="str">
        <f>IF($A578="","",Entry!$G581)</f>
        <v/>
      </c>
      <c r="H578" t="str">
        <f>IF($A578="","",IF(Entry!$H581="",0,Entry!$H581))</f>
        <v/>
      </c>
      <c r="I578" t="str">
        <f>IF($A578="","",IF(Entry!$I581="",0,Entry!$I581))</f>
        <v/>
      </c>
      <c r="J578" t="str">
        <f t="shared" si="58"/>
        <v/>
      </c>
      <c r="K578" t="str">
        <f>IF($A578="","",Entry!$D581)</f>
        <v/>
      </c>
      <c r="L578" t="str">
        <f>IF($A578="","",Entry!$L581)</f>
        <v/>
      </c>
      <c r="N578" t="str">
        <f>IF(OR(Sync!$M578="",$Q578="",$Q578="نامعتبر"),"",Sync!$M578)</f>
        <v/>
      </c>
      <c r="O578" t="str">
        <f t="shared" si="59"/>
        <v/>
      </c>
      <c r="P578" t="str">
        <f>IF($N578="","",LEFT($Q578,4)&amp;MID($Q578,6,2)&amp;RIGHT($Q578,2)&amp;IF(Sync!$K578="","0000",IF(AND(ISNUMBER(Sync!$K578),Sync!$K578&gt;=0,Sync!$K578&lt;1),RIGHT("00"&amp;HOUR(Sync!$K578),2)&amp;RIGHT("00"&amp;MINUTE(Sync!$K578),2),IFERROR(RIGHT("00"&amp;VALUE(LEFT(Sync!$K578,FIND(":",Sync!$K578)-1)),2)&amp;RIGHT("00"&amp;VALUE(MID(Sync!$K578,FIND(":",Sync!$K578)+1,2)),2),"0000")))&amp;"|"&amp;"2"&amp;RIGHT("00000"&amp;573,5))</f>
        <v/>
      </c>
      <c r="Q578" t="str">
        <f>IF(Sync!$J578="","",IF(ISNUMBER(Sync!$J578),IF(AND(Sync!$J578&gt;=10000101,Sync!$J578&lt;=99991231),INT(Sync!$J578/10000)&amp;"/"&amp;RIGHT("00"&amp;INT(MOD(Sync!$J578,10000)/100),2)&amp;"/"&amp;RIGHT("00"&amp;MOD(Sync!$J578,100),2),"نامعتبر"),IF(LEN(Sync!$J578)=10,Sync!$J578,"نامعتبر")))</f>
        <v/>
      </c>
      <c r="R578" t="str">
        <f t="shared" si="60"/>
        <v/>
      </c>
      <c r="S578" t="str">
        <f t="shared" si="61"/>
        <v/>
      </c>
      <c r="T578" t="str">
        <f>IF($N578="","",IF(Sync!$N578="",0,Sync!$N578))</f>
        <v/>
      </c>
      <c r="U578" t="str">
        <f>IF($N578="","",IF(Sync!$O578="",0,Sync!$O578))</f>
        <v/>
      </c>
      <c r="V578" t="str">
        <f>IF($N578="","",Sync!$L578)</f>
        <v/>
      </c>
      <c r="W578" t="str">
        <f>IF($N578="","",Sync!$P578)</f>
        <v/>
      </c>
      <c r="AA578" t="str">
        <f>IF($A578="","",IF(COUNTIF($A$6:$A578,$A578)=1,1,0))</f>
        <v/>
      </c>
      <c r="AB578">
        <f>SUM($AA$6:$AA578)</f>
        <v>3</v>
      </c>
      <c r="AC578" t="str">
        <f t="shared" si="62"/>
        <v/>
      </c>
    </row>
    <row r="579" spans="1:29" x14ac:dyDescent="0.2">
      <c r="A579" t="str">
        <f>IF(OR(Entry!$B582="",Entry!$E582="",$E579="نامعتبر"),"",Entry!$E582)</f>
        <v/>
      </c>
      <c r="B579" t="str">
        <f>IF($A579="","",LEFT($E579,4)&amp;MID($E579,6,2)&amp;RIGHT($E579,2)&amp;$F579&amp;"|"&amp;"1"&amp;RIGHT("00000"&amp;574,5))</f>
        <v/>
      </c>
      <c r="C579" t="str">
        <f t="shared" si="56"/>
        <v/>
      </c>
      <c r="D579" t="str">
        <f t="shared" si="57"/>
        <v/>
      </c>
      <c r="E579" t="str">
        <f>IF(Entry!$B582="","",IF(ISNUMBER(Entry!$B582),IF(AND(Entry!$B582&gt;=10000101,Entry!$B582&lt;=99991231),INT(Entry!$B582/10000)&amp;"/"&amp;RIGHT("00"&amp;INT(MOD(Entry!$B582,10000)/100),2)&amp;"/"&amp;RIGHT("00"&amp;MOD(Entry!$B582,100),2),"نامعتبر"),IF(LEN(Entry!$B582)=10,Entry!$B582,"نامعتبر")))</f>
        <v/>
      </c>
      <c r="F579" t="str">
        <f>IF(Entry!$B582="","",IF(Entry!$C582="","0000",IF(AND(ISNUMBER(Entry!$C582),Entry!$C582&gt;=0,Entry!$C582&lt;1),RIGHT("00"&amp;HOUR(Entry!$C582),2)&amp;RIGHT("00"&amp;MINUTE(Entry!$C582),2),IFERROR(RIGHT("00"&amp;VALUE(LEFT(Entry!$C582,FIND(":",Entry!$C582)-1)),2)&amp;RIGHT("00"&amp;VALUE(MID(Entry!$C582,FIND(":",Entry!$C582)+1,2)),2),"0000"))))</f>
        <v/>
      </c>
      <c r="G579" t="str">
        <f>IF($A579="","",Entry!$G582)</f>
        <v/>
      </c>
      <c r="H579" t="str">
        <f>IF($A579="","",IF(Entry!$H582="",0,Entry!$H582))</f>
        <v/>
      </c>
      <c r="I579" t="str">
        <f>IF($A579="","",IF(Entry!$I582="",0,Entry!$I582))</f>
        <v/>
      </c>
      <c r="J579" t="str">
        <f t="shared" si="58"/>
        <v/>
      </c>
      <c r="K579" t="str">
        <f>IF($A579="","",Entry!$D582)</f>
        <v/>
      </c>
      <c r="L579" t="str">
        <f>IF($A579="","",Entry!$L582)</f>
        <v/>
      </c>
      <c r="N579" t="str">
        <f>IF(OR(Sync!$M579="",$Q579="",$Q579="نامعتبر"),"",Sync!$M579)</f>
        <v/>
      </c>
      <c r="O579" t="str">
        <f t="shared" si="59"/>
        <v/>
      </c>
      <c r="P579" t="str">
        <f>IF($N579="","",LEFT($Q579,4)&amp;MID($Q579,6,2)&amp;RIGHT($Q579,2)&amp;IF(Sync!$K579="","0000",IF(AND(ISNUMBER(Sync!$K579),Sync!$K579&gt;=0,Sync!$K579&lt;1),RIGHT("00"&amp;HOUR(Sync!$K579),2)&amp;RIGHT("00"&amp;MINUTE(Sync!$K579),2),IFERROR(RIGHT("00"&amp;VALUE(LEFT(Sync!$K579,FIND(":",Sync!$K579)-1)),2)&amp;RIGHT("00"&amp;VALUE(MID(Sync!$K579,FIND(":",Sync!$K579)+1,2)),2),"0000")))&amp;"|"&amp;"2"&amp;RIGHT("00000"&amp;574,5))</f>
        <v/>
      </c>
      <c r="Q579" t="str">
        <f>IF(Sync!$J579="","",IF(ISNUMBER(Sync!$J579),IF(AND(Sync!$J579&gt;=10000101,Sync!$J579&lt;=99991231),INT(Sync!$J579/10000)&amp;"/"&amp;RIGHT("00"&amp;INT(MOD(Sync!$J579,10000)/100),2)&amp;"/"&amp;RIGHT("00"&amp;MOD(Sync!$J579,100),2),"نامعتبر"),IF(LEN(Sync!$J579)=10,Sync!$J579,"نامعتبر")))</f>
        <v/>
      </c>
      <c r="R579" t="str">
        <f t="shared" si="60"/>
        <v/>
      </c>
      <c r="S579" t="str">
        <f t="shared" si="61"/>
        <v/>
      </c>
      <c r="T579" t="str">
        <f>IF($N579="","",IF(Sync!$N579="",0,Sync!$N579))</f>
        <v/>
      </c>
      <c r="U579" t="str">
        <f>IF($N579="","",IF(Sync!$O579="",0,Sync!$O579))</f>
        <v/>
      </c>
      <c r="V579" t="str">
        <f>IF($N579="","",Sync!$L579)</f>
        <v/>
      </c>
      <c r="W579" t="str">
        <f>IF($N579="","",Sync!$P579)</f>
        <v/>
      </c>
      <c r="AA579" t="str">
        <f>IF($A579="","",IF(COUNTIF($A$6:$A579,$A579)=1,1,0))</f>
        <v/>
      </c>
      <c r="AB579">
        <f>SUM($AA$6:$AA579)</f>
        <v>3</v>
      </c>
      <c r="AC579" t="str">
        <f t="shared" si="62"/>
        <v/>
      </c>
    </row>
    <row r="580" spans="1:29" x14ac:dyDescent="0.2">
      <c r="A580" t="str">
        <f>IF(OR(Entry!$B583="",Entry!$E583="",$E580="نامعتبر"),"",Entry!$E583)</f>
        <v/>
      </c>
      <c r="B580" t="str">
        <f>IF($A580="","",LEFT($E580,4)&amp;MID($E580,6,2)&amp;RIGHT($E580,2)&amp;$F580&amp;"|"&amp;"1"&amp;RIGHT("00000"&amp;575,5))</f>
        <v/>
      </c>
      <c r="C580" t="str">
        <f t="shared" si="56"/>
        <v/>
      </c>
      <c r="D580" t="str">
        <f t="shared" si="57"/>
        <v/>
      </c>
      <c r="E580" t="str">
        <f>IF(Entry!$B583="","",IF(ISNUMBER(Entry!$B583),IF(AND(Entry!$B583&gt;=10000101,Entry!$B583&lt;=99991231),INT(Entry!$B583/10000)&amp;"/"&amp;RIGHT("00"&amp;INT(MOD(Entry!$B583,10000)/100),2)&amp;"/"&amp;RIGHT("00"&amp;MOD(Entry!$B583,100),2),"نامعتبر"),IF(LEN(Entry!$B583)=10,Entry!$B583,"نامعتبر")))</f>
        <v/>
      </c>
      <c r="F580" t="str">
        <f>IF(Entry!$B583="","",IF(Entry!$C583="","0000",IF(AND(ISNUMBER(Entry!$C583),Entry!$C583&gt;=0,Entry!$C583&lt;1),RIGHT("00"&amp;HOUR(Entry!$C583),2)&amp;RIGHT("00"&amp;MINUTE(Entry!$C583),2),IFERROR(RIGHT("00"&amp;VALUE(LEFT(Entry!$C583,FIND(":",Entry!$C583)-1)),2)&amp;RIGHT("00"&amp;VALUE(MID(Entry!$C583,FIND(":",Entry!$C583)+1,2)),2),"0000"))))</f>
        <v/>
      </c>
      <c r="G580" t="str">
        <f>IF($A580="","",Entry!$G583)</f>
        <v/>
      </c>
      <c r="H580" t="str">
        <f>IF($A580="","",IF(Entry!$H583="",0,Entry!$H583))</f>
        <v/>
      </c>
      <c r="I580" t="str">
        <f>IF($A580="","",IF(Entry!$I583="",0,Entry!$I583))</f>
        <v/>
      </c>
      <c r="J580" t="str">
        <f t="shared" si="58"/>
        <v/>
      </c>
      <c r="K580" t="str">
        <f>IF($A580="","",Entry!$D583)</f>
        <v/>
      </c>
      <c r="L580" t="str">
        <f>IF($A580="","",Entry!$L583)</f>
        <v/>
      </c>
      <c r="N580" t="str">
        <f>IF(OR(Sync!$M580="",$Q580="",$Q580="نامعتبر"),"",Sync!$M580)</f>
        <v/>
      </c>
      <c r="O580" t="str">
        <f t="shared" si="59"/>
        <v/>
      </c>
      <c r="P580" t="str">
        <f>IF($N580="","",LEFT($Q580,4)&amp;MID($Q580,6,2)&amp;RIGHT($Q580,2)&amp;IF(Sync!$K580="","0000",IF(AND(ISNUMBER(Sync!$K580),Sync!$K580&gt;=0,Sync!$K580&lt;1),RIGHT("00"&amp;HOUR(Sync!$K580),2)&amp;RIGHT("00"&amp;MINUTE(Sync!$K580),2),IFERROR(RIGHT("00"&amp;VALUE(LEFT(Sync!$K580,FIND(":",Sync!$K580)-1)),2)&amp;RIGHT("00"&amp;VALUE(MID(Sync!$K580,FIND(":",Sync!$K580)+1,2)),2),"0000")))&amp;"|"&amp;"2"&amp;RIGHT("00000"&amp;575,5))</f>
        <v/>
      </c>
      <c r="Q580" t="str">
        <f>IF(Sync!$J580="","",IF(ISNUMBER(Sync!$J580),IF(AND(Sync!$J580&gt;=10000101,Sync!$J580&lt;=99991231),INT(Sync!$J580/10000)&amp;"/"&amp;RIGHT("00"&amp;INT(MOD(Sync!$J580,10000)/100),2)&amp;"/"&amp;RIGHT("00"&amp;MOD(Sync!$J580,100),2),"نامعتبر"),IF(LEN(Sync!$J580)=10,Sync!$J580,"نامعتبر")))</f>
        <v/>
      </c>
      <c r="R580" t="str">
        <f t="shared" si="60"/>
        <v/>
      </c>
      <c r="S580" t="str">
        <f t="shared" si="61"/>
        <v/>
      </c>
      <c r="T580" t="str">
        <f>IF($N580="","",IF(Sync!$N580="",0,Sync!$N580))</f>
        <v/>
      </c>
      <c r="U580" t="str">
        <f>IF($N580="","",IF(Sync!$O580="",0,Sync!$O580))</f>
        <v/>
      </c>
      <c r="V580" t="str">
        <f>IF($N580="","",Sync!$L580)</f>
        <v/>
      </c>
      <c r="W580" t="str">
        <f>IF($N580="","",Sync!$P580)</f>
        <v/>
      </c>
      <c r="AA580" t="str">
        <f>IF($A580="","",IF(COUNTIF($A$6:$A580,$A580)=1,1,0))</f>
        <v/>
      </c>
      <c r="AB580">
        <f>SUM($AA$6:$AA580)</f>
        <v>3</v>
      </c>
      <c r="AC580" t="str">
        <f t="shared" si="62"/>
        <v/>
      </c>
    </row>
    <row r="581" spans="1:29" x14ac:dyDescent="0.2">
      <c r="A581" t="str">
        <f>IF(OR(Entry!$B584="",Entry!$E584="",$E581="نامعتبر"),"",Entry!$E584)</f>
        <v/>
      </c>
      <c r="B581" t="str">
        <f>IF($A581="","",LEFT($E581,4)&amp;MID($E581,6,2)&amp;RIGHT($E581,2)&amp;$F581&amp;"|"&amp;"1"&amp;RIGHT("00000"&amp;576,5))</f>
        <v/>
      </c>
      <c r="C581" t="str">
        <f t="shared" si="56"/>
        <v/>
      </c>
      <c r="D581" t="str">
        <f t="shared" si="57"/>
        <v/>
      </c>
      <c r="E581" t="str">
        <f>IF(Entry!$B584="","",IF(ISNUMBER(Entry!$B584),IF(AND(Entry!$B584&gt;=10000101,Entry!$B584&lt;=99991231),INT(Entry!$B584/10000)&amp;"/"&amp;RIGHT("00"&amp;INT(MOD(Entry!$B584,10000)/100),2)&amp;"/"&amp;RIGHT("00"&amp;MOD(Entry!$B584,100),2),"نامعتبر"),IF(LEN(Entry!$B584)=10,Entry!$B584,"نامعتبر")))</f>
        <v/>
      </c>
      <c r="F581" t="str">
        <f>IF(Entry!$B584="","",IF(Entry!$C584="","0000",IF(AND(ISNUMBER(Entry!$C584),Entry!$C584&gt;=0,Entry!$C584&lt;1),RIGHT("00"&amp;HOUR(Entry!$C584),2)&amp;RIGHT("00"&amp;MINUTE(Entry!$C584),2),IFERROR(RIGHT("00"&amp;VALUE(LEFT(Entry!$C584,FIND(":",Entry!$C584)-1)),2)&amp;RIGHT("00"&amp;VALUE(MID(Entry!$C584,FIND(":",Entry!$C584)+1,2)),2),"0000"))))</f>
        <v/>
      </c>
      <c r="G581" t="str">
        <f>IF($A581="","",Entry!$G584)</f>
        <v/>
      </c>
      <c r="H581" t="str">
        <f>IF($A581="","",IF(Entry!$H584="",0,Entry!$H584))</f>
        <v/>
      </c>
      <c r="I581" t="str">
        <f>IF($A581="","",IF(Entry!$I584="",0,Entry!$I584))</f>
        <v/>
      </c>
      <c r="J581" t="str">
        <f t="shared" si="58"/>
        <v/>
      </c>
      <c r="K581" t="str">
        <f>IF($A581="","",Entry!$D584)</f>
        <v/>
      </c>
      <c r="L581" t="str">
        <f>IF($A581="","",Entry!$L584)</f>
        <v/>
      </c>
      <c r="N581" t="str">
        <f>IF(OR(Sync!$M581="",$Q581="",$Q581="نامعتبر"),"",Sync!$M581)</f>
        <v/>
      </c>
      <c r="O581" t="str">
        <f t="shared" si="59"/>
        <v/>
      </c>
      <c r="P581" t="str">
        <f>IF($N581="","",LEFT($Q581,4)&amp;MID($Q581,6,2)&amp;RIGHT($Q581,2)&amp;IF(Sync!$K581="","0000",IF(AND(ISNUMBER(Sync!$K581),Sync!$K581&gt;=0,Sync!$K581&lt;1),RIGHT("00"&amp;HOUR(Sync!$K581),2)&amp;RIGHT("00"&amp;MINUTE(Sync!$K581),2),IFERROR(RIGHT("00"&amp;VALUE(LEFT(Sync!$K581,FIND(":",Sync!$K581)-1)),2)&amp;RIGHT("00"&amp;VALUE(MID(Sync!$K581,FIND(":",Sync!$K581)+1,2)),2),"0000")))&amp;"|"&amp;"2"&amp;RIGHT("00000"&amp;576,5))</f>
        <v/>
      </c>
      <c r="Q581" t="str">
        <f>IF(Sync!$J581="","",IF(ISNUMBER(Sync!$J581),IF(AND(Sync!$J581&gt;=10000101,Sync!$J581&lt;=99991231),INT(Sync!$J581/10000)&amp;"/"&amp;RIGHT("00"&amp;INT(MOD(Sync!$J581,10000)/100),2)&amp;"/"&amp;RIGHT("00"&amp;MOD(Sync!$J581,100),2),"نامعتبر"),IF(LEN(Sync!$J581)=10,Sync!$J581,"نامعتبر")))</f>
        <v/>
      </c>
      <c r="R581" t="str">
        <f t="shared" si="60"/>
        <v/>
      </c>
      <c r="S581" t="str">
        <f t="shared" si="61"/>
        <v/>
      </c>
      <c r="T581" t="str">
        <f>IF($N581="","",IF(Sync!$N581="",0,Sync!$N581))</f>
        <v/>
      </c>
      <c r="U581" t="str">
        <f>IF($N581="","",IF(Sync!$O581="",0,Sync!$O581))</f>
        <v/>
      </c>
      <c r="V581" t="str">
        <f>IF($N581="","",Sync!$L581)</f>
        <v/>
      </c>
      <c r="W581" t="str">
        <f>IF($N581="","",Sync!$P581)</f>
        <v/>
      </c>
      <c r="AA581" t="str">
        <f>IF($A581="","",IF(COUNTIF($A$6:$A581,$A581)=1,1,0))</f>
        <v/>
      </c>
      <c r="AB581">
        <f>SUM($AA$6:$AA581)</f>
        <v>3</v>
      </c>
      <c r="AC581" t="str">
        <f t="shared" si="62"/>
        <v/>
      </c>
    </row>
    <row r="582" spans="1:29" x14ac:dyDescent="0.2">
      <c r="A582" t="str">
        <f>IF(OR(Entry!$B585="",Entry!$E585="",$E582="نامعتبر"),"",Entry!$E585)</f>
        <v/>
      </c>
      <c r="B582" t="str">
        <f>IF($A582="","",LEFT($E582,4)&amp;MID($E582,6,2)&amp;RIGHT($E582,2)&amp;$F582&amp;"|"&amp;"1"&amp;RIGHT("00000"&amp;577,5))</f>
        <v/>
      </c>
      <c r="C582" t="str">
        <f t="shared" ref="C582:C645" si="63">IF($B582="","",COUNTIFS($A$6:$A$1005,$A582,$B$6:$B$1005,"&lt;"&amp;$B582)+COUNTIFS($N$6:$N$2005,$A582,$P$6:$P$2005,"&lt;"&amp;$B582)+1)</f>
        <v/>
      </c>
      <c r="D582" t="str">
        <f t="shared" ref="D582:D645" si="64">IF($C582="","",$A582&amp;"|"&amp;RIGHT("000000"&amp;$C582,6))</f>
        <v/>
      </c>
      <c r="E582" t="str">
        <f>IF(Entry!$B585="","",IF(ISNUMBER(Entry!$B585),IF(AND(Entry!$B585&gt;=10000101,Entry!$B585&lt;=99991231),INT(Entry!$B585/10000)&amp;"/"&amp;RIGHT("00"&amp;INT(MOD(Entry!$B585,10000)/100),2)&amp;"/"&amp;RIGHT("00"&amp;MOD(Entry!$B585,100),2),"نامعتبر"),IF(LEN(Entry!$B585)=10,Entry!$B585,"نامعتبر")))</f>
        <v/>
      </c>
      <c r="F582" t="str">
        <f>IF(Entry!$B585="","",IF(Entry!$C585="","0000",IF(AND(ISNUMBER(Entry!$C585),Entry!$C585&gt;=0,Entry!$C585&lt;1),RIGHT("00"&amp;HOUR(Entry!$C585),2)&amp;RIGHT("00"&amp;MINUTE(Entry!$C585),2),IFERROR(RIGHT("00"&amp;VALUE(LEFT(Entry!$C585,FIND(":",Entry!$C585)-1)),2)&amp;RIGHT("00"&amp;VALUE(MID(Entry!$C585,FIND(":",Entry!$C585)+1,2)),2),"0000"))))</f>
        <v/>
      </c>
      <c r="G582" t="str">
        <f>IF($A582="","",Entry!$G585)</f>
        <v/>
      </c>
      <c r="H582" t="str">
        <f>IF($A582="","",IF(Entry!$H585="",0,Entry!$H585))</f>
        <v/>
      </c>
      <c r="I582" t="str">
        <f>IF($A582="","",IF(Entry!$I585="",0,Entry!$I585))</f>
        <v/>
      </c>
      <c r="J582" t="str">
        <f t="shared" ref="J582:J645" si="65">IF($A582="","",ROUND($H582*$I582,0))</f>
        <v/>
      </c>
      <c r="K582" t="str">
        <f>IF($A582="","",Entry!$D585)</f>
        <v/>
      </c>
      <c r="L582" t="str">
        <f>IF($A582="","",Entry!$L585)</f>
        <v/>
      </c>
      <c r="N582" t="str">
        <f>IF(OR(Sync!$M582="",$Q582="",$Q582="نامعتبر"),"",Sync!$M582)</f>
        <v/>
      </c>
      <c r="O582" t="str">
        <f t="shared" ref="O582:O645" si="66">IF($N582="","",$Q582)</f>
        <v/>
      </c>
      <c r="P582" t="str">
        <f>IF($N582="","",LEFT($Q582,4)&amp;MID($Q582,6,2)&amp;RIGHT($Q582,2)&amp;IF(Sync!$K582="","0000",IF(AND(ISNUMBER(Sync!$K582),Sync!$K582&gt;=0,Sync!$K582&lt;1),RIGHT("00"&amp;HOUR(Sync!$K582),2)&amp;RIGHT("00"&amp;MINUTE(Sync!$K582),2),IFERROR(RIGHT("00"&amp;VALUE(LEFT(Sync!$K582,FIND(":",Sync!$K582)-1)),2)&amp;RIGHT("00"&amp;VALUE(MID(Sync!$K582,FIND(":",Sync!$K582)+1,2)),2),"0000")))&amp;"|"&amp;"2"&amp;RIGHT("00000"&amp;577,5))</f>
        <v/>
      </c>
      <c r="Q582" t="str">
        <f>IF(Sync!$J582="","",IF(ISNUMBER(Sync!$J582),IF(AND(Sync!$J582&gt;=10000101,Sync!$J582&lt;=99991231),INT(Sync!$J582/10000)&amp;"/"&amp;RIGHT("00"&amp;INT(MOD(Sync!$J582,10000)/100),2)&amp;"/"&amp;RIGHT("00"&amp;MOD(Sync!$J582,100),2),"نامعتبر"),IF(LEN(Sync!$J582)=10,Sync!$J582,"نامعتبر")))</f>
        <v/>
      </c>
      <c r="R582" t="str">
        <f t="shared" ref="R582:R645" si="67">IF($P582="","",COUNTIFS($N$6:$N$2005,$N582,$P$6:$P$2005,"&lt;"&amp;$P582)+COUNTIFS($A$6:$A$1005,$N582,$B$6:$B$1005,"&lt;"&amp;$P582)+1)</f>
        <v/>
      </c>
      <c r="S582" t="str">
        <f t="shared" ref="S582:S645" si="68">IF($N582="","",$N582&amp;"|"&amp;RIGHT("000000"&amp;$R582,6))</f>
        <v/>
      </c>
      <c r="T582" t="str">
        <f>IF($N582="","",IF(Sync!$N582="",0,Sync!$N582))</f>
        <v/>
      </c>
      <c r="U582" t="str">
        <f>IF($N582="","",IF(Sync!$O582="",0,Sync!$O582))</f>
        <v/>
      </c>
      <c r="V582" t="str">
        <f>IF($N582="","",Sync!$L582)</f>
        <v/>
      </c>
      <c r="W582" t="str">
        <f>IF($N582="","",Sync!$P582)</f>
        <v/>
      </c>
      <c r="AA582" t="str">
        <f>IF($A582="","",IF(COUNTIF($A$6:$A582,$A582)=1,1,0))</f>
        <v/>
      </c>
      <c r="AB582">
        <f>SUM($AA$6:$AA582)</f>
        <v>3</v>
      </c>
      <c r="AC582" t="str">
        <f t="shared" ref="AC582:AC645" si="69">IFERROR(INDEX($A$6:$A$1005,MATCH(ROW()-5,$AB$6:$AB$1005,0)),"")</f>
        <v/>
      </c>
    </row>
    <row r="583" spans="1:29" x14ac:dyDescent="0.2">
      <c r="A583" t="str">
        <f>IF(OR(Entry!$B586="",Entry!$E586="",$E583="نامعتبر"),"",Entry!$E586)</f>
        <v/>
      </c>
      <c r="B583" t="str">
        <f>IF($A583="","",LEFT($E583,4)&amp;MID($E583,6,2)&amp;RIGHT($E583,2)&amp;$F583&amp;"|"&amp;"1"&amp;RIGHT("00000"&amp;578,5))</f>
        <v/>
      </c>
      <c r="C583" t="str">
        <f t="shared" si="63"/>
        <v/>
      </c>
      <c r="D583" t="str">
        <f t="shared" si="64"/>
        <v/>
      </c>
      <c r="E583" t="str">
        <f>IF(Entry!$B586="","",IF(ISNUMBER(Entry!$B586),IF(AND(Entry!$B586&gt;=10000101,Entry!$B586&lt;=99991231),INT(Entry!$B586/10000)&amp;"/"&amp;RIGHT("00"&amp;INT(MOD(Entry!$B586,10000)/100),2)&amp;"/"&amp;RIGHT("00"&amp;MOD(Entry!$B586,100),2),"نامعتبر"),IF(LEN(Entry!$B586)=10,Entry!$B586,"نامعتبر")))</f>
        <v/>
      </c>
      <c r="F583" t="str">
        <f>IF(Entry!$B586="","",IF(Entry!$C586="","0000",IF(AND(ISNUMBER(Entry!$C586),Entry!$C586&gt;=0,Entry!$C586&lt;1),RIGHT("00"&amp;HOUR(Entry!$C586),2)&amp;RIGHT("00"&amp;MINUTE(Entry!$C586),2),IFERROR(RIGHT("00"&amp;VALUE(LEFT(Entry!$C586,FIND(":",Entry!$C586)-1)),2)&amp;RIGHT("00"&amp;VALUE(MID(Entry!$C586,FIND(":",Entry!$C586)+1,2)),2),"0000"))))</f>
        <v/>
      </c>
      <c r="G583" t="str">
        <f>IF($A583="","",Entry!$G586)</f>
        <v/>
      </c>
      <c r="H583" t="str">
        <f>IF($A583="","",IF(Entry!$H586="",0,Entry!$H586))</f>
        <v/>
      </c>
      <c r="I583" t="str">
        <f>IF($A583="","",IF(Entry!$I586="",0,Entry!$I586))</f>
        <v/>
      </c>
      <c r="J583" t="str">
        <f t="shared" si="65"/>
        <v/>
      </c>
      <c r="K583" t="str">
        <f>IF($A583="","",Entry!$D586)</f>
        <v/>
      </c>
      <c r="L583" t="str">
        <f>IF($A583="","",Entry!$L586)</f>
        <v/>
      </c>
      <c r="N583" t="str">
        <f>IF(OR(Sync!$M583="",$Q583="",$Q583="نامعتبر"),"",Sync!$M583)</f>
        <v/>
      </c>
      <c r="O583" t="str">
        <f t="shared" si="66"/>
        <v/>
      </c>
      <c r="P583" t="str">
        <f>IF($N583="","",LEFT($Q583,4)&amp;MID($Q583,6,2)&amp;RIGHT($Q583,2)&amp;IF(Sync!$K583="","0000",IF(AND(ISNUMBER(Sync!$K583),Sync!$K583&gt;=0,Sync!$K583&lt;1),RIGHT("00"&amp;HOUR(Sync!$K583),2)&amp;RIGHT("00"&amp;MINUTE(Sync!$K583),2),IFERROR(RIGHT("00"&amp;VALUE(LEFT(Sync!$K583,FIND(":",Sync!$K583)-1)),2)&amp;RIGHT("00"&amp;VALUE(MID(Sync!$K583,FIND(":",Sync!$K583)+1,2)),2),"0000")))&amp;"|"&amp;"2"&amp;RIGHT("00000"&amp;578,5))</f>
        <v/>
      </c>
      <c r="Q583" t="str">
        <f>IF(Sync!$J583="","",IF(ISNUMBER(Sync!$J583),IF(AND(Sync!$J583&gt;=10000101,Sync!$J583&lt;=99991231),INT(Sync!$J583/10000)&amp;"/"&amp;RIGHT("00"&amp;INT(MOD(Sync!$J583,10000)/100),2)&amp;"/"&amp;RIGHT("00"&amp;MOD(Sync!$J583,100),2),"نامعتبر"),IF(LEN(Sync!$J583)=10,Sync!$J583,"نامعتبر")))</f>
        <v/>
      </c>
      <c r="R583" t="str">
        <f t="shared" si="67"/>
        <v/>
      </c>
      <c r="S583" t="str">
        <f t="shared" si="68"/>
        <v/>
      </c>
      <c r="T583" t="str">
        <f>IF($N583="","",IF(Sync!$N583="",0,Sync!$N583))</f>
        <v/>
      </c>
      <c r="U583" t="str">
        <f>IF($N583="","",IF(Sync!$O583="",0,Sync!$O583))</f>
        <v/>
      </c>
      <c r="V583" t="str">
        <f>IF($N583="","",Sync!$L583)</f>
        <v/>
      </c>
      <c r="W583" t="str">
        <f>IF($N583="","",Sync!$P583)</f>
        <v/>
      </c>
      <c r="AA583" t="str">
        <f>IF($A583="","",IF(COUNTIF($A$6:$A583,$A583)=1,1,0))</f>
        <v/>
      </c>
      <c r="AB583">
        <f>SUM($AA$6:$AA583)</f>
        <v>3</v>
      </c>
      <c r="AC583" t="str">
        <f t="shared" si="69"/>
        <v/>
      </c>
    </row>
    <row r="584" spans="1:29" x14ac:dyDescent="0.2">
      <c r="A584" t="str">
        <f>IF(OR(Entry!$B587="",Entry!$E587="",$E584="نامعتبر"),"",Entry!$E587)</f>
        <v/>
      </c>
      <c r="B584" t="str">
        <f>IF($A584="","",LEFT($E584,4)&amp;MID($E584,6,2)&amp;RIGHT($E584,2)&amp;$F584&amp;"|"&amp;"1"&amp;RIGHT("00000"&amp;579,5))</f>
        <v/>
      </c>
      <c r="C584" t="str">
        <f t="shared" si="63"/>
        <v/>
      </c>
      <c r="D584" t="str">
        <f t="shared" si="64"/>
        <v/>
      </c>
      <c r="E584" t="str">
        <f>IF(Entry!$B587="","",IF(ISNUMBER(Entry!$B587),IF(AND(Entry!$B587&gt;=10000101,Entry!$B587&lt;=99991231),INT(Entry!$B587/10000)&amp;"/"&amp;RIGHT("00"&amp;INT(MOD(Entry!$B587,10000)/100),2)&amp;"/"&amp;RIGHT("00"&amp;MOD(Entry!$B587,100),2),"نامعتبر"),IF(LEN(Entry!$B587)=10,Entry!$B587,"نامعتبر")))</f>
        <v/>
      </c>
      <c r="F584" t="str">
        <f>IF(Entry!$B587="","",IF(Entry!$C587="","0000",IF(AND(ISNUMBER(Entry!$C587),Entry!$C587&gt;=0,Entry!$C587&lt;1),RIGHT("00"&amp;HOUR(Entry!$C587),2)&amp;RIGHT("00"&amp;MINUTE(Entry!$C587),2),IFERROR(RIGHT("00"&amp;VALUE(LEFT(Entry!$C587,FIND(":",Entry!$C587)-1)),2)&amp;RIGHT("00"&amp;VALUE(MID(Entry!$C587,FIND(":",Entry!$C587)+1,2)),2),"0000"))))</f>
        <v/>
      </c>
      <c r="G584" t="str">
        <f>IF($A584="","",Entry!$G587)</f>
        <v/>
      </c>
      <c r="H584" t="str">
        <f>IF($A584="","",IF(Entry!$H587="",0,Entry!$H587))</f>
        <v/>
      </c>
      <c r="I584" t="str">
        <f>IF($A584="","",IF(Entry!$I587="",0,Entry!$I587))</f>
        <v/>
      </c>
      <c r="J584" t="str">
        <f t="shared" si="65"/>
        <v/>
      </c>
      <c r="K584" t="str">
        <f>IF($A584="","",Entry!$D587)</f>
        <v/>
      </c>
      <c r="L584" t="str">
        <f>IF($A584="","",Entry!$L587)</f>
        <v/>
      </c>
      <c r="N584" t="str">
        <f>IF(OR(Sync!$M584="",$Q584="",$Q584="نامعتبر"),"",Sync!$M584)</f>
        <v/>
      </c>
      <c r="O584" t="str">
        <f t="shared" si="66"/>
        <v/>
      </c>
      <c r="P584" t="str">
        <f>IF($N584="","",LEFT($Q584,4)&amp;MID($Q584,6,2)&amp;RIGHT($Q584,2)&amp;IF(Sync!$K584="","0000",IF(AND(ISNUMBER(Sync!$K584),Sync!$K584&gt;=0,Sync!$K584&lt;1),RIGHT("00"&amp;HOUR(Sync!$K584),2)&amp;RIGHT("00"&amp;MINUTE(Sync!$K584),2),IFERROR(RIGHT("00"&amp;VALUE(LEFT(Sync!$K584,FIND(":",Sync!$K584)-1)),2)&amp;RIGHT("00"&amp;VALUE(MID(Sync!$K584,FIND(":",Sync!$K584)+1,2)),2),"0000")))&amp;"|"&amp;"2"&amp;RIGHT("00000"&amp;579,5))</f>
        <v/>
      </c>
      <c r="Q584" t="str">
        <f>IF(Sync!$J584="","",IF(ISNUMBER(Sync!$J584),IF(AND(Sync!$J584&gt;=10000101,Sync!$J584&lt;=99991231),INT(Sync!$J584/10000)&amp;"/"&amp;RIGHT("00"&amp;INT(MOD(Sync!$J584,10000)/100),2)&amp;"/"&amp;RIGHT("00"&amp;MOD(Sync!$J584,100),2),"نامعتبر"),IF(LEN(Sync!$J584)=10,Sync!$J584,"نامعتبر")))</f>
        <v/>
      </c>
      <c r="R584" t="str">
        <f t="shared" si="67"/>
        <v/>
      </c>
      <c r="S584" t="str">
        <f t="shared" si="68"/>
        <v/>
      </c>
      <c r="T584" t="str">
        <f>IF($N584="","",IF(Sync!$N584="",0,Sync!$N584))</f>
        <v/>
      </c>
      <c r="U584" t="str">
        <f>IF($N584="","",IF(Sync!$O584="",0,Sync!$O584))</f>
        <v/>
      </c>
      <c r="V584" t="str">
        <f>IF($N584="","",Sync!$L584)</f>
        <v/>
      </c>
      <c r="W584" t="str">
        <f>IF($N584="","",Sync!$P584)</f>
        <v/>
      </c>
      <c r="AA584" t="str">
        <f>IF($A584="","",IF(COUNTIF($A$6:$A584,$A584)=1,1,0))</f>
        <v/>
      </c>
      <c r="AB584">
        <f>SUM($AA$6:$AA584)</f>
        <v>3</v>
      </c>
      <c r="AC584" t="str">
        <f t="shared" si="69"/>
        <v/>
      </c>
    </row>
    <row r="585" spans="1:29" x14ac:dyDescent="0.2">
      <c r="A585" t="str">
        <f>IF(OR(Entry!$B588="",Entry!$E588="",$E585="نامعتبر"),"",Entry!$E588)</f>
        <v/>
      </c>
      <c r="B585" t="str">
        <f>IF($A585="","",LEFT($E585,4)&amp;MID($E585,6,2)&amp;RIGHT($E585,2)&amp;$F585&amp;"|"&amp;"1"&amp;RIGHT("00000"&amp;580,5))</f>
        <v/>
      </c>
      <c r="C585" t="str">
        <f t="shared" si="63"/>
        <v/>
      </c>
      <c r="D585" t="str">
        <f t="shared" si="64"/>
        <v/>
      </c>
      <c r="E585" t="str">
        <f>IF(Entry!$B588="","",IF(ISNUMBER(Entry!$B588),IF(AND(Entry!$B588&gt;=10000101,Entry!$B588&lt;=99991231),INT(Entry!$B588/10000)&amp;"/"&amp;RIGHT("00"&amp;INT(MOD(Entry!$B588,10000)/100),2)&amp;"/"&amp;RIGHT("00"&amp;MOD(Entry!$B588,100),2),"نامعتبر"),IF(LEN(Entry!$B588)=10,Entry!$B588,"نامعتبر")))</f>
        <v/>
      </c>
      <c r="F585" t="str">
        <f>IF(Entry!$B588="","",IF(Entry!$C588="","0000",IF(AND(ISNUMBER(Entry!$C588),Entry!$C588&gt;=0,Entry!$C588&lt;1),RIGHT("00"&amp;HOUR(Entry!$C588),2)&amp;RIGHT("00"&amp;MINUTE(Entry!$C588),2),IFERROR(RIGHT("00"&amp;VALUE(LEFT(Entry!$C588,FIND(":",Entry!$C588)-1)),2)&amp;RIGHT("00"&amp;VALUE(MID(Entry!$C588,FIND(":",Entry!$C588)+1,2)),2),"0000"))))</f>
        <v/>
      </c>
      <c r="G585" t="str">
        <f>IF($A585="","",Entry!$G588)</f>
        <v/>
      </c>
      <c r="H585" t="str">
        <f>IF($A585="","",IF(Entry!$H588="",0,Entry!$H588))</f>
        <v/>
      </c>
      <c r="I585" t="str">
        <f>IF($A585="","",IF(Entry!$I588="",0,Entry!$I588))</f>
        <v/>
      </c>
      <c r="J585" t="str">
        <f t="shared" si="65"/>
        <v/>
      </c>
      <c r="K585" t="str">
        <f>IF($A585="","",Entry!$D588)</f>
        <v/>
      </c>
      <c r="L585" t="str">
        <f>IF($A585="","",Entry!$L588)</f>
        <v/>
      </c>
      <c r="N585" t="str">
        <f>IF(OR(Sync!$M585="",$Q585="",$Q585="نامعتبر"),"",Sync!$M585)</f>
        <v/>
      </c>
      <c r="O585" t="str">
        <f t="shared" si="66"/>
        <v/>
      </c>
      <c r="P585" t="str">
        <f>IF($N585="","",LEFT($Q585,4)&amp;MID($Q585,6,2)&amp;RIGHT($Q585,2)&amp;IF(Sync!$K585="","0000",IF(AND(ISNUMBER(Sync!$K585),Sync!$K585&gt;=0,Sync!$K585&lt;1),RIGHT("00"&amp;HOUR(Sync!$K585),2)&amp;RIGHT("00"&amp;MINUTE(Sync!$K585),2),IFERROR(RIGHT("00"&amp;VALUE(LEFT(Sync!$K585,FIND(":",Sync!$K585)-1)),2)&amp;RIGHT("00"&amp;VALUE(MID(Sync!$K585,FIND(":",Sync!$K585)+1,2)),2),"0000")))&amp;"|"&amp;"2"&amp;RIGHT("00000"&amp;580,5))</f>
        <v/>
      </c>
      <c r="Q585" t="str">
        <f>IF(Sync!$J585="","",IF(ISNUMBER(Sync!$J585),IF(AND(Sync!$J585&gt;=10000101,Sync!$J585&lt;=99991231),INT(Sync!$J585/10000)&amp;"/"&amp;RIGHT("00"&amp;INT(MOD(Sync!$J585,10000)/100),2)&amp;"/"&amp;RIGHT("00"&amp;MOD(Sync!$J585,100),2),"نامعتبر"),IF(LEN(Sync!$J585)=10,Sync!$J585,"نامعتبر")))</f>
        <v/>
      </c>
      <c r="R585" t="str">
        <f t="shared" si="67"/>
        <v/>
      </c>
      <c r="S585" t="str">
        <f t="shared" si="68"/>
        <v/>
      </c>
      <c r="T585" t="str">
        <f>IF($N585="","",IF(Sync!$N585="",0,Sync!$N585))</f>
        <v/>
      </c>
      <c r="U585" t="str">
        <f>IF($N585="","",IF(Sync!$O585="",0,Sync!$O585))</f>
        <v/>
      </c>
      <c r="V585" t="str">
        <f>IF($N585="","",Sync!$L585)</f>
        <v/>
      </c>
      <c r="W585" t="str">
        <f>IF($N585="","",Sync!$P585)</f>
        <v/>
      </c>
      <c r="AA585" t="str">
        <f>IF($A585="","",IF(COUNTIF($A$6:$A585,$A585)=1,1,0))</f>
        <v/>
      </c>
      <c r="AB585">
        <f>SUM($AA$6:$AA585)</f>
        <v>3</v>
      </c>
      <c r="AC585" t="str">
        <f t="shared" si="69"/>
        <v/>
      </c>
    </row>
    <row r="586" spans="1:29" x14ac:dyDescent="0.2">
      <c r="A586" t="str">
        <f>IF(OR(Entry!$B589="",Entry!$E589="",$E586="نامعتبر"),"",Entry!$E589)</f>
        <v/>
      </c>
      <c r="B586" t="str">
        <f>IF($A586="","",LEFT($E586,4)&amp;MID($E586,6,2)&amp;RIGHT($E586,2)&amp;$F586&amp;"|"&amp;"1"&amp;RIGHT("00000"&amp;581,5))</f>
        <v/>
      </c>
      <c r="C586" t="str">
        <f t="shared" si="63"/>
        <v/>
      </c>
      <c r="D586" t="str">
        <f t="shared" si="64"/>
        <v/>
      </c>
      <c r="E586" t="str">
        <f>IF(Entry!$B589="","",IF(ISNUMBER(Entry!$B589),IF(AND(Entry!$B589&gt;=10000101,Entry!$B589&lt;=99991231),INT(Entry!$B589/10000)&amp;"/"&amp;RIGHT("00"&amp;INT(MOD(Entry!$B589,10000)/100),2)&amp;"/"&amp;RIGHT("00"&amp;MOD(Entry!$B589,100),2),"نامعتبر"),IF(LEN(Entry!$B589)=10,Entry!$B589,"نامعتبر")))</f>
        <v/>
      </c>
      <c r="F586" t="str">
        <f>IF(Entry!$B589="","",IF(Entry!$C589="","0000",IF(AND(ISNUMBER(Entry!$C589),Entry!$C589&gt;=0,Entry!$C589&lt;1),RIGHT("00"&amp;HOUR(Entry!$C589),2)&amp;RIGHT("00"&amp;MINUTE(Entry!$C589),2),IFERROR(RIGHT("00"&amp;VALUE(LEFT(Entry!$C589,FIND(":",Entry!$C589)-1)),2)&amp;RIGHT("00"&amp;VALUE(MID(Entry!$C589,FIND(":",Entry!$C589)+1,2)),2),"0000"))))</f>
        <v/>
      </c>
      <c r="G586" t="str">
        <f>IF($A586="","",Entry!$G589)</f>
        <v/>
      </c>
      <c r="H586" t="str">
        <f>IF($A586="","",IF(Entry!$H589="",0,Entry!$H589))</f>
        <v/>
      </c>
      <c r="I586" t="str">
        <f>IF($A586="","",IF(Entry!$I589="",0,Entry!$I589))</f>
        <v/>
      </c>
      <c r="J586" t="str">
        <f t="shared" si="65"/>
        <v/>
      </c>
      <c r="K586" t="str">
        <f>IF($A586="","",Entry!$D589)</f>
        <v/>
      </c>
      <c r="L586" t="str">
        <f>IF($A586="","",Entry!$L589)</f>
        <v/>
      </c>
      <c r="N586" t="str">
        <f>IF(OR(Sync!$M586="",$Q586="",$Q586="نامعتبر"),"",Sync!$M586)</f>
        <v/>
      </c>
      <c r="O586" t="str">
        <f t="shared" si="66"/>
        <v/>
      </c>
      <c r="P586" t="str">
        <f>IF($N586="","",LEFT($Q586,4)&amp;MID($Q586,6,2)&amp;RIGHT($Q586,2)&amp;IF(Sync!$K586="","0000",IF(AND(ISNUMBER(Sync!$K586),Sync!$K586&gt;=0,Sync!$K586&lt;1),RIGHT("00"&amp;HOUR(Sync!$K586),2)&amp;RIGHT("00"&amp;MINUTE(Sync!$K586),2),IFERROR(RIGHT("00"&amp;VALUE(LEFT(Sync!$K586,FIND(":",Sync!$K586)-1)),2)&amp;RIGHT("00"&amp;VALUE(MID(Sync!$K586,FIND(":",Sync!$K586)+1,2)),2),"0000")))&amp;"|"&amp;"2"&amp;RIGHT("00000"&amp;581,5))</f>
        <v/>
      </c>
      <c r="Q586" t="str">
        <f>IF(Sync!$J586="","",IF(ISNUMBER(Sync!$J586),IF(AND(Sync!$J586&gt;=10000101,Sync!$J586&lt;=99991231),INT(Sync!$J586/10000)&amp;"/"&amp;RIGHT("00"&amp;INT(MOD(Sync!$J586,10000)/100),2)&amp;"/"&amp;RIGHT("00"&amp;MOD(Sync!$J586,100),2),"نامعتبر"),IF(LEN(Sync!$J586)=10,Sync!$J586,"نامعتبر")))</f>
        <v/>
      </c>
      <c r="R586" t="str">
        <f t="shared" si="67"/>
        <v/>
      </c>
      <c r="S586" t="str">
        <f t="shared" si="68"/>
        <v/>
      </c>
      <c r="T586" t="str">
        <f>IF($N586="","",IF(Sync!$N586="",0,Sync!$N586))</f>
        <v/>
      </c>
      <c r="U586" t="str">
        <f>IF($N586="","",IF(Sync!$O586="",0,Sync!$O586))</f>
        <v/>
      </c>
      <c r="V586" t="str">
        <f>IF($N586="","",Sync!$L586)</f>
        <v/>
      </c>
      <c r="W586" t="str">
        <f>IF($N586="","",Sync!$P586)</f>
        <v/>
      </c>
      <c r="AA586" t="str">
        <f>IF($A586="","",IF(COUNTIF($A$6:$A586,$A586)=1,1,0))</f>
        <v/>
      </c>
      <c r="AB586">
        <f>SUM($AA$6:$AA586)</f>
        <v>3</v>
      </c>
      <c r="AC586" t="str">
        <f t="shared" si="69"/>
        <v/>
      </c>
    </row>
    <row r="587" spans="1:29" x14ac:dyDescent="0.2">
      <c r="A587" t="str">
        <f>IF(OR(Entry!$B590="",Entry!$E590="",$E587="نامعتبر"),"",Entry!$E590)</f>
        <v/>
      </c>
      <c r="B587" t="str">
        <f>IF($A587="","",LEFT($E587,4)&amp;MID($E587,6,2)&amp;RIGHT($E587,2)&amp;$F587&amp;"|"&amp;"1"&amp;RIGHT("00000"&amp;582,5))</f>
        <v/>
      </c>
      <c r="C587" t="str">
        <f t="shared" si="63"/>
        <v/>
      </c>
      <c r="D587" t="str">
        <f t="shared" si="64"/>
        <v/>
      </c>
      <c r="E587" t="str">
        <f>IF(Entry!$B590="","",IF(ISNUMBER(Entry!$B590),IF(AND(Entry!$B590&gt;=10000101,Entry!$B590&lt;=99991231),INT(Entry!$B590/10000)&amp;"/"&amp;RIGHT("00"&amp;INT(MOD(Entry!$B590,10000)/100),2)&amp;"/"&amp;RIGHT("00"&amp;MOD(Entry!$B590,100),2),"نامعتبر"),IF(LEN(Entry!$B590)=10,Entry!$B590,"نامعتبر")))</f>
        <v/>
      </c>
      <c r="F587" t="str">
        <f>IF(Entry!$B590="","",IF(Entry!$C590="","0000",IF(AND(ISNUMBER(Entry!$C590),Entry!$C590&gt;=0,Entry!$C590&lt;1),RIGHT("00"&amp;HOUR(Entry!$C590),2)&amp;RIGHT("00"&amp;MINUTE(Entry!$C590),2),IFERROR(RIGHT("00"&amp;VALUE(LEFT(Entry!$C590,FIND(":",Entry!$C590)-1)),2)&amp;RIGHT("00"&amp;VALUE(MID(Entry!$C590,FIND(":",Entry!$C590)+1,2)),2),"0000"))))</f>
        <v/>
      </c>
      <c r="G587" t="str">
        <f>IF($A587="","",Entry!$G590)</f>
        <v/>
      </c>
      <c r="H587" t="str">
        <f>IF($A587="","",IF(Entry!$H590="",0,Entry!$H590))</f>
        <v/>
      </c>
      <c r="I587" t="str">
        <f>IF($A587="","",IF(Entry!$I590="",0,Entry!$I590))</f>
        <v/>
      </c>
      <c r="J587" t="str">
        <f t="shared" si="65"/>
        <v/>
      </c>
      <c r="K587" t="str">
        <f>IF($A587="","",Entry!$D590)</f>
        <v/>
      </c>
      <c r="L587" t="str">
        <f>IF($A587="","",Entry!$L590)</f>
        <v/>
      </c>
      <c r="N587" t="str">
        <f>IF(OR(Sync!$M587="",$Q587="",$Q587="نامعتبر"),"",Sync!$M587)</f>
        <v/>
      </c>
      <c r="O587" t="str">
        <f t="shared" si="66"/>
        <v/>
      </c>
      <c r="P587" t="str">
        <f>IF($N587="","",LEFT($Q587,4)&amp;MID($Q587,6,2)&amp;RIGHT($Q587,2)&amp;IF(Sync!$K587="","0000",IF(AND(ISNUMBER(Sync!$K587),Sync!$K587&gt;=0,Sync!$K587&lt;1),RIGHT("00"&amp;HOUR(Sync!$K587),2)&amp;RIGHT("00"&amp;MINUTE(Sync!$K587),2),IFERROR(RIGHT("00"&amp;VALUE(LEFT(Sync!$K587,FIND(":",Sync!$K587)-1)),2)&amp;RIGHT("00"&amp;VALUE(MID(Sync!$K587,FIND(":",Sync!$K587)+1,2)),2),"0000")))&amp;"|"&amp;"2"&amp;RIGHT("00000"&amp;582,5))</f>
        <v/>
      </c>
      <c r="Q587" t="str">
        <f>IF(Sync!$J587="","",IF(ISNUMBER(Sync!$J587),IF(AND(Sync!$J587&gt;=10000101,Sync!$J587&lt;=99991231),INT(Sync!$J587/10000)&amp;"/"&amp;RIGHT("00"&amp;INT(MOD(Sync!$J587,10000)/100),2)&amp;"/"&amp;RIGHT("00"&amp;MOD(Sync!$J587,100),2),"نامعتبر"),IF(LEN(Sync!$J587)=10,Sync!$J587,"نامعتبر")))</f>
        <v/>
      </c>
      <c r="R587" t="str">
        <f t="shared" si="67"/>
        <v/>
      </c>
      <c r="S587" t="str">
        <f t="shared" si="68"/>
        <v/>
      </c>
      <c r="T587" t="str">
        <f>IF($N587="","",IF(Sync!$N587="",0,Sync!$N587))</f>
        <v/>
      </c>
      <c r="U587" t="str">
        <f>IF($N587="","",IF(Sync!$O587="",0,Sync!$O587))</f>
        <v/>
      </c>
      <c r="V587" t="str">
        <f>IF($N587="","",Sync!$L587)</f>
        <v/>
      </c>
      <c r="W587" t="str">
        <f>IF($N587="","",Sync!$P587)</f>
        <v/>
      </c>
      <c r="AA587" t="str">
        <f>IF($A587="","",IF(COUNTIF($A$6:$A587,$A587)=1,1,0))</f>
        <v/>
      </c>
      <c r="AB587">
        <f>SUM($AA$6:$AA587)</f>
        <v>3</v>
      </c>
      <c r="AC587" t="str">
        <f t="shared" si="69"/>
        <v/>
      </c>
    </row>
    <row r="588" spans="1:29" x14ac:dyDescent="0.2">
      <c r="A588" t="str">
        <f>IF(OR(Entry!$B591="",Entry!$E591="",$E588="نامعتبر"),"",Entry!$E591)</f>
        <v/>
      </c>
      <c r="B588" t="str">
        <f>IF($A588="","",LEFT($E588,4)&amp;MID($E588,6,2)&amp;RIGHT($E588,2)&amp;$F588&amp;"|"&amp;"1"&amp;RIGHT("00000"&amp;583,5))</f>
        <v/>
      </c>
      <c r="C588" t="str">
        <f t="shared" si="63"/>
        <v/>
      </c>
      <c r="D588" t="str">
        <f t="shared" si="64"/>
        <v/>
      </c>
      <c r="E588" t="str">
        <f>IF(Entry!$B591="","",IF(ISNUMBER(Entry!$B591),IF(AND(Entry!$B591&gt;=10000101,Entry!$B591&lt;=99991231),INT(Entry!$B591/10000)&amp;"/"&amp;RIGHT("00"&amp;INT(MOD(Entry!$B591,10000)/100),2)&amp;"/"&amp;RIGHT("00"&amp;MOD(Entry!$B591,100),2),"نامعتبر"),IF(LEN(Entry!$B591)=10,Entry!$B591,"نامعتبر")))</f>
        <v/>
      </c>
      <c r="F588" t="str">
        <f>IF(Entry!$B591="","",IF(Entry!$C591="","0000",IF(AND(ISNUMBER(Entry!$C591),Entry!$C591&gt;=0,Entry!$C591&lt;1),RIGHT("00"&amp;HOUR(Entry!$C591),2)&amp;RIGHT("00"&amp;MINUTE(Entry!$C591),2),IFERROR(RIGHT("00"&amp;VALUE(LEFT(Entry!$C591,FIND(":",Entry!$C591)-1)),2)&amp;RIGHT("00"&amp;VALUE(MID(Entry!$C591,FIND(":",Entry!$C591)+1,2)),2),"0000"))))</f>
        <v/>
      </c>
      <c r="G588" t="str">
        <f>IF($A588="","",Entry!$G591)</f>
        <v/>
      </c>
      <c r="H588" t="str">
        <f>IF($A588="","",IF(Entry!$H591="",0,Entry!$H591))</f>
        <v/>
      </c>
      <c r="I588" t="str">
        <f>IF($A588="","",IF(Entry!$I591="",0,Entry!$I591))</f>
        <v/>
      </c>
      <c r="J588" t="str">
        <f t="shared" si="65"/>
        <v/>
      </c>
      <c r="K588" t="str">
        <f>IF($A588="","",Entry!$D591)</f>
        <v/>
      </c>
      <c r="L588" t="str">
        <f>IF($A588="","",Entry!$L591)</f>
        <v/>
      </c>
      <c r="N588" t="str">
        <f>IF(OR(Sync!$M588="",$Q588="",$Q588="نامعتبر"),"",Sync!$M588)</f>
        <v/>
      </c>
      <c r="O588" t="str">
        <f t="shared" si="66"/>
        <v/>
      </c>
      <c r="P588" t="str">
        <f>IF($N588="","",LEFT($Q588,4)&amp;MID($Q588,6,2)&amp;RIGHT($Q588,2)&amp;IF(Sync!$K588="","0000",IF(AND(ISNUMBER(Sync!$K588),Sync!$K588&gt;=0,Sync!$K588&lt;1),RIGHT("00"&amp;HOUR(Sync!$K588),2)&amp;RIGHT("00"&amp;MINUTE(Sync!$K588),2),IFERROR(RIGHT("00"&amp;VALUE(LEFT(Sync!$K588,FIND(":",Sync!$K588)-1)),2)&amp;RIGHT("00"&amp;VALUE(MID(Sync!$K588,FIND(":",Sync!$K588)+1,2)),2),"0000")))&amp;"|"&amp;"2"&amp;RIGHT("00000"&amp;583,5))</f>
        <v/>
      </c>
      <c r="Q588" t="str">
        <f>IF(Sync!$J588="","",IF(ISNUMBER(Sync!$J588),IF(AND(Sync!$J588&gt;=10000101,Sync!$J588&lt;=99991231),INT(Sync!$J588/10000)&amp;"/"&amp;RIGHT("00"&amp;INT(MOD(Sync!$J588,10000)/100),2)&amp;"/"&amp;RIGHT("00"&amp;MOD(Sync!$J588,100),2),"نامعتبر"),IF(LEN(Sync!$J588)=10,Sync!$J588,"نامعتبر")))</f>
        <v/>
      </c>
      <c r="R588" t="str">
        <f t="shared" si="67"/>
        <v/>
      </c>
      <c r="S588" t="str">
        <f t="shared" si="68"/>
        <v/>
      </c>
      <c r="T588" t="str">
        <f>IF($N588="","",IF(Sync!$N588="",0,Sync!$N588))</f>
        <v/>
      </c>
      <c r="U588" t="str">
        <f>IF($N588="","",IF(Sync!$O588="",0,Sync!$O588))</f>
        <v/>
      </c>
      <c r="V588" t="str">
        <f>IF($N588="","",Sync!$L588)</f>
        <v/>
      </c>
      <c r="W588" t="str">
        <f>IF($N588="","",Sync!$P588)</f>
        <v/>
      </c>
      <c r="AA588" t="str">
        <f>IF($A588="","",IF(COUNTIF($A$6:$A588,$A588)=1,1,0))</f>
        <v/>
      </c>
      <c r="AB588">
        <f>SUM($AA$6:$AA588)</f>
        <v>3</v>
      </c>
      <c r="AC588" t="str">
        <f t="shared" si="69"/>
        <v/>
      </c>
    </row>
    <row r="589" spans="1:29" x14ac:dyDescent="0.2">
      <c r="A589" t="str">
        <f>IF(OR(Entry!$B592="",Entry!$E592="",$E589="نامعتبر"),"",Entry!$E592)</f>
        <v/>
      </c>
      <c r="B589" t="str">
        <f>IF($A589="","",LEFT($E589,4)&amp;MID($E589,6,2)&amp;RIGHT($E589,2)&amp;$F589&amp;"|"&amp;"1"&amp;RIGHT("00000"&amp;584,5))</f>
        <v/>
      </c>
      <c r="C589" t="str">
        <f t="shared" si="63"/>
        <v/>
      </c>
      <c r="D589" t="str">
        <f t="shared" si="64"/>
        <v/>
      </c>
      <c r="E589" t="str">
        <f>IF(Entry!$B592="","",IF(ISNUMBER(Entry!$B592),IF(AND(Entry!$B592&gt;=10000101,Entry!$B592&lt;=99991231),INT(Entry!$B592/10000)&amp;"/"&amp;RIGHT("00"&amp;INT(MOD(Entry!$B592,10000)/100),2)&amp;"/"&amp;RIGHT("00"&amp;MOD(Entry!$B592,100),2),"نامعتبر"),IF(LEN(Entry!$B592)=10,Entry!$B592,"نامعتبر")))</f>
        <v/>
      </c>
      <c r="F589" t="str">
        <f>IF(Entry!$B592="","",IF(Entry!$C592="","0000",IF(AND(ISNUMBER(Entry!$C592),Entry!$C592&gt;=0,Entry!$C592&lt;1),RIGHT("00"&amp;HOUR(Entry!$C592),2)&amp;RIGHT("00"&amp;MINUTE(Entry!$C592),2),IFERROR(RIGHT("00"&amp;VALUE(LEFT(Entry!$C592,FIND(":",Entry!$C592)-1)),2)&amp;RIGHT("00"&amp;VALUE(MID(Entry!$C592,FIND(":",Entry!$C592)+1,2)),2),"0000"))))</f>
        <v/>
      </c>
      <c r="G589" t="str">
        <f>IF($A589="","",Entry!$G592)</f>
        <v/>
      </c>
      <c r="H589" t="str">
        <f>IF($A589="","",IF(Entry!$H592="",0,Entry!$H592))</f>
        <v/>
      </c>
      <c r="I589" t="str">
        <f>IF($A589="","",IF(Entry!$I592="",0,Entry!$I592))</f>
        <v/>
      </c>
      <c r="J589" t="str">
        <f t="shared" si="65"/>
        <v/>
      </c>
      <c r="K589" t="str">
        <f>IF($A589="","",Entry!$D592)</f>
        <v/>
      </c>
      <c r="L589" t="str">
        <f>IF($A589="","",Entry!$L592)</f>
        <v/>
      </c>
      <c r="N589" t="str">
        <f>IF(OR(Sync!$M589="",$Q589="",$Q589="نامعتبر"),"",Sync!$M589)</f>
        <v/>
      </c>
      <c r="O589" t="str">
        <f t="shared" si="66"/>
        <v/>
      </c>
      <c r="P589" t="str">
        <f>IF($N589="","",LEFT($Q589,4)&amp;MID($Q589,6,2)&amp;RIGHT($Q589,2)&amp;IF(Sync!$K589="","0000",IF(AND(ISNUMBER(Sync!$K589),Sync!$K589&gt;=0,Sync!$K589&lt;1),RIGHT("00"&amp;HOUR(Sync!$K589),2)&amp;RIGHT("00"&amp;MINUTE(Sync!$K589),2),IFERROR(RIGHT("00"&amp;VALUE(LEFT(Sync!$K589,FIND(":",Sync!$K589)-1)),2)&amp;RIGHT("00"&amp;VALUE(MID(Sync!$K589,FIND(":",Sync!$K589)+1,2)),2),"0000")))&amp;"|"&amp;"2"&amp;RIGHT("00000"&amp;584,5))</f>
        <v/>
      </c>
      <c r="Q589" t="str">
        <f>IF(Sync!$J589="","",IF(ISNUMBER(Sync!$J589),IF(AND(Sync!$J589&gt;=10000101,Sync!$J589&lt;=99991231),INT(Sync!$J589/10000)&amp;"/"&amp;RIGHT("00"&amp;INT(MOD(Sync!$J589,10000)/100),2)&amp;"/"&amp;RIGHT("00"&amp;MOD(Sync!$J589,100),2),"نامعتبر"),IF(LEN(Sync!$J589)=10,Sync!$J589,"نامعتبر")))</f>
        <v/>
      </c>
      <c r="R589" t="str">
        <f t="shared" si="67"/>
        <v/>
      </c>
      <c r="S589" t="str">
        <f t="shared" si="68"/>
        <v/>
      </c>
      <c r="T589" t="str">
        <f>IF($N589="","",IF(Sync!$N589="",0,Sync!$N589))</f>
        <v/>
      </c>
      <c r="U589" t="str">
        <f>IF($N589="","",IF(Sync!$O589="",0,Sync!$O589))</f>
        <v/>
      </c>
      <c r="V589" t="str">
        <f>IF($N589="","",Sync!$L589)</f>
        <v/>
      </c>
      <c r="W589" t="str">
        <f>IF($N589="","",Sync!$P589)</f>
        <v/>
      </c>
      <c r="AA589" t="str">
        <f>IF($A589="","",IF(COUNTIF($A$6:$A589,$A589)=1,1,0))</f>
        <v/>
      </c>
      <c r="AB589">
        <f>SUM($AA$6:$AA589)</f>
        <v>3</v>
      </c>
      <c r="AC589" t="str">
        <f t="shared" si="69"/>
        <v/>
      </c>
    </row>
    <row r="590" spans="1:29" x14ac:dyDescent="0.2">
      <c r="A590" t="str">
        <f>IF(OR(Entry!$B593="",Entry!$E593="",$E590="نامعتبر"),"",Entry!$E593)</f>
        <v/>
      </c>
      <c r="B590" t="str">
        <f>IF($A590="","",LEFT($E590,4)&amp;MID($E590,6,2)&amp;RIGHT($E590,2)&amp;$F590&amp;"|"&amp;"1"&amp;RIGHT("00000"&amp;585,5))</f>
        <v/>
      </c>
      <c r="C590" t="str">
        <f t="shared" si="63"/>
        <v/>
      </c>
      <c r="D590" t="str">
        <f t="shared" si="64"/>
        <v/>
      </c>
      <c r="E590" t="str">
        <f>IF(Entry!$B593="","",IF(ISNUMBER(Entry!$B593),IF(AND(Entry!$B593&gt;=10000101,Entry!$B593&lt;=99991231),INT(Entry!$B593/10000)&amp;"/"&amp;RIGHT("00"&amp;INT(MOD(Entry!$B593,10000)/100),2)&amp;"/"&amp;RIGHT("00"&amp;MOD(Entry!$B593,100),2),"نامعتبر"),IF(LEN(Entry!$B593)=10,Entry!$B593,"نامعتبر")))</f>
        <v/>
      </c>
      <c r="F590" t="str">
        <f>IF(Entry!$B593="","",IF(Entry!$C593="","0000",IF(AND(ISNUMBER(Entry!$C593),Entry!$C593&gt;=0,Entry!$C593&lt;1),RIGHT("00"&amp;HOUR(Entry!$C593),2)&amp;RIGHT("00"&amp;MINUTE(Entry!$C593),2),IFERROR(RIGHT("00"&amp;VALUE(LEFT(Entry!$C593,FIND(":",Entry!$C593)-1)),2)&amp;RIGHT("00"&amp;VALUE(MID(Entry!$C593,FIND(":",Entry!$C593)+1,2)),2),"0000"))))</f>
        <v/>
      </c>
      <c r="G590" t="str">
        <f>IF($A590="","",Entry!$G593)</f>
        <v/>
      </c>
      <c r="H590" t="str">
        <f>IF($A590="","",IF(Entry!$H593="",0,Entry!$H593))</f>
        <v/>
      </c>
      <c r="I590" t="str">
        <f>IF($A590="","",IF(Entry!$I593="",0,Entry!$I593))</f>
        <v/>
      </c>
      <c r="J590" t="str">
        <f t="shared" si="65"/>
        <v/>
      </c>
      <c r="K590" t="str">
        <f>IF($A590="","",Entry!$D593)</f>
        <v/>
      </c>
      <c r="L590" t="str">
        <f>IF($A590="","",Entry!$L593)</f>
        <v/>
      </c>
      <c r="N590" t="str">
        <f>IF(OR(Sync!$M590="",$Q590="",$Q590="نامعتبر"),"",Sync!$M590)</f>
        <v/>
      </c>
      <c r="O590" t="str">
        <f t="shared" si="66"/>
        <v/>
      </c>
      <c r="P590" t="str">
        <f>IF($N590="","",LEFT($Q590,4)&amp;MID($Q590,6,2)&amp;RIGHT($Q590,2)&amp;IF(Sync!$K590="","0000",IF(AND(ISNUMBER(Sync!$K590),Sync!$K590&gt;=0,Sync!$K590&lt;1),RIGHT("00"&amp;HOUR(Sync!$K590),2)&amp;RIGHT("00"&amp;MINUTE(Sync!$K590),2),IFERROR(RIGHT("00"&amp;VALUE(LEFT(Sync!$K590,FIND(":",Sync!$K590)-1)),2)&amp;RIGHT("00"&amp;VALUE(MID(Sync!$K590,FIND(":",Sync!$K590)+1,2)),2),"0000")))&amp;"|"&amp;"2"&amp;RIGHT("00000"&amp;585,5))</f>
        <v/>
      </c>
      <c r="Q590" t="str">
        <f>IF(Sync!$J590="","",IF(ISNUMBER(Sync!$J590),IF(AND(Sync!$J590&gt;=10000101,Sync!$J590&lt;=99991231),INT(Sync!$J590/10000)&amp;"/"&amp;RIGHT("00"&amp;INT(MOD(Sync!$J590,10000)/100),2)&amp;"/"&amp;RIGHT("00"&amp;MOD(Sync!$J590,100),2),"نامعتبر"),IF(LEN(Sync!$J590)=10,Sync!$J590,"نامعتبر")))</f>
        <v/>
      </c>
      <c r="R590" t="str">
        <f t="shared" si="67"/>
        <v/>
      </c>
      <c r="S590" t="str">
        <f t="shared" si="68"/>
        <v/>
      </c>
      <c r="T590" t="str">
        <f>IF($N590="","",IF(Sync!$N590="",0,Sync!$N590))</f>
        <v/>
      </c>
      <c r="U590" t="str">
        <f>IF($N590="","",IF(Sync!$O590="",0,Sync!$O590))</f>
        <v/>
      </c>
      <c r="V590" t="str">
        <f>IF($N590="","",Sync!$L590)</f>
        <v/>
      </c>
      <c r="W590" t="str">
        <f>IF($N590="","",Sync!$P590)</f>
        <v/>
      </c>
      <c r="AA590" t="str">
        <f>IF($A590="","",IF(COUNTIF($A$6:$A590,$A590)=1,1,0))</f>
        <v/>
      </c>
      <c r="AB590">
        <f>SUM($AA$6:$AA590)</f>
        <v>3</v>
      </c>
      <c r="AC590" t="str">
        <f t="shared" si="69"/>
        <v/>
      </c>
    </row>
    <row r="591" spans="1:29" x14ac:dyDescent="0.2">
      <c r="A591" t="str">
        <f>IF(OR(Entry!$B594="",Entry!$E594="",$E591="نامعتبر"),"",Entry!$E594)</f>
        <v/>
      </c>
      <c r="B591" t="str">
        <f>IF($A591="","",LEFT($E591,4)&amp;MID($E591,6,2)&amp;RIGHT($E591,2)&amp;$F591&amp;"|"&amp;"1"&amp;RIGHT("00000"&amp;586,5))</f>
        <v/>
      </c>
      <c r="C591" t="str">
        <f t="shared" si="63"/>
        <v/>
      </c>
      <c r="D591" t="str">
        <f t="shared" si="64"/>
        <v/>
      </c>
      <c r="E591" t="str">
        <f>IF(Entry!$B594="","",IF(ISNUMBER(Entry!$B594),IF(AND(Entry!$B594&gt;=10000101,Entry!$B594&lt;=99991231),INT(Entry!$B594/10000)&amp;"/"&amp;RIGHT("00"&amp;INT(MOD(Entry!$B594,10000)/100),2)&amp;"/"&amp;RIGHT("00"&amp;MOD(Entry!$B594,100),2),"نامعتبر"),IF(LEN(Entry!$B594)=10,Entry!$B594,"نامعتبر")))</f>
        <v/>
      </c>
      <c r="F591" t="str">
        <f>IF(Entry!$B594="","",IF(Entry!$C594="","0000",IF(AND(ISNUMBER(Entry!$C594),Entry!$C594&gt;=0,Entry!$C594&lt;1),RIGHT("00"&amp;HOUR(Entry!$C594),2)&amp;RIGHT("00"&amp;MINUTE(Entry!$C594),2),IFERROR(RIGHT("00"&amp;VALUE(LEFT(Entry!$C594,FIND(":",Entry!$C594)-1)),2)&amp;RIGHT("00"&amp;VALUE(MID(Entry!$C594,FIND(":",Entry!$C594)+1,2)),2),"0000"))))</f>
        <v/>
      </c>
      <c r="G591" t="str">
        <f>IF($A591="","",Entry!$G594)</f>
        <v/>
      </c>
      <c r="H591" t="str">
        <f>IF($A591="","",IF(Entry!$H594="",0,Entry!$H594))</f>
        <v/>
      </c>
      <c r="I591" t="str">
        <f>IF($A591="","",IF(Entry!$I594="",0,Entry!$I594))</f>
        <v/>
      </c>
      <c r="J591" t="str">
        <f t="shared" si="65"/>
        <v/>
      </c>
      <c r="K591" t="str">
        <f>IF($A591="","",Entry!$D594)</f>
        <v/>
      </c>
      <c r="L591" t="str">
        <f>IF($A591="","",Entry!$L594)</f>
        <v/>
      </c>
      <c r="N591" t="str">
        <f>IF(OR(Sync!$M591="",$Q591="",$Q591="نامعتبر"),"",Sync!$M591)</f>
        <v/>
      </c>
      <c r="O591" t="str">
        <f t="shared" si="66"/>
        <v/>
      </c>
      <c r="P591" t="str">
        <f>IF($N591="","",LEFT($Q591,4)&amp;MID($Q591,6,2)&amp;RIGHT($Q591,2)&amp;IF(Sync!$K591="","0000",IF(AND(ISNUMBER(Sync!$K591),Sync!$K591&gt;=0,Sync!$K591&lt;1),RIGHT("00"&amp;HOUR(Sync!$K591),2)&amp;RIGHT("00"&amp;MINUTE(Sync!$K591),2),IFERROR(RIGHT("00"&amp;VALUE(LEFT(Sync!$K591,FIND(":",Sync!$K591)-1)),2)&amp;RIGHT("00"&amp;VALUE(MID(Sync!$K591,FIND(":",Sync!$K591)+1,2)),2),"0000")))&amp;"|"&amp;"2"&amp;RIGHT("00000"&amp;586,5))</f>
        <v/>
      </c>
      <c r="Q591" t="str">
        <f>IF(Sync!$J591="","",IF(ISNUMBER(Sync!$J591),IF(AND(Sync!$J591&gt;=10000101,Sync!$J591&lt;=99991231),INT(Sync!$J591/10000)&amp;"/"&amp;RIGHT("00"&amp;INT(MOD(Sync!$J591,10000)/100),2)&amp;"/"&amp;RIGHT("00"&amp;MOD(Sync!$J591,100),2),"نامعتبر"),IF(LEN(Sync!$J591)=10,Sync!$J591,"نامعتبر")))</f>
        <v/>
      </c>
      <c r="R591" t="str">
        <f t="shared" si="67"/>
        <v/>
      </c>
      <c r="S591" t="str">
        <f t="shared" si="68"/>
        <v/>
      </c>
      <c r="T591" t="str">
        <f>IF($N591="","",IF(Sync!$N591="",0,Sync!$N591))</f>
        <v/>
      </c>
      <c r="U591" t="str">
        <f>IF($N591="","",IF(Sync!$O591="",0,Sync!$O591))</f>
        <v/>
      </c>
      <c r="V591" t="str">
        <f>IF($N591="","",Sync!$L591)</f>
        <v/>
      </c>
      <c r="W591" t="str">
        <f>IF($N591="","",Sync!$P591)</f>
        <v/>
      </c>
      <c r="AA591" t="str">
        <f>IF($A591="","",IF(COUNTIF($A$6:$A591,$A591)=1,1,0))</f>
        <v/>
      </c>
      <c r="AB591">
        <f>SUM($AA$6:$AA591)</f>
        <v>3</v>
      </c>
      <c r="AC591" t="str">
        <f t="shared" si="69"/>
        <v/>
      </c>
    </row>
    <row r="592" spans="1:29" x14ac:dyDescent="0.2">
      <c r="A592" t="str">
        <f>IF(OR(Entry!$B595="",Entry!$E595="",$E592="نامعتبر"),"",Entry!$E595)</f>
        <v/>
      </c>
      <c r="B592" t="str">
        <f>IF($A592="","",LEFT($E592,4)&amp;MID($E592,6,2)&amp;RIGHT($E592,2)&amp;$F592&amp;"|"&amp;"1"&amp;RIGHT("00000"&amp;587,5))</f>
        <v/>
      </c>
      <c r="C592" t="str">
        <f t="shared" si="63"/>
        <v/>
      </c>
      <c r="D592" t="str">
        <f t="shared" si="64"/>
        <v/>
      </c>
      <c r="E592" t="str">
        <f>IF(Entry!$B595="","",IF(ISNUMBER(Entry!$B595),IF(AND(Entry!$B595&gt;=10000101,Entry!$B595&lt;=99991231),INT(Entry!$B595/10000)&amp;"/"&amp;RIGHT("00"&amp;INT(MOD(Entry!$B595,10000)/100),2)&amp;"/"&amp;RIGHT("00"&amp;MOD(Entry!$B595,100),2),"نامعتبر"),IF(LEN(Entry!$B595)=10,Entry!$B595,"نامعتبر")))</f>
        <v/>
      </c>
      <c r="F592" t="str">
        <f>IF(Entry!$B595="","",IF(Entry!$C595="","0000",IF(AND(ISNUMBER(Entry!$C595),Entry!$C595&gt;=0,Entry!$C595&lt;1),RIGHT("00"&amp;HOUR(Entry!$C595),2)&amp;RIGHT("00"&amp;MINUTE(Entry!$C595),2),IFERROR(RIGHT("00"&amp;VALUE(LEFT(Entry!$C595,FIND(":",Entry!$C595)-1)),2)&amp;RIGHT("00"&amp;VALUE(MID(Entry!$C595,FIND(":",Entry!$C595)+1,2)),2),"0000"))))</f>
        <v/>
      </c>
      <c r="G592" t="str">
        <f>IF($A592="","",Entry!$G595)</f>
        <v/>
      </c>
      <c r="H592" t="str">
        <f>IF($A592="","",IF(Entry!$H595="",0,Entry!$H595))</f>
        <v/>
      </c>
      <c r="I592" t="str">
        <f>IF($A592="","",IF(Entry!$I595="",0,Entry!$I595))</f>
        <v/>
      </c>
      <c r="J592" t="str">
        <f t="shared" si="65"/>
        <v/>
      </c>
      <c r="K592" t="str">
        <f>IF($A592="","",Entry!$D595)</f>
        <v/>
      </c>
      <c r="L592" t="str">
        <f>IF($A592="","",Entry!$L595)</f>
        <v/>
      </c>
      <c r="N592" t="str">
        <f>IF(OR(Sync!$M592="",$Q592="",$Q592="نامعتبر"),"",Sync!$M592)</f>
        <v/>
      </c>
      <c r="O592" t="str">
        <f t="shared" si="66"/>
        <v/>
      </c>
      <c r="P592" t="str">
        <f>IF($N592="","",LEFT($Q592,4)&amp;MID($Q592,6,2)&amp;RIGHT($Q592,2)&amp;IF(Sync!$K592="","0000",IF(AND(ISNUMBER(Sync!$K592),Sync!$K592&gt;=0,Sync!$K592&lt;1),RIGHT("00"&amp;HOUR(Sync!$K592),2)&amp;RIGHT("00"&amp;MINUTE(Sync!$K592),2),IFERROR(RIGHT("00"&amp;VALUE(LEFT(Sync!$K592,FIND(":",Sync!$K592)-1)),2)&amp;RIGHT("00"&amp;VALUE(MID(Sync!$K592,FIND(":",Sync!$K592)+1,2)),2),"0000")))&amp;"|"&amp;"2"&amp;RIGHT("00000"&amp;587,5))</f>
        <v/>
      </c>
      <c r="Q592" t="str">
        <f>IF(Sync!$J592="","",IF(ISNUMBER(Sync!$J592),IF(AND(Sync!$J592&gt;=10000101,Sync!$J592&lt;=99991231),INT(Sync!$J592/10000)&amp;"/"&amp;RIGHT("00"&amp;INT(MOD(Sync!$J592,10000)/100),2)&amp;"/"&amp;RIGHT("00"&amp;MOD(Sync!$J592,100),2),"نامعتبر"),IF(LEN(Sync!$J592)=10,Sync!$J592,"نامعتبر")))</f>
        <v/>
      </c>
      <c r="R592" t="str">
        <f t="shared" si="67"/>
        <v/>
      </c>
      <c r="S592" t="str">
        <f t="shared" si="68"/>
        <v/>
      </c>
      <c r="T592" t="str">
        <f>IF($N592="","",IF(Sync!$N592="",0,Sync!$N592))</f>
        <v/>
      </c>
      <c r="U592" t="str">
        <f>IF($N592="","",IF(Sync!$O592="",0,Sync!$O592))</f>
        <v/>
      </c>
      <c r="V592" t="str">
        <f>IF($N592="","",Sync!$L592)</f>
        <v/>
      </c>
      <c r="W592" t="str">
        <f>IF($N592="","",Sync!$P592)</f>
        <v/>
      </c>
      <c r="AA592" t="str">
        <f>IF($A592="","",IF(COUNTIF($A$6:$A592,$A592)=1,1,0))</f>
        <v/>
      </c>
      <c r="AB592">
        <f>SUM($AA$6:$AA592)</f>
        <v>3</v>
      </c>
      <c r="AC592" t="str">
        <f t="shared" si="69"/>
        <v/>
      </c>
    </row>
    <row r="593" spans="1:29" x14ac:dyDescent="0.2">
      <c r="A593" t="str">
        <f>IF(OR(Entry!$B596="",Entry!$E596="",$E593="نامعتبر"),"",Entry!$E596)</f>
        <v/>
      </c>
      <c r="B593" t="str">
        <f>IF($A593="","",LEFT($E593,4)&amp;MID($E593,6,2)&amp;RIGHT($E593,2)&amp;$F593&amp;"|"&amp;"1"&amp;RIGHT("00000"&amp;588,5))</f>
        <v/>
      </c>
      <c r="C593" t="str">
        <f t="shared" si="63"/>
        <v/>
      </c>
      <c r="D593" t="str">
        <f t="shared" si="64"/>
        <v/>
      </c>
      <c r="E593" t="str">
        <f>IF(Entry!$B596="","",IF(ISNUMBER(Entry!$B596),IF(AND(Entry!$B596&gt;=10000101,Entry!$B596&lt;=99991231),INT(Entry!$B596/10000)&amp;"/"&amp;RIGHT("00"&amp;INT(MOD(Entry!$B596,10000)/100),2)&amp;"/"&amp;RIGHT("00"&amp;MOD(Entry!$B596,100),2),"نامعتبر"),IF(LEN(Entry!$B596)=10,Entry!$B596,"نامعتبر")))</f>
        <v/>
      </c>
      <c r="F593" t="str">
        <f>IF(Entry!$B596="","",IF(Entry!$C596="","0000",IF(AND(ISNUMBER(Entry!$C596),Entry!$C596&gt;=0,Entry!$C596&lt;1),RIGHT("00"&amp;HOUR(Entry!$C596),2)&amp;RIGHT("00"&amp;MINUTE(Entry!$C596),2),IFERROR(RIGHT("00"&amp;VALUE(LEFT(Entry!$C596,FIND(":",Entry!$C596)-1)),2)&amp;RIGHT("00"&amp;VALUE(MID(Entry!$C596,FIND(":",Entry!$C596)+1,2)),2),"0000"))))</f>
        <v/>
      </c>
      <c r="G593" t="str">
        <f>IF($A593="","",Entry!$G596)</f>
        <v/>
      </c>
      <c r="H593" t="str">
        <f>IF($A593="","",IF(Entry!$H596="",0,Entry!$H596))</f>
        <v/>
      </c>
      <c r="I593" t="str">
        <f>IF($A593="","",IF(Entry!$I596="",0,Entry!$I596))</f>
        <v/>
      </c>
      <c r="J593" t="str">
        <f t="shared" si="65"/>
        <v/>
      </c>
      <c r="K593" t="str">
        <f>IF($A593="","",Entry!$D596)</f>
        <v/>
      </c>
      <c r="L593" t="str">
        <f>IF($A593="","",Entry!$L596)</f>
        <v/>
      </c>
      <c r="N593" t="str">
        <f>IF(OR(Sync!$M593="",$Q593="",$Q593="نامعتبر"),"",Sync!$M593)</f>
        <v/>
      </c>
      <c r="O593" t="str">
        <f t="shared" si="66"/>
        <v/>
      </c>
      <c r="P593" t="str">
        <f>IF($N593="","",LEFT($Q593,4)&amp;MID($Q593,6,2)&amp;RIGHT($Q593,2)&amp;IF(Sync!$K593="","0000",IF(AND(ISNUMBER(Sync!$K593),Sync!$K593&gt;=0,Sync!$K593&lt;1),RIGHT("00"&amp;HOUR(Sync!$K593),2)&amp;RIGHT("00"&amp;MINUTE(Sync!$K593),2),IFERROR(RIGHT("00"&amp;VALUE(LEFT(Sync!$K593,FIND(":",Sync!$K593)-1)),2)&amp;RIGHT("00"&amp;VALUE(MID(Sync!$K593,FIND(":",Sync!$K593)+1,2)),2),"0000")))&amp;"|"&amp;"2"&amp;RIGHT("00000"&amp;588,5))</f>
        <v/>
      </c>
      <c r="Q593" t="str">
        <f>IF(Sync!$J593="","",IF(ISNUMBER(Sync!$J593),IF(AND(Sync!$J593&gt;=10000101,Sync!$J593&lt;=99991231),INT(Sync!$J593/10000)&amp;"/"&amp;RIGHT("00"&amp;INT(MOD(Sync!$J593,10000)/100),2)&amp;"/"&amp;RIGHT("00"&amp;MOD(Sync!$J593,100),2),"نامعتبر"),IF(LEN(Sync!$J593)=10,Sync!$J593,"نامعتبر")))</f>
        <v/>
      </c>
      <c r="R593" t="str">
        <f t="shared" si="67"/>
        <v/>
      </c>
      <c r="S593" t="str">
        <f t="shared" si="68"/>
        <v/>
      </c>
      <c r="T593" t="str">
        <f>IF($N593="","",IF(Sync!$N593="",0,Sync!$N593))</f>
        <v/>
      </c>
      <c r="U593" t="str">
        <f>IF($N593="","",IF(Sync!$O593="",0,Sync!$O593))</f>
        <v/>
      </c>
      <c r="V593" t="str">
        <f>IF($N593="","",Sync!$L593)</f>
        <v/>
      </c>
      <c r="W593" t="str">
        <f>IF($N593="","",Sync!$P593)</f>
        <v/>
      </c>
      <c r="AA593" t="str">
        <f>IF($A593="","",IF(COUNTIF($A$6:$A593,$A593)=1,1,0))</f>
        <v/>
      </c>
      <c r="AB593">
        <f>SUM($AA$6:$AA593)</f>
        <v>3</v>
      </c>
      <c r="AC593" t="str">
        <f t="shared" si="69"/>
        <v/>
      </c>
    </row>
    <row r="594" spans="1:29" x14ac:dyDescent="0.2">
      <c r="A594" t="str">
        <f>IF(OR(Entry!$B597="",Entry!$E597="",$E594="نامعتبر"),"",Entry!$E597)</f>
        <v/>
      </c>
      <c r="B594" t="str">
        <f>IF($A594="","",LEFT($E594,4)&amp;MID($E594,6,2)&amp;RIGHT($E594,2)&amp;$F594&amp;"|"&amp;"1"&amp;RIGHT("00000"&amp;589,5))</f>
        <v/>
      </c>
      <c r="C594" t="str">
        <f t="shared" si="63"/>
        <v/>
      </c>
      <c r="D594" t="str">
        <f t="shared" si="64"/>
        <v/>
      </c>
      <c r="E594" t="str">
        <f>IF(Entry!$B597="","",IF(ISNUMBER(Entry!$B597),IF(AND(Entry!$B597&gt;=10000101,Entry!$B597&lt;=99991231),INT(Entry!$B597/10000)&amp;"/"&amp;RIGHT("00"&amp;INT(MOD(Entry!$B597,10000)/100),2)&amp;"/"&amp;RIGHT("00"&amp;MOD(Entry!$B597,100),2),"نامعتبر"),IF(LEN(Entry!$B597)=10,Entry!$B597,"نامعتبر")))</f>
        <v/>
      </c>
      <c r="F594" t="str">
        <f>IF(Entry!$B597="","",IF(Entry!$C597="","0000",IF(AND(ISNUMBER(Entry!$C597),Entry!$C597&gt;=0,Entry!$C597&lt;1),RIGHT("00"&amp;HOUR(Entry!$C597),2)&amp;RIGHT("00"&amp;MINUTE(Entry!$C597),2),IFERROR(RIGHT("00"&amp;VALUE(LEFT(Entry!$C597,FIND(":",Entry!$C597)-1)),2)&amp;RIGHT("00"&amp;VALUE(MID(Entry!$C597,FIND(":",Entry!$C597)+1,2)),2),"0000"))))</f>
        <v/>
      </c>
      <c r="G594" t="str">
        <f>IF($A594="","",Entry!$G597)</f>
        <v/>
      </c>
      <c r="H594" t="str">
        <f>IF($A594="","",IF(Entry!$H597="",0,Entry!$H597))</f>
        <v/>
      </c>
      <c r="I594" t="str">
        <f>IF($A594="","",IF(Entry!$I597="",0,Entry!$I597))</f>
        <v/>
      </c>
      <c r="J594" t="str">
        <f t="shared" si="65"/>
        <v/>
      </c>
      <c r="K594" t="str">
        <f>IF($A594="","",Entry!$D597)</f>
        <v/>
      </c>
      <c r="L594" t="str">
        <f>IF($A594="","",Entry!$L597)</f>
        <v/>
      </c>
      <c r="N594" t="str">
        <f>IF(OR(Sync!$M594="",$Q594="",$Q594="نامعتبر"),"",Sync!$M594)</f>
        <v/>
      </c>
      <c r="O594" t="str">
        <f t="shared" si="66"/>
        <v/>
      </c>
      <c r="P594" t="str">
        <f>IF($N594="","",LEFT($Q594,4)&amp;MID($Q594,6,2)&amp;RIGHT($Q594,2)&amp;IF(Sync!$K594="","0000",IF(AND(ISNUMBER(Sync!$K594),Sync!$K594&gt;=0,Sync!$K594&lt;1),RIGHT("00"&amp;HOUR(Sync!$K594),2)&amp;RIGHT("00"&amp;MINUTE(Sync!$K594),2),IFERROR(RIGHT("00"&amp;VALUE(LEFT(Sync!$K594,FIND(":",Sync!$K594)-1)),2)&amp;RIGHT("00"&amp;VALUE(MID(Sync!$K594,FIND(":",Sync!$K594)+1,2)),2),"0000")))&amp;"|"&amp;"2"&amp;RIGHT("00000"&amp;589,5))</f>
        <v/>
      </c>
      <c r="Q594" t="str">
        <f>IF(Sync!$J594="","",IF(ISNUMBER(Sync!$J594),IF(AND(Sync!$J594&gt;=10000101,Sync!$J594&lt;=99991231),INT(Sync!$J594/10000)&amp;"/"&amp;RIGHT("00"&amp;INT(MOD(Sync!$J594,10000)/100),2)&amp;"/"&amp;RIGHT("00"&amp;MOD(Sync!$J594,100),2),"نامعتبر"),IF(LEN(Sync!$J594)=10,Sync!$J594,"نامعتبر")))</f>
        <v/>
      </c>
      <c r="R594" t="str">
        <f t="shared" si="67"/>
        <v/>
      </c>
      <c r="S594" t="str">
        <f t="shared" si="68"/>
        <v/>
      </c>
      <c r="T594" t="str">
        <f>IF($N594="","",IF(Sync!$N594="",0,Sync!$N594))</f>
        <v/>
      </c>
      <c r="U594" t="str">
        <f>IF($N594="","",IF(Sync!$O594="",0,Sync!$O594))</f>
        <v/>
      </c>
      <c r="V594" t="str">
        <f>IF($N594="","",Sync!$L594)</f>
        <v/>
      </c>
      <c r="W594" t="str">
        <f>IF($N594="","",Sync!$P594)</f>
        <v/>
      </c>
      <c r="AA594" t="str">
        <f>IF($A594="","",IF(COUNTIF($A$6:$A594,$A594)=1,1,0))</f>
        <v/>
      </c>
      <c r="AB594">
        <f>SUM($AA$6:$AA594)</f>
        <v>3</v>
      </c>
      <c r="AC594" t="str">
        <f t="shared" si="69"/>
        <v/>
      </c>
    </row>
    <row r="595" spans="1:29" x14ac:dyDescent="0.2">
      <c r="A595" t="str">
        <f>IF(OR(Entry!$B598="",Entry!$E598="",$E595="نامعتبر"),"",Entry!$E598)</f>
        <v/>
      </c>
      <c r="B595" t="str">
        <f>IF($A595="","",LEFT($E595,4)&amp;MID($E595,6,2)&amp;RIGHT($E595,2)&amp;$F595&amp;"|"&amp;"1"&amp;RIGHT("00000"&amp;590,5))</f>
        <v/>
      </c>
      <c r="C595" t="str">
        <f t="shared" si="63"/>
        <v/>
      </c>
      <c r="D595" t="str">
        <f t="shared" si="64"/>
        <v/>
      </c>
      <c r="E595" t="str">
        <f>IF(Entry!$B598="","",IF(ISNUMBER(Entry!$B598),IF(AND(Entry!$B598&gt;=10000101,Entry!$B598&lt;=99991231),INT(Entry!$B598/10000)&amp;"/"&amp;RIGHT("00"&amp;INT(MOD(Entry!$B598,10000)/100),2)&amp;"/"&amp;RIGHT("00"&amp;MOD(Entry!$B598,100),2),"نامعتبر"),IF(LEN(Entry!$B598)=10,Entry!$B598,"نامعتبر")))</f>
        <v/>
      </c>
      <c r="F595" t="str">
        <f>IF(Entry!$B598="","",IF(Entry!$C598="","0000",IF(AND(ISNUMBER(Entry!$C598),Entry!$C598&gt;=0,Entry!$C598&lt;1),RIGHT("00"&amp;HOUR(Entry!$C598),2)&amp;RIGHT("00"&amp;MINUTE(Entry!$C598),2),IFERROR(RIGHT("00"&amp;VALUE(LEFT(Entry!$C598,FIND(":",Entry!$C598)-1)),2)&amp;RIGHT("00"&amp;VALUE(MID(Entry!$C598,FIND(":",Entry!$C598)+1,2)),2),"0000"))))</f>
        <v/>
      </c>
      <c r="G595" t="str">
        <f>IF($A595="","",Entry!$G598)</f>
        <v/>
      </c>
      <c r="H595" t="str">
        <f>IF($A595="","",IF(Entry!$H598="",0,Entry!$H598))</f>
        <v/>
      </c>
      <c r="I595" t="str">
        <f>IF($A595="","",IF(Entry!$I598="",0,Entry!$I598))</f>
        <v/>
      </c>
      <c r="J595" t="str">
        <f t="shared" si="65"/>
        <v/>
      </c>
      <c r="K595" t="str">
        <f>IF($A595="","",Entry!$D598)</f>
        <v/>
      </c>
      <c r="L595" t="str">
        <f>IF($A595="","",Entry!$L598)</f>
        <v/>
      </c>
      <c r="N595" t="str">
        <f>IF(OR(Sync!$M595="",$Q595="",$Q595="نامعتبر"),"",Sync!$M595)</f>
        <v/>
      </c>
      <c r="O595" t="str">
        <f t="shared" si="66"/>
        <v/>
      </c>
      <c r="P595" t="str">
        <f>IF($N595="","",LEFT($Q595,4)&amp;MID($Q595,6,2)&amp;RIGHT($Q595,2)&amp;IF(Sync!$K595="","0000",IF(AND(ISNUMBER(Sync!$K595),Sync!$K595&gt;=0,Sync!$K595&lt;1),RIGHT("00"&amp;HOUR(Sync!$K595),2)&amp;RIGHT("00"&amp;MINUTE(Sync!$K595),2),IFERROR(RIGHT("00"&amp;VALUE(LEFT(Sync!$K595,FIND(":",Sync!$K595)-1)),2)&amp;RIGHT("00"&amp;VALUE(MID(Sync!$K595,FIND(":",Sync!$K595)+1,2)),2),"0000")))&amp;"|"&amp;"2"&amp;RIGHT("00000"&amp;590,5))</f>
        <v/>
      </c>
      <c r="Q595" t="str">
        <f>IF(Sync!$J595="","",IF(ISNUMBER(Sync!$J595),IF(AND(Sync!$J595&gt;=10000101,Sync!$J595&lt;=99991231),INT(Sync!$J595/10000)&amp;"/"&amp;RIGHT("00"&amp;INT(MOD(Sync!$J595,10000)/100),2)&amp;"/"&amp;RIGHT("00"&amp;MOD(Sync!$J595,100),2),"نامعتبر"),IF(LEN(Sync!$J595)=10,Sync!$J595,"نامعتبر")))</f>
        <v/>
      </c>
      <c r="R595" t="str">
        <f t="shared" si="67"/>
        <v/>
      </c>
      <c r="S595" t="str">
        <f t="shared" si="68"/>
        <v/>
      </c>
      <c r="T595" t="str">
        <f>IF($N595="","",IF(Sync!$N595="",0,Sync!$N595))</f>
        <v/>
      </c>
      <c r="U595" t="str">
        <f>IF($N595="","",IF(Sync!$O595="",0,Sync!$O595))</f>
        <v/>
      </c>
      <c r="V595" t="str">
        <f>IF($N595="","",Sync!$L595)</f>
        <v/>
      </c>
      <c r="W595" t="str">
        <f>IF($N595="","",Sync!$P595)</f>
        <v/>
      </c>
      <c r="AA595" t="str">
        <f>IF($A595="","",IF(COUNTIF($A$6:$A595,$A595)=1,1,0))</f>
        <v/>
      </c>
      <c r="AB595">
        <f>SUM($AA$6:$AA595)</f>
        <v>3</v>
      </c>
      <c r="AC595" t="str">
        <f t="shared" si="69"/>
        <v/>
      </c>
    </row>
    <row r="596" spans="1:29" x14ac:dyDescent="0.2">
      <c r="A596" t="str">
        <f>IF(OR(Entry!$B599="",Entry!$E599="",$E596="نامعتبر"),"",Entry!$E599)</f>
        <v/>
      </c>
      <c r="B596" t="str">
        <f>IF($A596="","",LEFT($E596,4)&amp;MID($E596,6,2)&amp;RIGHT($E596,2)&amp;$F596&amp;"|"&amp;"1"&amp;RIGHT("00000"&amp;591,5))</f>
        <v/>
      </c>
      <c r="C596" t="str">
        <f t="shared" si="63"/>
        <v/>
      </c>
      <c r="D596" t="str">
        <f t="shared" si="64"/>
        <v/>
      </c>
      <c r="E596" t="str">
        <f>IF(Entry!$B599="","",IF(ISNUMBER(Entry!$B599),IF(AND(Entry!$B599&gt;=10000101,Entry!$B599&lt;=99991231),INT(Entry!$B599/10000)&amp;"/"&amp;RIGHT("00"&amp;INT(MOD(Entry!$B599,10000)/100),2)&amp;"/"&amp;RIGHT("00"&amp;MOD(Entry!$B599,100),2),"نامعتبر"),IF(LEN(Entry!$B599)=10,Entry!$B599,"نامعتبر")))</f>
        <v/>
      </c>
      <c r="F596" t="str">
        <f>IF(Entry!$B599="","",IF(Entry!$C599="","0000",IF(AND(ISNUMBER(Entry!$C599),Entry!$C599&gt;=0,Entry!$C599&lt;1),RIGHT("00"&amp;HOUR(Entry!$C599),2)&amp;RIGHT("00"&amp;MINUTE(Entry!$C599),2),IFERROR(RIGHT("00"&amp;VALUE(LEFT(Entry!$C599,FIND(":",Entry!$C599)-1)),2)&amp;RIGHT("00"&amp;VALUE(MID(Entry!$C599,FIND(":",Entry!$C599)+1,2)),2),"0000"))))</f>
        <v/>
      </c>
      <c r="G596" t="str">
        <f>IF($A596="","",Entry!$G599)</f>
        <v/>
      </c>
      <c r="H596" t="str">
        <f>IF($A596="","",IF(Entry!$H599="",0,Entry!$H599))</f>
        <v/>
      </c>
      <c r="I596" t="str">
        <f>IF($A596="","",IF(Entry!$I599="",0,Entry!$I599))</f>
        <v/>
      </c>
      <c r="J596" t="str">
        <f t="shared" si="65"/>
        <v/>
      </c>
      <c r="K596" t="str">
        <f>IF($A596="","",Entry!$D599)</f>
        <v/>
      </c>
      <c r="L596" t="str">
        <f>IF($A596="","",Entry!$L599)</f>
        <v/>
      </c>
      <c r="N596" t="str">
        <f>IF(OR(Sync!$M596="",$Q596="",$Q596="نامعتبر"),"",Sync!$M596)</f>
        <v/>
      </c>
      <c r="O596" t="str">
        <f t="shared" si="66"/>
        <v/>
      </c>
      <c r="P596" t="str">
        <f>IF($N596="","",LEFT($Q596,4)&amp;MID($Q596,6,2)&amp;RIGHT($Q596,2)&amp;IF(Sync!$K596="","0000",IF(AND(ISNUMBER(Sync!$K596),Sync!$K596&gt;=0,Sync!$K596&lt;1),RIGHT("00"&amp;HOUR(Sync!$K596),2)&amp;RIGHT("00"&amp;MINUTE(Sync!$K596),2),IFERROR(RIGHT("00"&amp;VALUE(LEFT(Sync!$K596,FIND(":",Sync!$K596)-1)),2)&amp;RIGHT("00"&amp;VALUE(MID(Sync!$K596,FIND(":",Sync!$K596)+1,2)),2),"0000")))&amp;"|"&amp;"2"&amp;RIGHT("00000"&amp;591,5))</f>
        <v/>
      </c>
      <c r="Q596" t="str">
        <f>IF(Sync!$J596="","",IF(ISNUMBER(Sync!$J596),IF(AND(Sync!$J596&gt;=10000101,Sync!$J596&lt;=99991231),INT(Sync!$J596/10000)&amp;"/"&amp;RIGHT("00"&amp;INT(MOD(Sync!$J596,10000)/100),2)&amp;"/"&amp;RIGHT("00"&amp;MOD(Sync!$J596,100),2),"نامعتبر"),IF(LEN(Sync!$J596)=10,Sync!$J596,"نامعتبر")))</f>
        <v/>
      </c>
      <c r="R596" t="str">
        <f t="shared" si="67"/>
        <v/>
      </c>
      <c r="S596" t="str">
        <f t="shared" si="68"/>
        <v/>
      </c>
      <c r="T596" t="str">
        <f>IF($N596="","",IF(Sync!$N596="",0,Sync!$N596))</f>
        <v/>
      </c>
      <c r="U596" t="str">
        <f>IF($N596="","",IF(Sync!$O596="",0,Sync!$O596))</f>
        <v/>
      </c>
      <c r="V596" t="str">
        <f>IF($N596="","",Sync!$L596)</f>
        <v/>
      </c>
      <c r="W596" t="str">
        <f>IF($N596="","",Sync!$P596)</f>
        <v/>
      </c>
      <c r="AA596" t="str">
        <f>IF($A596="","",IF(COUNTIF($A$6:$A596,$A596)=1,1,0))</f>
        <v/>
      </c>
      <c r="AB596">
        <f>SUM($AA$6:$AA596)</f>
        <v>3</v>
      </c>
      <c r="AC596" t="str">
        <f t="shared" si="69"/>
        <v/>
      </c>
    </row>
    <row r="597" spans="1:29" x14ac:dyDescent="0.2">
      <c r="A597" t="str">
        <f>IF(OR(Entry!$B600="",Entry!$E600="",$E597="نامعتبر"),"",Entry!$E600)</f>
        <v/>
      </c>
      <c r="B597" t="str">
        <f>IF($A597="","",LEFT($E597,4)&amp;MID($E597,6,2)&amp;RIGHT($E597,2)&amp;$F597&amp;"|"&amp;"1"&amp;RIGHT("00000"&amp;592,5))</f>
        <v/>
      </c>
      <c r="C597" t="str">
        <f t="shared" si="63"/>
        <v/>
      </c>
      <c r="D597" t="str">
        <f t="shared" si="64"/>
        <v/>
      </c>
      <c r="E597" t="str">
        <f>IF(Entry!$B600="","",IF(ISNUMBER(Entry!$B600),IF(AND(Entry!$B600&gt;=10000101,Entry!$B600&lt;=99991231),INT(Entry!$B600/10000)&amp;"/"&amp;RIGHT("00"&amp;INT(MOD(Entry!$B600,10000)/100),2)&amp;"/"&amp;RIGHT("00"&amp;MOD(Entry!$B600,100),2),"نامعتبر"),IF(LEN(Entry!$B600)=10,Entry!$B600,"نامعتبر")))</f>
        <v/>
      </c>
      <c r="F597" t="str">
        <f>IF(Entry!$B600="","",IF(Entry!$C600="","0000",IF(AND(ISNUMBER(Entry!$C600),Entry!$C600&gt;=0,Entry!$C600&lt;1),RIGHT("00"&amp;HOUR(Entry!$C600),2)&amp;RIGHT("00"&amp;MINUTE(Entry!$C600),2),IFERROR(RIGHT("00"&amp;VALUE(LEFT(Entry!$C600,FIND(":",Entry!$C600)-1)),2)&amp;RIGHT("00"&amp;VALUE(MID(Entry!$C600,FIND(":",Entry!$C600)+1,2)),2),"0000"))))</f>
        <v/>
      </c>
      <c r="G597" t="str">
        <f>IF($A597="","",Entry!$G600)</f>
        <v/>
      </c>
      <c r="H597" t="str">
        <f>IF($A597="","",IF(Entry!$H600="",0,Entry!$H600))</f>
        <v/>
      </c>
      <c r="I597" t="str">
        <f>IF($A597="","",IF(Entry!$I600="",0,Entry!$I600))</f>
        <v/>
      </c>
      <c r="J597" t="str">
        <f t="shared" si="65"/>
        <v/>
      </c>
      <c r="K597" t="str">
        <f>IF($A597="","",Entry!$D600)</f>
        <v/>
      </c>
      <c r="L597" t="str">
        <f>IF($A597="","",Entry!$L600)</f>
        <v/>
      </c>
      <c r="N597" t="str">
        <f>IF(OR(Sync!$M597="",$Q597="",$Q597="نامعتبر"),"",Sync!$M597)</f>
        <v/>
      </c>
      <c r="O597" t="str">
        <f t="shared" si="66"/>
        <v/>
      </c>
      <c r="P597" t="str">
        <f>IF($N597="","",LEFT($Q597,4)&amp;MID($Q597,6,2)&amp;RIGHT($Q597,2)&amp;IF(Sync!$K597="","0000",IF(AND(ISNUMBER(Sync!$K597),Sync!$K597&gt;=0,Sync!$K597&lt;1),RIGHT("00"&amp;HOUR(Sync!$K597),2)&amp;RIGHT("00"&amp;MINUTE(Sync!$K597),2),IFERROR(RIGHT("00"&amp;VALUE(LEFT(Sync!$K597,FIND(":",Sync!$K597)-1)),2)&amp;RIGHT("00"&amp;VALUE(MID(Sync!$K597,FIND(":",Sync!$K597)+1,2)),2),"0000")))&amp;"|"&amp;"2"&amp;RIGHT("00000"&amp;592,5))</f>
        <v/>
      </c>
      <c r="Q597" t="str">
        <f>IF(Sync!$J597="","",IF(ISNUMBER(Sync!$J597),IF(AND(Sync!$J597&gt;=10000101,Sync!$J597&lt;=99991231),INT(Sync!$J597/10000)&amp;"/"&amp;RIGHT("00"&amp;INT(MOD(Sync!$J597,10000)/100),2)&amp;"/"&amp;RIGHT("00"&amp;MOD(Sync!$J597,100),2),"نامعتبر"),IF(LEN(Sync!$J597)=10,Sync!$J597,"نامعتبر")))</f>
        <v/>
      </c>
      <c r="R597" t="str">
        <f t="shared" si="67"/>
        <v/>
      </c>
      <c r="S597" t="str">
        <f t="shared" si="68"/>
        <v/>
      </c>
      <c r="T597" t="str">
        <f>IF($N597="","",IF(Sync!$N597="",0,Sync!$N597))</f>
        <v/>
      </c>
      <c r="U597" t="str">
        <f>IF($N597="","",IF(Sync!$O597="",0,Sync!$O597))</f>
        <v/>
      </c>
      <c r="V597" t="str">
        <f>IF($N597="","",Sync!$L597)</f>
        <v/>
      </c>
      <c r="W597" t="str">
        <f>IF($N597="","",Sync!$P597)</f>
        <v/>
      </c>
      <c r="AA597" t="str">
        <f>IF($A597="","",IF(COUNTIF($A$6:$A597,$A597)=1,1,0))</f>
        <v/>
      </c>
      <c r="AB597">
        <f>SUM($AA$6:$AA597)</f>
        <v>3</v>
      </c>
      <c r="AC597" t="str">
        <f t="shared" si="69"/>
        <v/>
      </c>
    </row>
    <row r="598" spans="1:29" x14ac:dyDescent="0.2">
      <c r="A598" t="str">
        <f>IF(OR(Entry!$B601="",Entry!$E601="",$E598="نامعتبر"),"",Entry!$E601)</f>
        <v/>
      </c>
      <c r="B598" t="str">
        <f>IF($A598="","",LEFT($E598,4)&amp;MID($E598,6,2)&amp;RIGHT($E598,2)&amp;$F598&amp;"|"&amp;"1"&amp;RIGHT("00000"&amp;593,5))</f>
        <v/>
      </c>
      <c r="C598" t="str">
        <f t="shared" si="63"/>
        <v/>
      </c>
      <c r="D598" t="str">
        <f t="shared" si="64"/>
        <v/>
      </c>
      <c r="E598" t="str">
        <f>IF(Entry!$B601="","",IF(ISNUMBER(Entry!$B601),IF(AND(Entry!$B601&gt;=10000101,Entry!$B601&lt;=99991231),INT(Entry!$B601/10000)&amp;"/"&amp;RIGHT("00"&amp;INT(MOD(Entry!$B601,10000)/100),2)&amp;"/"&amp;RIGHT("00"&amp;MOD(Entry!$B601,100),2),"نامعتبر"),IF(LEN(Entry!$B601)=10,Entry!$B601,"نامعتبر")))</f>
        <v/>
      </c>
      <c r="F598" t="str">
        <f>IF(Entry!$B601="","",IF(Entry!$C601="","0000",IF(AND(ISNUMBER(Entry!$C601),Entry!$C601&gt;=0,Entry!$C601&lt;1),RIGHT("00"&amp;HOUR(Entry!$C601),2)&amp;RIGHT("00"&amp;MINUTE(Entry!$C601),2),IFERROR(RIGHT("00"&amp;VALUE(LEFT(Entry!$C601,FIND(":",Entry!$C601)-1)),2)&amp;RIGHT("00"&amp;VALUE(MID(Entry!$C601,FIND(":",Entry!$C601)+1,2)),2),"0000"))))</f>
        <v/>
      </c>
      <c r="G598" t="str">
        <f>IF($A598="","",Entry!$G601)</f>
        <v/>
      </c>
      <c r="H598" t="str">
        <f>IF($A598="","",IF(Entry!$H601="",0,Entry!$H601))</f>
        <v/>
      </c>
      <c r="I598" t="str">
        <f>IF($A598="","",IF(Entry!$I601="",0,Entry!$I601))</f>
        <v/>
      </c>
      <c r="J598" t="str">
        <f t="shared" si="65"/>
        <v/>
      </c>
      <c r="K598" t="str">
        <f>IF($A598="","",Entry!$D601)</f>
        <v/>
      </c>
      <c r="L598" t="str">
        <f>IF($A598="","",Entry!$L601)</f>
        <v/>
      </c>
      <c r="N598" t="str">
        <f>IF(OR(Sync!$M598="",$Q598="",$Q598="نامعتبر"),"",Sync!$M598)</f>
        <v/>
      </c>
      <c r="O598" t="str">
        <f t="shared" si="66"/>
        <v/>
      </c>
      <c r="P598" t="str">
        <f>IF($N598="","",LEFT($Q598,4)&amp;MID($Q598,6,2)&amp;RIGHT($Q598,2)&amp;IF(Sync!$K598="","0000",IF(AND(ISNUMBER(Sync!$K598),Sync!$K598&gt;=0,Sync!$K598&lt;1),RIGHT("00"&amp;HOUR(Sync!$K598),2)&amp;RIGHT("00"&amp;MINUTE(Sync!$K598),2),IFERROR(RIGHT("00"&amp;VALUE(LEFT(Sync!$K598,FIND(":",Sync!$K598)-1)),2)&amp;RIGHT("00"&amp;VALUE(MID(Sync!$K598,FIND(":",Sync!$K598)+1,2)),2),"0000")))&amp;"|"&amp;"2"&amp;RIGHT("00000"&amp;593,5))</f>
        <v/>
      </c>
      <c r="Q598" t="str">
        <f>IF(Sync!$J598="","",IF(ISNUMBER(Sync!$J598),IF(AND(Sync!$J598&gt;=10000101,Sync!$J598&lt;=99991231),INT(Sync!$J598/10000)&amp;"/"&amp;RIGHT("00"&amp;INT(MOD(Sync!$J598,10000)/100),2)&amp;"/"&amp;RIGHT("00"&amp;MOD(Sync!$J598,100),2),"نامعتبر"),IF(LEN(Sync!$J598)=10,Sync!$J598,"نامعتبر")))</f>
        <v/>
      </c>
      <c r="R598" t="str">
        <f t="shared" si="67"/>
        <v/>
      </c>
      <c r="S598" t="str">
        <f t="shared" si="68"/>
        <v/>
      </c>
      <c r="T598" t="str">
        <f>IF($N598="","",IF(Sync!$N598="",0,Sync!$N598))</f>
        <v/>
      </c>
      <c r="U598" t="str">
        <f>IF($N598="","",IF(Sync!$O598="",0,Sync!$O598))</f>
        <v/>
      </c>
      <c r="V598" t="str">
        <f>IF($N598="","",Sync!$L598)</f>
        <v/>
      </c>
      <c r="W598" t="str">
        <f>IF($N598="","",Sync!$P598)</f>
        <v/>
      </c>
      <c r="AA598" t="str">
        <f>IF($A598="","",IF(COUNTIF($A$6:$A598,$A598)=1,1,0))</f>
        <v/>
      </c>
      <c r="AB598">
        <f>SUM($AA$6:$AA598)</f>
        <v>3</v>
      </c>
      <c r="AC598" t="str">
        <f t="shared" si="69"/>
        <v/>
      </c>
    </row>
    <row r="599" spans="1:29" x14ac:dyDescent="0.2">
      <c r="A599" t="str">
        <f>IF(OR(Entry!$B602="",Entry!$E602="",$E599="نامعتبر"),"",Entry!$E602)</f>
        <v/>
      </c>
      <c r="B599" t="str">
        <f>IF($A599="","",LEFT($E599,4)&amp;MID($E599,6,2)&amp;RIGHT($E599,2)&amp;$F599&amp;"|"&amp;"1"&amp;RIGHT("00000"&amp;594,5))</f>
        <v/>
      </c>
      <c r="C599" t="str">
        <f t="shared" si="63"/>
        <v/>
      </c>
      <c r="D599" t="str">
        <f t="shared" si="64"/>
        <v/>
      </c>
      <c r="E599" t="str">
        <f>IF(Entry!$B602="","",IF(ISNUMBER(Entry!$B602),IF(AND(Entry!$B602&gt;=10000101,Entry!$B602&lt;=99991231),INT(Entry!$B602/10000)&amp;"/"&amp;RIGHT("00"&amp;INT(MOD(Entry!$B602,10000)/100),2)&amp;"/"&amp;RIGHT("00"&amp;MOD(Entry!$B602,100),2),"نامعتبر"),IF(LEN(Entry!$B602)=10,Entry!$B602,"نامعتبر")))</f>
        <v/>
      </c>
      <c r="F599" t="str">
        <f>IF(Entry!$B602="","",IF(Entry!$C602="","0000",IF(AND(ISNUMBER(Entry!$C602),Entry!$C602&gt;=0,Entry!$C602&lt;1),RIGHT("00"&amp;HOUR(Entry!$C602),2)&amp;RIGHT("00"&amp;MINUTE(Entry!$C602),2),IFERROR(RIGHT("00"&amp;VALUE(LEFT(Entry!$C602,FIND(":",Entry!$C602)-1)),2)&amp;RIGHT("00"&amp;VALUE(MID(Entry!$C602,FIND(":",Entry!$C602)+1,2)),2),"0000"))))</f>
        <v/>
      </c>
      <c r="G599" t="str">
        <f>IF($A599="","",Entry!$G602)</f>
        <v/>
      </c>
      <c r="H599" t="str">
        <f>IF($A599="","",IF(Entry!$H602="",0,Entry!$H602))</f>
        <v/>
      </c>
      <c r="I599" t="str">
        <f>IF($A599="","",IF(Entry!$I602="",0,Entry!$I602))</f>
        <v/>
      </c>
      <c r="J599" t="str">
        <f t="shared" si="65"/>
        <v/>
      </c>
      <c r="K599" t="str">
        <f>IF($A599="","",Entry!$D602)</f>
        <v/>
      </c>
      <c r="L599" t="str">
        <f>IF($A599="","",Entry!$L602)</f>
        <v/>
      </c>
      <c r="N599" t="str">
        <f>IF(OR(Sync!$M599="",$Q599="",$Q599="نامعتبر"),"",Sync!$M599)</f>
        <v/>
      </c>
      <c r="O599" t="str">
        <f t="shared" si="66"/>
        <v/>
      </c>
      <c r="P599" t="str">
        <f>IF($N599="","",LEFT($Q599,4)&amp;MID($Q599,6,2)&amp;RIGHT($Q599,2)&amp;IF(Sync!$K599="","0000",IF(AND(ISNUMBER(Sync!$K599),Sync!$K599&gt;=0,Sync!$K599&lt;1),RIGHT("00"&amp;HOUR(Sync!$K599),2)&amp;RIGHT("00"&amp;MINUTE(Sync!$K599),2),IFERROR(RIGHT("00"&amp;VALUE(LEFT(Sync!$K599,FIND(":",Sync!$K599)-1)),2)&amp;RIGHT("00"&amp;VALUE(MID(Sync!$K599,FIND(":",Sync!$K599)+1,2)),2),"0000")))&amp;"|"&amp;"2"&amp;RIGHT("00000"&amp;594,5))</f>
        <v/>
      </c>
      <c r="Q599" t="str">
        <f>IF(Sync!$J599="","",IF(ISNUMBER(Sync!$J599),IF(AND(Sync!$J599&gt;=10000101,Sync!$J599&lt;=99991231),INT(Sync!$J599/10000)&amp;"/"&amp;RIGHT("00"&amp;INT(MOD(Sync!$J599,10000)/100),2)&amp;"/"&amp;RIGHT("00"&amp;MOD(Sync!$J599,100),2),"نامعتبر"),IF(LEN(Sync!$J599)=10,Sync!$J599,"نامعتبر")))</f>
        <v/>
      </c>
      <c r="R599" t="str">
        <f t="shared" si="67"/>
        <v/>
      </c>
      <c r="S599" t="str">
        <f t="shared" si="68"/>
        <v/>
      </c>
      <c r="T599" t="str">
        <f>IF($N599="","",IF(Sync!$N599="",0,Sync!$N599))</f>
        <v/>
      </c>
      <c r="U599" t="str">
        <f>IF($N599="","",IF(Sync!$O599="",0,Sync!$O599))</f>
        <v/>
      </c>
      <c r="V599" t="str">
        <f>IF($N599="","",Sync!$L599)</f>
        <v/>
      </c>
      <c r="W599" t="str">
        <f>IF($N599="","",Sync!$P599)</f>
        <v/>
      </c>
      <c r="AA599" t="str">
        <f>IF($A599="","",IF(COUNTIF($A$6:$A599,$A599)=1,1,0))</f>
        <v/>
      </c>
      <c r="AB599">
        <f>SUM($AA$6:$AA599)</f>
        <v>3</v>
      </c>
      <c r="AC599" t="str">
        <f t="shared" si="69"/>
        <v/>
      </c>
    </row>
    <row r="600" spans="1:29" x14ac:dyDescent="0.2">
      <c r="A600" t="str">
        <f>IF(OR(Entry!$B603="",Entry!$E603="",$E600="نامعتبر"),"",Entry!$E603)</f>
        <v/>
      </c>
      <c r="B600" t="str">
        <f>IF($A600="","",LEFT($E600,4)&amp;MID($E600,6,2)&amp;RIGHT($E600,2)&amp;$F600&amp;"|"&amp;"1"&amp;RIGHT("00000"&amp;595,5))</f>
        <v/>
      </c>
      <c r="C600" t="str">
        <f t="shared" si="63"/>
        <v/>
      </c>
      <c r="D600" t="str">
        <f t="shared" si="64"/>
        <v/>
      </c>
      <c r="E600" t="str">
        <f>IF(Entry!$B603="","",IF(ISNUMBER(Entry!$B603),IF(AND(Entry!$B603&gt;=10000101,Entry!$B603&lt;=99991231),INT(Entry!$B603/10000)&amp;"/"&amp;RIGHT("00"&amp;INT(MOD(Entry!$B603,10000)/100),2)&amp;"/"&amp;RIGHT("00"&amp;MOD(Entry!$B603,100),2),"نامعتبر"),IF(LEN(Entry!$B603)=10,Entry!$B603,"نامعتبر")))</f>
        <v/>
      </c>
      <c r="F600" t="str">
        <f>IF(Entry!$B603="","",IF(Entry!$C603="","0000",IF(AND(ISNUMBER(Entry!$C603),Entry!$C603&gt;=0,Entry!$C603&lt;1),RIGHT("00"&amp;HOUR(Entry!$C603),2)&amp;RIGHT("00"&amp;MINUTE(Entry!$C603),2),IFERROR(RIGHT("00"&amp;VALUE(LEFT(Entry!$C603,FIND(":",Entry!$C603)-1)),2)&amp;RIGHT("00"&amp;VALUE(MID(Entry!$C603,FIND(":",Entry!$C603)+1,2)),2),"0000"))))</f>
        <v/>
      </c>
      <c r="G600" t="str">
        <f>IF($A600="","",Entry!$G603)</f>
        <v/>
      </c>
      <c r="H600" t="str">
        <f>IF($A600="","",IF(Entry!$H603="",0,Entry!$H603))</f>
        <v/>
      </c>
      <c r="I600" t="str">
        <f>IF($A600="","",IF(Entry!$I603="",0,Entry!$I603))</f>
        <v/>
      </c>
      <c r="J600" t="str">
        <f t="shared" si="65"/>
        <v/>
      </c>
      <c r="K600" t="str">
        <f>IF($A600="","",Entry!$D603)</f>
        <v/>
      </c>
      <c r="L600" t="str">
        <f>IF($A600="","",Entry!$L603)</f>
        <v/>
      </c>
      <c r="N600" t="str">
        <f>IF(OR(Sync!$M600="",$Q600="",$Q600="نامعتبر"),"",Sync!$M600)</f>
        <v/>
      </c>
      <c r="O600" t="str">
        <f t="shared" si="66"/>
        <v/>
      </c>
      <c r="P600" t="str">
        <f>IF($N600="","",LEFT($Q600,4)&amp;MID($Q600,6,2)&amp;RIGHT($Q600,2)&amp;IF(Sync!$K600="","0000",IF(AND(ISNUMBER(Sync!$K600),Sync!$K600&gt;=0,Sync!$K600&lt;1),RIGHT("00"&amp;HOUR(Sync!$K600),2)&amp;RIGHT("00"&amp;MINUTE(Sync!$K600),2),IFERROR(RIGHT("00"&amp;VALUE(LEFT(Sync!$K600,FIND(":",Sync!$K600)-1)),2)&amp;RIGHT("00"&amp;VALUE(MID(Sync!$K600,FIND(":",Sync!$K600)+1,2)),2),"0000")))&amp;"|"&amp;"2"&amp;RIGHT("00000"&amp;595,5))</f>
        <v/>
      </c>
      <c r="Q600" t="str">
        <f>IF(Sync!$J600="","",IF(ISNUMBER(Sync!$J600),IF(AND(Sync!$J600&gt;=10000101,Sync!$J600&lt;=99991231),INT(Sync!$J600/10000)&amp;"/"&amp;RIGHT("00"&amp;INT(MOD(Sync!$J600,10000)/100),2)&amp;"/"&amp;RIGHT("00"&amp;MOD(Sync!$J600,100),2),"نامعتبر"),IF(LEN(Sync!$J600)=10,Sync!$J600,"نامعتبر")))</f>
        <v/>
      </c>
      <c r="R600" t="str">
        <f t="shared" si="67"/>
        <v/>
      </c>
      <c r="S600" t="str">
        <f t="shared" si="68"/>
        <v/>
      </c>
      <c r="T600" t="str">
        <f>IF($N600="","",IF(Sync!$N600="",0,Sync!$N600))</f>
        <v/>
      </c>
      <c r="U600" t="str">
        <f>IF($N600="","",IF(Sync!$O600="",0,Sync!$O600))</f>
        <v/>
      </c>
      <c r="V600" t="str">
        <f>IF($N600="","",Sync!$L600)</f>
        <v/>
      </c>
      <c r="W600" t="str">
        <f>IF($N600="","",Sync!$P600)</f>
        <v/>
      </c>
      <c r="AA600" t="str">
        <f>IF($A600="","",IF(COUNTIF($A$6:$A600,$A600)=1,1,0))</f>
        <v/>
      </c>
      <c r="AB600">
        <f>SUM($AA$6:$AA600)</f>
        <v>3</v>
      </c>
      <c r="AC600" t="str">
        <f t="shared" si="69"/>
        <v/>
      </c>
    </row>
    <row r="601" spans="1:29" x14ac:dyDescent="0.2">
      <c r="A601" t="str">
        <f>IF(OR(Entry!$B604="",Entry!$E604="",$E601="نامعتبر"),"",Entry!$E604)</f>
        <v/>
      </c>
      <c r="B601" t="str">
        <f>IF($A601="","",LEFT($E601,4)&amp;MID($E601,6,2)&amp;RIGHT($E601,2)&amp;$F601&amp;"|"&amp;"1"&amp;RIGHT("00000"&amp;596,5))</f>
        <v/>
      </c>
      <c r="C601" t="str">
        <f t="shared" si="63"/>
        <v/>
      </c>
      <c r="D601" t="str">
        <f t="shared" si="64"/>
        <v/>
      </c>
      <c r="E601" t="str">
        <f>IF(Entry!$B604="","",IF(ISNUMBER(Entry!$B604),IF(AND(Entry!$B604&gt;=10000101,Entry!$B604&lt;=99991231),INT(Entry!$B604/10000)&amp;"/"&amp;RIGHT("00"&amp;INT(MOD(Entry!$B604,10000)/100),2)&amp;"/"&amp;RIGHT("00"&amp;MOD(Entry!$B604,100),2),"نامعتبر"),IF(LEN(Entry!$B604)=10,Entry!$B604,"نامعتبر")))</f>
        <v/>
      </c>
      <c r="F601" t="str">
        <f>IF(Entry!$B604="","",IF(Entry!$C604="","0000",IF(AND(ISNUMBER(Entry!$C604),Entry!$C604&gt;=0,Entry!$C604&lt;1),RIGHT("00"&amp;HOUR(Entry!$C604),2)&amp;RIGHT("00"&amp;MINUTE(Entry!$C604),2),IFERROR(RIGHT("00"&amp;VALUE(LEFT(Entry!$C604,FIND(":",Entry!$C604)-1)),2)&amp;RIGHT("00"&amp;VALUE(MID(Entry!$C604,FIND(":",Entry!$C604)+1,2)),2),"0000"))))</f>
        <v/>
      </c>
      <c r="G601" t="str">
        <f>IF($A601="","",Entry!$G604)</f>
        <v/>
      </c>
      <c r="H601" t="str">
        <f>IF($A601="","",IF(Entry!$H604="",0,Entry!$H604))</f>
        <v/>
      </c>
      <c r="I601" t="str">
        <f>IF($A601="","",IF(Entry!$I604="",0,Entry!$I604))</f>
        <v/>
      </c>
      <c r="J601" t="str">
        <f t="shared" si="65"/>
        <v/>
      </c>
      <c r="K601" t="str">
        <f>IF($A601="","",Entry!$D604)</f>
        <v/>
      </c>
      <c r="L601" t="str">
        <f>IF($A601="","",Entry!$L604)</f>
        <v/>
      </c>
      <c r="N601" t="str">
        <f>IF(OR(Sync!$M601="",$Q601="",$Q601="نامعتبر"),"",Sync!$M601)</f>
        <v/>
      </c>
      <c r="O601" t="str">
        <f t="shared" si="66"/>
        <v/>
      </c>
      <c r="P601" t="str">
        <f>IF($N601="","",LEFT($Q601,4)&amp;MID($Q601,6,2)&amp;RIGHT($Q601,2)&amp;IF(Sync!$K601="","0000",IF(AND(ISNUMBER(Sync!$K601),Sync!$K601&gt;=0,Sync!$K601&lt;1),RIGHT("00"&amp;HOUR(Sync!$K601),2)&amp;RIGHT("00"&amp;MINUTE(Sync!$K601),2),IFERROR(RIGHT("00"&amp;VALUE(LEFT(Sync!$K601,FIND(":",Sync!$K601)-1)),2)&amp;RIGHT("00"&amp;VALUE(MID(Sync!$K601,FIND(":",Sync!$K601)+1,2)),2),"0000")))&amp;"|"&amp;"2"&amp;RIGHT("00000"&amp;596,5))</f>
        <v/>
      </c>
      <c r="Q601" t="str">
        <f>IF(Sync!$J601="","",IF(ISNUMBER(Sync!$J601),IF(AND(Sync!$J601&gt;=10000101,Sync!$J601&lt;=99991231),INT(Sync!$J601/10000)&amp;"/"&amp;RIGHT("00"&amp;INT(MOD(Sync!$J601,10000)/100),2)&amp;"/"&amp;RIGHT("00"&amp;MOD(Sync!$J601,100),2),"نامعتبر"),IF(LEN(Sync!$J601)=10,Sync!$J601,"نامعتبر")))</f>
        <v/>
      </c>
      <c r="R601" t="str">
        <f t="shared" si="67"/>
        <v/>
      </c>
      <c r="S601" t="str">
        <f t="shared" si="68"/>
        <v/>
      </c>
      <c r="T601" t="str">
        <f>IF($N601="","",IF(Sync!$N601="",0,Sync!$N601))</f>
        <v/>
      </c>
      <c r="U601" t="str">
        <f>IF($N601="","",IF(Sync!$O601="",0,Sync!$O601))</f>
        <v/>
      </c>
      <c r="V601" t="str">
        <f>IF($N601="","",Sync!$L601)</f>
        <v/>
      </c>
      <c r="W601" t="str">
        <f>IF($N601="","",Sync!$P601)</f>
        <v/>
      </c>
      <c r="AA601" t="str">
        <f>IF($A601="","",IF(COUNTIF($A$6:$A601,$A601)=1,1,0))</f>
        <v/>
      </c>
      <c r="AB601">
        <f>SUM($AA$6:$AA601)</f>
        <v>3</v>
      </c>
      <c r="AC601" t="str">
        <f t="shared" si="69"/>
        <v/>
      </c>
    </row>
    <row r="602" spans="1:29" x14ac:dyDescent="0.2">
      <c r="A602" t="str">
        <f>IF(OR(Entry!$B605="",Entry!$E605="",$E602="نامعتبر"),"",Entry!$E605)</f>
        <v/>
      </c>
      <c r="B602" t="str">
        <f>IF($A602="","",LEFT($E602,4)&amp;MID($E602,6,2)&amp;RIGHT($E602,2)&amp;$F602&amp;"|"&amp;"1"&amp;RIGHT("00000"&amp;597,5))</f>
        <v/>
      </c>
      <c r="C602" t="str">
        <f t="shared" si="63"/>
        <v/>
      </c>
      <c r="D602" t="str">
        <f t="shared" si="64"/>
        <v/>
      </c>
      <c r="E602" t="str">
        <f>IF(Entry!$B605="","",IF(ISNUMBER(Entry!$B605),IF(AND(Entry!$B605&gt;=10000101,Entry!$B605&lt;=99991231),INT(Entry!$B605/10000)&amp;"/"&amp;RIGHT("00"&amp;INT(MOD(Entry!$B605,10000)/100),2)&amp;"/"&amp;RIGHT("00"&amp;MOD(Entry!$B605,100),2),"نامعتبر"),IF(LEN(Entry!$B605)=10,Entry!$B605,"نامعتبر")))</f>
        <v/>
      </c>
      <c r="F602" t="str">
        <f>IF(Entry!$B605="","",IF(Entry!$C605="","0000",IF(AND(ISNUMBER(Entry!$C605),Entry!$C605&gt;=0,Entry!$C605&lt;1),RIGHT("00"&amp;HOUR(Entry!$C605),2)&amp;RIGHT("00"&amp;MINUTE(Entry!$C605),2),IFERROR(RIGHT("00"&amp;VALUE(LEFT(Entry!$C605,FIND(":",Entry!$C605)-1)),2)&amp;RIGHT("00"&amp;VALUE(MID(Entry!$C605,FIND(":",Entry!$C605)+1,2)),2),"0000"))))</f>
        <v/>
      </c>
      <c r="G602" t="str">
        <f>IF($A602="","",Entry!$G605)</f>
        <v/>
      </c>
      <c r="H602" t="str">
        <f>IF($A602="","",IF(Entry!$H605="",0,Entry!$H605))</f>
        <v/>
      </c>
      <c r="I602" t="str">
        <f>IF($A602="","",IF(Entry!$I605="",0,Entry!$I605))</f>
        <v/>
      </c>
      <c r="J602" t="str">
        <f t="shared" si="65"/>
        <v/>
      </c>
      <c r="K602" t="str">
        <f>IF($A602="","",Entry!$D605)</f>
        <v/>
      </c>
      <c r="L602" t="str">
        <f>IF($A602="","",Entry!$L605)</f>
        <v/>
      </c>
      <c r="N602" t="str">
        <f>IF(OR(Sync!$M602="",$Q602="",$Q602="نامعتبر"),"",Sync!$M602)</f>
        <v/>
      </c>
      <c r="O602" t="str">
        <f t="shared" si="66"/>
        <v/>
      </c>
      <c r="P602" t="str">
        <f>IF($N602="","",LEFT($Q602,4)&amp;MID($Q602,6,2)&amp;RIGHT($Q602,2)&amp;IF(Sync!$K602="","0000",IF(AND(ISNUMBER(Sync!$K602),Sync!$K602&gt;=0,Sync!$K602&lt;1),RIGHT("00"&amp;HOUR(Sync!$K602),2)&amp;RIGHT("00"&amp;MINUTE(Sync!$K602),2),IFERROR(RIGHT("00"&amp;VALUE(LEFT(Sync!$K602,FIND(":",Sync!$K602)-1)),2)&amp;RIGHT("00"&amp;VALUE(MID(Sync!$K602,FIND(":",Sync!$K602)+1,2)),2),"0000")))&amp;"|"&amp;"2"&amp;RIGHT("00000"&amp;597,5))</f>
        <v/>
      </c>
      <c r="Q602" t="str">
        <f>IF(Sync!$J602="","",IF(ISNUMBER(Sync!$J602),IF(AND(Sync!$J602&gt;=10000101,Sync!$J602&lt;=99991231),INT(Sync!$J602/10000)&amp;"/"&amp;RIGHT("00"&amp;INT(MOD(Sync!$J602,10000)/100),2)&amp;"/"&amp;RIGHT("00"&amp;MOD(Sync!$J602,100),2),"نامعتبر"),IF(LEN(Sync!$J602)=10,Sync!$J602,"نامعتبر")))</f>
        <v/>
      </c>
      <c r="R602" t="str">
        <f t="shared" si="67"/>
        <v/>
      </c>
      <c r="S602" t="str">
        <f t="shared" si="68"/>
        <v/>
      </c>
      <c r="T602" t="str">
        <f>IF($N602="","",IF(Sync!$N602="",0,Sync!$N602))</f>
        <v/>
      </c>
      <c r="U602" t="str">
        <f>IF($N602="","",IF(Sync!$O602="",0,Sync!$O602))</f>
        <v/>
      </c>
      <c r="V602" t="str">
        <f>IF($N602="","",Sync!$L602)</f>
        <v/>
      </c>
      <c r="W602" t="str">
        <f>IF($N602="","",Sync!$P602)</f>
        <v/>
      </c>
      <c r="AA602" t="str">
        <f>IF($A602="","",IF(COUNTIF($A$6:$A602,$A602)=1,1,0))</f>
        <v/>
      </c>
      <c r="AB602">
        <f>SUM($AA$6:$AA602)</f>
        <v>3</v>
      </c>
      <c r="AC602" t="str">
        <f t="shared" si="69"/>
        <v/>
      </c>
    </row>
    <row r="603" spans="1:29" x14ac:dyDescent="0.2">
      <c r="A603" t="str">
        <f>IF(OR(Entry!$B606="",Entry!$E606="",$E603="نامعتبر"),"",Entry!$E606)</f>
        <v/>
      </c>
      <c r="B603" t="str">
        <f>IF($A603="","",LEFT($E603,4)&amp;MID($E603,6,2)&amp;RIGHT($E603,2)&amp;$F603&amp;"|"&amp;"1"&amp;RIGHT("00000"&amp;598,5))</f>
        <v/>
      </c>
      <c r="C603" t="str">
        <f t="shared" si="63"/>
        <v/>
      </c>
      <c r="D603" t="str">
        <f t="shared" si="64"/>
        <v/>
      </c>
      <c r="E603" t="str">
        <f>IF(Entry!$B606="","",IF(ISNUMBER(Entry!$B606),IF(AND(Entry!$B606&gt;=10000101,Entry!$B606&lt;=99991231),INT(Entry!$B606/10000)&amp;"/"&amp;RIGHT("00"&amp;INT(MOD(Entry!$B606,10000)/100),2)&amp;"/"&amp;RIGHT("00"&amp;MOD(Entry!$B606,100),2),"نامعتبر"),IF(LEN(Entry!$B606)=10,Entry!$B606,"نامعتبر")))</f>
        <v/>
      </c>
      <c r="F603" t="str">
        <f>IF(Entry!$B606="","",IF(Entry!$C606="","0000",IF(AND(ISNUMBER(Entry!$C606),Entry!$C606&gt;=0,Entry!$C606&lt;1),RIGHT("00"&amp;HOUR(Entry!$C606),2)&amp;RIGHT("00"&amp;MINUTE(Entry!$C606),2),IFERROR(RIGHT("00"&amp;VALUE(LEFT(Entry!$C606,FIND(":",Entry!$C606)-1)),2)&amp;RIGHT("00"&amp;VALUE(MID(Entry!$C606,FIND(":",Entry!$C606)+1,2)),2),"0000"))))</f>
        <v/>
      </c>
      <c r="G603" t="str">
        <f>IF($A603="","",Entry!$G606)</f>
        <v/>
      </c>
      <c r="H603" t="str">
        <f>IF($A603="","",IF(Entry!$H606="",0,Entry!$H606))</f>
        <v/>
      </c>
      <c r="I603" t="str">
        <f>IF($A603="","",IF(Entry!$I606="",0,Entry!$I606))</f>
        <v/>
      </c>
      <c r="J603" t="str">
        <f t="shared" si="65"/>
        <v/>
      </c>
      <c r="K603" t="str">
        <f>IF($A603="","",Entry!$D606)</f>
        <v/>
      </c>
      <c r="L603" t="str">
        <f>IF($A603="","",Entry!$L606)</f>
        <v/>
      </c>
      <c r="N603" t="str">
        <f>IF(OR(Sync!$M603="",$Q603="",$Q603="نامعتبر"),"",Sync!$M603)</f>
        <v/>
      </c>
      <c r="O603" t="str">
        <f t="shared" si="66"/>
        <v/>
      </c>
      <c r="P603" t="str">
        <f>IF($N603="","",LEFT($Q603,4)&amp;MID($Q603,6,2)&amp;RIGHT($Q603,2)&amp;IF(Sync!$K603="","0000",IF(AND(ISNUMBER(Sync!$K603),Sync!$K603&gt;=0,Sync!$K603&lt;1),RIGHT("00"&amp;HOUR(Sync!$K603),2)&amp;RIGHT("00"&amp;MINUTE(Sync!$K603),2),IFERROR(RIGHT("00"&amp;VALUE(LEFT(Sync!$K603,FIND(":",Sync!$K603)-1)),2)&amp;RIGHT("00"&amp;VALUE(MID(Sync!$K603,FIND(":",Sync!$K603)+1,2)),2),"0000")))&amp;"|"&amp;"2"&amp;RIGHT("00000"&amp;598,5))</f>
        <v/>
      </c>
      <c r="Q603" t="str">
        <f>IF(Sync!$J603="","",IF(ISNUMBER(Sync!$J603),IF(AND(Sync!$J603&gt;=10000101,Sync!$J603&lt;=99991231),INT(Sync!$J603/10000)&amp;"/"&amp;RIGHT("00"&amp;INT(MOD(Sync!$J603,10000)/100),2)&amp;"/"&amp;RIGHT("00"&amp;MOD(Sync!$J603,100),2),"نامعتبر"),IF(LEN(Sync!$J603)=10,Sync!$J603,"نامعتبر")))</f>
        <v/>
      </c>
      <c r="R603" t="str">
        <f t="shared" si="67"/>
        <v/>
      </c>
      <c r="S603" t="str">
        <f t="shared" si="68"/>
        <v/>
      </c>
      <c r="T603" t="str">
        <f>IF($N603="","",IF(Sync!$N603="",0,Sync!$N603))</f>
        <v/>
      </c>
      <c r="U603" t="str">
        <f>IF($N603="","",IF(Sync!$O603="",0,Sync!$O603))</f>
        <v/>
      </c>
      <c r="V603" t="str">
        <f>IF($N603="","",Sync!$L603)</f>
        <v/>
      </c>
      <c r="W603" t="str">
        <f>IF($N603="","",Sync!$P603)</f>
        <v/>
      </c>
      <c r="AA603" t="str">
        <f>IF($A603="","",IF(COUNTIF($A$6:$A603,$A603)=1,1,0))</f>
        <v/>
      </c>
      <c r="AB603">
        <f>SUM($AA$6:$AA603)</f>
        <v>3</v>
      </c>
      <c r="AC603" t="str">
        <f t="shared" si="69"/>
        <v/>
      </c>
    </row>
    <row r="604" spans="1:29" x14ac:dyDescent="0.2">
      <c r="A604" t="str">
        <f>IF(OR(Entry!$B607="",Entry!$E607="",$E604="نامعتبر"),"",Entry!$E607)</f>
        <v/>
      </c>
      <c r="B604" t="str">
        <f>IF($A604="","",LEFT($E604,4)&amp;MID($E604,6,2)&amp;RIGHT($E604,2)&amp;$F604&amp;"|"&amp;"1"&amp;RIGHT("00000"&amp;599,5))</f>
        <v/>
      </c>
      <c r="C604" t="str">
        <f t="shared" si="63"/>
        <v/>
      </c>
      <c r="D604" t="str">
        <f t="shared" si="64"/>
        <v/>
      </c>
      <c r="E604" t="str">
        <f>IF(Entry!$B607="","",IF(ISNUMBER(Entry!$B607),IF(AND(Entry!$B607&gt;=10000101,Entry!$B607&lt;=99991231),INT(Entry!$B607/10000)&amp;"/"&amp;RIGHT("00"&amp;INT(MOD(Entry!$B607,10000)/100),2)&amp;"/"&amp;RIGHT("00"&amp;MOD(Entry!$B607,100),2),"نامعتبر"),IF(LEN(Entry!$B607)=10,Entry!$B607,"نامعتبر")))</f>
        <v/>
      </c>
      <c r="F604" t="str">
        <f>IF(Entry!$B607="","",IF(Entry!$C607="","0000",IF(AND(ISNUMBER(Entry!$C607),Entry!$C607&gt;=0,Entry!$C607&lt;1),RIGHT("00"&amp;HOUR(Entry!$C607),2)&amp;RIGHT("00"&amp;MINUTE(Entry!$C607),2),IFERROR(RIGHT("00"&amp;VALUE(LEFT(Entry!$C607,FIND(":",Entry!$C607)-1)),2)&amp;RIGHT("00"&amp;VALUE(MID(Entry!$C607,FIND(":",Entry!$C607)+1,2)),2),"0000"))))</f>
        <v/>
      </c>
      <c r="G604" t="str">
        <f>IF($A604="","",Entry!$G607)</f>
        <v/>
      </c>
      <c r="H604" t="str">
        <f>IF($A604="","",IF(Entry!$H607="",0,Entry!$H607))</f>
        <v/>
      </c>
      <c r="I604" t="str">
        <f>IF($A604="","",IF(Entry!$I607="",0,Entry!$I607))</f>
        <v/>
      </c>
      <c r="J604" t="str">
        <f t="shared" si="65"/>
        <v/>
      </c>
      <c r="K604" t="str">
        <f>IF($A604="","",Entry!$D607)</f>
        <v/>
      </c>
      <c r="L604" t="str">
        <f>IF($A604="","",Entry!$L607)</f>
        <v/>
      </c>
      <c r="N604" t="str">
        <f>IF(OR(Sync!$M604="",$Q604="",$Q604="نامعتبر"),"",Sync!$M604)</f>
        <v/>
      </c>
      <c r="O604" t="str">
        <f t="shared" si="66"/>
        <v/>
      </c>
      <c r="P604" t="str">
        <f>IF($N604="","",LEFT($Q604,4)&amp;MID($Q604,6,2)&amp;RIGHT($Q604,2)&amp;IF(Sync!$K604="","0000",IF(AND(ISNUMBER(Sync!$K604),Sync!$K604&gt;=0,Sync!$K604&lt;1),RIGHT("00"&amp;HOUR(Sync!$K604),2)&amp;RIGHT("00"&amp;MINUTE(Sync!$K604),2),IFERROR(RIGHT("00"&amp;VALUE(LEFT(Sync!$K604,FIND(":",Sync!$K604)-1)),2)&amp;RIGHT("00"&amp;VALUE(MID(Sync!$K604,FIND(":",Sync!$K604)+1,2)),2),"0000")))&amp;"|"&amp;"2"&amp;RIGHT("00000"&amp;599,5))</f>
        <v/>
      </c>
      <c r="Q604" t="str">
        <f>IF(Sync!$J604="","",IF(ISNUMBER(Sync!$J604),IF(AND(Sync!$J604&gt;=10000101,Sync!$J604&lt;=99991231),INT(Sync!$J604/10000)&amp;"/"&amp;RIGHT("00"&amp;INT(MOD(Sync!$J604,10000)/100),2)&amp;"/"&amp;RIGHT("00"&amp;MOD(Sync!$J604,100),2),"نامعتبر"),IF(LEN(Sync!$J604)=10,Sync!$J604,"نامعتبر")))</f>
        <v/>
      </c>
      <c r="R604" t="str">
        <f t="shared" si="67"/>
        <v/>
      </c>
      <c r="S604" t="str">
        <f t="shared" si="68"/>
        <v/>
      </c>
      <c r="T604" t="str">
        <f>IF($N604="","",IF(Sync!$N604="",0,Sync!$N604))</f>
        <v/>
      </c>
      <c r="U604" t="str">
        <f>IF($N604="","",IF(Sync!$O604="",0,Sync!$O604))</f>
        <v/>
      </c>
      <c r="V604" t="str">
        <f>IF($N604="","",Sync!$L604)</f>
        <v/>
      </c>
      <c r="W604" t="str">
        <f>IF($N604="","",Sync!$P604)</f>
        <v/>
      </c>
      <c r="AA604" t="str">
        <f>IF($A604="","",IF(COUNTIF($A$6:$A604,$A604)=1,1,0))</f>
        <v/>
      </c>
      <c r="AB604">
        <f>SUM($AA$6:$AA604)</f>
        <v>3</v>
      </c>
      <c r="AC604" t="str">
        <f t="shared" si="69"/>
        <v/>
      </c>
    </row>
    <row r="605" spans="1:29" x14ac:dyDescent="0.2">
      <c r="A605" t="str">
        <f>IF(OR(Entry!$B608="",Entry!$E608="",$E605="نامعتبر"),"",Entry!$E608)</f>
        <v/>
      </c>
      <c r="B605" t="str">
        <f>IF($A605="","",LEFT($E605,4)&amp;MID($E605,6,2)&amp;RIGHT($E605,2)&amp;$F605&amp;"|"&amp;"1"&amp;RIGHT("00000"&amp;600,5))</f>
        <v/>
      </c>
      <c r="C605" t="str">
        <f t="shared" si="63"/>
        <v/>
      </c>
      <c r="D605" t="str">
        <f t="shared" si="64"/>
        <v/>
      </c>
      <c r="E605" t="str">
        <f>IF(Entry!$B608="","",IF(ISNUMBER(Entry!$B608),IF(AND(Entry!$B608&gt;=10000101,Entry!$B608&lt;=99991231),INT(Entry!$B608/10000)&amp;"/"&amp;RIGHT("00"&amp;INT(MOD(Entry!$B608,10000)/100),2)&amp;"/"&amp;RIGHT("00"&amp;MOD(Entry!$B608,100),2),"نامعتبر"),IF(LEN(Entry!$B608)=10,Entry!$B608,"نامعتبر")))</f>
        <v/>
      </c>
      <c r="F605" t="str">
        <f>IF(Entry!$B608="","",IF(Entry!$C608="","0000",IF(AND(ISNUMBER(Entry!$C608),Entry!$C608&gt;=0,Entry!$C608&lt;1),RIGHT("00"&amp;HOUR(Entry!$C608),2)&amp;RIGHT("00"&amp;MINUTE(Entry!$C608),2),IFERROR(RIGHT("00"&amp;VALUE(LEFT(Entry!$C608,FIND(":",Entry!$C608)-1)),2)&amp;RIGHT("00"&amp;VALUE(MID(Entry!$C608,FIND(":",Entry!$C608)+1,2)),2),"0000"))))</f>
        <v/>
      </c>
      <c r="G605" t="str">
        <f>IF($A605="","",Entry!$G608)</f>
        <v/>
      </c>
      <c r="H605" t="str">
        <f>IF($A605="","",IF(Entry!$H608="",0,Entry!$H608))</f>
        <v/>
      </c>
      <c r="I605" t="str">
        <f>IF($A605="","",IF(Entry!$I608="",0,Entry!$I608))</f>
        <v/>
      </c>
      <c r="J605" t="str">
        <f t="shared" si="65"/>
        <v/>
      </c>
      <c r="K605" t="str">
        <f>IF($A605="","",Entry!$D608)</f>
        <v/>
      </c>
      <c r="L605" t="str">
        <f>IF($A605="","",Entry!$L608)</f>
        <v/>
      </c>
      <c r="N605" t="str">
        <f>IF(OR(Sync!$M605="",$Q605="",$Q605="نامعتبر"),"",Sync!$M605)</f>
        <v/>
      </c>
      <c r="O605" t="str">
        <f t="shared" si="66"/>
        <v/>
      </c>
      <c r="P605" t="str">
        <f>IF($N605="","",LEFT($Q605,4)&amp;MID($Q605,6,2)&amp;RIGHT($Q605,2)&amp;IF(Sync!$K605="","0000",IF(AND(ISNUMBER(Sync!$K605),Sync!$K605&gt;=0,Sync!$K605&lt;1),RIGHT("00"&amp;HOUR(Sync!$K605),2)&amp;RIGHT("00"&amp;MINUTE(Sync!$K605),2),IFERROR(RIGHT("00"&amp;VALUE(LEFT(Sync!$K605,FIND(":",Sync!$K605)-1)),2)&amp;RIGHT("00"&amp;VALUE(MID(Sync!$K605,FIND(":",Sync!$K605)+1,2)),2),"0000")))&amp;"|"&amp;"2"&amp;RIGHT("00000"&amp;600,5))</f>
        <v/>
      </c>
      <c r="Q605" t="str">
        <f>IF(Sync!$J605="","",IF(ISNUMBER(Sync!$J605),IF(AND(Sync!$J605&gt;=10000101,Sync!$J605&lt;=99991231),INT(Sync!$J605/10000)&amp;"/"&amp;RIGHT("00"&amp;INT(MOD(Sync!$J605,10000)/100),2)&amp;"/"&amp;RIGHT("00"&amp;MOD(Sync!$J605,100),2),"نامعتبر"),IF(LEN(Sync!$J605)=10,Sync!$J605,"نامعتبر")))</f>
        <v/>
      </c>
      <c r="R605" t="str">
        <f t="shared" si="67"/>
        <v/>
      </c>
      <c r="S605" t="str">
        <f t="shared" si="68"/>
        <v/>
      </c>
      <c r="T605" t="str">
        <f>IF($N605="","",IF(Sync!$N605="",0,Sync!$N605))</f>
        <v/>
      </c>
      <c r="U605" t="str">
        <f>IF($N605="","",IF(Sync!$O605="",0,Sync!$O605))</f>
        <v/>
      </c>
      <c r="V605" t="str">
        <f>IF($N605="","",Sync!$L605)</f>
        <v/>
      </c>
      <c r="W605" t="str">
        <f>IF($N605="","",Sync!$P605)</f>
        <v/>
      </c>
      <c r="AA605" t="str">
        <f>IF($A605="","",IF(COUNTIF($A$6:$A605,$A605)=1,1,0))</f>
        <v/>
      </c>
      <c r="AB605">
        <f>SUM($AA$6:$AA605)</f>
        <v>3</v>
      </c>
      <c r="AC605" t="str">
        <f t="shared" si="69"/>
        <v/>
      </c>
    </row>
    <row r="606" spans="1:29" x14ac:dyDescent="0.2">
      <c r="A606" t="str">
        <f>IF(OR(Entry!$B609="",Entry!$E609="",$E606="نامعتبر"),"",Entry!$E609)</f>
        <v/>
      </c>
      <c r="B606" t="str">
        <f>IF($A606="","",LEFT($E606,4)&amp;MID($E606,6,2)&amp;RIGHT($E606,2)&amp;$F606&amp;"|"&amp;"1"&amp;RIGHT("00000"&amp;601,5))</f>
        <v/>
      </c>
      <c r="C606" t="str">
        <f t="shared" si="63"/>
        <v/>
      </c>
      <c r="D606" t="str">
        <f t="shared" si="64"/>
        <v/>
      </c>
      <c r="E606" t="str">
        <f>IF(Entry!$B609="","",IF(ISNUMBER(Entry!$B609),IF(AND(Entry!$B609&gt;=10000101,Entry!$B609&lt;=99991231),INT(Entry!$B609/10000)&amp;"/"&amp;RIGHT("00"&amp;INT(MOD(Entry!$B609,10000)/100),2)&amp;"/"&amp;RIGHT("00"&amp;MOD(Entry!$B609,100),2),"نامعتبر"),IF(LEN(Entry!$B609)=10,Entry!$B609,"نامعتبر")))</f>
        <v/>
      </c>
      <c r="F606" t="str">
        <f>IF(Entry!$B609="","",IF(Entry!$C609="","0000",IF(AND(ISNUMBER(Entry!$C609),Entry!$C609&gt;=0,Entry!$C609&lt;1),RIGHT("00"&amp;HOUR(Entry!$C609),2)&amp;RIGHT("00"&amp;MINUTE(Entry!$C609),2),IFERROR(RIGHT("00"&amp;VALUE(LEFT(Entry!$C609,FIND(":",Entry!$C609)-1)),2)&amp;RIGHT("00"&amp;VALUE(MID(Entry!$C609,FIND(":",Entry!$C609)+1,2)),2),"0000"))))</f>
        <v/>
      </c>
      <c r="G606" t="str">
        <f>IF($A606="","",Entry!$G609)</f>
        <v/>
      </c>
      <c r="H606" t="str">
        <f>IF($A606="","",IF(Entry!$H609="",0,Entry!$H609))</f>
        <v/>
      </c>
      <c r="I606" t="str">
        <f>IF($A606="","",IF(Entry!$I609="",0,Entry!$I609))</f>
        <v/>
      </c>
      <c r="J606" t="str">
        <f t="shared" si="65"/>
        <v/>
      </c>
      <c r="K606" t="str">
        <f>IF($A606="","",Entry!$D609)</f>
        <v/>
      </c>
      <c r="L606" t="str">
        <f>IF($A606="","",Entry!$L609)</f>
        <v/>
      </c>
      <c r="N606" t="str">
        <f>IF(OR(Sync!$M606="",$Q606="",$Q606="نامعتبر"),"",Sync!$M606)</f>
        <v/>
      </c>
      <c r="O606" t="str">
        <f t="shared" si="66"/>
        <v/>
      </c>
      <c r="P606" t="str">
        <f>IF($N606="","",LEFT($Q606,4)&amp;MID($Q606,6,2)&amp;RIGHT($Q606,2)&amp;IF(Sync!$K606="","0000",IF(AND(ISNUMBER(Sync!$K606),Sync!$K606&gt;=0,Sync!$K606&lt;1),RIGHT("00"&amp;HOUR(Sync!$K606),2)&amp;RIGHT("00"&amp;MINUTE(Sync!$K606),2),IFERROR(RIGHT("00"&amp;VALUE(LEFT(Sync!$K606,FIND(":",Sync!$K606)-1)),2)&amp;RIGHT("00"&amp;VALUE(MID(Sync!$K606,FIND(":",Sync!$K606)+1,2)),2),"0000")))&amp;"|"&amp;"2"&amp;RIGHT("00000"&amp;601,5))</f>
        <v/>
      </c>
      <c r="Q606" t="str">
        <f>IF(Sync!$J606="","",IF(ISNUMBER(Sync!$J606),IF(AND(Sync!$J606&gt;=10000101,Sync!$J606&lt;=99991231),INT(Sync!$J606/10000)&amp;"/"&amp;RIGHT("00"&amp;INT(MOD(Sync!$J606,10000)/100),2)&amp;"/"&amp;RIGHT("00"&amp;MOD(Sync!$J606,100),2),"نامعتبر"),IF(LEN(Sync!$J606)=10,Sync!$J606,"نامعتبر")))</f>
        <v/>
      </c>
      <c r="R606" t="str">
        <f t="shared" si="67"/>
        <v/>
      </c>
      <c r="S606" t="str">
        <f t="shared" si="68"/>
        <v/>
      </c>
      <c r="T606" t="str">
        <f>IF($N606="","",IF(Sync!$N606="",0,Sync!$N606))</f>
        <v/>
      </c>
      <c r="U606" t="str">
        <f>IF($N606="","",IF(Sync!$O606="",0,Sync!$O606))</f>
        <v/>
      </c>
      <c r="V606" t="str">
        <f>IF($N606="","",Sync!$L606)</f>
        <v/>
      </c>
      <c r="W606" t="str">
        <f>IF($N606="","",Sync!$P606)</f>
        <v/>
      </c>
      <c r="AA606" t="str">
        <f>IF($A606="","",IF(COUNTIF($A$6:$A606,$A606)=1,1,0))</f>
        <v/>
      </c>
      <c r="AB606">
        <f>SUM($AA$6:$AA606)</f>
        <v>3</v>
      </c>
      <c r="AC606" t="str">
        <f t="shared" si="69"/>
        <v/>
      </c>
    </row>
    <row r="607" spans="1:29" x14ac:dyDescent="0.2">
      <c r="A607" t="str">
        <f>IF(OR(Entry!$B610="",Entry!$E610="",$E607="نامعتبر"),"",Entry!$E610)</f>
        <v/>
      </c>
      <c r="B607" t="str">
        <f>IF($A607="","",LEFT($E607,4)&amp;MID($E607,6,2)&amp;RIGHT($E607,2)&amp;$F607&amp;"|"&amp;"1"&amp;RIGHT("00000"&amp;602,5))</f>
        <v/>
      </c>
      <c r="C607" t="str">
        <f t="shared" si="63"/>
        <v/>
      </c>
      <c r="D607" t="str">
        <f t="shared" si="64"/>
        <v/>
      </c>
      <c r="E607" t="str">
        <f>IF(Entry!$B610="","",IF(ISNUMBER(Entry!$B610),IF(AND(Entry!$B610&gt;=10000101,Entry!$B610&lt;=99991231),INT(Entry!$B610/10000)&amp;"/"&amp;RIGHT("00"&amp;INT(MOD(Entry!$B610,10000)/100),2)&amp;"/"&amp;RIGHT("00"&amp;MOD(Entry!$B610,100),2),"نامعتبر"),IF(LEN(Entry!$B610)=10,Entry!$B610,"نامعتبر")))</f>
        <v/>
      </c>
      <c r="F607" t="str">
        <f>IF(Entry!$B610="","",IF(Entry!$C610="","0000",IF(AND(ISNUMBER(Entry!$C610),Entry!$C610&gt;=0,Entry!$C610&lt;1),RIGHT("00"&amp;HOUR(Entry!$C610),2)&amp;RIGHT("00"&amp;MINUTE(Entry!$C610),2),IFERROR(RIGHT("00"&amp;VALUE(LEFT(Entry!$C610,FIND(":",Entry!$C610)-1)),2)&amp;RIGHT("00"&amp;VALUE(MID(Entry!$C610,FIND(":",Entry!$C610)+1,2)),2),"0000"))))</f>
        <v/>
      </c>
      <c r="G607" t="str">
        <f>IF($A607="","",Entry!$G610)</f>
        <v/>
      </c>
      <c r="H607" t="str">
        <f>IF($A607="","",IF(Entry!$H610="",0,Entry!$H610))</f>
        <v/>
      </c>
      <c r="I607" t="str">
        <f>IF($A607="","",IF(Entry!$I610="",0,Entry!$I610))</f>
        <v/>
      </c>
      <c r="J607" t="str">
        <f t="shared" si="65"/>
        <v/>
      </c>
      <c r="K607" t="str">
        <f>IF($A607="","",Entry!$D610)</f>
        <v/>
      </c>
      <c r="L607" t="str">
        <f>IF($A607="","",Entry!$L610)</f>
        <v/>
      </c>
      <c r="N607" t="str">
        <f>IF(OR(Sync!$M607="",$Q607="",$Q607="نامعتبر"),"",Sync!$M607)</f>
        <v/>
      </c>
      <c r="O607" t="str">
        <f t="shared" si="66"/>
        <v/>
      </c>
      <c r="P607" t="str">
        <f>IF($N607="","",LEFT($Q607,4)&amp;MID($Q607,6,2)&amp;RIGHT($Q607,2)&amp;IF(Sync!$K607="","0000",IF(AND(ISNUMBER(Sync!$K607),Sync!$K607&gt;=0,Sync!$K607&lt;1),RIGHT("00"&amp;HOUR(Sync!$K607),2)&amp;RIGHT("00"&amp;MINUTE(Sync!$K607),2),IFERROR(RIGHT("00"&amp;VALUE(LEFT(Sync!$K607,FIND(":",Sync!$K607)-1)),2)&amp;RIGHT("00"&amp;VALUE(MID(Sync!$K607,FIND(":",Sync!$K607)+1,2)),2),"0000")))&amp;"|"&amp;"2"&amp;RIGHT("00000"&amp;602,5))</f>
        <v/>
      </c>
      <c r="Q607" t="str">
        <f>IF(Sync!$J607="","",IF(ISNUMBER(Sync!$J607),IF(AND(Sync!$J607&gt;=10000101,Sync!$J607&lt;=99991231),INT(Sync!$J607/10000)&amp;"/"&amp;RIGHT("00"&amp;INT(MOD(Sync!$J607,10000)/100),2)&amp;"/"&amp;RIGHT("00"&amp;MOD(Sync!$J607,100),2),"نامعتبر"),IF(LEN(Sync!$J607)=10,Sync!$J607,"نامعتبر")))</f>
        <v/>
      </c>
      <c r="R607" t="str">
        <f t="shared" si="67"/>
        <v/>
      </c>
      <c r="S607" t="str">
        <f t="shared" si="68"/>
        <v/>
      </c>
      <c r="T607" t="str">
        <f>IF($N607="","",IF(Sync!$N607="",0,Sync!$N607))</f>
        <v/>
      </c>
      <c r="U607" t="str">
        <f>IF($N607="","",IF(Sync!$O607="",0,Sync!$O607))</f>
        <v/>
      </c>
      <c r="V607" t="str">
        <f>IF($N607="","",Sync!$L607)</f>
        <v/>
      </c>
      <c r="W607" t="str">
        <f>IF($N607="","",Sync!$P607)</f>
        <v/>
      </c>
      <c r="AA607" t="str">
        <f>IF($A607="","",IF(COUNTIF($A$6:$A607,$A607)=1,1,0))</f>
        <v/>
      </c>
      <c r="AB607">
        <f>SUM($AA$6:$AA607)</f>
        <v>3</v>
      </c>
      <c r="AC607" t="str">
        <f t="shared" si="69"/>
        <v/>
      </c>
    </row>
    <row r="608" spans="1:29" x14ac:dyDescent="0.2">
      <c r="A608" t="str">
        <f>IF(OR(Entry!$B611="",Entry!$E611="",$E608="نامعتبر"),"",Entry!$E611)</f>
        <v/>
      </c>
      <c r="B608" t="str">
        <f>IF($A608="","",LEFT($E608,4)&amp;MID($E608,6,2)&amp;RIGHT($E608,2)&amp;$F608&amp;"|"&amp;"1"&amp;RIGHT("00000"&amp;603,5))</f>
        <v/>
      </c>
      <c r="C608" t="str">
        <f t="shared" si="63"/>
        <v/>
      </c>
      <c r="D608" t="str">
        <f t="shared" si="64"/>
        <v/>
      </c>
      <c r="E608" t="str">
        <f>IF(Entry!$B611="","",IF(ISNUMBER(Entry!$B611),IF(AND(Entry!$B611&gt;=10000101,Entry!$B611&lt;=99991231),INT(Entry!$B611/10000)&amp;"/"&amp;RIGHT("00"&amp;INT(MOD(Entry!$B611,10000)/100),2)&amp;"/"&amp;RIGHT("00"&amp;MOD(Entry!$B611,100),2),"نامعتبر"),IF(LEN(Entry!$B611)=10,Entry!$B611,"نامعتبر")))</f>
        <v/>
      </c>
      <c r="F608" t="str">
        <f>IF(Entry!$B611="","",IF(Entry!$C611="","0000",IF(AND(ISNUMBER(Entry!$C611),Entry!$C611&gt;=0,Entry!$C611&lt;1),RIGHT("00"&amp;HOUR(Entry!$C611),2)&amp;RIGHT("00"&amp;MINUTE(Entry!$C611),2),IFERROR(RIGHT("00"&amp;VALUE(LEFT(Entry!$C611,FIND(":",Entry!$C611)-1)),2)&amp;RIGHT("00"&amp;VALUE(MID(Entry!$C611,FIND(":",Entry!$C611)+1,2)),2),"0000"))))</f>
        <v/>
      </c>
      <c r="G608" t="str">
        <f>IF($A608="","",Entry!$G611)</f>
        <v/>
      </c>
      <c r="H608" t="str">
        <f>IF($A608="","",IF(Entry!$H611="",0,Entry!$H611))</f>
        <v/>
      </c>
      <c r="I608" t="str">
        <f>IF($A608="","",IF(Entry!$I611="",0,Entry!$I611))</f>
        <v/>
      </c>
      <c r="J608" t="str">
        <f t="shared" si="65"/>
        <v/>
      </c>
      <c r="K608" t="str">
        <f>IF($A608="","",Entry!$D611)</f>
        <v/>
      </c>
      <c r="L608" t="str">
        <f>IF($A608="","",Entry!$L611)</f>
        <v/>
      </c>
      <c r="N608" t="str">
        <f>IF(OR(Sync!$M608="",$Q608="",$Q608="نامعتبر"),"",Sync!$M608)</f>
        <v/>
      </c>
      <c r="O608" t="str">
        <f t="shared" si="66"/>
        <v/>
      </c>
      <c r="P608" t="str">
        <f>IF($N608="","",LEFT($Q608,4)&amp;MID($Q608,6,2)&amp;RIGHT($Q608,2)&amp;IF(Sync!$K608="","0000",IF(AND(ISNUMBER(Sync!$K608),Sync!$K608&gt;=0,Sync!$K608&lt;1),RIGHT("00"&amp;HOUR(Sync!$K608),2)&amp;RIGHT("00"&amp;MINUTE(Sync!$K608),2),IFERROR(RIGHT("00"&amp;VALUE(LEFT(Sync!$K608,FIND(":",Sync!$K608)-1)),2)&amp;RIGHT("00"&amp;VALUE(MID(Sync!$K608,FIND(":",Sync!$K608)+1,2)),2),"0000")))&amp;"|"&amp;"2"&amp;RIGHT("00000"&amp;603,5))</f>
        <v/>
      </c>
      <c r="Q608" t="str">
        <f>IF(Sync!$J608="","",IF(ISNUMBER(Sync!$J608),IF(AND(Sync!$J608&gt;=10000101,Sync!$J608&lt;=99991231),INT(Sync!$J608/10000)&amp;"/"&amp;RIGHT("00"&amp;INT(MOD(Sync!$J608,10000)/100),2)&amp;"/"&amp;RIGHT("00"&amp;MOD(Sync!$J608,100),2),"نامعتبر"),IF(LEN(Sync!$J608)=10,Sync!$J608,"نامعتبر")))</f>
        <v/>
      </c>
      <c r="R608" t="str">
        <f t="shared" si="67"/>
        <v/>
      </c>
      <c r="S608" t="str">
        <f t="shared" si="68"/>
        <v/>
      </c>
      <c r="T608" t="str">
        <f>IF($N608="","",IF(Sync!$N608="",0,Sync!$N608))</f>
        <v/>
      </c>
      <c r="U608" t="str">
        <f>IF($N608="","",IF(Sync!$O608="",0,Sync!$O608))</f>
        <v/>
      </c>
      <c r="V608" t="str">
        <f>IF($N608="","",Sync!$L608)</f>
        <v/>
      </c>
      <c r="W608" t="str">
        <f>IF($N608="","",Sync!$P608)</f>
        <v/>
      </c>
      <c r="AA608" t="str">
        <f>IF($A608="","",IF(COUNTIF($A$6:$A608,$A608)=1,1,0))</f>
        <v/>
      </c>
      <c r="AB608">
        <f>SUM($AA$6:$AA608)</f>
        <v>3</v>
      </c>
      <c r="AC608" t="str">
        <f t="shared" si="69"/>
        <v/>
      </c>
    </row>
    <row r="609" spans="1:29" x14ac:dyDescent="0.2">
      <c r="A609" t="str">
        <f>IF(OR(Entry!$B612="",Entry!$E612="",$E609="نامعتبر"),"",Entry!$E612)</f>
        <v/>
      </c>
      <c r="B609" t="str">
        <f>IF($A609="","",LEFT($E609,4)&amp;MID($E609,6,2)&amp;RIGHT($E609,2)&amp;$F609&amp;"|"&amp;"1"&amp;RIGHT("00000"&amp;604,5))</f>
        <v/>
      </c>
      <c r="C609" t="str">
        <f t="shared" si="63"/>
        <v/>
      </c>
      <c r="D609" t="str">
        <f t="shared" si="64"/>
        <v/>
      </c>
      <c r="E609" t="str">
        <f>IF(Entry!$B612="","",IF(ISNUMBER(Entry!$B612),IF(AND(Entry!$B612&gt;=10000101,Entry!$B612&lt;=99991231),INT(Entry!$B612/10000)&amp;"/"&amp;RIGHT("00"&amp;INT(MOD(Entry!$B612,10000)/100),2)&amp;"/"&amp;RIGHT("00"&amp;MOD(Entry!$B612,100),2),"نامعتبر"),IF(LEN(Entry!$B612)=10,Entry!$B612,"نامعتبر")))</f>
        <v/>
      </c>
      <c r="F609" t="str">
        <f>IF(Entry!$B612="","",IF(Entry!$C612="","0000",IF(AND(ISNUMBER(Entry!$C612),Entry!$C612&gt;=0,Entry!$C612&lt;1),RIGHT("00"&amp;HOUR(Entry!$C612),2)&amp;RIGHT("00"&amp;MINUTE(Entry!$C612),2),IFERROR(RIGHT("00"&amp;VALUE(LEFT(Entry!$C612,FIND(":",Entry!$C612)-1)),2)&amp;RIGHT("00"&amp;VALUE(MID(Entry!$C612,FIND(":",Entry!$C612)+1,2)),2),"0000"))))</f>
        <v/>
      </c>
      <c r="G609" t="str">
        <f>IF($A609="","",Entry!$G612)</f>
        <v/>
      </c>
      <c r="H609" t="str">
        <f>IF($A609="","",IF(Entry!$H612="",0,Entry!$H612))</f>
        <v/>
      </c>
      <c r="I609" t="str">
        <f>IF($A609="","",IF(Entry!$I612="",0,Entry!$I612))</f>
        <v/>
      </c>
      <c r="J609" t="str">
        <f t="shared" si="65"/>
        <v/>
      </c>
      <c r="K609" t="str">
        <f>IF($A609="","",Entry!$D612)</f>
        <v/>
      </c>
      <c r="L609" t="str">
        <f>IF($A609="","",Entry!$L612)</f>
        <v/>
      </c>
      <c r="N609" t="str">
        <f>IF(OR(Sync!$M609="",$Q609="",$Q609="نامعتبر"),"",Sync!$M609)</f>
        <v/>
      </c>
      <c r="O609" t="str">
        <f t="shared" si="66"/>
        <v/>
      </c>
      <c r="P609" t="str">
        <f>IF($N609="","",LEFT($Q609,4)&amp;MID($Q609,6,2)&amp;RIGHT($Q609,2)&amp;IF(Sync!$K609="","0000",IF(AND(ISNUMBER(Sync!$K609),Sync!$K609&gt;=0,Sync!$K609&lt;1),RIGHT("00"&amp;HOUR(Sync!$K609),2)&amp;RIGHT("00"&amp;MINUTE(Sync!$K609),2),IFERROR(RIGHT("00"&amp;VALUE(LEFT(Sync!$K609,FIND(":",Sync!$K609)-1)),2)&amp;RIGHT("00"&amp;VALUE(MID(Sync!$K609,FIND(":",Sync!$K609)+1,2)),2),"0000")))&amp;"|"&amp;"2"&amp;RIGHT("00000"&amp;604,5))</f>
        <v/>
      </c>
      <c r="Q609" t="str">
        <f>IF(Sync!$J609="","",IF(ISNUMBER(Sync!$J609),IF(AND(Sync!$J609&gt;=10000101,Sync!$J609&lt;=99991231),INT(Sync!$J609/10000)&amp;"/"&amp;RIGHT("00"&amp;INT(MOD(Sync!$J609,10000)/100),2)&amp;"/"&amp;RIGHT("00"&amp;MOD(Sync!$J609,100),2),"نامعتبر"),IF(LEN(Sync!$J609)=10,Sync!$J609,"نامعتبر")))</f>
        <v/>
      </c>
      <c r="R609" t="str">
        <f t="shared" si="67"/>
        <v/>
      </c>
      <c r="S609" t="str">
        <f t="shared" si="68"/>
        <v/>
      </c>
      <c r="T609" t="str">
        <f>IF($N609="","",IF(Sync!$N609="",0,Sync!$N609))</f>
        <v/>
      </c>
      <c r="U609" t="str">
        <f>IF($N609="","",IF(Sync!$O609="",0,Sync!$O609))</f>
        <v/>
      </c>
      <c r="V609" t="str">
        <f>IF($N609="","",Sync!$L609)</f>
        <v/>
      </c>
      <c r="W609" t="str">
        <f>IF($N609="","",Sync!$P609)</f>
        <v/>
      </c>
      <c r="AA609" t="str">
        <f>IF($A609="","",IF(COUNTIF($A$6:$A609,$A609)=1,1,0))</f>
        <v/>
      </c>
      <c r="AB609">
        <f>SUM($AA$6:$AA609)</f>
        <v>3</v>
      </c>
      <c r="AC609" t="str">
        <f t="shared" si="69"/>
        <v/>
      </c>
    </row>
    <row r="610" spans="1:29" x14ac:dyDescent="0.2">
      <c r="A610" t="str">
        <f>IF(OR(Entry!$B613="",Entry!$E613="",$E610="نامعتبر"),"",Entry!$E613)</f>
        <v/>
      </c>
      <c r="B610" t="str">
        <f>IF($A610="","",LEFT($E610,4)&amp;MID($E610,6,2)&amp;RIGHT($E610,2)&amp;$F610&amp;"|"&amp;"1"&amp;RIGHT("00000"&amp;605,5))</f>
        <v/>
      </c>
      <c r="C610" t="str">
        <f t="shared" si="63"/>
        <v/>
      </c>
      <c r="D610" t="str">
        <f t="shared" si="64"/>
        <v/>
      </c>
      <c r="E610" t="str">
        <f>IF(Entry!$B613="","",IF(ISNUMBER(Entry!$B613),IF(AND(Entry!$B613&gt;=10000101,Entry!$B613&lt;=99991231),INT(Entry!$B613/10000)&amp;"/"&amp;RIGHT("00"&amp;INT(MOD(Entry!$B613,10000)/100),2)&amp;"/"&amp;RIGHT("00"&amp;MOD(Entry!$B613,100),2),"نامعتبر"),IF(LEN(Entry!$B613)=10,Entry!$B613,"نامعتبر")))</f>
        <v/>
      </c>
      <c r="F610" t="str">
        <f>IF(Entry!$B613="","",IF(Entry!$C613="","0000",IF(AND(ISNUMBER(Entry!$C613),Entry!$C613&gt;=0,Entry!$C613&lt;1),RIGHT("00"&amp;HOUR(Entry!$C613),2)&amp;RIGHT("00"&amp;MINUTE(Entry!$C613),2),IFERROR(RIGHT("00"&amp;VALUE(LEFT(Entry!$C613,FIND(":",Entry!$C613)-1)),2)&amp;RIGHT("00"&amp;VALUE(MID(Entry!$C613,FIND(":",Entry!$C613)+1,2)),2),"0000"))))</f>
        <v/>
      </c>
      <c r="G610" t="str">
        <f>IF($A610="","",Entry!$G613)</f>
        <v/>
      </c>
      <c r="H610" t="str">
        <f>IF($A610="","",IF(Entry!$H613="",0,Entry!$H613))</f>
        <v/>
      </c>
      <c r="I610" t="str">
        <f>IF($A610="","",IF(Entry!$I613="",0,Entry!$I613))</f>
        <v/>
      </c>
      <c r="J610" t="str">
        <f t="shared" si="65"/>
        <v/>
      </c>
      <c r="K610" t="str">
        <f>IF($A610="","",Entry!$D613)</f>
        <v/>
      </c>
      <c r="L610" t="str">
        <f>IF($A610="","",Entry!$L613)</f>
        <v/>
      </c>
      <c r="N610" t="str">
        <f>IF(OR(Sync!$M610="",$Q610="",$Q610="نامعتبر"),"",Sync!$M610)</f>
        <v/>
      </c>
      <c r="O610" t="str">
        <f t="shared" si="66"/>
        <v/>
      </c>
      <c r="P610" t="str">
        <f>IF($N610="","",LEFT($Q610,4)&amp;MID($Q610,6,2)&amp;RIGHT($Q610,2)&amp;IF(Sync!$K610="","0000",IF(AND(ISNUMBER(Sync!$K610),Sync!$K610&gt;=0,Sync!$K610&lt;1),RIGHT("00"&amp;HOUR(Sync!$K610),2)&amp;RIGHT("00"&amp;MINUTE(Sync!$K610),2),IFERROR(RIGHT("00"&amp;VALUE(LEFT(Sync!$K610,FIND(":",Sync!$K610)-1)),2)&amp;RIGHT("00"&amp;VALUE(MID(Sync!$K610,FIND(":",Sync!$K610)+1,2)),2),"0000")))&amp;"|"&amp;"2"&amp;RIGHT("00000"&amp;605,5))</f>
        <v/>
      </c>
      <c r="Q610" t="str">
        <f>IF(Sync!$J610="","",IF(ISNUMBER(Sync!$J610),IF(AND(Sync!$J610&gt;=10000101,Sync!$J610&lt;=99991231),INT(Sync!$J610/10000)&amp;"/"&amp;RIGHT("00"&amp;INT(MOD(Sync!$J610,10000)/100),2)&amp;"/"&amp;RIGHT("00"&amp;MOD(Sync!$J610,100),2),"نامعتبر"),IF(LEN(Sync!$J610)=10,Sync!$J610,"نامعتبر")))</f>
        <v/>
      </c>
      <c r="R610" t="str">
        <f t="shared" si="67"/>
        <v/>
      </c>
      <c r="S610" t="str">
        <f t="shared" si="68"/>
        <v/>
      </c>
      <c r="T610" t="str">
        <f>IF($N610="","",IF(Sync!$N610="",0,Sync!$N610))</f>
        <v/>
      </c>
      <c r="U610" t="str">
        <f>IF($N610="","",IF(Sync!$O610="",0,Sync!$O610))</f>
        <v/>
      </c>
      <c r="V610" t="str">
        <f>IF($N610="","",Sync!$L610)</f>
        <v/>
      </c>
      <c r="W610" t="str">
        <f>IF($N610="","",Sync!$P610)</f>
        <v/>
      </c>
      <c r="AA610" t="str">
        <f>IF($A610="","",IF(COUNTIF($A$6:$A610,$A610)=1,1,0))</f>
        <v/>
      </c>
      <c r="AB610">
        <f>SUM($AA$6:$AA610)</f>
        <v>3</v>
      </c>
      <c r="AC610" t="str">
        <f t="shared" si="69"/>
        <v/>
      </c>
    </row>
    <row r="611" spans="1:29" x14ac:dyDescent="0.2">
      <c r="A611" t="str">
        <f>IF(OR(Entry!$B614="",Entry!$E614="",$E611="نامعتبر"),"",Entry!$E614)</f>
        <v/>
      </c>
      <c r="B611" t="str">
        <f>IF($A611="","",LEFT($E611,4)&amp;MID($E611,6,2)&amp;RIGHT($E611,2)&amp;$F611&amp;"|"&amp;"1"&amp;RIGHT("00000"&amp;606,5))</f>
        <v/>
      </c>
      <c r="C611" t="str">
        <f t="shared" si="63"/>
        <v/>
      </c>
      <c r="D611" t="str">
        <f t="shared" si="64"/>
        <v/>
      </c>
      <c r="E611" t="str">
        <f>IF(Entry!$B614="","",IF(ISNUMBER(Entry!$B614),IF(AND(Entry!$B614&gt;=10000101,Entry!$B614&lt;=99991231),INT(Entry!$B614/10000)&amp;"/"&amp;RIGHT("00"&amp;INT(MOD(Entry!$B614,10000)/100),2)&amp;"/"&amp;RIGHT("00"&amp;MOD(Entry!$B614,100),2),"نامعتبر"),IF(LEN(Entry!$B614)=10,Entry!$B614,"نامعتبر")))</f>
        <v/>
      </c>
      <c r="F611" t="str">
        <f>IF(Entry!$B614="","",IF(Entry!$C614="","0000",IF(AND(ISNUMBER(Entry!$C614),Entry!$C614&gt;=0,Entry!$C614&lt;1),RIGHT("00"&amp;HOUR(Entry!$C614),2)&amp;RIGHT("00"&amp;MINUTE(Entry!$C614),2),IFERROR(RIGHT("00"&amp;VALUE(LEFT(Entry!$C614,FIND(":",Entry!$C614)-1)),2)&amp;RIGHT("00"&amp;VALUE(MID(Entry!$C614,FIND(":",Entry!$C614)+1,2)),2),"0000"))))</f>
        <v/>
      </c>
      <c r="G611" t="str">
        <f>IF($A611="","",Entry!$G614)</f>
        <v/>
      </c>
      <c r="H611" t="str">
        <f>IF($A611="","",IF(Entry!$H614="",0,Entry!$H614))</f>
        <v/>
      </c>
      <c r="I611" t="str">
        <f>IF($A611="","",IF(Entry!$I614="",0,Entry!$I614))</f>
        <v/>
      </c>
      <c r="J611" t="str">
        <f t="shared" si="65"/>
        <v/>
      </c>
      <c r="K611" t="str">
        <f>IF($A611="","",Entry!$D614)</f>
        <v/>
      </c>
      <c r="L611" t="str">
        <f>IF($A611="","",Entry!$L614)</f>
        <v/>
      </c>
      <c r="N611" t="str">
        <f>IF(OR(Sync!$M611="",$Q611="",$Q611="نامعتبر"),"",Sync!$M611)</f>
        <v/>
      </c>
      <c r="O611" t="str">
        <f t="shared" si="66"/>
        <v/>
      </c>
      <c r="P611" t="str">
        <f>IF($N611="","",LEFT($Q611,4)&amp;MID($Q611,6,2)&amp;RIGHT($Q611,2)&amp;IF(Sync!$K611="","0000",IF(AND(ISNUMBER(Sync!$K611),Sync!$K611&gt;=0,Sync!$K611&lt;1),RIGHT("00"&amp;HOUR(Sync!$K611),2)&amp;RIGHT("00"&amp;MINUTE(Sync!$K611),2),IFERROR(RIGHT("00"&amp;VALUE(LEFT(Sync!$K611,FIND(":",Sync!$K611)-1)),2)&amp;RIGHT("00"&amp;VALUE(MID(Sync!$K611,FIND(":",Sync!$K611)+1,2)),2),"0000")))&amp;"|"&amp;"2"&amp;RIGHT("00000"&amp;606,5))</f>
        <v/>
      </c>
      <c r="Q611" t="str">
        <f>IF(Sync!$J611="","",IF(ISNUMBER(Sync!$J611),IF(AND(Sync!$J611&gt;=10000101,Sync!$J611&lt;=99991231),INT(Sync!$J611/10000)&amp;"/"&amp;RIGHT("00"&amp;INT(MOD(Sync!$J611,10000)/100),2)&amp;"/"&amp;RIGHT("00"&amp;MOD(Sync!$J611,100),2),"نامعتبر"),IF(LEN(Sync!$J611)=10,Sync!$J611,"نامعتبر")))</f>
        <v/>
      </c>
      <c r="R611" t="str">
        <f t="shared" si="67"/>
        <v/>
      </c>
      <c r="S611" t="str">
        <f t="shared" si="68"/>
        <v/>
      </c>
      <c r="T611" t="str">
        <f>IF($N611="","",IF(Sync!$N611="",0,Sync!$N611))</f>
        <v/>
      </c>
      <c r="U611" t="str">
        <f>IF($N611="","",IF(Sync!$O611="",0,Sync!$O611))</f>
        <v/>
      </c>
      <c r="V611" t="str">
        <f>IF($N611="","",Sync!$L611)</f>
        <v/>
      </c>
      <c r="W611" t="str">
        <f>IF($N611="","",Sync!$P611)</f>
        <v/>
      </c>
      <c r="AA611" t="str">
        <f>IF($A611="","",IF(COUNTIF($A$6:$A611,$A611)=1,1,0))</f>
        <v/>
      </c>
      <c r="AB611">
        <f>SUM($AA$6:$AA611)</f>
        <v>3</v>
      </c>
      <c r="AC611" t="str">
        <f t="shared" si="69"/>
        <v/>
      </c>
    </row>
    <row r="612" spans="1:29" x14ac:dyDescent="0.2">
      <c r="A612" t="str">
        <f>IF(OR(Entry!$B615="",Entry!$E615="",$E612="نامعتبر"),"",Entry!$E615)</f>
        <v/>
      </c>
      <c r="B612" t="str">
        <f>IF($A612="","",LEFT($E612,4)&amp;MID($E612,6,2)&amp;RIGHT($E612,2)&amp;$F612&amp;"|"&amp;"1"&amp;RIGHT("00000"&amp;607,5))</f>
        <v/>
      </c>
      <c r="C612" t="str">
        <f t="shared" si="63"/>
        <v/>
      </c>
      <c r="D612" t="str">
        <f t="shared" si="64"/>
        <v/>
      </c>
      <c r="E612" t="str">
        <f>IF(Entry!$B615="","",IF(ISNUMBER(Entry!$B615),IF(AND(Entry!$B615&gt;=10000101,Entry!$B615&lt;=99991231),INT(Entry!$B615/10000)&amp;"/"&amp;RIGHT("00"&amp;INT(MOD(Entry!$B615,10000)/100),2)&amp;"/"&amp;RIGHT("00"&amp;MOD(Entry!$B615,100),2),"نامعتبر"),IF(LEN(Entry!$B615)=10,Entry!$B615,"نامعتبر")))</f>
        <v/>
      </c>
      <c r="F612" t="str">
        <f>IF(Entry!$B615="","",IF(Entry!$C615="","0000",IF(AND(ISNUMBER(Entry!$C615),Entry!$C615&gt;=0,Entry!$C615&lt;1),RIGHT("00"&amp;HOUR(Entry!$C615),2)&amp;RIGHT("00"&amp;MINUTE(Entry!$C615),2),IFERROR(RIGHT("00"&amp;VALUE(LEFT(Entry!$C615,FIND(":",Entry!$C615)-1)),2)&amp;RIGHT("00"&amp;VALUE(MID(Entry!$C615,FIND(":",Entry!$C615)+1,2)),2),"0000"))))</f>
        <v/>
      </c>
      <c r="G612" t="str">
        <f>IF($A612="","",Entry!$G615)</f>
        <v/>
      </c>
      <c r="H612" t="str">
        <f>IF($A612="","",IF(Entry!$H615="",0,Entry!$H615))</f>
        <v/>
      </c>
      <c r="I612" t="str">
        <f>IF($A612="","",IF(Entry!$I615="",0,Entry!$I615))</f>
        <v/>
      </c>
      <c r="J612" t="str">
        <f t="shared" si="65"/>
        <v/>
      </c>
      <c r="K612" t="str">
        <f>IF($A612="","",Entry!$D615)</f>
        <v/>
      </c>
      <c r="L612" t="str">
        <f>IF($A612="","",Entry!$L615)</f>
        <v/>
      </c>
      <c r="N612" t="str">
        <f>IF(OR(Sync!$M612="",$Q612="",$Q612="نامعتبر"),"",Sync!$M612)</f>
        <v/>
      </c>
      <c r="O612" t="str">
        <f t="shared" si="66"/>
        <v/>
      </c>
      <c r="P612" t="str">
        <f>IF($N612="","",LEFT($Q612,4)&amp;MID($Q612,6,2)&amp;RIGHT($Q612,2)&amp;IF(Sync!$K612="","0000",IF(AND(ISNUMBER(Sync!$K612),Sync!$K612&gt;=0,Sync!$K612&lt;1),RIGHT("00"&amp;HOUR(Sync!$K612),2)&amp;RIGHT("00"&amp;MINUTE(Sync!$K612),2),IFERROR(RIGHT("00"&amp;VALUE(LEFT(Sync!$K612,FIND(":",Sync!$K612)-1)),2)&amp;RIGHT("00"&amp;VALUE(MID(Sync!$K612,FIND(":",Sync!$K612)+1,2)),2),"0000")))&amp;"|"&amp;"2"&amp;RIGHT("00000"&amp;607,5))</f>
        <v/>
      </c>
      <c r="Q612" t="str">
        <f>IF(Sync!$J612="","",IF(ISNUMBER(Sync!$J612),IF(AND(Sync!$J612&gt;=10000101,Sync!$J612&lt;=99991231),INT(Sync!$J612/10000)&amp;"/"&amp;RIGHT("00"&amp;INT(MOD(Sync!$J612,10000)/100),2)&amp;"/"&amp;RIGHT("00"&amp;MOD(Sync!$J612,100),2),"نامعتبر"),IF(LEN(Sync!$J612)=10,Sync!$J612,"نامعتبر")))</f>
        <v/>
      </c>
      <c r="R612" t="str">
        <f t="shared" si="67"/>
        <v/>
      </c>
      <c r="S612" t="str">
        <f t="shared" si="68"/>
        <v/>
      </c>
      <c r="T612" t="str">
        <f>IF($N612="","",IF(Sync!$N612="",0,Sync!$N612))</f>
        <v/>
      </c>
      <c r="U612" t="str">
        <f>IF($N612="","",IF(Sync!$O612="",0,Sync!$O612))</f>
        <v/>
      </c>
      <c r="V612" t="str">
        <f>IF($N612="","",Sync!$L612)</f>
        <v/>
      </c>
      <c r="W612" t="str">
        <f>IF($N612="","",Sync!$P612)</f>
        <v/>
      </c>
      <c r="AA612" t="str">
        <f>IF($A612="","",IF(COUNTIF($A$6:$A612,$A612)=1,1,0))</f>
        <v/>
      </c>
      <c r="AB612">
        <f>SUM($AA$6:$AA612)</f>
        <v>3</v>
      </c>
      <c r="AC612" t="str">
        <f t="shared" si="69"/>
        <v/>
      </c>
    </row>
    <row r="613" spans="1:29" x14ac:dyDescent="0.2">
      <c r="A613" t="str">
        <f>IF(OR(Entry!$B616="",Entry!$E616="",$E613="نامعتبر"),"",Entry!$E616)</f>
        <v/>
      </c>
      <c r="B613" t="str">
        <f>IF($A613="","",LEFT($E613,4)&amp;MID($E613,6,2)&amp;RIGHT($E613,2)&amp;$F613&amp;"|"&amp;"1"&amp;RIGHT("00000"&amp;608,5))</f>
        <v/>
      </c>
      <c r="C613" t="str">
        <f t="shared" si="63"/>
        <v/>
      </c>
      <c r="D613" t="str">
        <f t="shared" si="64"/>
        <v/>
      </c>
      <c r="E613" t="str">
        <f>IF(Entry!$B616="","",IF(ISNUMBER(Entry!$B616),IF(AND(Entry!$B616&gt;=10000101,Entry!$B616&lt;=99991231),INT(Entry!$B616/10000)&amp;"/"&amp;RIGHT("00"&amp;INT(MOD(Entry!$B616,10000)/100),2)&amp;"/"&amp;RIGHT("00"&amp;MOD(Entry!$B616,100),2),"نامعتبر"),IF(LEN(Entry!$B616)=10,Entry!$B616,"نامعتبر")))</f>
        <v/>
      </c>
      <c r="F613" t="str">
        <f>IF(Entry!$B616="","",IF(Entry!$C616="","0000",IF(AND(ISNUMBER(Entry!$C616),Entry!$C616&gt;=0,Entry!$C616&lt;1),RIGHT("00"&amp;HOUR(Entry!$C616),2)&amp;RIGHT("00"&amp;MINUTE(Entry!$C616),2),IFERROR(RIGHT("00"&amp;VALUE(LEFT(Entry!$C616,FIND(":",Entry!$C616)-1)),2)&amp;RIGHT("00"&amp;VALUE(MID(Entry!$C616,FIND(":",Entry!$C616)+1,2)),2),"0000"))))</f>
        <v/>
      </c>
      <c r="G613" t="str">
        <f>IF($A613="","",Entry!$G616)</f>
        <v/>
      </c>
      <c r="H613" t="str">
        <f>IF($A613="","",IF(Entry!$H616="",0,Entry!$H616))</f>
        <v/>
      </c>
      <c r="I613" t="str">
        <f>IF($A613="","",IF(Entry!$I616="",0,Entry!$I616))</f>
        <v/>
      </c>
      <c r="J613" t="str">
        <f t="shared" si="65"/>
        <v/>
      </c>
      <c r="K613" t="str">
        <f>IF($A613="","",Entry!$D616)</f>
        <v/>
      </c>
      <c r="L613" t="str">
        <f>IF($A613="","",Entry!$L616)</f>
        <v/>
      </c>
      <c r="N613" t="str">
        <f>IF(OR(Sync!$M613="",$Q613="",$Q613="نامعتبر"),"",Sync!$M613)</f>
        <v/>
      </c>
      <c r="O613" t="str">
        <f t="shared" si="66"/>
        <v/>
      </c>
      <c r="P613" t="str">
        <f>IF($N613="","",LEFT($Q613,4)&amp;MID($Q613,6,2)&amp;RIGHT($Q613,2)&amp;IF(Sync!$K613="","0000",IF(AND(ISNUMBER(Sync!$K613),Sync!$K613&gt;=0,Sync!$K613&lt;1),RIGHT("00"&amp;HOUR(Sync!$K613),2)&amp;RIGHT("00"&amp;MINUTE(Sync!$K613),2),IFERROR(RIGHT("00"&amp;VALUE(LEFT(Sync!$K613,FIND(":",Sync!$K613)-1)),2)&amp;RIGHT("00"&amp;VALUE(MID(Sync!$K613,FIND(":",Sync!$K613)+1,2)),2),"0000")))&amp;"|"&amp;"2"&amp;RIGHT("00000"&amp;608,5))</f>
        <v/>
      </c>
      <c r="Q613" t="str">
        <f>IF(Sync!$J613="","",IF(ISNUMBER(Sync!$J613),IF(AND(Sync!$J613&gt;=10000101,Sync!$J613&lt;=99991231),INT(Sync!$J613/10000)&amp;"/"&amp;RIGHT("00"&amp;INT(MOD(Sync!$J613,10000)/100),2)&amp;"/"&amp;RIGHT("00"&amp;MOD(Sync!$J613,100),2),"نامعتبر"),IF(LEN(Sync!$J613)=10,Sync!$J613,"نامعتبر")))</f>
        <v/>
      </c>
      <c r="R613" t="str">
        <f t="shared" si="67"/>
        <v/>
      </c>
      <c r="S613" t="str">
        <f t="shared" si="68"/>
        <v/>
      </c>
      <c r="T613" t="str">
        <f>IF($N613="","",IF(Sync!$N613="",0,Sync!$N613))</f>
        <v/>
      </c>
      <c r="U613" t="str">
        <f>IF($N613="","",IF(Sync!$O613="",0,Sync!$O613))</f>
        <v/>
      </c>
      <c r="V613" t="str">
        <f>IF($N613="","",Sync!$L613)</f>
        <v/>
      </c>
      <c r="W613" t="str">
        <f>IF($N613="","",Sync!$P613)</f>
        <v/>
      </c>
      <c r="AA613" t="str">
        <f>IF($A613="","",IF(COUNTIF($A$6:$A613,$A613)=1,1,0))</f>
        <v/>
      </c>
      <c r="AB613">
        <f>SUM($AA$6:$AA613)</f>
        <v>3</v>
      </c>
      <c r="AC613" t="str">
        <f t="shared" si="69"/>
        <v/>
      </c>
    </row>
    <row r="614" spans="1:29" x14ac:dyDescent="0.2">
      <c r="A614" t="str">
        <f>IF(OR(Entry!$B617="",Entry!$E617="",$E614="نامعتبر"),"",Entry!$E617)</f>
        <v/>
      </c>
      <c r="B614" t="str">
        <f>IF($A614="","",LEFT($E614,4)&amp;MID($E614,6,2)&amp;RIGHT($E614,2)&amp;$F614&amp;"|"&amp;"1"&amp;RIGHT("00000"&amp;609,5))</f>
        <v/>
      </c>
      <c r="C614" t="str">
        <f t="shared" si="63"/>
        <v/>
      </c>
      <c r="D614" t="str">
        <f t="shared" si="64"/>
        <v/>
      </c>
      <c r="E614" t="str">
        <f>IF(Entry!$B617="","",IF(ISNUMBER(Entry!$B617),IF(AND(Entry!$B617&gt;=10000101,Entry!$B617&lt;=99991231),INT(Entry!$B617/10000)&amp;"/"&amp;RIGHT("00"&amp;INT(MOD(Entry!$B617,10000)/100),2)&amp;"/"&amp;RIGHT("00"&amp;MOD(Entry!$B617,100),2),"نامعتبر"),IF(LEN(Entry!$B617)=10,Entry!$B617,"نامعتبر")))</f>
        <v/>
      </c>
      <c r="F614" t="str">
        <f>IF(Entry!$B617="","",IF(Entry!$C617="","0000",IF(AND(ISNUMBER(Entry!$C617),Entry!$C617&gt;=0,Entry!$C617&lt;1),RIGHT("00"&amp;HOUR(Entry!$C617),2)&amp;RIGHT("00"&amp;MINUTE(Entry!$C617),2),IFERROR(RIGHT("00"&amp;VALUE(LEFT(Entry!$C617,FIND(":",Entry!$C617)-1)),2)&amp;RIGHT("00"&amp;VALUE(MID(Entry!$C617,FIND(":",Entry!$C617)+1,2)),2),"0000"))))</f>
        <v/>
      </c>
      <c r="G614" t="str">
        <f>IF($A614="","",Entry!$G617)</f>
        <v/>
      </c>
      <c r="H614" t="str">
        <f>IF($A614="","",IF(Entry!$H617="",0,Entry!$H617))</f>
        <v/>
      </c>
      <c r="I614" t="str">
        <f>IF($A614="","",IF(Entry!$I617="",0,Entry!$I617))</f>
        <v/>
      </c>
      <c r="J614" t="str">
        <f t="shared" si="65"/>
        <v/>
      </c>
      <c r="K614" t="str">
        <f>IF($A614="","",Entry!$D617)</f>
        <v/>
      </c>
      <c r="L614" t="str">
        <f>IF($A614="","",Entry!$L617)</f>
        <v/>
      </c>
      <c r="N614" t="str">
        <f>IF(OR(Sync!$M614="",$Q614="",$Q614="نامعتبر"),"",Sync!$M614)</f>
        <v/>
      </c>
      <c r="O614" t="str">
        <f t="shared" si="66"/>
        <v/>
      </c>
      <c r="P614" t="str">
        <f>IF($N614="","",LEFT($Q614,4)&amp;MID($Q614,6,2)&amp;RIGHT($Q614,2)&amp;IF(Sync!$K614="","0000",IF(AND(ISNUMBER(Sync!$K614),Sync!$K614&gt;=0,Sync!$K614&lt;1),RIGHT("00"&amp;HOUR(Sync!$K614),2)&amp;RIGHT("00"&amp;MINUTE(Sync!$K614),2),IFERROR(RIGHT("00"&amp;VALUE(LEFT(Sync!$K614,FIND(":",Sync!$K614)-1)),2)&amp;RIGHT("00"&amp;VALUE(MID(Sync!$K614,FIND(":",Sync!$K614)+1,2)),2),"0000")))&amp;"|"&amp;"2"&amp;RIGHT("00000"&amp;609,5))</f>
        <v/>
      </c>
      <c r="Q614" t="str">
        <f>IF(Sync!$J614="","",IF(ISNUMBER(Sync!$J614),IF(AND(Sync!$J614&gt;=10000101,Sync!$J614&lt;=99991231),INT(Sync!$J614/10000)&amp;"/"&amp;RIGHT("00"&amp;INT(MOD(Sync!$J614,10000)/100),2)&amp;"/"&amp;RIGHT("00"&amp;MOD(Sync!$J614,100),2),"نامعتبر"),IF(LEN(Sync!$J614)=10,Sync!$J614,"نامعتبر")))</f>
        <v/>
      </c>
      <c r="R614" t="str">
        <f t="shared" si="67"/>
        <v/>
      </c>
      <c r="S614" t="str">
        <f t="shared" si="68"/>
        <v/>
      </c>
      <c r="T614" t="str">
        <f>IF($N614="","",IF(Sync!$N614="",0,Sync!$N614))</f>
        <v/>
      </c>
      <c r="U614" t="str">
        <f>IF($N614="","",IF(Sync!$O614="",0,Sync!$O614))</f>
        <v/>
      </c>
      <c r="V614" t="str">
        <f>IF($N614="","",Sync!$L614)</f>
        <v/>
      </c>
      <c r="W614" t="str">
        <f>IF($N614="","",Sync!$P614)</f>
        <v/>
      </c>
      <c r="AA614" t="str">
        <f>IF($A614="","",IF(COUNTIF($A$6:$A614,$A614)=1,1,0))</f>
        <v/>
      </c>
      <c r="AB614">
        <f>SUM($AA$6:$AA614)</f>
        <v>3</v>
      </c>
      <c r="AC614" t="str">
        <f t="shared" si="69"/>
        <v/>
      </c>
    </row>
    <row r="615" spans="1:29" x14ac:dyDescent="0.2">
      <c r="A615" t="str">
        <f>IF(OR(Entry!$B618="",Entry!$E618="",$E615="نامعتبر"),"",Entry!$E618)</f>
        <v/>
      </c>
      <c r="B615" t="str">
        <f>IF($A615="","",LEFT($E615,4)&amp;MID($E615,6,2)&amp;RIGHT($E615,2)&amp;$F615&amp;"|"&amp;"1"&amp;RIGHT("00000"&amp;610,5))</f>
        <v/>
      </c>
      <c r="C615" t="str">
        <f t="shared" si="63"/>
        <v/>
      </c>
      <c r="D615" t="str">
        <f t="shared" si="64"/>
        <v/>
      </c>
      <c r="E615" t="str">
        <f>IF(Entry!$B618="","",IF(ISNUMBER(Entry!$B618),IF(AND(Entry!$B618&gt;=10000101,Entry!$B618&lt;=99991231),INT(Entry!$B618/10000)&amp;"/"&amp;RIGHT("00"&amp;INT(MOD(Entry!$B618,10000)/100),2)&amp;"/"&amp;RIGHT("00"&amp;MOD(Entry!$B618,100),2),"نامعتبر"),IF(LEN(Entry!$B618)=10,Entry!$B618,"نامعتبر")))</f>
        <v/>
      </c>
      <c r="F615" t="str">
        <f>IF(Entry!$B618="","",IF(Entry!$C618="","0000",IF(AND(ISNUMBER(Entry!$C618),Entry!$C618&gt;=0,Entry!$C618&lt;1),RIGHT("00"&amp;HOUR(Entry!$C618),2)&amp;RIGHT("00"&amp;MINUTE(Entry!$C618),2),IFERROR(RIGHT("00"&amp;VALUE(LEFT(Entry!$C618,FIND(":",Entry!$C618)-1)),2)&amp;RIGHT("00"&amp;VALUE(MID(Entry!$C618,FIND(":",Entry!$C618)+1,2)),2),"0000"))))</f>
        <v/>
      </c>
      <c r="G615" t="str">
        <f>IF($A615="","",Entry!$G618)</f>
        <v/>
      </c>
      <c r="H615" t="str">
        <f>IF($A615="","",IF(Entry!$H618="",0,Entry!$H618))</f>
        <v/>
      </c>
      <c r="I615" t="str">
        <f>IF($A615="","",IF(Entry!$I618="",0,Entry!$I618))</f>
        <v/>
      </c>
      <c r="J615" t="str">
        <f t="shared" si="65"/>
        <v/>
      </c>
      <c r="K615" t="str">
        <f>IF($A615="","",Entry!$D618)</f>
        <v/>
      </c>
      <c r="L615" t="str">
        <f>IF($A615="","",Entry!$L618)</f>
        <v/>
      </c>
      <c r="N615" t="str">
        <f>IF(OR(Sync!$M615="",$Q615="",$Q615="نامعتبر"),"",Sync!$M615)</f>
        <v/>
      </c>
      <c r="O615" t="str">
        <f t="shared" si="66"/>
        <v/>
      </c>
      <c r="P615" t="str">
        <f>IF($N615="","",LEFT($Q615,4)&amp;MID($Q615,6,2)&amp;RIGHT($Q615,2)&amp;IF(Sync!$K615="","0000",IF(AND(ISNUMBER(Sync!$K615),Sync!$K615&gt;=0,Sync!$K615&lt;1),RIGHT("00"&amp;HOUR(Sync!$K615),2)&amp;RIGHT("00"&amp;MINUTE(Sync!$K615),2),IFERROR(RIGHT("00"&amp;VALUE(LEFT(Sync!$K615,FIND(":",Sync!$K615)-1)),2)&amp;RIGHT("00"&amp;VALUE(MID(Sync!$K615,FIND(":",Sync!$K615)+1,2)),2),"0000")))&amp;"|"&amp;"2"&amp;RIGHT("00000"&amp;610,5))</f>
        <v/>
      </c>
      <c r="Q615" t="str">
        <f>IF(Sync!$J615="","",IF(ISNUMBER(Sync!$J615),IF(AND(Sync!$J615&gt;=10000101,Sync!$J615&lt;=99991231),INT(Sync!$J615/10000)&amp;"/"&amp;RIGHT("00"&amp;INT(MOD(Sync!$J615,10000)/100),2)&amp;"/"&amp;RIGHT("00"&amp;MOD(Sync!$J615,100),2),"نامعتبر"),IF(LEN(Sync!$J615)=10,Sync!$J615,"نامعتبر")))</f>
        <v/>
      </c>
      <c r="R615" t="str">
        <f t="shared" si="67"/>
        <v/>
      </c>
      <c r="S615" t="str">
        <f t="shared" si="68"/>
        <v/>
      </c>
      <c r="T615" t="str">
        <f>IF($N615="","",IF(Sync!$N615="",0,Sync!$N615))</f>
        <v/>
      </c>
      <c r="U615" t="str">
        <f>IF($N615="","",IF(Sync!$O615="",0,Sync!$O615))</f>
        <v/>
      </c>
      <c r="V615" t="str">
        <f>IF($N615="","",Sync!$L615)</f>
        <v/>
      </c>
      <c r="W615" t="str">
        <f>IF($N615="","",Sync!$P615)</f>
        <v/>
      </c>
      <c r="AA615" t="str">
        <f>IF($A615="","",IF(COUNTIF($A$6:$A615,$A615)=1,1,0))</f>
        <v/>
      </c>
      <c r="AB615">
        <f>SUM($AA$6:$AA615)</f>
        <v>3</v>
      </c>
      <c r="AC615" t="str">
        <f t="shared" si="69"/>
        <v/>
      </c>
    </row>
    <row r="616" spans="1:29" x14ac:dyDescent="0.2">
      <c r="A616" t="str">
        <f>IF(OR(Entry!$B619="",Entry!$E619="",$E616="نامعتبر"),"",Entry!$E619)</f>
        <v/>
      </c>
      <c r="B616" t="str">
        <f>IF($A616="","",LEFT($E616,4)&amp;MID($E616,6,2)&amp;RIGHT($E616,2)&amp;$F616&amp;"|"&amp;"1"&amp;RIGHT("00000"&amp;611,5))</f>
        <v/>
      </c>
      <c r="C616" t="str">
        <f t="shared" si="63"/>
        <v/>
      </c>
      <c r="D616" t="str">
        <f t="shared" si="64"/>
        <v/>
      </c>
      <c r="E616" t="str">
        <f>IF(Entry!$B619="","",IF(ISNUMBER(Entry!$B619),IF(AND(Entry!$B619&gt;=10000101,Entry!$B619&lt;=99991231),INT(Entry!$B619/10000)&amp;"/"&amp;RIGHT("00"&amp;INT(MOD(Entry!$B619,10000)/100),2)&amp;"/"&amp;RIGHT("00"&amp;MOD(Entry!$B619,100),2),"نامعتبر"),IF(LEN(Entry!$B619)=10,Entry!$B619,"نامعتبر")))</f>
        <v/>
      </c>
      <c r="F616" t="str">
        <f>IF(Entry!$B619="","",IF(Entry!$C619="","0000",IF(AND(ISNUMBER(Entry!$C619),Entry!$C619&gt;=0,Entry!$C619&lt;1),RIGHT("00"&amp;HOUR(Entry!$C619),2)&amp;RIGHT("00"&amp;MINUTE(Entry!$C619),2),IFERROR(RIGHT("00"&amp;VALUE(LEFT(Entry!$C619,FIND(":",Entry!$C619)-1)),2)&amp;RIGHT("00"&amp;VALUE(MID(Entry!$C619,FIND(":",Entry!$C619)+1,2)),2),"0000"))))</f>
        <v/>
      </c>
      <c r="G616" t="str">
        <f>IF($A616="","",Entry!$G619)</f>
        <v/>
      </c>
      <c r="H616" t="str">
        <f>IF($A616="","",IF(Entry!$H619="",0,Entry!$H619))</f>
        <v/>
      </c>
      <c r="I616" t="str">
        <f>IF($A616="","",IF(Entry!$I619="",0,Entry!$I619))</f>
        <v/>
      </c>
      <c r="J616" t="str">
        <f t="shared" si="65"/>
        <v/>
      </c>
      <c r="K616" t="str">
        <f>IF($A616="","",Entry!$D619)</f>
        <v/>
      </c>
      <c r="L616" t="str">
        <f>IF($A616="","",Entry!$L619)</f>
        <v/>
      </c>
      <c r="N616" t="str">
        <f>IF(OR(Sync!$M616="",$Q616="",$Q616="نامعتبر"),"",Sync!$M616)</f>
        <v/>
      </c>
      <c r="O616" t="str">
        <f t="shared" si="66"/>
        <v/>
      </c>
      <c r="P616" t="str">
        <f>IF($N616="","",LEFT($Q616,4)&amp;MID($Q616,6,2)&amp;RIGHT($Q616,2)&amp;IF(Sync!$K616="","0000",IF(AND(ISNUMBER(Sync!$K616),Sync!$K616&gt;=0,Sync!$K616&lt;1),RIGHT("00"&amp;HOUR(Sync!$K616),2)&amp;RIGHT("00"&amp;MINUTE(Sync!$K616),2),IFERROR(RIGHT("00"&amp;VALUE(LEFT(Sync!$K616,FIND(":",Sync!$K616)-1)),2)&amp;RIGHT("00"&amp;VALUE(MID(Sync!$K616,FIND(":",Sync!$K616)+1,2)),2),"0000")))&amp;"|"&amp;"2"&amp;RIGHT("00000"&amp;611,5))</f>
        <v/>
      </c>
      <c r="Q616" t="str">
        <f>IF(Sync!$J616="","",IF(ISNUMBER(Sync!$J616),IF(AND(Sync!$J616&gt;=10000101,Sync!$J616&lt;=99991231),INT(Sync!$J616/10000)&amp;"/"&amp;RIGHT("00"&amp;INT(MOD(Sync!$J616,10000)/100),2)&amp;"/"&amp;RIGHT("00"&amp;MOD(Sync!$J616,100),2),"نامعتبر"),IF(LEN(Sync!$J616)=10,Sync!$J616,"نامعتبر")))</f>
        <v/>
      </c>
      <c r="R616" t="str">
        <f t="shared" si="67"/>
        <v/>
      </c>
      <c r="S616" t="str">
        <f t="shared" si="68"/>
        <v/>
      </c>
      <c r="T616" t="str">
        <f>IF($N616="","",IF(Sync!$N616="",0,Sync!$N616))</f>
        <v/>
      </c>
      <c r="U616" t="str">
        <f>IF($N616="","",IF(Sync!$O616="",0,Sync!$O616))</f>
        <v/>
      </c>
      <c r="V616" t="str">
        <f>IF($N616="","",Sync!$L616)</f>
        <v/>
      </c>
      <c r="W616" t="str">
        <f>IF($N616="","",Sync!$P616)</f>
        <v/>
      </c>
      <c r="AA616" t="str">
        <f>IF($A616="","",IF(COUNTIF($A$6:$A616,$A616)=1,1,0))</f>
        <v/>
      </c>
      <c r="AB616">
        <f>SUM($AA$6:$AA616)</f>
        <v>3</v>
      </c>
      <c r="AC616" t="str">
        <f t="shared" si="69"/>
        <v/>
      </c>
    </row>
    <row r="617" spans="1:29" x14ac:dyDescent="0.2">
      <c r="A617" t="str">
        <f>IF(OR(Entry!$B620="",Entry!$E620="",$E617="نامعتبر"),"",Entry!$E620)</f>
        <v/>
      </c>
      <c r="B617" t="str">
        <f>IF($A617="","",LEFT($E617,4)&amp;MID($E617,6,2)&amp;RIGHT($E617,2)&amp;$F617&amp;"|"&amp;"1"&amp;RIGHT("00000"&amp;612,5))</f>
        <v/>
      </c>
      <c r="C617" t="str">
        <f t="shared" si="63"/>
        <v/>
      </c>
      <c r="D617" t="str">
        <f t="shared" si="64"/>
        <v/>
      </c>
      <c r="E617" t="str">
        <f>IF(Entry!$B620="","",IF(ISNUMBER(Entry!$B620),IF(AND(Entry!$B620&gt;=10000101,Entry!$B620&lt;=99991231),INT(Entry!$B620/10000)&amp;"/"&amp;RIGHT("00"&amp;INT(MOD(Entry!$B620,10000)/100),2)&amp;"/"&amp;RIGHT("00"&amp;MOD(Entry!$B620,100),2),"نامعتبر"),IF(LEN(Entry!$B620)=10,Entry!$B620,"نامعتبر")))</f>
        <v/>
      </c>
      <c r="F617" t="str">
        <f>IF(Entry!$B620="","",IF(Entry!$C620="","0000",IF(AND(ISNUMBER(Entry!$C620),Entry!$C620&gt;=0,Entry!$C620&lt;1),RIGHT("00"&amp;HOUR(Entry!$C620),2)&amp;RIGHT("00"&amp;MINUTE(Entry!$C620),2),IFERROR(RIGHT("00"&amp;VALUE(LEFT(Entry!$C620,FIND(":",Entry!$C620)-1)),2)&amp;RIGHT("00"&amp;VALUE(MID(Entry!$C620,FIND(":",Entry!$C620)+1,2)),2),"0000"))))</f>
        <v/>
      </c>
      <c r="G617" t="str">
        <f>IF($A617="","",Entry!$G620)</f>
        <v/>
      </c>
      <c r="H617" t="str">
        <f>IF($A617="","",IF(Entry!$H620="",0,Entry!$H620))</f>
        <v/>
      </c>
      <c r="I617" t="str">
        <f>IF($A617="","",IF(Entry!$I620="",0,Entry!$I620))</f>
        <v/>
      </c>
      <c r="J617" t="str">
        <f t="shared" si="65"/>
        <v/>
      </c>
      <c r="K617" t="str">
        <f>IF($A617="","",Entry!$D620)</f>
        <v/>
      </c>
      <c r="L617" t="str">
        <f>IF($A617="","",Entry!$L620)</f>
        <v/>
      </c>
      <c r="N617" t="str">
        <f>IF(OR(Sync!$M617="",$Q617="",$Q617="نامعتبر"),"",Sync!$M617)</f>
        <v/>
      </c>
      <c r="O617" t="str">
        <f t="shared" si="66"/>
        <v/>
      </c>
      <c r="P617" t="str">
        <f>IF($N617="","",LEFT($Q617,4)&amp;MID($Q617,6,2)&amp;RIGHT($Q617,2)&amp;IF(Sync!$K617="","0000",IF(AND(ISNUMBER(Sync!$K617),Sync!$K617&gt;=0,Sync!$K617&lt;1),RIGHT("00"&amp;HOUR(Sync!$K617),2)&amp;RIGHT("00"&amp;MINUTE(Sync!$K617),2),IFERROR(RIGHT("00"&amp;VALUE(LEFT(Sync!$K617,FIND(":",Sync!$K617)-1)),2)&amp;RIGHT("00"&amp;VALUE(MID(Sync!$K617,FIND(":",Sync!$K617)+1,2)),2),"0000")))&amp;"|"&amp;"2"&amp;RIGHT("00000"&amp;612,5))</f>
        <v/>
      </c>
      <c r="Q617" t="str">
        <f>IF(Sync!$J617="","",IF(ISNUMBER(Sync!$J617),IF(AND(Sync!$J617&gt;=10000101,Sync!$J617&lt;=99991231),INT(Sync!$J617/10000)&amp;"/"&amp;RIGHT("00"&amp;INT(MOD(Sync!$J617,10000)/100),2)&amp;"/"&amp;RIGHT("00"&amp;MOD(Sync!$J617,100),2),"نامعتبر"),IF(LEN(Sync!$J617)=10,Sync!$J617,"نامعتبر")))</f>
        <v/>
      </c>
      <c r="R617" t="str">
        <f t="shared" si="67"/>
        <v/>
      </c>
      <c r="S617" t="str">
        <f t="shared" si="68"/>
        <v/>
      </c>
      <c r="T617" t="str">
        <f>IF($N617="","",IF(Sync!$N617="",0,Sync!$N617))</f>
        <v/>
      </c>
      <c r="U617" t="str">
        <f>IF($N617="","",IF(Sync!$O617="",0,Sync!$O617))</f>
        <v/>
      </c>
      <c r="V617" t="str">
        <f>IF($N617="","",Sync!$L617)</f>
        <v/>
      </c>
      <c r="W617" t="str">
        <f>IF($N617="","",Sync!$P617)</f>
        <v/>
      </c>
      <c r="AA617" t="str">
        <f>IF($A617="","",IF(COUNTIF($A$6:$A617,$A617)=1,1,0))</f>
        <v/>
      </c>
      <c r="AB617">
        <f>SUM($AA$6:$AA617)</f>
        <v>3</v>
      </c>
      <c r="AC617" t="str">
        <f t="shared" si="69"/>
        <v/>
      </c>
    </row>
    <row r="618" spans="1:29" x14ac:dyDescent="0.2">
      <c r="A618" t="str">
        <f>IF(OR(Entry!$B621="",Entry!$E621="",$E618="نامعتبر"),"",Entry!$E621)</f>
        <v/>
      </c>
      <c r="B618" t="str">
        <f>IF($A618="","",LEFT($E618,4)&amp;MID($E618,6,2)&amp;RIGHT($E618,2)&amp;$F618&amp;"|"&amp;"1"&amp;RIGHT("00000"&amp;613,5))</f>
        <v/>
      </c>
      <c r="C618" t="str">
        <f t="shared" si="63"/>
        <v/>
      </c>
      <c r="D618" t="str">
        <f t="shared" si="64"/>
        <v/>
      </c>
      <c r="E618" t="str">
        <f>IF(Entry!$B621="","",IF(ISNUMBER(Entry!$B621),IF(AND(Entry!$B621&gt;=10000101,Entry!$B621&lt;=99991231),INT(Entry!$B621/10000)&amp;"/"&amp;RIGHT("00"&amp;INT(MOD(Entry!$B621,10000)/100),2)&amp;"/"&amp;RIGHT("00"&amp;MOD(Entry!$B621,100),2),"نامعتبر"),IF(LEN(Entry!$B621)=10,Entry!$B621,"نامعتبر")))</f>
        <v/>
      </c>
      <c r="F618" t="str">
        <f>IF(Entry!$B621="","",IF(Entry!$C621="","0000",IF(AND(ISNUMBER(Entry!$C621),Entry!$C621&gt;=0,Entry!$C621&lt;1),RIGHT("00"&amp;HOUR(Entry!$C621),2)&amp;RIGHT("00"&amp;MINUTE(Entry!$C621),2),IFERROR(RIGHT("00"&amp;VALUE(LEFT(Entry!$C621,FIND(":",Entry!$C621)-1)),2)&amp;RIGHT("00"&amp;VALUE(MID(Entry!$C621,FIND(":",Entry!$C621)+1,2)),2),"0000"))))</f>
        <v/>
      </c>
      <c r="G618" t="str">
        <f>IF($A618="","",Entry!$G621)</f>
        <v/>
      </c>
      <c r="H618" t="str">
        <f>IF($A618="","",IF(Entry!$H621="",0,Entry!$H621))</f>
        <v/>
      </c>
      <c r="I618" t="str">
        <f>IF($A618="","",IF(Entry!$I621="",0,Entry!$I621))</f>
        <v/>
      </c>
      <c r="J618" t="str">
        <f t="shared" si="65"/>
        <v/>
      </c>
      <c r="K618" t="str">
        <f>IF($A618="","",Entry!$D621)</f>
        <v/>
      </c>
      <c r="L618" t="str">
        <f>IF($A618="","",Entry!$L621)</f>
        <v/>
      </c>
      <c r="N618" t="str">
        <f>IF(OR(Sync!$M618="",$Q618="",$Q618="نامعتبر"),"",Sync!$M618)</f>
        <v/>
      </c>
      <c r="O618" t="str">
        <f t="shared" si="66"/>
        <v/>
      </c>
      <c r="P618" t="str">
        <f>IF($N618="","",LEFT($Q618,4)&amp;MID($Q618,6,2)&amp;RIGHT($Q618,2)&amp;IF(Sync!$K618="","0000",IF(AND(ISNUMBER(Sync!$K618),Sync!$K618&gt;=0,Sync!$K618&lt;1),RIGHT("00"&amp;HOUR(Sync!$K618),2)&amp;RIGHT("00"&amp;MINUTE(Sync!$K618),2),IFERROR(RIGHT("00"&amp;VALUE(LEFT(Sync!$K618,FIND(":",Sync!$K618)-1)),2)&amp;RIGHT("00"&amp;VALUE(MID(Sync!$K618,FIND(":",Sync!$K618)+1,2)),2),"0000")))&amp;"|"&amp;"2"&amp;RIGHT("00000"&amp;613,5))</f>
        <v/>
      </c>
      <c r="Q618" t="str">
        <f>IF(Sync!$J618="","",IF(ISNUMBER(Sync!$J618),IF(AND(Sync!$J618&gt;=10000101,Sync!$J618&lt;=99991231),INT(Sync!$J618/10000)&amp;"/"&amp;RIGHT("00"&amp;INT(MOD(Sync!$J618,10000)/100),2)&amp;"/"&amp;RIGHT("00"&amp;MOD(Sync!$J618,100),2),"نامعتبر"),IF(LEN(Sync!$J618)=10,Sync!$J618,"نامعتبر")))</f>
        <v/>
      </c>
      <c r="R618" t="str">
        <f t="shared" si="67"/>
        <v/>
      </c>
      <c r="S618" t="str">
        <f t="shared" si="68"/>
        <v/>
      </c>
      <c r="T618" t="str">
        <f>IF($N618="","",IF(Sync!$N618="",0,Sync!$N618))</f>
        <v/>
      </c>
      <c r="U618" t="str">
        <f>IF($N618="","",IF(Sync!$O618="",0,Sync!$O618))</f>
        <v/>
      </c>
      <c r="V618" t="str">
        <f>IF($N618="","",Sync!$L618)</f>
        <v/>
      </c>
      <c r="W618" t="str">
        <f>IF($N618="","",Sync!$P618)</f>
        <v/>
      </c>
      <c r="AA618" t="str">
        <f>IF($A618="","",IF(COUNTIF($A$6:$A618,$A618)=1,1,0))</f>
        <v/>
      </c>
      <c r="AB618">
        <f>SUM($AA$6:$AA618)</f>
        <v>3</v>
      </c>
      <c r="AC618" t="str">
        <f t="shared" si="69"/>
        <v/>
      </c>
    </row>
    <row r="619" spans="1:29" x14ac:dyDescent="0.2">
      <c r="A619" t="str">
        <f>IF(OR(Entry!$B622="",Entry!$E622="",$E619="نامعتبر"),"",Entry!$E622)</f>
        <v/>
      </c>
      <c r="B619" t="str">
        <f>IF($A619="","",LEFT($E619,4)&amp;MID($E619,6,2)&amp;RIGHT($E619,2)&amp;$F619&amp;"|"&amp;"1"&amp;RIGHT("00000"&amp;614,5))</f>
        <v/>
      </c>
      <c r="C619" t="str">
        <f t="shared" si="63"/>
        <v/>
      </c>
      <c r="D619" t="str">
        <f t="shared" si="64"/>
        <v/>
      </c>
      <c r="E619" t="str">
        <f>IF(Entry!$B622="","",IF(ISNUMBER(Entry!$B622),IF(AND(Entry!$B622&gt;=10000101,Entry!$B622&lt;=99991231),INT(Entry!$B622/10000)&amp;"/"&amp;RIGHT("00"&amp;INT(MOD(Entry!$B622,10000)/100),2)&amp;"/"&amp;RIGHT("00"&amp;MOD(Entry!$B622,100),2),"نامعتبر"),IF(LEN(Entry!$B622)=10,Entry!$B622,"نامعتبر")))</f>
        <v/>
      </c>
      <c r="F619" t="str">
        <f>IF(Entry!$B622="","",IF(Entry!$C622="","0000",IF(AND(ISNUMBER(Entry!$C622),Entry!$C622&gt;=0,Entry!$C622&lt;1),RIGHT("00"&amp;HOUR(Entry!$C622),2)&amp;RIGHT("00"&amp;MINUTE(Entry!$C622),2),IFERROR(RIGHT("00"&amp;VALUE(LEFT(Entry!$C622,FIND(":",Entry!$C622)-1)),2)&amp;RIGHT("00"&amp;VALUE(MID(Entry!$C622,FIND(":",Entry!$C622)+1,2)),2),"0000"))))</f>
        <v/>
      </c>
      <c r="G619" t="str">
        <f>IF($A619="","",Entry!$G622)</f>
        <v/>
      </c>
      <c r="H619" t="str">
        <f>IF($A619="","",IF(Entry!$H622="",0,Entry!$H622))</f>
        <v/>
      </c>
      <c r="I619" t="str">
        <f>IF($A619="","",IF(Entry!$I622="",0,Entry!$I622))</f>
        <v/>
      </c>
      <c r="J619" t="str">
        <f t="shared" si="65"/>
        <v/>
      </c>
      <c r="K619" t="str">
        <f>IF($A619="","",Entry!$D622)</f>
        <v/>
      </c>
      <c r="L619" t="str">
        <f>IF($A619="","",Entry!$L622)</f>
        <v/>
      </c>
      <c r="N619" t="str">
        <f>IF(OR(Sync!$M619="",$Q619="",$Q619="نامعتبر"),"",Sync!$M619)</f>
        <v/>
      </c>
      <c r="O619" t="str">
        <f t="shared" si="66"/>
        <v/>
      </c>
      <c r="P619" t="str">
        <f>IF($N619="","",LEFT($Q619,4)&amp;MID($Q619,6,2)&amp;RIGHT($Q619,2)&amp;IF(Sync!$K619="","0000",IF(AND(ISNUMBER(Sync!$K619),Sync!$K619&gt;=0,Sync!$K619&lt;1),RIGHT("00"&amp;HOUR(Sync!$K619),2)&amp;RIGHT("00"&amp;MINUTE(Sync!$K619),2),IFERROR(RIGHT("00"&amp;VALUE(LEFT(Sync!$K619,FIND(":",Sync!$K619)-1)),2)&amp;RIGHT("00"&amp;VALUE(MID(Sync!$K619,FIND(":",Sync!$K619)+1,2)),2),"0000")))&amp;"|"&amp;"2"&amp;RIGHT("00000"&amp;614,5))</f>
        <v/>
      </c>
      <c r="Q619" t="str">
        <f>IF(Sync!$J619="","",IF(ISNUMBER(Sync!$J619),IF(AND(Sync!$J619&gt;=10000101,Sync!$J619&lt;=99991231),INT(Sync!$J619/10000)&amp;"/"&amp;RIGHT("00"&amp;INT(MOD(Sync!$J619,10000)/100),2)&amp;"/"&amp;RIGHT("00"&amp;MOD(Sync!$J619,100),2),"نامعتبر"),IF(LEN(Sync!$J619)=10,Sync!$J619,"نامعتبر")))</f>
        <v/>
      </c>
      <c r="R619" t="str">
        <f t="shared" si="67"/>
        <v/>
      </c>
      <c r="S619" t="str">
        <f t="shared" si="68"/>
        <v/>
      </c>
      <c r="T619" t="str">
        <f>IF($N619="","",IF(Sync!$N619="",0,Sync!$N619))</f>
        <v/>
      </c>
      <c r="U619" t="str">
        <f>IF($N619="","",IF(Sync!$O619="",0,Sync!$O619))</f>
        <v/>
      </c>
      <c r="V619" t="str">
        <f>IF($N619="","",Sync!$L619)</f>
        <v/>
      </c>
      <c r="W619" t="str">
        <f>IF($N619="","",Sync!$P619)</f>
        <v/>
      </c>
      <c r="AA619" t="str">
        <f>IF($A619="","",IF(COUNTIF($A$6:$A619,$A619)=1,1,0))</f>
        <v/>
      </c>
      <c r="AB619">
        <f>SUM($AA$6:$AA619)</f>
        <v>3</v>
      </c>
      <c r="AC619" t="str">
        <f t="shared" si="69"/>
        <v/>
      </c>
    </row>
    <row r="620" spans="1:29" x14ac:dyDescent="0.2">
      <c r="A620" t="str">
        <f>IF(OR(Entry!$B623="",Entry!$E623="",$E620="نامعتبر"),"",Entry!$E623)</f>
        <v/>
      </c>
      <c r="B620" t="str">
        <f>IF($A620="","",LEFT($E620,4)&amp;MID($E620,6,2)&amp;RIGHT($E620,2)&amp;$F620&amp;"|"&amp;"1"&amp;RIGHT("00000"&amp;615,5))</f>
        <v/>
      </c>
      <c r="C620" t="str">
        <f t="shared" si="63"/>
        <v/>
      </c>
      <c r="D620" t="str">
        <f t="shared" si="64"/>
        <v/>
      </c>
      <c r="E620" t="str">
        <f>IF(Entry!$B623="","",IF(ISNUMBER(Entry!$B623),IF(AND(Entry!$B623&gt;=10000101,Entry!$B623&lt;=99991231),INT(Entry!$B623/10000)&amp;"/"&amp;RIGHT("00"&amp;INT(MOD(Entry!$B623,10000)/100),2)&amp;"/"&amp;RIGHT("00"&amp;MOD(Entry!$B623,100),2),"نامعتبر"),IF(LEN(Entry!$B623)=10,Entry!$B623,"نامعتبر")))</f>
        <v/>
      </c>
      <c r="F620" t="str">
        <f>IF(Entry!$B623="","",IF(Entry!$C623="","0000",IF(AND(ISNUMBER(Entry!$C623),Entry!$C623&gt;=0,Entry!$C623&lt;1),RIGHT("00"&amp;HOUR(Entry!$C623),2)&amp;RIGHT("00"&amp;MINUTE(Entry!$C623),2),IFERROR(RIGHT("00"&amp;VALUE(LEFT(Entry!$C623,FIND(":",Entry!$C623)-1)),2)&amp;RIGHT("00"&amp;VALUE(MID(Entry!$C623,FIND(":",Entry!$C623)+1,2)),2),"0000"))))</f>
        <v/>
      </c>
      <c r="G620" t="str">
        <f>IF($A620="","",Entry!$G623)</f>
        <v/>
      </c>
      <c r="H620" t="str">
        <f>IF($A620="","",IF(Entry!$H623="",0,Entry!$H623))</f>
        <v/>
      </c>
      <c r="I620" t="str">
        <f>IF($A620="","",IF(Entry!$I623="",0,Entry!$I623))</f>
        <v/>
      </c>
      <c r="J620" t="str">
        <f t="shared" si="65"/>
        <v/>
      </c>
      <c r="K620" t="str">
        <f>IF($A620="","",Entry!$D623)</f>
        <v/>
      </c>
      <c r="L620" t="str">
        <f>IF($A620="","",Entry!$L623)</f>
        <v/>
      </c>
      <c r="N620" t="str">
        <f>IF(OR(Sync!$M620="",$Q620="",$Q620="نامعتبر"),"",Sync!$M620)</f>
        <v/>
      </c>
      <c r="O620" t="str">
        <f t="shared" si="66"/>
        <v/>
      </c>
      <c r="P620" t="str">
        <f>IF($N620="","",LEFT($Q620,4)&amp;MID($Q620,6,2)&amp;RIGHT($Q620,2)&amp;IF(Sync!$K620="","0000",IF(AND(ISNUMBER(Sync!$K620),Sync!$K620&gt;=0,Sync!$K620&lt;1),RIGHT("00"&amp;HOUR(Sync!$K620),2)&amp;RIGHT("00"&amp;MINUTE(Sync!$K620),2),IFERROR(RIGHT("00"&amp;VALUE(LEFT(Sync!$K620,FIND(":",Sync!$K620)-1)),2)&amp;RIGHT("00"&amp;VALUE(MID(Sync!$K620,FIND(":",Sync!$K620)+1,2)),2),"0000")))&amp;"|"&amp;"2"&amp;RIGHT("00000"&amp;615,5))</f>
        <v/>
      </c>
      <c r="Q620" t="str">
        <f>IF(Sync!$J620="","",IF(ISNUMBER(Sync!$J620),IF(AND(Sync!$J620&gt;=10000101,Sync!$J620&lt;=99991231),INT(Sync!$J620/10000)&amp;"/"&amp;RIGHT("00"&amp;INT(MOD(Sync!$J620,10000)/100),2)&amp;"/"&amp;RIGHT("00"&amp;MOD(Sync!$J620,100),2),"نامعتبر"),IF(LEN(Sync!$J620)=10,Sync!$J620,"نامعتبر")))</f>
        <v/>
      </c>
      <c r="R620" t="str">
        <f t="shared" si="67"/>
        <v/>
      </c>
      <c r="S620" t="str">
        <f t="shared" si="68"/>
        <v/>
      </c>
      <c r="T620" t="str">
        <f>IF($N620="","",IF(Sync!$N620="",0,Sync!$N620))</f>
        <v/>
      </c>
      <c r="U620" t="str">
        <f>IF($N620="","",IF(Sync!$O620="",0,Sync!$O620))</f>
        <v/>
      </c>
      <c r="V620" t="str">
        <f>IF($N620="","",Sync!$L620)</f>
        <v/>
      </c>
      <c r="W620" t="str">
        <f>IF($N620="","",Sync!$P620)</f>
        <v/>
      </c>
      <c r="AA620" t="str">
        <f>IF($A620="","",IF(COUNTIF($A$6:$A620,$A620)=1,1,0))</f>
        <v/>
      </c>
      <c r="AB620">
        <f>SUM($AA$6:$AA620)</f>
        <v>3</v>
      </c>
      <c r="AC620" t="str">
        <f t="shared" si="69"/>
        <v/>
      </c>
    </row>
    <row r="621" spans="1:29" x14ac:dyDescent="0.2">
      <c r="A621" t="str">
        <f>IF(OR(Entry!$B624="",Entry!$E624="",$E621="نامعتبر"),"",Entry!$E624)</f>
        <v/>
      </c>
      <c r="B621" t="str">
        <f>IF($A621="","",LEFT($E621,4)&amp;MID($E621,6,2)&amp;RIGHT($E621,2)&amp;$F621&amp;"|"&amp;"1"&amp;RIGHT("00000"&amp;616,5))</f>
        <v/>
      </c>
      <c r="C621" t="str">
        <f t="shared" si="63"/>
        <v/>
      </c>
      <c r="D621" t="str">
        <f t="shared" si="64"/>
        <v/>
      </c>
      <c r="E621" t="str">
        <f>IF(Entry!$B624="","",IF(ISNUMBER(Entry!$B624),IF(AND(Entry!$B624&gt;=10000101,Entry!$B624&lt;=99991231),INT(Entry!$B624/10000)&amp;"/"&amp;RIGHT("00"&amp;INT(MOD(Entry!$B624,10000)/100),2)&amp;"/"&amp;RIGHT("00"&amp;MOD(Entry!$B624,100),2),"نامعتبر"),IF(LEN(Entry!$B624)=10,Entry!$B624,"نامعتبر")))</f>
        <v/>
      </c>
      <c r="F621" t="str">
        <f>IF(Entry!$B624="","",IF(Entry!$C624="","0000",IF(AND(ISNUMBER(Entry!$C624),Entry!$C624&gt;=0,Entry!$C624&lt;1),RIGHT("00"&amp;HOUR(Entry!$C624),2)&amp;RIGHT("00"&amp;MINUTE(Entry!$C624),2),IFERROR(RIGHT("00"&amp;VALUE(LEFT(Entry!$C624,FIND(":",Entry!$C624)-1)),2)&amp;RIGHT("00"&amp;VALUE(MID(Entry!$C624,FIND(":",Entry!$C624)+1,2)),2),"0000"))))</f>
        <v/>
      </c>
      <c r="G621" t="str">
        <f>IF($A621="","",Entry!$G624)</f>
        <v/>
      </c>
      <c r="H621" t="str">
        <f>IF($A621="","",IF(Entry!$H624="",0,Entry!$H624))</f>
        <v/>
      </c>
      <c r="I621" t="str">
        <f>IF($A621="","",IF(Entry!$I624="",0,Entry!$I624))</f>
        <v/>
      </c>
      <c r="J621" t="str">
        <f t="shared" si="65"/>
        <v/>
      </c>
      <c r="K621" t="str">
        <f>IF($A621="","",Entry!$D624)</f>
        <v/>
      </c>
      <c r="L621" t="str">
        <f>IF($A621="","",Entry!$L624)</f>
        <v/>
      </c>
      <c r="N621" t="str">
        <f>IF(OR(Sync!$M621="",$Q621="",$Q621="نامعتبر"),"",Sync!$M621)</f>
        <v/>
      </c>
      <c r="O621" t="str">
        <f t="shared" si="66"/>
        <v/>
      </c>
      <c r="P621" t="str">
        <f>IF($N621="","",LEFT($Q621,4)&amp;MID($Q621,6,2)&amp;RIGHT($Q621,2)&amp;IF(Sync!$K621="","0000",IF(AND(ISNUMBER(Sync!$K621),Sync!$K621&gt;=0,Sync!$K621&lt;1),RIGHT("00"&amp;HOUR(Sync!$K621),2)&amp;RIGHT("00"&amp;MINUTE(Sync!$K621),2),IFERROR(RIGHT("00"&amp;VALUE(LEFT(Sync!$K621,FIND(":",Sync!$K621)-1)),2)&amp;RIGHT("00"&amp;VALUE(MID(Sync!$K621,FIND(":",Sync!$K621)+1,2)),2),"0000")))&amp;"|"&amp;"2"&amp;RIGHT("00000"&amp;616,5))</f>
        <v/>
      </c>
      <c r="Q621" t="str">
        <f>IF(Sync!$J621="","",IF(ISNUMBER(Sync!$J621),IF(AND(Sync!$J621&gt;=10000101,Sync!$J621&lt;=99991231),INT(Sync!$J621/10000)&amp;"/"&amp;RIGHT("00"&amp;INT(MOD(Sync!$J621,10000)/100),2)&amp;"/"&amp;RIGHT("00"&amp;MOD(Sync!$J621,100),2),"نامعتبر"),IF(LEN(Sync!$J621)=10,Sync!$J621,"نامعتبر")))</f>
        <v/>
      </c>
      <c r="R621" t="str">
        <f t="shared" si="67"/>
        <v/>
      </c>
      <c r="S621" t="str">
        <f t="shared" si="68"/>
        <v/>
      </c>
      <c r="T621" t="str">
        <f>IF($N621="","",IF(Sync!$N621="",0,Sync!$N621))</f>
        <v/>
      </c>
      <c r="U621" t="str">
        <f>IF($N621="","",IF(Sync!$O621="",0,Sync!$O621))</f>
        <v/>
      </c>
      <c r="V621" t="str">
        <f>IF($N621="","",Sync!$L621)</f>
        <v/>
      </c>
      <c r="W621" t="str">
        <f>IF($N621="","",Sync!$P621)</f>
        <v/>
      </c>
      <c r="AA621" t="str">
        <f>IF($A621="","",IF(COUNTIF($A$6:$A621,$A621)=1,1,0))</f>
        <v/>
      </c>
      <c r="AB621">
        <f>SUM($AA$6:$AA621)</f>
        <v>3</v>
      </c>
      <c r="AC621" t="str">
        <f t="shared" si="69"/>
        <v/>
      </c>
    </row>
    <row r="622" spans="1:29" x14ac:dyDescent="0.2">
      <c r="A622" t="str">
        <f>IF(OR(Entry!$B625="",Entry!$E625="",$E622="نامعتبر"),"",Entry!$E625)</f>
        <v/>
      </c>
      <c r="B622" t="str">
        <f>IF($A622="","",LEFT($E622,4)&amp;MID($E622,6,2)&amp;RIGHT($E622,2)&amp;$F622&amp;"|"&amp;"1"&amp;RIGHT("00000"&amp;617,5))</f>
        <v/>
      </c>
      <c r="C622" t="str">
        <f t="shared" si="63"/>
        <v/>
      </c>
      <c r="D622" t="str">
        <f t="shared" si="64"/>
        <v/>
      </c>
      <c r="E622" t="str">
        <f>IF(Entry!$B625="","",IF(ISNUMBER(Entry!$B625),IF(AND(Entry!$B625&gt;=10000101,Entry!$B625&lt;=99991231),INT(Entry!$B625/10000)&amp;"/"&amp;RIGHT("00"&amp;INT(MOD(Entry!$B625,10000)/100),2)&amp;"/"&amp;RIGHT("00"&amp;MOD(Entry!$B625,100),2),"نامعتبر"),IF(LEN(Entry!$B625)=10,Entry!$B625,"نامعتبر")))</f>
        <v/>
      </c>
      <c r="F622" t="str">
        <f>IF(Entry!$B625="","",IF(Entry!$C625="","0000",IF(AND(ISNUMBER(Entry!$C625),Entry!$C625&gt;=0,Entry!$C625&lt;1),RIGHT("00"&amp;HOUR(Entry!$C625),2)&amp;RIGHT("00"&amp;MINUTE(Entry!$C625),2),IFERROR(RIGHT("00"&amp;VALUE(LEFT(Entry!$C625,FIND(":",Entry!$C625)-1)),2)&amp;RIGHT("00"&amp;VALUE(MID(Entry!$C625,FIND(":",Entry!$C625)+1,2)),2),"0000"))))</f>
        <v/>
      </c>
      <c r="G622" t="str">
        <f>IF($A622="","",Entry!$G625)</f>
        <v/>
      </c>
      <c r="H622" t="str">
        <f>IF($A622="","",IF(Entry!$H625="",0,Entry!$H625))</f>
        <v/>
      </c>
      <c r="I622" t="str">
        <f>IF($A622="","",IF(Entry!$I625="",0,Entry!$I625))</f>
        <v/>
      </c>
      <c r="J622" t="str">
        <f t="shared" si="65"/>
        <v/>
      </c>
      <c r="K622" t="str">
        <f>IF($A622="","",Entry!$D625)</f>
        <v/>
      </c>
      <c r="L622" t="str">
        <f>IF($A622="","",Entry!$L625)</f>
        <v/>
      </c>
      <c r="N622" t="str">
        <f>IF(OR(Sync!$M622="",$Q622="",$Q622="نامعتبر"),"",Sync!$M622)</f>
        <v/>
      </c>
      <c r="O622" t="str">
        <f t="shared" si="66"/>
        <v/>
      </c>
      <c r="P622" t="str">
        <f>IF($N622="","",LEFT($Q622,4)&amp;MID($Q622,6,2)&amp;RIGHT($Q622,2)&amp;IF(Sync!$K622="","0000",IF(AND(ISNUMBER(Sync!$K622),Sync!$K622&gt;=0,Sync!$K622&lt;1),RIGHT("00"&amp;HOUR(Sync!$K622),2)&amp;RIGHT("00"&amp;MINUTE(Sync!$K622),2),IFERROR(RIGHT("00"&amp;VALUE(LEFT(Sync!$K622,FIND(":",Sync!$K622)-1)),2)&amp;RIGHT("00"&amp;VALUE(MID(Sync!$K622,FIND(":",Sync!$K622)+1,2)),2),"0000")))&amp;"|"&amp;"2"&amp;RIGHT("00000"&amp;617,5))</f>
        <v/>
      </c>
      <c r="Q622" t="str">
        <f>IF(Sync!$J622="","",IF(ISNUMBER(Sync!$J622),IF(AND(Sync!$J622&gt;=10000101,Sync!$J622&lt;=99991231),INT(Sync!$J622/10000)&amp;"/"&amp;RIGHT("00"&amp;INT(MOD(Sync!$J622,10000)/100),2)&amp;"/"&amp;RIGHT("00"&amp;MOD(Sync!$J622,100),2),"نامعتبر"),IF(LEN(Sync!$J622)=10,Sync!$J622,"نامعتبر")))</f>
        <v/>
      </c>
      <c r="R622" t="str">
        <f t="shared" si="67"/>
        <v/>
      </c>
      <c r="S622" t="str">
        <f t="shared" si="68"/>
        <v/>
      </c>
      <c r="T622" t="str">
        <f>IF($N622="","",IF(Sync!$N622="",0,Sync!$N622))</f>
        <v/>
      </c>
      <c r="U622" t="str">
        <f>IF($N622="","",IF(Sync!$O622="",0,Sync!$O622))</f>
        <v/>
      </c>
      <c r="V622" t="str">
        <f>IF($N622="","",Sync!$L622)</f>
        <v/>
      </c>
      <c r="W622" t="str">
        <f>IF($N622="","",Sync!$P622)</f>
        <v/>
      </c>
      <c r="AA622" t="str">
        <f>IF($A622="","",IF(COUNTIF($A$6:$A622,$A622)=1,1,0))</f>
        <v/>
      </c>
      <c r="AB622">
        <f>SUM($AA$6:$AA622)</f>
        <v>3</v>
      </c>
      <c r="AC622" t="str">
        <f t="shared" si="69"/>
        <v/>
      </c>
    </row>
    <row r="623" spans="1:29" x14ac:dyDescent="0.2">
      <c r="A623" t="str">
        <f>IF(OR(Entry!$B626="",Entry!$E626="",$E623="نامعتبر"),"",Entry!$E626)</f>
        <v/>
      </c>
      <c r="B623" t="str">
        <f>IF($A623="","",LEFT($E623,4)&amp;MID($E623,6,2)&amp;RIGHT($E623,2)&amp;$F623&amp;"|"&amp;"1"&amp;RIGHT("00000"&amp;618,5))</f>
        <v/>
      </c>
      <c r="C623" t="str">
        <f t="shared" si="63"/>
        <v/>
      </c>
      <c r="D623" t="str">
        <f t="shared" si="64"/>
        <v/>
      </c>
      <c r="E623" t="str">
        <f>IF(Entry!$B626="","",IF(ISNUMBER(Entry!$B626),IF(AND(Entry!$B626&gt;=10000101,Entry!$B626&lt;=99991231),INT(Entry!$B626/10000)&amp;"/"&amp;RIGHT("00"&amp;INT(MOD(Entry!$B626,10000)/100),2)&amp;"/"&amp;RIGHT("00"&amp;MOD(Entry!$B626,100),2),"نامعتبر"),IF(LEN(Entry!$B626)=10,Entry!$B626,"نامعتبر")))</f>
        <v/>
      </c>
      <c r="F623" t="str">
        <f>IF(Entry!$B626="","",IF(Entry!$C626="","0000",IF(AND(ISNUMBER(Entry!$C626),Entry!$C626&gt;=0,Entry!$C626&lt;1),RIGHT("00"&amp;HOUR(Entry!$C626),2)&amp;RIGHT("00"&amp;MINUTE(Entry!$C626),2),IFERROR(RIGHT("00"&amp;VALUE(LEFT(Entry!$C626,FIND(":",Entry!$C626)-1)),2)&amp;RIGHT("00"&amp;VALUE(MID(Entry!$C626,FIND(":",Entry!$C626)+1,2)),2),"0000"))))</f>
        <v/>
      </c>
      <c r="G623" t="str">
        <f>IF($A623="","",Entry!$G626)</f>
        <v/>
      </c>
      <c r="H623" t="str">
        <f>IF($A623="","",IF(Entry!$H626="",0,Entry!$H626))</f>
        <v/>
      </c>
      <c r="I623" t="str">
        <f>IF($A623="","",IF(Entry!$I626="",0,Entry!$I626))</f>
        <v/>
      </c>
      <c r="J623" t="str">
        <f t="shared" si="65"/>
        <v/>
      </c>
      <c r="K623" t="str">
        <f>IF($A623="","",Entry!$D626)</f>
        <v/>
      </c>
      <c r="L623" t="str">
        <f>IF($A623="","",Entry!$L626)</f>
        <v/>
      </c>
      <c r="N623" t="str">
        <f>IF(OR(Sync!$M623="",$Q623="",$Q623="نامعتبر"),"",Sync!$M623)</f>
        <v/>
      </c>
      <c r="O623" t="str">
        <f t="shared" si="66"/>
        <v/>
      </c>
      <c r="P623" t="str">
        <f>IF($N623="","",LEFT($Q623,4)&amp;MID($Q623,6,2)&amp;RIGHT($Q623,2)&amp;IF(Sync!$K623="","0000",IF(AND(ISNUMBER(Sync!$K623),Sync!$K623&gt;=0,Sync!$K623&lt;1),RIGHT("00"&amp;HOUR(Sync!$K623),2)&amp;RIGHT("00"&amp;MINUTE(Sync!$K623),2),IFERROR(RIGHT("00"&amp;VALUE(LEFT(Sync!$K623,FIND(":",Sync!$K623)-1)),2)&amp;RIGHT("00"&amp;VALUE(MID(Sync!$K623,FIND(":",Sync!$K623)+1,2)),2),"0000")))&amp;"|"&amp;"2"&amp;RIGHT("00000"&amp;618,5))</f>
        <v/>
      </c>
      <c r="Q623" t="str">
        <f>IF(Sync!$J623="","",IF(ISNUMBER(Sync!$J623),IF(AND(Sync!$J623&gt;=10000101,Sync!$J623&lt;=99991231),INT(Sync!$J623/10000)&amp;"/"&amp;RIGHT("00"&amp;INT(MOD(Sync!$J623,10000)/100),2)&amp;"/"&amp;RIGHT("00"&amp;MOD(Sync!$J623,100),2),"نامعتبر"),IF(LEN(Sync!$J623)=10,Sync!$J623,"نامعتبر")))</f>
        <v/>
      </c>
      <c r="R623" t="str">
        <f t="shared" si="67"/>
        <v/>
      </c>
      <c r="S623" t="str">
        <f t="shared" si="68"/>
        <v/>
      </c>
      <c r="T623" t="str">
        <f>IF($N623="","",IF(Sync!$N623="",0,Sync!$N623))</f>
        <v/>
      </c>
      <c r="U623" t="str">
        <f>IF($N623="","",IF(Sync!$O623="",0,Sync!$O623))</f>
        <v/>
      </c>
      <c r="V623" t="str">
        <f>IF($N623="","",Sync!$L623)</f>
        <v/>
      </c>
      <c r="W623" t="str">
        <f>IF($N623="","",Sync!$P623)</f>
        <v/>
      </c>
      <c r="AA623" t="str">
        <f>IF($A623="","",IF(COUNTIF($A$6:$A623,$A623)=1,1,0))</f>
        <v/>
      </c>
      <c r="AB623">
        <f>SUM($AA$6:$AA623)</f>
        <v>3</v>
      </c>
      <c r="AC623" t="str">
        <f t="shared" si="69"/>
        <v/>
      </c>
    </row>
    <row r="624" spans="1:29" x14ac:dyDescent="0.2">
      <c r="A624" t="str">
        <f>IF(OR(Entry!$B627="",Entry!$E627="",$E624="نامعتبر"),"",Entry!$E627)</f>
        <v/>
      </c>
      <c r="B624" t="str">
        <f>IF($A624="","",LEFT($E624,4)&amp;MID($E624,6,2)&amp;RIGHT($E624,2)&amp;$F624&amp;"|"&amp;"1"&amp;RIGHT("00000"&amp;619,5))</f>
        <v/>
      </c>
      <c r="C624" t="str">
        <f t="shared" si="63"/>
        <v/>
      </c>
      <c r="D624" t="str">
        <f t="shared" si="64"/>
        <v/>
      </c>
      <c r="E624" t="str">
        <f>IF(Entry!$B627="","",IF(ISNUMBER(Entry!$B627),IF(AND(Entry!$B627&gt;=10000101,Entry!$B627&lt;=99991231),INT(Entry!$B627/10000)&amp;"/"&amp;RIGHT("00"&amp;INT(MOD(Entry!$B627,10000)/100),2)&amp;"/"&amp;RIGHT("00"&amp;MOD(Entry!$B627,100),2),"نامعتبر"),IF(LEN(Entry!$B627)=10,Entry!$B627,"نامعتبر")))</f>
        <v/>
      </c>
      <c r="F624" t="str">
        <f>IF(Entry!$B627="","",IF(Entry!$C627="","0000",IF(AND(ISNUMBER(Entry!$C627),Entry!$C627&gt;=0,Entry!$C627&lt;1),RIGHT("00"&amp;HOUR(Entry!$C627),2)&amp;RIGHT("00"&amp;MINUTE(Entry!$C627),2),IFERROR(RIGHT("00"&amp;VALUE(LEFT(Entry!$C627,FIND(":",Entry!$C627)-1)),2)&amp;RIGHT("00"&amp;VALUE(MID(Entry!$C627,FIND(":",Entry!$C627)+1,2)),2),"0000"))))</f>
        <v/>
      </c>
      <c r="G624" t="str">
        <f>IF($A624="","",Entry!$G627)</f>
        <v/>
      </c>
      <c r="H624" t="str">
        <f>IF($A624="","",IF(Entry!$H627="",0,Entry!$H627))</f>
        <v/>
      </c>
      <c r="I624" t="str">
        <f>IF($A624="","",IF(Entry!$I627="",0,Entry!$I627))</f>
        <v/>
      </c>
      <c r="J624" t="str">
        <f t="shared" si="65"/>
        <v/>
      </c>
      <c r="K624" t="str">
        <f>IF($A624="","",Entry!$D627)</f>
        <v/>
      </c>
      <c r="L624" t="str">
        <f>IF($A624="","",Entry!$L627)</f>
        <v/>
      </c>
      <c r="N624" t="str">
        <f>IF(OR(Sync!$M624="",$Q624="",$Q624="نامعتبر"),"",Sync!$M624)</f>
        <v/>
      </c>
      <c r="O624" t="str">
        <f t="shared" si="66"/>
        <v/>
      </c>
      <c r="P624" t="str">
        <f>IF($N624="","",LEFT($Q624,4)&amp;MID($Q624,6,2)&amp;RIGHT($Q624,2)&amp;IF(Sync!$K624="","0000",IF(AND(ISNUMBER(Sync!$K624),Sync!$K624&gt;=0,Sync!$K624&lt;1),RIGHT("00"&amp;HOUR(Sync!$K624),2)&amp;RIGHT("00"&amp;MINUTE(Sync!$K624),2),IFERROR(RIGHT("00"&amp;VALUE(LEFT(Sync!$K624,FIND(":",Sync!$K624)-1)),2)&amp;RIGHT("00"&amp;VALUE(MID(Sync!$K624,FIND(":",Sync!$K624)+1,2)),2),"0000")))&amp;"|"&amp;"2"&amp;RIGHT("00000"&amp;619,5))</f>
        <v/>
      </c>
      <c r="Q624" t="str">
        <f>IF(Sync!$J624="","",IF(ISNUMBER(Sync!$J624),IF(AND(Sync!$J624&gt;=10000101,Sync!$J624&lt;=99991231),INT(Sync!$J624/10000)&amp;"/"&amp;RIGHT("00"&amp;INT(MOD(Sync!$J624,10000)/100),2)&amp;"/"&amp;RIGHT("00"&amp;MOD(Sync!$J624,100),2),"نامعتبر"),IF(LEN(Sync!$J624)=10,Sync!$J624,"نامعتبر")))</f>
        <v/>
      </c>
      <c r="R624" t="str">
        <f t="shared" si="67"/>
        <v/>
      </c>
      <c r="S624" t="str">
        <f t="shared" si="68"/>
        <v/>
      </c>
      <c r="T624" t="str">
        <f>IF($N624="","",IF(Sync!$N624="",0,Sync!$N624))</f>
        <v/>
      </c>
      <c r="U624" t="str">
        <f>IF($N624="","",IF(Sync!$O624="",0,Sync!$O624))</f>
        <v/>
      </c>
      <c r="V624" t="str">
        <f>IF($N624="","",Sync!$L624)</f>
        <v/>
      </c>
      <c r="W624" t="str">
        <f>IF($N624="","",Sync!$P624)</f>
        <v/>
      </c>
      <c r="AA624" t="str">
        <f>IF($A624="","",IF(COUNTIF($A$6:$A624,$A624)=1,1,0))</f>
        <v/>
      </c>
      <c r="AB624">
        <f>SUM($AA$6:$AA624)</f>
        <v>3</v>
      </c>
      <c r="AC624" t="str">
        <f t="shared" si="69"/>
        <v/>
      </c>
    </row>
    <row r="625" spans="1:29" x14ac:dyDescent="0.2">
      <c r="A625" t="str">
        <f>IF(OR(Entry!$B628="",Entry!$E628="",$E625="نامعتبر"),"",Entry!$E628)</f>
        <v/>
      </c>
      <c r="B625" t="str">
        <f>IF($A625="","",LEFT($E625,4)&amp;MID($E625,6,2)&amp;RIGHT($E625,2)&amp;$F625&amp;"|"&amp;"1"&amp;RIGHT("00000"&amp;620,5))</f>
        <v/>
      </c>
      <c r="C625" t="str">
        <f t="shared" si="63"/>
        <v/>
      </c>
      <c r="D625" t="str">
        <f t="shared" si="64"/>
        <v/>
      </c>
      <c r="E625" t="str">
        <f>IF(Entry!$B628="","",IF(ISNUMBER(Entry!$B628),IF(AND(Entry!$B628&gt;=10000101,Entry!$B628&lt;=99991231),INT(Entry!$B628/10000)&amp;"/"&amp;RIGHT("00"&amp;INT(MOD(Entry!$B628,10000)/100),2)&amp;"/"&amp;RIGHT("00"&amp;MOD(Entry!$B628,100),2),"نامعتبر"),IF(LEN(Entry!$B628)=10,Entry!$B628,"نامعتبر")))</f>
        <v/>
      </c>
      <c r="F625" t="str">
        <f>IF(Entry!$B628="","",IF(Entry!$C628="","0000",IF(AND(ISNUMBER(Entry!$C628),Entry!$C628&gt;=0,Entry!$C628&lt;1),RIGHT("00"&amp;HOUR(Entry!$C628),2)&amp;RIGHT("00"&amp;MINUTE(Entry!$C628),2),IFERROR(RIGHT("00"&amp;VALUE(LEFT(Entry!$C628,FIND(":",Entry!$C628)-1)),2)&amp;RIGHT("00"&amp;VALUE(MID(Entry!$C628,FIND(":",Entry!$C628)+1,2)),2),"0000"))))</f>
        <v/>
      </c>
      <c r="G625" t="str">
        <f>IF($A625="","",Entry!$G628)</f>
        <v/>
      </c>
      <c r="H625" t="str">
        <f>IF($A625="","",IF(Entry!$H628="",0,Entry!$H628))</f>
        <v/>
      </c>
      <c r="I625" t="str">
        <f>IF($A625="","",IF(Entry!$I628="",0,Entry!$I628))</f>
        <v/>
      </c>
      <c r="J625" t="str">
        <f t="shared" si="65"/>
        <v/>
      </c>
      <c r="K625" t="str">
        <f>IF($A625="","",Entry!$D628)</f>
        <v/>
      </c>
      <c r="L625" t="str">
        <f>IF($A625="","",Entry!$L628)</f>
        <v/>
      </c>
      <c r="N625" t="str">
        <f>IF(OR(Sync!$M625="",$Q625="",$Q625="نامعتبر"),"",Sync!$M625)</f>
        <v/>
      </c>
      <c r="O625" t="str">
        <f t="shared" si="66"/>
        <v/>
      </c>
      <c r="P625" t="str">
        <f>IF($N625="","",LEFT($Q625,4)&amp;MID($Q625,6,2)&amp;RIGHT($Q625,2)&amp;IF(Sync!$K625="","0000",IF(AND(ISNUMBER(Sync!$K625),Sync!$K625&gt;=0,Sync!$K625&lt;1),RIGHT("00"&amp;HOUR(Sync!$K625),2)&amp;RIGHT("00"&amp;MINUTE(Sync!$K625),2),IFERROR(RIGHT("00"&amp;VALUE(LEFT(Sync!$K625,FIND(":",Sync!$K625)-1)),2)&amp;RIGHT("00"&amp;VALUE(MID(Sync!$K625,FIND(":",Sync!$K625)+1,2)),2),"0000")))&amp;"|"&amp;"2"&amp;RIGHT("00000"&amp;620,5))</f>
        <v/>
      </c>
      <c r="Q625" t="str">
        <f>IF(Sync!$J625="","",IF(ISNUMBER(Sync!$J625),IF(AND(Sync!$J625&gt;=10000101,Sync!$J625&lt;=99991231),INT(Sync!$J625/10000)&amp;"/"&amp;RIGHT("00"&amp;INT(MOD(Sync!$J625,10000)/100),2)&amp;"/"&amp;RIGHT("00"&amp;MOD(Sync!$J625,100),2),"نامعتبر"),IF(LEN(Sync!$J625)=10,Sync!$J625,"نامعتبر")))</f>
        <v/>
      </c>
      <c r="R625" t="str">
        <f t="shared" si="67"/>
        <v/>
      </c>
      <c r="S625" t="str">
        <f t="shared" si="68"/>
        <v/>
      </c>
      <c r="T625" t="str">
        <f>IF($N625="","",IF(Sync!$N625="",0,Sync!$N625))</f>
        <v/>
      </c>
      <c r="U625" t="str">
        <f>IF($N625="","",IF(Sync!$O625="",0,Sync!$O625))</f>
        <v/>
      </c>
      <c r="V625" t="str">
        <f>IF($N625="","",Sync!$L625)</f>
        <v/>
      </c>
      <c r="W625" t="str">
        <f>IF($N625="","",Sync!$P625)</f>
        <v/>
      </c>
      <c r="AA625" t="str">
        <f>IF($A625="","",IF(COUNTIF($A$6:$A625,$A625)=1,1,0))</f>
        <v/>
      </c>
      <c r="AB625">
        <f>SUM($AA$6:$AA625)</f>
        <v>3</v>
      </c>
      <c r="AC625" t="str">
        <f t="shared" si="69"/>
        <v/>
      </c>
    </row>
    <row r="626" spans="1:29" x14ac:dyDescent="0.2">
      <c r="A626" t="str">
        <f>IF(OR(Entry!$B629="",Entry!$E629="",$E626="نامعتبر"),"",Entry!$E629)</f>
        <v/>
      </c>
      <c r="B626" t="str">
        <f>IF($A626="","",LEFT($E626,4)&amp;MID($E626,6,2)&amp;RIGHT($E626,2)&amp;$F626&amp;"|"&amp;"1"&amp;RIGHT("00000"&amp;621,5))</f>
        <v/>
      </c>
      <c r="C626" t="str">
        <f t="shared" si="63"/>
        <v/>
      </c>
      <c r="D626" t="str">
        <f t="shared" si="64"/>
        <v/>
      </c>
      <c r="E626" t="str">
        <f>IF(Entry!$B629="","",IF(ISNUMBER(Entry!$B629),IF(AND(Entry!$B629&gt;=10000101,Entry!$B629&lt;=99991231),INT(Entry!$B629/10000)&amp;"/"&amp;RIGHT("00"&amp;INT(MOD(Entry!$B629,10000)/100),2)&amp;"/"&amp;RIGHT("00"&amp;MOD(Entry!$B629,100),2),"نامعتبر"),IF(LEN(Entry!$B629)=10,Entry!$B629,"نامعتبر")))</f>
        <v/>
      </c>
      <c r="F626" t="str">
        <f>IF(Entry!$B629="","",IF(Entry!$C629="","0000",IF(AND(ISNUMBER(Entry!$C629),Entry!$C629&gt;=0,Entry!$C629&lt;1),RIGHT("00"&amp;HOUR(Entry!$C629),2)&amp;RIGHT("00"&amp;MINUTE(Entry!$C629),2),IFERROR(RIGHT("00"&amp;VALUE(LEFT(Entry!$C629,FIND(":",Entry!$C629)-1)),2)&amp;RIGHT("00"&amp;VALUE(MID(Entry!$C629,FIND(":",Entry!$C629)+1,2)),2),"0000"))))</f>
        <v/>
      </c>
      <c r="G626" t="str">
        <f>IF($A626="","",Entry!$G629)</f>
        <v/>
      </c>
      <c r="H626" t="str">
        <f>IF($A626="","",IF(Entry!$H629="",0,Entry!$H629))</f>
        <v/>
      </c>
      <c r="I626" t="str">
        <f>IF($A626="","",IF(Entry!$I629="",0,Entry!$I629))</f>
        <v/>
      </c>
      <c r="J626" t="str">
        <f t="shared" si="65"/>
        <v/>
      </c>
      <c r="K626" t="str">
        <f>IF($A626="","",Entry!$D629)</f>
        <v/>
      </c>
      <c r="L626" t="str">
        <f>IF($A626="","",Entry!$L629)</f>
        <v/>
      </c>
      <c r="N626" t="str">
        <f>IF(OR(Sync!$M626="",$Q626="",$Q626="نامعتبر"),"",Sync!$M626)</f>
        <v/>
      </c>
      <c r="O626" t="str">
        <f t="shared" si="66"/>
        <v/>
      </c>
      <c r="P626" t="str">
        <f>IF($N626="","",LEFT($Q626,4)&amp;MID($Q626,6,2)&amp;RIGHT($Q626,2)&amp;IF(Sync!$K626="","0000",IF(AND(ISNUMBER(Sync!$K626),Sync!$K626&gt;=0,Sync!$K626&lt;1),RIGHT("00"&amp;HOUR(Sync!$K626),2)&amp;RIGHT("00"&amp;MINUTE(Sync!$K626),2),IFERROR(RIGHT("00"&amp;VALUE(LEFT(Sync!$K626,FIND(":",Sync!$K626)-1)),2)&amp;RIGHT("00"&amp;VALUE(MID(Sync!$K626,FIND(":",Sync!$K626)+1,2)),2),"0000")))&amp;"|"&amp;"2"&amp;RIGHT("00000"&amp;621,5))</f>
        <v/>
      </c>
      <c r="Q626" t="str">
        <f>IF(Sync!$J626="","",IF(ISNUMBER(Sync!$J626),IF(AND(Sync!$J626&gt;=10000101,Sync!$J626&lt;=99991231),INT(Sync!$J626/10000)&amp;"/"&amp;RIGHT("00"&amp;INT(MOD(Sync!$J626,10000)/100),2)&amp;"/"&amp;RIGHT("00"&amp;MOD(Sync!$J626,100),2),"نامعتبر"),IF(LEN(Sync!$J626)=10,Sync!$J626,"نامعتبر")))</f>
        <v/>
      </c>
      <c r="R626" t="str">
        <f t="shared" si="67"/>
        <v/>
      </c>
      <c r="S626" t="str">
        <f t="shared" si="68"/>
        <v/>
      </c>
      <c r="T626" t="str">
        <f>IF($N626="","",IF(Sync!$N626="",0,Sync!$N626))</f>
        <v/>
      </c>
      <c r="U626" t="str">
        <f>IF($N626="","",IF(Sync!$O626="",0,Sync!$O626))</f>
        <v/>
      </c>
      <c r="V626" t="str">
        <f>IF($N626="","",Sync!$L626)</f>
        <v/>
      </c>
      <c r="W626" t="str">
        <f>IF($N626="","",Sync!$P626)</f>
        <v/>
      </c>
      <c r="AA626" t="str">
        <f>IF($A626="","",IF(COUNTIF($A$6:$A626,$A626)=1,1,0))</f>
        <v/>
      </c>
      <c r="AB626">
        <f>SUM($AA$6:$AA626)</f>
        <v>3</v>
      </c>
      <c r="AC626" t="str">
        <f t="shared" si="69"/>
        <v/>
      </c>
    </row>
    <row r="627" spans="1:29" x14ac:dyDescent="0.2">
      <c r="A627" t="str">
        <f>IF(OR(Entry!$B630="",Entry!$E630="",$E627="نامعتبر"),"",Entry!$E630)</f>
        <v/>
      </c>
      <c r="B627" t="str">
        <f>IF($A627="","",LEFT($E627,4)&amp;MID($E627,6,2)&amp;RIGHT($E627,2)&amp;$F627&amp;"|"&amp;"1"&amp;RIGHT("00000"&amp;622,5))</f>
        <v/>
      </c>
      <c r="C627" t="str">
        <f t="shared" si="63"/>
        <v/>
      </c>
      <c r="D627" t="str">
        <f t="shared" si="64"/>
        <v/>
      </c>
      <c r="E627" t="str">
        <f>IF(Entry!$B630="","",IF(ISNUMBER(Entry!$B630),IF(AND(Entry!$B630&gt;=10000101,Entry!$B630&lt;=99991231),INT(Entry!$B630/10000)&amp;"/"&amp;RIGHT("00"&amp;INT(MOD(Entry!$B630,10000)/100),2)&amp;"/"&amp;RIGHT("00"&amp;MOD(Entry!$B630,100),2),"نامعتبر"),IF(LEN(Entry!$B630)=10,Entry!$B630,"نامعتبر")))</f>
        <v/>
      </c>
      <c r="F627" t="str">
        <f>IF(Entry!$B630="","",IF(Entry!$C630="","0000",IF(AND(ISNUMBER(Entry!$C630),Entry!$C630&gt;=0,Entry!$C630&lt;1),RIGHT("00"&amp;HOUR(Entry!$C630),2)&amp;RIGHT("00"&amp;MINUTE(Entry!$C630),2),IFERROR(RIGHT("00"&amp;VALUE(LEFT(Entry!$C630,FIND(":",Entry!$C630)-1)),2)&amp;RIGHT("00"&amp;VALUE(MID(Entry!$C630,FIND(":",Entry!$C630)+1,2)),2),"0000"))))</f>
        <v/>
      </c>
      <c r="G627" t="str">
        <f>IF($A627="","",Entry!$G630)</f>
        <v/>
      </c>
      <c r="H627" t="str">
        <f>IF($A627="","",IF(Entry!$H630="",0,Entry!$H630))</f>
        <v/>
      </c>
      <c r="I627" t="str">
        <f>IF($A627="","",IF(Entry!$I630="",0,Entry!$I630))</f>
        <v/>
      </c>
      <c r="J627" t="str">
        <f t="shared" si="65"/>
        <v/>
      </c>
      <c r="K627" t="str">
        <f>IF($A627="","",Entry!$D630)</f>
        <v/>
      </c>
      <c r="L627" t="str">
        <f>IF($A627="","",Entry!$L630)</f>
        <v/>
      </c>
      <c r="N627" t="str">
        <f>IF(OR(Sync!$M627="",$Q627="",$Q627="نامعتبر"),"",Sync!$M627)</f>
        <v/>
      </c>
      <c r="O627" t="str">
        <f t="shared" si="66"/>
        <v/>
      </c>
      <c r="P627" t="str">
        <f>IF($N627="","",LEFT($Q627,4)&amp;MID($Q627,6,2)&amp;RIGHT($Q627,2)&amp;IF(Sync!$K627="","0000",IF(AND(ISNUMBER(Sync!$K627),Sync!$K627&gt;=0,Sync!$K627&lt;1),RIGHT("00"&amp;HOUR(Sync!$K627),2)&amp;RIGHT("00"&amp;MINUTE(Sync!$K627),2),IFERROR(RIGHT("00"&amp;VALUE(LEFT(Sync!$K627,FIND(":",Sync!$K627)-1)),2)&amp;RIGHT("00"&amp;VALUE(MID(Sync!$K627,FIND(":",Sync!$K627)+1,2)),2),"0000")))&amp;"|"&amp;"2"&amp;RIGHT("00000"&amp;622,5))</f>
        <v/>
      </c>
      <c r="Q627" t="str">
        <f>IF(Sync!$J627="","",IF(ISNUMBER(Sync!$J627),IF(AND(Sync!$J627&gt;=10000101,Sync!$J627&lt;=99991231),INT(Sync!$J627/10000)&amp;"/"&amp;RIGHT("00"&amp;INT(MOD(Sync!$J627,10000)/100),2)&amp;"/"&amp;RIGHT("00"&amp;MOD(Sync!$J627,100),2),"نامعتبر"),IF(LEN(Sync!$J627)=10,Sync!$J627,"نامعتبر")))</f>
        <v/>
      </c>
      <c r="R627" t="str">
        <f t="shared" si="67"/>
        <v/>
      </c>
      <c r="S627" t="str">
        <f t="shared" si="68"/>
        <v/>
      </c>
      <c r="T627" t="str">
        <f>IF($N627="","",IF(Sync!$N627="",0,Sync!$N627))</f>
        <v/>
      </c>
      <c r="U627" t="str">
        <f>IF($N627="","",IF(Sync!$O627="",0,Sync!$O627))</f>
        <v/>
      </c>
      <c r="V627" t="str">
        <f>IF($N627="","",Sync!$L627)</f>
        <v/>
      </c>
      <c r="W627" t="str">
        <f>IF($N627="","",Sync!$P627)</f>
        <v/>
      </c>
      <c r="AA627" t="str">
        <f>IF($A627="","",IF(COUNTIF($A$6:$A627,$A627)=1,1,0))</f>
        <v/>
      </c>
      <c r="AB627">
        <f>SUM($AA$6:$AA627)</f>
        <v>3</v>
      </c>
      <c r="AC627" t="str">
        <f t="shared" si="69"/>
        <v/>
      </c>
    </row>
    <row r="628" spans="1:29" x14ac:dyDescent="0.2">
      <c r="A628" t="str">
        <f>IF(OR(Entry!$B631="",Entry!$E631="",$E628="نامعتبر"),"",Entry!$E631)</f>
        <v/>
      </c>
      <c r="B628" t="str">
        <f>IF($A628="","",LEFT($E628,4)&amp;MID($E628,6,2)&amp;RIGHT($E628,2)&amp;$F628&amp;"|"&amp;"1"&amp;RIGHT("00000"&amp;623,5))</f>
        <v/>
      </c>
      <c r="C628" t="str">
        <f t="shared" si="63"/>
        <v/>
      </c>
      <c r="D628" t="str">
        <f t="shared" si="64"/>
        <v/>
      </c>
      <c r="E628" t="str">
        <f>IF(Entry!$B631="","",IF(ISNUMBER(Entry!$B631),IF(AND(Entry!$B631&gt;=10000101,Entry!$B631&lt;=99991231),INT(Entry!$B631/10000)&amp;"/"&amp;RIGHT("00"&amp;INT(MOD(Entry!$B631,10000)/100),2)&amp;"/"&amp;RIGHT("00"&amp;MOD(Entry!$B631,100),2),"نامعتبر"),IF(LEN(Entry!$B631)=10,Entry!$B631,"نامعتبر")))</f>
        <v/>
      </c>
      <c r="F628" t="str">
        <f>IF(Entry!$B631="","",IF(Entry!$C631="","0000",IF(AND(ISNUMBER(Entry!$C631),Entry!$C631&gt;=0,Entry!$C631&lt;1),RIGHT("00"&amp;HOUR(Entry!$C631),2)&amp;RIGHT("00"&amp;MINUTE(Entry!$C631),2),IFERROR(RIGHT("00"&amp;VALUE(LEFT(Entry!$C631,FIND(":",Entry!$C631)-1)),2)&amp;RIGHT("00"&amp;VALUE(MID(Entry!$C631,FIND(":",Entry!$C631)+1,2)),2),"0000"))))</f>
        <v/>
      </c>
      <c r="G628" t="str">
        <f>IF($A628="","",Entry!$G631)</f>
        <v/>
      </c>
      <c r="H628" t="str">
        <f>IF($A628="","",IF(Entry!$H631="",0,Entry!$H631))</f>
        <v/>
      </c>
      <c r="I628" t="str">
        <f>IF($A628="","",IF(Entry!$I631="",0,Entry!$I631))</f>
        <v/>
      </c>
      <c r="J628" t="str">
        <f t="shared" si="65"/>
        <v/>
      </c>
      <c r="K628" t="str">
        <f>IF($A628="","",Entry!$D631)</f>
        <v/>
      </c>
      <c r="L628" t="str">
        <f>IF($A628="","",Entry!$L631)</f>
        <v/>
      </c>
      <c r="N628" t="str">
        <f>IF(OR(Sync!$M628="",$Q628="",$Q628="نامعتبر"),"",Sync!$M628)</f>
        <v/>
      </c>
      <c r="O628" t="str">
        <f t="shared" si="66"/>
        <v/>
      </c>
      <c r="P628" t="str">
        <f>IF($N628="","",LEFT($Q628,4)&amp;MID($Q628,6,2)&amp;RIGHT($Q628,2)&amp;IF(Sync!$K628="","0000",IF(AND(ISNUMBER(Sync!$K628),Sync!$K628&gt;=0,Sync!$K628&lt;1),RIGHT("00"&amp;HOUR(Sync!$K628),2)&amp;RIGHT("00"&amp;MINUTE(Sync!$K628),2),IFERROR(RIGHT("00"&amp;VALUE(LEFT(Sync!$K628,FIND(":",Sync!$K628)-1)),2)&amp;RIGHT("00"&amp;VALUE(MID(Sync!$K628,FIND(":",Sync!$K628)+1,2)),2),"0000")))&amp;"|"&amp;"2"&amp;RIGHT("00000"&amp;623,5))</f>
        <v/>
      </c>
      <c r="Q628" t="str">
        <f>IF(Sync!$J628="","",IF(ISNUMBER(Sync!$J628),IF(AND(Sync!$J628&gt;=10000101,Sync!$J628&lt;=99991231),INT(Sync!$J628/10000)&amp;"/"&amp;RIGHT("00"&amp;INT(MOD(Sync!$J628,10000)/100),2)&amp;"/"&amp;RIGHT("00"&amp;MOD(Sync!$J628,100),2),"نامعتبر"),IF(LEN(Sync!$J628)=10,Sync!$J628,"نامعتبر")))</f>
        <v/>
      </c>
      <c r="R628" t="str">
        <f t="shared" si="67"/>
        <v/>
      </c>
      <c r="S628" t="str">
        <f t="shared" si="68"/>
        <v/>
      </c>
      <c r="T628" t="str">
        <f>IF($N628="","",IF(Sync!$N628="",0,Sync!$N628))</f>
        <v/>
      </c>
      <c r="U628" t="str">
        <f>IF($N628="","",IF(Sync!$O628="",0,Sync!$O628))</f>
        <v/>
      </c>
      <c r="V628" t="str">
        <f>IF($N628="","",Sync!$L628)</f>
        <v/>
      </c>
      <c r="W628" t="str">
        <f>IF($N628="","",Sync!$P628)</f>
        <v/>
      </c>
      <c r="AA628" t="str">
        <f>IF($A628="","",IF(COUNTIF($A$6:$A628,$A628)=1,1,0))</f>
        <v/>
      </c>
      <c r="AB628">
        <f>SUM($AA$6:$AA628)</f>
        <v>3</v>
      </c>
      <c r="AC628" t="str">
        <f t="shared" si="69"/>
        <v/>
      </c>
    </row>
    <row r="629" spans="1:29" x14ac:dyDescent="0.2">
      <c r="A629" t="str">
        <f>IF(OR(Entry!$B632="",Entry!$E632="",$E629="نامعتبر"),"",Entry!$E632)</f>
        <v/>
      </c>
      <c r="B629" t="str">
        <f>IF($A629="","",LEFT($E629,4)&amp;MID($E629,6,2)&amp;RIGHT($E629,2)&amp;$F629&amp;"|"&amp;"1"&amp;RIGHT("00000"&amp;624,5))</f>
        <v/>
      </c>
      <c r="C629" t="str">
        <f t="shared" si="63"/>
        <v/>
      </c>
      <c r="D629" t="str">
        <f t="shared" si="64"/>
        <v/>
      </c>
      <c r="E629" t="str">
        <f>IF(Entry!$B632="","",IF(ISNUMBER(Entry!$B632),IF(AND(Entry!$B632&gt;=10000101,Entry!$B632&lt;=99991231),INT(Entry!$B632/10000)&amp;"/"&amp;RIGHT("00"&amp;INT(MOD(Entry!$B632,10000)/100),2)&amp;"/"&amp;RIGHT("00"&amp;MOD(Entry!$B632,100),2),"نامعتبر"),IF(LEN(Entry!$B632)=10,Entry!$B632,"نامعتبر")))</f>
        <v/>
      </c>
      <c r="F629" t="str">
        <f>IF(Entry!$B632="","",IF(Entry!$C632="","0000",IF(AND(ISNUMBER(Entry!$C632),Entry!$C632&gt;=0,Entry!$C632&lt;1),RIGHT("00"&amp;HOUR(Entry!$C632),2)&amp;RIGHT("00"&amp;MINUTE(Entry!$C632),2),IFERROR(RIGHT("00"&amp;VALUE(LEFT(Entry!$C632,FIND(":",Entry!$C632)-1)),2)&amp;RIGHT("00"&amp;VALUE(MID(Entry!$C632,FIND(":",Entry!$C632)+1,2)),2),"0000"))))</f>
        <v/>
      </c>
      <c r="G629" t="str">
        <f>IF($A629="","",Entry!$G632)</f>
        <v/>
      </c>
      <c r="H629" t="str">
        <f>IF($A629="","",IF(Entry!$H632="",0,Entry!$H632))</f>
        <v/>
      </c>
      <c r="I629" t="str">
        <f>IF($A629="","",IF(Entry!$I632="",0,Entry!$I632))</f>
        <v/>
      </c>
      <c r="J629" t="str">
        <f t="shared" si="65"/>
        <v/>
      </c>
      <c r="K629" t="str">
        <f>IF($A629="","",Entry!$D632)</f>
        <v/>
      </c>
      <c r="L629" t="str">
        <f>IF($A629="","",Entry!$L632)</f>
        <v/>
      </c>
      <c r="N629" t="str">
        <f>IF(OR(Sync!$M629="",$Q629="",$Q629="نامعتبر"),"",Sync!$M629)</f>
        <v/>
      </c>
      <c r="O629" t="str">
        <f t="shared" si="66"/>
        <v/>
      </c>
      <c r="P629" t="str">
        <f>IF($N629="","",LEFT($Q629,4)&amp;MID($Q629,6,2)&amp;RIGHT($Q629,2)&amp;IF(Sync!$K629="","0000",IF(AND(ISNUMBER(Sync!$K629),Sync!$K629&gt;=0,Sync!$K629&lt;1),RIGHT("00"&amp;HOUR(Sync!$K629),2)&amp;RIGHT("00"&amp;MINUTE(Sync!$K629),2),IFERROR(RIGHT("00"&amp;VALUE(LEFT(Sync!$K629,FIND(":",Sync!$K629)-1)),2)&amp;RIGHT("00"&amp;VALUE(MID(Sync!$K629,FIND(":",Sync!$K629)+1,2)),2),"0000")))&amp;"|"&amp;"2"&amp;RIGHT("00000"&amp;624,5))</f>
        <v/>
      </c>
      <c r="Q629" t="str">
        <f>IF(Sync!$J629="","",IF(ISNUMBER(Sync!$J629),IF(AND(Sync!$J629&gt;=10000101,Sync!$J629&lt;=99991231),INT(Sync!$J629/10000)&amp;"/"&amp;RIGHT("00"&amp;INT(MOD(Sync!$J629,10000)/100),2)&amp;"/"&amp;RIGHT("00"&amp;MOD(Sync!$J629,100),2),"نامعتبر"),IF(LEN(Sync!$J629)=10,Sync!$J629,"نامعتبر")))</f>
        <v/>
      </c>
      <c r="R629" t="str">
        <f t="shared" si="67"/>
        <v/>
      </c>
      <c r="S629" t="str">
        <f t="shared" si="68"/>
        <v/>
      </c>
      <c r="T629" t="str">
        <f>IF($N629="","",IF(Sync!$N629="",0,Sync!$N629))</f>
        <v/>
      </c>
      <c r="U629" t="str">
        <f>IF($N629="","",IF(Sync!$O629="",0,Sync!$O629))</f>
        <v/>
      </c>
      <c r="V629" t="str">
        <f>IF($N629="","",Sync!$L629)</f>
        <v/>
      </c>
      <c r="W629" t="str">
        <f>IF($N629="","",Sync!$P629)</f>
        <v/>
      </c>
      <c r="AA629" t="str">
        <f>IF($A629="","",IF(COUNTIF($A$6:$A629,$A629)=1,1,0))</f>
        <v/>
      </c>
      <c r="AB629">
        <f>SUM($AA$6:$AA629)</f>
        <v>3</v>
      </c>
      <c r="AC629" t="str">
        <f t="shared" si="69"/>
        <v/>
      </c>
    </row>
    <row r="630" spans="1:29" x14ac:dyDescent="0.2">
      <c r="A630" t="str">
        <f>IF(OR(Entry!$B633="",Entry!$E633="",$E630="نامعتبر"),"",Entry!$E633)</f>
        <v/>
      </c>
      <c r="B630" t="str">
        <f>IF($A630="","",LEFT($E630,4)&amp;MID($E630,6,2)&amp;RIGHT($E630,2)&amp;$F630&amp;"|"&amp;"1"&amp;RIGHT("00000"&amp;625,5))</f>
        <v/>
      </c>
      <c r="C630" t="str">
        <f t="shared" si="63"/>
        <v/>
      </c>
      <c r="D630" t="str">
        <f t="shared" si="64"/>
        <v/>
      </c>
      <c r="E630" t="str">
        <f>IF(Entry!$B633="","",IF(ISNUMBER(Entry!$B633),IF(AND(Entry!$B633&gt;=10000101,Entry!$B633&lt;=99991231),INT(Entry!$B633/10000)&amp;"/"&amp;RIGHT("00"&amp;INT(MOD(Entry!$B633,10000)/100),2)&amp;"/"&amp;RIGHT("00"&amp;MOD(Entry!$B633,100),2),"نامعتبر"),IF(LEN(Entry!$B633)=10,Entry!$B633,"نامعتبر")))</f>
        <v/>
      </c>
      <c r="F630" t="str">
        <f>IF(Entry!$B633="","",IF(Entry!$C633="","0000",IF(AND(ISNUMBER(Entry!$C633),Entry!$C633&gt;=0,Entry!$C633&lt;1),RIGHT("00"&amp;HOUR(Entry!$C633),2)&amp;RIGHT("00"&amp;MINUTE(Entry!$C633),2),IFERROR(RIGHT("00"&amp;VALUE(LEFT(Entry!$C633,FIND(":",Entry!$C633)-1)),2)&amp;RIGHT("00"&amp;VALUE(MID(Entry!$C633,FIND(":",Entry!$C633)+1,2)),2),"0000"))))</f>
        <v/>
      </c>
      <c r="G630" t="str">
        <f>IF($A630="","",Entry!$G633)</f>
        <v/>
      </c>
      <c r="H630" t="str">
        <f>IF($A630="","",IF(Entry!$H633="",0,Entry!$H633))</f>
        <v/>
      </c>
      <c r="I630" t="str">
        <f>IF($A630="","",IF(Entry!$I633="",0,Entry!$I633))</f>
        <v/>
      </c>
      <c r="J630" t="str">
        <f t="shared" si="65"/>
        <v/>
      </c>
      <c r="K630" t="str">
        <f>IF($A630="","",Entry!$D633)</f>
        <v/>
      </c>
      <c r="L630" t="str">
        <f>IF($A630="","",Entry!$L633)</f>
        <v/>
      </c>
      <c r="N630" t="str">
        <f>IF(OR(Sync!$M630="",$Q630="",$Q630="نامعتبر"),"",Sync!$M630)</f>
        <v/>
      </c>
      <c r="O630" t="str">
        <f t="shared" si="66"/>
        <v/>
      </c>
      <c r="P630" t="str">
        <f>IF($N630="","",LEFT($Q630,4)&amp;MID($Q630,6,2)&amp;RIGHT($Q630,2)&amp;IF(Sync!$K630="","0000",IF(AND(ISNUMBER(Sync!$K630),Sync!$K630&gt;=0,Sync!$K630&lt;1),RIGHT("00"&amp;HOUR(Sync!$K630),2)&amp;RIGHT("00"&amp;MINUTE(Sync!$K630),2),IFERROR(RIGHT("00"&amp;VALUE(LEFT(Sync!$K630,FIND(":",Sync!$K630)-1)),2)&amp;RIGHT("00"&amp;VALUE(MID(Sync!$K630,FIND(":",Sync!$K630)+1,2)),2),"0000")))&amp;"|"&amp;"2"&amp;RIGHT("00000"&amp;625,5))</f>
        <v/>
      </c>
      <c r="Q630" t="str">
        <f>IF(Sync!$J630="","",IF(ISNUMBER(Sync!$J630),IF(AND(Sync!$J630&gt;=10000101,Sync!$J630&lt;=99991231),INT(Sync!$J630/10000)&amp;"/"&amp;RIGHT("00"&amp;INT(MOD(Sync!$J630,10000)/100),2)&amp;"/"&amp;RIGHT("00"&amp;MOD(Sync!$J630,100),2),"نامعتبر"),IF(LEN(Sync!$J630)=10,Sync!$J630,"نامعتبر")))</f>
        <v/>
      </c>
      <c r="R630" t="str">
        <f t="shared" si="67"/>
        <v/>
      </c>
      <c r="S630" t="str">
        <f t="shared" si="68"/>
        <v/>
      </c>
      <c r="T630" t="str">
        <f>IF($N630="","",IF(Sync!$N630="",0,Sync!$N630))</f>
        <v/>
      </c>
      <c r="U630" t="str">
        <f>IF($N630="","",IF(Sync!$O630="",0,Sync!$O630))</f>
        <v/>
      </c>
      <c r="V630" t="str">
        <f>IF($N630="","",Sync!$L630)</f>
        <v/>
      </c>
      <c r="W630" t="str">
        <f>IF($N630="","",Sync!$P630)</f>
        <v/>
      </c>
      <c r="AA630" t="str">
        <f>IF($A630="","",IF(COUNTIF($A$6:$A630,$A630)=1,1,0))</f>
        <v/>
      </c>
      <c r="AB630">
        <f>SUM($AA$6:$AA630)</f>
        <v>3</v>
      </c>
      <c r="AC630" t="str">
        <f t="shared" si="69"/>
        <v/>
      </c>
    </row>
    <row r="631" spans="1:29" x14ac:dyDescent="0.2">
      <c r="A631" t="str">
        <f>IF(OR(Entry!$B634="",Entry!$E634="",$E631="نامعتبر"),"",Entry!$E634)</f>
        <v/>
      </c>
      <c r="B631" t="str">
        <f>IF($A631="","",LEFT($E631,4)&amp;MID($E631,6,2)&amp;RIGHT($E631,2)&amp;$F631&amp;"|"&amp;"1"&amp;RIGHT("00000"&amp;626,5))</f>
        <v/>
      </c>
      <c r="C631" t="str">
        <f t="shared" si="63"/>
        <v/>
      </c>
      <c r="D631" t="str">
        <f t="shared" si="64"/>
        <v/>
      </c>
      <c r="E631" t="str">
        <f>IF(Entry!$B634="","",IF(ISNUMBER(Entry!$B634),IF(AND(Entry!$B634&gt;=10000101,Entry!$B634&lt;=99991231),INT(Entry!$B634/10000)&amp;"/"&amp;RIGHT("00"&amp;INT(MOD(Entry!$B634,10000)/100),2)&amp;"/"&amp;RIGHT("00"&amp;MOD(Entry!$B634,100),2),"نامعتبر"),IF(LEN(Entry!$B634)=10,Entry!$B634,"نامعتبر")))</f>
        <v/>
      </c>
      <c r="F631" t="str">
        <f>IF(Entry!$B634="","",IF(Entry!$C634="","0000",IF(AND(ISNUMBER(Entry!$C634),Entry!$C634&gt;=0,Entry!$C634&lt;1),RIGHT("00"&amp;HOUR(Entry!$C634),2)&amp;RIGHT("00"&amp;MINUTE(Entry!$C634),2),IFERROR(RIGHT("00"&amp;VALUE(LEFT(Entry!$C634,FIND(":",Entry!$C634)-1)),2)&amp;RIGHT("00"&amp;VALUE(MID(Entry!$C634,FIND(":",Entry!$C634)+1,2)),2),"0000"))))</f>
        <v/>
      </c>
      <c r="G631" t="str">
        <f>IF($A631="","",Entry!$G634)</f>
        <v/>
      </c>
      <c r="H631" t="str">
        <f>IF($A631="","",IF(Entry!$H634="",0,Entry!$H634))</f>
        <v/>
      </c>
      <c r="I631" t="str">
        <f>IF($A631="","",IF(Entry!$I634="",0,Entry!$I634))</f>
        <v/>
      </c>
      <c r="J631" t="str">
        <f t="shared" si="65"/>
        <v/>
      </c>
      <c r="K631" t="str">
        <f>IF($A631="","",Entry!$D634)</f>
        <v/>
      </c>
      <c r="L631" t="str">
        <f>IF($A631="","",Entry!$L634)</f>
        <v/>
      </c>
      <c r="N631" t="str">
        <f>IF(OR(Sync!$M631="",$Q631="",$Q631="نامعتبر"),"",Sync!$M631)</f>
        <v/>
      </c>
      <c r="O631" t="str">
        <f t="shared" si="66"/>
        <v/>
      </c>
      <c r="P631" t="str">
        <f>IF($N631="","",LEFT($Q631,4)&amp;MID($Q631,6,2)&amp;RIGHT($Q631,2)&amp;IF(Sync!$K631="","0000",IF(AND(ISNUMBER(Sync!$K631),Sync!$K631&gt;=0,Sync!$K631&lt;1),RIGHT("00"&amp;HOUR(Sync!$K631),2)&amp;RIGHT("00"&amp;MINUTE(Sync!$K631),2),IFERROR(RIGHT("00"&amp;VALUE(LEFT(Sync!$K631,FIND(":",Sync!$K631)-1)),2)&amp;RIGHT("00"&amp;VALUE(MID(Sync!$K631,FIND(":",Sync!$K631)+1,2)),2),"0000")))&amp;"|"&amp;"2"&amp;RIGHT("00000"&amp;626,5))</f>
        <v/>
      </c>
      <c r="Q631" t="str">
        <f>IF(Sync!$J631="","",IF(ISNUMBER(Sync!$J631),IF(AND(Sync!$J631&gt;=10000101,Sync!$J631&lt;=99991231),INT(Sync!$J631/10000)&amp;"/"&amp;RIGHT("00"&amp;INT(MOD(Sync!$J631,10000)/100),2)&amp;"/"&amp;RIGHT("00"&amp;MOD(Sync!$J631,100),2),"نامعتبر"),IF(LEN(Sync!$J631)=10,Sync!$J631,"نامعتبر")))</f>
        <v/>
      </c>
      <c r="R631" t="str">
        <f t="shared" si="67"/>
        <v/>
      </c>
      <c r="S631" t="str">
        <f t="shared" si="68"/>
        <v/>
      </c>
      <c r="T631" t="str">
        <f>IF($N631="","",IF(Sync!$N631="",0,Sync!$N631))</f>
        <v/>
      </c>
      <c r="U631" t="str">
        <f>IF($N631="","",IF(Sync!$O631="",0,Sync!$O631))</f>
        <v/>
      </c>
      <c r="V631" t="str">
        <f>IF($N631="","",Sync!$L631)</f>
        <v/>
      </c>
      <c r="W631" t="str">
        <f>IF($N631="","",Sync!$P631)</f>
        <v/>
      </c>
      <c r="AA631" t="str">
        <f>IF($A631="","",IF(COUNTIF($A$6:$A631,$A631)=1,1,0))</f>
        <v/>
      </c>
      <c r="AB631">
        <f>SUM($AA$6:$AA631)</f>
        <v>3</v>
      </c>
      <c r="AC631" t="str">
        <f t="shared" si="69"/>
        <v/>
      </c>
    </row>
    <row r="632" spans="1:29" x14ac:dyDescent="0.2">
      <c r="A632" t="str">
        <f>IF(OR(Entry!$B635="",Entry!$E635="",$E632="نامعتبر"),"",Entry!$E635)</f>
        <v/>
      </c>
      <c r="B632" t="str">
        <f>IF($A632="","",LEFT($E632,4)&amp;MID($E632,6,2)&amp;RIGHT($E632,2)&amp;$F632&amp;"|"&amp;"1"&amp;RIGHT("00000"&amp;627,5))</f>
        <v/>
      </c>
      <c r="C632" t="str">
        <f t="shared" si="63"/>
        <v/>
      </c>
      <c r="D632" t="str">
        <f t="shared" si="64"/>
        <v/>
      </c>
      <c r="E632" t="str">
        <f>IF(Entry!$B635="","",IF(ISNUMBER(Entry!$B635),IF(AND(Entry!$B635&gt;=10000101,Entry!$B635&lt;=99991231),INT(Entry!$B635/10000)&amp;"/"&amp;RIGHT("00"&amp;INT(MOD(Entry!$B635,10000)/100),2)&amp;"/"&amp;RIGHT("00"&amp;MOD(Entry!$B635,100),2),"نامعتبر"),IF(LEN(Entry!$B635)=10,Entry!$B635,"نامعتبر")))</f>
        <v/>
      </c>
      <c r="F632" t="str">
        <f>IF(Entry!$B635="","",IF(Entry!$C635="","0000",IF(AND(ISNUMBER(Entry!$C635),Entry!$C635&gt;=0,Entry!$C635&lt;1),RIGHT("00"&amp;HOUR(Entry!$C635),2)&amp;RIGHT("00"&amp;MINUTE(Entry!$C635),2),IFERROR(RIGHT("00"&amp;VALUE(LEFT(Entry!$C635,FIND(":",Entry!$C635)-1)),2)&amp;RIGHT("00"&amp;VALUE(MID(Entry!$C635,FIND(":",Entry!$C635)+1,2)),2),"0000"))))</f>
        <v/>
      </c>
      <c r="G632" t="str">
        <f>IF($A632="","",Entry!$G635)</f>
        <v/>
      </c>
      <c r="H632" t="str">
        <f>IF($A632="","",IF(Entry!$H635="",0,Entry!$H635))</f>
        <v/>
      </c>
      <c r="I632" t="str">
        <f>IF($A632="","",IF(Entry!$I635="",0,Entry!$I635))</f>
        <v/>
      </c>
      <c r="J632" t="str">
        <f t="shared" si="65"/>
        <v/>
      </c>
      <c r="K632" t="str">
        <f>IF($A632="","",Entry!$D635)</f>
        <v/>
      </c>
      <c r="L632" t="str">
        <f>IF($A632="","",Entry!$L635)</f>
        <v/>
      </c>
      <c r="N632" t="str">
        <f>IF(OR(Sync!$M632="",$Q632="",$Q632="نامعتبر"),"",Sync!$M632)</f>
        <v/>
      </c>
      <c r="O632" t="str">
        <f t="shared" si="66"/>
        <v/>
      </c>
      <c r="P632" t="str">
        <f>IF($N632="","",LEFT($Q632,4)&amp;MID($Q632,6,2)&amp;RIGHT($Q632,2)&amp;IF(Sync!$K632="","0000",IF(AND(ISNUMBER(Sync!$K632),Sync!$K632&gt;=0,Sync!$K632&lt;1),RIGHT("00"&amp;HOUR(Sync!$K632),2)&amp;RIGHT("00"&amp;MINUTE(Sync!$K632),2),IFERROR(RIGHT("00"&amp;VALUE(LEFT(Sync!$K632,FIND(":",Sync!$K632)-1)),2)&amp;RIGHT("00"&amp;VALUE(MID(Sync!$K632,FIND(":",Sync!$K632)+1,2)),2),"0000")))&amp;"|"&amp;"2"&amp;RIGHT("00000"&amp;627,5))</f>
        <v/>
      </c>
      <c r="Q632" t="str">
        <f>IF(Sync!$J632="","",IF(ISNUMBER(Sync!$J632),IF(AND(Sync!$J632&gt;=10000101,Sync!$J632&lt;=99991231),INT(Sync!$J632/10000)&amp;"/"&amp;RIGHT("00"&amp;INT(MOD(Sync!$J632,10000)/100),2)&amp;"/"&amp;RIGHT("00"&amp;MOD(Sync!$J632,100),2),"نامعتبر"),IF(LEN(Sync!$J632)=10,Sync!$J632,"نامعتبر")))</f>
        <v/>
      </c>
      <c r="R632" t="str">
        <f t="shared" si="67"/>
        <v/>
      </c>
      <c r="S632" t="str">
        <f t="shared" si="68"/>
        <v/>
      </c>
      <c r="T632" t="str">
        <f>IF($N632="","",IF(Sync!$N632="",0,Sync!$N632))</f>
        <v/>
      </c>
      <c r="U632" t="str">
        <f>IF($N632="","",IF(Sync!$O632="",0,Sync!$O632))</f>
        <v/>
      </c>
      <c r="V632" t="str">
        <f>IF($N632="","",Sync!$L632)</f>
        <v/>
      </c>
      <c r="W632" t="str">
        <f>IF($N632="","",Sync!$P632)</f>
        <v/>
      </c>
      <c r="AA632" t="str">
        <f>IF($A632="","",IF(COUNTIF($A$6:$A632,$A632)=1,1,0))</f>
        <v/>
      </c>
      <c r="AB632">
        <f>SUM($AA$6:$AA632)</f>
        <v>3</v>
      </c>
      <c r="AC632" t="str">
        <f t="shared" si="69"/>
        <v/>
      </c>
    </row>
    <row r="633" spans="1:29" x14ac:dyDescent="0.2">
      <c r="A633" t="str">
        <f>IF(OR(Entry!$B636="",Entry!$E636="",$E633="نامعتبر"),"",Entry!$E636)</f>
        <v/>
      </c>
      <c r="B633" t="str">
        <f>IF($A633="","",LEFT($E633,4)&amp;MID($E633,6,2)&amp;RIGHT($E633,2)&amp;$F633&amp;"|"&amp;"1"&amp;RIGHT("00000"&amp;628,5))</f>
        <v/>
      </c>
      <c r="C633" t="str">
        <f t="shared" si="63"/>
        <v/>
      </c>
      <c r="D633" t="str">
        <f t="shared" si="64"/>
        <v/>
      </c>
      <c r="E633" t="str">
        <f>IF(Entry!$B636="","",IF(ISNUMBER(Entry!$B636),IF(AND(Entry!$B636&gt;=10000101,Entry!$B636&lt;=99991231),INT(Entry!$B636/10000)&amp;"/"&amp;RIGHT("00"&amp;INT(MOD(Entry!$B636,10000)/100),2)&amp;"/"&amp;RIGHT("00"&amp;MOD(Entry!$B636,100),2),"نامعتبر"),IF(LEN(Entry!$B636)=10,Entry!$B636,"نامعتبر")))</f>
        <v/>
      </c>
      <c r="F633" t="str">
        <f>IF(Entry!$B636="","",IF(Entry!$C636="","0000",IF(AND(ISNUMBER(Entry!$C636),Entry!$C636&gt;=0,Entry!$C636&lt;1),RIGHT("00"&amp;HOUR(Entry!$C636),2)&amp;RIGHT("00"&amp;MINUTE(Entry!$C636),2),IFERROR(RIGHT("00"&amp;VALUE(LEFT(Entry!$C636,FIND(":",Entry!$C636)-1)),2)&amp;RIGHT("00"&amp;VALUE(MID(Entry!$C636,FIND(":",Entry!$C636)+1,2)),2),"0000"))))</f>
        <v/>
      </c>
      <c r="G633" t="str">
        <f>IF($A633="","",Entry!$G636)</f>
        <v/>
      </c>
      <c r="H633" t="str">
        <f>IF($A633="","",IF(Entry!$H636="",0,Entry!$H636))</f>
        <v/>
      </c>
      <c r="I633" t="str">
        <f>IF($A633="","",IF(Entry!$I636="",0,Entry!$I636))</f>
        <v/>
      </c>
      <c r="J633" t="str">
        <f t="shared" si="65"/>
        <v/>
      </c>
      <c r="K633" t="str">
        <f>IF($A633="","",Entry!$D636)</f>
        <v/>
      </c>
      <c r="L633" t="str">
        <f>IF($A633="","",Entry!$L636)</f>
        <v/>
      </c>
      <c r="N633" t="str">
        <f>IF(OR(Sync!$M633="",$Q633="",$Q633="نامعتبر"),"",Sync!$M633)</f>
        <v/>
      </c>
      <c r="O633" t="str">
        <f t="shared" si="66"/>
        <v/>
      </c>
      <c r="P633" t="str">
        <f>IF($N633="","",LEFT($Q633,4)&amp;MID($Q633,6,2)&amp;RIGHT($Q633,2)&amp;IF(Sync!$K633="","0000",IF(AND(ISNUMBER(Sync!$K633),Sync!$K633&gt;=0,Sync!$K633&lt;1),RIGHT("00"&amp;HOUR(Sync!$K633),2)&amp;RIGHT("00"&amp;MINUTE(Sync!$K633),2),IFERROR(RIGHT("00"&amp;VALUE(LEFT(Sync!$K633,FIND(":",Sync!$K633)-1)),2)&amp;RIGHT("00"&amp;VALUE(MID(Sync!$K633,FIND(":",Sync!$K633)+1,2)),2),"0000")))&amp;"|"&amp;"2"&amp;RIGHT("00000"&amp;628,5))</f>
        <v/>
      </c>
      <c r="Q633" t="str">
        <f>IF(Sync!$J633="","",IF(ISNUMBER(Sync!$J633),IF(AND(Sync!$J633&gt;=10000101,Sync!$J633&lt;=99991231),INT(Sync!$J633/10000)&amp;"/"&amp;RIGHT("00"&amp;INT(MOD(Sync!$J633,10000)/100),2)&amp;"/"&amp;RIGHT("00"&amp;MOD(Sync!$J633,100),2),"نامعتبر"),IF(LEN(Sync!$J633)=10,Sync!$J633,"نامعتبر")))</f>
        <v/>
      </c>
      <c r="R633" t="str">
        <f t="shared" si="67"/>
        <v/>
      </c>
      <c r="S633" t="str">
        <f t="shared" si="68"/>
        <v/>
      </c>
      <c r="T633" t="str">
        <f>IF($N633="","",IF(Sync!$N633="",0,Sync!$N633))</f>
        <v/>
      </c>
      <c r="U633" t="str">
        <f>IF($N633="","",IF(Sync!$O633="",0,Sync!$O633))</f>
        <v/>
      </c>
      <c r="V633" t="str">
        <f>IF($N633="","",Sync!$L633)</f>
        <v/>
      </c>
      <c r="W633" t="str">
        <f>IF($N633="","",Sync!$P633)</f>
        <v/>
      </c>
      <c r="AA633" t="str">
        <f>IF($A633="","",IF(COUNTIF($A$6:$A633,$A633)=1,1,0))</f>
        <v/>
      </c>
      <c r="AB633">
        <f>SUM($AA$6:$AA633)</f>
        <v>3</v>
      </c>
      <c r="AC633" t="str">
        <f t="shared" si="69"/>
        <v/>
      </c>
    </row>
    <row r="634" spans="1:29" x14ac:dyDescent="0.2">
      <c r="A634" t="str">
        <f>IF(OR(Entry!$B637="",Entry!$E637="",$E634="نامعتبر"),"",Entry!$E637)</f>
        <v/>
      </c>
      <c r="B634" t="str">
        <f>IF($A634="","",LEFT($E634,4)&amp;MID($E634,6,2)&amp;RIGHT($E634,2)&amp;$F634&amp;"|"&amp;"1"&amp;RIGHT("00000"&amp;629,5))</f>
        <v/>
      </c>
      <c r="C634" t="str">
        <f t="shared" si="63"/>
        <v/>
      </c>
      <c r="D634" t="str">
        <f t="shared" si="64"/>
        <v/>
      </c>
      <c r="E634" t="str">
        <f>IF(Entry!$B637="","",IF(ISNUMBER(Entry!$B637),IF(AND(Entry!$B637&gt;=10000101,Entry!$B637&lt;=99991231),INT(Entry!$B637/10000)&amp;"/"&amp;RIGHT("00"&amp;INT(MOD(Entry!$B637,10000)/100),2)&amp;"/"&amp;RIGHT("00"&amp;MOD(Entry!$B637,100),2),"نامعتبر"),IF(LEN(Entry!$B637)=10,Entry!$B637,"نامعتبر")))</f>
        <v/>
      </c>
      <c r="F634" t="str">
        <f>IF(Entry!$B637="","",IF(Entry!$C637="","0000",IF(AND(ISNUMBER(Entry!$C637),Entry!$C637&gt;=0,Entry!$C637&lt;1),RIGHT("00"&amp;HOUR(Entry!$C637),2)&amp;RIGHT("00"&amp;MINUTE(Entry!$C637),2),IFERROR(RIGHT("00"&amp;VALUE(LEFT(Entry!$C637,FIND(":",Entry!$C637)-1)),2)&amp;RIGHT("00"&amp;VALUE(MID(Entry!$C637,FIND(":",Entry!$C637)+1,2)),2),"0000"))))</f>
        <v/>
      </c>
      <c r="G634" t="str">
        <f>IF($A634="","",Entry!$G637)</f>
        <v/>
      </c>
      <c r="H634" t="str">
        <f>IF($A634="","",IF(Entry!$H637="",0,Entry!$H637))</f>
        <v/>
      </c>
      <c r="I634" t="str">
        <f>IF($A634="","",IF(Entry!$I637="",0,Entry!$I637))</f>
        <v/>
      </c>
      <c r="J634" t="str">
        <f t="shared" si="65"/>
        <v/>
      </c>
      <c r="K634" t="str">
        <f>IF($A634="","",Entry!$D637)</f>
        <v/>
      </c>
      <c r="L634" t="str">
        <f>IF($A634="","",Entry!$L637)</f>
        <v/>
      </c>
      <c r="N634" t="str">
        <f>IF(OR(Sync!$M634="",$Q634="",$Q634="نامعتبر"),"",Sync!$M634)</f>
        <v/>
      </c>
      <c r="O634" t="str">
        <f t="shared" si="66"/>
        <v/>
      </c>
      <c r="P634" t="str">
        <f>IF($N634="","",LEFT($Q634,4)&amp;MID($Q634,6,2)&amp;RIGHT($Q634,2)&amp;IF(Sync!$K634="","0000",IF(AND(ISNUMBER(Sync!$K634),Sync!$K634&gt;=0,Sync!$K634&lt;1),RIGHT("00"&amp;HOUR(Sync!$K634),2)&amp;RIGHT("00"&amp;MINUTE(Sync!$K634),2),IFERROR(RIGHT("00"&amp;VALUE(LEFT(Sync!$K634,FIND(":",Sync!$K634)-1)),2)&amp;RIGHT("00"&amp;VALUE(MID(Sync!$K634,FIND(":",Sync!$K634)+1,2)),2),"0000")))&amp;"|"&amp;"2"&amp;RIGHT("00000"&amp;629,5))</f>
        <v/>
      </c>
      <c r="Q634" t="str">
        <f>IF(Sync!$J634="","",IF(ISNUMBER(Sync!$J634),IF(AND(Sync!$J634&gt;=10000101,Sync!$J634&lt;=99991231),INT(Sync!$J634/10000)&amp;"/"&amp;RIGHT("00"&amp;INT(MOD(Sync!$J634,10000)/100),2)&amp;"/"&amp;RIGHT("00"&amp;MOD(Sync!$J634,100),2),"نامعتبر"),IF(LEN(Sync!$J634)=10,Sync!$J634,"نامعتبر")))</f>
        <v/>
      </c>
      <c r="R634" t="str">
        <f t="shared" si="67"/>
        <v/>
      </c>
      <c r="S634" t="str">
        <f t="shared" si="68"/>
        <v/>
      </c>
      <c r="T634" t="str">
        <f>IF($N634="","",IF(Sync!$N634="",0,Sync!$N634))</f>
        <v/>
      </c>
      <c r="U634" t="str">
        <f>IF($N634="","",IF(Sync!$O634="",0,Sync!$O634))</f>
        <v/>
      </c>
      <c r="V634" t="str">
        <f>IF($N634="","",Sync!$L634)</f>
        <v/>
      </c>
      <c r="W634" t="str">
        <f>IF($N634="","",Sync!$P634)</f>
        <v/>
      </c>
      <c r="AA634" t="str">
        <f>IF($A634="","",IF(COUNTIF($A$6:$A634,$A634)=1,1,0))</f>
        <v/>
      </c>
      <c r="AB634">
        <f>SUM($AA$6:$AA634)</f>
        <v>3</v>
      </c>
      <c r="AC634" t="str">
        <f t="shared" si="69"/>
        <v/>
      </c>
    </row>
    <row r="635" spans="1:29" x14ac:dyDescent="0.2">
      <c r="A635" t="str">
        <f>IF(OR(Entry!$B638="",Entry!$E638="",$E635="نامعتبر"),"",Entry!$E638)</f>
        <v/>
      </c>
      <c r="B635" t="str">
        <f>IF($A635="","",LEFT($E635,4)&amp;MID($E635,6,2)&amp;RIGHT($E635,2)&amp;$F635&amp;"|"&amp;"1"&amp;RIGHT("00000"&amp;630,5))</f>
        <v/>
      </c>
      <c r="C635" t="str">
        <f t="shared" si="63"/>
        <v/>
      </c>
      <c r="D635" t="str">
        <f t="shared" si="64"/>
        <v/>
      </c>
      <c r="E635" t="str">
        <f>IF(Entry!$B638="","",IF(ISNUMBER(Entry!$B638),IF(AND(Entry!$B638&gt;=10000101,Entry!$B638&lt;=99991231),INT(Entry!$B638/10000)&amp;"/"&amp;RIGHT("00"&amp;INT(MOD(Entry!$B638,10000)/100),2)&amp;"/"&amp;RIGHT("00"&amp;MOD(Entry!$B638,100),2),"نامعتبر"),IF(LEN(Entry!$B638)=10,Entry!$B638,"نامعتبر")))</f>
        <v/>
      </c>
      <c r="F635" t="str">
        <f>IF(Entry!$B638="","",IF(Entry!$C638="","0000",IF(AND(ISNUMBER(Entry!$C638),Entry!$C638&gt;=0,Entry!$C638&lt;1),RIGHT("00"&amp;HOUR(Entry!$C638),2)&amp;RIGHT("00"&amp;MINUTE(Entry!$C638),2),IFERROR(RIGHT("00"&amp;VALUE(LEFT(Entry!$C638,FIND(":",Entry!$C638)-1)),2)&amp;RIGHT("00"&amp;VALUE(MID(Entry!$C638,FIND(":",Entry!$C638)+1,2)),2),"0000"))))</f>
        <v/>
      </c>
      <c r="G635" t="str">
        <f>IF($A635="","",Entry!$G638)</f>
        <v/>
      </c>
      <c r="H635" t="str">
        <f>IF($A635="","",IF(Entry!$H638="",0,Entry!$H638))</f>
        <v/>
      </c>
      <c r="I635" t="str">
        <f>IF($A635="","",IF(Entry!$I638="",0,Entry!$I638))</f>
        <v/>
      </c>
      <c r="J635" t="str">
        <f t="shared" si="65"/>
        <v/>
      </c>
      <c r="K635" t="str">
        <f>IF($A635="","",Entry!$D638)</f>
        <v/>
      </c>
      <c r="L635" t="str">
        <f>IF($A635="","",Entry!$L638)</f>
        <v/>
      </c>
      <c r="N635" t="str">
        <f>IF(OR(Sync!$M635="",$Q635="",$Q635="نامعتبر"),"",Sync!$M635)</f>
        <v/>
      </c>
      <c r="O635" t="str">
        <f t="shared" si="66"/>
        <v/>
      </c>
      <c r="P635" t="str">
        <f>IF($N635="","",LEFT($Q635,4)&amp;MID($Q635,6,2)&amp;RIGHT($Q635,2)&amp;IF(Sync!$K635="","0000",IF(AND(ISNUMBER(Sync!$K635),Sync!$K635&gt;=0,Sync!$K635&lt;1),RIGHT("00"&amp;HOUR(Sync!$K635),2)&amp;RIGHT("00"&amp;MINUTE(Sync!$K635),2),IFERROR(RIGHT("00"&amp;VALUE(LEFT(Sync!$K635,FIND(":",Sync!$K635)-1)),2)&amp;RIGHT("00"&amp;VALUE(MID(Sync!$K635,FIND(":",Sync!$K635)+1,2)),2),"0000")))&amp;"|"&amp;"2"&amp;RIGHT("00000"&amp;630,5))</f>
        <v/>
      </c>
      <c r="Q635" t="str">
        <f>IF(Sync!$J635="","",IF(ISNUMBER(Sync!$J635),IF(AND(Sync!$J635&gt;=10000101,Sync!$J635&lt;=99991231),INT(Sync!$J635/10000)&amp;"/"&amp;RIGHT("00"&amp;INT(MOD(Sync!$J635,10000)/100),2)&amp;"/"&amp;RIGHT("00"&amp;MOD(Sync!$J635,100),2),"نامعتبر"),IF(LEN(Sync!$J635)=10,Sync!$J635,"نامعتبر")))</f>
        <v/>
      </c>
      <c r="R635" t="str">
        <f t="shared" si="67"/>
        <v/>
      </c>
      <c r="S635" t="str">
        <f t="shared" si="68"/>
        <v/>
      </c>
      <c r="T635" t="str">
        <f>IF($N635="","",IF(Sync!$N635="",0,Sync!$N635))</f>
        <v/>
      </c>
      <c r="U635" t="str">
        <f>IF($N635="","",IF(Sync!$O635="",0,Sync!$O635))</f>
        <v/>
      </c>
      <c r="V635" t="str">
        <f>IF($N635="","",Sync!$L635)</f>
        <v/>
      </c>
      <c r="W635" t="str">
        <f>IF($N635="","",Sync!$P635)</f>
        <v/>
      </c>
      <c r="AA635" t="str">
        <f>IF($A635="","",IF(COUNTIF($A$6:$A635,$A635)=1,1,0))</f>
        <v/>
      </c>
      <c r="AB635">
        <f>SUM($AA$6:$AA635)</f>
        <v>3</v>
      </c>
      <c r="AC635" t="str">
        <f t="shared" si="69"/>
        <v/>
      </c>
    </row>
    <row r="636" spans="1:29" x14ac:dyDescent="0.2">
      <c r="A636" t="str">
        <f>IF(OR(Entry!$B639="",Entry!$E639="",$E636="نامعتبر"),"",Entry!$E639)</f>
        <v/>
      </c>
      <c r="B636" t="str">
        <f>IF($A636="","",LEFT($E636,4)&amp;MID($E636,6,2)&amp;RIGHT($E636,2)&amp;$F636&amp;"|"&amp;"1"&amp;RIGHT("00000"&amp;631,5))</f>
        <v/>
      </c>
      <c r="C636" t="str">
        <f t="shared" si="63"/>
        <v/>
      </c>
      <c r="D636" t="str">
        <f t="shared" si="64"/>
        <v/>
      </c>
      <c r="E636" t="str">
        <f>IF(Entry!$B639="","",IF(ISNUMBER(Entry!$B639),IF(AND(Entry!$B639&gt;=10000101,Entry!$B639&lt;=99991231),INT(Entry!$B639/10000)&amp;"/"&amp;RIGHT("00"&amp;INT(MOD(Entry!$B639,10000)/100),2)&amp;"/"&amp;RIGHT("00"&amp;MOD(Entry!$B639,100),2),"نامعتبر"),IF(LEN(Entry!$B639)=10,Entry!$B639,"نامعتبر")))</f>
        <v/>
      </c>
      <c r="F636" t="str">
        <f>IF(Entry!$B639="","",IF(Entry!$C639="","0000",IF(AND(ISNUMBER(Entry!$C639),Entry!$C639&gt;=0,Entry!$C639&lt;1),RIGHT("00"&amp;HOUR(Entry!$C639),2)&amp;RIGHT("00"&amp;MINUTE(Entry!$C639),2),IFERROR(RIGHT("00"&amp;VALUE(LEFT(Entry!$C639,FIND(":",Entry!$C639)-1)),2)&amp;RIGHT("00"&amp;VALUE(MID(Entry!$C639,FIND(":",Entry!$C639)+1,2)),2),"0000"))))</f>
        <v/>
      </c>
      <c r="G636" t="str">
        <f>IF($A636="","",Entry!$G639)</f>
        <v/>
      </c>
      <c r="H636" t="str">
        <f>IF($A636="","",IF(Entry!$H639="",0,Entry!$H639))</f>
        <v/>
      </c>
      <c r="I636" t="str">
        <f>IF($A636="","",IF(Entry!$I639="",0,Entry!$I639))</f>
        <v/>
      </c>
      <c r="J636" t="str">
        <f t="shared" si="65"/>
        <v/>
      </c>
      <c r="K636" t="str">
        <f>IF($A636="","",Entry!$D639)</f>
        <v/>
      </c>
      <c r="L636" t="str">
        <f>IF($A636="","",Entry!$L639)</f>
        <v/>
      </c>
      <c r="N636" t="str">
        <f>IF(OR(Sync!$M636="",$Q636="",$Q636="نامعتبر"),"",Sync!$M636)</f>
        <v/>
      </c>
      <c r="O636" t="str">
        <f t="shared" si="66"/>
        <v/>
      </c>
      <c r="P636" t="str">
        <f>IF($N636="","",LEFT($Q636,4)&amp;MID($Q636,6,2)&amp;RIGHT($Q636,2)&amp;IF(Sync!$K636="","0000",IF(AND(ISNUMBER(Sync!$K636),Sync!$K636&gt;=0,Sync!$K636&lt;1),RIGHT("00"&amp;HOUR(Sync!$K636),2)&amp;RIGHT("00"&amp;MINUTE(Sync!$K636),2),IFERROR(RIGHT("00"&amp;VALUE(LEFT(Sync!$K636,FIND(":",Sync!$K636)-1)),2)&amp;RIGHT("00"&amp;VALUE(MID(Sync!$K636,FIND(":",Sync!$K636)+1,2)),2),"0000")))&amp;"|"&amp;"2"&amp;RIGHT("00000"&amp;631,5))</f>
        <v/>
      </c>
      <c r="Q636" t="str">
        <f>IF(Sync!$J636="","",IF(ISNUMBER(Sync!$J636),IF(AND(Sync!$J636&gt;=10000101,Sync!$J636&lt;=99991231),INT(Sync!$J636/10000)&amp;"/"&amp;RIGHT("00"&amp;INT(MOD(Sync!$J636,10000)/100),2)&amp;"/"&amp;RIGHT("00"&amp;MOD(Sync!$J636,100),2),"نامعتبر"),IF(LEN(Sync!$J636)=10,Sync!$J636,"نامعتبر")))</f>
        <v/>
      </c>
      <c r="R636" t="str">
        <f t="shared" si="67"/>
        <v/>
      </c>
      <c r="S636" t="str">
        <f t="shared" si="68"/>
        <v/>
      </c>
      <c r="T636" t="str">
        <f>IF($N636="","",IF(Sync!$N636="",0,Sync!$N636))</f>
        <v/>
      </c>
      <c r="U636" t="str">
        <f>IF($N636="","",IF(Sync!$O636="",0,Sync!$O636))</f>
        <v/>
      </c>
      <c r="V636" t="str">
        <f>IF($N636="","",Sync!$L636)</f>
        <v/>
      </c>
      <c r="W636" t="str">
        <f>IF($N636="","",Sync!$P636)</f>
        <v/>
      </c>
      <c r="AA636" t="str">
        <f>IF($A636="","",IF(COUNTIF($A$6:$A636,$A636)=1,1,0))</f>
        <v/>
      </c>
      <c r="AB636">
        <f>SUM($AA$6:$AA636)</f>
        <v>3</v>
      </c>
      <c r="AC636" t="str">
        <f t="shared" si="69"/>
        <v/>
      </c>
    </row>
    <row r="637" spans="1:29" x14ac:dyDescent="0.2">
      <c r="A637" t="str">
        <f>IF(OR(Entry!$B640="",Entry!$E640="",$E637="نامعتبر"),"",Entry!$E640)</f>
        <v/>
      </c>
      <c r="B637" t="str">
        <f>IF($A637="","",LEFT($E637,4)&amp;MID($E637,6,2)&amp;RIGHT($E637,2)&amp;$F637&amp;"|"&amp;"1"&amp;RIGHT("00000"&amp;632,5))</f>
        <v/>
      </c>
      <c r="C637" t="str">
        <f t="shared" si="63"/>
        <v/>
      </c>
      <c r="D637" t="str">
        <f t="shared" si="64"/>
        <v/>
      </c>
      <c r="E637" t="str">
        <f>IF(Entry!$B640="","",IF(ISNUMBER(Entry!$B640),IF(AND(Entry!$B640&gt;=10000101,Entry!$B640&lt;=99991231),INT(Entry!$B640/10000)&amp;"/"&amp;RIGHT("00"&amp;INT(MOD(Entry!$B640,10000)/100),2)&amp;"/"&amp;RIGHT("00"&amp;MOD(Entry!$B640,100),2),"نامعتبر"),IF(LEN(Entry!$B640)=10,Entry!$B640,"نامعتبر")))</f>
        <v/>
      </c>
      <c r="F637" t="str">
        <f>IF(Entry!$B640="","",IF(Entry!$C640="","0000",IF(AND(ISNUMBER(Entry!$C640),Entry!$C640&gt;=0,Entry!$C640&lt;1),RIGHT("00"&amp;HOUR(Entry!$C640),2)&amp;RIGHT("00"&amp;MINUTE(Entry!$C640),2),IFERROR(RIGHT("00"&amp;VALUE(LEFT(Entry!$C640,FIND(":",Entry!$C640)-1)),2)&amp;RIGHT("00"&amp;VALUE(MID(Entry!$C640,FIND(":",Entry!$C640)+1,2)),2),"0000"))))</f>
        <v/>
      </c>
      <c r="G637" t="str">
        <f>IF($A637="","",Entry!$G640)</f>
        <v/>
      </c>
      <c r="H637" t="str">
        <f>IF($A637="","",IF(Entry!$H640="",0,Entry!$H640))</f>
        <v/>
      </c>
      <c r="I637" t="str">
        <f>IF($A637="","",IF(Entry!$I640="",0,Entry!$I640))</f>
        <v/>
      </c>
      <c r="J637" t="str">
        <f t="shared" si="65"/>
        <v/>
      </c>
      <c r="K637" t="str">
        <f>IF($A637="","",Entry!$D640)</f>
        <v/>
      </c>
      <c r="L637" t="str">
        <f>IF($A637="","",Entry!$L640)</f>
        <v/>
      </c>
      <c r="N637" t="str">
        <f>IF(OR(Sync!$M637="",$Q637="",$Q637="نامعتبر"),"",Sync!$M637)</f>
        <v/>
      </c>
      <c r="O637" t="str">
        <f t="shared" si="66"/>
        <v/>
      </c>
      <c r="P637" t="str">
        <f>IF($N637="","",LEFT($Q637,4)&amp;MID($Q637,6,2)&amp;RIGHT($Q637,2)&amp;IF(Sync!$K637="","0000",IF(AND(ISNUMBER(Sync!$K637),Sync!$K637&gt;=0,Sync!$K637&lt;1),RIGHT("00"&amp;HOUR(Sync!$K637),2)&amp;RIGHT("00"&amp;MINUTE(Sync!$K637),2),IFERROR(RIGHT("00"&amp;VALUE(LEFT(Sync!$K637,FIND(":",Sync!$K637)-1)),2)&amp;RIGHT("00"&amp;VALUE(MID(Sync!$K637,FIND(":",Sync!$K637)+1,2)),2),"0000")))&amp;"|"&amp;"2"&amp;RIGHT("00000"&amp;632,5))</f>
        <v/>
      </c>
      <c r="Q637" t="str">
        <f>IF(Sync!$J637="","",IF(ISNUMBER(Sync!$J637),IF(AND(Sync!$J637&gt;=10000101,Sync!$J637&lt;=99991231),INT(Sync!$J637/10000)&amp;"/"&amp;RIGHT("00"&amp;INT(MOD(Sync!$J637,10000)/100),2)&amp;"/"&amp;RIGHT("00"&amp;MOD(Sync!$J637,100),2),"نامعتبر"),IF(LEN(Sync!$J637)=10,Sync!$J637,"نامعتبر")))</f>
        <v/>
      </c>
      <c r="R637" t="str">
        <f t="shared" si="67"/>
        <v/>
      </c>
      <c r="S637" t="str">
        <f t="shared" si="68"/>
        <v/>
      </c>
      <c r="T637" t="str">
        <f>IF($N637="","",IF(Sync!$N637="",0,Sync!$N637))</f>
        <v/>
      </c>
      <c r="U637" t="str">
        <f>IF($N637="","",IF(Sync!$O637="",0,Sync!$O637))</f>
        <v/>
      </c>
      <c r="V637" t="str">
        <f>IF($N637="","",Sync!$L637)</f>
        <v/>
      </c>
      <c r="W637" t="str">
        <f>IF($N637="","",Sync!$P637)</f>
        <v/>
      </c>
      <c r="AA637" t="str">
        <f>IF($A637="","",IF(COUNTIF($A$6:$A637,$A637)=1,1,0))</f>
        <v/>
      </c>
      <c r="AB637">
        <f>SUM($AA$6:$AA637)</f>
        <v>3</v>
      </c>
      <c r="AC637" t="str">
        <f t="shared" si="69"/>
        <v/>
      </c>
    </row>
    <row r="638" spans="1:29" x14ac:dyDescent="0.2">
      <c r="A638" t="str">
        <f>IF(OR(Entry!$B641="",Entry!$E641="",$E638="نامعتبر"),"",Entry!$E641)</f>
        <v/>
      </c>
      <c r="B638" t="str">
        <f>IF($A638="","",LEFT($E638,4)&amp;MID($E638,6,2)&amp;RIGHT($E638,2)&amp;$F638&amp;"|"&amp;"1"&amp;RIGHT("00000"&amp;633,5))</f>
        <v/>
      </c>
      <c r="C638" t="str">
        <f t="shared" si="63"/>
        <v/>
      </c>
      <c r="D638" t="str">
        <f t="shared" si="64"/>
        <v/>
      </c>
      <c r="E638" t="str">
        <f>IF(Entry!$B641="","",IF(ISNUMBER(Entry!$B641),IF(AND(Entry!$B641&gt;=10000101,Entry!$B641&lt;=99991231),INT(Entry!$B641/10000)&amp;"/"&amp;RIGHT("00"&amp;INT(MOD(Entry!$B641,10000)/100),2)&amp;"/"&amp;RIGHT("00"&amp;MOD(Entry!$B641,100),2),"نامعتبر"),IF(LEN(Entry!$B641)=10,Entry!$B641,"نامعتبر")))</f>
        <v/>
      </c>
      <c r="F638" t="str">
        <f>IF(Entry!$B641="","",IF(Entry!$C641="","0000",IF(AND(ISNUMBER(Entry!$C641),Entry!$C641&gt;=0,Entry!$C641&lt;1),RIGHT("00"&amp;HOUR(Entry!$C641),2)&amp;RIGHT("00"&amp;MINUTE(Entry!$C641),2),IFERROR(RIGHT("00"&amp;VALUE(LEFT(Entry!$C641,FIND(":",Entry!$C641)-1)),2)&amp;RIGHT("00"&amp;VALUE(MID(Entry!$C641,FIND(":",Entry!$C641)+1,2)),2),"0000"))))</f>
        <v/>
      </c>
      <c r="G638" t="str">
        <f>IF($A638="","",Entry!$G641)</f>
        <v/>
      </c>
      <c r="H638" t="str">
        <f>IF($A638="","",IF(Entry!$H641="",0,Entry!$H641))</f>
        <v/>
      </c>
      <c r="I638" t="str">
        <f>IF($A638="","",IF(Entry!$I641="",0,Entry!$I641))</f>
        <v/>
      </c>
      <c r="J638" t="str">
        <f t="shared" si="65"/>
        <v/>
      </c>
      <c r="K638" t="str">
        <f>IF($A638="","",Entry!$D641)</f>
        <v/>
      </c>
      <c r="L638" t="str">
        <f>IF($A638="","",Entry!$L641)</f>
        <v/>
      </c>
      <c r="N638" t="str">
        <f>IF(OR(Sync!$M638="",$Q638="",$Q638="نامعتبر"),"",Sync!$M638)</f>
        <v/>
      </c>
      <c r="O638" t="str">
        <f t="shared" si="66"/>
        <v/>
      </c>
      <c r="P638" t="str">
        <f>IF($N638="","",LEFT($Q638,4)&amp;MID($Q638,6,2)&amp;RIGHT($Q638,2)&amp;IF(Sync!$K638="","0000",IF(AND(ISNUMBER(Sync!$K638),Sync!$K638&gt;=0,Sync!$K638&lt;1),RIGHT("00"&amp;HOUR(Sync!$K638),2)&amp;RIGHT("00"&amp;MINUTE(Sync!$K638),2),IFERROR(RIGHT("00"&amp;VALUE(LEFT(Sync!$K638,FIND(":",Sync!$K638)-1)),2)&amp;RIGHT("00"&amp;VALUE(MID(Sync!$K638,FIND(":",Sync!$K638)+1,2)),2),"0000")))&amp;"|"&amp;"2"&amp;RIGHT("00000"&amp;633,5))</f>
        <v/>
      </c>
      <c r="Q638" t="str">
        <f>IF(Sync!$J638="","",IF(ISNUMBER(Sync!$J638),IF(AND(Sync!$J638&gt;=10000101,Sync!$J638&lt;=99991231),INT(Sync!$J638/10000)&amp;"/"&amp;RIGHT("00"&amp;INT(MOD(Sync!$J638,10000)/100),2)&amp;"/"&amp;RIGHT("00"&amp;MOD(Sync!$J638,100),2),"نامعتبر"),IF(LEN(Sync!$J638)=10,Sync!$J638,"نامعتبر")))</f>
        <v/>
      </c>
      <c r="R638" t="str">
        <f t="shared" si="67"/>
        <v/>
      </c>
      <c r="S638" t="str">
        <f t="shared" si="68"/>
        <v/>
      </c>
      <c r="T638" t="str">
        <f>IF($N638="","",IF(Sync!$N638="",0,Sync!$N638))</f>
        <v/>
      </c>
      <c r="U638" t="str">
        <f>IF($N638="","",IF(Sync!$O638="",0,Sync!$O638))</f>
        <v/>
      </c>
      <c r="V638" t="str">
        <f>IF($N638="","",Sync!$L638)</f>
        <v/>
      </c>
      <c r="W638" t="str">
        <f>IF($N638="","",Sync!$P638)</f>
        <v/>
      </c>
      <c r="AA638" t="str">
        <f>IF($A638="","",IF(COUNTIF($A$6:$A638,$A638)=1,1,0))</f>
        <v/>
      </c>
      <c r="AB638">
        <f>SUM($AA$6:$AA638)</f>
        <v>3</v>
      </c>
      <c r="AC638" t="str">
        <f t="shared" si="69"/>
        <v/>
      </c>
    </row>
    <row r="639" spans="1:29" x14ac:dyDescent="0.2">
      <c r="A639" t="str">
        <f>IF(OR(Entry!$B642="",Entry!$E642="",$E639="نامعتبر"),"",Entry!$E642)</f>
        <v/>
      </c>
      <c r="B639" t="str">
        <f>IF($A639="","",LEFT($E639,4)&amp;MID($E639,6,2)&amp;RIGHT($E639,2)&amp;$F639&amp;"|"&amp;"1"&amp;RIGHT("00000"&amp;634,5))</f>
        <v/>
      </c>
      <c r="C639" t="str">
        <f t="shared" si="63"/>
        <v/>
      </c>
      <c r="D639" t="str">
        <f t="shared" si="64"/>
        <v/>
      </c>
      <c r="E639" t="str">
        <f>IF(Entry!$B642="","",IF(ISNUMBER(Entry!$B642),IF(AND(Entry!$B642&gt;=10000101,Entry!$B642&lt;=99991231),INT(Entry!$B642/10000)&amp;"/"&amp;RIGHT("00"&amp;INT(MOD(Entry!$B642,10000)/100),2)&amp;"/"&amp;RIGHT("00"&amp;MOD(Entry!$B642,100),2),"نامعتبر"),IF(LEN(Entry!$B642)=10,Entry!$B642,"نامعتبر")))</f>
        <v/>
      </c>
      <c r="F639" t="str">
        <f>IF(Entry!$B642="","",IF(Entry!$C642="","0000",IF(AND(ISNUMBER(Entry!$C642),Entry!$C642&gt;=0,Entry!$C642&lt;1),RIGHT("00"&amp;HOUR(Entry!$C642),2)&amp;RIGHT("00"&amp;MINUTE(Entry!$C642),2),IFERROR(RIGHT("00"&amp;VALUE(LEFT(Entry!$C642,FIND(":",Entry!$C642)-1)),2)&amp;RIGHT("00"&amp;VALUE(MID(Entry!$C642,FIND(":",Entry!$C642)+1,2)),2),"0000"))))</f>
        <v/>
      </c>
      <c r="G639" t="str">
        <f>IF($A639="","",Entry!$G642)</f>
        <v/>
      </c>
      <c r="H639" t="str">
        <f>IF($A639="","",IF(Entry!$H642="",0,Entry!$H642))</f>
        <v/>
      </c>
      <c r="I639" t="str">
        <f>IF($A639="","",IF(Entry!$I642="",0,Entry!$I642))</f>
        <v/>
      </c>
      <c r="J639" t="str">
        <f t="shared" si="65"/>
        <v/>
      </c>
      <c r="K639" t="str">
        <f>IF($A639="","",Entry!$D642)</f>
        <v/>
      </c>
      <c r="L639" t="str">
        <f>IF($A639="","",Entry!$L642)</f>
        <v/>
      </c>
      <c r="N639" t="str">
        <f>IF(OR(Sync!$M639="",$Q639="",$Q639="نامعتبر"),"",Sync!$M639)</f>
        <v/>
      </c>
      <c r="O639" t="str">
        <f t="shared" si="66"/>
        <v/>
      </c>
      <c r="P639" t="str">
        <f>IF($N639="","",LEFT($Q639,4)&amp;MID($Q639,6,2)&amp;RIGHT($Q639,2)&amp;IF(Sync!$K639="","0000",IF(AND(ISNUMBER(Sync!$K639),Sync!$K639&gt;=0,Sync!$K639&lt;1),RIGHT("00"&amp;HOUR(Sync!$K639),2)&amp;RIGHT("00"&amp;MINUTE(Sync!$K639),2),IFERROR(RIGHT("00"&amp;VALUE(LEFT(Sync!$K639,FIND(":",Sync!$K639)-1)),2)&amp;RIGHT("00"&amp;VALUE(MID(Sync!$K639,FIND(":",Sync!$K639)+1,2)),2),"0000")))&amp;"|"&amp;"2"&amp;RIGHT("00000"&amp;634,5))</f>
        <v/>
      </c>
      <c r="Q639" t="str">
        <f>IF(Sync!$J639="","",IF(ISNUMBER(Sync!$J639),IF(AND(Sync!$J639&gt;=10000101,Sync!$J639&lt;=99991231),INT(Sync!$J639/10000)&amp;"/"&amp;RIGHT("00"&amp;INT(MOD(Sync!$J639,10000)/100),2)&amp;"/"&amp;RIGHT("00"&amp;MOD(Sync!$J639,100),2),"نامعتبر"),IF(LEN(Sync!$J639)=10,Sync!$J639,"نامعتبر")))</f>
        <v/>
      </c>
      <c r="R639" t="str">
        <f t="shared" si="67"/>
        <v/>
      </c>
      <c r="S639" t="str">
        <f t="shared" si="68"/>
        <v/>
      </c>
      <c r="T639" t="str">
        <f>IF($N639="","",IF(Sync!$N639="",0,Sync!$N639))</f>
        <v/>
      </c>
      <c r="U639" t="str">
        <f>IF($N639="","",IF(Sync!$O639="",0,Sync!$O639))</f>
        <v/>
      </c>
      <c r="V639" t="str">
        <f>IF($N639="","",Sync!$L639)</f>
        <v/>
      </c>
      <c r="W639" t="str">
        <f>IF($N639="","",Sync!$P639)</f>
        <v/>
      </c>
      <c r="AA639" t="str">
        <f>IF($A639="","",IF(COUNTIF($A$6:$A639,$A639)=1,1,0))</f>
        <v/>
      </c>
      <c r="AB639">
        <f>SUM($AA$6:$AA639)</f>
        <v>3</v>
      </c>
      <c r="AC639" t="str">
        <f t="shared" si="69"/>
        <v/>
      </c>
    </row>
    <row r="640" spans="1:29" x14ac:dyDescent="0.2">
      <c r="A640" t="str">
        <f>IF(OR(Entry!$B643="",Entry!$E643="",$E640="نامعتبر"),"",Entry!$E643)</f>
        <v/>
      </c>
      <c r="B640" t="str">
        <f>IF($A640="","",LEFT($E640,4)&amp;MID($E640,6,2)&amp;RIGHT($E640,2)&amp;$F640&amp;"|"&amp;"1"&amp;RIGHT("00000"&amp;635,5))</f>
        <v/>
      </c>
      <c r="C640" t="str">
        <f t="shared" si="63"/>
        <v/>
      </c>
      <c r="D640" t="str">
        <f t="shared" si="64"/>
        <v/>
      </c>
      <c r="E640" t="str">
        <f>IF(Entry!$B643="","",IF(ISNUMBER(Entry!$B643),IF(AND(Entry!$B643&gt;=10000101,Entry!$B643&lt;=99991231),INT(Entry!$B643/10000)&amp;"/"&amp;RIGHT("00"&amp;INT(MOD(Entry!$B643,10000)/100),2)&amp;"/"&amp;RIGHT("00"&amp;MOD(Entry!$B643,100),2),"نامعتبر"),IF(LEN(Entry!$B643)=10,Entry!$B643,"نامعتبر")))</f>
        <v/>
      </c>
      <c r="F640" t="str">
        <f>IF(Entry!$B643="","",IF(Entry!$C643="","0000",IF(AND(ISNUMBER(Entry!$C643),Entry!$C643&gt;=0,Entry!$C643&lt;1),RIGHT("00"&amp;HOUR(Entry!$C643),2)&amp;RIGHT("00"&amp;MINUTE(Entry!$C643),2),IFERROR(RIGHT("00"&amp;VALUE(LEFT(Entry!$C643,FIND(":",Entry!$C643)-1)),2)&amp;RIGHT("00"&amp;VALUE(MID(Entry!$C643,FIND(":",Entry!$C643)+1,2)),2),"0000"))))</f>
        <v/>
      </c>
      <c r="G640" t="str">
        <f>IF($A640="","",Entry!$G643)</f>
        <v/>
      </c>
      <c r="H640" t="str">
        <f>IF($A640="","",IF(Entry!$H643="",0,Entry!$H643))</f>
        <v/>
      </c>
      <c r="I640" t="str">
        <f>IF($A640="","",IF(Entry!$I643="",0,Entry!$I643))</f>
        <v/>
      </c>
      <c r="J640" t="str">
        <f t="shared" si="65"/>
        <v/>
      </c>
      <c r="K640" t="str">
        <f>IF($A640="","",Entry!$D643)</f>
        <v/>
      </c>
      <c r="L640" t="str">
        <f>IF($A640="","",Entry!$L643)</f>
        <v/>
      </c>
      <c r="N640" t="str">
        <f>IF(OR(Sync!$M640="",$Q640="",$Q640="نامعتبر"),"",Sync!$M640)</f>
        <v/>
      </c>
      <c r="O640" t="str">
        <f t="shared" si="66"/>
        <v/>
      </c>
      <c r="P640" t="str">
        <f>IF($N640="","",LEFT($Q640,4)&amp;MID($Q640,6,2)&amp;RIGHT($Q640,2)&amp;IF(Sync!$K640="","0000",IF(AND(ISNUMBER(Sync!$K640),Sync!$K640&gt;=0,Sync!$K640&lt;1),RIGHT("00"&amp;HOUR(Sync!$K640),2)&amp;RIGHT("00"&amp;MINUTE(Sync!$K640),2),IFERROR(RIGHT("00"&amp;VALUE(LEFT(Sync!$K640,FIND(":",Sync!$K640)-1)),2)&amp;RIGHT("00"&amp;VALUE(MID(Sync!$K640,FIND(":",Sync!$K640)+1,2)),2),"0000")))&amp;"|"&amp;"2"&amp;RIGHT("00000"&amp;635,5))</f>
        <v/>
      </c>
      <c r="Q640" t="str">
        <f>IF(Sync!$J640="","",IF(ISNUMBER(Sync!$J640),IF(AND(Sync!$J640&gt;=10000101,Sync!$J640&lt;=99991231),INT(Sync!$J640/10000)&amp;"/"&amp;RIGHT("00"&amp;INT(MOD(Sync!$J640,10000)/100),2)&amp;"/"&amp;RIGHT("00"&amp;MOD(Sync!$J640,100),2),"نامعتبر"),IF(LEN(Sync!$J640)=10,Sync!$J640,"نامعتبر")))</f>
        <v/>
      </c>
      <c r="R640" t="str">
        <f t="shared" si="67"/>
        <v/>
      </c>
      <c r="S640" t="str">
        <f t="shared" si="68"/>
        <v/>
      </c>
      <c r="T640" t="str">
        <f>IF($N640="","",IF(Sync!$N640="",0,Sync!$N640))</f>
        <v/>
      </c>
      <c r="U640" t="str">
        <f>IF($N640="","",IF(Sync!$O640="",0,Sync!$O640))</f>
        <v/>
      </c>
      <c r="V640" t="str">
        <f>IF($N640="","",Sync!$L640)</f>
        <v/>
      </c>
      <c r="W640" t="str">
        <f>IF($N640="","",Sync!$P640)</f>
        <v/>
      </c>
      <c r="AA640" t="str">
        <f>IF($A640="","",IF(COUNTIF($A$6:$A640,$A640)=1,1,0))</f>
        <v/>
      </c>
      <c r="AB640">
        <f>SUM($AA$6:$AA640)</f>
        <v>3</v>
      </c>
      <c r="AC640" t="str">
        <f t="shared" si="69"/>
        <v/>
      </c>
    </row>
    <row r="641" spans="1:29" x14ac:dyDescent="0.2">
      <c r="A641" t="str">
        <f>IF(OR(Entry!$B644="",Entry!$E644="",$E641="نامعتبر"),"",Entry!$E644)</f>
        <v/>
      </c>
      <c r="B641" t="str">
        <f>IF($A641="","",LEFT($E641,4)&amp;MID($E641,6,2)&amp;RIGHT($E641,2)&amp;$F641&amp;"|"&amp;"1"&amp;RIGHT("00000"&amp;636,5))</f>
        <v/>
      </c>
      <c r="C641" t="str">
        <f t="shared" si="63"/>
        <v/>
      </c>
      <c r="D641" t="str">
        <f t="shared" si="64"/>
        <v/>
      </c>
      <c r="E641" t="str">
        <f>IF(Entry!$B644="","",IF(ISNUMBER(Entry!$B644),IF(AND(Entry!$B644&gt;=10000101,Entry!$B644&lt;=99991231),INT(Entry!$B644/10000)&amp;"/"&amp;RIGHT("00"&amp;INT(MOD(Entry!$B644,10000)/100),2)&amp;"/"&amp;RIGHT("00"&amp;MOD(Entry!$B644,100),2),"نامعتبر"),IF(LEN(Entry!$B644)=10,Entry!$B644,"نامعتبر")))</f>
        <v/>
      </c>
      <c r="F641" t="str">
        <f>IF(Entry!$B644="","",IF(Entry!$C644="","0000",IF(AND(ISNUMBER(Entry!$C644),Entry!$C644&gt;=0,Entry!$C644&lt;1),RIGHT("00"&amp;HOUR(Entry!$C644),2)&amp;RIGHT("00"&amp;MINUTE(Entry!$C644),2),IFERROR(RIGHT("00"&amp;VALUE(LEFT(Entry!$C644,FIND(":",Entry!$C644)-1)),2)&amp;RIGHT("00"&amp;VALUE(MID(Entry!$C644,FIND(":",Entry!$C644)+1,2)),2),"0000"))))</f>
        <v/>
      </c>
      <c r="G641" t="str">
        <f>IF($A641="","",Entry!$G644)</f>
        <v/>
      </c>
      <c r="H641" t="str">
        <f>IF($A641="","",IF(Entry!$H644="",0,Entry!$H644))</f>
        <v/>
      </c>
      <c r="I641" t="str">
        <f>IF($A641="","",IF(Entry!$I644="",0,Entry!$I644))</f>
        <v/>
      </c>
      <c r="J641" t="str">
        <f t="shared" si="65"/>
        <v/>
      </c>
      <c r="K641" t="str">
        <f>IF($A641="","",Entry!$D644)</f>
        <v/>
      </c>
      <c r="L641" t="str">
        <f>IF($A641="","",Entry!$L644)</f>
        <v/>
      </c>
      <c r="N641" t="str">
        <f>IF(OR(Sync!$M641="",$Q641="",$Q641="نامعتبر"),"",Sync!$M641)</f>
        <v/>
      </c>
      <c r="O641" t="str">
        <f t="shared" si="66"/>
        <v/>
      </c>
      <c r="P641" t="str">
        <f>IF($N641="","",LEFT($Q641,4)&amp;MID($Q641,6,2)&amp;RIGHT($Q641,2)&amp;IF(Sync!$K641="","0000",IF(AND(ISNUMBER(Sync!$K641),Sync!$K641&gt;=0,Sync!$K641&lt;1),RIGHT("00"&amp;HOUR(Sync!$K641),2)&amp;RIGHT("00"&amp;MINUTE(Sync!$K641),2),IFERROR(RIGHT("00"&amp;VALUE(LEFT(Sync!$K641,FIND(":",Sync!$K641)-1)),2)&amp;RIGHT("00"&amp;VALUE(MID(Sync!$K641,FIND(":",Sync!$K641)+1,2)),2),"0000")))&amp;"|"&amp;"2"&amp;RIGHT("00000"&amp;636,5))</f>
        <v/>
      </c>
      <c r="Q641" t="str">
        <f>IF(Sync!$J641="","",IF(ISNUMBER(Sync!$J641),IF(AND(Sync!$J641&gt;=10000101,Sync!$J641&lt;=99991231),INT(Sync!$J641/10000)&amp;"/"&amp;RIGHT("00"&amp;INT(MOD(Sync!$J641,10000)/100),2)&amp;"/"&amp;RIGHT("00"&amp;MOD(Sync!$J641,100),2),"نامعتبر"),IF(LEN(Sync!$J641)=10,Sync!$J641,"نامعتبر")))</f>
        <v/>
      </c>
      <c r="R641" t="str">
        <f t="shared" si="67"/>
        <v/>
      </c>
      <c r="S641" t="str">
        <f t="shared" si="68"/>
        <v/>
      </c>
      <c r="T641" t="str">
        <f>IF($N641="","",IF(Sync!$N641="",0,Sync!$N641))</f>
        <v/>
      </c>
      <c r="U641" t="str">
        <f>IF($N641="","",IF(Sync!$O641="",0,Sync!$O641))</f>
        <v/>
      </c>
      <c r="V641" t="str">
        <f>IF($N641="","",Sync!$L641)</f>
        <v/>
      </c>
      <c r="W641" t="str">
        <f>IF($N641="","",Sync!$P641)</f>
        <v/>
      </c>
      <c r="AA641" t="str">
        <f>IF($A641="","",IF(COUNTIF($A$6:$A641,$A641)=1,1,0))</f>
        <v/>
      </c>
      <c r="AB641">
        <f>SUM($AA$6:$AA641)</f>
        <v>3</v>
      </c>
      <c r="AC641" t="str">
        <f t="shared" si="69"/>
        <v/>
      </c>
    </row>
    <row r="642" spans="1:29" x14ac:dyDescent="0.2">
      <c r="A642" t="str">
        <f>IF(OR(Entry!$B645="",Entry!$E645="",$E642="نامعتبر"),"",Entry!$E645)</f>
        <v/>
      </c>
      <c r="B642" t="str">
        <f>IF($A642="","",LEFT($E642,4)&amp;MID($E642,6,2)&amp;RIGHT($E642,2)&amp;$F642&amp;"|"&amp;"1"&amp;RIGHT("00000"&amp;637,5))</f>
        <v/>
      </c>
      <c r="C642" t="str">
        <f t="shared" si="63"/>
        <v/>
      </c>
      <c r="D642" t="str">
        <f t="shared" si="64"/>
        <v/>
      </c>
      <c r="E642" t="str">
        <f>IF(Entry!$B645="","",IF(ISNUMBER(Entry!$B645),IF(AND(Entry!$B645&gt;=10000101,Entry!$B645&lt;=99991231),INT(Entry!$B645/10000)&amp;"/"&amp;RIGHT("00"&amp;INT(MOD(Entry!$B645,10000)/100),2)&amp;"/"&amp;RIGHT("00"&amp;MOD(Entry!$B645,100),2),"نامعتبر"),IF(LEN(Entry!$B645)=10,Entry!$B645,"نامعتبر")))</f>
        <v/>
      </c>
      <c r="F642" t="str">
        <f>IF(Entry!$B645="","",IF(Entry!$C645="","0000",IF(AND(ISNUMBER(Entry!$C645),Entry!$C645&gt;=0,Entry!$C645&lt;1),RIGHT("00"&amp;HOUR(Entry!$C645),2)&amp;RIGHT("00"&amp;MINUTE(Entry!$C645),2),IFERROR(RIGHT("00"&amp;VALUE(LEFT(Entry!$C645,FIND(":",Entry!$C645)-1)),2)&amp;RIGHT("00"&amp;VALUE(MID(Entry!$C645,FIND(":",Entry!$C645)+1,2)),2),"0000"))))</f>
        <v/>
      </c>
      <c r="G642" t="str">
        <f>IF($A642="","",Entry!$G645)</f>
        <v/>
      </c>
      <c r="H642" t="str">
        <f>IF($A642="","",IF(Entry!$H645="",0,Entry!$H645))</f>
        <v/>
      </c>
      <c r="I642" t="str">
        <f>IF($A642="","",IF(Entry!$I645="",0,Entry!$I645))</f>
        <v/>
      </c>
      <c r="J642" t="str">
        <f t="shared" si="65"/>
        <v/>
      </c>
      <c r="K642" t="str">
        <f>IF($A642="","",Entry!$D645)</f>
        <v/>
      </c>
      <c r="L642" t="str">
        <f>IF($A642="","",Entry!$L645)</f>
        <v/>
      </c>
      <c r="N642" t="str">
        <f>IF(OR(Sync!$M642="",$Q642="",$Q642="نامعتبر"),"",Sync!$M642)</f>
        <v/>
      </c>
      <c r="O642" t="str">
        <f t="shared" si="66"/>
        <v/>
      </c>
      <c r="P642" t="str">
        <f>IF($N642="","",LEFT($Q642,4)&amp;MID($Q642,6,2)&amp;RIGHT($Q642,2)&amp;IF(Sync!$K642="","0000",IF(AND(ISNUMBER(Sync!$K642),Sync!$K642&gt;=0,Sync!$K642&lt;1),RIGHT("00"&amp;HOUR(Sync!$K642),2)&amp;RIGHT("00"&amp;MINUTE(Sync!$K642),2),IFERROR(RIGHT("00"&amp;VALUE(LEFT(Sync!$K642,FIND(":",Sync!$K642)-1)),2)&amp;RIGHT("00"&amp;VALUE(MID(Sync!$K642,FIND(":",Sync!$K642)+1,2)),2),"0000")))&amp;"|"&amp;"2"&amp;RIGHT("00000"&amp;637,5))</f>
        <v/>
      </c>
      <c r="Q642" t="str">
        <f>IF(Sync!$J642="","",IF(ISNUMBER(Sync!$J642),IF(AND(Sync!$J642&gt;=10000101,Sync!$J642&lt;=99991231),INT(Sync!$J642/10000)&amp;"/"&amp;RIGHT("00"&amp;INT(MOD(Sync!$J642,10000)/100),2)&amp;"/"&amp;RIGHT("00"&amp;MOD(Sync!$J642,100),2),"نامعتبر"),IF(LEN(Sync!$J642)=10,Sync!$J642,"نامعتبر")))</f>
        <v/>
      </c>
      <c r="R642" t="str">
        <f t="shared" si="67"/>
        <v/>
      </c>
      <c r="S642" t="str">
        <f t="shared" si="68"/>
        <v/>
      </c>
      <c r="T642" t="str">
        <f>IF($N642="","",IF(Sync!$N642="",0,Sync!$N642))</f>
        <v/>
      </c>
      <c r="U642" t="str">
        <f>IF($N642="","",IF(Sync!$O642="",0,Sync!$O642))</f>
        <v/>
      </c>
      <c r="V642" t="str">
        <f>IF($N642="","",Sync!$L642)</f>
        <v/>
      </c>
      <c r="W642" t="str">
        <f>IF($N642="","",Sync!$P642)</f>
        <v/>
      </c>
      <c r="AA642" t="str">
        <f>IF($A642="","",IF(COUNTIF($A$6:$A642,$A642)=1,1,0))</f>
        <v/>
      </c>
      <c r="AB642">
        <f>SUM($AA$6:$AA642)</f>
        <v>3</v>
      </c>
      <c r="AC642" t="str">
        <f t="shared" si="69"/>
        <v/>
      </c>
    </row>
    <row r="643" spans="1:29" x14ac:dyDescent="0.2">
      <c r="A643" t="str">
        <f>IF(OR(Entry!$B646="",Entry!$E646="",$E643="نامعتبر"),"",Entry!$E646)</f>
        <v/>
      </c>
      <c r="B643" t="str">
        <f>IF($A643="","",LEFT($E643,4)&amp;MID($E643,6,2)&amp;RIGHT($E643,2)&amp;$F643&amp;"|"&amp;"1"&amp;RIGHT("00000"&amp;638,5))</f>
        <v/>
      </c>
      <c r="C643" t="str">
        <f t="shared" si="63"/>
        <v/>
      </c>
      <c r="D643" t="str">
        <f t="shared" si="64"/>
        <v/>
      </c>
      <c r="E643" t="str">
        <f>IF(Entry!$B646="","",IF(ISNUMBER(Entry!$B646),IF(AND(Entry!$B646&gt;=10000101,Entry!$B646&lt;=99991231),INT(Entry!$B646/10000)&amp;"/"&amp;RIGHT("00"&amp;INT(MOD(Entry!$B646,10000)/100),2)&amp;"/"&amp;RIGHT("00"&amp;MOD(Entry!$B646,100),2),"نامعتبر"),IF(LEN(Entry!$B646)=10,Entry!$B646,"نامعتبر")))</f>
        <v/>
      </c>
      <c r="F643" t="str">
        <f>IF(Entry!$B646="","",IF(Entry!$C646="","0000",IF(AND(ISNUMBER(Entry!$C646),Entry!$C646&gt;=0,Entry!$C646&lt;1),RIGHT("00"&amp;HOUR(Entry!$C646),2)&amp;RIGHT("00"&amp;MINUTE(Entry!$C646),2),IFERROR(RIGHT("00"&amp;VALUE(LEFT(Entry!$C646,FIND(":",Entry!$C646)-1)),2)&amp;RIGHT("00"&amp;VALUE(MID(Entry!$C646,FIND(":",Entry!$C646)+1,2)),2),"0000"))))</f>
        <v/>
      </c>
      <c r="G643" t="str">
        <f>IF($A643="","",Entry!$G646)</f>
        <v/>
      </c>
      <c r="H643" t="str">
        <f>IF($A643="","",IF(Entry!$H646="",0,Entry!$H646))</f>
        <v/>
      </c>
      <c r="I643" t="str">
        <f>IF($A643="","",IF(Entry!$I646="",0,Entry!$I646))</f>
        <v/>
      </c>
      <c r="J643" t="str">
        <f t="shared" si="65"/>
        <v/>
      </c>
      <c r="K643" t="str">
        <f>IF($A643="","",Entry!$D646)</f>
        <v/>
      </c>
      <c r="L643" t="str">
        <f>IF($A643="","",Entry!$L646)</f>
        <v/>
      </c>
      <c r="N643" t="str">
        <f>IF(OR(Sync!$M643="",$Q643="",$Q643="نامعتبر"),"",Sync!$M643)</f>
        <v/>
      </c>
      <c r="O643" t="str">
        <f t="shared" si="66"/>
        <v/>
      </c>
      <c r="P643" t="str">
        <f>IF($N643="","",LEFT($Q643,4)&amp;MID($Q643,6,2)&amp;RIGHT($Q643,2)&amp;IF(Sync!$K643="","0000",IF(AND(ISNUMBER(Sync!$K643),Sync!$K643&gt;=0,Sync!$K643&lt;1),RIGHT("00"&amp;HOUR(Sync!$K643),2)&amp;RIGHT("00"&amp;MINUTE(Sync!$K643),2),IFERROR(RIGHT("00"&amp;VALUE(LEFT(Sync!$K643,FIND(":",Sync!$K643)-1)),2)&amp;RIGHT("00"&amp;VALUE(MID(Sync!$K643,FIND(":",Sync!$K643)+1,2)),2),"0000")))&amp;"|"&amp;"2"&amp;RIGHT("00000"&amp;638,5))</f>
        <v/>
      </c>
      <c r="Q643" t="str">
        <f>IF(Sync!$J643="","",IF(ISNUMBER(Sync!$J643),IF(AND(Sync!$J643&gt;=10000101,Sync!$J643&lt;=99991231),INT(Sync!$J643/10000)&amp;"/"&amp;RIGHT("00"&amp;INT(MOD(Sync!$J643,10000)/100),2)&amp;"/"&amp;RIGHT("00"&amp;MOD(Sync!$J643,100),2),"نامعتبر"),IF(LEN(Sync!$J643)=10,Sync!$J643,"نامعتبر")))</f>
        <v/>
      </c>
      <c r="R643" t="str">
        <f t="shared" si="67"/>
        <v/>
      </c>
      <c r="S643" t="str">
        <f t="shared" si="68"/>
        <v/>
      </c>
      <c r="T643" t="str">
        <f>IF($N643="","",IF(Sync!$N643="",0,Sync!$N643))</f>
        <v/>
      </c>
      <c r="U643" t="str">
        <f>IF($N643="","",IF(Sync!$O643="",0,Sync!$O643))</f>
        <v/>
      </c>
      <c r="V643" t="str">
        <f>IF($N643="","",Sync!$L643)</f>
        <v/>
      </c>
      <c r="W643" t="str">
        <f>IF($N643="","",Sync!$P643)</f>
        <v/>
      </c>
      <c r="AA643" t="str">
        <f>IF($A643="","",IF(COUNTIF($A$6:$A643,$A643)=1,1,0))</f>
        <v/>
      </c>
      <c r="AB643">
        <f>SUM($AA$6:$AA643)</f>
        <v>3</v>
      </c>
      <c r="AC643" t="str">
        <f t="shared" si="69"/>
        <v/>
      </c>
    </row>
    <row r="644" spans="1:29" x14ac:dyDescent="0.2">
      <c r="A644" t="str">
        <f>IF(OR(Entry!$B647="",Entry!$E647="",$E644="نامعتبر"),"",Entry!$E647)</f>
        <v/>
      </c>
      <c r="B644" t="str">
        <f>IF($A644="","",LEFT($E644,4)&amp;MID($E644,6,2)&amp;RIGHT($E644,2)&amp;$F644&amp;"|"&amp;"1"&amp;RIGHT("00000"&amp;639,5))</f>
        <v/>
      </c>
      <c r="C644" t="str">
        <f t="shared" si="63"/>
        <v/>
      </c>
      <c r="D644" t="str">
        <f t="shared" si="64"/>
        <v/>
      </c>
      <c r="E644" t="str">
        <f>IF(Entry!$B647="","",IF(ISNUMBER(Entry!$B647),IF(AND(Entry!$B647&gt;=10000101,Entry!$B647&lt;=99991231),INT(Entry!$B647/10000)&amp;"/"&amp;RIGHT("00"&amp;INT(MOD(Entry!$B647,10000)/100),2)&amp;"/"&amp;RIGHT("00"&amp;MOD(Entry!$B647,100),2),"نامعتبر"),IF(LEN(Entry!$B647)=10,Entry!$B647,"نامعتبر")))</f>
        <v/>
      </c>
      <c r="F644" t="str">
        <f>IF(Entry!$B647="","",IF(Entry!$C647="","0000",IF(AND(ISNUMBER(Entry!$C647),Entry!$C647&gt;=0,Entry!$C647&lt;1),RIGHT("00"&amp;HOUR(Entry!$C647),2)&amp;RIGHT("00"&amp;MINUTE(Entry!$C647),2),IFERROR(RIGHT("00"&amp;VALUE(LEFT(Entry!$C647,FIND(":",Entry!$C647)-1)),2)&amp;RIGHT("00"&amp;VALUE(MID(Entry!$C647,FIND(":",Entry!$C647)+1,2)),2),"0000"))))</f>
        <v/>
      </c>
      <c r="G644" t="str">
        <f>IF($A644="","",Entry!$G647)</f>
        <v/>
      </c>
      <c r="H644" t="str">
        <f>IF($A644="","",IF(Entry!$H647="",0,Entry!$H647))</f>
        <v/>
      </c>
      <c r="I644" t="str">
        <f>IF($A644="","",IF(Entry!$I647="",0,Entry!$I647))</f>
        <v/>
      </c>
      <c r="J644" t="str">
        <f t="shared" si="65"/>
        <v/>
      </c>
      <c r="K644" t="str">
        <f>IF($A644="","",Entry!$D647)</f>
        <v/>
      </c>
      <c r="L644" t="str">
        <f>IF($A644="","",Entry!$L647)</f>
        <v/>
      </c>
      <c r="N644" t="str">
        <f>IF(OR(Sync!$M644="",$Q644="",$Q644="نامعتبر"),"",Sync!$M644)</f>
        <v/>
      </c>
      <c r="O644" t="str">
        <f t="shared" si="66"/>
        <v/>
      </c>
      <c r="P644" t="str">
        <f>IF($N644="","",LEFT($Q644,4)&amp;MID($Q644,6,2)&amp;RIGHT($Q644,2)&amp;IF(Sync!$K644="","0000",IF(AND(ISNUMBER(Sync!$K644),Sync!$K644&gt;=0,Sync!$K644&lt;1),RIGHT("00"&amp;HOUR(Sync!$K644),2)&amp;RIGHT("00"&amp;MINUTE(Sync!$K644),2),IFERROR(RIGHT("00"&amp;VALUE(LEFT(Sync!$K644,FIND(":",Sync!$K644)-1)),2)&amp;RIGHT("00"&amp;VALUE(MID(Sync!$K644,FIND(":",Sync!$K644)+1,2)),2),"0000")))&amp;"|"&amp;"2"&amp;RIGHT("00000"&amp;639,5))</f>
        <v/>
      </c>
      <c r="Q644" t="str">
        <f>IF(Sync!$J644="","",IF(ISNUMBER(Sync!$J644),IF(AND(Sync!$J644&gt;=10000101,Sync!$J644&lt;=99991231),INT(Sync!$J644/10000)&amp;"/"&amp;RIGHT("00"&amp;INT(MOD(Sync!$J644,10000)/100),2)&amp;"/"&amp;RIGHT("00"&amp;MOD(Sync!$J644,100),2),"نامعتبر"),IF(LEN(Sync!$J644)=10,Sync!$J644,"نامعتبر")))</f>
        <v/>
      </c>
      <c r="R644" t="str">
        <f t="shared" si="67"/>
        <v/>
      </c>
      <c r="S644" t="str">
        <f t="shared" si="68"/>
        <v/>
      </c>
      <c r="T644" t="str">
        <f>IF($N644="","",IF(Sync!$N644="",0,Sync!$N644))</f>
        <v/>
      </c>
      <c r="U644" t="str">
        <f>IF($N644="","",IF(Sync!$O644="",0,Sync!$O644))</f>
        <v/>
      </c>
      <c r="V644" t="str">
        <f>IF($N644="","",Sync!$L644)</f>
        <v/>
      </c>
      <c r="W644" t="str">
        <f>IF($N644="","",Sync!$P644)</f>
        <v/>
      </c>
      <c r="AA644" t="str">
        <f>IF($A644="","",IF(COUNTIF($A$6:$A644,$A644)=1,1,0))</f>
        <v/>
      </c>
      <c r="AB644">
        <f>SUM($AA$6:$AA644)</f>
        <v>3</v>
      </c>
      <c r="AC644" t="str">
        <f t="shared" si="69"/>
        <v/>
      </c>
    </row>
    <row r="645" spans="1:29" x14ac:dyDescent="0.2">
      <c r="A645" t="str">
        <f>IF(OR(Entry!$B648="",Entry!$E648="",$E645="نامعتبر"),"",Entry!$E648)</f>
        <v/>
      </c>
      <c r="B645" t="str">
        <f>IF($A645="","",LEFT($E645,4)&amp;MID($E645,6,2)&amp;RIGHT($E645,2)&amp;$F645&amp;"|"&amp;"1"&amp;RIGHT("00000"&amp;640,5))</f>
        <v/>
      </c>
      <c r="C645" t="str">
        <f t="shared" si="63"/>
        <v/>
      </c>
      <c r="D645" t="str">
        <f t="shared" si="64"/>
        <v/>
      </c>
      <c r="E645" t="str">
        <f>IF(Entry!$B648="","",IF(ISNUMBER(Entry!$B648),IF(AND(Entry!$B648&gt;=10000101,Entry!$B648&lt;=99991231),INT(Entry!$B648/10000)&amp;"/"&amp;RIGHT("00"&amp;INT(MOD(Entry!$B648,10000)/100),2)&amp;"/"&amp;RIGHT("00"&amp;MOD(Entry!$B648,100),2),"نامعتبر"),IF(LEN(Entry!$B648)=10,Entry!$B648,"نامعتبر")))</f>
        <v/>
      </c>
      <c r="F645" t="str">
        <f>IF(Entry!$B648="","",IF(Entry!$C648="","0000",IF(AND(ISNUMBER(Entry!$C648),Entry!$C648&gt;=0,Entry!$C648&lt;1),RIGHT("00"&amp;HOUR(Entry!$C648),2)&amp;RIGHT("00"&amp;MINUTE(Entry!$C648),2),IFERROR(RIGHT("00"&amp;VALUE(LEFT(Entry!$C648,FIND(":",Entry!$C648)-1)),2)&amp;RIGHT("00"&amp;VALUE(MID(Entry!$C648,FIND(":",Entry!$C648)+1,2)),2),"0000"))))</f>
        <v/>
      </c>
      <c r="G645" t="str">
        <f>IF($A645="","",Entry!$G648)</f>
        <v/>
      </c>
      <c r="H645" t="str">
        <f>IF($A645="","",IF(Entry!$H648="",0,Entry!$H648))</f>
        <v/>
      </c>
      <c r="I645" t="str">
        <f>IF($A645="","",IF(Entry!$I648="",0,Entry!$I648))</f>
        <v/>
      </c>
      <c r="J645" t="str">
        <f t="shared" si="65"/>
        <v/>
      </c>
      <c r="K645" t="str">
        <f>IF($A645="","",Entry!$D648)</f>
        <v/>
      </c>
      <c r="L645" t="str">
        <f>IF($A645="","",Entry!$L648)</f>
        <v/>
      </c>
      <c r="N645" t="str">
        <f>IF(OR(Sync!$M645="",$Q645="",$Q645="نامعتبر"),"",Sync!$M645)</f>
        <v/>
      </c>
      <c r="O645" t="str">
        <f t="shared" si="66"/>
        <v/>
      </c>
      <c r="P645" t="str">
        <f>IF($N645="","",LEFT($Q645,4)&amp;MID($Q645,6,2)&amp;RIGHT($Q645,2)&amp;IF(Sync!$K645="","0000",IF(AND(ISNUMBER(Sync!$K645),Sync!$K645&gt;=0,Sync!$K645&lt;1),RIGHT("00"&amp;HOUR(Sync!$K645),2)&amp;RIGHT("00"&amp;MINUTE(Sync!$K645),2),IFERROR(RIGHT("00"&amp;VALUE(LEFT(Sync!$K645,FIND(":",Sync!$K645)-1)),2)&amp;RIGHT("00"&amp;VALUE(MID(Sync!$K645,FIND(":",Sync!$K645)+1,2)),2),"0000")))&amp;"|"&amp;"2"&amp;RIGHT("00000"&amp;640,5))</f>
        <v/>
      </c>
      <c r="Q645" t="str">
        <f>IF(Sync!$J645="","",IF(ISNUMBER(Sync!$J645),IF(AND(Sync!$J645&gt;=10000101,Sync!$J645&lt;=99991231),INT(Sync!$J645/10000)&amp;"/"&amp;RIGHT("00"&amp;INT(MOD(Sync!$J645,10000)/100),2)&amp;"/"&amp;RIGHT("00"&amp;MOD(Sync!$J645,100),2),"نامعتبر"),IF(LEN(Sync!$J645)=10,Sync!$J645,"نامعتبر")))</f>
        <v/>
      </c>
      <c r="R645" t="str">
        <f t="shared" si="67"/>
        <v/>
      </c>
      <c r="S645" t="str">
        <f t="shared" si="68"/>
        <v/>
      </c>
      <c r="T645" t="str">
        <f>IF($N645="","",IF(Sync!$N645="",0,Sync!$N645))</f>
        <v/>
      </c>
      <c r="U645" t="str">
        <f>IF($N645="","",IF(Sync!$O645="",0,Sync!$O645))</f>
        <v/>
      </c>
      <c r="V645" t="str">
        <f>IF($N645="","",Sync!$L645)</f>
        <v/>
      </c>
      <c r="W645" t="str">
        <f>IF($N645="","",Sync!$P645)</f>
        <v/>
      </c>
      <c r="AA645" t="str">
        <f>IF($A645="","",IF(COUNTIF($A$6:$A645,$A645)=1,1,0))</f>
        <v/>
      </c>
      <c r="AB645">
        <f>SUM($AA$6:$AA645)</f>
        <v>3</v>
      </c>
      <c r="AC645" t="str">
        <f t="shared" si="69"/>
        <v/>
      </c>
    </row>
    <row r="646" spans="1:29" x14ac:dyDescent="0.2">
      <c r="A646" t="str">
        <f>IF(OR(Entry!$B649="",Entry!$E649="",$E646="نامعتبر"),"",Entry!$E649)</f>
        <v/>
      </c>
      <c r="B646" t="str">
        <f>IF($A646="","",LEFT($E646,4)&amp;MID($E646,6,2)&amp;RIGHT($E646,2)&amp;$F646&amp;"|"&amp;"1"&amp;RIGHT("00000"&amp;641,5))</f>
        <v/>
      </c>
      <c r="C646" t="str">
        <f t="shared" ref="C646:C709" si="70">IF($B646="","",COUNTIFS($A$6:$A$1005,$A646,$B$6:$B$1005,"&lt;"&amp;$B646)+COUNTIFS($N$6:$N$2005,$A646,$P$6:$P$2005,"&lt;"&amp;$B646)+1)</f>
        <v/>
      </c>
      <c r="D646" t="str">
        <f t="shared" ref="D646:D709" si="71">IF($C646="","",$A646&amp;"|"&amp;RIGHT("000000"&amp;$C646,6))</f>
        <v/>
      </c>
      <c r="E646" t="str">
        <f>IF(Entry!$B649="","",IF(ISNUMBER(Entry!$B649),IF(AND(Entry!$B649&gt;=10000101,Entry!$B649&lt;=99991231),INT(Entry!$B649/10000)&amp;"/"&amp;RIGHT("00"&amp;INT(MOD(Entry!$B649,10000)/100),2)&amp;"/"&amp;RIGHT("00"&amp;MOD(Entry!$B649,100),2),"نامعتبر"),IF(LEN(Entry!$B649)=10,Entry!$B649,"نامعتبر")))</f>
        <v/>
      </c>
      <c r="F646" t="str">
        <f>IF(Entry!$B649="","",IF(Entry!$C649="","0000",IF(AND(ISNUMBER(Entry!$C649),Entry!$C649&gt;=0,Entry!$C649&lt;1),RIGHT("00"&amp;HOUR(Entry!$C649),2)&amp;RIGHT("00"&amp;MINUTE(Entry!$C649),2),IFERROR(RIGHT("00"&amp;VALUE(LEFT(Entry!$C649,FIND(":",Entry!$C649)-1)),2)&amp;RIGHT("00"&amp;VALUE(MID(Entry!$C649,FIND(":",Entry!$C649)+1,2)),2),"0000"))))</f>
        <v/>
      </c>
      <c r="G646" t="str">
        <f>IF($A646="","",Entry!$G649)</f>
        <v/>
      </c>
      <c r="H646" t="str">
        <f>IF($A646="","",IF(Entry!$H649="",0,Entry!$H649))</f>
        <v/>
      </c>
      <c r="I646" t="str">
        <f>IF($A646="","",IF(Entry!$I649="",0,Entry!$I649))</f>
        <v/>
      </c>
      <c r="J646" t="str">
        <f t="shared" ref="J646:J709" si="72">IF($A646="","",ROUND($H646*$I646,0))</f>
        <v/>
      </c>
      <c r="K646" t="str">
        <f>IF($A646="","",Entry!$D649)</f>
        <v/>
      </c>
      <c r="L646" t="str">
        <f>IF($A646="","",Entry!$L649)</f>
        <v/>
      </c>
      <c r="N646" t="str">
        <f>IF(OR(Sync!$M646="",$Q646="",$Q646="نامعتبر"),"",Sync!$M646)</f>
        <v/>
      </c>
      <c r="O646" t="str">
        <f t="shared" ref="O646:O709" si="73">IF($N646="","",$Q646)</f>
        <v/>
      </c>
      <c r="P646" t="str">
        <f>IF($N646="","",LEFT($Q646,4)&amp;MID($Q646,6,2)&amp;RIGHT($Q646,2)&amp;IF(Sync!$K646="","0000",IF(AND(ISNUMBER(Sync!$K646),Sync!$K646&gt;=0,Sync!$K646&lt;1),RIGHT("00"&amp;HOUR(Sync!$K646),2)&amp;RIGHT("00"&amp;MINUTE(Sync!$K646),2),IFERROR(RIGHT("00"&amp;VALUE(LEFT(Sync!$K646,FIND(":",Sync!$K646)-1)),2)&amp;RIGHT("00"&amp;VALUE(MID(Sync!$K646,FIND(":",Sync!$K646)+1,2)),2),"0000")))&amp;"|"&amp;"2"&amp;RIGHT("00000"&amp;641,5))</f>
        <v/>
      </c>
      <c r="Q646" t="str">
        <f>IF(Sync!$J646="","",IF(ISNUMBER(Sync!$J646),IF(AND(Sync!$J646&gt;=10000101,Sync!$J646&lt;=99991231),INT(Sync!$J646/10000)&amp;"/"&amp;RIGHT("00"&amp;INT(MOD(Sync!$J646,10000)/100),2)&amp;"/"&amp;RIGHT("00"&amp;MOD(Sync!$J646,100),2),"نامعتبر"),IF(LEN(Sync!$J646)=10,Sync!$J646,"نامعتبر")))</f>
        <v/>
      </c>
      <c r="R646" t="str">
        <f t="shared" ref="R646:R709" si="74">IF($P646="","",COUNTIFS($N$6:$N$2005,$N646,$P$6:$P$2005,"&lt;"&amp;$P646)+COUNTIFS($A$6:$A$1005,$N646,$B$6:$B$1005,"&lt;"&amp;$P646)+1)</f>
        <v/>
      </c>
      <c r="S646" t="str">
        <f t="shared" ref="S646:S709" si="75">IF($N646="","",$N646&amp;"|"&amp;RIGHT("000000"&amp;$R646,6))</f>
        <v/>
      </c>
      <c r="T646" t="str">
        <f>IF($N646="","",IF(Sync!$N646="",0,Sync!$N646))</f>
        <v/>
      </c>
      <c r="U646" t="str">
        <f>IF($N646="","",IF(Sync!$O646="",0,Sync!$O646))</f>
        <v/>
      </c>
      <c r="V646" t="str">
        <f>IF($N646="","",Sync!$L646)</f>
        <v/>
      </c>
      <c r="W646" t="str">
        <f>IF($N646="","",Sync!$P646)</f>
        <v/>
      </c>
      <c r="AA646" t="str">
        <f>IF($A646="","",IF(COUNTIF($A$6:$A646,$A646)=1,1,0))</f>
        <v/>
      </c>
      <c r="AB646">
        <f>SUM($AA$6:$AA646)</f>
        <v>3</v>
      </c>
      <c r="AC646" t="str">
        <f t="shared" ref="AC646:AC709" si="76">IFERROR(INDEX($A$6:$A$1005,MATCH(ROW()-5,$AB$6:$AB$1005,0)),"")</f>
        <v/>
      </c>
    </row>
    <row r="647" spans="1:29" x14ac:dyDescent="0.2">
      <c r="A647" t="str">
        <f>IF(OR(Entry!$B650="",Entry!$E650="",$E647="نامعتبر"),"",Entry!$E650)</f>
        <v/>
      </c>
      <c r="B647" t="str">
        <f>IF($A647="","",LEFT($E647,4)&amp;MID($E647,6,2)&amp;RIGHT($E647,2)&amp;$F647&amp;"|"&amp;"1"&amp;RIGHT("00000"&amp;642,5))</f>
        <v/>
      </c>
      <c r="C647" t="str">
        <f t="shared" si="70"/>
        <v/>
      </c>
      <c r="D647" t="str">
        <f t="shared" si="71"/>
        <v/>
      </c>
      <c r="E647" t="str">
        <f>IF(Entry!$B650="","",IF(ISNUMBER(Entry!$B650),IF(AND(Entry!$B650&gt;=10000101,Entry!$B650&lt;=99991231),INT(Entry!$B650/10000)&amp;"/"&amp;RIGHT("00"&amp;INT(MOD(Entry!$B650,10000)/100),2)&amp;"/"&amp;RIGHT("00"&amp;MOD(Entry!$B650,100),2),"نامعتبر"),IF(LEN(Entry!$B650)=10,Entry!$B650,"نامعتبر")))</f>
        <v/>
      </c>
      <c r="F647" t="str">
        <f>IF(Entry!$B650="","",IF(Entry!$C650="","0000",IF(AND(ISNUMBER(Entry!$C650),Entry!$C650&gt;=0,Entry!$C650&lt;1),RIGHT("00"&amp;HOUR(Entry!$C650),2)&amp;RIGHT("00"&amp;MINUTE(Entry!$C650),2),IFERROR(RIGHT("00"&amp;VALUE(LEFT(Entry!$C650,FIND(":",Entry!$C650)-1)),2)&amp;RIGHT("00"&amp;VALUE(MID(Entry!$C650,FIND(":",Entry!$C650)+1,2)),2),"0000"))))</f>
        <v/>
      </c>
      <c r="G647" t="str">
        <f>IF($A647="","",Entry!$G650)</f>
        <v/>
      </c>
      <c r="H647" t="str">
        <f>IF($A647="","",IF(Entry!$H650="",0,Entry!$H650))</f>
        <v/>
      </c>
      <c r="I647" t="str">
        <f>IF($A647="","",IF(Entry!$I650="",0,Entry!$I650))</f>
        <v/>
      </c>
      <c r="J647" t="str">
        <f t="shared" si="72"/>
        <v/>
      </c>
      <c r="K647" t="str">
        <f>IF($A647="","",Entry!$D650)</f>
        <v/>
      </c>
      <c r="L647" t="str">
        <f>IF($A647="","",Entry!$L650)</f>
        <v/>
      </c>
      <c r="N647" t="str">
        <f>IF(OR(Sync!$M647="",$Q647="",$Q647="نامعتبر"),"",Sync!$M647)</f>
        <v/>
      </c>
      <c r="O647" t="str">
        <f t="shared" si="73"/>
        <v/>
      </c>
      <c r="P647" t="str">
        <f>IF($N647="","",LEFT($Q647,4)&amp;MID($Q647,6,2)&amp;RIGHT($Q647,2)&amp;IF(Sync!$K647="","0000",IF(AND(ISNUMBER(Sync!$K647),Sync!$K647&gt;=0,Sync!$K647&lt;1),RIGHT("00"&amp;HOUR(Sync!$K647),2)&amp;RIGHT("00"&amp;MINUTE(Sync!$K647),2),IFERROR(RIGHT("00"&amp;VALUE(LEFT(Sync!$K647,FIND(":",Sync!$K647)-1)),2)&amp;RIGHT("00"&amp;VALUE(MID(Sync!$K647,FIND(":",Sync!$K647)+1,2)),2),"0000")))&amp;"|"&amp;"2"&amp;RIGHT("00000"&amp;642,5))</f>
        <v/>
      </c>
      <c r="Q647" t="str">
        <f>IF(Sync!$J647="","",IF(ISNUMBER(Sync!$J647),IF(AND(Sync!$J647&gt;=10000101,Sync!$J647&lt;=99991231),INT(Sync!$J647/10000)&amp;"/"&amp;RIGHT("00"&amp;INT(MOD(Sync!$J647,10000)/100),2)&amp;"/"&amp;RIGHT("00"&amp;MOD(Sync!$J647,100),2),"نامعتبر"),IF(LEN(Sync!$J647)=10,Sync!$J647,"نامعتبر")))</f>
        <v/>
      </c>
      <c r="R647" t="str">
        <f t="shared" si="74"/>
        <v/>
      </c>
      <c r="S647" t="str">
        <f t="shared" si="75"/>
        <v/>
      </c>
      <c r="T647" t="str">
        <f>IF($N647="","",IF(Sync!$N647="",0,Sync!$N647))</f>
        <v/>
      </c>
      <c r="U647" t="str">
        <f>IF($N647="","",IF(Sync!$O647="",0,Sync!$O647))</f>
        <v/>
      </c>
      <c r="V647" t="str">
        <f>IF($N647="","",Sync!$L647)</f>
        <v/>
      </c>
      <c r="W647" t="str">
        <f>IF($N647="","",Sync!$P647)</f>
        <v/>
      </c>
      <c r="AA647" t="str">
        <f>IF($A647="","",IF(COUNTIF($A$6:$A647,$A647)=1,1,0))</f>
        <v/>
      </c>
      <c r="AB647">
        <f>SUM($AA$6:$AA647)</f>
        <v>3</v>
      </c>
      <c r="AC647" t="str">
        <f t="shared" si="76"/>
        <v/>
      </c>
    </row>
    <row r="648" spans="1:29" x14ac:dyDescent="0.2">
      <c r="A648" t="str">
        <f>IF(OR(Entry!$B651="",Entry!$E651="",$E648="نامعتبر"),"",Entry!$E651)</f>
        <v/>
      </c>
      <c r="B648" t="str">
        <f>IF($A648="","",LEFT($E648,4)&amp;MID($E648,6,2)&amp;RIGHT($E648,2)&amp;$F648&amp;"|"&amp;"1"&amp;RIGHT("00000"&amp;643,5))</f>
        <v/>
      </c>
      <c r="C648" t="str">
        <f t="shared" si="70"/>
        <v/>
      </c>
      <c r="D648" t="str">
        <f t="shared" si="71"/>
        <v/>
      </c>
      <c r="E648" t="str">
        <f>IF(Entry!$B651="","",IF(ISNUMBER(Entry!$B651),IF(AND(Entry!$B651&gt;=10000101,Entry!$B651&lt;=99991231),INT(Entry!$B651/10000)&amp;"/"&amp;RIGHT("00"&amp;INT(MOD(Entry!$B651,10000)/100),2)&amp;"/"&amp;RIGHT("00"&amp;MOD(Entry!$B651,100),2),"نامعتبر"),IF(LEN(Entry!$B651)=10,Entry!$B651,"نامعتبر")))</f>
        <v/>
      </c>
      <c r="F648" t="str">
        <f>IF(Entry!$B651="","",IF(Entry!$C651="","0000",IF(AND(ISNUMBER(Entry!$C651),Entry!$C651&gt;=0,Entry!$C651&lt;1),RIGHT("00"&amp;HOUR(Entry!$C651),2)&amp;RIGHT("00"&amp;MINUTE(Entry!$C651),2),IFERROR(RIGHT("00"&amp;VALUE(LEFT(Entry!$C651,FIND(":",Entry!$C651)-1)),2)&amp;RIGHT("00"&amp;VALUE(MID(Entry!$C651,FIND(":",Entry!$C651)+1,2)),2),"0000"))))</f>
        <v/>
      </c>
      <c r="G648" t="str">
        <f>IF($A648="","",Entry!$G651)</f>
        <v/>
      </c>
      <c r="H648" t="str">
        <f>IF($A648="","",IF(Entry!$H651="",0,Entry!$H651))</f>
        <v/>
      </c>
      <c r="I648" t="str">
        <f>IF($A648="","",IF(Entry!$I651="",0,Entry!$I651))</f>
        <v/>
      </c>
      <c r="J648" t="str">
        <f t="shared" si="72"/>
        <v/>
      </c>
      <c r="K648" t="str">
        <f>IF($A648="","",Entry!$D651)</f>
        <v/>
      </c>
      <c r="L648" t="str">
        <f>IF($A648="","",Entry!$L651)</f>
        <v/>
      </c>
      <c r="N648" t="str">
        <f>IF(OR(Sync!$M648="",$Q648="",$Q648="نامعتبر"),"",Sync!$M648)</f>
        <v/>
      </c>
      <c r="O648" t="str">
        <f t="shared" si="73"/>
        <v/>
      </c>
      <c r="P648" t="str">
        <f>IF($N648="","",LEFT($Q648,4)&amp;MID($Q648,6,2)&amp;RIGHT($Q648,2)&amp;IF(Sync!$K648="","0000",IF(AND(ISNUMBER(Sync!$K648),Sync!$K648&gt;=0,Sync!$K648&lt;1),RIGHT("00"&amp;HOUR(Sync!$K648),2)&amp;RIGHT("00"&amp;MINUTE(Sync!$K648),2),IFERROR(RIGHT("00"&amp;VALUE(LEFT(Sync!$K648,FIND(":",Sync!$K648)-1)),2)&amp;RIGHT("00"&amp;VALUE(MID(Sync!$K648,FIND(":",Sync!$K648)+1,2)),2),"0000")))&amp;"|"&amp;"2"&amp;RIGHT("00000"&amp;643,5))</f>
        <v/>
      </c>
      <c r="Q648" t="str">
        <f>IF(Sync!$J648="","",IF(ISNUMBER(Sync!$J648),IF(AND(Sync!$J648&gt;=10000101,Sync!$J648&lt;=99991231),INT(Sync!$J648/10000)&amp;"/"&amp;RIGHT("00"&amp;INT(MOD(Sync!$J648,10000)/100),2)&amp;"/"&amp;RIGHT("00"&amp;MOD(Sync!$J648,100),2),"نامعتبر"),IF(LEN(Sync!$J648)=10,Sync!$J648,"نامعتبر")))</f>
        <v/>
      </c>
      <c r="R648" t="str">
        <f t="shared" si="74"/>
        <v/>
      </c>
      <c r="S648" t="str">
        <f t="shared" si="75"/>
        <v/>
      </c>
      <c r="T648" t="str">
        <f>IF($N648="","",IF(Sync!$N648="",0,Sync!$N648))</f>
        <v/>
      </c>
      <c r="U648" t="str">
        <f>IF($N648="","",IF(Sync!$O648="",0,Sync!$O648))</f>
        <v/>
      </c>
      <c r="V648" t="str">
        <f>IF($N648="","",Sync!$L648)</f>
        <v/>
      </c>
      <c r="W648" t="str">
        <f>IF($N648="","",Sync!$P648)</f>
        <v/>
      </c>
      <c r="AA648" t="str">
        <f>IF($A648="","",IF(COUNTIF($A$6:$A648,$A648)=1,1,0))</f>
        <v/>
      </c>
      <c r="AB648">
        <f>SUM($AA$6:$AA648)</f>
        <v>3</v>
      </c>
      <c r="AC648" t="str">
        <f t="shared" si="76"/>
        <v/>
      </c>
    </row>
    <row r="649" spans="1:29" x14ac:dyDescent="0.2">
      <c r="A649" t="str">
        <f>IF(OR(Entry!$B652="",Entry!$E652="",$E649="نامعتبر"),"",Entry!$E652)</f>
        <v/>
      </c>
      <c r="B649" t="str">
        <f>IF($A649="","",LEFT($E649,4)&amp;MID($E649,6,2)&amp;RIGHT($E649,2)&amp;$F649&amp;"|"&amp;"1"&amp;RIGHT("00000"&amp;644,5))</f>
        <v/>
      </c>
      <c r="C649" t="str">
        <f t="shared" si="70"/>
        <v/>
      </c>
      <c r="D649" t="str">
        <f t="shared" si="71"/>
        <v/>
      </c>
      <c r="E649" t="str">
        <f>IF(Entry!$B652="","",IF(ISNUMBER(Entry!$B652),IF(AND(Entry!$B652&gt;=10000101,Entry!$B652&lt;=99991231),INT(Entry!$B652/10000)&amp;"/"&amp;RIGHT("00"&amp;INT(MOD(Entry!$B652,10000)/100),2)&amp;"/"&amp;RIGHT("00"&amp;MOD(Entry!$B652,100),2),"نامعتبر"),IF(LEN(Entry!$B652)=10,Entry!$B652,"نامعتبر")))</f>
        <v/>
      </c>
      <c r="F649" t="str">
        <f>IF(Entry!$B652="","",IF(Entry!$C652="","0000",IF(AND(ISNUMBER(Entry!$C652),Entry!$C652&gt;=0,Entry!$C652&lt;1),RIGHT("00"&amp;HOUR(Entry!$C652),2)&amp;RIGHT("00"&amp;MINUTE(Entry!$C652),2),IFERROR(RIGHT("00"&amp;VALUE(LEFT(Entry!$C652,FIND(":",Entry!$C652)-1)),2)&amp;RIGHT("00"&amp;VALUE(MID(Entry!$C652,FIND(":",Entry!$C652)+1,2)),2),"0000"))))</f>
        <v/>
      </c>
      <c r="G649" t="str">
        <f>IF($A649="","",Entry!$G652)</f>
        <v/>
      </c>
      <c r="H649" t="str">
        <f>IF($A649="","",IF(Entry!$H652="",0,Entry!$H652))</f>
        <v/>
      </c>
      <c r="I649" t="str">
        <f>IF($A649="","",IF(Entry!$I652="",0,Entry!$I652))</f>
        <v/>
      </c>
      <c r="J649" t="str">
        <f t="shared" si="72"/>
        <v/>
      </c>
      <c r="K649" t="str">
        <f>IF($A649="","",Entry!$D652)</f>
        <v/>
      </c>
      <c r="L649" t="str">
        <f>IF($A649="","",Entry!$L652)</f>
        <v/>
      </c>
      <c r="N649" t="str">
        <f>IF(OR(Sync!$M649="",$Q649="",$Q649="نامعتبر"),"",Sync!$M649)</f>
        <v/>
      </c>
      <c r="O649" t="str">
        <f t="shared" si="73"/>
        <v/>
      </c>
      <c r="P649" t="str">
        <f>IF($N649="","",LEFT($Q649,4)&amp;MID($Q649,6,2)&amp;RIGHT($Q649,2)&amp;IF(Sync!$K649="","0000",IF(AND(ISNUMBER(Sync!$K649),Sync!$K649&gt;=0,Sync!$K649&lt;1),RIGHT("00"&amp;HOUR(Sync!$K649),2)&amp;RIGHT("00"&amp;MINUTE(Sync!$K649),2),IFERROR(RIGHT("00"&amp;VALUE(LEFT(Sync!$K649,FIND(":",Sync!$K649)-1)),2)&amp;RIGHT("00"&amp;VALUE(MID(Sync!$K649,FIND(":",Sync!$K649)+1,2)),2),"0000")))&amp;"|"&amp;"2"&amp;RIGHT("00000"&amp;644,5))</f>
        <v/>
      </c>
      <c r="Q649" t="str">
        <f>IF(Sync!$J649="","",IF(ISNUMBER(Sync!$J649),IF(AND(Sync!$J649&gt;=10000101,Sync!$J649&lt;=99991231),INT(Sync!$J649/10000)&amp;"/"&amp;RIGHT("00"&amp;INT(MOD(Sync!$J649,10000)/100),2)&amp;"/"&amp;RIGHT("00"&amp;MOD(Sync!$J649,100),2),"نامعتبر"),IF(LEN(Sync!$J649)=10,Sync!$J649,"نامعتبر")))</f>
        <v/>
      </c>
      <c r="R649" t="str">
        <f t="shared" si="74"/>
        <v/>
      </c>
      <c r="S649" t="str">
        <f t="shared" si="75"/>
        <v/>
      </c>
      <c r="T649" t="str">
        <f>IF($N649="","",IF(Sync!$N649="",0,Sync!$N649))</f>
        <v/>
      </c>
      <c r="U649" t="str">
        <f>IF($N649="","",IF(Sync!$O649="",0,Sync!$O649))</f>
        <v/>
      </c>
      <c r="V649" t="str">
        <f>IF($N649="","",Sync!$L649)</f>
        <v/>
      </c>
      <c r="W649" t="str">
        <f>IF($N649="","",Sync!$P649)</f>
        <v/>
      </c>
      <c r="AA649" t="str">
        <f>IF($A649="","",IF(COUNTIF($A$6:$A649,$A649)=1,1,0))</f>
        <v/>
      </c>
      <c r="AB649">
        <f>SUM($AA$6:$AA649)</f>
        <v>3</v>
      </c>
      <c r="AC649" t="str">
        <f t="shared" si="76"/>
        <v/>
      </c>
    </row>
    <row r="650" spans="1:29" x14ac:dyDescent="0.2">
      <c r="A650" t="str">
        <f>IF(OR(Entry!$B653="",Entry!$E653="",$E650="نامعتبر"),"",Entry!$E653)</f>
        <v/>
      </c>
      <c r="B650" t="str">
        <f>IF($A650="","",LEFT($E650,4)&amp;MID($E650,6,2)&amp;RIGHT($E650,2)&amp;$F650&amp;"|"&amp;"1"&amp;RIGHT("00000"&amp;645,5))</f>
        <v/>
      </c>
      <c r="C650" t="str">
        <f t="shared" si="70"/>
        <v/>
      </c>
      <c r="D650" t="str">
        <f t="shared" si="71"/>
        <v/>
      </c>
      <c r="E650" t="str">
        <f>IF(Entry!$B653="","",IF(ISNUMBER(Entry!$B653),IF(AND(Entry!$B653&gt;=10000101,Entry!$B653&lt;=99991231),INT(Entry!$B653/10000)&amp;"/"&amp;RIGHT("00"&amp;INT(MOD(Entry!$B653,10000)/100),2)&amp;"/"&amp;RIGHT("00"&amp;MOD(Entry!$B653,100),2),"نامعتبر"),IF(LEN(Entry!$B653)=10,Entry!$B653,"نامعتبر")))</f>
        <v/>
      </c>
      <c r="F650" t="str">
        <f>IF(Entry!$B653="","",IF(Entry!$C653="","0000",IF(AND(ISNUMBER(Entry!$C653),Entry!$C653&gt;=0,Entry!$C653&lt;1),RIGHT("00"&amp;HOUR(Entry!$C653),2)&amp;RIGHT("00"&amp;MINUTE(Entry!$C653),2),IFERROR(RIGHT("00"&amp;VALUE(LEFT(Entry!$C653,FIND(":",Entry!$C653)-1)),2)&amp;RIGHT("00"&amp;VALUE(MID(Entry!$C653,FIND(":",Entry!$C653)+1,2)),2),"0000"))))</f>
        <v/>
      </c>
      <c r="G650" t="str">
        <f>IF($A650="","",Entry!$G653)</f>
        <v/>
      </c>
      <c r="H650" t="str">
        <f>IF($A650="","",IF(Entry!$H653="",0,Entry!$H653))</f>
        <v/>
      </c>
      <c r="I650" t="str">
        <f>IF($A650="","",IF(Entry!$I653="",0,Entry!$I653))</f>
        <v/>
      </c>
      <c r="J650" t="str">
        <f t="shared" si="72"/>
        <v/>
      </c>
      <c r="K650" t="str">
        <f>IF($A650="","",Entry!$D653)</f>
        <v/>
      </c>
      <c r="L650" t="str">
        <f>IF($A650="","",Entry!$L653)</f>
        <v/>
      </c>
      <c r="N650" t="str">
        <f>IF(OR(Sync!$M650="",$Q650="",$Q650="نامعتبر"),"",Sync!$M650)</f>
        <v/>
      </c>
      <c r="O650" t="str">
        <f t="shared" si="73"/>
        <v/>
      </c>
      <c r="P650" t="str">
        <f>IF($N650="","",LEFT($Q650,4)&amp;MID($Q650,6,2)&amp;RIGHT($Q650,2)&amp;IF(Sync!$K650="","0000",IF(AND(ISNUMBER(Sync!$K650),Sync!$K650&gt;=0,Sync!$K650&lt;1),RIGHT("00"&amp;HOUR(Sync!$K650),2)&amp;RIGHT("00"&amp;MINUTE(Sync!$K650),2),IFERROR(RIGHT("00"&amp;VALUE(LEFT(Sync!$K650,FIND(":",Sync!$K650)-1)),2)&amp;RIGHT("00"&amp;VALUE(MID(Sync!$K650,FIND(":",Sync!$K650)+1,2)),2),"0000")))&amp;"|"&amp;"2"&amp;RIGHT("00000"&amp;645,5))</f>
        <v/>
      </c>
      <c r="Q650" t="str">
        <f>IF(Sync!$J650="","",IF(ISNUMBER(Sync!$J650),IF(AND(Sync!$J650&gt;=10000101,Sync!$J650&lt;=99991231),INT(Sync!$J650/10000)&amp;"/"&amp;RIGHT("00"&amp;INT(MOD(Sync!$J650,10000)/100),2)&amp;"/"&amp;RIGHT("00"&amp;MOD(Sync!$J650,100),2),"نامعتبر"),IF(LEN(Sync!$J650)=10,Sync!$J650,"نامعتبر")))</f>
        <v/>
      </c>
      <c r="R650" t="str">
        <f t="shared" si="74"/>
        <v/>
      </c>
      <c r="S650" t="str">
        <f t="shared" si="75"/>
        <v/>
      </c>
      <c r="T650" t="str">
        <f>IF($N650="","",IF(Sync!$N650="",0,Sync!$N650))</f>
        <v/>
      </c>
      <c r="U650" t="str">
        <f>IF($N650="","",IF(Sync!$O650="",0,Sync!$O650))</f>
        <v/>
      </c>
      <c r="V650" t="str">
        <f>IF($N650="","",Sync!$L650)</f>
        <v/>
      </c>
      <c r="W650" t="str">
        <f>IF($N650="","",Sync!$P650)</f>
        <v/>
      </c>
      <c r="AA650" t="str">
        <f>IF($A650="","",IF(COUNTIF($A$6:$A650,$A650)=1,1,0))</f>
        <v/>
      </c>
      <c r="AB650">
        <f>SUM($AA$6:$AA650)</f>
        <v>3</v>
      </c>
      <c r="AC650" t="str">
        <f t="shared" si="76"/>
        <v/>
      </c>
    </row>
    <row r="651" spans="1:29" x14ac:dyDescent="0.2">
      <c r="A651" t="str">
        <f>IF(OR(Entry!$B654="",Entry!$E654="",$E651="نامعتبر"),"",Entry!$E654)</f>
        <v/>
      </c>
      <c r="B651" t="str">
        <f>IF($A651="","",LEFT($E651,4)&amp;MID($E651,6,2)&amp;RIGHT($E651,2)&amp;$F651&amp;"|"&amp;"1"&amp;RIGHT("00000"&amp;646,5))</f>
        <v/>
      </c>
      <c r="C651" t="str">
        <f t="shared" si="70"/>
        <v/>
      </c>
      <c r="D651" t="str">
        <f t="shared" si="71"/>
        <v/>
      </c>
      <c r="E651" t="str">
        <f>IF(Entry!$B654="","",IF(ISNUMBER(Entry!$B654),IF(AND(Entry!$B654&gt;=10000101,Entry!$B654&lt;=99991231),INT(Entry!$B654/10000)&amp;"/"&amp;RIGHT("00"&amp;INT(MOD(Entry!$B654,10000)/100),2)&amp;"/"&amp;RIGHT("00"&amp;MOD(Entry!$B654,100),2),"نامعتبر"),IF(LEN(Entry!$B654)=10,Entry!$B654,"نامعتبر")))</f>
        <v/>
      </c>
      <c r="F651" t="str">
        <f>IF(Entry!$B654="","",IF(Entry!$C654="","0000",IF(AND(ISNUMBER(Entry!$C654),Entry!$C654&gt;=0,Entry!$C654&lt;1),RIGHT("00"&amp;HOUR(Entry!$C654),2)&amp;RIGHT("00"&amp;MINUTE(Entry!$C654),2),IFERROR(RIGHT("00"&amp;VALUE(LEFT(Entry!$C654,FIND(":",Entry!$C654)-1)),2)&amp;RIGHT("00"&amp;VALUE(MID(Entry!$C654,FIND(":",Entry!$C654)+1,2)),2),"0000"))))</f>
        <v/>
      </c>
      <c r="G651" t="str">
        <f>IF($A651="","",Entry!$G654)</f>
        <v/>
      </c>
      <c r="H651" t="str">
        <f>IF($A651="","",IF(Entry!$H654="",0,Entry!$H654))</f>
        <v/>
      </c>
      <c r="I651" t="str">
        <f>IF($A651="","",IF(Entry!$I654="",0,Entry!$I654))</f>
        <v/>
      </c>
      <c r="J651" t="str">
        <f t="shared" si="72"/>
        <v/>
      </c>
      <c r="K651" t="str">
        <f>IF($A651="","",Entry!$D654)</f>
        <v/>
      </c>
      <c r="L651" t="str">
        <f>IF($A651="","",Entry!$L654)</f>
        <v/>
      </c>
      <c r="N651" t="str">
        <f>IF(OR(Sync!$M651="",$Q651="",$Q651="نامعتبر"),"",Sync!$M651)</f>
        <v/>
      </c>
      <c r="O651" t="str">
        <f t="shared" si="73"/>
        <v/>
      </c>
      <c r="P651" t="str">
        <f>IF($N651="","",LEFT($Q651,4)&amp;MID($Q651,6,2)&amp;RIGHT($Q651,2)&amp;IF(Sync!$K651="","0000",IF(AND(ISNUMBER(Sync!$K651),Sync!$K651&gt;=0,Sync!$K651&lt;1),RIGHT("00"&amp;HOUR(Sync!$K651),2)&amp;RIGHT("00"&amp;MINUTE(Sync!$K651),2),IFERROR(RIGHT("00"&amp;VALUE(LEFT(Sync!$K651,FIND(":",Sync!$K651)-1)),2)&amp;RIGHT("00"&amp;VALUE(MID(Sync!$K651,FIND(":",Sync!$K651)+1,2)),2),"0000")))&amp;"|"&amp;"2"&amp;RIGHT("00000"&amp;646,5))</f>
        <v/>
      </c>
      <c r="Q651" t="str">
        <f>IF(Sync!$J651="","",IF(ISNUMBER(Sync!$J651),IF(AND(Sync!$J651&gt;=10000101,Sync!$J651&lt;=99991231),INT(Sync!$J651/10000)&amp;"/"&amp;RIGHT("00"&amp;INT(MOD(Sync!$J651,10000)/100),2)&amp;"/"&amp;RIGHT("00"&amp;MOD(Sync!$J651,100),2),"نامعتبر"),IF(LEN(Sync!$J651)=10,Sync!$J651,"نامعتبر")))</f>
        <v/>
      </c>
      <c r="R651" t="str">
        <f t="shared" si="74"/>
        <v/>
      </c>
      <c r="S651" t="str">
        <f t="shared" si="75"/>
        <v/>
      </c>
      <c r="T651" t="str">
        <f>IF($N651="","",IF(Sync!$N651="",0,Sync!$N651))</f>
        <v/>
      </c>
      <c r="U651" t="str">
        <f>IF($N651="","",IF(Sync!$O651="",0,Sync!$O651))</f>
        <v/>
      </c>
      <c r="V651" t="str">
        <f>IF($N651="","",Sync!$L651)</f>
        <v/>
      </c>
      <c r="W651" t="str">
        <f>IF($N651="","",Sync!$P651)</f>
        <v/>
      </c>
      <c r="AA651" t="str">
        <f>IF($A651="","",IF(COUNTIF($A$6:$A651,$A651)=1,1,0))</f>
        <v/>
      </c>
      <c r="AB651">
        <f>SUM($AA$6:$AA651)</f>
        <v>3</v>
      </c>
      <c r="AC651" t="str">
        <f t="shared" si="76"/>
        <v/>
      </c>
    </row>
    <row r="652" spans="1:29" x14ac:dyDescent="0.2">
      <c r="A652" t="str">
        <f>IF(OR(Entry!$B655="",Entry!$E655="",$E652="نامعتبر"),"",Entry!$E655)</f>
        <v/>
      </c>
      <c r="B652" t="str">
        <f>IF($A652="","",LEFT($E652,4)&amp;MID($E652,6,2)&amp;RIGHT($E652,2)&amp;$F652&amp;"|"&amp;"1"&amp;RIGHT("00000"&amp;647,5))</f>
        <v/>
      </c>
      <c r="C652" t="str">
        <f t="shared" si="70"/>
        <v/>
      </c>
      <c r="D652" t="str">
        <f t="shared" si="71"/>
        <v/>
      </c>
      <c r="E652" t="str">
        <f>IF(Entry!$B655="","",IF(ISNUMBER(Entry!$B655),IF(AND(Entry!$B655&gt;=10000101,Entry!$B655&lt;=99991231),INT(Entry!$B655/10000)&amp;"/"&amp;RIGHT("00"&amp;INT(MOD(Entry!$B655,10000)/100),2)&amp;"/"&amp;RIGHT("00"&amp;MOD(Entry!$B655,100),2),"نامعتبر"),IF(LEN(Entry!$B655)=10,Entry!$B655,"نامعتبر")))</f>
        <v/>
      </c>
      <c r="F652" t="str">
        <f>IF(Entry!$B655="","",IF(Entry!$C655="","0000",IF(AND(ISNUMBER(Entry!$C655),Entry!$C655&gt;=0,Entry!$C655&lt;1),RIGHT("00"&amp;HOUR(Entry!$C655),2)&amp;RIGHT("00"&amp;MINUTE(Entry!$C655),2),IFERROR(RIGHT("00"&amp;VALUE(LEFT(Entry!$C655,FIND(":",Entry!$C655)-1)),2)&amp;RIGHT("00"&amp;VALUE(MID(Entry!$C655,FIND(":",Entry!$C655)+1,2)),2),"0000"))))</f>
        <v/>
      </c>
      <c r="G652" t="str">
        <f>IF($A652="","",Entry!$G655)</f>
        <v/>
      </c>
      <c r="H652" t="str">
        <f>IF($A652="","",IF(Entry!$H655="",0,Entry!$H655))</f>
        <v/>
      </c>
      <c r="I652" t="str">
        <f>IF($A652="","",IF(Entry!$I655="",0,Entry!$I655))</f>
        <v/>
      </c>
      <c r="J652" t="str">
        <f t="shared" si="72"/>
        <v/>
      </c>
      <c r="K652" t="str">
        <f>IF($A652="","",Entry!$D655)</f>
        <v/>
      </c>
      <c r="L652" t="str">
        <f>IF($A652="","",Entry!$L655)</f>
        <v/>
      </c>
      <c r="N652" t="str">
        <f>IF(OR(Sync!$M652="",$Q652="",$Q652="نامعتبر"),"",Sync!$M652)</f>
        <v/>
      </c>
      <c r="O652" t="str">
        <f t="shared" si="73"/>
        <v/>
      </c>
      <c r="P652" t="str">
        <f>IF($N652="","",LEFT($Q652,4)&amp;MID($Q652,6,2)&amp;RIGHT($Q652,2)&amp;IF(Sync!$K652="","0000",IF(AND(ISNUMBER(Sync!$K652),Sync!$K652&gt;=0,Sync!$K652&lt;1),RIGHT("00"&amp;HOUR(Sync!$K652),2)&amp;RIGHT("00"&amp;MINUTE(Sync!$K652),2),IFERROR(RIGHT("00"&amp;VALUE(LEFT(Sync!$K652,FIND(":",Sync!$K652)-1)),2)&amp;RIGHT("00"&amp;VALUE(MID(Sync!$K652,FIND(":",Sync!$K652)+1,2)),2),"0000")))&amp;"|"&amp;"2"&amp;RIGHT("00000"&amp;647,5))</f>
        <v/>
      </c>
      <c r="Q652" t="str">
        <f>IF(Sync!$J652="","",IF(ISNUMBER(Sync!$J652),IF(AND(Sync!$J652&gt;=10000101,Sync!$J652&lt;=99991231),INT(Sync!$J652/10000)&amp;"/"&amp;RIGHT("00"&amp;INT(MOD(Sync!$J652,10000)/100),2)&amp;"/"&amp;RIGHT("00"&amp;MOD(Sync!$J652,100),2),"نامعتبر"),IF(LEN(Sync!$J652)=10,Sync!$J652,"نامعتبر")))</f>
        <v/>
      </c>
      <c r="R652" t="str">
        <f t="shared" si="74"/>
        <v/>
      </c>
      <c r="S652" t="str">
        <f t="shared" si="75"/>
        <v/>
      </c>
      <c r="T652" t="str">
        <f>IF($N652="","",IF(Sync!$N652="",0,Sync!$N652))</f>
        <v/>
      </c>
      <c r="U652" t="str">
        <f>IF($N652="","",IF(Sync!$O652="",0,Sync!$O652))</f>
        <v/>
      </c>
      <c r="V652" t="str">
        <f>IF($N652="","",Sync!$L652)</f>
        <v/>
      </c>
      <c r="W652" t="str">
        <f>IF($N652="","",Sync!$P652)</f>
        <v/>
      </c>
      <c r="AA652" t="str">
        <f>IF($A652="","",IF(COUNTIF($A$6:$A652,$A652)=1,1,0))</f>
        <v/>
      </c>
      <c r="AB652">
        <f>SUM($AA$6:$AA652)</f>
        <v>3</v>
      </c>
      <c r="AC652" t="str">
        <f t="shared" si="76"/>
        <v/>
      </c>
    </row>
    <row r="653" spans="1:29" x14ac:dyDescent="0.2">
      <c r="A653" t="str">
        <f>IF(OR(Entry!$B656="",Entry!$E656="",$E653="نامعتبر"),"",Entry!$E656)</f>
        <v/>
      </c>
      <c r="B653" t="str">
        <f>IF($A653="","",LEFT($E653,4)&amp;MID($E653,6,2)&amp;RIGHT($E653,2)&amp;$F653&amp;"|"&amp;"1"&amp;RIGHT("00000"&amp;648,5))</f>
        <v/>
      </c>
      <c r="C653" t="str">
        <f t="shared" si="70"/>
        <v/>
      </c>
      <c r="D653" t="str">
        <f t="shared" si="71"/>
        <v/>
      </c>
      <c r="E653" t="str">
        <f>IF(Entry!$B656="","",IF(ISNUMBER(Entry!$B656),IF(AND(Entry!$B656&gt;=10000101,Entry!$B656&lt;=99991231),INT(Entry!$B656/10000)&amp;"/"&amp;RIGHT("00"&amp;INT(MOD(Entry!$B656,10000)/100),2)&amp;"/"&amp;RIGHT("00"&amp;MOD(Entry!$B656,100),2),"نامعتبر"),IF(LEN(Entry!$B656)=10,Entry!$B656,"نامعتبر")))</f>
        <v/>
      </c>
      <c r="F653" t="str">
        <f>IF(Entry!$B656="","",IF(Entry!$C656="","0000",IF(AND(ISNUMBER(Entry!$C656),Entry!$C656&gt;=0,Entry!$C656&lt;1),RIGHT("00"&amp;HOUR(Entry!$C656),2)&amp;RIGHT("00"&amp;MINUTE(Entry!$C656),2),IFERROR(RIGHT("00"&amp;VALUE(LEFT(Entry!$C656,FIND(":",Entry!$C656)-1)),2)&amp;RIGHT("00"&amp;VALUE(MID(Entry!$C656,FIND(":",Entry!$C656)+1,2)),2),"0000"))))</f>
        <v/>
      </c>
      <c r="G653" t="str">
        <f>IF($A653="","",Entry!$G656)</f>
        <v/>
      </c>
      <c r="H653" t="str">
        <f>IF($A653="","",IF(Entry!$H656="",0,Entry!$H656))</f>
        <v/>
      </c>
      <c r="I653" t="str">
        <f>IF($A653="","",IF(Entry!$I656="",0,Entry!$I656))</f>
        <v/>
      </c>
      <c r="J653" t="str">
        <f t="shared" si="72"/>
        <v/>
      </c>
      <c r="K653" t="str">
        <f>IF($A653="","",Entry!$D656)</f>
        <v/>
      </c>
      <c r="L653" t="str">
        <f>IF($A653="","",Entry!$L656)</f>
        <v/>
      </c>
      <c r="N653" t="str">
        <f>IF(OR(Sync!$M653="",$Q653="",$Q653="نامعتبر"),"",Sync!$M653)</f>
        <v/>
      </c>
      <c r="O653" t="str">
        <f t="shared" si="73"/>
        <v/>
      </c>
      <c r="P653" t="str">
        <f>IF($N653="","",LEFT($Q653,4)&amp;MID($Q653,6,2)&amp;RIGHT($Q653,2)&amp;IF(Sync!$K653="","0000",IF(AND(ISNUMBER(Sync!$K653),Sync!$K653&gt;=0,Sync!$K653&lt;1),RIGHT("00"&amp;HOUR(Sync!$K653),2)&amp;RIGHT("00"&amp;MINUTE(Sync!$K653),2),IFERROR(RIGHT("00"&amp;VALUE(LEFT(Sync!$K653,FIND(":",Sync!$K653)-1)),2)&amp;RIGHT("00"&amp;VALUE(MID(Sync!$K653,FIND(":",Sync!$K653)+1,2)),2),"0000")))&amp;"|"&amp;"2"&amp;RIGHT("00000"&amp;648,5))</f>
        <v/>
      </c>
      <c r="Q653" t="str">
        <f>IF(Sync!$J653="","",IF(ISNUMBER(Sync!$J653),IF(AND(Sync!$J653&gt;=10000101,Sync!$J653&lt;=99991231),INT(Sync!$J653/10000)&amp;"/"&amp;RIGHT("00"&amp;INT(MOD(Sync!$J653,10000)/100),2)&amp;"/"&amp;RIGHT("00"&amp;MOD(Sync!$J653,100),2),"نامعتبر"),IF(LEN(Sync!$J653)=10,Sync!$J653,"نامعتبر")))</f>
        <v/>
      </c>
      <c r="R653" t="str">
        <f t="shared" si="74"/>
        <v/>
      </c>
      <c r="S653" t="str">
        <f t="shared" si="75"/>
        <v/>
      </c>
      <c r="T653" t="str">
        <f>IF($N653="","",IF(Sync!$N653="",0,Sync!$N653))</f>
        <v/>
      </c>
      <c r="U653" t="str">
        <f>IF($N653="","",IF(Sync!$O653="",0,Sync!$O653))</f>
        <v/>
      </c>
      <c r="V653" t="str">
        <f>IF($N653="","",Sync!$L653)</f>
        <v/>
      </c>
      <c r="W653" t="str">
        <f>IF($N653="","",Sync!$P653)</f>
        <v/>
      </c>
      <c r="AA653" t="str">
        <f>IF($A653="","",IF(COUNTIF($A$6:$A653,$A653)=1,1,0))</f>
        <v/>
      </c>
      <c r="AB653">
        <f>SUM($AA$6:$AA653)</f>
        <v>3</v>
      </c>
      <c r="AC653" t="str">
        <f t="shared" si="76"/>
        <v/>
      </c>
    </row>
    <row r="654" spans="1:29" x14ac:dyDescent="0.2">
      <c r="A654" t="str">
        <f>IF(OR(Entry!$B657="",Entry!$E657="",$E654="نامعتبر"),"",Entry!$E657)</f>
        <v/>
      </c>
      <c r="B654" t="str">
        <f>IF($A654="","",LEFT($E654,4)&amp;MID($E654,6,2)&amp;RIGHT($E654,2)&amp;$F654&amp;"|"&amp;"1"&amp;RIGHT("00000"&amp;649,5))</f>
        <v/>
      </c>
      <c r="C654" t="str">
        <f t="shared" si="70"/>
        <v/>
      </c>
      <c r="D654" t="str">
        <f t="shared" si="71"/>
        <v/>
      </c>
      <c r="E654" t="str">
        <f>IF(Entry!$B657="","",IF(ISNUMBER(Entry!$B657),IF(AND(Entry!$B657&gt;=10000101,Entry!$B657&lt;=99991231),INT(Entry!$B657/10000)&amp;"/"&amp;RIGHT("00"&amp;INT(MOD(Entry!$B657,10000)/100),2)&amp;"/"&amp;RIGHT("00"&amp;MOD(Entry!$B657,100),2),"نامعتبر"),IF(LEN(Entry!$B657)=10,Entry!$B657,"نامعتبر")))</f>
        <v/>
      </c>
      <c r="F654" t="str">
        <f>IF(Entry!$B657="","",IF(Entry!$C657="","0000",IF(AND(ISNUMBER(Entry!$C657),Entry!$C657&gt;=0,Entry!$C657&lt;1),RIGHT("00"&amp;HOUR(Entry!$C657),2)&amp;RIGHT("00"&amp;MINUTE(Entry!$C657),2),IFERROR(RIGHT("00"&amp;VALUE(LEFT(Entry!$C657,FIND(":",Entry!$C657)-1)),2)&amp;RIGHT("00"&amp;VALUE(MID(Entry!$C657,FIND(":",Entry!$C657)+1,2)),2),"0000"))))</f>
        <v/>
      </c>
      <c r="G654" t="str">
        <f>IF($A654="","",Entry!$G657)</f>
        <v/>
      </c>
      <c r="H654" t="str">
        <f>IF($A654="","",IF(Entry!$H657="",0,Entry!$H657))</f>
        <v/>
      </c>
      <c r="I654" t="str">
        <f>IF($A654="","",IF(Entry!$I657="",0,Entry!$I657))</f>
        <v/>
      </c>
      <c r="J654" t="str">
        <f t="shared" si="72"/>
        <v/>
      </c>
      <c r="K654" t="str">
        <f>IF($A654="","",Entry!$D657)</f>
        <v/>
      </c>
      <c r="L654" t="str">
        <f>IF($A654="","",Entry!$L657)</f>
        <v/>
      </c>
      <c r="N654" t="str">
        <f>IF(OR(Sync!$M654="",$Q654="",$Q654="نامعتبر"),"",Sync!$M654)</f>
        <v/>
      </c>
      <c r="O654" t="str">
        <f t="shared" si="73"/>
        <v/>
      </c>
      <c r="P654" t="str">
        <f>IF($N654="","",LEFT($Q654,4)&amp;MID($Q654,6,2)&amp;RIGHT($Q654,2)&amp;IF(Sync!$K654="","0000",IF(AND(ISNUMBER(Sync!$K654),Sync!$K654&gt;=0,Sync!$K654&lt;1),RIGHT("00"&amp;HOUR(Sync!$K654),2)&amp;RIGHT("00"&amp;MINUTE(Sync!$K654),2),IFERROR(RIGHT("00"&amp;VALUE(LEFT(Sync!$K654,FIND(":",Sync!$K654)-1)),2)&amp;RIGHT("00"&amp;VALUE(MID(Sync!$K654,FIND(":",Sync!$K654)+1,2)),2),"0000")))&amp;"|"&amp;"2"&amp;RIGHT("00000"&amp;649,5))</f>
        <v/>
      </c>
      <c r="Q654" t="str">
        <f>IF(Sync!$J654="","",IF(ISNUMBER(Sync!$J654),IF(AND(Sync!$J654&gt;=10000101,Sync!$J654&lt;=99991231),INT(Sync!$J654/10000)&amp;"/"&amp;RIGHT("00"&amp;INT(MOD(Sync!$J654,10000)/100),2)&amp;"/"&amp;RIGHT("00"&amp;MOD(Sync!$J654,100),2),"نامعتبر"),IF(LEN(Sync!$J654)=10,Sync!$J654,"نامعتبر")))</f>
        <v/>
      </c>
      <c r="R654" t="str">
        <f t="shared" si="74"/>
        <v/>
      </c>
      <c r="S654" t="str">
        <f t="shared" si="75"/>
        <v/>
      </c>
      <c r="T654" t="str">
        <f>IF($N654="","",IF(Sync!$N654="",0,Sync!$N654))</f>
        <v/>
      </c>
      <c r="U654" t="str">
        <f>IF($N654="","",IF(Sync!$O654="",0,Sync!$O654))</f>
        <v/>
      </c>
      <c r="V654" t="str">
        <f>IF($N654="","",Sync!$L654)</f>
        <v/>
      </c>
      <c r="W654" t="str">
        <f>IF($N654="","",Sync!$P654)</f>
        <v/>
      </c>
      <c r="AA654" t="str">
        <f>IF($A654="","",IF(COUNTIF($A$6:$A654,$A654)=1,1,0))</f>
        <v/>
      </c>
      <c r="AB654">
        <f>SUM($AA$6:$AA654)</f>
        <v>3</v>
      </c>
      <c r="AC654" t="str">
        <f t="shared" si="76"/>
        <v/>
      </c>
    </row>
    <row r="655" spans="1:29" x14ac:dyDescent="0.2">
      <c r="A655" t="str">
        <f>IF(OR(Entry!$B658="",Entry!$E658="",$E655="نامعتبر"),"",Entry!$E658)</f>
        <v/>
      </c>
      <c r="B655" t="str">
        <f>IF($A655="","",LEFT($E655,4)&amp;MID($E655,6,2)&amp;RIGHT($E655,2)&amp;$F655&amp;"|"&amp;"1"&amp;RIGHT("00000"&amp;650,5))</f>
        <v/>
      </c>
      <c r="C655" t="str">
        <f t="shared" si="70"/>
        <v/>
      </c>
      <c r="D655" t="str">
        <f t="shared" si="71"/>
        <v/>
      </c>
      <c r="E655" t="str">
        <f>IF(Entry!$B658="","",IF(ISNUMBER(Entry!$B658),IF(AND(Entry!$B658&gt;=10000101,Entry!$B658&lt;=99991231),INT(Entry!$B658/10000)&amp;"/"&amp;RIGHT("00"&amp;INT(MOD(Entry!$B658,10000)/100),2)&amp;"/"&amp;RIGHT("00"&amp;MOD(Entry!$B658,100),2),"نامعتبر"),IF(LEN(Entry!$B658)=10,Entry!$B658,"نامعتبر")))</f>
        <v/>
      </c>
      <c r="F655" t="str">
        <f>IF(Entry!$B658="","",IF(Entry!$C658="","0000",IF(AND(ISNUMBER(Entry!$C658),Entry!$C658&gt;=0,Entry!$C658&lt;1),RIGHT("00"&amp;HOUR(Entry!$C658),2)&amp;RIGHT("00"&amp;MINUTE(Entry!$C658),2),IFERROR(RIGHT("00"&amp;VALUE(LEFT(Entry!$C658,FIND(":",Entry!$C658)-1)),2)&amp;RIGHT("00"&amp;VALUE(MID(Entry!$C658,FIND(":",Entry!$C658)+1,2)),2),"0000"))))</f>
        <v/>
      </c>
      <c r="G655" t="str">
        <f>IF($A655="","",Entry!$G658)</f>
        <v/>
      </c>
      <c r="H655" t="str">
        <f>IF($A655="","",IF(Entry!$H658="",0,Entry!$H658))</f>
        <v/>
      </c>
      <c r="I655" t="str">
        <f>IF($A655="","",IF(Entry!$I658="",0,Entry!$I658))</f>
        <v/>
      </c>
      <c r="J655" t="str">
        <f t="shared" si="72"/>
        <v/>
      </c>
      <c r="K655" t="str">
        <f>IF($A655="","",Entry!$D658)</f>
        <v/>
      </c>
      <c r="L655" t="str">
        <f>IF($A655="","",Entry!$L658)</f>
        <v/>
      </c>
      <c r="N655" t="str">
        <f>IF(OR(Sync!$M655="",$Q655="",$Q655="نامعتبر"),"",Sync!$M655)</f>
        <v/>
      </c>
      <c r="O655" t="str">
        <f t="shared" si="73"/>
        <v/>
      </c>
      <c r="P655" t="str">
        <f>IF($N655="","",LEFT($Q655,4)&amp;MID($Q655,6,2)&amp;RIGHT($Q655,2)&amp;IF(Sync!$K655="","0000",IF(AND(ISNUMBER(Sync!$K655),Sync!$K655&gt;=0,Sync!$K655&lt;1),RIGHT("00"&amp;HOUR(Sync!$K655),2)&amp;RIGHT("00"&amp;MINUTE(Sync!$K655),2),IFERROR(RIGHT("00"&amp;VALUE(LEFT(Sync!$K655,FIND(":",Sync!$K655)-1)),2)&amp;RIGHT("00"&amp;VALUE(MID(Sync!$K655,FIND(":",Sync!$K655)+1,2)),2),"0000")))&amp;"|"&amp;"2"&amp;RIGHT("00000"&amp;650,5))</f>
        <v/>
      </c>
      <c r="Q655" t="str">
        <f>IF(Sync!$J655="","",IF(ISNUMBER(Sync!$J655),IF(AND(Sync!$J655&gt;=10000101,Sync!$J655&lt;=99991231),INT(Sync!$J655/10000)&amp;"/"&amp;RIGHT("00"&amp;INT(MOD(Sync!$J655,10000)/100),2)&amp;"/"&amp;RIGHT("00"&amp;MOD(Sync!$J655,100),2),"نامعتبر"),IF(LEN(Sync!$J655)=10,Sync!$J655,"نامعتبر")))</f>
        <v/>
      </c>
      <c r="R655" t="str">
        <f t="shared" si="74"/>
        <v/>
      </c>
      <c r="S655" t="str">
        <f t="shared" si="75"/>
        <v/>
      </c>
      <c r="T655" t="str">
        <f>IF($N655="","",IF(Sync!$N655="",0,Sync!$N655))</f>
        <v/>
      </c>
      <c r="U655" t="str">
        <f>IF($N655="","",IF(Sync!$O655="",0,Sync!$O655))</f>
        <v/>
      </c>
      <c r="V655" t="str">
        <f>IF($N655="","",Sync!$L655)</f>
        <v/>
      </c>
      <c r="W655" t="str">
        <f>IF($N655="","",Sync!$P655)</f>
        <v/>
      </c>
      <c r="AA655" t="str">
        <f>IF($A655="","",IF(COUNTIF($A$6:$A655,$A655)=1,1,0))</f>
        <v/>
      </c>
      <c r="AB655">
        <f>SUM($AA$6:$AA655)</f>
        <v>3</v>
      </c>
      <c r="AC655" t="str">
        <f t="shared" si="76"/>
        <v/>
      </c>
    </row>
    <row r="656" spans="1:29" x14ac:dyDescent="0.2">
      <c r="A656" t="str">
        <f>IF(OR(Entry!$B659="",Entry!$E659="",$E656="نامعتبر"),"",Entry!$E659)</f>
        <v/>
      </c>
      <c r="B656" t="str">
        <f>IF($A656="","",LEFT($E656,4)&amp;MID($E656,6,2)&amp;RIGHT($E656,2)&amp;$F656&amp;"|"&amp;"1"&amp;RIGHT("00000"&amp;651,5))</f>
        <v/>
      </c>
      <c r="C656" t="str">
        <f t="shared" si="70"/>
        <v/>
      </c>
      <c r="D656" t="str">
        <f t="shared" si="71"/>
        <v/>
      </c>
      <c r="E656" t="str">
        <f>IF(Entry!$B659="","",IF(ISNUMBER(Entry!$B659),IF(AND(Entry!$B659&gt;=10000101,Entry!$B659&lt;=99991231),INT(Entry!$B659/10000)&amp;"/"&amp;RIGHT("00"&amp;INT(MOD(Entry!$B659,10000)/100),2)&amp;"/"&amp;RIGHT("00"&amp;MOD(Entry!$B659,100),2),"نامعتبر"),IF(LEN(Entry!$B659)=10,Entry!$B659,"نامعتبر")))</f>
        <v/>
      </c>
      <c r="F656" t="str">
        <f>IF(Entry!$B659="","",IF(Entry!$C659="","0000",IF(AND(ISNUMBER(Entry!$C659),Entry!$C659&gt;=0,Entry!$C659&lt;1),RIGHT("00"&amp;HOUR(Entry!$C659),2)&amp;RIGHT("00"&amp;MINUTE(Entry!$C659),2),IFERROR(RIGHT("00"&amp;VALUE(LEFT(Entry!$C659,FIND(":",Entry!$C659)-1)),2)&amp;RIGHT("00"&amp;VALUE(MID(Entry!$C659,FIND(":",Entry!$C659)+1,2)),2),"0000"))))</f>
        <v/>
      </c>
      <c r="G656" t="str">
        <f>IF($A656="","",Entry!$G659)</f>
        <v/>
      </c>
      <c r="H656" t="str">
        <f>IF($A656="","",IF(Entry!$H659="",0,Entry!$H659))</f>
        <v/>
      </c>
      <c r="I656" t="str">
        <f>IF($A656="","",IF(Entry!$I659="",0,Entry!$I659))</f>
        <v/>
      </c>
      <c r="J656" t="str">
        <f t="shared" si="72"/>
        <v/>
      </c>
      <c r="K656" t="str">
        <f>IF($A656="","",Entry!$D659)</f>
        <v/>
      </c>
      <c r="L656" t="str">
        <f>IF($A656="","",Entry!$L659)</f>
        <v/>
      </c>
      <c r="N656" t="str">
        <f>IF(OR(Sync!$M656="",$Q656="",$Q656="نامعتبر"),"",Sync!$M656)</f>
        <v/>
      </c>
      <c r="O656" t="str">
        <f t="shared" si="73"/>
        <v/>
      </c>
      <c r="P656" t="str">
        <f>IF($N656="","",LEFT($Q656,4)&amp;MID($Q656,6,2)&amp;RIGHT($Q656,2)&amp;IF(Sync!$K656="","0000",IF(AND(ISNUMBER(Sync!$K656),Sync!$K656&gt;=0,Sync!$K656&lt;1),RIGHT("00"&amp;HOUR(Sync!$K656),2)&amp;RIGHT("00"&amp;MINUTE(Sync!$K656),2),IFERROR(RIGHT("00"&amp;VALUE(LEFT(Sync!$K656,FIND(":",Sync!$K656)-1)),2)&amp;RIGHT("00"&amp;VALUE(MID(Sync!$K656,FIND(":",Sync!$K656)+1,2)),2),"0000")))&amp;"|"&amp;"2"&amp;RIGHT("00000"&amp;651,5))</f>
        <v/>
      </c>
      <c r="Q656" t="str">
        <f>IF(Sync!$J656="","",IF(ISNUMBER(Sync!$J656),IF(AND(Sync!$J656&gt;=10000101,Sync!$J656&lt;=99991231),INT(Sync!$J656/10000)&amp;"/"&amp;RIGHT("00"&amp;INT(MOD(Sync!$J656,10000)/100),2)&amp;"/"&amp;RIGHT("00"&amp;MOD(Sync!$J656,100),2),"نامعتبر"),IF(LEN(Sync!$J656)=10,Sync!$J656,"نامعتبر")))</f>
        <v/>
      </c>
      <c r="R656" t="str">
        <f t="shared" si="74"/>
        <v/>
      </c>
      <c r="S656" t="str">
        <f t="shared" si="75"/>
        <v/>
      </c>
      <c r="T656" t="str">
        <f>IF($N656="","",IF(Sync!$N656="",0,Sync!$N656))</f>
        <v/>
      </c>
      <c r="U656" t="str">
        <f>IF($N656="","",IF(Sync!$O656="",0,Sync!$O656))</f>
        <v/>
      </c>
      <c r="V656" t="str">
        <f>IF($N656="","",Sync!$L656)</f>
        <v/>
      </c>
      <c r="W656" t="str">
        <f>IF($N656="","",Sync!$P656)</f>
        <v/>
      </c>
      <c r="AA656" t="str">
        <f>IF($A656="","",IF(COUNTIF($A$6:$A656,$A656)=1,1,0))</f>
        <v/>
      </c>
      <c r="AB656">
        <f>SUM($AA$6:$AA656)</f>
        <v>3</v>
      </c>
      <c r="AC656" t="str">
        <f t="shared" si="76"/>
        <v/>
      </c>
    </row>
    <row r="657" spans="1:29" x14ac:dyDescent="0.2">
      <c r="A657" t="str">
        <f>IF(OR(Entry!$B660="",Entry!$E660="",$E657="نامعتبر"),"",Entry!$E660)</f>
        <v/>
      </c>
      <c r="B657" t="str">
        <f>IF($A657="","",LEFT($E657,4)&amp;MID($E657,6,2)&amp;RIGHT($E657,2)&amp;$F657&amp;"|"&amp;"1"&amp;RIGHT("00000"&amp;652,5))</f>
        <v/>
      </c>
      <c r="C657" t="str">
        <f t="shared" si="70"/>
        <v/>
      </c>
      <c r="D657" t="str">
        <f t="shared" si="71"/>
        <v/>
      </c>
      <c r="E657" t="str">
        <f>IF(Entry!$B660="","",IF(ISNUMBER(Entry!$B660),IF(AND(Entry!$B660&gt;=10000101,Entry!$B660&lt;=99991231),INT(Entry!$B660/10000)&amp;"/"&amp;RIGHT("00"&amp;INT(MOD(Entry!$B660,10000)/100),2)&amp;"/"&amp;RIGHT("00"&amp;MOD(Entry!$B660,100),2),"نامعتبر"),IF(LEN(Entry!$B660)=10,Entry!$B660,"نامعتبر")))</f>
        <v/>
      </c>
      <c r="F657" t="str">
        <f>IF(Entry!$B660="","",IF(Entry!$C660="","0000",IF(AND(ISNUMBER(Entry!$C660),Entry!$C660&gt;=0,Entry!$C660&lt;1),RIGHT("00"&amp;HOUR(Entry!$C660),2)&amp;RIGHT("00"&amp;MINUTE(Entry!$C660),2),IFERROR(RIGHT("00"&amp;VALUE(LEFT(Entry!$C660,FIND(":",Entry!$C660)-1)),2)&amp;RIGHT("00"&amp;VALUE(MID(Entry!$C660,FIND(":",Entry!$C660)+1,2)),2),"0000"))))</f>
        <v/>
      </c>
      <c r="G657" t="str">
        <f>IF($A657="","",Entry!$G660)</f>
        <v/>
      </c>
      <c r="H657" t="str">
        <f>IF($A657="","",IF(Entry!$H660="",0,Entry!$H660))</f>
        <v/>
      </c>
      <c r="I657" t="str">
        <f>IF($A657="","",IF(Entry!$I660="",0,Entry!$I660))</f>
        <v/>
      </c>
      <c r="J657" t="str">
        <f t="shared" si="72"/>
        <v/>
      </c>
      <c r="K657" t="str">
        <f>IF($A657="","",Entry!$D660)</f>
        <v/>
      </c>
      <c r="L657" t="str">
        <f>IF($A657="","",Entry!$L660)</f>
        <v/>
      </c>
      <c r="N657" t="str">
        <f>IF(OR(Sync!$M657="",$Q657="",$Q657="نامعتبر"),"",Sync!$M657)</f>
        <v/>
      </c>
      <c r="O657" t="str">
        <f t="shared" si="73"/>
        <v/>
      </c>
      <c r="P657" t="str">
        <f>IF($N657="","",LEFT($Q657,4)&amp;MID($Q657,6,2)&amp;RIGHT($Q657,2)&amp;IF(Sync!$K657="","0000",IF(AND(ISNUMBER(Sync!$K657),Sync!$K657&gt;=0,Sync!$K657&lt;1),RIGHT("00"&amp;HOUR(Sync!$K657),2)&amp;RIGHT("00"&amp;MINUTE(Sync!$K657),2),IFERROR(RIGHT("00"&amp;VALUE(LEFT(Sync!$K657,FIND(":",Sync!$K657)-1)),2)&amp;RIGHT("00"&amp;VALUE(MID(Sync!$K657,FIND(":",Sync!$K657)+1,2)),2),"0000")))&amp;"|"&amp;"2"&amp;RIGHT("00000"&amp;652,5))</f>
        <v/>
      </c>
      <c r="Q657" t="str">
        <f>IF(Sync!$J657="","",IF(ISNUMBER(Sync!$J657),IF(AND(Sync!$J657&gt;=10000101,Sync!$J657&lt;=99991231),INT(Sync!$J657/10000)&amp;"/"&amp;RIGHT("00"&amp;INT(MOD(Sync!$J657,10000)/100),2)&amp;"/"&amp;RIGHT("00"&amp;MOD(Sync!$J657,100),2),"نامعتبر"),IF(LEN(Sync!$J657)=10,Sync!$J657,"نامعتبر")))</f>
        <v/>
      </c>
      <c r="R657" t="str">
        <f t="shared" si="74"/>
        <v/>
      </c>
      <c r="S657" t="str">
        <f t="shared" si="75"/>
        <v/>
      </c>
      <c r="T657" t="str">
        <f>IF($N657="","",IF(Sync!$N657="",0,Sync!$N657))</f>
        <v/>
      </c>
      <c r="U657" t="str">
        <f>IF($N657="","",IF(Sync!$O657="",0,Sync!$O657))</f>
        <v/>
      </c>
      <c r="V657" t="str">
        <f>IF($N657="","",Sync!$L657)</f>
        <v/>
      </c>
      <c r="W657" t="str">
        <f>IF($N657="","",Sync!$P657)</f>
        <v/>
      </c>
      <c r="AA657" t="str">
        <f>IF($A657="","",IF(COUNTIF($A$6:$A657,$A657)=1,1,0))</f>
        <v/>
      </c>
      <c r="AB657">
        <f>SUM($AA$6:$AA657)</f>
        <v>3</v>
      </c>
      <c r="AC657" t="str">
        <f t="shared" si="76"/>
        <v/>
      </c>
    </row>
    <row r="658" spans="1:29" x14ac:dyDescent="0.2">
      <c r="A658" t="str">
        <f>IF(OR(Entry!$B661="",Entry!$E661="",$E658="نامعتبر"),"",Entry!$E661)</f>
        <v/>
      </c>
      <c r="B658" t="str">
        <f>IF($A658="","",LEFT($E658,4)&amp;MID($E658,6,2)&amp;RIGHT($E658,2)&amp;$F658&amp;"|"&amp;"1"&amp;RIGHT("00000"&amp;653,5))</f>
        <v/>
      </c>
      <c r="C658" t="str">
        <f t="shared" si="70"/>
        <v/>
      </c>
      <c r="D658" t="str">
        <f t="shared" si="71"/>
        <v/>
      </c>
      <c r="E658" t="str">
        <f>IF(Entry!$B661="","",IF(ISNUMBER(Entry!$B661),IF(AND(Entry!$B661&gt;=10000101,Entry!$B661&lt;=99991231),INT(Entry!$B661/10000)&amp;"/"&amp;RIGHT("00"&amp;INT(MOD(Entry!$B661,10000)/100),2)&amp;"/"&amp;RIGHT("00"&amp;MOD(Entry!$B661,100),2),"نامعتبر"),IF(LEN(Entry!$B661)=10,Entry!$B661,"نامعتبر")))</f>
        <v/>
      </c>
      <c r="F658" t="str">
        <f>IF(Entry!$B661="","",IF(Entry!$C661="","0000",IF(AND(ISNUMBER(Entry!$C661),Entry!$C661&gt;=0,Entry!$C661&lt;1),RIGHT("00"&amp;HOUR(Entry!$C661),2)&amp;RIGHT("00"&amp;MINUTE(Entry!$C661),2),IFERROR(RIGHT("00"&amp;VALUE(LEFT(Entry!$C661,FIND(":",Entry!$C661)-1)),2)&amp;RIGHT("00"&amp;VALUE(MID(Entry!$C661,FIND(":",Entry!$C661)+1,2)),2),"0000"))))</f>
        <v/>
      </c>
      <c r="G658" t="str">
        <f>IF($A658="","",Entry!$G661)</f>
        <v/>
      </c>
      <c r="H658" t="str">
        <f>IF($A658="","",IF(Entry!$H661="",0,Entry!$H661))</f>
        <v/>
      </c>
      <c r="I658" t="str">
        <f>IF($A658="","",IF(Entry!$I661="",0,Entry!$I661))</f>
        <v/>
      </c>
      <c r="J658" t="str">
        <f t="shared" si="72"/>
        <v/>
      </c>
      <c r="K658" t="str">
        <f>IF($A658="","",Entry!$D661)</f>
        <v/>
      </c>
      <c r="L658" t="str">
        <f>IF($A658="","",Entry!$L661)</f>
        <v/>
      </c>
      <c r="N658" t="str">
        <f>IF(OR(Sync!$M658="",$Q658="",$Q658="نامعتبر"),"",Sync!$M658)</f>
        <v/>
      </c>
      <c r="O658" t="str">
        <f t="shared" si="73"/>
        <v/>
      </c>
      <c r="P658" t="str">
        <f>IF($N658="","",LEFT($Q658,4)&amp;MID($Q658,6,2)&amp;RIGHT($Q658,2)&amp;IF(Sync!$K658="","0000",IF(AND(ISNUMBER(Sync!$K658),Sync!$K658&gt;=0,Sync!$K658&lt;1),RIGHT("00"&amp;HOUR(Sync!$K658),2)&amp;RIGHT("00"&amp;MINUTE(Sync!$K658),2),IFERROR(RIGHT("00"&amp;VALUE(LEFT(Sync!$K658,FIND(":",Sync!$K658)-1)),2)&amp;RIGHT("00"&amp;VALUE(MID(Sync!$K658,FIND(":",Sync!$K658)+1,2)),2),"0000")))&amp;"|"&amp;"2"&amp;RIGHT("00000"&amp;653,5))</f>
        <v/>
      </c>
      <c r="Q658" t="str">
        <f>IF(Sync!$J658="","",IF(ISNUMBER(Sync!$J658),IF(AND(Sync!$J658&gt;=10000101,Sync!$J658&lt;=99991231),INT(Sync!$J658/10000)&amp;"/"&amp;RIGHT("00"&amp;INT(MOD(Sync!$J658,10000)/100),2)&amp;"/"&amp;RIGHT("00"&amp;MOD(Sync!$J658,100),2),"نامعتبر"),IF(LEN(Sync!$J658)=10,Sync!$J658,"نامعتبر")))</f>
        <v/>
      </c>
      <c r="R658" t="str">
        <f t="shared" si="74"/>
        <v/>
      </c>
      <c r="S658" t="str">
        <f t="shared" si="75"/>
        <v/>
      </c>
      <c r="T658" t="str">
        <f>IF($N658="","",IF(Sync!$N658="",0,Sync!$N658))</f>
        <v/>
      </c>
      <c r="U658" t="str">
        <f>IF($N658="","",IF(Sync!$O658="",0,Sync!$O658))</f>
        <v/>
      </c>
      <c r="V658" t="str">
        <f>IF($N658="","",Sync!$L658)</f>
        <v/>
      </c>
      <c r="W658" t="str">
        <f>IF($N658="","",Sync!$P658)</f>
        <v/>
      </c>
      <c r="AA658" t="str">
        <f>IF($A658="","",IF(COUNTIF($A$6:$A658,$A658)=1,1,0))</f>
        <v/>
      </c>
      <c r="AB658">
        <f>SUM($AA$6:$AA658)</f>
        <v>3</v>
      </c>
      <c r="AC658" t="str">
        <f t="shared" si="76"/>
        <v/>
      </c>
    </row>
    <row r="659" spans="1:29" x14ac:dyDescent="0.2">
      <c r="A659" t="str">
        <f>IF(OR(Entry!$B662="",Entry!$E662="",$E659="نامعتبر"),"",Entry!$E662)</f>
        <v/>
      </c>
      <c r="B659" t="str">
        <f>IF($A659="","",LEFT($E659,4)&amp;MID($E659,6,2)&amp;RIGHT($E659,2)&amp;$F659&amp;"|"&amp;"1"&amp;RIGHT("00000"&amp;654,5))</f>
        <v/>
      </c>
      <c r="C659" t="str">
        <f t="shared" si="70"/>
        <v/>
      </c>
      <c r="D659" t="str">
        <f t="shared" si="71"/>
        <v/>
      </c>
      <c r="E659" t="str">
        <f>IF(Entry!$B662="","",IF(ISNUMBER(Entry!$B662),IF(AND(Entry!$B662&gt;=10000101,Entry!$B662&lt;=99991231),INT(Entry!$B662/10000)&amp;"/"&amp;RIGHT("00"&amp;INT(MOD(Entry!$B662,10000)/100),2)&amp;"/"&amp;RIGHT("00"&amp;MOD(Entry!$B662,100),2),"نامعتبر"),IF(LEN(Entry!$B662)=10,Entry!$B662,"نامعتبر")))</f>
        <v/>
      </c>
      <c r="F659" t="str">
        <f>IF(Entry!$B662="","",IF(Entry!$C662="","0000",IF(AND(ISNUMBER(Entry!$C662),Entry!$C662&gt;=0,Entry!$C662&lt;1),RIGHT("00"&amp;HOUR(Entry!$C662),2)&amp;RIGHT("00"&amp;MINUTE(Entry!$C662),2),IFERROR(RIGHT("00"&amp;VALUE(LEFT(Entry!$C662,FIND(":",Entry!$C662)-1)),2)&amp;RIGHT("00"&amp;VALUE(MID(Entry!$C662,FIND(":",Entry!$C662)+1,2)),2),"0000"))))</f>
        <v/>
      </c>
      <c r="G659" t="str">
        <f>IF($A659="","",Entry!$G662)</f>
        <v/>
      </c>
      <c r="H659" t="str">
        <f>IF($A659="","",IF(Entry!$H662="",0,Entry!$H662))</f>
        <v/>
      </c>
      <c r="I659" t="str">
        <f>IF($A659="","",IF(Entry!$I662="",0,Entry!$I662))</f>
        <v/>
      </c>
      <c r="J659" t="str">
        <f t="shared" si="72"/>
        <v/>
      </c>
      <c r="K659" t="str">
        <f>IF($A659="","",Entry!$D662)</f>
        <v/>
      </c>
      <c r="L659" t="str">
        <f>IF($A659="","",Entry!$L662)</f>
        <v/>
      </c>
      <c r="N659" t="str">
        <f>IF(OR(Sync!$M659="",$Q659="",$Q659="نامعتبر"),"",Sync!$M659)</f>
        <v/>
      </c>
      <c r="O659" t="str">
        <f t="shared" si="73"/>
        <v/>
      </c>
      <c r="P659" t="str">
        <f>IF($N659="","",LEFT($Q659,4)&amp;MID($Q659,6,2)&amp;RIGHT($Q659,2)&amp;IF(Sync!$K659="","0000",IF(AND(ISNUMBER(Sync!$K659),Sync!$K659&gt;=0,Sync!$K659&lt;1),RIGHT("00"&amp;HOUR(Sync!$K659),2)&amp;RIGHT("00"&amp;MINUTE(Sync!$K659),2),IFERROR(RIGHT("00"&amp;VALUE(LEFT(Sync!$K659,FIND(":",Sync!$K659)-1)),2)&amp;RIGHT("00"&amp;VALUE(MID(Sync!$K659,FIND(":",Sync!$K659)+1,2)),2),"0000")))&amp;"|"&amp;"2"&amp;RIGHT("00000"&amp;654,5))</f>
        <v/>
      </c>
      <c r="Q659" t="str">
        <f>IF(Sync!$J659="","",IF(ISNUMBER(Sync!$J659),IF(AND(Sync!$J659&gt;=10000101,Sync!$J659&lt;=99991231),INT(Sync!$J659/10000)&amp;"/"&amp;RIGHT("00"&amp;INT(MOD(Sync!$J659,10000)/100),2)&amp;"/"&amp;RIGHT("00"&amp;MOD(Sync!$J659,100),2),"نامعتبر"),IF(LEN(Sync!$J659)=10,Sync!$J659,"نامعتبر")))</f>
        <v/>
      </c>
      <c r="R659" t="str">
        <f t="shared" si="74"/>
        <v/>
      </c>
      <c r="S659" t="str">
        <f t="shared" si="75"/>
        <v/>
      </c>
      <c r="T659" t="str">
        <f>IF($N659="","",IF(Sync!$N659="",0,Sync!$N659))</f>
        <v/>
      </c>
      <c r="U659" t="str">
        <f>IF($N659="","",IF(Sync!$O659="",0,Sync!$O659))</f>
        <v/>
      </c>
      <c r="V659" t="str">
        <f>IF($N659="","",Sync!$L659)</f>
        <v/>
      </c>
      <c r="W659" t="str">
        <f>IF($N659="","",Sync!$P659)</f>
        <v/>
      </c>
      <c r="AA659" t="str">
        <f>IF($A659="","",IF(COUNTIF($A$6:$A659,$A659)=1,1,0))</f>
        <v/>
      </c>
      <c r="AB659">
        <f>SUM($AA$6:$AA659)</f>
        <v>3</v>
      </c>
      <c r="AC659" t="str">
        <f t="shared" si="76"/>
        <v/>
      </c>
    </row>
    <row r="660" spans="1:29" x14ac:dyDescent="0.2">
      <c r="A660" t="str">
        <f>IF(OR(Entry!$B663="",Entry!$E663="",$E660="نامعتبر"),"",Entry!$E663)</f>
        <v/>
      </c>
      <c r="B660" t="str">
        <f>IF($A660="","",LEFT($E660,4)&amp;MID($E660,6,2)&amp;RIGHT($E660,2)&amp;$F660&amp;"|"&amp;"1"&amp;RIGHT("00000"&amp;655,5))</f>
        <v/>
      </c>
      <c r="C660" t="str">
        <f t="shared" si="70"/>
        <v/>
      </c>
      <c r="D660" t="str">
        <f t="shared" si="71"/>
        <v/>
      </c>
      <c r="E660" t="str">
        <f>IF(Entry!$B663="","",IF(ISNUMBER(Entry!$B663),IF(AND(Entry!$B663&gt;=10000101,Entry!$B663&lt;=99991231),INT(Entry!$B663/10000)&amp;"/"&amp;RIGHT("00"&amp;INT(MOD(Entry!$B663,10000)/100),2)&amp;"/"&amp;RIGHT("00"&amp;MOD(Entry!$B663,100),2),"نامعتبر"),IF(LEN(Entry!$B663)=10,Entry!$B663,"نامعتبر")))</f>
        <v/>
      </c>
      <c r="F660" t="str">
        <f>IF(Entry!$B663="","",IF(Entry!$C663="","0000",IF(AND(ISNUMBER(Entry!$C663),Entry!$C663&gt;=0,Entry!$C663&lt;1),RIGHT("00"&amp;HOUR(Entry!$C663),2)&amp;RIGHT("00"&amp;MINUTE(Entry!$C663),2),IFERROR(RIGHT("00"&amp;VALUE(LEFT(Entry!$C663,FIND(":",Entry!$C663)-1)),2)&amp;RIGHT("00"&amp;VALUE(MID(Entry!$C663,FIND(":",Entry!$C663)+1,2)),2),"0000"))))</f>
        <v/>
      </c>
      <c r="G660" t="str">
        <f>IF($A660="","",Entry!$G663)</f>
        <v/>
      </c>
      <c r="H660" t="str">
        <f>IF($A660="","",IF(Entry!$H663="",0,Entry!$H663))</f>
        <v/>
      </c>
      <c r="I660" t="str">
        <f>IF($A660="","",IF(Entry!$I663="",0,Entry!$I663))</f>
        <v/>
      </c>
      <c r="J660" t="str">
        <f t="shared" si="72"/>
        <v/>
      </c>
      <c r="K660" t="str">
        <f>IF($A660="","",Entry!$D663)</f>
        <v/>
      </c>
      <c r="L660" t="str">
        <f>IF($A660="","",Entry!$L663)</f>
        <v/>
      </c>
      <c r="N660" t="str">
        <f>IF(OR(Sync!$M660="",$Q660="",$Q660="نامعتبر"),"",Sync!$M660)</f>
        <v/>
      </c>
      <c r="O660" t="str">
        <f t="shared" si="73"/>
        <v/>
      </c>
      <c r="P660" t="str">
        <f>IF($N660="","",LEFT($Q660,4)&amp;MID($Q660,6,2)&amp;RIGHT($Q660,2)&amp;IF(Sync!$K660="","0000",IF(AND(ISNUMBER(Sync!$K660),Sync!$K660&gt;=0,Sync!$K660&lt;1),RIGHT("00"&amp;HOUR(Sync!$K660),2)&amp;RIGHT("00"&amp;MINUTE(Sync!$K660),2),IFERROR(RIGHT("00"&amp;VALUE(LEFT(Sync!$K660,FIND(":",Sync!$K660)-1)),2)&amp;RIGHT("00"&amp;VALUE(MID(Sync!$K660,FIND(":",Sync!$K660)+1,2)),2),"0000")))&amp;"|"&amp;"2"&amp;RIGHT("00000"&amp;655,5))</f>
        <v/>
      </c>
      <c r="Q660" t="str">
        <f>IF(Sync!$J660="","",IF(ISNUMBER(Sync!$J660),IF(AND(Sync!$J660&gt;=10000101,Sync!$J660&lt;=99991231),INT(Sync!$J660/10000)&amp;"/"&amp;RIGHT("00"&amp;INT(MOD(Sync!$J660,10000)/100),2)&amp;"/"&amp;RIGHT("00"&amp;MOD(Sync!$J660,100),2),"نامعتبر"),IF(LEN(Sync!$J660)=10,Sync!$J660,"نامعتبر")))</f>
        <v/>
      </c>
      <c r="R660" t="str">
        <f t="shared" si="74"/>
        <v/>
      </c>
      <c r="S660" t="str">
        <f t="shared" si="75"/>
        <v/>
      </c>
      <c r="T660" t="str">
        <f>IF($N660="","",IF(Sync!$N660="",0,Sync!$N660))</f>
        <v/>
      </c>
      <c r="U660" t="str">
        <f>IF($N660="","",IF(Sync!$O660="",0,Sync!$O660))</f>
        <v/>
      </c>
      <c r="V660" t="str">
        <f>IF($N660="","",Sync!$L660)</f>
        <v/>
      </c>
      <c r="W660" t="str">
        <f>IF($N660="","",Sync!$P660)</f>
        <v/>
      </c>
      <c r="AA660" t="str">
        <f>IF($A660="","",IF(COUNTIF($A$6:$A660,$A660)=1,1,0))</f>
        <v/>
      </c>
      <c r="AB660">
        <f>SUM($AA$6:$AA660)</f>
        <v>3</v>
      </c>
      <c r="AC660" t="str">
        <f t="shared" si="76"/>
        <v/>
      </c>
    </row>
    <row r="661" spans="1:29" x14ac:dyDescent="0.2">
      <c r="A661" t="str">
        <f>IF(OR(Entry!$B664="",Entry!$E664="",$E661="نامعتبر"),"",Entry!$E664)</f>
        <v/>
      </c>
      <c r="B661" t="str">
        <f>IF($A661="","",LEFT($E661,4)&amp;MID($E661,6,2)&amp;RIGHT($E661,2)&amp;$F661&amp;"|"&amp;"1"&amp;RIGHT("00000"&amp;656,5))</f>
        <v/>
      </c>
      <c r="C661" t="str">
        <f t="shared" si="70"/>
        <v/>
      </c>
      <c r="D661" t="str">
        <f t="shared" si="71"/>
        <v/>
      </c>
      <c r="E661" t="str">
        <f>IF(Entry!$B664="","",IF(ISNUMBER(Entry!$B664),IF(AND(Entry!$B664&gt;=10000101,Entry!$B664&lt;=99991231),INT(Entry!$B664/10000)&amp;"/"&amp;RIGHT("00"&amp;INT(MOD(Entry!$B664,10000)/100),2)&amp;"/"&amp;RIGHT("00"&amp;MOD(Entry!$B664,100),2),"نامعتبر"),IF(LEN(Entry!$B664)=10,Entry!$B664,"نامعتبر")))</f>
        <v/>
      </c>
      <c r="F661" t="str">
        <f>IF(Entry!$B664="","",IF(Entry!$C664="","0000",IF(AND(ISNUMBER(Entry!$C664),Entry!$C664&gt;=0,Entry!$C664&lt;1),RIGHT("00"&amp;HOUR(Entry!$C664),2)&amp;RIGHT("00"&amp;MINUTE(Entry!$C664),2),IFERROR(RIGHT("00"&amp;VALUE(LEFT(Entry!$C664,FIND(":",Entry!$C664)-1)),2)&amp;RIGHT("00"&amp;VALUE(MID(Entry!$C664,FIND(":",Entry!$C664)+1,2)),2),"0000"))))</f>
        <v/>
      </c>
      <c r="G661" t="str">
        <f>IF($A661="","",Entry!$G664)</f>
        <v/>
      </c>
      <c r="H661" t="str">
        <f>IF($A661="","",IF(Entry!$H664="",0,Entry!$H664))</f>
        <v/>
      </c>
      <c r="I661" t="str">
        <f>IF($A661="","",IF(Entry!$I664="",0,Entry!$I664))</f>
        <v/>
      </c>
      <c r="J661" t="str">
        <f t="shared" si="72"/>
        <v/>
      </c>
      <c r="K661" t="str">
        <f>IF($A661="","",Entry!$D664)</f>
        <v/>
      </c>
      <c r="L661" t="str">
        <f>IF($A661="","",Entry!$L664)</f>
        <v/>
      </c>
      <c r="N661" t="str">
        <f>IF(OR(Sync!$M661="",$Q661="",$Q661="نامعتبر"),"",Sync!$M661)</f>
        <v/>
      </c>
      <c r="O661" t="str">
        <f t="shared" si="73"/>
        <v/>
      </c>
      <c r="P661" t="str">
        <f>IF($N661="","",LEFT($Q661,4)&amp;MID($Q661,6,2)&amp;RIGHT($Q661,2)&amp;IF(Sync!$K661="","0000",IF(AND(ISNUMBER(Sync!$K661),Sync!$K661&gt;=0,Sync!$K661&lt;1),RIGHT("00"&amp;HOUR(Sync!$K661),2)&amp;RIGHT("00"&amp;MINUTE(Sync!$K661),2),IFERROR(RIGHT("00"&amp;VALUE(LEFT(Sync!$K661,FIND(":",Sync!$K661)-1)),2)&amp;RIGHT("00"&amp;VALUE(MID(Sync!$K661,FIND(":",Sync!$K661)+1,2)),2),"0000")))&amp;"|"&amp;"2"&amp;RIGHT("00000"&amp;656,5))</f>
        <v/>
      </c>
      <c r="Q661" t="str">
        <f>IF(Sync!$J661="","",IF(ISNUMBER(Sync!$J661),IF(AND(Sync!$J661&gt;=10000101,Sync!$J661&lt;=99991231),INT(Sync!$J661/10000)&amp;"/"&amp;RIGHT("00"&amp;INT(MOD(Sync!$J661,10000)/100),2)&amp;"/"&amp;RIGHT("00"&amp;MOD(Sync!$J661,100),2),"نامعتبر"),IF(LEN(Sync!$J661)=10,Sync!$J661,"نامعتبر")))</f>
        <v/>
      </c>
      <c r="R661" t="str">
        <f t="shared" si="74"/>
        <v/>
      </c>
      <c r="S661" t="str">
        <f t="shared" si="75"/>
        <v/>
      </c>
      <c r="T661" t="str">
        <f>IF($N661="","",IF(Sync!$N661="",0,Sync!$N661))</f>
        <v/>
      </c>
      <c r="U661" t="str">
        <f>IF($N661="","",IF(Sync!$O661="",0,Sync!$O661))</f>
        <v/>
      </c>
      <c r="V661" t="str">
        <f>IF($N661="","",Sync!$L661)</f>
        <v/>
      </c>
      <c r="W661" t="str">
        <f>IF($N661="","",Sync!$P661)</f>
        <v/>
      </c>
      <c r="AA661" t="str">
        <f>IF($A661="","",IF(COUNTIF($A$6:$A661,$A661)=1,1,0))</f>
        <v/>
      </c>
      <c r="AB661">
        <f>SUM($AA$6:$AA661)</f>
        <v>3</v>
      </c>
      <c r="AC661" t="str">
        <f t="shared" si="76"/>
        <v/>
      </c>
    </row>
    <row r="662" spans="1:29" x14ac:dyDescent="0.2">
      <c r="A662" t="str">
        <f>IF(OR(Entry!$B665="",Entry!$E665="",$E662="نامعتبر"),"",Entry!$E665)</f>
        <v/>
      </c>
      <c r="B662" t="str">
        <f>IF($A662="","",LEFT($E662,4)&amp;MID($E662,6,2)&amp;RIGHT($E662,2)&amp;$F662&amp;"|"&amp;"1"&amp;RIGHT("00000"&amp;657,5))</f>
        <v/>
      </c>
      <c r="C662" t="str">
        <f t="shared" si="70"/>
        <v/>
      </c>
      <c r="D662" t="str">
        <f t="shared" si="71"/>
        <v/>
      </c>
      <c r="E662" t="str">
        <f>IF(Entry!$B665="","",IF(ISNUMBER(Entry!$B665),IF(AND(Entry!$B665&gt;=10000101,Entry!$B665&lt;=99991231),INT(Entry!$B665/10000)&amp;"/"&amp;RIGHT("00"&amp;INT(MOD(Entry!$B665,10000)/100),2)&amp;"/"&amp;RIGHT("00"&amp;MOD(Entry!$B665,100),2),"نامعتبر"),IF(LEN(Entry!$B665)=10,Entry!$B665,"نامعتبر")))</f>
        <v/>
      </c>
      <c r="F662" t="str">
        <f>IF(Entry!$B665="","",IF(Entry!$C665="","0000",IF(AND(ISNUMBER(Entry!$C665),Entry!$C665&gt;=0,Entry!$C665&lt;1),RIGHT("00"&amp;HOUR(Entry!$C665),2)&amp;RIGHT("00"&amp;MINUTE(Entry!$C665),2),IFERROR(RIGHT("00"&amp;VALUE(LEFT(Entry!$C665,FIND(":",Entry!$C665)-1)),2)&amp;RIGHT("00"&amp;VALUE(MID(Entry!$C665,FIND(":",Entry!$C665)+1,2)),2),"0000"))))</f>
        <v/>
      </c>
      <c r="G662" t="str">
        <f>IF($A662="","",Entry!$G665)</f>
        <v/>
      </c>
      <c r="H662" t="str">
        <f>IF($A662="","",IF(Entry!$H665="",0,Entry!$H665))</f>
        <v/>
      </c>
      <c r="I662" t="str">
        <f>IF($A662="","",IF(Entry!$I665="",0,Entry!$I665))</f>
        <v/>
      </c>
      <c r="J662" t="str">
        <f t="shared" si="72"/>
        <v/>
      </c>
      <c r="K662" t="str">
        <f>IF($A662="","",Entry!$D665)</f>
        <v/>
      </c>
      <c r="L662" t="str">
        <f>IF($A662="","",Entry!$L665)</f>
        <v/>
      </c>
      <c r="N662" t="str">
        <f>IF(OR(Sync!$M662="",$Q662="",$Q662="نامعتبر"),"",Sync!$M662)</f>
        <v/>
      </c>
      <c r="O662" t="str">
        <f t="shared" si="73"/>
        <v/>
      </c>
      <c r="P662" t="str">
        <f>IF($N662="","",LEFT($Q662,4)&amp;MID($Q662,6,2)&amp;RIGHT($Q662,2)&amp;IF(Sync!$K662="","0000",IF(AND(ISNUMBER(Sync!$K662),Sync!$K662&gt;=0,Sync!$K662&lt;1),RIGHT("00"&amp;HOUR(Sync!$K662),2)&amp;RIGHT("00"&amp;MINUTE(Sync!$K662),2),IFERROR(RIGHT("00"&amp;VALUE(LEFT(Sync!$K662,FIND(":",Sync!$K662)-1)),2)&amp;RIGHT("00"&amp;VALUE(MID(Sync!$K662,FIND(":",Sync!$K662)+1,2)),2),"0000")))&amp;"|"&amp;"2"&amp;RIGHT("00000"&amp;657,5))</f>
        <v/>
      </c>
      <c r="Q662" t="str">
        <f>IF(Sync!$J662="","",IF(ISNUMBER(Sync!$J662),IF(AND(Sync!$J662&gt;=10000101,Sync!$J662&lt;=99991231),INT(Sync!$J662/10000)&amp;"/"&amp;RIGHT("00"&amp;INT(MOD(Sync!$J662,10000)/100),2)&amp;"/"&amp;RIGHT("00"&amp;MOD(Sync!$J662,100),2),"نامعتبر"),IF(LEN(Sync!$J662)=10,Sync!$J662,"نامعتبر")))</f>
        <v/>
      </c>
      <c r="R662" t="str">
        <f t="shared" si="74"/>
        <v/>
      </c>
      <c r="S662" t="str">
        <f t="shared" si="75"/>
        <v/>
      </c>
      <c r="T662" t="str">
        <f>IF($N662="","",IF(Sync!$N662="",0,Sync!$N662))</f>
        <v/>
      </c>
      <c r="U662" t="str">
        <f>IF($N662="","",IF(Sync!$O662="",0,Sync!$O662))</f>
        <v/>
      </c>
      <c r="V662" t="str">
        <f>IF($N662="","",Sync!$L662)</f>
        <v/>
      </c>
      <c r="W662" t="str">
        <f>IF($N662="","",Sync!$P662)</f>
        <v/>
      </c>
      <c r="AA662" t="str">
        <f>IF($A662="","",IF(COUNTIF($A$6:$A662,$A662)=1,1,0))</f>
        <v/>
      </c>
      <c r="AB662">
        <f>SUM($AA$6:$AA662)</f>
        <v>3</v>
      </c>
      <c r="AC662" t="str">
        <f t="shared" si="76"/>
        <v/>
      </c>
    </row>
    <row r="663" spans="1:29" x14ac:dyDescent="0.2">
      <c r="A663" t="str">
        <f>IF(OR(Entry!$B666="",Entry!$E666="",$E663="نامعتبر"),"",Entry!$E666)</f>
        <v/>
      </c>
      <c r="B663" t="str">
        <f>IF($A663="","",LEFT($E663,4)&amp;MID($E663,6,2)&amp;RIGHT($E663,2)&amp;$F663&amp;"|"&amp;"1"&amp;RIGHT("00000"&amp;658,5))</f>
        <v/>
      </c>
      <c r="C663" t="str">
        <f t="shared" si="70"/>
        <v/>
      </c>
      <c r="D663" t="str">
        <f t="shared" si="71"/>
        <v/>
      </c>
      <c r="E663" t="str">
        <f>IF(Entry!$B666="","",IF(ISNUMBER(Entry!$B666),IF(AND(Entry!$B666&gt;=10000101,Entry!$B666&lt;=99991231),INT(Entry!$B666/10000)&amp;"/"&amp;RIGHT("00"&amp;INT(MOD(Entry!$B666,10000)/100),2)&amp;"/"&amp;RIGHT("00"&amp;MOD(Entry!$B666,100),2),"نامعتبر"),IF(LEN(Entry!$B666)=10,Entry!$B666,"نامعتبر")))</f>
        <v/>
      </c>
      <c r="F663" t="str">
        <f>IF(Entry!$B666="","",IF(Entry!$C666="","0000",IF(AND(ISNUMBER(Entry!$C666),Entry!$C666&gt;=0,Entry!$C666&lt;1),RIGHT("00"&amp;HOUR(Entry!$C666),2)&amp;RIGHT("00"&amp;MINUTE(Entry!$C666),2),IFERROR(RIGHT("00"&amp;VALUE(LEFT(Entry!$C666,FIND(":",Entry!$C666)-1)),2)&amp;RIGHT("00"&amp;VALUE(MID(Entry!$C666,FIND(":",Entry!$C666)+1,2)),2),"0000"))))</f>
        <v/>
      </c>
      <c r="G663" t="str">
        <f>IF($A663="","",Entry!$G666)</f>
        <v/>
      </c>
      <c r="H663" t="str">
        <f>IF($A663="","",IF(Entry!$H666="",0,Entry!$H666))</f>
        <v/>
      </c>
      <c r="I663" t="str">
        <f>IF($A663="","",IF(Entry!$I666="",0,Entry!$I666))</f>
        <v/>
      </c>
      <c r="J663" t="str">
        <f t="shared" si="72"/>
        <v/>
      </c>
      <c r="K663" t="str">
        <f>IF($A663="","",Entry!$D666)</f>
        <v/>
      </c>
      <c r="L663" t="str">
        <f>IF($A663="","",Entry!$L666)</f>
        <v/>
      </c>
      <c r="N663" t="str">
        <f>IF(OR(Sync!$M663="",$Q663="",$Q663="نامعتبر"),"",Sync!$M663)</f>
        <v/>
      </c>
      <c r="O663" t="str">
        <f t="shared" si="73"/>
        <v/>
      </c>
      <c r="P663" t="str">
        <f>IF($N663="","",LEFT($Q663,4)&amp;MID($Q663,6,2)&amp;RIGHT($Q663,2)&amp;IF(Sync!$K663="","0000",IF(AND(ISNUMBER(Sync!$K663),Sync!$K663&gt;=0,Sync!$K663&lt;1),RIGHT("00"&amp;HOUR(Sync!$K663),2)&amp;RIGHT("00"&amp;MINUTE(Sync!$K663),2),IFERROR(RIGHT("00"&amp;VALUE(LEFT(Sync!$K663,FIND(":",Sync!$K663)-1)),2)&amp;RIGHT("00"&amp;VALUE(MID(Sync!$K663,FIND(":",Sync!$K663)+1,2)),2),"0000")))&amp;"|"&amp;"2"&amp;RIGHT("00000"&amp;658,5))</f>
        <v/>
      </c>
      <c r="Q663" t="str">
        <f>IF(Sync!$J663="","",IF(ISNUMBER(Sync!$J663),IF(AND(Sync!$J663&gt;=10000101,Sync!$J663&lt;=99991231),INT(Sync!$J663/10000)&amp;"/"&amp;RIGHT("00"&amp;INT(MOD(Sync!$J663,10000)/100),2)&amp;"/"&amp;RIGHT("00"&amp;MOD(Sync!$J663,100),2),"نامعتبر"),IF(LEN(Sync!$J663)=10,Sync!$J663,"نامعتبر")))</f>
        <v/>
      </c>
      <c r="R663" t="str">
        <f t="shared" si="74"/>
        <v/>
      </c>
      <c r="S663" t="str">
        <f t="shared" si="75"/>
        <v/>
      </c>
      <c r="T663" t="str">
        <f>IF($N663="","",IF(Sync!$N663="",0,Sync!$N663))</f>
        <v/>
      </c>
      <c r="U663" t="str">
        <f>IF($N663="","",IF(Sync!$O663="",0,Sync!$O663))</f>
        <v/>
      </c>
      <c r="V663" t="str">
        <f>IF($N663="","",Sync!$L663)</f>
        <v/>
      </c>
      <c r="W663" t="str">
        <f>IF($N663="","",Sync!$P663)</f>
        <v/>
      </c>
      <c r="AA663" t="str">
        <f>IF($A663="","",IF(COUNTIF($A$6:$A663,$A663)=1,1,0))</f>
        <v/>
      </c>
      <c r="AB663">
        <f>SUM($AA$6:$AA663)</f>
        <v>3</v>
      </c>
      <c r="AC663" t="str">
        <f t="shared" si="76"/>
        <v/>
      </c>
    </row>
    <row r="664" spans="1:29" x14ac:dyDescent="0.2">
      <c r="A664" t="str">
        <f>IF(OR(Entry!$B667="",Entry!$E667="",$E664="نامعتبر"),"",Entry!$E667)</f>
        <v/>
      </c>
      <c r="B664" t="str">
        <f>IF($A664="","",LEFT($E664,4)&amp;MID($E664,6,2)&amp;RIGHT($E664,2)&amp;$F664&amp;"|"&amp;"1"&amp;RIGHT("00000"&amp;659,5))</f>
        <v/>
      </c>
      <c r="C664" t="str">
        <f t="shared" si="70"/>
        <v/>
      </c>
      <c r="D664" t="str">
        <f t="shared" si="71"/>
        <v/>
      </c>
      <c r="E664" t="str">
        <f>IF(Entry!$B667="","",IF(ISNUMBER(Entry!$B667),IF(AND(Entry!$B667&gt;=10000101,Entry!$B667&lt;=99991231),INT(Entry!$B667/10000)&amp;"/"&amp;RIGHT("00"&amp;INT(MOD(Entry!$B667,10000)/100),2)&amp;"/"&amp;RIGHT("00"&amp;MOD(Entry!$B667,100),2),"نامعتبر"),IF(LEN(Entry!$B667)=10,Entry!$B667,"نامعتبر")))</f>
        <v/>
      </c>
      <c r="F664" t="str">
        <f>IF(Entry!$B667="","",IF(Entry!$C667="","0000",IF(AND(ISNUMBER(Entry!$C667),Entry!$C667&gt;=0,Entry!$C667&lt;1),RIGHT("00"&amp;HOUR(Entry!$C667),2)&amp;RIGHT("00"&amp;MINUTE(Entry!$C667),2),IFERROR(RIGHT("00"&amp;VALUE(LEFT(Entry!$C667,FIND(":",Entry!$C667)-1)),2)&amp;RIGHT("00"&amp;VALUE(MID(Entry!$C667,FIND(":",Entry!$C667)+1,2)),2),"0000"))))</f>
        <v/>
      </c>
      <c r="G664" t="str">
        <f>IF($A664="","",Entry!$G667)</f>
        <v/>
      </c>
      <c r="H664" t="str">
        <f>IF($A664="","",IF(Entry!$H667="",0,Entry!$H667))</f>
        <v/>
      </c>
      <c r="I664" t="str">
        <f>IF($A664="","",IF(Entry!$I667="",0,Entry!$I667))</f>
        <v/>
      </c>
      <c r="J664" t="str">
        <f t="shared" si="72"/>
        <v/>
      </c>
      <c r="K664" t="str">
        <f>IF($A664="","",Entry!$D667)</f>
        <v/>
      </c>
      <c r="L664" t="str">
        <f>IF($A664="","",Entry!$L667)</f>
        <v/>
      </c>
      <c r="N664" t="str">
        <f>IF(OR(Sync!$M664="",$Q664="",$Q664="نامعتبر"),"",Sync!$M664)</f>
        <v/>
      </c>
      <c r="O664" t="str">
        <f t="shared" si="73"/>
        <v/>
      </c>
      <c r="P664" t="str">
        <f>IF($N664="","",LEFT($Q664,4)&amp;MID($Q664,6,2)&amp;RIGHT($Q664,2)&amp;IF(Sync!$K664="","0000",IF(AND(ISNUMBER(Sync!$K664),Sync!$K664&gt;=0,Sync!$K664&lt;1),RIGHT("00"&amp;HOUR(Sync!$K664),2)&amp;RIGHT("00"&amp;MINUTE(Sync!$K664),2),IFERROR(RIGHT("00"&amp;VALUE(LEFT(Sync!$K664,FIND(":",Sync!$K664)-1)),2)&amp;RIGHT("00"&amp;VALUE(MID(Sync!$K664,FIND(":",Sync!$K664)+1,2)),2),"0000")))&amp;"|"&amp;"2"&amp;RIGHT("00000"&amp;659,5))</f>
        <v/>
      </c>
      <c r="Q664" t="str">
        <f>IF(Sync!$J664="","",IF(ISNUMBER(Sync!$J664),IF(AND(Sync!$J664&gt;=10000101,Sync!$J664&lt;=99991231),INT(Sync!$J664/10000)&amp;"/"&amp;RIGHT("00"&amp;INT(MOD(Sync!$J664,10000)/100),2)&amp;"/"&amp;RIGHT("00"&amp;MOD(Sync!$J664,100),2),"نامعتبر"),IF(LEN(Sync!$J664)=10,Sync!$J664,"نامعتبر")))</f>
        <v/>
      </c>
      <c r="R664" t="str">
        <f t="shared" si="74"/>
        <v/>
      </c>
      <c r="S664" t="str">
        <f t="shared" si="75"/>
        <v/>
      </c>
      <c r="T664" t="str">
        <f>IF($N664="","",IF(Sync!$N664="",0,Sync!$N664))</f>
        <v/>
      </c>
      <c r="U664" t="str">
        <f>IF($N664="","",IF(Sync!$O664="",0,Sync!$O664))</f>
        <v/>
      </c>
      <c r="V664" t="str">
        <f>IF($N664="","",Sync!$L664)</f>
        <v/>
      </c>
      <c r="W664" t="str">
        <f>IF($N664="","",Sync!$P664)</f>
        <v/>
      </c>
      <c r="AA664" t="str">
        <f>IF($A664="","",IF(COUNTIF($A$6:$A664,$A664)=1,1,0))</f>
        <v/>
      </c>
      <c r="AB664">
        <f>SUM($AA$6:$AA664)</f>
        <v>3</v>
      </c>
      <c r="AC664" t="str">
        <f t="shared" si="76"/>
        <v/>
      </c>
    </row>
    <row r="665" spans="1:29" x14ac:dyDescent="0.2">
      <c r="A665" t="str">
        <f>IF(OR(Entry!$B668="",Entry!$E668="",$E665="نامعتبر"),"",Entry!$E668)</f>
        <v/>
      </c>
      <c r="B665" t="str">
        <f>IF($A665="","",LEFT($E665,4)&amp;MID($E665,6,2)&amp;RIGHT($E665,2)&amp;$F665&amp;"|"&amp;"1"&amp;RIGHT("00000"&amp;660,5))</f>
        <v/>
      </c>
      <c r="C665" t="str">
        <f t="shared" si="70"/>
        <v/>
      </c>
      <c r="D665" t="str">
        <f t="shared" si="71"/>
        <v/>
      </c>
      <c r="E665" t="str">
        <f>IF(Entry!$B668="","",IF(ISNUMBER(Entry!$B668),IF(AND(Entry!$B668&gt;=10000101,Entry!$B668&lt;=99991231),INT(Entry!$B668/10000)&amp;"/"&amp;RIGHT("00"&amp;INT(MOD(Entry!$B668,10000)/100),2)&amp;"/"&amp;RIGHT("00"&amp;MOD(Entry!$B668,100),2),"نامعتبر"),IF(LEN(Entry!$B668)=10,Entry!$B668,"نامعتبر")))</f>
        <v/>
      </c>
      <c r="F665" t="str">
        <f>IF(Entry!$B668="","",IF(Entry!$C668="","0000",IF(AND(ISNUMBER(Entry!$C668),Entry!$C668&gt;=0,Entry!$C668&lt;1),RIGHT("00"&amp;HOUR(Entry!$C668),2)&amp;RIGHT("00"&amp;MINUTE(Entry!$C668),2),IFERROR(RIGHT("00"&amp;VALUE(LEFT(Entry!$C668,FIND(":",Entry!$C668)-1)),2)&amp;RIGHT("00"&amp;VALUE(MID(Entry!$C668,FIND(":",Entry!$C668)+1,2)),2),"0000"))))</f>
        <v/>
      </c>
      <c r="G665" t="str">
        <f>IF($A665="","",Entry!$G668)</f>
        <v/>
      </c>
      <c r="H665" t="str">
        <f>IF($A665="","",IF(Entry!$H668="",0,Entry!$H668))</f>
        <v/>
      </c>
      <c r="I665" t="str">
        <f>IF($A665="","",IF(Entry!$I668="",0,Entry!$I668))</f>
        <v/>
      </c>
      <c r="J665" t="str">
        <f t="shared" si="72"/>
        <v/>
      </c>
      <c r="K665" t="str">
        <f>IF($A665="","",Entry!$D668)</f>
        <v/>
      </c>
      <c r="L665" t="str">
        <f>IF($A665="","",Entry!$L668)</f>
        <v/>
      </c>
      <c r="N665" t="str">
        <f>IF(OR(Sync!$M665="",$Q665="",$Q665="نامعتبر"),"",Sync!$M665)</f>
        <v/>
      </c>
      <c r="O665" t="str">
        <f t="shared" si="73"/>
        <v/>
      </c>
      <c r="P665" t="str">
        <f>IF($N665="","",LEFT($Q665,4)&amp;MID($Q665,6,2)&amp;RIGHT($Q665,2)&amp;IF(Sync!$K665="","0000",IF(AND(ISNUMBER(Sync!$K665),Sync!$K665&gt;=0,Sync!$K665&lt;1),RIGHT("00"&amp;HOUR(Sync!$K665),2)&amp;RIGHT("00"&amp;MINUTE(Sync!$K665),2),IFERROR(RIGHT("00"&amp;VALUE(LEFT(Sync!$K665,FIND(":",Sync!$K665)-1)),2)&amp;RIGHT("00"&amp;VALUE(MID(Sync!$K665,FIND(":",Sync!$K665)+1,2)),2),"0000")))&amp;"|"&amp;"2"&amp;RIGHT("00000"&amp;660,5))</f>
        <v/>
      </c>
      <c r="Q665" t="str">
        <f>IF(Sync!$J665="","",IF(ISNUMBER(Sync!$J665),IF(AND(Sync!$J665&gt;=10000101,Sync!$J665&lt;=99991231),INT(Sync!$J665/10000)&amp;"/"&amp;RIGHT("00"&amp;INT(MOD(Sync!$J665,10000)/100),2)&amp;"/"&amp;RIGHT("00"&amp;MOD(Sync!$J665,100),2),"نامعتبر"),IF(LEN(Sync!$J665)=10,Sync!$J665,"نامعتبر")))</f>
        <v/>
      </c>
      <c r="R665" t="str">
        <f t="shared" si="74"/>
        <v/>
      </c>
      <c r="S665" t="str">
        <f t="shared" si="75"/>
        <v/>
      </c>
      <c r="T665" t="str">
        <f>IF($N665="","",IF(Sync!$N665="",0,Sync!$N665))</f>
        <v/>
      </c>
      <c r="U665" t="str">
        <f>IF($N665="","",IF(Sync!$O665="",0,Sync!$O665))</f>
        <v/>
      </c>
      <c r="V665" t="str">
        <f>IF($N665="","",Sync!$L665)</f>
        <v/>
      </c>
      <c r="W665" t="str">
        <f>IF($N665="","",Sync!$P665)</f>
        <v/>
      </c>
      <c r="AA665" t="str">
        <f>IF($A665="","",IF(COUNTIF($A$6:$A665,$A665)=1,1,0))</f>
        <v/>
      </c>
      <c r="AB665">
        <f>SUM($AA$6:$AA665)</f>
        <v>3</v>
      </c>
      <c r="AC665" t="str">
        <f t="shared" si="76"/>
        <v/>
      </c>
    </row>
    <row r="666" spans="1:29" x14ac:dyDescent="0.2">
      <c r="A666" t="str">
        <f>IF(OR(Entry!$B669="",Entry!$E669="",$E666="نامعتبر"),"",Entry!$E669)</f>
        <v/>
      </c>
      <c r="B666" t="str">
        <f>IF($A666="","",LEFT($E666,4)&amp;MID($E666,6,2)&amp;RIGHT($E666,2)&amp;$F666&amp;"|"&amp;"1"&amp;RIGHT("00000"&amp;661,5))</f>
        <v/>
      </c>
      <c r="C666" t="str">
        <f t="shared" si="70"/>
        <v/>
      </c>
      <c r="D666" t="str">
        <f t="shared" si="71"/>
        <v/>
      </c>
      <c r="E666" t="str">
        <f>IF(Entry!$B669="","",IF(ISNUMBER(Entry!$B669),IF(AND(Entry!$B669&gt;=10000101,Entry!$B669&lt;=99991231),INT(Entry!$B669/10000)&amp;"/"&amp;RIGHT("00"&amp;INT(MOD(Entry!$B669,10000)/100),2)&amp;"/"&amp;RIGHT("00"&amp;MOD(Entry!$B669,100),2),"نامعتبر"),IF(LEN(Entry!$B669)=10,Entry!$B669,"نامعتبر")))</f>
        <v/>
      </c>
      <c r="F666" t="str">
        <f>IF(Entry!$B669="","",IF(Entry!$C669="","0000",IF(AND(ISNUMBER(Entry!$C669),Entry!$C669&gt;=0,Entry!$C669&lt;1),RIGHT("00"&amp;HOUR(Entry!$C669),2)&amp;RIGHT("00"&amp;MINUTE(Entry!$C669),2),IFERROR(RIGHT("00"&amp;VALUE(LEFT(Entry!$C669,FIND(":",Entry!$C669)-1)),2)&amp;RIGHT("00"&amp;VALUE(MID(Entry!$C669,FIND(":",Entry!$C669)+1,2)),2),"0000"))))</f>
        <v/>
      </c>
      <c r="G666" t="str">
        <f>IF($A666="","",Entry!$G669)</f>
        <v/>
      </c>
      <c r="H666" t="str">
        <f>IF($A666="","",IF(Entry!$H669="",0,Entry!$H669))</f>
        <v/>
      </c>
      <c r="I666" t="str">
        <f>IF($A666="","",IF(Entry!$I669="",0,Entry!$I669))</f>
        <v/>
      </c>
      <c r="J666" t="str">
        <f t="shared" si="72"/>
        <v/>
      </c>
      <c r="K666" t="str">
        <f>IF($A666="","",Entry!$D669)</f>
        <v/>
      </c>
      <c r="L666" t="str">
        <f>IF($A666="","",Entry!$L669)</f>
        <v/>
      </c>
      <c r="N666" t="str">
        <f>IF(OR(Sync!$M666="",$Q666="",$Q666="نامعتبر"),"",Sync!$M666)</f>
        <v/>
      </c>
      <c r="O666" t="str">
        <f t="shared" si="73"/>
        <v/>
      </c>
      <c r="P666" t="str">
        <f>IF($N666="","",LEFT($Q666,4)&amp;MID($Q666,6,2)&amp;RIGHT($Q666,2)&amp;IF(Sync!$K666="","0000",IF(AND(ISNUMBER(Sync!$K666),Sync!$K666&gt;=0,Sync!$K666&lt;1),RIGHT("00"&amp;HOUR(Sync!$K666),2)&amp;RIGHT("00"&amp;MINUTE(Sync!$K666),2),IFERROR(RIGHT("00"&amp;VALUE(LEFT(Sync!$K666,FIND(":",Sync!$K666)-1)),2)&amp;RIGHT("00"&amp;VALUE(MID(Sync!$K666,FIND(":",Sync!$K666)+1,2)),2),"0000")))&amp;"|"&amp;"2"&amp;RIGHT("00000"&amp;661,5))</f>
        <v/>
      </c>
      <c r="Q666" t="str">
        <f>IF(Sync!$J666="","",IF(ISNUMBER(Sync!$J666),IF(AND(Sync!$J666&gt;=10000101,Sync!$J666&lt;=99991231),INT(Sync!$J666/10000)&amp;"/"&amp;RIGHT("00"&amp;INT(MOD(Sync!$J666,10000)/100),2)&amp;"/"&amp;RIGHT("00"&amp;MOD(Sync!$J666,100),2),"نامعتبر"),IF(LEN(Sync!$J666)=10,Sync!$J666,"نامعتبر")))</f>
        <v/>
      </c>
      <c r="R666" t="str">
        <f t="shared" si="74"/>
        <v/>
      </c>
      <c r="S666" t="str">
        <f t="shared" si="75"/>
        <v/>
      </c>
      <c r="T666" t="str">
        <f>IF($N666="","",IF(Sync!$N666="",0,Sync!$N666))</f>
        <v/>
      </c>
      <c r="U666" t="str">
        <f>IF($N666="","",IF(Sync!$O666="",0,Sync!$O666))</f>
        <v/>
      </c>
      <c r="V666" t="str">
        <f>IF($N666="","",Sync!$L666)</f>
        <v/>
      </c>
      <c r="W666" t="str">
        <f>IF($N666="","",Sync!$P666)</f>
        <v/>
      </c>
      <c r="AA666" t="str">
        <f>IF($A666="","",IF(COUNTIF($A$6:$A666,$A666)=1,1,0))</f>
        <v/>
      </c>
      <c r="AB666">
        <f>SUM($AA$6:$AA666)</f>
        <v>3</v>
      </c>
      <c r="AC666" t="str">
        <f t="shared" si="76"/>
        <v/>
      </c>
    </row>
    <row r="667" spans="1:29" x14ac:dyDescent="0.2">
      <c r="A667" t="str">
        <f>IF(OR(Entry!$B670="",Entry!$E670="",$E667="نامعتبر"),"",Entry!$E670)</f>
        <v/>
      </c>
      <c r="B667" t="str">
        <f>IF($A667="","",LEFT($E667,4)&amp;MID($E667,6,2)&amp;RIGHT($E667,2)&amp;$F667&amp;"|"&amp;"1"&amp;RIGHT("00000"&amp;662,5))</f>
        <v/>
      </c>
      <c r="C667" t="str">
        <f t="shared" si="70"/>
        <v/>
      </c>
      <c r="D667" t="str">
        <f t="shared" si="71"/>
        <v/>
      </c>
      <c r="E667" t="str">
        <f>IF(Entry!$B670="","",IF(ISNUMBER(Entry!$B670),IF(AND(Entry!$B670&gt;=10000101,Entry!$B670&lt;=99991231),INT(Entry!$B670/10000)&amp;"/"&amp;RIGHT("00"&amp;INT(MOD(Entry!$B670,10000)/100),2)&amp;"/"&amp;RIGHT("00"&amp;MOD(Entry!$B670,100),2),"نامعتبر"),IF(LEN(Entry!$B670)=10,Entry!$B670,"نامعتبر")))</f>
        <v/>
      </c>
      <c r="F667" t="str">
        <f>IF(Entry!$B670="","",IF(Entry!$C670="","0000",IF(AND(ISNUMBER(Entry!$C670),Entry!$C670&gt;=0,Entry!$C670&lt;1),RIGHT("00"&amp;HOUR(Entry!$C670),2)&amp;RIGHT("00"&amp;MINUTE(Entry!$C670),2),IFERROR(RIGHT("00"&amp;VALUE(LEFT(Entry!$C670,FIND(":",Entry!$C670)-1)),2)&amp;RIGHT("00"&amp;VALUE(MID(Entry!$C670,FIND(":",Entry!$C670)+1,2)),2),"0000"))))</f>
        <v/>
      </c>
      <c r="G667" t="str">
        <f>IF($A667="","",Entry!$G670)</f>
        <v/>
      </c>
      <c r="H667" t="str">
        <f>IF($A667="","",IF(Entry!$H670="",0,Entry!$H670))</f>
        <v/>
      </c>
      <c r="I667" t="str">
        <f>IF($A667="","",IF(Entry!$I670="",0,Entry!$I670))</f>
        <v/>
      </c>
      <c r="J667" t="str">
        <f t="shared" si="72"/>
        <v/>
      </c>
      <c r="K667" t="str">
        <f>IF($A667="","",Entry!$D670)</f>
        <v/>
      </c>
      <c r="L667" t="str">
        <f>IF($A667="","",Entry!$L670)</f>
        <v/>
      </c>
      <c r="N667" t="str">
        <f>IF(OR(Sync!$M667="",$Q667="",$Q667="نامعتبر"),"",Sync!$M667)</f>
        <v/>
      </c>
      <c r="O667" t="str">
        <f t="shared" si="73"/>
        <v/>
      </c>
      <c r="P667" t="str">
        <f>IF($N667="","",LEFT($Q667,4)&amp;MID($Q667,6,2)&amp;RIGHT($Q667,2)&amp;IF(Sync!$K667="","0000",IF(AND(ISNUMBER(Sync!$K667),Sync!$K667&gt;=0,Sync!$K667&lt;1),RIGHT("00"&amp;HOUR(Sync!$K667),2)&amp;RIGHT("00"&amp;MINUTE(Sync!$K667),2),IFERROR(RIGHT("00"&amp;VALUE(LEFT(Sync!$K667,FIND(":",Sync!$K667)-1)),2)&amp;RIGHT("00"&amp;VALUE(MID(Sync!$K667,FIND(":",Sync!$K667)+1,2)),2),"0000")))&amp;"|"&amp;"2"&amp;RIGHT("00000"&amp;662,5))</f>
        <v/>
      </c>
      <c r="Q667" t="str">
        <f>IF(Sync!$J667="","",IF(ISNUMBER(Sync!$J667),IF(AND(Sync!$J667&gt;=10000101,Sync!$J667&lt;=99991231),INT(Sync!$J667/10000)&amp;"/"&amp;RIGHT("00"&amp;INT(MOD(Sync!$J667,10000)/100),2)&amp;"/"&amp;RIGHT("00"&amp;MOD(Sync!$J667,100),2),"نامعتبر"),IF(LEN(Sync!$J667)=10,Sync!$J667,"نامعتبر")))</f>
        <v/>
      </c>
      <c r="R667" t="str">
        <f t="shared" si="74"/>
        <v/>
      </c>
      <c r="S667" t="str">
        <f t="shared" si="75"/>
        <v/>
      </c>
      <c r="T667" t="str">
        <f>IF($N667="","",IF(Sync!$N667="",0,Sync!$N667))</f>
        <v/>
      </c>
      <c r="U667" t="str">
        <f>IF($N667="","",IF(Sync!$O667="",0,Sync!$O667))</f>
        <v/>
      </c>
      <c r="V667" t="str">
        <f>IF($N667="","",Sync!$L667)</f>
        <v/>
      </c>
      <c r="W667" t="str">
        <f>IF($N667="","",Sync!$P667)</f>
        <v/>
      </c>
      <c r="AA667" t="str">
        <f>IF($A667="","",IF(COUNTIF($A$6:$A667,$A667)=1,1,0))</f>
        <v/>
      </c>
      <c r="AB667">
        <f>SUM($AA$6:$AA667)</f>
        <v>3</v>
      </c>
      <c r="AC667" t="str">
        <f t="shared" si="76"/>
        <v/>
      </c>
    </row>
    <row r="668" spans="1:29" x14ac:dyDescent="0.2">
      <c r="A668" t="str">
        <f>IF(OR(Entry!$B671="",Entry!$E671="",$E668="نامعتبر"),"",Entry!$E671)</f>
        <v/>
      </c>
      <c r="B668" t="str">
        <f>IF($A668="","",LEFT($E668,4)&amp;MID($E668,6,2)&amp;RIGHT($E668,2)&amp;$F668&amp;"|"&amp;"1"&amp;RIGHT("00000"&amp;663,5))</f>
        <v/>
      </c>
      <c r="C668" t="str">
        <f t="shared" si="70"/>
        <v/>
      </c>
      <c r="D668" t="str">
        <f t="shared" si="71"/>
        <v/>
      </c>
      <c r="E668" t="str">
        <f>IF(Entry!$B671="","",IF(ISNUMBER(Entry!$B671),IF(AND(Entry!$B671&gt;=10000101,Entry!$B671&lt;=99991231),INT(Entry!$B671/10000)&amp;"/"&amp;RIGHT("00"&amp;INT(MOD(Entry!$B671,10000)/100),2)&amp;"/"&amp;RIGHT("00"&amp;MOD(Entry!$B671,100),2),"نامعتبر"),IF(LEN(Entry!$B671)=10,Entry!$B671,"نامعتبر")))</f>
        <v/>
      </c>
      <c r="F668" t="str">
        <f>IF(Entry!$B671="","",IF(Entry!$C671="","0000",IF(AND(ISNUMBER(Entry!$C671),Entry!$C671&gt;=0,Entry!$C671&lt;1),RIGHT("00"&amp;HOUR(Entry!$C671),2)&amp;RIGHT("00"&amp;MINUTE(Entry!$C671),2),IFERROR(RIGHT("00"&amp;VALUE(LEFT(Entry!$C671,FIND(":",Entry!$C671)-1)),2)&amp;RIGHT("00"&amp;VALUE(MID(Entry!$C671,FIND(":",Entry!$C671)+1,2)),2),"0000"))))</f>
        <v/>
      </c>
      <c r="G668" t="str">
        <f>IF($A668="","",Entry!$G671)</f>
        <v/>
      </c>
      <c r="H668" t="str">
        <f>IF($A668="","",IF(Entry!$H671="",0,Entry!$H671))</f>
        <v/>
      </c>
      <c r="I668" t="str">
        <f>IF($A668="","",IF(Entry!$I671="",0,Entry!$I671))</f>
        <v/>
      </c>
      <c r="J668" t="str">
        <f t="shared" si="72"/>
        <v/>
      </c>
      <c r="K668" t="str">
        <f>IF($A668="","",Entry!$D671)</f>
        <v/>
      </c>
      <c r="L668" t="str">
        <f>IF($A668="","",Entry!$L671)</f>
        <v/>
      </c>
      <c r="N668" t="str">
        <f>IF(OR(Sync!$M668="",$Q668="",$Q668="نامعتبر"),"",Sync!$M668)</f>
        <v/>
      </c>
      <c r="O668" t="str">
        <f t="shared" si="73"/>
        <v/>
      </c>
      <c r="P668" t="str">
        <f>IF($N668="","",LEFT($Q668,4)&amp;MID($Q668,6,2)&amp;RIGHT($Q668,2)&amp;IF(Sync!$K668="","0000",IF(AND(ISNUMBER(Sync!$K668),Sync!$K668&gt;=0,Sync!$K668&lt;1),RIGHT("00"&amp;HOUR(Sync!$K668),2)&amp;RIGHT("00"&amp;MINUTE(Sync!$K668),2),IFERROR(RIGHT("00"&amp;VALUE(LEFT(Sync!$K668,FIND(":",Sync!$K668)-1)),2)&amp;RIGHT("00"&amp;VALUE(MID(Sync!$K668,FIND(":",Sync!$K668)+1,2)),2),"0000")))&amp;"|"&amp;"2"&amp;RIGHT("00000"&amp;663,5))</f>
        <v/>
      </c>
      <c r="Q668" t="str">
        <f>IF(Sync!$J668="","",IF(ISNUMBER(Sync!$J668),IF(AND(Sync!$J668&gt;=10000101,Sync!$J668&lt;=99991231),INT(Sync!$J668/10000)&amp;"/"&amp;RIGHT("00"&amp;INT(MOD(Sync!$J668,10000)/100),2)&amp;"/"&amp;RIGHT("00"&amp;MOD(Sync!$J668,100),2),"نامعتبر"),IF(LEN(Sync!$J668)=10,Sync!$J668,"نامعتبر")))</f>
        <v/>
      </c>
      <c r="R668" t="str">
        <f t="shared" si="74"/>
        <v/>
      </c>
      <c r="S668" t="str">
        <f t="shared" si="75"/>
        <v/>
      </c>
      <c r="T668" t="str">
        <f>IF($N668="","",IF(Sync!$N668="",0,Sync!$N668))</f>
        <v/>
      </c>
      <c r="U668" t="str">
        <f>IF($N668="","",IF(Sync!$O668="",0,Sync!$O668))</f>
        <v/>
      </c>
      <c r="V668" t="str">
        <f>IF($N668="","",Sync!$L668)</f>
        <v/>
      </c>
      <c r="W668" t="str">
        <f>IF($N668="","",Sync!$P668)</f>
        <v/>
      </c>
      <c r="AA668" t="str">
        <f>IF($A668="","",IF(COUNTIF($A$6:$A668,$A668)=1,1,0))</f>
        <v/>
      </c>
      <c r="AB668">
        <f>SUM($AA$6:$AA668)</f>
        <v>3</v>
      </c>
      <c r="AC668" t="str">
        <f t="shared" si="76"/>
        <v/>
      </c>
    </row>
    <row r="669" spans="1:29" x14ac:dyDescent="0.2">
      <c r="A669" t="str">
        <f>IF(OR(Entry!$B672="",Entry!$E672="",$E669="نامعتبر"),"",Entry!$E672)</f>
        <v/>
      </c>
      <c r="B669" t="str">
        <f>IF($A669="","",LEFT($E669,4)&amp;MID($E669,6,2)&amp;RIGHT($E669,2)&amp;$F669&amp;"|"&amp;"1"&amp;RIGHT("00000"&amp;664,5))</f>
        <v/>
      </c>
      <c r="C669" t="str">
        <f t="shared" si="70"/>
        <v/>
      </c>
      <c r="D669" t="str">
        <f t="shared" si="71"/>
        <v/>
      </c>
      <c r="E669" t="str">
        <f>IF(Entry!$B672="","",IF(ISNUMBER(Entry!$B672),IF(AND(Entry!$B672&gt;=10000101,Entry!$B672&lt;=99991231),INT(Entry!$B672/10000)&amp;"/"&amp;RIGHT("00"&amp;INT(MOD(Entry!$B672,10000)/100),2)&amp;"/"&amp;RIGHT("00"&amp;MOD(Entry!$B672,100),2),"نامعتبر"),IF(LEN(Entry!$B672)=10,Entry!$B672,"نامعتبر")))</f>
        <v/>
      </c>
      <c r="F669" t="str">
        <f>IF(Entry!$B672="","",IF(Entry!$C672="","0000",IF(AND(ISNUMBER(Entry!$C672),Entry!$C672&gt;=0,Entry!$C672&lt;1),RIGHT("00"&amp;HOUR(Entry!$C672),2)&amp;RIGHT("00"&amp;MINUTE(Entry!$C672),2),IFERROR(RIGHT("00"&amp;VALUE(LEFT(Entry!$C672,FIND(":",Entry!$C672)-1)),2)&amp;RIGHT("00"&amp;VALUE(MID(Entry!$C672,FIND(":",Entry!$C672)+1,2)),2),"0000"))))</f>
        <v/>
      </c>
      <c r="G669" t="str">
        <f>IF($A669="","",Entry!$G672)</f>
        <v/>
      </c>
      <c r="H669" t="str">
        <f>IF($A669="","",IF(Entry!$H672="",0,Entry!$H672))</f>
        <v/>
      </c>
      <c r="I669" t="str">
        <f>IF($A669="","",IF(Entry!$I672="",0,Entry!$I672))</f>
        <v/>
      </c>
      <c r="J669" t="str">
        <f t="shared" si="72"/>
        <v/>
      </c>
      <c r="K669" t="str">
        <f>IF($A669="","",Entry!$D672)</f>
        <v/>
      </c>
      <c r="L669" t="str">
        <f>IF($A669="","",Entry!$L672)</f>
        <v/>
      </c>
      <c r="N669" t="str">
        <f>IF(OR(Sync!$M669="",$Q669="",$Q669="نامعتبر"),"",Sync!$M669)</f>
        <v/>
      </c>
      <c r="O669" t="str">
        <f t="shared" si="73"/>
        <v/>
      </c>
      <c r="P669" t="str">
        <f>IF($N669="","",LEFT($Q669,4)&amp;MID($Q669,6,2)&amp;RIGHT($Q669,2)&amp;IF(Sync!$K669="","0000",IF(AND(ISNUMBER(Sync!$K669),Sync!$K669&gt;=0,Sync!$K669&lt;1),RIGHT("00"&amp;HOUR(Sync!$K669),2)&amp;RIGHT("00"&amp;MINUTE(Sync!$K669),2),IFERROR(RIGHT("00"&amp;VALUE(LEFT(Sync!$K669,FIND(":",Sync!$K669)-1)),2)&amp;RIGHT("00"&amp;VALUE(MID(Sync!$K669,FIND(":",Sync!$K669)+1,2)),2),"0000")))&amp;"|"&amp;"2"&amp;RIGHT("00000"&amp;664,5))</f>
        <v/>
      </c>
      <c r="Q669" t="str">
        <f>IF(Sync!$J669="","",IF(ISNUMBER(Sync!$J669),IF(AND(Sync!$J669&gt;=10000101,Sync!$J669&lt;=99991231),INT(Sync!$J669/10000)&amp;"/"&amp;RIGHT("00"&amp;INT(MOD(Sync!$J669,10000)/100),2)&amp;"/"&amp;RIGHT("00"&amp;MOD(Sync!$J669,100),2),"نامعتبر"),IF(LEN(Sync!$J669)=10,Sync!$J669,"نامعتبر")))</f>
        <v/>
      </c>
      <c r="R669" t="str">
        <f t="shared" si="74"/>
        <v/>
      </c>
      <c r="S669" t="str">
        <f t="shared" si="75"/>
        <v/>
      </c>
      <c r="T669" t="str">
        <f>IF($N669="","",IF(Sync!$N669="",0,Sync!$N669))</f>
        <v/>
      </c>
      <c r="U669" t="str">
        <f>IF($N669="","",IF(Sync!$O669="",0,Sync!$O669))</f>
        <v/>
      </c>
      <c r="V669" t="str">
        <f>IF($N669="","",Sync!$L669)</f>
        <v/>
      </c>
      <c r="W669" t="str">
        <f>IF($N669="","",Sync!$P669)</f>
        <v/>
      </c>
      <c r="AA669" t="str">
        <f>IF($A669="","",IF(COUNTIF($A$6:$A669,$A669)=1,1,0))</f>
        <v/>
      </c>
      <c r="AB669">
        <f>SUM($AA$6:$AA669)</f>
        <v>3</v>
      </c>
      <c r="AC669" t="str">
        <f t="shared" si="76"/>
        <v/>
      </c>
    </row>
    <row r="670" spans="1:29" x14ac:dyDescent="0.2">
      <c r="A670" t="str">
        <f>IF(OR(Entry!$B673="",Entry!$E673="",$E670="نامعتبر"),"",Entry!$E673)</f>
        <v/>
      </c>
      <c r="B670" t="str">
        <f>IF($A670="","",LEFT($E670,4)&amp;MID($E670,6,2)&amp;RIGHT($E670,2)&amp;$F670&amp;"|"&amp;"1"&amp;RIGHT("00000"&amp;665,5))</f>
        <v/>
      </c>
      <c r="C670" t="str">
        <f t="shared" si="70"/>
        <v/>
      </c>
      <c r="D670" t="str">
        <f t="shared" si="71"/>
        <v/>
      </c>
      <c r="E670" t="str">
        <f>IF(Entry!$B673="","",IF(ISNUMBER(Entry!$B673),IF(AND(Entry!$B673&gt;=10000101,Entry!$B673&lt;=99991231),INT(Entry!$B673/10000)&amp;"/"&amp;RIGHT("00"&amp;INT(MOD(Entry!$B673,10000)/100),2)&amp;"/"&amp;RIGHT("00"&amp;MOD(Entry!$B673,100),2),"نامعتبر"),IF(LEN(Entry!$B673)=10,Entry!$B673,"نامعتبر")))</f>
        <v/>
      </c>
      <c r="F670" t="str">
        <f>IF(Entry!$B673="","",IF(Entry!$C673="","0000",IF(AND(ISNUMBER(Entry!$C673),Entry!$C673&gt;=0,Entry!$C673&lt;1),RIGHT("00"&amp;HOUR(Entry!$C673),2)&amp;RIGHT("00"&amp;MINUTE(Entry!$C673),2),IFERROR(RIGHT("00"&amp;VALUE(LEFT(Entry!$C673,FIND(":",Entry!$C673)-1)),2)&amp;RIGHT("00"&amp;VALUE(MID(Entry!$C673,FIND(":",Entry!$C673)+1,2)),2),"0000"))))</f>
        <v/>
      </c>
      <c r="G670" t="str">
        <f>IF($A670="","",Entry!$G673)</f>
        <v/>
      </c>
      <c r="H670" t="str">
        <f>IF($A670="","",IF(Entry!$H673="",0,Entry!$H673))</f>
        <v/>
      </c>
      <c r="I670" t="str">
        <f>IF($A670="","",IF(Entry!$I673="",0,Entry!$I673))</f>
        <v/>
      </c>
      <c r="J670" t="str">
        <f t="shared" si="72"/>
        <v/>
      </c>
      <c r="K670" t="str">
        <f>IF($A670="","",Entry!$D673)</f>
        <v/>
      </c>
      <c r="L670" t="str">
        <f>IF($A670="","",Entry!$L673)</f>
        <v/>
      </c>
      <c r="N670" t="str">
        <f>IF(OR(Sync!$M670="",$Q670="",$Q670="نامعتبر"),"",Sync!$M670)</f>
        <v/>
      </c>
      <c r="O670" t="str">
        <f t="shared" si="73"/>
        <v/>
      </c>
      <c r="P670" t="str">
        <f>IF($N670="","",LEFT($Q670,4)&amp;MID($Q670,6,2)&amp;RIGHT($Q670,2)&amp;IF(Sync!$K670="","0000",IF(AND(ISNUMBER(Sync!$K670),Sync!$K670&gt;=0,Sync!$K670&lt;1),RIGHT("00"&amp;HOUR(Sync!$K670),2)&amp;RIGHT("00"&amp;MINUTE(Sync!$K670),2),IFERROR(RIGHT("00"&amp;VALUE(LEFT(Sync!$K670,FIND(":",Sync!$K670)-1)),2)&amp;RIGHT("00"&amp;VALUE(MID(Sync!$K670,FIND(":",Sync!$K670)+1,2)),2),"0000")))&amp;"|"&amp;"2"&amp;RIGHT("00000"&amp;665,5))</f>
        <v/>
      </c>
      <c r="Q670" t="str">
        <f>IF(Sync!$J670="","",IF(ISNUMBER(Sync!$J670),IF(AND(Sync!$J670&gt;=10000101,Sync!$J670&lt;=99991231),INT(Sync!$J670/10000)&amp;"/"&amp;RIGHT("00"&amp;INT(MOD(Sync!$J670,10000)/100),2)&amp;"/"&amp;RIGHT("00"&amp;MOD(Sync!$J670,100),2),"نامعتبر"),IF(LEN(Sync!$J670)=10,Sync!$J670,"نامعتبر")))</f>
        <v/>
      </c>
      <c r="R670" t="str">
        <f t="shared" si="74"/>
        <v/>
      </c>
      <c r="S670" t="str">
        <f t="shared" si="75"/>
        <v/>
      </c>
      <c r="T670" t="str">
        <f>IF($N670="","",IF(Sync!$N670="",0,Sync!$N670))</f>
        <v/>
      </c>
      <c r="U670" t="str">
        <f>IF($N670="","",IF(Sync!$O670="",0,Sync!$O670))</f>
        <v/>
      </c>
      <c r="V670" t="str">
        <f>IF($N670="","",Sync!$L670)</f>
        <v/>
      </c>
      <c r="W670" t="str">
        <f>IF($N670="","",Sync!$P670)</f>
        <v/>
      </c>
      <c r="AA670" t="str">
        <f>IF($A670="","",IF(COUNTIF($A$6:$A670,$A670)=1,1,0))</f>
        <v/>
      </c>
      <c r="AB670">
        <f>SUM($AA$6:$AA670)</f>
        <v>3</v>
      </c>
      <c r="AC670" t="str">
        <f t="shared" si="76"/>
        <v/>
      </c>
    </row>
    <row r="671" spans="1:29" x14ac:dyDescent="0.2">
      <c r="A671" t="str">
        <f>IF(OR(Entry!$B674="",Entry!$E674="",$E671="نامعتبر"),"",Entry!$E674)</f>
        <v/>
      </c>
      <c r="B671" t="str">
        <f>IF($A671="","",LEFT($E671,4)&amp;MID($E671,6,2)&amp;RIGHT($E671,2)&amp;$F671&amp;"|"&amp;"1"&amp;RIGHT("00000"&amp;666,5))</f>
        <v/>
      </c>
      <c r="C671" t="str">
        <f t="shared" si="70"/>
        <v/>
      </c>
      <c r="D671" t="str">
        <f t="shared" si="71"/>
        <v/>
      </c>
      <c r="E671" t="str">
        <f>IF(Entry!$B674="","",IF(ISNUMBER(Entry!$B674),IF(AND(Entry!$B674&gt;=10000101,Entry!$B674&lt;=99991231),INT(Entry!$B674/10000)&amp;"/"&amp;RIGHT("00"&amp;INT(MOD(Entry!$B674,10000)/100),2)&amp;"/"&amp;RIGHT("00"&amp;MOD(Entry!$B674,100),2),"نامعتبر"),IF(LEN(Entry!$B674)=10,Entry!$B674,"نامعتبر")))</f>
        <v/>
      </c>
      <c r="F671" t="str">
        <f>IF(Entry!$B674="","",IF(Entry!$C674="","0000",IF(AND(ISNUMBER(Entry!$C674),Entry!$C674&gt;=0,Entry!$C674&lt;1),RIGHT("00"&amp;HOUR(Entry!$C674),2)&amp;RIGHT("00"&amp;MINUTE(Entry!$C674),2),IFERROR(RIGHT("00"&amp;VALUE(LEFT(Entry!$C674,FIND(":",Entry!$C674)-1)),2)&amp;RIGHT("00"&amp;VALUE(MID(Entry!$C674,FIND(":",Entry!$C674)+1,2)),2),"0000"))))</f>
        <v/>
      </c>
      <c r="G671" t="str">
        <f>IF($A671="","",Entry!$G674)</f>
        <v/>
      </c>
      <c r="H671" t="str">
        <f>IF($A671="","",IF(Entry!$H674="",0,Entry!$H674))</f>
        <v/>
      </c>
      <c r="I671" t="str">
        <f>IF($A671="","",IF(Entry!$I674="",0,Entry!$I674))</f>
        <v/>
      </c>
      <c r="J671" t="str">
        <f t="shared" si="72"/>
        <v/>
      </c>
      <c r="K671" t="str">
        <f>IF($A671="","",Entry!$D674)</f>
        <v/>
      </c>
      <c r="L671" t="str">
        <f>IF($A671="","",Entry!$L674)</f>
        <v/>
      </c>
      <c r="N671" t="str">
        <f>IF(OR(Sync!$M671="",$Q671="",$Q671="نامعتبر"),"",Sync!$M671)</f>
        <v/>
      </c>
      <c r="O671" t="str">
        <f t="shared" si="73"/>
        <v/>
      </c>
      <c r="P671" t="str">
        <f>IF($N671="","",LEFT($Q671,4)&amp;MID($Q671,6,2)&amp;RIGHT($Q671,2)&amp;IF(Sync!$K671="","0000",IF(AND(ISNUMBER(Sync!$K671),Sync!$K671&gt;=0,Sync!$K671&lt;1),RIGHT("00"&amp;HOUR(Sync!$K671),2)&amp;RIGHT("00"&amp;MINUTE(Sync!$K671),2),IFERROR(RIGHT("00"&amp;VALUE(LEFT(Sync!$K671,FIND(":",Sync!$K671)-1)),2)&amp;RIGHT("00"&amp;VALUE(MID(Sync!$K671,FIND(":",Sync!$K671)+1,2)),2),"0000")))&amp;"|"&amp;"2"&amp;RIGHT("00000"&amp;666,5))</f>
        <v/>
      </c>
      <c r="Q671" t="str">
        <f>IF(Sync!$J671="","",IF(ISNUMBER(Sync!$J671),IF(AND(Sync!$J671&gt;=10000101,Sync!$J671&lt;=99991231),INT(Sync!$J671/10000)&amp;"/"&amp;RIGHT("00"&amp;INT(MOD(Sync!$J671,10000)/100),2)&amp;"/"&amp;RIGHT("00"&amp;MOD(Sync!$J671,100),2),"نامعتبر"),IF(LEN(Sync!$J671)=10,Sync!$J671,"نامعتبر")))</f>
        <v/>
      </c>
      <c r="R671" t="str">
        <f t="shared" si="74"/>
        <v/>
      </c>
      <c r="S671" t="str">
        <f t="shared" si="75"/>
        <v/>
      </c>
      <c r="T671" t="str">
        <f>IF($N671="","",IF(Sync!$N671="",0,Sync!$N671))</f>
        <v/>
      </c>
      <c r="U671" t="str">
        <f>IF($N671="","",IF(Sync!$O671="",0,Sync!$O671))</f>
        <v/>
      </c>
      <c r="V671" t="str">
        <f>IF($N671="","",Sync!$L671)</f>
        <v/>
      </c>
      <c r="W671" t="str">
        <f>IF($N671="","",Sync!$P671)</f>
        <v/>
      </c>
      <c r="AA671" t="str">
        <f>IF($A671="","",IF(COUNTIF($A$6:$A671,$A671)=1,1,0))</f>
        <v/>
      </c>
      <c r="AB671">
        <f>SUM($AA$6:$AA671)</f>
        <v>3</v>
      </c>
      <c r="AC671" t="str">
        <f t="shared" si="76"/>
        <v/>
      </c>
    </row>
    <row r="672" spans="1:29" x14ac:dyDescent="0.2">
      <c r="A672" t="str">
        <f>IF(OR(Entry!$B675="",Entry!$E675="",$E672="نامعتبر"),"",Entry!$E675)</f>
        <v/>
      </c>
      <c r="B672" t="str">
        <f>IF($A672="","",LEFT($E672,4)&amp;MID($E672,6,2)&amp;RIGHT($E672,2)&amp;$F672&amp;"|"&amp;"1"&amp;RIGHT("00000"&amp;667,5))</f>
        <v/>
      </c>
      <c r="C672" t="str">
        <f t="shared" si="70"/>
        <v/>
      </c>
      <c r="D672" t="str">
        <f t="shared" si="71"/>
        <v/>
      </c>
      <c r="E672" t="str">
        <f>IF(Entry!$B675="","",IF(ISNUMBER(Entry!$B675),IF(AND(Entry!$B675&gt;=10000101,Entry!$B675&lt;=99991231),INT(Entry!$B675/10000)&amp;"/"&amp;RIGHT("00"&amp;INT(MOD(Entry!$B675,10000)/100),2)&amp;"/"&amp;RIGHT("00"&amp;MOD(Entry!$B675,100),2),"نامعتبر"),IF(LEN(Entry!$B675)=10,Entry!$B675,"نامعتبر")))</f>
        <v/>
      </c>
      <c r="F672" t="str">
        <f>IF(Entry!$B675="","",IF(Entry!$C675="","0000",IF(AND(ISNUMBER(Entry!$C675),Entry!$C675&gt;=0,Entry!$C675&lt;1),RIGHT("00"&amp;HOUR(Entry!$C675),2)&amp;RIGHT("00"&amp;MINUTE(Entry!$C675),2),IFERROR(RIGHT("00"&amp;VALUE(LEFT(Entry!$C675,FIND(":",Entry!$C675)-1)),2)&amp;RIGHT("00"&amp;VALUE(MID(Entry!$C675,FIND(":",Entry!$C675)+1,2)),2),"0000"))))</f>
        <v/>
      </c>
      <c r="G672" t="str">
        <f>IF($A672="","",Entry!$G675)</f>
        <v/>
      </c>
      <c r="H672" t="str">
        <f>IF($A672="","",IF(Entry!$H675="",0,Entry!$H675))</f>
        <v/>
      </c>
      <c r="I672" t="str">
        <f>IF($A672="","",IF(Entry!$I675="",0,Entry!$I675))</f>
        <v/>
      </c>
      <c r="J672" t="str">
        <f t="shared" si="72"/>
        <v/>
      </c>
      <c r="K672" t="str">
        <f>IF($A672="","",Entry!$D675)</f>
        <v/>
      </c>
      <c r="L672" t="str">
        <f>IF($A672="","",Entry!$L675)</f>
        <v/>
      </c>
      <c r="N672" t="str">
        <f>IF(OR(Sync!$M672="",$Q672="",$Q672="نامعتبر"),"",Sync!$M672)</f>
        <v/>
      </c>
      <c r="O672" t="str">
        <f t="shared" si="73"/>
        <v/>
      </c>
      <c r="P672" t="str">
        <f>IF($N672="","",LEFT($Q672,4)&amp;MID($Q672,6,2)&amp;RIGHT($Q672,2)&amp;IF(Sync!$K672="","0000",IF(AND(ISNUMBER(Sync!$K672),Sync!$K672&gt;=0,Sync!$K672&lt;1),RIGHT("00"&amp;HOUR(Sync!$K672),2)&amp;RIGHT("00"&amp;MINUTE(Sync!$K672),2),IFERROR(RIGHT("00"&amp;VALUE(LEFT(Sync!$K672,FIND(":",Sync!$K672)-1)),2)&amp;RIGHT("00"&amp;VALUE(MID(Sync!$K672,FIND(":",Sync!$K672)+1,2)),2),"0000")))&amp;"|"&amp;"2"&amp;RIGHT("00000"&amp;667,5))</f>
        <v/>
      </c>
      <c r="Q672" t="str">
        <f>IF(Sync!$J672="","",IF(ISNUMBER(Sync!$J672),IF(AND(Sync!$J672&gt;=10000101,Sync!$J672&lt;=99991231),INT(Sync!$J672/10000)&amp;"/"&amp;RIGHT("00"&amp;INT(MOD(Sync!$J672,10000)/100),2)&amp;"/"&amp;RIGHT("00"&amp;MOD(Sync!$J672,100),2),"نامعتبر"),IF(LEN(Sync!$J672)=10,Sync!$J672,"نامعتبر")))</f>
        <v/>
      </c>
      <c r="R672" t="str">
        <f t="shared" si="74"/>
        <v/>
      </c>
      <c r="S672" t="str">
        <f t="shared" si="75"/>
        <v/>
      </c>
      <c r="T672" t="str">
        <f>IF($N672="","",IF(Sync!$N672="",0,Sync!$N672))</f>
        <v/>
      </c>
      <c r="U672" t="str">
        <f>IF($N672="","",IF(Sync!$O672="",0,Sync!$O672))</f>
        <v/>
      </c>
      <c r="V672" t="str">
        <f>IF($N672="","",Sync!$L672)</f>
        <v/>
      </c>
      <c r="W672" t="str">
        <f>IF($N672="","",Sync!$P672)</f>
        <v/>
      </c>
      <c r="AA672" t="str">
        <f>IF($A672="","",IF(COUNTIF($A$6:$A672,$A672)=1,1,0))</f>
        <v/>
      </c>
      <c r="AB672">
        <f>SUM($AA$6:$AA672)</f>
        <v>3</v>
      </c>
      <c r="AC672" t="str">
        <f t="shared" si="76"/>
        <v/>
      </c>
    </row>
    <row r="673" spans="1:29" x14ac:dyDescent="0.2">
      <c r="A673" t="str">
        <f>IF(OR(Entry!$B676="",Entry!$E676="",$E673="نامعتبر"),"",Entry!$E676)</f>
        <v/>
      </c>
      <c r="B673" t="str">
        <f>IF($A673="","",LEFT($E673,4)&amp;MID($E673,6,2)&amp;RIGHT($E673,2)&amp;$F673&amp;"|"&amp;"1"&amp;RIGHT("00000"&amp;668,5))</f>
        <v/>
      </c>
      <c r="C673" t="str">
        <f t="shared" si="70"/>
        <v/>
      </c>
      <c r="D673" t="str">
        <f t="shared" si="71"/>
        <v/>
      </c>
      <c r="E673" t="str">
        <f>IF(Entry!$B676="","",IF(ISNUMBER(Entry!$B676),IF(AND(Entry!$B676&gt;=10000101,Entry!$B676&lt;=99991231),INT(Entry!$B676/10000)&amp;"/"&amp;RIGHT("00"&amp;INT(MOD(Entry!$B676,10000)/100),2)&amp;"/"&amp;RIGHT("00"&amp;MOD(Entry!$B676,100),2),"نامعتبر"),IF(LEN(Entry!$B676)=10,Entry!$B676,"نامعتبر")))</f>
        <v/>
      </c>
      <c r="F673" t="str">
        <f>IF(Entry!$B676="","",IF(Entry!$C676="","0000",IF(AND(ISNUMBER(Entry!$C676),Entry!$C676&gt;=0,Entry!$C676&lt;1),RIGHT("00"&amp;HOUR(Entry!$C676),2)&amp;RIGHT("00"&amp;MINUTE(Entry!$C676),2),IFERROR(RIGHT("00"&amp;VALUE(LEFT(Entry!$C676,FIND(":",Entry!$C676)-1)),2)&amp;RIGHT("00"&amp;VALUE(MID(Entry!$C676,FIND(":",Entry!$C676)+1,2)),2),"0000"))))</f>
        <v/>
      </c>
      <c r="G673" t="str">
        <f>IF($A673="","",Entry!$G676)</f>
        <v/>
      </c>
      <c r="H673" t="str">
        <f>IF($A673="","",IF(Entry!$H676="",0,Entry!$H676))</f>
        <v/>
      </c>
      <c r="I673" t="str">
        <f>IF($A673="","",IF(Entry!$I676="",0,Entry!$I676))</f>
        <v/>
      </c>
      <c r="J673" t="str">
        <f t="shared" si="72"/>
        <v/>
      </c>
      <c r="K673" t="str">
        <f>IF($A673="","",Entry!$D676)</f>
        <v/>
      </c>
      <c r="L673" t="str">
        <f>IF($A673="","",Entry!$L676)</f>
        <v/>
      </c>
      <c r="N673" t="str">
        <f>IF(OR(Sync!$M673="",$Q673="",$Q673="نامعتبر"),"",Sync!$M673)</f>
        <v/>
      </c>
      <c r="O673" t="str">
        <f t="shared" si="73"/>
        <v/>
      </c>
      <c r="P673" t="str">
        <f>IF($N673="","",LEFT($Q673,4)&amp;MID($Q673,6,2)&amp;RIGHT($Q673,2)&amp;IF(Sync!$K673="","0000",IF(AND(ISNUMBER(Sync!$K673),Sync!$K673&gt;=0,Sync!$K673&lt;1),RIGHT("00"&amp;HOUR(Sync!$K673),2)&amp;RIGHT("00"&amp;MINUTE(Sync!$K673),2),IFERROR(RIGHT("00"&amp;VALUE(LEFT(Sync!$K673,FIND(":",Sync!$K673)-1)),2)&amp;RIGHT("00"&amp;VALUE(MID(Sync!$K673,FIND(":",Sync!$K673)+1,2)),2),"0000")))&amp;"|"&amp;"2"&amp;RIGHT("00000"&amp;668,5))</f>
        <v/>
      </c>
      <c r="Q673" t="str">
        <f>IF(Sync!$J673="","",IF(ISNUMBER(Sync!$J673),IF(AND(Sync!$J673&gt;=10000101,Sync!$J673&lt;=99991231),INT(Sync!$J673/10000)&amp;"/"&amp;RIGHT("00"&amp;INT(MOD(Sync!$J673,10000)/100),2)&amp;"/"&amp;RIGHT("00"&amp;MOD(Sync!$J673,100),2),"نامعتبر"),IF(LEN(Sync!$J673)=10,Sync!$J673,"نامعتبر")))</f>
        <v/>
      </c>
      <c r="R673" t="str">
        <f t="shared" si="74"/>
        <v/>
      </c>
      <c r="S673" t="str">
        <f t="shared" si="75"/>
        <v/>
      </c>
      <c r="T673" t="str">
        <f>IF($N673="","",IF(Sync!$N673="",0,Sync!$N673))</f>
        <v/>
      </c>
      <c r="U673" t="str">
        <f>IF($N673="","",IF(Sync!$O673="",0,Sync!$O673))</f>
        <v/>
      </c>
      <c r="V673" t="str">
        <f>IF($N673="","",Sync!$L673)</f>
        <v/>
      </c>
      <c r="W673" t="str">
        <f>IF($N673="","",Sync!$P673)</f>
        <v/>
      </c>
      <c r="AA673" t="str">
        <f>IF($A673="","",IF(COUNTIF($A$6:$A673,$A673)=1,1,0))</f>
        <v/>
      </c>
      <c r="AB673">
        <f>SUM($AA$6:$AA673)</f>
        <v>3</v>
      </c>
      <c r="AC673" t="str">
        <f t="shared" si="76"/>
        <v/>
      </c>
    </row>
    <row r="674" spans="1:29" x14ac:dyDescent="0.2">
      <c r="A674" t="str">
        <f>IF(OR(Entry!$B677="",Entry!$E677="",$E674="نامعتبر"),"",Entry!$E677)</f>
        <v/>
      </c>
      <c r="B674" t="str">
        <f>IF($A674="","",LEFT($E674,4)&amp;MID($E674,6,2)&amp;RIGHT($E674,2)&amp;$F674&amp;"|"&amp;"1"&amp;RIGHT("00000"&amp;669,5))</f>
        <v/>
      </c>
      <c r="C674" t="str">
        <f t="shared" si="70"/>
        <v/>
      </c>
      <c r="D674" t="str">
        <f t="shared" si="71"/>
        <v/>
      </c>
      <c r="E674" t="str">
        <f>IF(Entry!$B677="","",IF(ISNUMBER(Entry!$B677),IF(AND(Entry!$B677&gt;=10000101,Entry!$B677&lt;=99991231),INT(Entry!$B677/10000)&amp;"/"&amp;RIGHT("00"&amp;INT(MOD(Entry!$B677,10000)/100),2)&amp;"/"&amp;RIGHT("00"&amp;MOD(Entry!$B677,100),2),"نامعتبر"),IF(LEN(Entry!$B677)=10,Entry!$B677,"نامعتبر")))</f>
        <v/>
      </c>
      <c r="F674" t="str">
        <f>IF(Entry!$B677="","",IF(Entry!$C677="","0000",IF(AND(ISNUMBER(Entry!$C677),Entry!$C677&gt;=0,Entry!$C677&lt;1),RIGHT("00"&amp;HOUR(Entry!$C677),2)&amp;RIGHT("00"&amp;MINUTE(Entry!$C677),2),IFERROR(RIGHT("00"&amp;VALUE(LEFT(Entry!$C677,FIND(":",Entry!$C677)-1)),2)&amp;RIGHT("00"&amp;VALUE(MID(Entry!$C677,FIND(":",Entry!$C677)+1,2)),2),"0000"))))</f>
        <v/>
      </c>
      <c r="G674" t="str">
        <f>IF($A674="","",Entry!$G677)</f>
        <v/>
      </c>
      <c r="H674" t="str">
        <f>IF($A674="","",IF(Entry!$H677="",0,Entry!$H677))</f>
        <v/>
      </c>
      <c r="I674" t="str">
        <f>IF($A674="","",IF(Entry!$I677="",0,Entry!$I677))</f>
        <v/>
      </c>
      <c r="J674" t="str">
        <f t="shared" si="72"/>
        <v/>
      </c>
      <c r="K674" t="str">
        <f>IF($A674="","",Entry!$D677)</f>
        <v/>
      </c>
      <c r="L674" t="str">
        <f>IF($A674="","",Entry!$L677)</f>
        <v/>
      </c>
      <c r="N674" t="str">
        <f>IF(OR(Sync!$M674="",$Q674="",$Q674="نامعتبر"),"",Sync!$M674)</f>
        <v/>
      </c>
      <c r="O674" t="str">
        <f t="shared" si="73"/>
        <v/>
      </c>
      <c r="P674" t="str">
        <f>IF($N674="","",LEFT($Q674,4)&amp;MID($Q674,6,2)&amp;RIGHT($Q674,2)&amp;IF(Sync!$K674="","0000",IF(AND(ISNUMBER(Sync!$K674),Sync!$K674&gt;=0,Sync!$K674&lt;1),RIGHT("00"&amp;HOUR(Sync!$K674),2)&amp;RIGHT("00"&amp;MINUTE(Sync!$K674),2),IFERROR(RIGHT("00"&amp;VALUE(LEFT(Sync!$K674,FIND(":",Sync!$K674)-1)),2)&amp;RIGHT("00"&amp;VALUE(MID(Sync!$K674,FIND(":",Sync!$K674)+1,2)),2),"0000")))&amp;"|"&amp;"2"&amp;RIGHT("00000"&amp;669,5))</f>
        <v/>
      </c>
      <c r="Q674" t="str">
        <f>IF(Sync!$J674="","",IF(ISNUMBER(Sync!$J674),IF(AND(Sync!$J674&gt;=10000101,Sync!$J674&lt;=99991231),INT(Sync!$J674/10000)&amp;"/"&amp;RIGHT("00"&amp;INT(MOD(Sync!$J674,10000)/100),2)&amp;"/"&amp;RIGHT("00"&amp;MOD(Sync!$J674,100),2),"نامعتبر"),IF(LEN(Sync!$J674)=10,Sync!$J674,"نامعتبر")))</f>
        <v/>
      </c>
      <c r="R674" t="str">
        <f t="shared" si="74"/>
        <v/>
      </c>
      <c r="S674" t="str">
        <f t="shared" si="75"/>
        <v/>
      </c>
      <c r="T674" t="str">
        <f>IF($N674="","",IF(Sync!$N674="",0,Sync!$N674))</f>
        <v/>
      </c>
      <c r="U674" t="str">
        <f>IF($N674="","",IF(Sync!$O674="",0,Sync!$O674))</f>
        <v/>
      </c>
      <c r="V674" t="str">
        <f>IF($N674="","",Sync!$L674)</f>
        <v/>
      </c>
      <c r="W674" t="str">
        <f>IF($N674="","",Sync!$P674)</f>
        <v/>
      </c>
      <c r="AA674" t="str">
        <f>IF($A674="","",IF(COUNTIF($A$6:$A674,$A674)=1,1,0))</f>
        <v/>
      </c>
      <c r="AB674">
        <f>SUM($AA$6:$AA674)</f>
        <v>3</v>
      </c>
      <c r="AC674" t="str">
        <f t="shared" si="76"/>
        <v/>
      </c>
    </row>
    <row r="675" spans="1:29" x14ac:dyDescent="0.2">
      <c r="A675" t="str">
        <f>IF(OR(Entry!$B678="",Entry!$E678="",$E675="نامعتبر"),"",Entry!$E678)</f>
        <v/>
      </c>
      <c r="B675" t="str">
        <f>IF($A675="","",LEFT($E675,4)&amp;MID($E675,6,2)&amp;RIGHT($E675,2)&amp;$F675&amp;"|"&amp;"1"&amp;RIGHT("00000"&amp;670,5))</f>
        <v/>
      </c>
      <c r="C675" t="str">
        <f t="shared" si="70"/>
        <v/>
      </c>
      <c r="D675" t="str">
        <f t="shared" si="71"/>
        <v/>
      </c>
      <c r="E675" t="str">
        <f>IF(Entry!$B678="","",IF(ISNUMBER(Entry!$B678),IF(AND(Entry!$B678&gt;=10000101,Entry!$B678&lt;=99991231),INT(Entry!$B678/10000)&amp;"/"&amp;RIGHT("00"&amp;INT(MOD(Entry!$B678,10000)/100),2)&amp;"/"&amp;RIGHT("00"&amp;MOD(Entry!$B678,100),2),"نامعتبر"),IF(LEN(Entry!$B678)=10,Entry!$B678,"نامعتبر")))</f>
        <v/>
      </c>
      <c r="F675" t="str">
        <f>IF(Entry!$B678="","",IF(Entry!$C678="","0000",IF(AND(ISNUMBER(Entry!$C678),Entry!$C678&gt;=0,Entry!$C678&lt;1),RIGHT("00"&amp;HOUR(Entry!$C678),2)&amp;RIGHT("00"&amp;MINUTE(Entry!$C678),2),IFERROR(RIGHT("00"&amp;VALUE(LEFT(Entry!$C678,FIND(":",Entry!$C678)-1)),2)&amp;RIGHT("00"&amp;VALUE(MID(Entry!$C678,FIND(":",Entry!$C678)+1,2)),2),"0000"))))</f>
        <v/>
      </c>
      <c r="G675" t="str">
        <f>IF($A675="","",Entry!$G678)</f>
        <v/>
      </c>
      <c r="H675" t="str">
        <f>IF($A675="","",IF(Entry!$H678="",0,Entry!$H678))</f>
        <v/>
      </c>
      <c r="I675" t="str">
        <f>IF($A675="","",IF(Entry!$I678="",0,Entry!$I678))</f>
        <v/>
      </c>
      <c r="J675" t="str">
        <f t="shared" si="72"/>
        <v/>
      </c>
      <c r="K675" t="str">
        <f>IF($A675="","",Entry!$D678)</f>
        <v/>
      </c>
      <c r="L675" t="str">
        <f>IF($A675="","",Entry!$L678)</f>
        <v/>
      </c>
      <c r="N675" t="str">
        <f>IF(OR(Sync!$M675="",$Q675="",$Q675="نامعتبر"),"",Sync!$M675)</f>
        <v/>
      </c>
      <c r="O675" t="str">
        <f t="shared" si="73"/>
        <v/>
      </c>
      <c r="P675" t="str">
        <f>IF($N675="","",LEFT($Q675,4)&amp;MID($Q675,6,2)&amp;RIGHT($Q675,2)&amp;IF(Sync!$K675="","0000",IF(AND(ISNUMBER(Sync!$K675),Sync!$K675&gt;=0,Sync!$K675&lt;1),RIGHT("00"&amp;HOUR(Sync!$K675),2)&amp;RIGHT("00"&amp;MINUTE(Sync!$K675),2),IFERROR(RIGHT("00"&amp;VALUE(LEFT(Sync!$K675,FIND(":",Sync!$K675)-1)),2)&amp;RIGHT("00"&amp;VALUE(MID(Sync!$K675,FIND(":",Sync!$K675)+1,2)),2),"0000")))&amp;"|"&amp;"2"&amp;RIGHT("00000"&amp;670,5))</f>
        <v/>
      </c>
      <c r="Q675" t="str">
        <f>IF(Sync!$J675="","",IF(ISNUMBER(Sync!$J675),IF(AND(Sync!$J675&gt;=10000101,Sync!$J675&lt;=99991231),INT(Sync!$J675/10000)&amp;"/"&amp;RIGHT("00"&amp;INT(MOD(Sync!$J675,10000)/100),2)&amp;"/"&amp;RIGHT("00"&amp;MOD(Sync!$J675,100),2),"نامعتبر"),IF(LEN(Sync!$J675)=10,Sync!$J675,"نامعتبر")))</f>
        <v/>
      </c>
      <c r="R675" t="str">
        <f t="shared" si="74"/>
        <v/>
      </c>
      <c r="S675" t="str">
        <f t="shared" si="75"/>
        <v/>
      </c>
      <c r="T675" t="str">
        <f>IF($N675="","",IF(Sync!$N675="",0,Sync!$N675))</f>
        <v/>
      </c>
      <c r="U675" t="str">
        <f>IF($N675="","",IF(Sync!$O675="",0,Sync!$O675))</f>
        <v/>
      </c>
      <c r="V675" t="str">
        <f>IF($N675="","",Sync!$L675)</f>
        <v/>
      </c>
      <c r="W675" t="str">
        <f>IF($N675="","",Sync!$P675)</f>
        <v/>
      </c>
      <c r="AA675" t="str">
        <f>IF($A675="","",IF(COUNTIF($A$6:$A675,$A675)=1,1,0))</f>
        <v/>
      </c>
      <c r="AB675">
        <f>SUM($AA$6:$AA675)</f>
        <v>3</v>
      </c>
      <c r="AC675" t="str">
        <f t="shared" si="76"/>
        <v/>
      </c>
    </row>
    <row r="676" spans="1:29" x14ac:dyDescent="0.2">
      <c r="A676" t="str">
        <f>IF(OR(Entry!$B679="",Entry!$E679="",$E676="نامعتبر"),"",Entry!$E679)</f>
        <v/>
      </c>
      <c r="B676" t="str">
        <f>IF($A676="","",LEFT($E676,4)&amp;MID($E676,6,2)&amp;RIGHT($E676,2)&amp;$F676&amp;"|"&amp;"1"&amp;RIGHT("00000"&amp;671,5))</f>
        <v/>
      </c>
      <c r="C676" t="str">
        <f t="shared" si="70"/>
        <v/>
      </c>
      <c r="D676" t="str">
        <f t="shared" si="71"/>
        <v/>
      </c>
      <c r="E676" t="str">
        <f>IF(Entry!$B679="","",IF(ISNUMBER(Entry!$B679),IF(AND(Entry!$B679&gt;=10000101,Entry!$B679&lt;=99991231),INT(Entry!$B679/10000)&amp;"/"&amp;RIGHT("00"&amp;INT(MOD(Entry!$B679,10000)/100),2)&amp;"/"&amp;RIGHT("00"&amp;MOD(Entry!$B679,100),2),"نامعتبر"),IF(LEN(Entry!$B679)=10,Entry!$B679,"نامعتبر")))</f>
        <v/>
      </c>
      <c r="F676" t="str">
        <f>IF(Entry!$B679="","",IF(Entry!$C679="","0000",IF(AND(ISNUMBER(Entry!$C679),Entry!$C679&gt;=0,Entry!$C679&lt;1),RIGHT("00"&amp;HOUR(Entry!$C679),2)&amp;RIGHT("00"&amp;MINUTE(Entry!$C679),2),IFERROR(RIGHT("00"&amp;VALUE(LEFT(Entry!$C679,FIND(":",Entry!$C679)-1)),2)&amp;RIGHT("00"&amp;VALUE(MID(Entry!$C679,FIND(":",Entry!$C679)+1,2)),2),"0000"))))</f>
        <v/>
      </c>
      <c r="G676" t="str">
        <f>IF($A676="","",Entry!$G679)</f>
        <v/>
      </c>
      <c r="H676" t="str">
        <f>IF($A676="","",IF(Entry!$H679="",0,Entry!$H679))</f>
        <v/>
      </c>
      <c r="I676" t="str">
        <f>IF($A676="","",IF(Entry!$I679="",0,Entry!$I679))</f>
        <v/>
      </c>
      <c r="J676" t="str">
        <f t="shared" si="72"/>
        <v/>
      </c>
      <c r="K676" t="str">
        <f>IF($A676="","",Entry!$D679)</f>
        <v/>
      </c>
      <c r="L676" t="str">
        <f>IF($A676="","",Entry!$L679)</f>
        <v/>
      </c>
      <c r="N676" t="str">
        <f>IF(OR(Sync!$M676="",$Q676="",$Q676="نامعتبر"),"",Sync!$M676)</f>
        <v/>
      </c>
      <c r="O676" t="str">
        <f t="shared" si="73"/>
        <v/>
      </c>
      <c r="P676" t="str">
        <f>IF($N676="","",LEFT($Q676,4)&amp;MID($Q676,6,2)&amp;RIGHT($Q676,2)&amp;IF(Sync!$K676="","0000",IF(AND(ISNUMBER(Sync!$K676),Sync!$K676&gt;=0,Sync!$K676&lt;1),RIGHT("00"&amp;HOUR(Sync!$K676),2)&amp;RIGHT("00"&amp;MINUTE(Sync!$K676),2),IFERROR(RIGHT("00"&amp;VALUE(LEFT(Sync!$K676,FIND(":",Sync!$K676)-1)),2)&amp;RIGHT("00"&amp;VALUE(MID(Sync!$K676,FIND(":",Sync!$K676)+1,2)),2),"0000")))&amp;"|"&amp;"2"&amp;RIGHT("00000"&amp;671,5))</f>
        <v/>
      </c>
      <c r="Q676" t="str">
        <f>IF(Sync!$J676="","",IF(ISNUMBER(Sync!$J676),IF(AND(Sync!$J676&gt;=10000101,Sync!$J676&lt;=99991231),INT(Sync!$J676/10000)&amp;"/"&amp;RIGHT("00"&amp;INT(MOD(Sync!$J676,10000)/100),2)&amp;"/"&amp;RIGHT("00"&amp;MOD(Sync!$J676,100),2),"نامعتبر"),IF(LEN(Sync!$J676)=10,Sync!$J676,"نامعتبر")))</f>
        <v/>
      </c>
      <c r="R676" t="str">
        <f t="shared" si="74"/>
        <v/>
      </c>
      <c r="S676" t="str">
        <f t="shared" si="75"/>
        <v/>
      </c>
      <c r="T676" t="str">
        <f>IF($N676="","",IF(Sync!$N676="",0,Sync!$N676))</f>
        <v/>
      </c>
      <c r="U676" t="str">
        <f>IF($N676="","",IF(Sync!$O676="",0,Sync!$O676))</f>
        <v/>
      </c>
      <c r="V676" t="str">
        <f>IF($N676="","",Sync!$L676)</f>
        <v/>
      </c>
      <c r="W676" t="str">
        <f>IF($N676="","",Sync!$P676)</f>
        <v/>
      </c>
      <c r="AA676" t="str">
        <f>IF($A676="","",IF(COUNTIF($A$6:$A676,$A676)=1,1,0))</f>
        <v/>
      </c>
      <c r="AB676">
        <f>SUM($AA$6:$AA676)</f>
        <v>3</v>
      </c>
      <c r="AC676" t="str">
        <f t="shared" si="76"/>
        <v/>
      </c>
    </row>
    <row r="677" spans="1:29" x14ac:dyDescent="0.2">
      <c r="A677" t="str">
        <f>IF(OR(Entry!$B680="",Entry!$E680="",$E677="نامعتبر"),"",Entry!$E680)</f>
        <v/>
      </c>
      <c r="B677" t="str">
        <f>IF($A677="","",LEFT($E677,4)&amp;MID($E677,6,2)&amp;RIGHT($E677,2)&amp;$F677&amp;"|"&amp;"1"&amp;RIGHT("00000"&amp;672,5))</f>
        <v/>
      </c>
      <c r="C677" t="str">
        <f t="shared" si="70"/>
        <v/>
      </c>
      <c r="D677" t="str">
        <f t="shared" si="71"/>
        <v/>
      </c>
      <c r="E677" t="str">
        <f>IF(Entry!$B680="","",IF(ISNUMBER(Entry!$B680),IF(AND(Entry!$B680&gt;=10000101,Entry!$B680&lt;=99991231),INT(Entry!$B680/10000)&amp;"/"&amp;RIGHT("00"&amp;INT(MOD(Entry!$B680,10000)/100),2)&amp;"/"&amp;RIGHT("00"&amp;MOD(Entry!$B680,100),2),"نامعتبر"),IF(LEN(Entry!$B680)=10,Entry!$B680,"نامعتبر")))</f>
        <v/>
      </c>
      <c r="F677" t="str">
        <f>IF(Entry!$B680="","",IF(Entry!$C680="","0000",IF(AND(ISNUMBER(Entry!$C680),Entry!$C680&gt;=0,Entry!$C680&lt;1),RIGHT("00"&amp;HOUR(Entry!$C680),2)&amp;RIGHT("00"&amp;MINUTE(Entry!$C680),2),IFERROR(RIGHT("00"&amp;VALUE(LEFT(Entry!$C680,FIND(":",Entry!$C680)-1)),2)&amp;RIGHT("00"&amp;VALUE(MID(Entry!$C680,FIND(":",Entry!$C680)+1,2)),2),"0000"))))</f>
        <v/>
      </c>
      <c r="G677" t="str">
        <f>IF($A677="","",Entry!$G680)</f>
        <v/>
      </c>
      <c r="H677" t="str">
        <f>IF($A677="","",IF(Entry!$H680="",0,Entry!$H680))</f>
        <v/>
      </c>
      <c r="I677" t="str">
        <f>IF($A677="","",IF(Entry!$I680="",0,Entry!$I680))</f>
        <v/>
      </c>
      <c r="J677" t="str">
        <f t="shared" si="72"/>
        <v/>
      </c>
      <c r="K677" t="str">
        <f>IF($A677="","",Entry!$D680)</f>
        <v/>
      </c>
      <c r="L677" t="str">
        <f>IF($A677="","",Entry!$L680)</f>
        <v/>
      </c>
      <c r="N677" t="str">
        <f>IF(OR(Sync!$M677="",$Q677="",$Q677="نامعتبر"),"",Sync!$M677)</f>
        <v/>
      </c>
      <c r="O677" t="str">
        <f t="shared" si="73"/>
        <v/>
      </c>
      <c r="P677" t="str">
        <f>IF($N677="","",LEFT($Q677,4)&amp;MID($Q677,6,2)&amp;RIGHT($Q677,2)&amp;IF(Sync!$K677="","0000",IF(AND(ISNUMBER(Sync!$K677),Sync!$K677&gt;=0,Sync!$K677&lt;1),RIGHT("00"&amp;HOUR(Sync!$K677),2)&amp;RIGHT("00"&amp;MINUTE(Sync!$K677),2),IFERROR(RIGHT("00"&amp;VALUE(LEFT(Sync!$K677,FIND(":",Sync!$K677)-1)),2)&amp;RIGHT("00"&amp;VALUE(MID(Sync!$K677,FIND(":",Sync!$K677)+1,2)),2),"0000")))&amp;"|"&amp;"2"&amp;RIGHT("00000"&amp;672,5))</f>
        <v/>
      </c>
      <c r="Q677" t="str">
        <f>IF(Sync!$J677="","",IF(ISNUMBER(Sync!$J677),IF(AND(Sync!$J677&gt;=10000101,Sync!$J677&lt;=99991231),INT(Sync!$J677/10000)&amp;"/"&amp;RIGHT("00"&amp;INT(MOD(Sync!$J677,10000)/100),2)&amp;"/"&amp;RIGHT("00"&amp;MOD(Sync!$J677,100),2),"نامعتبر"),IF(LEN(Sync!$J677)=10,Sync!$J677,"نامعتبر")))</f>
        <v/>
      </c>
      <c r="R677" t="str">
        <f t="shared" si="74"/>
        <v/>
      </c>
      <c r="S677" t="str">
        <f t="shared" si="75"/>
        <v/>
      </c>
      <c r="T677" t="str">
        <f>IF($N677="","",IF(Sync!$N677="",0,Sync!$N677))</f>
        <v/>
      </c>
      <c r="U677" t="str">
        <f>IF($N677="","",IF(Sync!$O677="",0,Sync!$O677))</f>
        <v/>
      </c>
      <c r="V677" t="str">
        <f>IF($N677="","",Sync!$L677)</f>
        <v/>
      </c>
      <c r="W677" t="str">
        <f>IF($N677="","",Sync!$P677)</f>
        <v/>
      </c>
      <c r="AA677" t="str">
        <f>IF($A677="","",IF(COUNTIF($A$6:$A677,$A677)=1,1,0))</f>
        <v/>
      </c>
      <c r="AB677">
        <f>SUM($AA$6:$AA677)</f>
        <v>3</v>
      </c>
      <c r="AC677" t="str">
        <f t="shared" si="76"/>
        <v/>
      </c>
    </row>
    <row r="678" spans="1:29" x14ac:dyDescent="0.2">
      <c r="A678" t="str">
        <f>IF(OR(Entry!$B681="",Entry!$E681="",$E678="نامعتبر"),"",Entry!$E681)</f>
        <v/>
      </c>
      <c r="B678" t="str">
        <f>IF($A678="","",LEFT($E678,4)&amp;MID($E678,6,2)&amp;RIGHT($E678,2)&amp;$F678&amp;"|"&amp;"1"&amp;RIGHT("00000"&amp;673,5))</f>
        <v/>
      </c>
      <c r="C678" t="str">
        <f t="shared" si="70"/>
        <v/>
      </c>
      <c r="D678" t="str">
        <f t="shared" si="71"/>
        <v/>
      </c>
      <c r="E678" t="str">
        <f>IF(Entry!$B681="","",IF(ISNUMBER(Entry!$B681),IF(AND(Entry!$B681&gt;=10000101,Entry!$B681&lt;=99991231),INT(Entry!$B681/10000)&amp;"/"&amp;RIGHT("00"&amp;INT(MOD(Entry!$B681,10000)/100),2)&amp;"/"&amp;RIGHT("00"&amp;MOD(Entry!$B681,100),2),"نامعتبر"),IF(LEN(Entry!$B681)=10,Entry!$B681,"نامعتبر")))</f>
        <v/>
      </c>
      <c r="F678" t="str">
        <f>IF(Entry!$B681="","",IF(Entry!$C681="","0000",IF(AND(ISNUMBER(Entry!$C681),Entry!$C681&gt;=0,Entry!$C681&lt;1),RIGHT("00"&amp;HOUR(Entry!$C681),2)&amp;RIGHT("00"&amp;MINUTE(Entry!$C681),2),IFERROR(RIGHT("00"&amp;VALUE(LEFT(Entry!$C681,FIND(":",Entry!$C681)-1)),2)&amp;RIGHT("00"&amp;VALUE(MID(Entry!$C681,FIND(":",Entry!$C681)+1,2)),2),"0000"))))</f>
        <v/>
      </c>
      <c r="G678" t="str">
        <f>IF($A678="","",Entry!$G681)</f>
        <v/>
      </c>
      <c r="H678" t="str">
        <f>IF($A678="","",IF(Entry!$H681="",0,Entry!$H681))</f>
        <v/>
      </c>
      <c r="I678" t="str">
        <f>IF($A678="","",IF(Entry!$I681="",0,Entry!$I681))</f>
        <v/>
      </c>
      <c r="J678" t="str">
        <f t="shared" si="72"/>
        <v/>
      </c>
      <c r="K678" t="str">
        <f>IF($A678="","",Entry!$D681)</f>
        <v/>
      </c>
      <c r="L678" t="str">
        <f>IF($A678="","",Entry!$L681)</f>
        <v/>
      </c>
      <c r="N678" t="str">
        <f>IF(OR(Sync!$M678="",$Q678="",$Q678="نامعتبر"),"",Sync!$M678)</f>
        <v/>
      </c>
      <c r="O678" t="str">
        <f t="shared" si="73"/>
        <v/>
      </c>
      <c r="P678" t="str">
        <f>IF($N678="","",LEFT($Q678,4)&amp;MID($Q678,6,2)&amp;RIGHT($Q678,2)&amp;IF(Sync!$K678="","0000",IF(AND(ISNUMBER(Sync!$K678),Sync!$K678&gt;=0,Sync!$K678&lt;1),RIGHT("00"&amp;HOUR(Sync!$K678),2)&amp;RIGHT("00"&amp;MINUTE(Sync!$K678),2),IFERROR(RIGHT("00"&amp;VALUE(LEFT(Sync!$K678,FIND(":",Sync!$K678)-1)),2)&amp;RIGHT("00"&amp;VALUE(MID(Sync!$K678,FIND(":",Sync!$K678)+1,2)),2),"0000")))&amp;"|"&amp;"2"&amp;RIGHT("00000"&amp;673,5))</f>
        <v/>
      </c>
      <c r="Q678" t="str">
        <f>IF(Sync!$J678="","",IF(ISNUMBER(Sync!$J678),IF(AND(Sync!$J678&gt;=10000101,Sync!$J678&lt;=99991231),INT(Sync!$J678/10000)&amp;"/"&amp;RIGHT("00"&amp;INT(MOD(Sync!$J678,10000)/100),2)&amp;"/"&amp;RIGHT("00"&amp;MOD(Sync!$J678,100),2),"نامعتبر"),IF(LEN(Sync!$J678)=10,Sync!$J678,"نامعتبر")))</f>
        <v/>
      </c>
      <c r="R678" t="str">
        <f t="shared" si="74"/>
        <v/>
      </c>
      <c r="S678" t="str">
        <f t="shared" si="75"/>
        <v/>
      </c>
      <c r="T678" t="str">
        <f>IF($N678="","",IF(Sync!$N678="",0,Sync!$N678))</f>
        <v/>
      </c>
      <c r="U678" t="str">
        <f>IF($N678="","",IF(Sync!$O678="",0,Sync!$O678))</f>
        <v/>
      </c>
      <c r="V678" t="str">
        <f>IF($N678="","",Sync!$L678)</f>
        <v/>
      </c>
      <c r="W678" t="str">
        <f>IF($N678="","",Sync!$P678)</f>
        <v/>
      </c>
      <c r="AA678" t="str">
        <f>IF($A678="","",IF(COUNTIF($A$6:$A678,$A678)=1,1,0))</f>
        <v/>
      </c>
      <c r="AB678">
        <f>SUM($AA$6:$AA678)</f>
        <v>3</v>
      </c>
      <c r="AC678" t="str">
        <f t="shared" si="76"/>
        <v/>
      </c>
    </row>
    <row r="679" spans="1:29" x14ac:dyDescent="0.2">
      <c r="A679" t="str">
        <f>IF(OR(Entry!$B682="",Entry!$E682="",$E679="نامعتبر"),"",Entry!$E682)</f>
        <v/>
      </c>
      <c r="B679" t="str">
        <f>IF($A679="","",LEFT($E679,4)&amp;MID($E679,6,2)&amp;RIGHT($E679,2)&amp;$F679&amp;"|"&amp;"1"&amp;RIGHT("00000"&amp;674,5))</f>
        <v/>
      </c>
      <c r="C679" t="str">
        <f t="shared" si="70"/>
        <v/>
      </c>
      <c r="D679" t="str">
        <f t="shared" si="71"/>
        <v/>
      </c>
      <c r="E679" t="str">
        <f>IF(Entry!$B682="","",IF(ISNUMBER(Entry!$B682),IF(AND(Entry!$B682&gt;=10000101,Entry!$B682&lt;=99991231),INT(Entry!$B682/10000)&amp;"/"&amp;RIGHT("00"&amp;INT(MOD(Entry!$B682,10000)/100),2)&amp;"/"&amp;RIGHT("00"&amp;MOD(Entry!$B682,100),2),"نامعتبر"),IF(LEN(Entry!$B682)=10,Entry!$B682,"نامعتبر")))</f>
        <v/>
      </c>
      <c r="F679" t="str">
        <f>IF(Entry!$B682="","",IF(Entry!$C682="","0000",IF(AND(ISNUMBER(Entry!$C682),Entry!$C682&gt;=0,Entry!$C682&lt;1),RIGHT("00"&amp;HOUR(Entry!$C682),2)&amp;RIGHT("00"&amp;MINUTE(Entry!$C682),2),IFERROR(RIGHT("00"&amp;VALUE(LEFT(Entry!$C682,FIND(":",Entry!$C682)-1)),2)&amp;RIGHT("00"&amp;VALUE(MID(Entry!$C682,FIND(":",Entry!$C682)+1,2)),2),"0000"))))</f>
        <v/>
      </c>
      <c r="G679" t="str">
        <f>IF($A679="","",Entry!$G682)</f>
        <v/>
      </c>
      <c r="H679" t="str">
        <f>IF($A679="","",IF(Entry!$H682="",0,Entry!$H682))</f>
        <v/>
      </c>
      <c r="I679" t="str">
        <f>IF($A679="","",IF(Entry!$I682="",0,Entry!$I682))</f>
        <v/>
      </c>
      <c r="J679" t="str">
        <f t="shared" si="72"/>
        <v/>
      </c>
      <c r="K679" t="str">
        <f>IF($A679="","",Entry!$D682)</f>
        <v/>
      </c>
      <c r="L679" t="str">
        <f>IF($A679="","",Entry!$L682)</f>
        <v/>
      </c>
      <c r="N679" t="str">
        <f>IF(OR(Sync!$M679="",$Q679="",$Q679="نامعتبر"),"",Sync!$M679)</f>
        <v/>
      </c>
      <c r="O679" t="str">
        <f t="shared" si="73"/>
        <v/>
      </c>
      <c r="P679" t="str">
        <f>IF($N679="","",LEFT($Q679,4)&amp;MID($Q679,6,2)&amp;RIGHT($Q679,2)&amp;IF(Sync!$K679="","0000",IF(AND(ISNUMBER(Sync!$K679),Sync!$K679&gt;=0,Sync!$K679&lt;1),RIGHT("00"&amp;HOUR(Sync!$K679),2)&amp;RIGHT("00"&amp;MINUTE(Sync!$K679),2),IFERROR(RIGHT("00"&amp;VALUE(LEFT(Sync!$K679,FIND(":",Sync!$K679)-1)),2)&amp;RIGHT("00"&amp;VALUE(MID(Sync!$K679,FIND(":",Sync!$K679)+1,2)),2),"0000")))&amp;"|"&amp;"2"&amp;RIGHT("00000"&amp;674,5))</f>
        <v/>
      </c>
      <c r="Q679" t="str">
        <f>IF(Sync!$J679="","",IF(ISNUMBER(Sync!$J679),IF(AND(Sync!$J679&gt;=10000101,Sync!$J679&lt;=99991231),INT(Sync!$J679/10000)&amp;"/"&amp;RIGHT("00"&amp;INT(MOD(Sync!$J679,10000)/100),2)&amp;"/"&amp;RIGHT("00"&amp;MOD(Sync!$J679,100),2),"نامعتبر"),IF(LEN(Sync!$J679)=10,Sync!$J679,"نامعتبر")))</f>
        <v/>
      </c>
      <c r="R679" t="str">
        <f t="shared" si="74"/>
        <v/>
      </c>
      <c r="S679" t="str">
        <f t="shared" si="75"/>
        <v/>
      </c>
      <c r="T679" t="str">
        <f>IF($N679="","",IF(Sync!$N679="",0,Sync!$N679))</f>
        <v/>
      </c>
      <c r="U679" t="str">
        <f>IF($N679="","",IF(Sync!$O679="",0,Sync!$O679))</f>
        <v/>
      </c>
      <c r="V679" t="str">
        <f>IF($N679="","",Sync!$L679)</f>
        <v/>
      </c>
      <c r="W679" t="str">
        <f>IF($N679="","",Sync!$P679)</f>
        <v/>
      </c>
      <c r="AA679" t="str">
        <f>IF($A679="","",IF(COUNTIF($A$6:$A679,$A679)=1,1,0))</f>
        <v/>
      </c>
      <c r="AB679">
        <f>SUM($AA$6:$AA679)</f>
        <v>3</v>
      </c>
      <c r="AC679" t="str">
        <f t="shared" si="76"/>
        <v/>
      </c>
    </row>
    <row r="680" spans="1:29" x14ac:dyDescent="0.2">
      <c r="A680" t="str">
        <f>IF(OR(Entry!$B683="",Entry!$E683="",$E680="نامعتبر"),"",Entry!$E683)</f>
        <v/>
      </c>
      <c r="B680" t="str">
        <f>IF($A680="","",LEFT($E680,4)&amp;MID($E680,6,2)&amp;RIGHT($E680,2)&amp;$F680&amp;"|"&amp;"1"&amp;RIGHT("00000"&amp;675,5))</f>
        <v/>
      </c>
      <c r="C680" t="str">
        <f t="shared" si="70"/>
        <v/>
      </c>
      <c r="D680" t="str">
        <f t="shared" si="71"/>
        <v/>
      </c>
      <c r="E680" t="str">
        <f>IF(Entry!$B683="","",IF(ISNUMBER(Entry!$B683),IF(AND(Entry!$B683&gt;=10000101,Entry!$B683&lt;=99991231),INT(Entry!$B683/10000)&amp;"/"&amp;RIGHT("00"&amp;INT(MOD(Entry!$B683,10000)/100),2)&amp;"/"&amp;RIGHT("00"&amp;MOD(Entry!$B683,100),2),"نامعتبر"),IF(LEN(Entry!$B683)=10,Entry!$B683,"نامعتبر")))</f>
        <v/>
      </c>
      <c r="F680" t="str">
        <f>IF(Entry!$B683="","",IF(Entry!$C683="","0000",IF(AND(ISNUMBER(Entry!$C683),Entry!$C683&gt;=0,Entry!$C683&lt;1),RIGHT("00"&amp;HOUR(Entry!$C683),2)&amp;RIGHT("00"&amp;MINUTE(Entry!$C683),2),IFERROR(RIGHT("00"&amp;VALUE(LEFT(Entry!$C683,FIND(":",Entry!$C683)-1)),2)&amp;RIGHT("00"&amp;VALUE(MID(Entry!$C683,FIND(":",Entry!$C683)+1,2)),2),"0000"))))</f>
        <v/>
      </c>
      <c r="G680" t="str">
        <f>IF($A680="","",Entry!$G683)</f>
        <v/>
      </c>
      <c r="H680" t="str">
        <f>IF($A680="","",IF(Entry!$H683="",0,Entry!$H683))</f>
        <v/>
      </c>
      <c r="I680" t="str">
        <f>IF($A680="","",IF(Entry!$I683="",0,Entry!$I683))</f>
        <v/>
      </c>
      <c r="J680" t="str">
        <f t="shared" si="72"/>
        <v/>
      </c>
      <c r="K680" t="str">
        <f>IF($A680="","",Entry!$D683)</f>
        <v/>
      </c>
      <c r="L680" t="str">
        <f>IF($A680="","",Entry!$L683)</f>
        <v/>
      </c>
      <c r="N680" t="str">
        <f>IF(OR(Sync!$M680="",$Q680="",$Q680="نامعتبر"),"",Sync!$M680)</f>
        <v/>
      </c>
      <c r="O680" t="str">
        <f t="shared" si="73"/>
        <v/>
      </c>
      <c r="P680" t="str">
        <f>IF($N680="","",LEFT($Q680,4)&amp;MID($Q680,6,2)&amp;RIGHT($Q680,2)&amp;IF(Sync!$K680="","0000",IF(AND(ISNUMBER(Sync!$K680),Sync!$K680&gt;=0,Sync!$K680&lt;1),RIGHT("00"&amp;HOUR(Sync!$K680),2)&amp;RIGHT("00"&amp;MINUTE(Sync!$K680),2),IFERROR(RIGHT("00"&amp;VALUE(LEFT(Sync!$K680,FIND(":",Sync!$K680)-1)),2)&amp;RIGHT("00"&amp;VALUE(MID(Sync!$K680,FIND(":",Sync!$K680)+1,2)),2),"0000")))&amp;"|"&amp;"2"&amp;RIGHT("00000"&amp;675,5))</f>
        <v/>
      </c>
      <c r="Q680" t="str">
        <f>IF(Sync!$J680="","",IF(ISNUMBER(Sync!$J680),IF(AND(Sync!$J680&gt;=10000101,Sync!$J680&lt;=99991231),INT(Sync!$J680/10000)&amp;"/"&amp;RIGHT("00"&amp;INT(MOD(Sync!$J680,10000)/100),2)&amp;"/"&amp;RIGHT("00"&amp;MOD(Sync!$J680,100),2),"نامعتبر"),IF(LEN(Sync!$J680)=10,Sync!$J680,"نامعتبر")))</f>
        <v/>
      </c>
      <c r="R680" t="str">
        <f t="shared" si="74"/>
        <v/>
      </c>
      <c r="S680" t="str">
        <f t="shared" si="75"/>
        <v/>
      </c>
      <c r="T680" t="str">
        <f>IF($N680="","",IF(Sync!$N680="",0,Sync!$N680))</f>
        <v/>
      </c>
      <c r="U680" t="str">
        <f>IF($N680="","",IF(Sync!$O680="",0,Sync!$O680))</f>
        <v/>
      </c>
      <c r="V680" t="str">
        <f>IF($N680="","",Sync!$L680)</f>
        <v/>
      </c>
      <c r="W680" t="str">
        <f>IF($N680="","",Sync!$P680)</f>
        <v/>
      </c>
      <c r="AA680" t="str">
        <f>IF($A680="","",IF(COUNTIF($A$6:$A680,$A680)=1,1,0))</f>
        <v/>
      </c>
      <c r="AB680">
        <f>SUM($AA$6:$AA680)</f>
        <v>3</v>
      </c>
      <c r="AC680" t="str">
        <f t="shared" si="76"/>
        <v/>
      </c>
    </row>
    <row r="681" spans="1:29" x14ac:dyDescent="0.2">
      <c r="A681" t="str">
        <f>IF(OR(Entry!$B684="",Entry!$E684="",$E681="نامعتبر"),"",Entry!$E684)</f>
        <v/>
      </c>
      <c r="B681" t="str">
        <f>IF($A681="","",LEFT($E681,4)&amp;MID($E681,6,2)&amp;RIGHT($E681,2)&amp;$F681&amp;"|"&amp;"1"&amp;RIGHT("00000"&amp;676,5))</f>
        <v/>
      </c>
      <c r="C681" t="str">
        <f t="shared" si="70"/>
        <v/>
      </c>
      <c r="D681" t="str">
        <f t="shared" si="71"/>
        <v/>
      </c>
      <c r="E681" t="str">
        <f>IF(Entry!$B684="","",IF(ISNUMBER(Entry!$B684),IF(AND(Entry!$B684&gt;=10000101,Entry!$B684&lt;=99991231),INT(Entry!$B684/10000)&amp;"/"&amp;RIGHT("00"&amp;INT(MOD(Entry!$B684,10000)/100),2)&amp;"/"&amp;RIGHT("00"&amp;MOD(Entry!$B684,100),2),"نامعتبر"),IF(LEN(Entry!$B684)=10,Entry!$B684,"نامعتبر")))</f>
        <v/>
      </c>
      <c r="F681" t="str">
        <f>IF(Entry!$B684="","",IF(Entry!$C684="","0000",IF(AND(ISNUMBER(Entry!$C684),Entry!$C684&gt;=0,Entry!$C684&lt;1),RIGHT("00"&amp;HOUR(Entry!$C684),2)&amp;RIGHT("00"&amp;MINUTE(Entry!$C684),2),IFERROR(RIGHT("00"&amp;VALUE(LEFT(Entry!$C684,FIND(":",Entry!$C684)-1)),2)&amp;RIGHT("00"&amp;VALUE(MID(Entry!$C684,FIND(":",Entry!$C684)+1,2)),2),"0000"))))</f>
        <v/>
      </c>
      <c r="G681" t="str">
        <f>IF($A681="","",Entry!$G684)</f>
        <v/>
      </c>
      <c r="H681" t="str">
        <f>IF($A681="","",IF(Entry!$H684="",0,Entry!$H684))</f>
        <v/>
      </c>
      <c r="I681" t="str">
        <f>IF($A681="","",IF(Entry!$I684="",0,Entry!$I684))</f>
        <v/>
      </c>
      <c r="J681" t="str">
        <f t="shared" si="72"/>
        <v/>
      </c>
      <c r="K681" t="str">
        <f>IF($A681="","",Entry!$D684)</f>
        <v/>
      </c>
      <c r="L681" t="str">
        <f>IF($A681="","",Entry!$L684)</f>
        <v/>
      </c>
      <c r="N681" t="str">
        <f>IF(OR(Sync!$M681="",$Q681="",$Q681="نامعتبر"),"",Sync!$M681)</f>
        <v/>
      </c>
      <c r="O681" t="str">
        <f t="shared" si="73"/>
        <v/>
      </c>
      <c r="P681" t="str">
        <f>IF($N681="","",LEFT($Q681,4)&amp;MID($Q681,6,2)&amp;RIGHT($Q681,2)&amp;IF(Sync!$K681="","0000",IF(AND(ISNUMBER(Sync!$K681),Sync!$K681&gt;=0,Sync!$K681&lt;1),RIGHT("00"&amp;HOUR(Sync!$K681),2)&amp;RIGHT("00"&amp;MINUTE(Sync!$K681),2),IFERROR(RIGHT("00"&amp;VALUE(LEFT(Sync!$K681,FIND(":",Sync!$K681)-1)),2)&amp;RIGHT("00"&amp;VALUE(MID(Sync!$K681,FIND(":",Sync!$K681)+1,2)),2),"0000")))&amp;"|"&amp;"2"&amp;RIGHT("00000"&amp;676,5))</f>
        <v/>
      </c>
      <c r="Q681" t="str">
        <f>IF(Sync!$J681="","",IF(ISNUMBER(Sync!$J681),IF(AND(Sync!$J681&gt;=10000101,Sync!$J681&lt;=99991231),INT(Sync!$J681/10000)&amp;"/"&amp;RIGHT("00"&amp;INT(MOD(Sync!$J681,10000)/100),2)&amp;"/"&amp;RIGHT("00"&amp;MOD(Sync!$J681,100),2),"نامعتبر"),IF(LEN(Sync!$J681)=10,Sync!$J681,"نامعتبر")))</f>
        <v/>
      </c>
      <c r="R681" t="str">
        <f t="shared" si="74"/>
        <v/>
      </c>
      <c r="S681" t="str">
        <f t="shared" si="75"/>
        <v/>
      </c>
      <c r="T681" t="str">
        <f>IF($N681="","",IF(Sync!$N681="",0,Sync!$N681))</f>
        <v/>
      </c>
      <c r="U681" t="str">
        <f>IF($N681="","",IF(Sync!$O681="",0,Sync!$O681))</f>
        <v/>
      </c>
      <c r="V681" t="str">
        <f>IF($N681="","",Sync!$L681)</f>
        <v/>
      </c>
      <c r="W681" t="str">
        <f>IF($N681="","",Sync!$P681)</f>
        <v/>
      </c>
      <c r="AA681" t="str">
        <f>IF($A681="","",IF(COUNTIF($A$6:$A681,$A681)=1,1,0))</f>
        <v/>
      </c>
      <c r="AB681">
        <f>SUM($AA$6:$AA681)</f>
        <v>3</v>
      </c>
      <c r="AC681" t="str">
        <f t="shared" si="76"/>
        <v/>
      </c>
    </row>
    <row r="682" spans="1:29" x14ac:dyDescent="0.2">
      <c r="A682" t="str">
        <f>IF(OR(Entry!$B685="",Entry!$E685="",$E682="نامعتبر"),"",Entry!$E685)</f>
        <v/>
      </c>
      <c r="B682" t="str">
        <f>IF($A682="","",LEFT($E682,4)&amp;MID($E682,6,2)&amp;RIGHT($E682,2)&amp;$F682&amp;"|"&amp;"1"&amp;RIGHT("00000"&amp;677,5))</f>
        <v/>
      </c>
      <c r="C682" t="str">
        <f t="shared" si="70"/>
        <v/>
      </c>
      <c r="D682" t="str">
        <f t="shared" si="71"/>
        <v/>
      </c>
      <c r="E682" t="str">
        <f>IF(Entry!$B685="","",IF(ISNUMBER(Entry!$B685),IF(AND(Entry!$B685&gt;=10000101,Entry!$B685&lt;=99991231),INT(Entry!$B685/10000)&amp;"/"&amp;RIGHT("00"&amp;INT(MOD(Entry!$B685,10000)/100),2)&amp;"/"&amp;RIGHT("00"&amp;MOD(Entry!$B685,100),2),"نامعتبر"),IF(LEN(Entry!$B685)=10,Entry!$B685,"نامعتبر")))</f>
        <v/>
      </c>
      <c r="F682" t="str">
        <f>IF(Entry!$B685="","",IF(Entry!$C685="","0000",IF(AND(ISNUMBER(Entry!$C685),Entry!$C685&gt;=0,Entry!$C685&lt;1),RIGHT("00"&amp;HOUR(Entry!$C685),2)&amp;RIGHT("00"&amp;MINUTE(Entry!$C685),2),IFERROR(RIGHT("00"&amp;VALUE(LEFT(Entry!$C685,FIND(":",Entry!$C685)-1)),2)&amp;RIGHT("00"&amp;VALUE(MID(Entry!$C685,FIND(":",Entry!$C685)+1,2)),2),"0000"))))</f>
        <v/>
      </c>
      <c r="G682" t="str">
        <f>IF($A682="","",Entry!$G685)</f>
        <v/>
      </c>
      <c r="H682" t="str">
        <f>IF($A682="","",IF(Entry!$H685="",0,Entry!$H685))</f>
        <v/>
      </c>
      <c r="I682" t="str">
        <f>IF($A682="","",IF(Entry!$I685="",0,Entry!$I685))</f>
        <v/>
      </c>
      <c r="J682" t="str">
        <f t="shared" si="72"/>
        <v/>
      </c>
      <c r="K682" t="str">
        <f>IF($A682="","",Entry!$D685)</f>
        <v/>
      </c>
      <c r="L682" t="str">
        <f>IF($A682="","",Entry!$L685)</f>
        <v/>
      </c>
      <c r="N682" t="str">
        <f>IF(OR(Sync!$M682="",$Q682="",$Q682="نامعتبر"),"",Sync!$M682)</f>
        <v/>
      </c>
      <c r="O682" t="str">
        <f t="shared" si="73"/>
        <v/>
      </c>
      <c r="P682" t="str">
        <f>IF($N682="","",LEFT($Q682,4)&amp;MID($Q682,6,2)&amp;RIGHT($Q682,2)&amp;IF(Sync!$K682="","0000",IF(AND(ISNUMBER(Sync!$K682),Sync!$K682&gt;=0,Sync!$K682&lt;1),RIGHT("00"&amp;HOUR(Sync!$K682),2)&amp;RIGHT("00"&amp;MINUTE(Sync!$K682),2),IFERROR(RIGHT("00"&amp;VALUE(LEFT(Sync!$K682,FIND(":",Sync!$K682)-1)),2)&amp;RIGHT("00"&amp;VALUE(MID(Sync!$K682,FIND(":",Sync!$K682)+1,2)),2),"0000")))&amp;"|"&amp;"2"&amp;RIGHT("00000"&amp;677,5))</f>
        <v/>
      </c>
      <c r="Q682" t="str">
        <f>IF(Sync!$J682="","",IF(ISNUMBER(Sync!$J682),IF(AND(Sync!$J682&gt;=10000101,Sync!$J682&lt;=99991231),INT(Sync!$J682/10000)&amp;"/"&amp;RIGHT("00"&amp;INT(MOD(Sync!$J682,10000)/100),2)&amp;"/"&amp;RIGHT("00"&amp;MOD(Sync!$J682,100),2),"نامعتبر"),IF(LEN(Sync!$J682)=10,Sync!$J682,"نامعتبر")))</f>
        <v/>
      </c>
      <c r="R682" t="str">
        <f t="shared" si="74"/>
        <v/>
      </c>
      <c r="S682" t="str">
        <f t="shared" si="75"/>
        <v/>
      </c>
      <c r="T682" t="str">
        <f>IF($N682="","",IF(Sync!$N682="",0,Sync!$N682))</f>
        <v/>
      </c>
      <c r="U682" t="str">
        <f>IF($N682="","",IF(Sync!$O682="",0,Sync!$O682))</f>
        <v/>
      </c>
      <c r="V682" t="str">
        <f>IF($N682="","",Sync!$L682)</f>
        <v/>
      </c>
      <c r="W682" t="str">
        <f>IF($N682="","",Sync!$P682)</f>
        <v/>
      </c>
      <c r="AA682" t="str">
        <f>IF($A682="","",IF(COUNTIF($A$6:$A682,$A682)=1,1,0))</f>
        <v/>
      </c>
      <c r="AB682">
        <f>SUM($AA$6:$AA682)</f>
        <v>3</v>
      </c>
      <c r="AC682" t="str">
        <f t="shared" si="76"/>
        <v/>
      </c>
    </row>
    <row r="683" spans="1:29" x14ac:dyDescent="0.2">
      <c r="A683" t="str">
        <f>IF(OR(Entry!$B686="",Entry!$E686="",$E683="نامعتبر"),"",Entry!$E686)</f>
        <v/>
      </c>
      <c r="B683" t="str">
        <f>IF($A683="","",LEFT($E683,4)&amp;MID($E683,6,2)&amp;RIGHT($E683,2)&amp;$F683&amp;"|"&amp;"1"&amp;RIGHT("00000"&amp;678,5))</f>
        <v/>
      </c>
      <c r="C683" t="str">
        <f t="shared" si="70"/>
        <v/>
      </c>
      <c r="D683" t="str">
        <f t="shared" si="71"/>
        <v/>
      </c>
      <c r="E683" t="str">
        <f>IF(Entry!$B686="","",IF(ISNUMBER(Entry!$B686),IF(AND(Entry!$B686&gt;=10000101,Entry!$B686&lt;=99991231),INT(Entry!$B686/10000)&amp;"/"&amp;RIGHT("00"&amp;INT(MOD(Entry!$B686,10000)/100),2)&amp;"/"&amp;RIGHT("00"&amp;MOD(Entry!$B686,100),2),"نامعتبر"),IF(LEN(Entry!$B686)=10,Entry!$B686,"نامعتبر")))</f>
        <v/>
      </c>
      <c r="F683" t="str">
        <f>IF(Entry!$B686="","",IF(Entry!$C686="","0000",IF(AND(ISNUMBER(Entry!$C686),Entry!$C686&gt;=0,Entry!$C686&lt;1),RIGHT("00"&amp;HOUR(Entry!$C686),2)&amp;RIGHT("00"&amp;MINUTE(Entry!$C686),2),IFERROR(RIGHT("00"&amp;VALUE(LEFT(Entry!$C686,FIND(":",Entry!$C686)-1)),2)&amp;RIGHT("00"&amp;VALUE(MID(Entry!$C686,FIND(":",Entry!$C686)+1,2)),2),"0000"))))</f>
        <v/>
      </c>
      <c r="G683" t="str">
        <f>IF($A683="","",Entry!$G686)</f>
        <v/>
      </c>
      <c r="H683" t="str">
        <f>IF($A683="","",IF(Entry!$H686="",0,Entry!$H686))</f>
        <v/>
      </c>
      <c r="I683" t="str">
        <f>IF($A683="","",IF(Entry!$I686="",0,Entry!$I686))</f>
        <v/>
      </c>
      <c r="J683" t="str">
        <f t="shared" si="72"/>
        <v/>
      </c>
      <c r="K683" t="str">
        <f>IF($A683="","",Entry!$D686)</f>
        <v/>
      </c>
      <c r="L683" t="str">
        <f>IF($A683="","",Entry!$L686)</f>
        <v/>
      </c>
      <c r="N683" t="str">
        <f>IF(OR(Sync!$M683="",$Q683="",$Q683="نامعتبر"),"",Sync!$M683)</f>
        <v/>
      </c>
      <c r="O683" t="str">
        <f t="shared" si="73"/>
        <v/>
      </c>
      <c r="P683" t="str">
        <f>IF($N683="","",LEFT($Q683,4)&amp;MID($Q683,6,2)&amp;RIGHT($Q683,2)&amp;IF(Sync!$K683="","0000",IF(AND(ISNUMBER(Sync!$K683),Sync!$K683&gt;=0,Sync!$K683&lt;1),RIGHT("00"&amp;HOUR(Sync!$K683),2)&amp;RIGHT("00"&amp;MINUTE(Sync!$K683),2),IFERROR(RIGHT("00"&amp;VALUE(LEFT(Sync!$K683,FIND(":",Sync!$K683)-1)),2)&amp;RIGHT("00"&amp;VALUE(MID(Sync!$K683,FIND(":",Sync!$K683)+1,2)),2),"0000")))&amp;"|"&amp;"2"&amp;RIGHT("00000"&amp;678,5))</f>
        <v/>
      </c>
      <c r="Q683" t="str">
        <f>IF(Sync!$J683="","",IF(ISNUMBER(Sync!$J683),IF(AND(Sync!$J683&gt;=10000101,Sync!$J683&lt;=99991231),INT(Sync!$J683/10000)&amp;"/"&amp;RIGHT("00"&amp;INT(MOD(Sync!$J683,10000)/100),2)&amp;"/"&amp;RIGHT("00"&amp;MOD(Sync!$J683,100),2),"نامعتبر"),IF(LEN(Sync!$J683)=10,Sync!$J683,"نامعتبر")))</f>
        <v/>
      </c>
      <c r="R683" t="str">
        <f t="shared" si="74"/>
        <v/>
      </c>
      <c r="S683" t="str">
        <f t="shared" si="75"/>
        <v/>
      </c>
      <c r="T683" t="str">
        <f>IF($N683="","",IF(Sync!$N683="",0,Sync!$N683))</f>
        <v/>
      </c>
      <c r="U683" t="str">
        <f>IF($N683="","",IF(Sync!$O683="",0,Sync!$O683))</f>
        <v/>
      </c>
      <c r="V683" t="str">
        <f>IF($N683="","",Sync!$L683)</f>
        <v/>
      </c>
      <c r="W683" t="str">
        <f>IF($N683="","",Sync!$P683)</f>
        <v/>
      </c>
      <c r="AA683" t="str">
        <f>IF($A683="","",IF(COUNTIF($A$6:$A683,$A683)=1,1,0))</f>
        <v/>
      </c>
      <c r="AB683">
        <f>SUM($AA$6:$AA683)</f>
        <v>3</v>
      </c>
      <c r="AC683" t="str">
        <f t="shared" si="76"/>
        <v/>
      </c>
    </row>
    <row r="684" spans="1:29" x14ac:dyDescent="0.2">
      <c r="A684" t="str">
        <f>IF(OR(Entry!$B687="",Entry!$E687="",$E684="نامعتبر"),"",Entry!$E687)</f>
        <v/>
      </c>
      <c r="B684" t="str">
        <f>IF($A684="","",LEFT($E684,4)&amp;MID($E684,6,2)&amp;RIGHT($E684,2)&amp;$F684&amp;"|"&amp;"1"&amp;RIGHT("00000"&amp;679,5))</f>
        <v/>
      </c>
      <c r="C684" t="str">
        <f t="shared" si="70"/>
        <v/>
      </c>
      <c r="D684" t="str">
        <f t="shared" si="71"/>
        <v/>
      </c>
      <c r="E684" t="str">
        <f>IF(Entry!$B687="","",IF(ISNUMBER(Entry!$B687),IF(AND(Entry!$B687&gt;=10000101,Entry!$B687&lt;=99991231),INT(Entry!$B687/10000)&amp;"/"&amp;RIGHT("00"&amp;INT(MOD(Entry!$B687,10000)/100),2)&amp;"/"&amp;RIGHT("00"&amp;MOD(Entry!$B687,100),2),"نامعتبر"),IF(LEN(Entry!$B687)=10,Entry!$B687,"نامعتبر")))</f>
        <v/>
      </c>
      <c r="F684" t="str">
        <f>IF(Entry!$B687="","",IF(Entry!$C687="","0000",IF(AND(ISNUMBER(Entry!$C687),Entry!$C687&gt;=0,Entry!$C687&lt;1),RIGHT("00"&amp;HOUR(Entry!$C687),2)&amp;RIGHT("00"&amp;MINUTE(Entry!$C687),2),IFERROR(RIGHT("00"&amp;VALUE(LEFT(Entry!$C687,FIND(":",Entry!$C687)-1)),2)&amp;RIGHT("00"&amp;VALUE(MID(Entry!$C687,FIND(":",Entry!$C687)+1,2)),2),"0000"))))</f>
        <v/>
      </c>
      <c r="G684" t="str">
        <f>IF($A684="","",Entry!$G687)</f>
        <v/>
      </c>
      <c r="H684" t="str">
        <f>IF($A684="","",IF(Entry!$H687="",0,Entry!$H687))</f>
        <v/>
      </c>
      <c r="I684" t="str">
        <f>IF($A684="","",IF(Entry!$I687="",0,Entry!$I687))</f>
        <v/>
      </c>
      <c r="J684" t="str">
        <f t="shared" si="72"/>
        <v/>
      </c>
      <c r="K684" t="str">
        <f>IF($A684="","",Entry!$D687)</f>
        <v/>
      </c>
      <c r="L684" t="str">
        <f>IF($A684="","",Entry!$L687)</f>
        <v/>
      </c>
      <c r="N684" t="str">
        <f>IF(OR(Sync!$M684="",$Q684="",$Q684="نامعتبر"),"",Sync!$M684)</f>
        <v/>
      </c>
      <c r="O684" t="str">
        <f t="shared" si="73"/>
        <v/>
      </c>
      <c r="P684" t="str">
        <f>IF($N684="","",LEFT($Q684,4)&amp;MID($Q684,6,2)&amp;RIGHT($Q684,2)&amp;IF(Sync!$K684="","0000",IF(AND(ISNUMBER(Sync!$K684),Sync!$K684&gt;=0,Sync!$K684&lt;1),RIGHT("00"&amp;HOUR(Sync!$K684),2)&amp;RIGHT("00"&amp;MINUTE(Sync!$K684),2),IFERROR(RIGHT("00"&amp;VALUE(LEFT(Sync!$K684,FIND(":",Sync!$K684)-1)),2)&amp;RIGHT("00"&amp;VALUE(MID(Sync!$K684,FIND(":",Sync!$K684)+1,2)),2),"0000")))&amp;"|"&amp;"2"&amp;RIGHT("00000"&amp;679,5))</f>
        <v/>
      </c>
      <c r="Q684" t="str">
        <f>IF(Sync!$J684="","",IF(ISNUMBER(Sync!$J684),IF(AND(Sync!$J684&gt;=10000101,Sync!$J684&lt;=99991231),INT(Sync!$J684/10000)&amp;"/"&amp;RIGHT("00"&amp;INT(MOD(Sync!$J684,10000)/100),2)&amp;"/"&amp;RIGHT("00"&amp;MOD(Sync!$J684,100),2),"نامعتبر"),IF(LEN(Sync!$J684)=10,Sync!$J684,"نامعتبر")))</f>
        <v/>
      </c>
      <c r="R684" t="str">
        <f t="shared" si="74"/>
        <v/>
      </c>
      <c r="S684" t="str">
        <f t="shared" si="75"/>
        <v/>
      </c>
      <c r="T684" t="str">
        <f>IF($N684="","",IF(Sync!$N684="",0,Sync!$N684))</f>
        <v/>
      </c>
      <c r="U684" t="str">
        <f>IF($N684="","",IF(Sync!$O684="",0,Sync!$O684))</f>
        <v/>
      </c>
      <c r="V684" t="str">
        <f>IF($N684="","",Sync!$L684)</f>
        <v/>
      </c>
      <c r="W684" t="str">
        <f>IF($N684="","",Sync!$P684)</f>
        <v/>
      </c>
      <c r="AA684" t="str">
        <f>IF($A684="","",IF(COUNTIF($A$6:$A684,$A684)=1,1,0))</f>
        <v/>
      </c>
      <c r="AB684">
        <f>SUM($AA$6:$AA684)</f>
        <v>3</v>
      </c>
      <c r="AC684" t="str">
        <f t="shared" si="76"/>
        <v/>
      </c>
    </row>
    <row r="685" spans="1:29" x14ac:dyDescent="0.2">
      <c r="A685" t="str">
        <f>IF(OR(Entry!$B688="",Entry!$E688="",$E685="نامعتبر"),"",Entry!$E688)</f>
        <v/>
      </c>
      <c r="B685" t="str">
        <f>IF($A685="","",LEFT($E685,4)&amp;MID($E685,6,2)&amp;RIGHT($E685,2)&amp;$F685&amp;"|"&amp;"1"&amp;RIGHT("00000"&amp;680,5))</f>
        <v/>
      </c>
      <c r="C685" t="str">
        <f t="shared" si="70"/>
        <v/>
      </c>
      <c r="D685" t="str">
        <f t="shared" si="71"/>
        <v/>
      </c>
      <c r="E685" t="str">
        <f>IF(Entry!$B688="","",IF(ISNUMBER(Entry!$B688),IF(AND(Entry!$B688&gt;=10000101,Entry!$B688&lt;=99991231),INT(Entry!$B688/10000)&amp;"/"&amp;RIGHT("00"&amp;INT(MOD(Entry!$B688,10000)/100),2)&amp;"/"&amp;RIGHT("00"&amp;MOD(Entry!$B688,100),2),"نامعتبر"),IF(LEN(Entry!$B688)=10,Entry!$B688,"نامعتبر")))</f>
        <v/>
      </c>
      <c r="F685" t="str">
        <f>IF(Entry!$B688="","",IF(Entry!$C688="","0000",IF(AND(ISNUMBER(Entry!$C688),Entry!$C688&gt;=0,Entry!$C688&lt;1),RIGHT("00"&amp;HOUR(Entry!$C688),2)&amp;RIGHT("00"&amp;MINUTE(Entry!$C688),2),IFERROR(RIGHT("00"&amp;VALUE(LEFT(Entry!$C688,FIND(":",Entry!$C688)-1)),2)&amp;RIGHT("00"&amp;VALUE(MID(Entry!$C688,FIND(":",Entry!$C688)+1,2)),2),"0000"))))</f>
        <v/>
      </c>
      <c r="G685" t="str">
        <f>IF($A685="","",Entry!$G688)</f>
        <v/>
      </c>
      <c r="H685" t="str">
        <f>IF($A685="","",IF(Entry!$H688="",0,Entry!$H688))</f>
        <v/>
      </c>
      <c r="I685" t="str">
        <f>IF($A685="","",IF(Entry!$I688="",0,Entry!$I688))</f>
        <v/>
      </c>
      <c r="J685" t="str">
        <f t="shared" si="72"/>
        <v/>
      </c>
      <c r="K685" t="str">
        <f>IF($A685="","",Entry!$D688)</f>
        <v/>
      </c>
      <c r="L685" t="str">
        <f>IF($A685="","",Entry!$L688)</f>
        <v/>
      </c>
      <c r="N685" t="str">
        <f>IF(OR(Sync!$M685="",$Q685="",$Q685="نامعتبر"),"",Sync!$M685)</f>
        <v/>
      </c>
      <c r="O685" t="str">
        <f t="shared" si="73"/>
        <v/>
      </c>
      <c r="P685" t="str">
        <f>IF($N685="","",LEFT($Q685,4)&amp;MID($Q685,6,2)&amp;RIGHT($Q685,2)&amp;IF(Sync!$K685="","0000",IF(AND(ISNUMBER(Sync!$K685),Sync!$K685&gt;=0,Sync!$K685&lt;1),RIGHT("00"&amp;HOUR(Sync!$K685),2)&amp;RIGHT("00"&amp;MINUTE(Sync!$K685),2),IFERROR(RIGHT("00"&amp;VALUE(LEFT(Sync!$K685,FIND(":",Sync!$K685)-1)),2)&amp;RIGHT("00"&amp;VALUE(MID(Sync!$K685,FIND(":",Sync!$K685)+1,2)),2),"0000")))&amp;"|"&amp;"2"&amp;RIGHT("00000"&amp;680,5))</f>
        <v/>
      </c>
      <c r="Q685" t="str">
        <f>IF(Sync!$J685="","",IF(ISNUMBER(Sync!$J685),IF(AND(Sync!$J685&gt;=10000101,Sync!$J685&lt;=99991231),INT(Sync!$J685/10000)&amp;"/"&amp;RIGHT("00"&amp;INT(MOD(Sync!$J685,10000)/100),2)&amp;"/"&amp;RIGHT("00"&amp;MOD(Sync!$J685,100),2),"نامعتبر"),IF(LEN(Sync!$J685)=10,Sync!$J685,"نامعتبر")))</f>
        <v/>
      </c>
      <c r="R685" t="str">
        <f t="shared" si="74"/>
        <v/>
      </c>
      <c r="S685" t="str">
        <f t="shared" si="75"/>
        <v/>
      </c>
      <c r="T685" t="str">
        <f>IF($N685="","",IF(Sync!$N685="",0,Sync!$N685))</f>
        <v/>
      </c>
      <c r="U685" t="str">
        <f>IF($N685="","",IF(Sync!$O685="",0,Sync!$O685))</f>
        <v/>
      </c>
      <c r="V685" t="str">
        <f>IF($N685="","",Sync!$L685)</f>
        <v/>
      </c>
      <c r="W685" t="str">
        <f>IF($N685="","",Sync!$P685)</f>
        <v/>
      </c>
      <c r="AA685" t="str">
        <f>IF($A685="","",IF(COUNTIF($A$6:$A685,$A685)=1,1,0))</f>
        <v/>
      </c>
      <c r="AB685">
        <f>SUM($AA$6:$AA685)</f>
        <v>3</v>
      </c>
      <c r="AC685" t="str">
        <f t="shared" si="76"/>
        <v/>
      </c>
    </row>
    <row r="686" spans="1:29" x14ac:dyDescent="0.2">
      <c r="A686" t="str">
        <f>IF(OR(Entry!$B689="",Entry!$E689="",$E686="نامعتبر"),"",Entry!$E689)</f>
        <v/>
      </c>
      <c r="B686" t="str">
        <f>IF($A686="","",LEFT($E686,4)&amp;MID($E686,6,2)&amp;RIGHT($E686,2)&amp;$F686&amp;"|"&amp;"1"&amp;RIGHT("00000"&amp;681,5))</f>
        <v/>
      </c>
      <c r="C686" t="str">
        <f t="shared" si="70"/>
        <v/>
      </c>
      <c r="D686" t="str">
        <f t="shared" si="71"/>
        <v/>
      </c>
      <c r="E686" t="str">
        <f>IF(Entry!$B689="","",IF(ISNUMBER(Entry!$B689),IF(AND(Entry!$B689&gt;=10000101,Entry!$B689&lt;=99991231),INT(Entry!$B689/10000)&amp;"/"&amp;RIGHT("00"&amp;INT(MOD(Entry!$B689,10000)/100),2)&amp;"/"&amp;RIGHT("00"&amp;MOD(Entry!$B689,100),2),"نامعتبر"),IF(LEN(Entry!$B689)=10,Entry!$B689,"نامعتبر")))</f>
        <v/>
      </c>
      <c r="F686" t="str">
        <f>IF(Entry!$B689="","",IF(Entry!$C689="","0000",IF(AND(ISNUMBER(Entry!$C689),Entry!$C689&gt;=0,Entry!$C689&lt;1),RIGHT("00"&amp;HOUR(Entry!$C689),2)&amp;RIGHT("00"&amp;MINUTE(Entry!$C689),2),IFERROR(RIGHT("00"&amp;VALUE(LEFT(Entry!$C689,FIND(":",Entry!$C689)-1)),2)&amp;RIGHT("00"&amp;VALUE(MID(Entry!$C689,FIND(":",Entry!$C689)+1,2)),2),"0000"))))</f>
        <v/>
      </c>
      <c r="G686" t="str">
        <f>IF($A686="","",Entry!$G689)</f>
        <v/>
      </c>
      <c r="H686" t="str">
        <f>IF($A686="","",IF(Entry!$H689="",0,Entry!$H689))</f>
        <v/>
      </c>
      <c r="I686" t="str">
        <f>IF($A686="","",IF(Entry!$I689="",0,Entry!$I689))</f>
        <v/>
      </c>
      <c r="J686" t="str">
        <f t="shared" si="72"/>
        <v/>
      </c>
      <c r="K686" t="str">
        <f>IF($A686="","",Entry!$D689)</f>
        <v/>
      </c>
      <c r="L686" t="str">
        <f>IF($A686="","",Entry!$L689)</f>
        <v/>
      </c>
      <c r="N686" t="str">
        <f>IF(OR(Sync!$M686="",$Q686="",$Q686="نامعتبر"),"",Sync!$M686)</f>
        <v/>
      </c>
      <c r="O686" t="str">
        <f t="shared" si="73"/>
        <v/>
      </c>
      <c r="P686" t="str">
        <f>IF($N686="","",LEFT($Q686,4)&amp;MID($Q686,6,2)&amp;RIGHT($Q686,2)&amp;IF(Sync!$K686="","0000",IF(AND(ISNUMBER(Sync!$K686),Sync!$K686&gt;=0,Sync!$K686&lt;1),RIGHT("00"&amp;HOUR(Sync!$K686),2)&amp;RIGHT("00"&amp;MINUTE(Sync!$K686),2),IFERROR(RIGHT("00"&amp;VALUE(LEFT(Sync!$K686,FIND(":",Sync!$K686)-1)),2)&amp;RIGHT("00"&amp;VALUE(MID(Sync!$K686,FIND(":",Sync!$K686)+1,2)),2),"0000")))&amp;"|"&amp;"2"&amp;RIGHT("00000"&amp;681,5))</f>
        <v/>
      </c>
      <c r="Q686" t="str">
        <f>IF(Sync!$J686="","",IF(ISNUMBER(Sync!$J686),IF(AND(Sync!$J686&gt;=10000101,Sync!$J686&lt;=99991231),INT(Sync!$J686/10000)&amp;"/"&amp;RIGHT("00"&amp;INT(MOD(Sync!$J686,10000)/100),2)&amp;"/"&amp;RIGHT("00"&amp;MOD(Sync!$J686,100),2),"نامعتبر"),IF(LEN(Sync!$J686)=10,Sync!$J686,"نامعتبر")))</f>
        <v/>
      </c>
      <c r="R686" t="str">
        <f t="shared" si="74"/>
        <v/>
      </c>
      <c r="S686" t="str">
        <f t="shared" si="75"/>
        <v/>
      </c>
      <c r="T686" t="str">
        <f>IF($N686="","",IF(Sync!$N686="",0,Sync!$N686))</f>
        <v/>
      </c>
      <c r="U686" t="str">
        <f>IF($N686="","",IF(Sync!$O686="",0,Sync!$O686))</f>
        <v/>
      </c>
      <c r="V686" t="str">
        <f>IF($N686="","",Sync!$L686)</f>
        <v/>
      </c>
      <c r="W686" t="str">
        <f>IF($N686="","",Sync!$P686)</f>
        <v/>
      </c>
      <c r="AA686" t="str">
        <f>IF($A686="","",IF(COUNTIF($A$6:$A686,$A686)=1,1,0))</f>
        <v/>
      </c>
      <c r="AB686">
        <f>SUM($AA$6:$AA686)</f>
        <v>3</v>
      </c>
      <c r="AC686" t="str">
        <f t="shared" si="76"/>
        <v/>
      </c>
    </row>
    <row r="687" spans="1:29" x14ac:dyDescent="0.2">
      <c r="A687" t="str">
        <f>IF(OR(Entry!$B690="",Entry!$E690="",$E687="نامعتبر"),"",Entry!$E690)</f>
        <v/>
      </c>
      <c r="B687" t="str">
        <f>IF($A687="","",LEFT($E687,4)&amp;MID($E687,6,2)&amp;RIGHT($E687,2)&amp;$F687&amp;"|"&amp;"1"&amp;RIGHT("00000"&amp;682,5))</f>
        <v/>
      </c>
      <c r="C687" t="str">
        <f t="shared" si="70"/>
        <v/>
      </c>
      <c r="D687" t="str">
        <f t="shared" si="71"/>
        <v/>
      </c>
      <c r="E687" t="str">
        <f>IF(Entry!$B690="","",IF(ISNUMBER(Entry!$B690),IF(AND(Entry!$B690&gt;=10000101,Entry!$B690&lt;=99991231),INT(Entry!$B690/10000)&amp;"/"&amp;RIGHT("00"&amp;INT(MOD(Entry!$B690,10000)/100),2)&amp;"/"&amp;RIGHT("00"&amp;MOD(Entry!$B690,100),2),"نامعتبر"),IF(LEN(Entry!$B690)=10,Entry!$B690,"نامعتبر")))</f>
        <v/>
      </c>
      <c r="F687" t="str">
        <f>IF(Entry!$B690="","",IF(Entry!$C690="","0000",IF(AND(ISNUMBER(Entry!$C690),Entry!$C690&gt;=0,Entry!$C690&lt;1),RIGHT("00"&amp;HOUR(Entry!$C690),2)&amp;RIGHT("00"&amp;MINUTE(Entry!$C690),2),IFERROR(RIGHT("00"&amp;VALUE(LEFT(Entry!$C690,FIND(":",Entry!$C690)-1)),2)&amp;RIGHT("00"&amp;VALUE(MID(Entry!$C690,FIND(":",Entry!$C690)+1,2)),2),"0000"))))</f>
        <v/>
      </c>
      <c r="G687" t="str">
        <f>IF($A687="","",Entry!$G690)</f>
        <v/>
      </c>
      <c r="H687" t="str">
        <f>IF($A687="","",IF(Entry!$H690="",0,Entry!$H690))</f>
        <v/>
      </c>
      <c r="I687" t="str">
        <f>IF($A687="","",IF(Entry!$I690="",0,Entry!$I690))</f>
        <v/>
      </c>
      <c r="J687" t="str">
        <f t="shared" si="72"/>
        <v/>
      </c>
      <c r="K687" t="str">
        <f>IF($A687="","",Entry!$D690)</f>
        <v/>
      </c>
      <c r="L687" t="str">
        <f>IF($A687="","",Entry!$L690)</f>
        <v/>
      </c>
      <c r="N687" t="str">
        <f>IF(OR(Sync!$M687="",$Q687="",$Q687="نامعتبر"),"",Sync!$M687)</f>
        <v/>
      </c>
      <c r="O687" t="str">
        <f t="shared" si="73"/>
        <v/>
      </c>
      <c r="P687" t="str">
        <f>IF($N687="","",LEFT($Q687,4)&amp;MID($Q687,6,2)&amp;RIGHT($Q687,2)&amp;IF(Sync!$K687="","0000",IF(AND(ISNUMBER(Sync!$K687),Sync!$K687&gt;=0,Sync!$K687&lt;1),RIGHT("00"&amp;HOUR(Sync!$K687),2)&amp;RIGHT("00"&amp;MINUTE(Sync!$K687),2),IFERROR(RIGHT("00"&amp;VALUE(LEFT(Sync!$K687,FIND(":",Sync!$K687)-1)),2)&amp;RIGHT("00"&amp;VALUE(MID(Sync!$K687,FIND(":",Sync!$K687)+1,2)),2),"0000")))&amp;"|"&amp;"2"&amp;RIGHT("00000"&amp;682,5))</f>
        <v/>
      </c>
      <c r="Q687" t="str">
        <f>IF(Sync!$J687="","",IF(ISNUMBER(Sync!$J687),IF(AND(Sync!$J687&gt;=10000101,Sync!$J687&lt;=99991231),INT(Sync!$J687/10000)&amp;"/"&amp;RIGHT("00"&amp;INT(MOD(Sync!$J687,10000)/100),2)&amp;"/"&amp;RIGHT("00"&amp;MOD(Sync!$J687,100),2),"نامعتبر"),IF(LEN(Sync!$J687)=10,Sync!$J687,"نامعتبر")))</f>
        <v/>
      </c>
      <c r="R687" t="str">
        <f t="shared" si="74"/>
        <v/>
      </c>
      <c r="S687" t="str">
        <f t="shared" si="75"/>
        <v/>
      </c>
      <c r="T687" t="str">
        <f>IF($N687="","",IF(Sync!$N687="",0,Sync!$N687))</f>
        <v/>
      </c>
      <c r="U687" t="str">
        <f>IF($N687="","",IF(Sync!$O687="",0,Sync!$O687))</f>
        <v/>
      </c>
      <c r="V687" t="str">
        <f>IF($N687="","",Sync!$L687)</f>
        <v/>
      </c>
      <c r="W687" t="str">
        <f>IF($N687="","",Sync!$P687)</f>
        <v/>
      </c>
      <c r="AA687" t="str">
        <f>IF($A687="","",IF(COUNTIF($A$6:$A687,$A687)=1,1,0))</f>
        <v/>
      </c>
      <c r="AB687">
        <f>SUM($AA$6:$AA687)</f>
        <v>3</v>
      </c>
      <c r="AC687" t="str">
        <f t="shared" si="76"/>
        <v/>
      </c>
    </row>
    <row r="688" spans="1:29" x14ac:dyDescent="0.2">
      <c r="A688" t="str">
        <f>IF(OR(Entry!$B691="",Entry!$E691="",$E688="نامعتبر"),"",Entry!$E691)</f>
        <v/>
      </c>
      <c r="B688" t="str">
        <f>IF($A688="","",LEFT($E688,4)&amp;MID($E688,6,2)&amp;RIGHT($E688,2)&amp;$F688&amp;"|"&amp;"1"&amp;RIGHT("00000"&amp;683,5))</f>
        <v/>
      </c>
      <c r="C688" t="str">
        <f t="shared" si="70"/>
        <v/>
      </c>
      <c r="D688" t="str">
        <f t="shared" si="71"/>
        <v/>
      </c>
      <c r="E688" t="str">
        <f>IF(Entry!$B691="","",IF(ISNUMBER(Entry!$B691),IF(AND(Entry!$B691&gt;=10000101,Entry!$B691&lt;=99991231),INT(Entry!$B691/10000)&amp;"/"&amp;RIGHT("00"&amp;INT(MOD(Entry!$B691,10000)/100),2)&amp;"/"&amp;RIGHT("00"&amp;MOD(Entry!$B691,100),2),"نامعتبر"),IF(LEN(Entry!$B691)=10,Entry!$B691,"نامعتبر")))</f>
        <v/>
      </c>
      <c r="F688" t="str">
        <f>IF(Entry!$B691="","",IF(Entry!$C691="","0000",IF(AND(ISNUMBER(Entry!$C691),Entry!$C691&gt;=0,Entry!$C691&lt;1),RIGHT("00"&amp;HOUR(Entry!$C691),2)&amp;RIGHT("00"&amp;MINUTE(Entry!$C691),2),IFERROR(RIGHT("00"&amp;VALUE(LEFT(Entry!$C691,FIND(":",Entry!$C691)-1)),2)&amp;RIGHT("00"&amp;VALUE(MID(Entry!$C691,FIND(":",Entry!$C691)+1,2)),2),"0000"))))</f>
        <v/>
      </c>
      <c r="G688" t="str">
        <f>IF($A688="","",Entry!$G691)</f>
        <v/>
      </c>
      <c r="H688" t="str">
        <f>IF($A688="","",IF(Entry!$H691="",0,Entry!$H691))</f>
        <v/>
      </c>
      <c r="I688" t="str">
        <f>IF($A688="","",IF(Entry!$I691="",0,Entry!$I691))</f>
        <v/>
      </c>
      <c r="J688" t="str">
        <f t="shared" si="72"/>
        <v/>
      </c>
      <c r="K688" t="str">
        <f>IF($A688="","",Entry!$D691)</f>
        <v/>
      </c>
      <c r="L688" t="str">
        <f>IF($A688="","",Entry!$L691)</f>
        <v/>
      </c>
      <c r="N688" t="str">
        <f>IF(OR(Sync!$M688="",$Q688="",$Q688="نامعتبر"),"",Sync!$M688)</f>
        <v/>
      </c>
      <c r="O688" t="str">
        <f t="shared" si="73"/>
        <v/>
      </c>
      <c r="P688" t="str">
        <f>IF($N688="","",LEFT($Q688,4)&amp;MID($Q688,6,2)&amp;RIGHT($Q688,2)&amp;IF(Sync!$K688="","0000",IF(AND(ISNUMBER(Sync!$K688),Sync!$K688&gt;=0,Sync!$K688&lt;1),RIGHT("00"&amp;HOUR(Sync!$K688),2)&amp;RIGHT("00"&amp;MINUTE(Sync!$K688),2),IFERROR(RIGHT("00"&amp;VALUE(LEFT(Sync!$K688,FIND(":",Sync!$K688)-1)),2)&amp;RIGHT("00"&amp;VALUE(MID(Sync!$K688,FIND(":",Sync!$K688)+1,2)),2),"0000")))&amp;"|"&amp;"2"&amp;RIGHT("00000"&amp;683,5))</f>
        <v/>
      </c>
      <c r="Q688" t="str">
        <f>IF(Sync!$J688="","",IF(ISNUMBER(Sync!$J688),IF(AND(Sync!$J688&gt;=10000101,Sync!$J688&lt;=99991231),INT(Sync!$J688/10000)&amp;"/"&amp;RIGHT("00"&amp;INT(MOD(Sync!$J688,10000)/100),2)&amp;"/"&amp;RIGHT("00"&amp;MOD(Sync!$J688,100),2),"نامعتبر"),IF(LEN(Sync!$J688)=10,Sync!$J688,"نامعتبر")))</f>
        <v/>
      </c>
      <c r="R688" t="str">
        <f t="shared" si="74"/>
        <v/>
      </c>
      <c r="S688" t="str">
        <f t="shared" si="75"/>
        <v/>
      </c>
      <c r="T688" t="str">
        <f>IF($N688="","",IF(Sync!$N688="",0,Sync!$N688))</f>
        <v/>
      </c>
      <c r="U688" t="str">
        <f>IF($N688="","",IF(Sync!$O688="",0,Sync!$O688))</f>
        <v/>
      </c>
      <c r="V688" t="str">
        <f>IF($N688="","",Sync!$L688)</f>
        <v/>
      </c>
      <c r="W688" t="str">
        <f>IF($N688="","",Sync!$P688)</f>
        <v/>
      </c>
      <c r="AA688" t="str">
        <f>IF($A688="","",IF(COUNTIF($A$6:$A688,$A688)=1,1,0))</f>
        <v/>
      </c>
      <c r="AB688">
        <f>SUM($AA$6:$AA688)</f>
        <v>3</v>
      </c>
      <c r="AC688" t="str">
        <f t="shared" si="76"/>
        <v/>
      </c>
    </row>
    <row r="689" spans="1:29" x14ac:dyDescent="0.2">
      <c r="A689" t="str">
        <f>IF(OR(Entry!$B692="",Entry!$E692="",$E689="نامعتبر"),"",Entry!$E692)</f>
        <v/>
      </c>
      <c r="B689" t="str">
        <f>IF($A689="","",LEFT($E689,4)&amp;MID($E689,6,2)&amp;RIGHT($E689,2)&amp;$F689&amp;"|"&amp;"1"&amp;RIGHT("00000"&amp;684,5))</f>
        <v/>
      </c>
      <c r="C689" t="str">
        <f t="shared" si="70"/>
        <v/>
      </c>
      <c r="D689" t="str">
        <f t="shared" si="71"/>
        <v/>
      </c>
      <c r="E689" t="str">
        <f>IF(Entry!$B692="","",IF(ISNUMBER(Entry!$B692),IF(AND(Entry!$B692&gt;=10000101,Entry!$B692&lt;=99991231),INT(Entry!$B692/10000)&amp;"/"&amp;RIGHT("00"&amp;INT(MOD(Entry!$B692,10000)/100),2)&amp;"/"&amp;RIGHT("00"&amp;MOD(Entry!$B692,100),2),"نامعتبر"),IF(LEN(Entry!$B692)=10,Entry!$B692,"نامعتبر")))</f>
        <v/>
      </c>
      <c r="F689" t="str">
        <f>IF(Entry!$B692="","",IF(Entry!$C692="","0000",IF(AND(ISNUMBER(Entry!$C692),Entry!$C692&gt;=0,Entry!$C692&lt;1),RIGHT("00"&amp;HOUR(Entry!$C692),2)&amp;RIGHT("00"&amp;MINUTE(Entry!$C692),2),IFERROR(RIGHT("00"&amp;VALUE(LEFT(Entry!$C692,FIND(":",Entry!$C692)-1)),2)&amp;RIGHT("00"&amp;VALUE(MID(Entry!$C692,FIND(":",Entry!$C692)+1,2)),2),"0000"))))</f>
        <v/>
      </c>
      <c r="G689" t="str">
        <f>IF($A689="","",Entry!$G692)</f>
        <v/>
      </c>
      <c r="H689" t="str">
        <f>IF($A689="","",IF(Entry!$H692="",0,Entry!$H692))</f>
        <v/>
      </c>
      <c r="I689" t="str">
        <f>IF($A689="","",IF(Entry!$I692="",0,Entry!$I692))</f>
        <v/>
      </c>
      <c r="J689" t="str">
        <f t="shared" si="72"/>
        <v/>
      </c>
      <c r="K689" t="str">
        <f>IF($A689="","",Entry!$D692)</f>
        <v/>
      </c>
      <c r="L689" t="str">
        <f>IF($A689="","",Entry!$L692)</f>
        <v/>
      </c>
      <c r="N689" t="str">
        <f>IF(OR(Sync!$M689="",$Q689="",$Q689="نامعتبر"),"",Sync!$M689)</f>
        <v/>
      </c>
      <c r="O689" t="str">
        <f t="shared" si="73"/>
        <v/>
      </c>
      <c r="P689" t="str">
        <f>IF($N689="","",LEFT($Q689,4)&amp;MID($Q689,6,2)&amp;RIGHT($Q689,2)&amp;IF(Sync!$K689="","0000",IF(AND(ISNUMBER(Sync!$K689),Sync!$K689&gt;=0,Sync!$K689&lt;1),RIGHT("00"&amp;HOUR(Sync!$K689),2)&amp;RIGHT("00"&amp;MINUTE(Sync!$K689),2),IFERROR(RIGHT("00"&amp;VALUE(LEFT(Sync!$K689,FIND(":",Sync!$K689)-1)),2)&amp;RIGHT("00"&amp;VALUE(MID(Sync!$K689,FIND(":",Sync!$K689)+1,2)),2),"0000")))&amp;"|"&amp;"2"&amp;RIGHT("00000"&amp;684,5))</f>
        <v/>
      </c>
      <c r="Q689" t="str">
        <f>IF(Sync!$J689="","",IF(ISNUMBER(Sync!$J689),IF(AND(Sync!$J689&gt;=10000101,Sync!$J689&lt;=99991231),INT(Sync!$J689/10000)&amp;"/"&amp;RIGHT("00"&amp;INT(MOD(Sync!$J689,10000)/100),2)&amp;"/"&amp;RIGHT("00"&amp;MOD(Sync!$J689,100),2),"نامعتبر"),IF(LEN(Sync!$J689)=10,Sync!$J689,"نامعتبر")))</f>
        <v/>
      </c>
      <c r="R689" t="str">
        <f t="shared" si="74"/>
        <v/>
      </c>
      <c r="S689" t="str">
        <f t="shared" si="75"/>
        <v/>
      </c>
      <c r="T689" t="str">
        <f>IF($N689="","",IF(Sync!$N689="",0,Sync!$N689))</f>
        <v/>
      </c>
      <c r="U689" t="str">
        <f>IF($N689="","",IF(Sync!$O689="",0,Sync!$O689))</f>
        <v/>
      </c>
      <c r="V689" t="str">
        <f>IF($N689="","",Sync!$L689)</f>
        <v/>
      </c>
      <c r="W689" t="str">
        <f>IF($N689="","",Sync!$P689)</f>
        <v/>
      </c>
      <c r="AA689" t="str">
        <f>IF($A689="","",IF(COUNTIF($A$6:$A689,$A689)=1,1,0))</f>
        <v/>
      </c>
      <c r="AB689">
        <f>SUM($AA$6:$AA689)</f>
        <v>3</v>
      </c>
      <c r="AC689" t="str">
        <f t="shared" si="76"/>
        <v/>
      </c>
    </row>
    <row r="690" spans="1:29" x14ac:dyDescent="0.2">
      <c r="A690" t="str">
        <f>IF(OR(Entry!$B693="",Entry!$E693="",$E690="نامعتبر"),"",Entry!$E693)</f>
        <v/>
      </c>
      <c r="B690" t="str">
        <f>IF($A690="","",LEFT($E690,4)&amp;MID($E690,6,2)&amp;RIGHT($E690,2)&amp;$F690&amp;"|"&amp;"1"&amp;RIGHT("00000"&amp;685,5))</f>
        <v/>
      </c>
      <c r="C690" t="str">
        <f t="shared" si="70"/>
        <v/>
      </c>
      <c r="D690" t="str">
        <f t="shared" si="71"/>
        <v/>
      </c>
      <c r="E690" t="str">
        <f>IF(Entry!$B693="","",IF(ISNUMBER(Entry!$B693),IF(AND(Entry!$B693&gt;=10000101,Entry!$B693&lt;=99991231),INT(Entry!$B693/10000)&amp;"/"&amp;RIGHT("00"&amp;INT(MOD(Entry!$B693,10000)/100),2)&amp;"/"&amp;RIGHT("00"&amp;MOD(Entry!$B693,100),2),"نامعتبر"),IF(LEN(Entry!$B693)=10,Entry!$B693,"نامعتبر")))</f>
        <v/>
      </c>
      <c r="F690" t="str">
        <f>IF(Entry!$B693="","",IF(Entry!$C693="","0000",IF(AND(ISNUMBER(Entry!$C693),Entry!$C693&gt;=0,Entry!$C693&lt;1),RIGHT("00"&amp;HOUR(Entry!$C693),2)&amp;RIGHT("00"&amp;MINUTE(Entry!$C693),2),IFERROR(RIGHT("00"&amp;VALUE(LEFT(Entry!$C693,FIND(":",Entry!$C693)-1)),2)&amp;RIGHT("00"&amp;VALUE(MID(Entry!$C693,FIND(":",Entry!$C693)+1,2)),2),"0000"))))</f>
        <v/>
      </c>
      <c r="G690" t="str">
        <f>IF($A690="","",Entry!$G693)</f>
        <v/>
      </c>
      <c r="H690" t="str">
        <f>IF($A690="","",IF(Entry!$H693="",0,Entry!$H693))</f>
        <v/>
      </c>
      <c r="I690" t="str">
        <f>IF($A690="","",IF(Entry!$I693="",0,Entry!$I693))</f>
        <v/>
      </c>
      <c r="J690" t="str">
        <f t="shared" si="72"/>
        <v/>
      </c>
      <c r="K690" t="str">
        <f>IF($A690="","",Entry!$D693)</f>
        <v/>
      </c>
      <c r="L690" t="str">
        <f>IF($A690="","",Entry!$L693)</f>
        <v/>
      </c>
      <c r="N690" t="str">
        <f>IF(OR(Sync!$M690="",$Q690="",$Q690="نامعتبر"),"",Sync!$M690)</f>
        <v/>
      </c>
      <c r="O690" t="str">
        <f t="shared" si="73"/>
        <v/>
      </c>
      <c r="P690" t="str">
        <f>IF($N690="","",LEFT($Q690,4)&amp;MID($Q690,6,2)&amp;RIGHT($Q690,2)&amp;IF(Sync!$K690="","0000",IF(AND(ISNUMBER(Sync!$K690),Sync!$K690&gt;=0,Sync!$K690&lt;1),RIGHT("00"&amp;HOUR(Sync!$K690),2)&amp;RIGHT("00"&amp;MINUTE(Sync!$K690),2),IFERROR(RIGHT("00"&amp;VALUE(LEFT(Sync!$K690,FIND(":",Sync!$K690)-1)),2)&amp;RIGHT("00"&amp;VALUE(MID(Sync!$K690,FIND(":",Sync!$K690)+1,2)),2),"0000")))&amp;"|"&amp;"2"&amp;RIGHT("00000"&amp;685,5))</f>
        <v/>
      </c>
      <c r="Q690" t="str">
        <f>IF(Sync!$J690="","",IF(ISNUMBER(Sync!$J690),IF(AND(Sync!$J690&gt;=10000101,Sync!$J690&lt;=99991231),INT(Sync!$J690/10000)&amp;"/"&amp;RIGHT("00"&amp;INT(MOD(Sync!$J690,10000)/100),2)&amp;"/"&amp;RIGHT("00"&amp;MOD(Sync!$J690,100),2),"نامعتبر"),IF(LEN(Sync!$J690)=10,Sync!$J690,"نامعتبر")))</f>
        <v/>
      </c>
      <c r="R690" t="str">
        <f t="shared" si="74"/>
        <v/>
      </c>
      <c r="S690" t="str">
        <f t="shared" si="75"/>
        <v/>
      </c>
      <c r="T690" t="str">
        <f>IF($N690="","",IF(Sync!$N690="",0,Sync!$N690))</f>
        <v/>
      </c>
      <c r="U690" t="str">
        <f>IF($N690="","",IF(Sync!$O690="",0,Sync!$O690))</f>
        <v/>
      </c>
      <c r="V690" t="str">
        <f>IF($N690="","",Sync!$L690)</f>
        <v/>
      </c>
      <c r="W690" t="str">
        <f>IF($N690="","",Sync!$P690)</f>
        <v/>
      </c>
      <c r="AA690" t="str">
        <f>IF($A690="","",IF(COUNTIF($A$6:$A690,$A690)=1,1,0))</f>
        <v/>
      </c>
      <c r="AB690">
        <f>SUM($AA$6:$AA690)</f>
        <v>3</v>
      </c>
      <c r="AC690" t="str">
        <f t="shared" si="76"/>
        <v/>
      </c>
    </row>
    <row r="691" spans="1:29" x14ac:dyDescent="0.2">
      <c r="A691" t="str">
        <f>IF(OR(Entry!$B694="",Entry!$E694="",$E691="نامعتبر"),"",Entry!$E694)</f>
        <v/>
      </c>
      <c r="B691" t="str">
        <f>IF($A691="","",LEFT($E691,4)&amp;MID($E691,6,2)&amp;RIGHT($E691,2)&amp;$F691&amp;"|"&amp;"1"&amp;RIGHT("00000"&amp;686,5))</f>
        <v/>
      </c>
      <c r="C691" t="str">
        <f t="shared" si="70"/>
        <v/>
      </c>
      <c r="D691" t="str">
        <f t="shared" si="71"/>
        <v/>
      </c>
      <c r="E691" t="str">
        <f>IF(Entry!$B694="","",IF(ISNUMBER(Entry!$B694),IF(AND(Entry!$B694&gt;=10000101,Entry!$B694&lt;=99991231),INT(Entry!$B694/10000)&amp;"/"&amp;RIGHT("00"&amp;INT(MOD(Entry!$B694,10000)/100),2)&amp;"/"&amp;RIGHT("00"&amp;MOD(Entry!$B694,100),2),"نامعتبر"),IF(LEN(Entry!$B694)=10,Entry!$B694,"نامعتبر")))</f>
        <v/>
      </c>
      <c r="F691" t="str">
        <f>IF(Entry!$B694="","",IF(Entry!$C694="","0000",IF(AND(ISNUMBER(Entry!$C694),Entry!$C694&gt;=0,Entry!$C694&lt;1),RIGHT("00"&amp;HOUR(Entry!$C694),2)&amp;RIGHT("00"&amp;MINUTE(Entry!$C694),2),IFERROR(RIGHT("00"&amp;VALUE(LEFT(Entry!$C694,FIND(":",Entry!$C694)-1)),2)&amp;RIGHT("00"&amp;VALUE(MID(Entry!$C694,FIND(":",Entry!$C694)+1,2)),2),"0000"))))</f>
        <v/>
      </c>
      <c r="G691" t="str">
        <f>IF($A691="","",Entry!$G694)</f>
        <v/>
      </c>
      <c r="H691" t="str">
        <f>IF($A691="","",IF(Entry!$H694="",0,Entry!$H694))</f>
        <v/>
      </c>
      <c r="I691" t="str">
        <f>IF($A691="","",IF(Entry!$I694="",0,Entry!$I694))</f>
        <v/>
      </c>
      <c r="J691" t="str">
        <f t="shared" si="72"/>
        <v/>
      </c>
      <c r="K691" t="str">
        <f>IF($A691="","",Entry!$D694)</f>
        <v/>
      </c>
      <c r="L691" t="str">
        <f>IF($A691="","",Entry!$L694)</f>
        <v/>
      </c>
      <c r="N691" t="str">
        <f>IF(OR(Sync!$M691="",$Q691="",$Q691="نامعتبر"),"",Sync!$M691)</f>
        <v/>
      </c>
      <c r="O691" t="str">
        <f t="shared" si="73"/>
        <v/>
      </c>
      <c r="P691" t="str">
        <f>IF($N691="","",LEFT($Q691,4)&amp;MID($Q691,6,2)&amp;RIGHT($Q691,2)&amp;IF(Sync!$K691="","0000",IF(AND(ISNUMBER(Sync!$K691),Sync!$K691&gt;=0,Sync!$K691&lt;1),RIGHT("00"&amp;HOUR(Sync!$K691),2)&amp;RIGHT("00"&amp;MINUTE(Sync!$K691),2),IFERROR(RIGHT("00"&amp;VALUE(LEFT(Sync!$K691,FIND(":",Sync!$K691)-1)),2)&amp;RIGHT("00"&amp;VALUE(MID(Sync!$K691,FIND(":",Sync!$K691)+1,2)),2),"0000")))&amp;"|"&amp;"2"&amp;RIGHT("00000"&amp;686,5))</f>
        <v/>
      </c>
      <c r="Q691" t="str">
        <f>IF(Sync!$J691="","",IF(ISNUMBER(Sync!$J691),IF(AND(Sync!$J691&gt;=10000101,Sync!$J691&lt;=99991231),INT(Sync!$J691/10000)&amp;"/"&amp;RIGHT("00"&amp;INT(MOD(Sync!$J691,10000)/100),2)&amp;"/"&amp;RIGHT("00"&amp;MOD(Sync!$J691,100),2),"نامعتبر"),IF(LEN(Sync!$J691)=10,Sync!$J691,"نامعتبر")))</f>
        <v/>
      </c>
      <c r="R691" t="str">
        <f t="shared" si="74"/>
        <v/>
      </c>
      <c r="S691" t="str">
        <f t="shared" si="75"/>
        <v/>
      </c>
      <c r="T691" t="str">
        <f>IF($N691="","",IF(Sync!$N691="",0,Sync!$N691))</f>
        <v/>
      </c>
      <c r="U691" t="str">
        <f>IF($N691="","",IF(Sync!$O691="",0,Sync!$O691))</f>
        <v/>
      </c>
      <c r="V691" t="str">
        <f>IF($N691="","",Sync!$L691)</f>
        <v/>
      </c>
      <c r="W691" t="str">
        <f>IF($N691="","",Sync!$P691)</f>
        <v/>
      </c>
      <c r="AA691" t="str">
        <f>IF($A691="","",IF(COUNTIF($A$6:$A691,$A691)=1,1,0))</f>
        <v/>
      </c>
      <c r="AB691">
        <f>SUM($AA$6:$AA691)</f>
        <v>3</v>
      </c>
      <c r="AC691" t="str">
        <f t="shared" si="76"/>
        <v/>
      </c>
    </row>
    <row r="692" spans="1:29" x14ac:dyDescent="0.2">
      <c r="A692" t="str">
        <f>IF(OR(Entry!$B695="",Entry!$E695="",$E692="نامعتبر"),"",Entry!$E695)</f>
        <v/>
      </c>
      <c r="B692" t="str">
        <f>IF($A692="","",LEFT($E692,4)&amp;MID($E692,6,2)&amp;RIGHT($E692,2)&amp;$F692&amp;"|"&amp;"1"&amp;RIGHT("00000"&amp;687,5))</f>
        <v/>
      </c>
      <c r="C692" t="str">
        <f t="shared" si="70"/>
        <v/>
      </c>
      <c r="D692" t="str">
        <f t="shared" si="71"/>
        <v/>
      </c>
      <c r="E692" t="str">
        <f>IF(Entry!$B695="","",IF(ISNUMBER(Entry!$B695),IF(AND(Entry!$B695&gt;=10000101,Entry!$B695&lt;=99991231),INT(Entry!$B695/10000)&amp;"/"&amp;RIGHT("00"&amp;INT(MOD(Entry!$B695,10000)/100),2)&amp;"/"&amp;RIGHT("00"&amp;MOD(Entry!$B695,100),2),"نامعتبر"),IF(LEN(Entry!$B695)=10,Entry!$B695,"نامعتبر")))</f>
        <v/>
      </c>
      <c r="F692" t="str">
        <f>IF(Entry!$B695="","",IF(Entry!$C695="","0000",IF(AND(ISNUMBER(Entry!$C695),Entry!$C695&gt;=0,Entry!$C695&lt;1),RIGHT("00"&amp;HOUR(Entry!$C695),2)&amp;RIGHT("00"&amp;MINUTE(Entry!$C695),2),IFERROR(RIGHT("00"&amp;VALUE(LEFT(Entry!$C695,FIND(":",Entry!$C695)-1)),2)&amp;RIGHT("00"&amp;VALUE(MID(Entry!$C695,FIND(":",Entry!$C695)+1,2)),2),"0000"))))</f>
        <v/>
      </c>
      <c r="G692" t="str">
        <f>IF($A692="","",Entry!$G695)</f>
        <v/>
      </c>
      <c r="H692" t="str">
        <f>IF($A692="","",IF(Entry!$H695="",0,Entry!$H695))</f>
        <v/>
      </c>
      <c r="I692" t="str">
        <f>IF($A692="","",IF(Entry!$I695="",0,Entry!$I695))</f>
        <v/>
      </c>
      <c r="J692" t="str">
        <f t="shared" si="72"/>
        <v/>
      </c>
      <c r="K692" t="str">
        <f>IF($A692="","",Entry!$D695)</f>
        <v/>
      </c>
      <c r="L692" t="str">
        <f>IF($A692="","",Entry!$L695)</f>
        <v/>
      </c>
      <c r="N692" t="str">
        <f>IF(OR(Sync!$M692="",$Q692="",$Q692="نامعتبر"),"",Sync!$M692)</f>
        <v/>
      </c>
      <c r="O692" t="str">
        <f t="shared" si="73"/>
        <v/>
      </c>
      <c r="P692" t="str">
        <f>IF($N692="","",LEFT($Q692,4)&amp;MID($Q692,6,2)&amp;RIGHT($Q692,2)&amp;IF(Sync!$K692="","0000",IF(AND(ISNUMBER(Sync!$K692),Sync!$K692&gt;=0,Sync!$K692&lt;1),RIGHT("00"&amp;HOUR(Sync!$K692),2)&amp;RIGHT("00"&amp;MINUTE(Sync!$K692),2),IFERROR(RIGHT("00"&amp;VALUE(LEFT(Sync!$K692,FIND(":",Sync!$K692)-1)),2)&amp;RIGHT("00"&amp;VALUE(MID(Sync!$K692,FIND(":",Sync!$K692)+1,2)),2),"0000")))&amp;"|"&amp;"2"&amp;RIGHT("00000"&amp;687,5))</f>
        <v/>
      </c>
      <c r="Q692" t="str">
        <f>IF(Sync!$J692="","",IF(ISNUMBER(Sync!$J692),IF(AND(Sync!$J692&gt;=10000101,Sync!$J692&lt;=99991231),INT(Sync!$J692/10000)&amp;"/"&amp;RIGHT("00"&amp;INT(MOD(Sync!$J692,10000)/100),2)&amp;"/"&amp;RIGHT("00"&amp;MOD(Sync!$J692,100),2),"نامعتبر"),IF(LEN(Sync!$J692)=10,Sync!$J692,"نامعتبر")))</f>
        <v/>
      </c>
      <c r="R692" t="str">
        <f t="shared" si="74"/>
        <v/>
      </c>
      <c r="S692" t="str">
        <f t="shared" si="75"/>
        <v/>
      </c>
      <c r="T692" t="str">
        <f>IF($N692="","",IF(Sync!$N692="",0,Sync!$N692))</f>
        <v/>
      </c>
      <c r="U692" t="str">
        <f>IF($N692="","",IF(Sync!$O692="",0,Sync!$O692))</f>
        <v/>
      </c>
      <c r="V692" t="str">
        <f>IF($N692="","",Sync!$L692)</f>
        <v/>
      </c>
      <c r="W692" t="str">
        <f>IF($N692="","",Sync!$P692)</f>
        <v/>
      </c>
      <c r="AA692" t="str">
        <f>IF($A692="","",IF(COUNTIF($A$6:$A692,$A692)=1,1,0))</f>
        <v/>
      </c>
      <c r="AB692">
        <f>SUM($AA$6:$AA692)</f>
        <v>3</v>
      </c>
      <c r="AC692" t="str">
        <f t="shared" si="76"/>
        <v/>
      </c>
    </row>
    <row r="693" spans="1:29" x14ac:dyDescent="0.2">
      <c r="A693" t="str">
        <f>IF(OR(Entry!$B696="",Entry!$E696="",$E693="نامعتبر"),"",Entry!$E696)</f>
        <v/>
      </c>
      <c r="B693" t="str">
        <f>IF($A693="","",LEFT($E693,4)&amp;MID($E693,6,2)&amp;RIGHT($E693,2)&amp;$F693&amp;"|"&amp;"1"&amp;RIGHT("00000"&amp;688,5))</f>
        <v/>
      </c>
      <c r="C693" t="str">
        <f t="shared" si="70"/>
        <v/>
      </c>
      <c r="D693" t="str">
        <f t="shared" si="71"/>
        <v/>
      </c>
      <c r="E693" t="str">
        <f>IF(Entry!$B696="","",IF(ISNUMBER(Entry!$B696),IF(AND(Entry!$B696&gt;=10000101,Entry!$B696&lt;=99991231),INT(Entry!$B696/10000)&amp;"/"&amp;RIGHT("00"&amp;INT(MOD(Entry!$B696,10000)/100),2)&amp;"/"&amp;RIGHT("00"&amp;MOD(Entry!$B696,100),2),"نامعتبر"),IF(LEN(Entry!$B696)=10,Entry!$B696,"نامعتبر")))</f>
        <v/>
      </c>
      <c r="F693" t="str">
        <f>IF(Entry!$B696="","",IF(Entry!$C696="","0000",IF(AND(ISNUMBER(Entry!$C696),Entry!$C696&gt;=0,Entry!$C696&lt;1),RIGHT("00"&amp;HOUR(Entry!$C696),2)&amp;RIGHT("00"&amp;MINUTE(Entry!$C696),2),IFERROR(RIGHT("00"&amp;VALUE(LEFT(Entry!$C696,FIND(":",Entry!$C696)-1)),2)&amp;RIGHT("00"&amp;VALUE(MID(Entry!$C696,FIND(":",Entry!$C696)+1,2)),2),"0000"))))</f>
        <v/>
      </c>
      <c r="G693" t="str">
        <f>IF($A693="","",Entry!$G696)</f>
        <v/>
      </c>
      <c r="H693" t="str">
        <f>IF($A693="","",IF(Entry!$H696="",0,Entry!$H696))</f>
        <v/>
      </c>
      <c r="I693" t="str">
        <f>IF($A693="","",IF(Entry!$I696="",0,Entry!$I696))</f>
        <v/>
      </c>
      <c r="J693" t="str">
        <f t="shared" si="72"/>
        <v/>
      </c>
      <c r="K693" t="str">
        <f>IF($A693="","",Entry!$D696)</f>
        <v/>
      </c>
      <c r="L693" t="str">
        <f>IF($A693="","",Entry!$L696)</f>
        <v/>
      </c>
      <c r="N693" t="str">
        <f>IF(OR(Sync!$M693="",$Q693="",$Q693="نامعتبر"),"",Sync!$M693)</f>
        <v/>
      </c>
      <c r="O693" t="str">
        <f t="shared" si="73"/>
        <v/>
      </c>
      <c r="P693" t="str">
        <f>IF($N693="","",LEFT($Q693,4)&amp;MID($Q693,6,2)&amp;RIGHT($Q693,2)&amp;IF(Sync!$K693="","0000",IF(AND(ISNUMBER(Sync!$K693),Sync!$K693&gt;=0,Sync!$K693&lt;1),RIGHT("00"&amp;HOUR(Sync!$K693),2)&amp;RIGHT("00"&amp;MINUTE(Sync!$K693),2),IFERROR(RIGHT("00"&amp;VALUE(LEFT(Sync!$K693,FIND(":",Sync!$K693)-1)),2)&amp;RIGHT("00"&amp;VALUE(MID(Sync!$K693,FIND(":",Sync!$K693)+1,2)),2),"0000")))&amp;"|"&amp;"2"&amp;RIGHT("00000"&amp;688,5))</f>
        <v/>
      </c>
      <c r="Q693" t="str">
        <f>IF(Sync!$J693="","",IF(ISNUMBER(Sync!$J693),IF(AND(Sync!$J693&gt;=10000101,Sync!$J693&lt;=99991231),INT(Sync!$J693/10000)&amp;"/"&amp;RIGHT("00"&amp;INT(MOD(Sync!$J693,10000)/100),2)&amp;"/"&amp;RIGHT("00"&amp;MOD(Sync!$J693,100),2),"نامعتبر"),IF(LEN(Sync!$J693)=10,Sync!$J693,"نامعتبر")))</f>
        <v/>
      </c>
      <c r="R693" t="str">
        <f t="shared" si="74"/>
        <v/>
      </c>
      <c r="S693" t="str">
        <f t="shared" si="75"/>
        <v/>
      </c>
      <c r="T693" t="str">
        <f>IF($N693="","",IF(Sync!$N693="",0,Sync!$N693))</f>
        <v/>
      </c>
      <c r="U693" t="str">
        <f>IF($N693="","",IF(Sync!$O693="",0,Sync!$O693))</f>
        <v/>
      </c>
      <c r="V693" t="str">
        <f>IF($N693="","",Sync!$L693)</f>
        <v/>
      </c>
      <c r="W693" t="str">
        <f>IF($N693="","",Sync!$P693)</f>
        <v/>
      </c>
      <c r="AA693" t="str">
        <f>IF($A693="","",IF(COUNTIF($A$6:$A693,$A693)=1,1,0))</f>
        <v/>
      </c>
      <c r="AB693">
        <f>SUM($AA$6:$AA693)</f>
        <v>3</v>
      </c>
      <c r="AC693" t="str">
        <f t="shared" si="76"/>
        <v/>
      </c>
    </row>
    <row r="694" spans="1:29" x14ac:dyDescent="0.2">
      <c r="A694" t="str">
        <f>IF(OR(Entry!$B697="",Entry!$E697="",$E694="نامعتبر"),"",Entry!$E697)</f>
        <v/>
      </c>
      <c r="B694" t="str">
        <f>IF($A694="","",LEFT($E694,4)&amp;MID($E694,6,2)&amp;RIGHT($E694,2)&amp;$F694&amp;"|"&amp;"1"&amp;RIGHT("00000"&amp;689,5))</f>
        <v/>
      </c>
      <c r="C694" t="str">
        <f t="shared" si="70"/>
        <v/>
      </c>
      <c r="D694" t="str">
        <f t="shared" si="71"/>
        <v/>
      </c>
      <c r="E694" t="str">
        <f>IF(Entry!$B697="","",IF(ISNUMBER(Entry!$B697),IF(AND(Entry!$B697&gt;=10000101,Entry!$B697&lt;=99991231),INT(Entry!$B697/10000)&amp;"/"&amp;RIGHT("00"&amp;INT(MOD(Entry!$B697,10000)/100),2)&amp;"/"&amp;RIGHT("00"&amp;MOD(Entry!$B697,100),2),"نامعتبر"),IF(LEN(Entry!$B697)=10,Entry!$B697,"نامعتبر")))</f>
        <v/>
      </c>
      <c r="F694" t="str">
        <f>IF(Entry!$B697="","",IF(Entry!$C697="","0000",IF(AND(ISNUMBER(Entry!$C697),Entry!$C697&gt;=0,Entry!$C697&lt;1),RIGHT("00"&amp;HOUR(Entry!$C697),2)&amp;RIGHT("00"&amp;MINUTE(Entry!$C697),2),IFERROR(RIGHT("00"&amp;VALUE(LEFT(Entry!$C697,FIND(":",Entry!$C697)-1)),2)&amp;RIGHT("00"&amp;VALUE(MID(Entry!$C697,FIND(":",Entry!$C697)+1,2)),2),"0000"))))</f>
        <v/>
      </c>
      <c r="G694" t="str">
        <f>IF($A694="","",Entry!$G697)</f>
        <v/>
      </c>
      <c r="H694" t="str">
        <f>IF($A694="","",IF(Entry!$H697="",0,Entry!$H697))</f>
        <v/>
      </c>
      <c r="I694" t="str">
        <f>IF($A694="","",IF(Entry!$I697="",0,Entry!$I697))</f>
        <v/>
      </c>
      <c r="J694" t="str">
        <f t="shared" si="72"/>
        <v/>
      </c>
      <c r="K694" t="str">
        <f>IF($A694="","",Entry!$D697)</f>
        <v/>
      </c>
      <c r="L694" t="str">
        <f>IF($A694="","",Entry!$L697)</f>
        <v/>
      </c>
      <c r="N694" t="str">
        <f>IF(OR(Sync!$M694="",$Q694="",$Q694="نامعتبر"),"",Sync!$M694)</f>
        <v/>
      </c>
      <c r="O694" t="str">
        <f t="shared" si="73"/>
        <v/>
      </c>
      <c r="P694" t="str">
        <f>IF($N694="","",LEFT($Q694,4)&amp;MID($Q694,6,2)&amp;RIGHT($Q694,2)&amp;IF(Sync!$K694="","0000",IF(AND(ISNUMBER(Sync!$K694),Sync!$K694&gt;=0,Sync!$K694&lt;1),RIGHT("00"&amp;HOUR(Sync!$K694),2)&amp;RIGHT("00"&amp;MINUTE(Sync!$K694),2),IFERROR(RIGHT("00"&amp;VALUE(LEFT(Sync!$K694,FIND(":",Sync!$K694)-1)),2)&amp;RIGHT("00"&amp;VALUE(MID(Sync!$K694,FIND(":",Sync!$K694)+1,2)),2),"0000")))&amp;"|"&amp;"2"&amp;RIGHT("00000"&amp;689,5))</f>
        <v/>
      </c>
      <c r="Q694" t="str">
        <f>IF(Sync!$J694="","",IF(ISNUMBER(Sync!$J694),IF(AND(Sync!$J694&gt;=10000101,Sync!$J694&lt;=99991231),INT(Sync!$J694/10000)&amp;"/"&amp;RIGHT("00"&amp;INT(MOD(Sync!$J694,10000)/100),2)&amp;"/"&amp;RIGHT("00"&amp;MOD(Sync!$J694,100),2),"نامعتبر"),IF(LEN(Sync!$J694)=10,Sync!$J694,"نامعتبر")))</f>
        <v/>
      </c>
      <c r="R694" t="str">
        <f t="shared" si="74"/>
        <v/>
      </c>
      <c r="S694" t="str">
        <f t="shared" si="75"/>
        <v/>
      </c>
      <c r="T694" t="str">
        <f>IF($N694="","",IF(Sync!$N694="",0,Sync!$N694))</f>
        <v/>
      </c>
      <c r="U694" t="str">
        <f>IF($N694="","",IF(Sync!$O694="",0,Sync!$O694))</f>
        <v/>
      </c>
      <c r="V694" t="str">
        <f>IF($N694="","",Sync!$L694)</f>
        <v/>
      </c>
      <c r="W694" t="str">
        <f>IF($N694="","",Sync!$P694)</f>
        <v/>
      </c>
      <c r="AA694" t="str">
        <f>IF($A694="","",IF(COUNTIF($A$6:$A694,$A694)=1,1,0))</f>
        <v/>
      </c>
      <c r="AB694">
        <f>SUM($AA$6:$AA694)</f>
        <v>3</v>
      </c>
      <c r="AC694" t="str">
        <f t="shared" si="76"/>
        <v/>
      </c>
    </row>
    <row r="695" spans="1:29" x14ac:dyDescent="0.2">
      <c r="A695" t="str">
        <f>IF(OR(Entry!$B698="",Entry!$E698="",$E695="نامعتبر"),"",Entry!$E698)</f>
        <v/>
      </c>
      <c r="B695" t="str">
        <f>IF($A695="","",LEFT($E695,4)&amp;MID($E695,6,2)&amp;RIGHT($E695,2)&amp;$F695&amp;"|"&amp;"1"&amp;RIGHT("00000"&amp;690,5))</f>
        <v/>
      </c>
      <c r="C695" t="str">
        <f t="shared" si="70"/>
        <v/>
      </c>
      <c r="D695" t="str">
        <f t="shared" si="71"/>
        <v/>
      </c>
      <c r="E695" t="str">
        <f>IF(Entry!$B698="","",IF(ISNUMBER(Entry!$B698),IF(AND(Entry!$B698&gt;=10000101,Entry!$B698&lt;=99991231),INT(Entry!$B698/10000)&amp;"/"&amp;RIGHT("00"&amp;INT(MOD(Entry!$B698,10000)/100),2)&amp;"/"&amp;RIGHT("00"&amp;MOD(Entry!$B698,100),2),"نامعتبر"),IF(LEN(Entry!$B698)=10,Entry!$B698,"نامعتبر")))</f>
        <v/>
      </c>
      <c r="F695" t="str">
        <f>IF(Entry!$B698="","",IF(Entry!$C698="","0000",IF(AND(ISNUMBER(Entry!$C698),Entry!$C698&gt;=0,Entry!$C698&lt;1),RIGHT("00"&amp;HOUR(Entry!$C698),2)&amp;RIGHT("00"&amp;MINUTE(Entry!$C698),2),IFERROR(RIGHT("00"&amp;VALUE(LEFT(Entry!$C698,FIND(":",Entry!$C698)-1)),2)&amp;RIGHT("00"&amp;VALUE(MID(Entry!$C698,FIND(":",Entry!$C698)+1,2)),2),"0000"))))</f>
        <v/>
      </c>
      <c r="G695" t="str">
        <f>IF($A695="","",Entry!$G698)</f>
        <v/>
      </c>
      <c r="H695" t="str">
        <f>IF($A695="","",IF(Entry!$H698="",0,Entry!$H698))</f>
        <v/>
      </c>
      <c r="I695" t="str">
        <f>IF($A695="","",IF(Entry!$I698="",0,Entry!$I698))</f>
        <v/>
      </c>
      <c r="J695" t="str">
        <f t="shared" si="72"/>
        <v/>
      </c>
      <c r="K695" t="str">
        <f>IF($A695="","",Entry!$D698)</f>
        <v/>
      </c>
      <c r="L695" t="str">
        <f>IF($A695="","",Entry!$L698)</f>
        <v/>
      </c>
      <c r="N695" t="str">
        <f>IF(OR(Sync!$M695="",$Q695="",$Q695="نامعتبر"),"",Sync!$M695)</f>
        <v/>
      </c>
      <c r="O695" t="str">
        <f t="shared" si="73"/>
        <v/>
      </c>
      <c r="P695" t="str">
        <f>IF($N695="","",LEFT($Q695,4)&amp;MID($Q695,6,2)&amp;RIGHT($Q695,2)&amp;IF(Sync!$K695="","0000",IF(AND(ISNUMBER(Sync!$K695),Sync!$K695&gt;=0,Sync!$K695&lt;1),RIGHT("00"&amp;HOUR(Sync!$K695),2)&amp;RIGHT("00"&amp;MINUTE(Sync!$K695),2),IFERROR(RIGHT("00"&amp;VALUE(LEFT(Sync!$K695,FIND(":",Sync!$K695)-1)),2)&amp;RIGHT("00"&amp;VALUE(MID(Sync!$K695,FIND(":",Sync!$K695)+1,2)),2),"0000")))&amp;"|"&amp;"2"&amp;RIGHT("00000"&amp;690,5))</f>
        <v/>
      </c>
      <c r="Q695" t="str">
        <f>IF(Sync!$J695="","",IF(ISNUMBER(Sync!$J695),IF(AND(Sync!$J695&gt;=10000101,Sync!$J695&lt;=99991231),INT(Sync!$J695/10000)&amp;"/"&amp;RIGHT("00"&amp;INT(MOD(Sync!$J695,10000)/100),2)&amp;"/"&amp;RIGHT("00"&amp;MOD(Sync!$J695,100),2),"نامعتبر"),IF(LEN(Sync!$J695)=10,Sync!$J695,"نامعتبر")))</f>
        <v/>
      </c>
      <c r="R695" t="str">
        <f t="shared" si="74"/>
        <v/>
      </c>
      <c r="S695" t="str">
        <f t="shared" si="75"/>
        <v/>
      </c>
      <c r="T695" t="str">
        <f>IF($N695="","",IF(Sync!$N695="",0,Sync!$N695))</f>
        <v/>
      </c>
      <c r="U695" t="str">
        <f>IF($N695="","",IF(Sync!$O695="",0,Sync!$O695))</f>
        <v/>
      </c>
      <c r="V695" t="str">
        <f>IF($N695="","",Sync!$L695)</f>
        <v/>
      </c>
      <c r="W695" t="str">
        <f>IF($N695="","",Sync!$P695)</f>
        <v/>
      </c>
      <c r="AA695" t="str">
        <f>IF($A695="","",IF(COUNTIF($A$6:$A695,$A695)=1,1,0))</f>
        <v/>
      </c>
      <c r="AB695">
        <f>SUM($AA$6:$AA695)</f>
        <v>3</v>
      </c>
      <c r="AC695" t="str">
        <f t="shared" si="76"/>
        <v/>
      </c>
    </row>
    <row r="696" spans="1:29" x14ac:dyDescent="0.2">
      <c r="A696" t="str">
        <f>IF(OR(Entry!$B699="",Entry!$E699="",$E696="نامعتبر"),"",Entry!$E699)</f>
        <v/>
      </c>
      <c r="B696" t="str">
        <f>IF($A696="","",LEFT($E696,4)&amp;MID($E696,6,2)&amp;RIGHT($E696,2)&amp;$F696&amp;"|"&amp;"1"&amp;RIGHT("00000"&amp;691,5))</f>
        <v/>
      </c>
      <c r="C696" t="str">
        <f t="shared" si="70"/>
        <v/>
      </c>
      <c r="D696" t="str">
        <f t="shared" si="71"/>
        <v/>
      </c>
      <c r="E696" t="str">
        <f>IF(Entry!$B699="","",IF(ISNUMBER(Entry!$B699),IF(AND(Entry!$B699&gt;=10000101,Entry!$B699&lt;=99991231),INT(Entry!$B699/10000)&amp;"/"&amp;RIGHT("00"&amp;INT(MOD(Entry!$B699,10000)/100),2)&amp;"/"&amp;RIGHT("00"&amp;MOD(Entry!$B699,100),2),"نامعتبر"),IF(LEN(Entry!$B699)=10,Entry!$B699,"نامعتبر")))</f>
        <v/>
      </c>
      <c r="F696" t="str">
        <f>IF(Entry!$B699="","",IF(Entry!$C699="","0000",IF(AND(ISNUMBER(Entry!$C699),Entry!$C699&gt;=0,Entry!$C699&lt;1),RIGHT("00"&amp;HOUR(Entry!$C699),2)&amp;RIGHT("00"&amp;MINUTE(Entry!$C699),2),IFERROR(RIGHT("00"&amp;VALUE(LEFT(Entry!$C699,FIND(":",Entry!$C699)-1)),2)&amp;RIGHT("00"&amp;VALUE(MID(Entry!$C699,FIND(":",Entry!$C699)+1,2)),2),"0000"))))</f>
        <v/>
      </c>
      <c r="G696" t="str">
        <f>IF($A696="","",Entry!$G699)</f>
        <v/>
      </c>
      <c r="H696" t="str">
        <f>IF($A696="","",IF(Entry!$H699="",0,Entry!$H699))</f>
        <v/>
      </c>
      <c r="I696" t="str">
        <f>IF($A696="","",IF(Entry!$I699="",0,Entry!$I699))</f>
        <v/>
      </c>
      <c r="J696" t="str">
        <f t="shared" si="72"/>
        <v/>
      </c>
      <c r="K696" t="str">
        <f>IF($A696="","",Entry!$D699)</f>
        <v/>
      </c>
      <c r="L696" t="str">
        <f>IF($A696="","",Entry!$L699)</f>
        <v/>
      </c>
      <c r="N696" t="str">
        <f>IF(OR(Sync!$M696="",$Q696="",$Q696="نامعتبر"),"",Sync!$M696)</f>
        <v/>
      </c>
      <c r="O696" t="str">
        <f t="shared" si="73"/>
        <v/>
      </c>
      <c r="P696" t="str">
        <f>IF($N696="","",LEFT($Q696,4)&amp;MID($Q696,6,2)&amp;RIGHT($Q696,2)&amp;IF(Sync!$K696="","0000",IF(AND(ISNUMBER(Sync!$K696),Sync!$K696&gt;=0,Sync!$K696&lt;1),RIGHT("00"&amp;HOUR(Sync!$K696),2)&amp;RIGHT("00"&amp;MINUTE(Sync!$K696),2),IFERROR(RIGHT("00"&amp;VALUE(LEFT(Sync!$K696,FIND(":",Sync!$K696)-1)),2)&amp;RIGHT("00"&amp;VALUE(MID(Sync!$K696,FIND(":",Sync!$K696)+1,2)),2),"0000")))&amp;"|"&amp;"2"&amp;RIGHT("00000"&amp;691,5))</f>
        <v/>
      </c>
      <c r="Q696" t="str">
        <f>IF(Sync!$J696="","",IF(ISNUMBER(Sync!$J696),IF(AND(Sync!$J696&gt;=10000101,Sync!$J696&lt;=99991231),INT(Sync!$J696/10000)&amp;"/"&amp;RIGHT("00"&amp;INT(MOD(Sync!$J696,10000)/100),2)&amp;"/"&amp;RIGHT("00"&amp;MOD(Sync!$J696,100),2),"نامعتبر"),IF(LEN(Sync!$J696)=10,Sync!$J696,"نامعتبر")))</f>
        <v/>
      </c>
      <c r="R696" t="str">
        <f t="shared" si="74"/>
        <v/>
      </c>
      <c r="S696" t="str">
        <f t="shared" si="75"/>
        <v/>
      </c>
      <c r="T696" t="str">
        <f>IF($N696="","",IF(Sync!$N696="",0,Sync!$N696))</f>
        <v/>
      </c>
      <c r="U696" t="str">
        <f>IF($N696="","",IF(Sync!$O696="",0,Sync!$O696))</f>
        <v/>
      </c>
      <c r="V696" t="str">
        <f>IF($N696="","",Sync!$L696)</f>
        <v/>
      </c>
      <c r="W696" t="str">
        <f>IF($N696="","",Sync!$P696)</f>
        <v/>
      </c>
      <c r="AA696" t="str">
        <f>IF($A696="","",IF(COUNTIF($A$6:$A696,$A696)=1,1,0))</f>
        <v/>
      </c>
      <c r="AB696">
        <f>SUM($AA$6:$AA696)</f>
        <v>3</v>
      </c>
      <c r="AC696" t="str">
        <f t="shared" si="76"/>
        <v/>
      </c>
    </row>
    <row r="697" spans="1:29" x14ac:dyDescent="0.2">
      <c r="A697" t="str">
        <f>IF(OR(Entry!$B700="",Entry!$E700="",$E697="نامعتبر"),"",Entry!$E700)</f>
        <v/>
      </c>
      <c r="B697" t="str">
        <f>IF($A697="","",LEFT($E697,4)&amp;MID($E697,6,2)&amp;RIGHT($E697,2)&amp;$F697&amp;"|"&amp;"1"&amp;RIGHT("00000"&amp;692,5))</f>
        <v/>
      </c>
      <c r="C697" t="str">
        <f t="shared" si="70"/>
        <v/>
      </c>
      <c r="D697" t="str">
        <f t="shared" si="71"/>
        <v/>
      </c>
      <c r="E697" t="str">
        <f>IF(Entry!$B700="","",IF(ISNUMBER(Entry!$B700),IF(AND(Entry!$B700&gt;=10000101,Entry!$B700&lt;=99991231),INT(Entry!$B700/10000)&amp;"/"&amp;RIGHT("00"&amp;INT(MOD(Entry!$B700,10000)/100),2)&amp;"/"&amp;RIGHT("00"&amp;MOD(Entry!$B700,100),2),"نامعتبر"),IF(LEN(Entry!$B700)=10,Entry!$B700,"نامعتبر")))</f>
        <v/>
      </c>
      <c r="F697" t="str">
        <f>IF(Entry!$B700="","",IF(Entry!$C700="","0000",IF(AND(ISNUMBER(Entry!$C700),Entry!$C700&gt;=0,Entry!$C700&lt;1),RIGHT("00"&amp;HOUR(Entry!$C700),2)&amp;RIGHT("00"&amp;MINUTE(Entry!$C700),2),IFERROR(RIGHT("00"&amp;VALUE(LEFT(Entry!$C700,FIND(":",Entry!$C700)-1)),2)&amp;RIGHT("00"&amp;VALUE(MID(Entry!$C700,FIND(":",Entry!$C700)+1,2)),2),"0000"))))</f>
        <v/>
      </c>
      <c r="G697" t="str">
        <f>IF($A697="","",Entry!$G700)</f>
        <v/>
      </c>
      <c r="H697" t="str">
        <f>IF($A697="","",IF(Entry!$H700="",0,Entry!$H700))</f>
        <v/>
      </c>
      <c r="I697" t="str">
        <f>IF($A697="","",IF(Entry!$I700="",0,Entry!$I700))</f>
        <v/>
      </c>
      <c r="J697" t="str">
        <f t="shared" si="72"/>
        <v/>
      </c>
      <c r="K697" t="str">
        <f>IF($A697="","",Entry!$D700)</f>
        <v/>
      </c>
      <c r="L697" t="str">
        <f>IF($A697="","",Entry!$L700)</f>
        <v/>
      </c>
      <c r="N697" t="str">
        <f>IF(OR(Sync!$M697="",$Q697="",$Q697="نامعتبر"),"",Sync!$M697)</f>
        <v/>
      </c>
      <c r="O697" t="str">
        <f t="shared" si="73"/>
        <v/>
      </c>
      <c r="P697" t="str">
        <f>IF($N697="","",LEFT($Q697,4)&amp;MID($Q697,6,2)&amp;RIGHT($Q697,2)&amp;IF(Sync!$K697="","0000",IF(AND(ISNUMBER(Sync!$K697),Sync!$K697&gt;=0,Sync!$K697&lt;1),RIGHT("00"&amp;HOUR(Sync!$K697),2)&amp;RIGHT("00"&amp;MINUTE(Sync!$K697),2),IFERROR(RIGHT("00"&amp;VALUE(LEFT(Sync!$K697,FIND(":",Sync!$K697)-1)),2)&amp;RIGHT("00"&amp;VALUE(MID(Sync!$K697,FIND(":",Sync!$K697)+1,2)),2),"0000")))&amp;"|"&amp;"2"&amp;RIGHT("00000"&amp;692,5))</f>
        <v/>
      </c>
      <c r="Q697" t="str">
        <f>IF(Sync!$J697="","",IF(ISNUMBER(Sync!$J697),IF(AND(Sync!$J697&gt;=10000101,Sync!$J697&lt;=99991231),INT(Sync!$J697/10000)&amp;"/"&amp;RIGHT("00"&amp;INT(MOD(Sync!$J697,10000)/100),2)&amp;"/"&amp;RIGHT("00"&amp;MOD(Sync!$J697,100),2),"نامعتبر"),IF(LEN(Sync!$J697)=10,Sync!$J697,"نامعتبر")))</f>
        <v/>
      </c>
      <c r="R697" t="str">
        <f t="shared" si="74"/>
        <v/>
      </c>
      <c r="S697" t="str">
        <f t="shared" si="75"/>
        <v/>
      </c>
      <c r="T697" t="str">
        <f>IF($N697="","",IF(Sync!$N697="",0,Sync!$N697))</f>
        <v/>
      </c>
      <c r="U697" t="str">
        <f>IF($N697="","",IF(Sync!$O697="",0,Sync!$O697))</f>
        <v/>
      </c>
      <c r="V697" t="str">
        <f>IF($N697="","",Sync!$L697)</f>
        <v/>
      </c>
      <c r="W697" t="str">
        <f>IF($N697="","",Sync!$P697)</f>
        <v/>
      </c>
      <c r="AA697" t="str">
        <f>IF($A697="","",IF(COUNTIF($A$6:$A697,$A697)=1,1,0))</f>
        <v/>
      </c>
      <c r="AB697">
        <f>SUM($AA$6:$AA697)</f>
        <v>3</v>
      </c>
      <c r="AC697" t="str">
        <f t="shared" si="76"/>
        <v/>
      </c>
    </row>
    <row r="698" spans="1:29" x14ac:dyDescent="0.2">
      <c r="A698" t="str">
        <f>IF(OR(Entry!$B701="",Entry!$E701="",$E698="نامعتبر"),"",Entry!$E701)</f>
        <v/>
      </c>
      <c r="B698" t="str">
        <f>IF($A698="","",LEFT($E698,4)&amp;MID($E698,6,2)&amp;RIGHT($E698,2)&amp;$F698&amp;"|"&amp;"1"&amp;RIGHT("00000"&amp;693,5))</f>
        <v/>
      </c>
      <c r="C698" t="str">
        <f t="shared" si="70"/>
        <v/>
      </c>
      <c r="D698" t="str">
        <f t="shared" si="71"/>
        <v/>
      </c>
      <c r="E698" t="str">
        <f>IF(Entry!$B701="","",IF(ISNUMBER(Entry!$B701),IF(AND(Entry!$B701&gt;=10000101,Entry!$B701&lt;=99991231),INT(Entry!$B701/10000)&amp;"/"&amp;RIGHT("00"&amp;INT(MOD(Entry!$B701,10000)/100),2)&amp;"/"&amp;RIGHT("00"&amp;MOD(Entry!$B701,100),2),"نامعتبر"),IF(LEN(Entry!$B701)=10,Entry!$B701,"نامعتبر")))</f>
        <v/>
      </c>
      <c r="F698" t="str">
        <f>IF(Entry!$B701="","",IF(Entry!$C701="","0000",IF(AND(ISNUMBER(Entry!$C701),Entry!$C701&gt;=0,Entry!$C701&lt;1),RIGHT("00"&amp;HOUR(Entry!$C701),2)&amp;RIGHT("00"&amp;MINUTE(Entry!$C701),2),IFERROR(RIGHT("00"&amp;VALUE(LEFT(Entry!$C701,FIND(":",Entry!$C701)-1)),2)&amp;RIGHT("00"&amp;VALUE(MID(Entry!$C701,FIND(":",Entry!$C701)+1,2)),2),"0000"))))</f>
        <v/>
      </c>
      <c r="G698" t="str">
        <f>IF($A698="","",Entry!$G701)</f>
        <v/>
      </c>
      <c r="H698" t="str">
        <f>IF($A698="","",IF(Entry!$H701="",0,Entry!$H701))</f>
        <v/>
      </c>
      <c r="I698" t="str">
        <f>IF($A698="","",IF(Entry!$I701="",0,Entry!$I701))</f>
        <v/>
      </c>
      <c r="J698" t="str">
        <f t="shared" si="72"/>
        <v/>
      </c>
      <c r="K698" t="str">
        <f>IF($A698="","",Entry!$D701)</f>
        <v/>
      </c>
      <c r="L698" t="str">
        <f>IF($A698="","",Entry!$L701)</f>
        <v/>
      </c>
      <c r="N698" t="str">
        <f>IF(OR(Sync!$M698="",$Q698="",$Q698="نامعتبر"),"",Sync!$M698)</f>
        <v/>
      </c>
      <c r="O698" t="str">
        <f t="shared" si="73"/>
        <v/>
      </c>
      <c r="P698" t="str">
        <f>IF($N698="","",LEFT($Q698,4)&amp;MID($Q698,6,2)&amp;RIGHT($Q698,2)&amp;IF(Sync!$K698="","0000",IF(AND(ISNUMBER(Sync!$K698),Sync!$K698&gt;=0,Sync!$K698&lt;1),RIGHT("00"&amp;HOUR(Sync!$K698),2)&amp;RIGHT("00"&amp;MINUTE(Sync!$K698),2),IFERROR(RIGHT("00"&amp;VALUE(LEFT(Sync!$K698,FIND(":",Sync!$K698)-1)),2)&amp;RIGHT("00"&amp;VALUE(MID(Sync!$K698,FIND(":",Sync!$K698)+1,2)),2),"0000")))&amp;"|"&amp;"2"&amp;RIGHT("00000"&amp;693,5))</f>
        <v/>
      </c>
      <c r="Q698" t="str">
        <f>IF(Sync!$J698="","",IF(ISNUMBER(Sync!$J698),IF(AND(Sync!$J698&gt;=10000101,Sync!$J698&lt;=99991231),INT(Sync!$J698/10000)&amp;"/"&amp;RIGHT("00"&amp;INT(MOD(Sync!$J698,10000)/100),2)&amp;"/"&amp;RIGHT("00"&amp;MOD(Sync!$J698,100),2),"نامعتبر"),IF(LEN(Sync!$J698)=10,Sync!$J698,"نامعتبر")))</f>
        <v/>
      </c>
      <c r="R698" t="str">
        <f t="shared" si="74"/>
        <v/>
      </c>
      <c r="S698" t="str">
        <f t="shared" si="75"/>
        <v/>
      </c>
      <c r="T698" t="str">
        <f>IF($N698="","",IF(Sync!$N698="",0,Sync!$N698))</f>
        <v/>
      </c>
      <c r="U698" t="str">
        <f>IF($N698="","",IF(Sync!$O698="",0,Sync!$O698))</f>
        <v/>
      </c>
      <c r="V698" t="str">
        <f>IF($N698="","",Sync!$L698)</f>
        <v/>
      </c>
      <c r="W698" t="str">
        <f>IF($N698="","",Sync!$P698)</f>
        <v/>
      </c>
      <c r="AA698" t="str">
        <f>IF($A698="","",IF(COUNTIF($A$6:$A698,$A698)=1,1,0))</f>
        <v/>
      </c>
      <c r="AB698">
        <f>SUM($AA$6:$AA698)</f>
        <v>3</v>
      </c>
      <c r="AC698" t="str">
        <f t="shared" si="76"/>
        <v/>
      </c>
    </row>
    <row r="699" spans="1:29" x14ac:dyDescent="0.2">
      <c r="A699" t="str">
        <f>IF(OR(Entry!$B702="",Entry!$E702="",$E699="نامعتبر"),"",Entry!$E702)</f>
        <v/>
      </c>
      <c r="B699" t="str">
        <f>IF($A699="","",LEFT($E699,4)&amp;MID($E699,6,2)&amp;RIGHT($E699,2)&amp;$F699&amp;"|"&amp;"1"&amp;RIGHT("00000"&amp;694,5))</f>
        <v/>
      </c>
      <c r="C699" t="str">
        <f t="shared" si="70"/>
        <v/>
      </c>
      <c r="D699" t="str">
        <f t="shared" si="71"/>
        <v/>
      </c>
      <c r="E699" t="str">
        <f>IF(Entry!$B702="","",IF(ISNUMBER(Entry!$B702),IF(AND(Entry!$B702&gt;=10000101,Entry!$B702&lt;=99991231),INT(Entry!$B702/10000)&amp;"/"&amp;RIGHT("00"&amp;INT(MOD(Entry!$B702,10000)/100),2)&amp;"/"&amp;RIGHT("00"&amp;MOD(Entry!$B702,100),2),"نامعتبر"),IF(LEN(Entry!$B702)=10,Entry!$B702,"نامعتبر")))</f>
        <v/>
      </c>
      <c r="F699" t="str">
        <f>IF(Entry!$B702="","",IF(Entry!$C702="","0000",IF(AND(ISNUMBER(Entry!$C702),Entry!$C702&gt;=0,Entry!$C702&lt;1),RIGHT("00"&amp;HOUR(Entry!$C702),2)&amp;RIGHT("00"&amp;MINUTE(Entry!$C702),2),IFERROR(RIGHT("00"&amp;VALUE(LEFT(Entry!$C702,FIND(":",Entry!$C702)-1)),2)&amp;RIGHT("00"&amp;VALUE(MID(Entry!$C702,FIND(":",Entry!$C702)+1,2)),2),"0000"))))</f>
        <v/>
      </c>
      <c r="G699" t="str">
        <f>IF($A699="","",Entry!$G702)</f>
        <v/>
      </c>
      <c r="H699" t="str">
        <f>IF($A699="","",IF(Entry!$H702="",0,Entry!$H702))</f>
        <v/>
      </c>
      <c r="I699" t="str">
        <f>IF($A699="","",IF(Entry!$I702="",0,Entry!$I702))</f>
        <v/>
      </c>
      <c r="J699" t="str">
        <f t="shared" si="72"/>
        <v/>
      </c>
      <c r="K699" t="str">
        <f>IF($A699="","",Entry!$D702)</f>
        <v/>
      </c>
      <c r="L699" t="str">
        <f>IF($A699="","",Entry!$L702)</f>
        <v/>
      </c>
      <c r="N699" t="str">
        <f>IF(OR(Sync!$M699="",$Q699="",$Q699="نامعتبر"),"",Sync!$M699)</f>
        <v/>
      </c>
      <c r="O699" t="str">
        <f t="shared" si="73"/>
        <v/>
      </c>
      <c r="P699" t="str">
        <f>IF($N699="","",LEFT($Q699,4)&amp;MID($Q699,6,2)&amp;RIGHT($Q699,2)&amp;IF(Sync!$K699="","0000",IF(AND(ISNUMBER(Sync!$K699),Sync!$K699&gt;=0,Sync!$K699&lt;1),RIGHT("00"&amp;HOUR(Sync!$K699),2)&amp;RIGHT("00"&amp;MINUTE(Sync!$K699),2),IFERROR(RIGHT("00"&amp;VALUE(LEFT(Sync!$K699,FIND(":",Sync!$K699)-1)),2)&amp;RIGHT("00"&amp;VALUE(MID(Sync!$K699,FIND(":",Sync!$K699)+1,2)),2),"0000")))&amp;"|"&amp;"2"&amp;RIGHT("00000"&amp;694,5))</f>
        <v/>
      </c>
      <c r="Q699" t="str">
        <f>IF(Sync!$J699="","",IF(ISNUMBER(Sync!$J699),IF(AND(Sync!$J699&gt;=10000101,Sync!$J699&lt;=99991231),INT(Sync!$J699/10000)&amp;"/"&amp;RIGHT("00"&amp;INT(MOD(Sync!$J699,10000)/100),2)&amp;"/"&amp;RIGHT("00"&amp;MOD(Sync!$J699,100),2),"نامعتبر"),IF(LEN(Sync!$J699)=10,Sync!$J699,"نامعتبر")))</f>
        <v/>
      </c>
      <c r="R699" t="str">
        <f t="shared" si="74"/>
        <v/>
      </c>
      <c r="S699" t="str">
        <f t="shared" si="75"/>
        <v/>
      </c>
      <c r="T699" t="str">
        <f>IF($N699="","",IF(Sync!$N699="",0,Sync!$N699))</f>
        <v/>
      </c>
      <c r="U699" t="str">
        <f>IF($N699="","",IF(Sync!$O699="",0,Sync!$O699))</f>
        <v/>
      </c>
      <c r="V699" t="str">
        <f>IF($N699="","",Sync!$L699)</f>
        <v/>
      </c>
      <c r="W699" t="str">
        <f>IF($N699="","",Sync!$P699)</f>
        <v/>
      </c>
      <c r="AA699" t="str">
        <f>IF($A699="","",IF(COUNTIF($A$6:$A699,$A699)=1,1,0))</f>
        <v/>
      </c>
      <c r="AB699">
        <f>SUM($AA$6:$AA699)</f>
        <v>3</v>
      </c>
      <c r="AC699" t="str">
        <f t="shared" si="76"/>
        <v/>
      </c>
    </row>
    <row r="700" spans="1:29" x14ac:dyDescent="0.2">
      <c r="A700" t="str">
        <f>IF(OR(Entry!$B703="",Entry!$E703="",$E700="نامعتبر"),"",Entry!$E703)</f>
        <v/>
      </c>
      <c r="B700" t="str">
        <f>IF($A700="","",LEFT($E700,4)&amp;MID($E700,6,2)&amp;RIGHT($E700,2)&amp;$F700&amp;"|"&amp;"1"&amp;RIGHT("00000"&amp;695,5))</f>
        <v/>
      </c>
      <c r="C700" t="str">
        <f t="shared" si="70"/>
        <v/>
      </c>
      <c r="D700" t="str">
        <f t="shared" si="71"/>
        <v/>
      </c>
      <c r="E700" t="str">
        <f>IF(Entry!$B703="","",IF(ISNUMBER(Entry!$B703),IF(AND(Entry!$B703&gt;=10000101,Entry!$B703&lt;=99991231),INT(Entry!$B703/10000)&amp;"/"&amp;RIGHT("00"&amp;INT(MOD(Entry!$B703,10000)/100),2)&amp;"/"&amp;RIGHT("00"&amp;MOD(Entry!$B703,100),2),"نامعتبر"),IF(LEN(Entry!$B703)=10,Entry!$B703,"نامعتبر")))</f>
        <v/>
      </c>
      <c r="F700" t="str">
        <f>IF(Entry!$B703="","",IF(Entry!$C703="","0000",IF(AND(ISNUMBER(Entry!$C703),Entry!$C703&gt;=0,Entry!$C703&lt;1),RIGHT("00"&amp;HOUR(Entry!$C703),2)&amp;RIGHT("00"&amp;MINUTE(Entry!$C703),2),IFERROR(RIGHT("00"&amp;VALUE(LEFT(Entry!$C703,FIND(":",Entry!$C703)-1)),2)&amp;RIGHT("00"&amp;VALUE(MID(Entry!$C703,FIND(":",Entry!$C703)+1,2)),2),"0000"))))</f>
        <v/>
      </c>
      <c r="G700" t="str">
        <f>IF($A700="","",Entry!$G703)</f>
        <v/>
      </c>
      <c r="H700" t="str">
        <f>IF($A700="","",IF(Entry!$H703="",0,Entry!$H703))</f>
        <v/>
      </c>
      <c r="I700" t="str">
        <f>IF($A700="","",IF(Entry!$I703="",0,Entry!$I703))</f>
        <v/>
      </c>
      <c r="J700" t="str">
        <f t="shared" si="72"/>
        <v/>
      </c>
      <c r="K700" t="str">
        <f>IF($A700="","",Entry!$D703)</f>
        <v/>
      </c>
      <c r="L700" t="str">
        <f>IF($A700="","",Entry!$L703)</f>
        <v/>
      </c>
      <c r="N700" t="str">
        <f>IF(OR(Sync!$M700="",$Q700="",$Q700="نامعتبر"),"",Sync!$M700)</f>
        <v/>
      </c>
      <c r="O700" t="str">
        <f t="shared" si="73"/>
        <v/>
      </c>
      <c r="P700" t="str">
        <f>IF($N700="","",LEFT($Q700,4)&amp;MID($Q700,6,2)&amp;RIGHT($Q700,2)&amp;IF(Sync!$K700="","0000",IF(AND(ISNUMBER(Sync!$K700),Sync!$K700&gt;=0,Sync!$K700&lt;1),RIGHT("00"&amp;HOUR(Sync!$K700),2)&amp;RIGHT("00"&amp;MINUTE(Sync!$K700),2),IFERROR(RIGHT("00"&amp;VALUE(LEFT(Sync!$K700,FIND(":",Sync!$K700)-1)),2)&amp;RIGHT("00"&amp;VALUE(MID(Sync!$K700,FIND(":",Sync!$K700)+1,2)),2),"0000")))&amp;"|"&amp;"2"&amp;RIGHT("00000"&amp;695,5))</f>
        <v/>
      </c>
      <c r="Q700" t="str">
        <f>IF(Sync!$J700="","",IF(ISNUMBER(Sync!$J700),IF(AND(Sync!$J700&gt;=10000101,Sync!$J700&lt;=99991231),INT(Sync!$J700/10000)&amp;"/"&amp;RIGHT("00"&amp;INT(MOD(Sync!$J700,10000)/100),2)&amp;"/"&amp;RIGHT("00"&amp;MOD(Sync!$J700,100),2),"نامعتبر"),IF(LEN(Sync!$J700)=10,Sync!$J700,"نامعتبر")))</f>
        <v/>
      </c>
      <c r="R700" t="str">
        <f t="shared" si="74"/>
        <v/>
      </c>
      <c r="S700" t="str">
        <f t="shared" si="75"/>
        <v/>
      </c>
      <c r="T700" t="str">
        <f>IF($N700="","",IF(Sync!$N700="",0,Sync!$N700))</f>
        <v/>
      </c>
      <c r="U700" t="str">
        <f>IF($N700="","",IF(Sync!$O700="",0,Sync!$O700))</f>
        <v/>
      </c>
      <c r="V700" t="str">
        <f>IF($N700="","",Sync!$L700)</f>
        <v/>
      </c>
      <c r="W700" t="str">
        <f>IF($N700="","",Sync!$P700)</f>
        <v/>
      </c>
      <c r="AA700" t="str">
        <f>IF($A700="","",IF(COUNTIF($A$6:$A700,$A700)=1,1,0))</f>
        <v/>
      </c>
      <c r="AB700">
        <f>SUM($AA$6:$AA700)</f>
        <v>3</v>
      </c>
      <c r="AC700" t="str">
        <f t="shared" si="76"/>
        <v/>
      </c>
    </row>
    <row r="701" spans="1:29" x14ac:dyDescent="0.2">
      <c r="A701" t="str">
        <f>IF(OR(Entry!$B704="",Entry!$E704="",$E701="نامعتبر"),"",Entry!$E704)</f>
        <v/>
      </c>
      <c r="B701" t="str">
        <f>IF($A701="","",LEFT($E701,4)&amp;MID($E701,6,2)&amp;RIGHT($E701,2)&amp;$F701&amp;"|"&amp;"1"&amp;RIGHT("00000"&amp;696,5))</f>
        <v/>
      </c>
      <c r="C701" t="str">
        <f t="shared" si="70"/>
        <v/>
      </c>
      <c r="D701" t="str">
        <f t="shared" si="71"/>
        <v/>
      </c>
      <c r="E701" t="str">
        <f>IF(Entry!$B704="","",IF(ISNUMBER(Entry!$B704),IF(AND(Entry!$B704&gt;=10000101,Entry!$B704&lt;=99991231),INT(Entry!$B704/10000)&amp;"/"&amp;RIGHT("00"&amp;INT(MOD(Entry!$B704,10000)/100),2)&amp;"/"&amp;RIGHT("00"&amp;MOD(Entry!$B704,100),2),"نامعتبر"),IF(LEN(Entry!$B704)=10,Entry!$B704,"نامعتبر")))</f>
        <v/>
      </c>
      <c r="F701" t="str">
        <f>IF(Entry!$B704="","",IF(Entry!$C704="","0000",IF(AND(ISNUMBER(Entry!$C704),Entry!$C704&gt;=0,Entry!$C704&lt;1),RIGHT("00"&amp;HOUR(Entry!$C704),2)&amp;RIGHT("00"&amp;MINUTE(Entry!$C704),2),IFERROR(RIGHT("00"&amp;VALUE(LEFT(Entry!$C704,FIND(":",Entry!$C704)-1)),2)&amp;RIGHT("00"&amp;VALUE(MID(Entry!$C704,FIND(":",Entry!$C704)+1,2)),2),"0000"))))</f>
        <v/>
      </c>
      <c r="G701" t="str">
        <f>IF($A701="","",Entry!$G704)</f>
        <v/>
      </c>
      <c r="H701" t="str">
        <f>IF($A701="","",IF(Entry!$H704="",0,Entry!$H704))</f>
        <v/>
      </c>
      <c r="I701" t="str">
        <f>IF($A701="","",IF(Entry!$I704="",0,Entry!$I704))</f>
        <v/>
      </c>
      <c r="J701" t="str">
        <f t="shared" si="72"/>
        <v/>
      </c>
      <c r="K701" t="str">
        <f>IF($A701="","",Entry!$D704)</f>
        <v/>
      </c>
      <c r="L701" t="str">
        <f>IF($A701="","",Entry!$L704)</f>
        <v/>
      </c>
      <c r="N701" t="str">
        <f>IF(OR(Sync!$M701="",$Q701="",$Q701="نامعتبر"),"",Sync!$M701)</f>
        <v/>
      </c>
      <c r="O701" t="str">
        <f t="shared" si="73"/>
        <v/>
      </c>
      <c r="P701" t="str">
        <f>IF($N701="","",LEFT($Q701,4)&amp;MID($Q701,6,2)&amp;RIGHT($Q701,2)&amp;IF(Sync!$K701="","0000",IF(AND(ISNUMBER(Sync!$K701),Sync!$K701&gt;=0,Sync!$K701&lt;1),RIGHT("00"&amp;HOUR(Sync!$K701),2)&amp;RIGHT("00"&amp;MINUTE(Sync!$K701),2),IFERROR(RIGHT("00"&amp;VALUE(LEFT(Sync!$K701,FIND(":",Sync!$K701)-1)),2)&amp;RIGHT("00"&amp;VALUE(MID(Sync!$K701,FIND(":",Sync!$K701)+1,2)),2),"0000")))&amp;"|"&amp;"2"&amp;RIGHT("00000"&amp;696,5))</f>
        <v/>
      </c>
      <c r="Q701" t="str">
        <f>IF(Sync!$J701="","",IF(ISNUMBER(Sync!$J701),IF(AND(Sync!$J701&gt;=10000101,Sync!$J701&lt;=99991231),INT(Sync!$J701/10000)&amp;"/"&amp;RIGHT("00"&amp;INT(MOD(Sync!$J701,10000)/100),2)&amp;"/"&amp;RIGHT("00"&amp;MOD(Sync!$J701,100),2),"نامعتبر"),IF(LEN(Sync!$J701)=10,Sync!$J701,"نامعتبر")))</f>
        <v/>
      </c>
      <c r="R701" t="str">
        <f t="shared" si="74"/>
        <v/>
      </c>
      <c r="S701" t="str">
        <f t="shared" si="75"/>
        <v/>
      </c>
      <c r="T701" t="str">
        <f>IF($N701="","",IF(Sync!$N701="",0,Sync!$N701))</f>
        <v/>
      </c>
      <c r="U701" t="str">
        <f>IF($N701="","",IF(Sync!$O701="",0,Sync!$O701))</f>
        <v/>
      </c>
      <c r="V701" t="str">
        <f>IF($N701="","",Sync!$L701)</f>
        <v/>
      </c>
      <c r="W701" t="str">
        <f>IF($N701="","",Sync!$P701)</f>
        <v/>
      </c>
      <c r="AA701" t="str">
        <f>IF($A701="","",IF(COUNTIF($A$6:$A701,$A701)=1,1,0))</f>
        <v/>
      </c>
      <c r="AB701">
        <f>SUM($AA$6:$AA701)</f>
        <v>3</v>
      </c>
      <c r="AC701" t="str">
        <f t="shared" si="76"/>
        <v/>
      </c>
    </row>
    <row r="702" spans="1:29" x14ac:dyDescent="0.2">
      <c r="A702" t="str">
        <f>IF(OR(Entry!$B705="",Entry!$E705="",$E702="نامعتبر"),"",Entry!$E705)</f>
        <v/>
      </c>
      <c r="B702" t="str">
        <f>IF($A702="","",LEFT($E702,4)&amp;MID($E702,6,2)&amp;RIGHT($E702,2)&amp;$F702&amp;"|"&amp;"1"&amp;RIGHT("00000"&amp;697,5))</f>
        <v/>
      </c>
      <c r="C702" t="str">
        <f t="shared" si="70"/>
        <v/>
      </c>
      <c r="D702" t="str">
        <f t="shared" si="71"/>
        <v/>
      </c>
      <c r="E702" t="str">
        <f>IF(Entry!$B705="","",IF(ISNUMBER(Entry!$B705),IF(AND(Entry!$B705&gt;=10000101,Entry!$B705&lt;=99991231),INT(Entry!$B705/10000)&amp;"/"&amp;RIGHT("00"&amp;INT(MOD(Entry!$B705,10000)/100),2)&amp;"/"&amp;RIGHT("00"&amp;MOD(Entry!$B705,100),2),"نامعتبر"),IF(LEN(Entry!$B705)=10,Entry!$B705,"نامعتبر")))</f>
        <v/>
      </c>
      <c r="F702" t="str">
        <f>IF(Entry!$B705="","",IF(Entry!$C705="","0000",IF(AND(ISNUMBER(Entry!$C705),Entry!$C705&gt;=0,Entry!$C705&lt;1),RIGHT("00"&amp;HOUR(Entry!$C705),2)&amp;RIGHT("00"&amp;MINUTE(Entry!$C705),2),IFERROR(RIGHT("00"&amp;VALUE(LEFT(Entry!$C705,FIND(":",Entry!$C705)-1)),2)&amp;RIGHT("00"&amp;VALUE(MID(Entry!$C705,FIND(":",Entry!$C705)+1,2)),2),"0000"))))</f>
        <v/>
      </c>
      <c r="G702" t="str">
        <f>IF($A702="","",Entry!$G705)</f>
        <v/>
      </c>
      <c r="H702" t="str">
        <f>IF($A702="","",IF(Entry!$H705="",0,Entry!$H705))</f>
        <v/>
      </c>
      <c r="I702" t="str">
        <f>IF($A702="","",IF(Entry!$I705="",0,Entry!$I705))</f>
        <v/>
      </c>
      <c r="J702" t="str">
        <f t="shared" si="72"/>
        <v/>
      </c>
      <c r="K702" t="str">
        <f>IF($A702="","",Entry!$D705)</f>
        <v/>
      </c>
      <c r="L702" t="str">
        <f>IF($A702="","",Entry!$L705)</f>
        <v/>
      </c>
      <c r="N702" t="str">
        <f>IF(OR(Sync!$M702="",$Q702="",$Q702="نامعتبر"),"",Sync!$M702)</f>
        <v/>
      </c>
      <c r="O702" t="str">
        <f t="shared" si="73"/>
        <v/>
      </c>
      <c r="P702" t="str">
        <f>IF($N702="","",LEFT($Q702,4)&amp;MID($Q702,6,2)&amp;RIGHT($Q702,2)&amp;IF(Sync!$K702="","0000",IF(AND(ISNUMBER(Sync!$K702),Sync!$K702&gt;=0,Sync!$K702&lt;1),RIGHT("00"&amp;HOUR(Sync!$K702),2)&amp;RIGHT("00"&amp;MINUTE(Sync!$K702),2),IFERROR(RIGHT("00"&amp;VALUE(LEFT(Sync!$K702,FIND(":",Sync!$K702)-1)),2)&amp;RIGHT("00"&amp;VALUE(MID(Sync!$K702,FIND(":",Sync!$K702)+1,2)),2),"0000")))&amp;"|"&amp;"2"&amp;RIGHT("00000"&amp;697,5))</f>
        <v/>
      </c>
      <c r="Q702" t="str">
        <f>IF(Sync!$J702="","",IF(ISNUMBER(Sync!$J702),IF(AND(Sync!$J702&gt;=10000101,Sync!$J702&lt;=99991231),INT(Sync!$J702/10000)&amp;"/"&amp;RIGHT("00"&amp;INT(MOD(Sync!$J702,10000)/100),2)&amp;"/"&amp;RIGHT("00"&amp;MOD(Sync!$J702,100),2),"نامعتبر"),IF(LEN(Sync!$J702)=10,Sync!$J702,"نامعتبر")))</f>
        <v/>
      </c>
      <c r="R702" t="str">
        <f t="shared" si="74"/>
        <v/>
      </c>
      <c r="S702" t="str">
        <f t="shared" si="75"/>
        <v/>
      </c>
      <c r="T702" t="str">
        <f>IF($N702="","",IF(Sync!$N702="",0,Sync!$N702))</f>
        <v/>
      </c>
      <c r="U702" t="str">
        <f>IF($N702="","",IF(Sync!$O702="",0,Sync!$O702))</f>
        <v/>
      </c>
      <c r="V702" t="str">
        <f>IF($N702="","",Sync!$L702)</f>
        <v/>
      </c>
      <c r="W702" t="str">
        <f>IF($N702="","",Sync!$P702)</f>
        <v/>
      </c>
      <c r="AA702" t="str">
        <f>IF($A702="","",IF(COUNTIF($A$6:$A702,$A702)=1,1,0))</f>
        <v/>
      </c>
      <c r="AB702">
        <f>SUM($AA$6:$AA702)</f>
        <v>3</v>
      </c>
      <c r="AC702" t="str">
        <f t="shared" si="76"/>
        <v/>
      </c>
    </row>
    <row r="703" spans="1:29" x14ac:dyDescent="0.2">
      <c r="A703" t="str">
        <f>IF(OR(Entry!$B706="",Entry!$E706="",$E703="نامعتبر"),"",Entry!$E706)</f>
        <v/>
      </c>
      <c r="B703" t="str">
        <f>IF($A703="","",LEFT($E703,4)&amp;MID($E703,6,2)&amp;RIGHT($E703,2)&amp;$F703&amp;"|"&amp;"1"&amp;RIGHT("00000"&amp;698,5))</f>
        <v/>
      </c>
      <c r="C703" t="str">
        <f t="shared" si="70"/>
        <v/>
      </c>
      <c r="D703" t="str">
        <f t="shared" si="71"/>
        <v/>
      </c>
      <c r="E703" t="str">
        <f>IF(Entry!$B706="","",IF(ISNUMBER(Entry!$B706),IF(AND(Entry!$B706&gt;=10000101,Entry!$B706&lt;=99991231),INT(Entry!$B706/10000)&amp;"/"&amp;RIGHT("00"&amp;INT(MOD(Entry!$B706,10000)/100),2)&amp;"/"&amp;RIGHT("00"&amp;MOD(Entry!$B706,100),2),"نامعتبر"),IF(LEN(Entry!$B706)=10,Entry!$B706,"نامعتبر")))</f>
        <v/>
      </c>
      <c r="F703" t="str">
        <f>IF(Entry!$B706="","",IF(Entry!$C706="","0000",IF(AND(ISNUMBER(Entry!$C706),Entry!$C706&gt;=0,Entry!$C706&lt;1),RIGHT("00"&amp;HOUR(Entry!$C706),2)&amp;RIGHT("00"&amp;MINUTE(Entry!$C706),2),IFERROR(RIGHT("00"&amp;VALUE(LEFT(Entry!$C706,FIND(":",Entry!$C706)-1)),2)&amp;RIGHT("00"&amp;VALUE(MID(Entry!$C706,FIND(":",Entry!$C706)+1,2)),2),"0000"))))</f>
        <v/>
      </c>
      <c r="G703" t="str">
        <f>IF($A703="","",Entry!$G706)</f>
        <v/>
      </c>
      <c r="H703" t="str">
        <f>IF($A703="","",IF(Entry!$H706="",0,Entry!$H706))</f>
        <v/>
      </c>
      <c r="I703" t="str">
        <f>IF($A703="","",IF(Entry!$I706="",0,Entry!$I706))</f>
        <v/>
      </c>
      <c r="J703" t="str">
        <f t="shared" si="72"/>
        <v/>
      </c>
      <c r="K703" t="str">
        <f>IF($A703="","",Entry!$D706)</f>
        <v/>
      </c>
      <c r="L703" t="str">
        <f>IF($A703="","",Entry!$L706)</f>
        <v/>
      </c>
      <c r="N703" t="str">
        <f>IF(OR(Sync!$M703="",$Q703="",$Q703="نامعتبر"),"",Sync!$M703)</f>
        <v/>
      </c>
      <c r="O703" t="str">
        <f t="shared" si="73"/>
        <v/>
      </c>
      <c r="P703" t="str">
        <f>IF($N703="","",LEFT($Q703,4)&amp;MID($Q703,6,2)&amp;RIGHT($Q703,2)&amp;IF(Sync!$K703="","0000",IF(AND(ISNUMBER(Sync!$K703),Sync!$K703&gt;=0,Sync!$K703&lt;1),RIGHT("00"&amp;HOUR(Sync!$K703),2)&amp;RIGHT("00"&amp;MINUTE(Sync!$K703),2),IFERROR(RIGHT("00"&amp;VALUE(LEFT(Sync!$K703,FIND(":",Sync!$K703)-1)),2)&amp;RIGHT("00"&amp;VALUE(MID(Sync!$K703,FIND(":",Sync!$K703)+1,2)),2),"0000")))&amp;"|"&amp;"2"&amp;RIGHT("00000"&amp;698,5))</f>
        <v/>
      </c>
      <c r="Q703" t="str">
        <f>IF(Sync!$J703="","",IF(ISNUMBER(Sync!$J703),IF(AND(Sync!$J703&gt;=10000101,Sync!$J703&lt;=99991231),INT(Sync!$J703/10000)&amp;"/"&amp;RIGHT("00"&amp;INT(MOD(Sync!$J703,10000)/100),2)&amp;"/"&amp;RIGHT("00"&amp;MOD(Sync!$J703,100),2),"نامعتبر"),IF(LEN(Sync!$J703)=10,Sync!$J703,"نامعتبر")))</f>
        <v/>
      </c>
      <c r="R703" t="str">
        <f t="shared" si="74"/>
        <v/>
      </c>
      <c r="S703" t="str">
        <f t="shared" si="75"/>
        <v/>
      </c>
      <c r="T703" t="str">
        <f>IF($N703="","",IF(Sync!$N703="",0,Sync!$N703))</f>
        <v/>
      </c>
      <c r="U703" t="str">
        <f>IF($N703="","",IF(Sync!$O703="",0,Sync!$O703))</f>
        <v/>
      </c>
      <c r="V703" t="str">
        <f>IF($N703="","",Sync!$L703)</f>
        <v/>
      </c>
      <c r="W703" t="str">
        <f>IF($N703="","",Sync!$P703)</f>
        <v/>
      </c>
      <c r="AA703" t="str">
        <f>IF($A703="","",IF(COUNTIF($A$6:$A703,$A703)=1,1,0))</f>
        <v/>
      </c>
      <c r="AB703">
        <f>SUM($AA$6:$AA703)</f>
        <v>3</v>
      </c>
      <c r="AC703" t="str">
        <f t="shared" si="76"/>
        <v/>
      </c>
    </row>
    <row r="704" spans="1:29" x14ac:dyDescent="0.2">
      <c r="A704" t="str">
        <f>IF(OR(Entry!$B707="",Entry!$E707="",$E704="نامعتبر"),"",Entry!$E707)</f>
        <v/>
      </c>
      <c r="B704" t="str">
        <f>IF($A704="","",LEFT($E704,4)&amp;MID($E704,6,2)&amp;RIGHT($E704,2)&amp;$F704&amp;"|"&amp;"1"&amp;RIGHT("00000"&amp;699,5))</f>
        <v/>
      </c>
      <c r="C704" t="str">
        <f t="shared" si="70"/>
        <v/>
      </c>
      <c r="D704" t="str">
        <f t="shared" si="71"/>
        <v/>
      </c>
      <c r="E704" t="str">
        <f>IF(Entry!$B707="","",IF(ISNUMBER(Entry!$B707),IF(AND(Entry!$B707&gt;=10000101,Entry!$B707&lt;=99991231),INT(Entry!$B707/10000)&amp;"/"&amp;RIGHT("00"&amp;INT(MOD(Entry!$B707,10000)/100),2)&amp;"/"&amp;RIGHT("00"&amp;MOD(Entry!$B707,100),2),"نامعتبر"),IF(LEN(Entry!$B707)=10,Entry!$B707,"نامعتبر")))</f>
        <v/>
      </c>
      <c r="F704" t="str">
        <f>IF(Entry!$B707="","",IF(Entry!$C707="","0000",IF(AND(ISNUMBER(Entry!$C707),Entry!$C707&gt;=0,Entry!$C707&lt;1),RIGHT("00"&amp;HOUR(Entry!$C707),2)&amp;RIGHT("00"&amp;MINUTE(Entry!$C707),2),IFERROR(RIGHT("00"&amp;VALUE(LEFT(Entry!$C707,FIND(":",Entry!$C707)-1)),2)&amp;RIGHT("00"&amp;VALUE(MID(Entry!$C707,FIND(":",Entry!$C707)+1,2)),2),"0000"))))</f>
        <v/>
      </c>
      <c r="G704" t="str">
        <f>IF($A704="","",Entry!$G707)</f>
        <v/>
      </c>
      <c r="H704" t="str">
        <f>IF($A704="","",IF(Entry!$H707="",0,Entry!$H707))</f>
        <v/>
      </c>
      <c r="I704" t="str">
        <f>IF($A704="","",IF(Entry!$I707="",0,Entry!$I707))</f>
        <v/>
      </c>
      <c r="J704" t="str">
        <f t="shared" si="72"/>
        <v/>
      </c>
      <c r="K704" t="str">
        <f>IF($A704="","",Entry!$D707)</f>
        <v/>
      </c>
      <c r="L704" t="str">
        <f>IF($A704="","",Entry!$L707)</f>
        <v/>
      </c>
      <c r="N704" t="str">
        <f>IF(OR(Sync!$M704="",$Q704="",$Q704="نامعتبر"),"",Sync!$M704)</f>
        <v/>
      </c>
      <c r="O704" t="str">
        <f t="shared" si="73"/>
        <v/>
      </c>
      <c r="P704" t="str">
        <f>IF($N704="","",LEFT($Q704,4)&amp;MID($Q704,6,2)&amp;RIGHT($Q704,2)&amp;IF(Sync!$K704="","0000",IF(AND(ISNUMBER(Sync!$K704),Sync!$K704&gt;=0,Sync!$K704&lt;1),RIGHT("00"&amp;HOUR(Sync!$K704),2)&amp;RIGHT("00"&amp;MINUTE(Sync!$K704),2),IFERROR(RIGHT("00"&amp;VALUE(LEFT(Sync!$K704,FIND(":",Sync!$K704)-1)),2)&amp;RIGHT("00"&amp;VALUE(MID(Sync!$K704,FIND(":",Sync!$K704)+1,2)),2),"0000")))&amp;"|"&amp;"2"&amp;RIGHT("00000"&amp;699,5))</f>
        <v/>
      </c>
      <c r="Q704" t="str">
        <f>IF(Sync!$J704="","",IF(ISNUMBER(Sync!$J704),IF(AND(Sync!$J704&gt;=10000101,Sync!$J704&lt;=99991231),INT(Sync!$J704/10000)&amp;"/"&amp;RIGHT("00"&amp;INT(MOD(Sync!$J704,10000)/100),2)&amp;"/"&amp;RIGHT("00"&amp;MOD(Sync!$J704,100),2),"نامعتبر"),IF(LEN(Sync!$J704)=10,Sync!$J704,"نامعتبر")))</f>
        <v/>
      </c>
      <c r="R704" t="str">
        <f t="shared" si="74"/>
        <v/>
      </c>
      <c r="S704" t="str">
        <f t="shared" si="75"/>
        <v/>
      </c>
      <c r="T704" t="str">
        <f>IF($N704="","",IF(Sync!$N704="",0,Sync!$N704))</f>
        <v/>
      </c>
      <c r="U704" t="str">
        <f>IF($N704="","",IF(Sync!$O704="",0,Sync!$O704))</f>
        <v/>
      </c>
      <c r="V704" t="str">
        <f>IF($N704="","",Sync!$L704)</f>
        <v/>
      </c>
      <c r="W704" t="str">
        <f>IF($N704="","",Sync!$P704)</f>
        <v/>
      </c>
      <c r="AA704" t="str">
        <f>IF($A704="","",IF(COUNTIF($A$6:$A704,$A704)=1,1,0))</f>
        <v/>
      </c>
      <c r="AB704">
        <f>SUM($AA$6:$AA704)</f>
        <v>3</v>
      </c>
      <c r="AC704" t="str">
        <f t="shared" si="76"/>
        <v/>
      </c>
    </row>
    <row r="705" spans="1:29" x14ac:dyDescent="0.2">
      <c r="A705" t="str">
        <f>IF(OR(Entry!$B708="",Entry!$E708="",$E705="نامعتبر"),"",Entry!$E708)</f>
        <v/>
      </c>
      <c r="B705" t="str">
        <f>IF($A705="","",LEFT($E705,4)&amp;MID($E705,6,2)&amp;RIGHT($E705,2)&amp;$F705&amp;"|"&amp;"1"&amp;RIGHT("00000"&amp;700,5))</f>
        <v/>
      </c>
      <c r="C705" t="str">
        <f t="shared" si="70"/>
        <v/>
      </c>
      <c r="D705" t="str">
        <f t="shared" si="71"/>
        <v/>
      </c>
      <c r="E705" t="str">
        <f>IF(Entry!$B708="","",IF(ISNUMBER(Entry!$B708),IF(AND(Entry!$B708&gt;=10000101,Entry!$B708&lt;=99991231),INT(Entry!$B708/10000)&amp;"/"&amp;RIGHT("00"&amp;INT(MOD(Entry!$B708,10000)/100),2)&amp;"/"&amp;RIGHT("00"&amp;MOD(Entry!$B708,100),2),"نامعتبر"),IF(LEN(Entry!$B708)=10,Entry!$B708,"نامعتبر")))</f>
        <v/>
      </c>
      <c r="F705" t="str">
        <f>IF(Entry!$B708="","",IF(Entry!$C708="","0000",IF(AND(ISNUMBER(Entry!$C708),Entry!$C708&gt;=0,Entry!$C708&lt;1),RIGHT("00"&amp;HOUR(Entry!$C708),2)&amp;RIGHT("00"&amp;MINUTE(Entry!$C708),2),IFERROR(RIGHT("00"&amp;VALUE(LEFT(Entry!$C708,FIND(":",Entry!$C708)-1)),2)&amp;RIGHT("00"&amp;VALUE(MID(Entry!$C708,FIND(":",Entry!$C708)+1,2)),2),"0000"))))</f>
        <v/>
      </c>
      <c r="G705" t="str">
        <f>IF($A705="","",Entry!$G708)</f>
        <v/>
      </c>
      <c r="H705" t="str">
        <f>IF($A705="","",IF(Entry!$H708="",0,Entry!$H708))</f>
        <v/>
      </c>
      <c r="I705" t="str">
        <f>IF($A705="","",IF(Entry!$I708="",0,Entry!$I708))</f>
        <v/>
      </c>
      <c r="J705" t="str">
        <f t="shared" si="72"/>
        <v/>
      </c>
      <c r="K705" t="str">
        <f>IF($A705="","",Entry!$D708)</f>
        <v/>
      </c>
      <c r="L705" t="str">
        <f>IF($A705="","",Entry!$L708)</f>
        <v/>
      </c>
      <c r="N705" t="str">
        <f>IF(OR(Sync!$M705="",$Q705="",$Q705="نامعتبر"),"",Sync!$M705)</f>
        <v/>
      </c>
      <c r="O705" t="str">
        <f t="shared" si="73"/>
        <v/>
      </c>
      <c r="P705" t="str">
        <f>IF($N705="","",LEFT($Q705,4)&amp;MID($Q705,6,2)&amp;RIGHT($Q705,2)&amp;IF(Sync!$K705="","0000",IF(AND(ISNUMBER(Sync!$K705),Sync!$K705&gt;=0,Sync!$K705&lt;1),RIGHT("00"&amp;HOUR(Sync!$K705),2)&amp;RIGHT("00"&amp;MINUTE(Sync!$K705),2),IFERROR(RIGHT("00"&amp;VALUE(LEFT(Sync!$K705,FIND(":",Sync!$K705)-1)),2)&amp;RIGHT("00"&amp;VALUE(MID(Sync!$K705,FIND(":",Sync!$K705)+1,2)),2),"0000")))&amp;"|"&amp;"2"&amp;RIGHT("00000"&amp;700,5))</f>
        <v/>
      </c>
      <c r="Q705" t="str">
        <f>IF(Sync!$J705="","",IF(ISNUMBER(Sync!$J705),IF(AND(Sync!$J705&gt;=10000101,Sync!$J705&lt;=99991231),INT(Sync!$J705/10000)&amp;"/"&amp;RIGHT("00"&amp;INT(MOD(Sync!$J705,10000)/100),2)&amp;"/"&amp;RIGHT("00"&amp;MOD(Sync!$J705,100),2),"نامعتبر"),IF(LEN(Sync!$J705)=10,Sync!$J705,"نامعتبر")))</f>
        <v/>
      </c>
      <c r="R705" t="str">
        <f t="shared" si="74"/>
        <v/>
      </c>
      <c r="S705" t="str">
        <f t="shared" si="75"/>
        <v/>
      </c>
      <c r="T705" t="str">
        <f>IF($N705="","",IF(Sync!$N705="",0,Sync!$N705))</f>
        <v/>
      </c>
      <c r="U705" t="str">
        <f>IF($N705="","",IF(Sync!$O705="",0,Sync!$O705))</f>
        <v/>
      </c>
      <c r="V705" t="str">
        <f>IF($N705="","",Sync!$L705)</f>
        <v/>
      </c>
      <c r="W705" t="str">
        <f>IF($N705="","",Sync!$P705)</f>
        <v/>
      </c>
      <c r="AA705" t="str">
        <f>IF($A705="","",IF(COUNTIF($A$6:$A705,$A705)=1,1,0))</f>
        <v/>
      </c>
      <c r="AB705">
        <f>SUM($AA$6:$AA705)</f>
        <v>3</v>
      </c>
      <c r="AC705" t="str">
        <f t="shared" si="76"/>
        <v/>
      </c>
    </row>
    <row r="706" spans="1:29" x14ac:dyDescent="0.2">
      <c r="A706" t="str">
        <f>IF(OR(Entry!$B709="",Entry!$E709="",$E706="نامعتبر"),"",Entry!$E709)</f>
        <v/>
      </c>
      <c r="B706" t="str">
        <f>IF($A706="","",LEFT($E706,4)&amp;MID($E706,6,2)&amp;RIGHT($E706,2)&amp;$F706&amp;"|"&amp;"1"&amp;RIGHT("00000"&amp;701,5))</f>
        <v/>
      </c>
      <c r="C706" t="str">
        <f t="shared" si="70"/>
        <v/>
      </c>
      <c r="D706" t="str">
        <f t="shared" si="71"/>
        <v/>
      </c>
      <c r="E706" t="str">
        <f>IF(Entry!$B709="","",IF(ISNUMBER(Entry!$B709),IF(AND(Entry!$B709&gt;=10000101,Entry!$B709&lt;=99991231),INT(Entry!$B709/10000)&amp;"/"&amp;RIGHT("00"&amp;INT(MOD(Entry!$B709,10000)/100),2)&amp;"/"&amp;RIGHT("00"&amp;MOD(Entry!$B709,100),2),"نامعتبر"),IF(LEN(Entry!$B709)=10,Entry!$B709,"نامعتبر")))</f>
        <v/>
      </c>
      <c r="F706" t="str">
        <f>IF(Entry!$B709="","",IF(Entry!$C709="","0000",IF(AND(ISNUMBER(Entry!$C709),Entry!$C709&gt;=0,Entry!$C709&lt;1),RIGHT("00"&amp;HOUR(Entry!$C709),2)&amp;RIGHT("00"&amp;MINUTE(Entry!$C709),2),IFERROR(RIGHT("00"&amp;VALUE(LEFT(Entry!$C709,FIND(":",Entry!$C709)-1)),2)&amp;RIGHT("00"&amp;VALUE(MID(Entry!$C709,FIND(":",Entry!$C709)+1,2)),2),"0000"))))</f>
        <v/>
      </c>
      <c r="G706" t="str">
        <f>IF($A706="","",Entry!$G709)</f>
        <v/>
      </c>
      <c r="H706" t="str">
        <f>IF($A706="","",IF(Entry!$H709="",0,Entry!$H709))</f>
        <v/>
      </c>
      <c r="I706" t="str">
        <f>IF($A706="","",IF(Entry!$I709="",0,Entry!$I709))</f>
        <v/>
      </c>
      <c r="J706" t="str">
        <f t="shared" si="72"/>
        <v/>
      </c>
      <c r="K706" t="str">
        <f>IF($A706="","",Entry!$D709)</f>
        <v/>
      </c>
      <c r="L706" t="str">
        <f>IF($A706="","",Entry!$L709)</f>
        <v/>
      </c>
      <c r="N706" t="str">
        <f>IF(OR(Sync!$M706="",$Q706="",$Q706="نامعتبر"),"",Sync!$M706)</f>
        <v/>
      </c>
      <c r="O706" t="str">
        <f t="shared" si="73"/>
        <v/>
      </c>
      <c r="P706" t="str">
        <f>IF($N706="","",LEFT($Q706,4)&amp;MID($Q706,6,2)&amp;RIGHT($Q706,2)&amp;IF(Sync!$K706="","0000",IF(AND(ISNUMBER(Sync!$K706),Sync!$K706&gt;=0,Sync!$K706&lt;1),RIGHT("00"&amp;HOUR(Sync!$K706),2)&amp;RIGHT("00"&amp;MINUTE(Sync!$K706),2),IFERROR(RIGHT("00"&amp;VALUE(LEFT(Sync!$K706,FIND(":",Sync!$K706)-1)),2)&amp;RIGHT("00"&amp;VALUE(MID(Sync!$K706,FIND(":",Sync!$K706)+1,2)),2),"0000")))&amp;"|"&amp;"2"&amp;RIGHT("00000"&amp;701,5))</f>
        <v/>
      </c>
      <c r="Q706" t="str">
        <f>IF(Sync!$J706="","",IF(ISNUMBER(Sync!$J706),IF(AND(Sync!$J706&gt;=10000101,Sync!$J706&lt;=99991231),INT(Sync!$J706/10000)&amp;"/"&amp;RIGHT("00"&amp;INT(MOD(Sync!$J706,10000)/100),2)&amp;"/"&amp;RIGHT("00"&amp;MOD(Sync!$J706,100),2),"نامعتبر"),IF(LEN(Sync!$J706)=10,Sync!$J706,"نامعتبر")))</f>
        <v/>
      </c>
      <c r="R706" t="str">
        <f t="shared" si="74"/>
        <v/>
      </c>
      <c r="S706" t="str">
        <f t="shared" si="75"/>
        <v/>
      </c>
      <c r="T706" t="str">
        <f>IF($N706="","",IF(Sync!$N706="",0,Sync!$N706))</f>
        <v/>
      </c>
      <c r="U706" t="str">
        <f>IF($N706="","",IF(Sync!$O706="",0,Sync!$O706))</f>
        <v/>
      </c>
      <c r="V706" t="str">
        <f>IF($N706="","",Sync!$L706)</f>
        <v/>
      </c>
      <c r="W706" t="str">
        <f>IF($N706="","",Sync!$P706)</f>
        <v/>
      </c>
      <c r="AA706" t="str">
        <f>IF($A706="","",IF(COUNTIF($A$6:$A706,$A706)=1,1,0))</f>
        <v/>
      </c>
      <c r="AB706">
        <f>SUM($AA$6:$AA706)</f>
        <v>3</v>
      </c>
      <c r="AC706" t="str">
        <f t="shared" si="76"/>
        <v/>
      </c>
    </row>
    <row r="707" spans="1:29" x14ac:dyDescent="0.2">
      <c r="A707" t="str">
        <f>IF(OR(Entry!$B710="",Entry!$E710="",$E707="نامعتبر"),"",Entry!$E710)</f>
        <v/>
      </c>
      <c r="B707" t="str">
        <f>IF($A707="","",LEFT($E707,4)&amp;MID($E707,6,2)&amp;RIGHT($E707,2)&amp;$F707&amp;"|"&amp;"1"&amp;RIGHT("00000"&amp;702,5))</f>
        <v/>
      </c>
      <c r="C707" t="str">
        <f t="shared" si="70"/>
        <v/>
      </c>
      <c r="D707" t="str">
        <f t="shared" si="71"/>
        <v/>
      </c>
      <c r="E707" t="str">
        <f>IF(Entry!$B710="","",IF(ISNUMBER(Entry!$B710),IF(AND(Entry!$B710&gt;=10000101,Entry!$B710&lt;=99991231),INT(Entry!$B710/10000)&amp;"/"&amp;RIGHT("00"&amp;INT(MOD(Entry!$B710,10000)/100),2)&amp;"/"&amp;RIGHT("00"&amp;MOD(Entry!$B710,100),2),"نامعتبر"),IF(LEN(Entry!$B710)=10,Entry!$B710,"نامعتبر")))</f>
        <v/>
      </c>
      <c r="F707" t="str">
        <f>IF(Entry!$B710="","",IF(Entry!$C710="","0000",IF(AND(ISNUMBER(Entry!$C710),Entry!$C710&gt;=0,Entry!$C710&lt;1),RIGHT("00"&amp;HOUR(Entry!$C710),2)&amp;RIGHT("00"&amp;MINUTE(Entry!$C710),2),IFERROR(RIGHT("00"&amp;VALUE(LEFT(Entry!$C710,FIND(":",Entry!$C710)-1)),2)&amp;RIGHT("00"&amp;VALUE(MID(Entry!$C710,FIND(":",Entry!$C710)+1,2)),2),"0000"))))</f>
        <v/>
      </c>
      <c r="G707" t="str">
        <f>IF($A707="","",Entry!$G710)</f>
        <v/>
      </c>
      <c r="H707" t="str">
        <f>IF($A707="","",IF(Entry!$H710="",0,Entry!$H710))</f>
        <v/>
      </c>
      <c r="I707" t="str">
        <f>IF($A707="","",IF(Entry!$I710="",0,Entry!$I710))</f>
        <v/>
      </c>
      <c r="J707" t="str">
        <f t="shared" si="72"/>
        <v/>
      </c>
      <c r="K707" t="str">
        <f>IF($A707="","",Entry!$D710)</f>
        <v/>
      </c>
      <c r="L707" t="str">
        <f>IF($A707="","",Entry!$L710)</f>
        <v/>
      </c>
      <c r="N707" t="str">
        <f>IF(OR(Sync!$M707="",$Q707="",$Q707="نامعتبر"),"",Sync!$M707)</f>
        <v/>
      </c>
      <c r="O707" t="str">
        <f t="shared" si="73"/>
        <v/>
      </c>
      <c r="P707" t="str">
        <f>IF($N707="","",LEFT($Q707,4)&amp;MID($Q707,6,2)&amp;RIGHT($Q707,2)&amp;IF(Sync!$K707="","0000",IF(AND(ISNUMBER(Sync!$K707),Sync!$K707&gt;=0,Sync!$K707&lt;1),RIGHT("00"&amp;HOUR(Sync!$K707),2)&amp;RIGHT("00"&amp;MINUTE(Sync!$K707),2),IFERROR(RIGHT("00"&amp;VALUE(LEFT(Sync!$K707,FIND(":",Sync!$K707)-1)),2)&amp;RIGHT("00"&amp;VALUE(MID(Sync!$K707,FIND(":",Sync!$K707)+1,2)),2),"0000")))&amp;"|"&amp;"2"&amp;RIGHT("00000"&amp;702,5))</f>
        <v/>
      </c>
      <c r="Q707" t="str">
        <f>IF(Sync!$J707="","",IF(ISNUMBER(Sync!$J707),IF(AND(Sync!$J707&gt;=10000101,Sync!$J707&lt;=99991231),INT(Sync!$J707/10000)&amp;"/"&amp;RIGHT("00"&amp;INT(MOD(Sync!$J707,10000)/100),2)&amp;"/"&amp;RIGHT("00"&amp;MOD(Sync!$J707,100),2),"نامعتبر"),IF(LEN(Sync!$J707)=10,Sync!$J707,"نامعتبر")))</f>
        <v/>
      </c>
      <c r="R707" t="str">
        <f t="shared" si="74"/>
        <v/>
      </c>
      <c r="S707" t="str">
        <f t="shared" si="75"/>
        <v/>
      </c>
      <c r="T707" t="str">
        <f>IF($N707="","",IF(Sync!$N707="",0,Sync!$N707))</f>
        <v/>
      </c>
      <c r="U707" t="str">
        <f>IF($N707="","",IF(Sync!$O707="",0,Sync!$O707))</f>
        <v/>
      </c>
      <c r="V707" t="str">
        <f>IF($N707="","",Sync!$L707)</f>
        <v/>
      </c>
      <c r="W707" t="str">
        <f>IF($N707="","",Sync!$P707)</f>
        <v/>
      </c>
      <c r="AA707" t="str">
        <f>IF($A707="","",IF(COUNTIF($A$6:$A707,$A707)=1,1,0))</f>
        <v/>
      </c>
      <c r="AB707">
        <f>SUM($AA$6:$AA707)</f>
        <v>3</v>
      </c>
      <c r="AC707" t="str">
        <f t="shared" si="76"/>
        <v/>
      </c>
    </row>
    <row r="708" spans="1:29" x14ac:dyDescent="0.2">
      <c r="A708" t="str">
        <f>IF(OR(Entry!$B711="",Entry!$E711="",$E708="نامعتبر"),"",Entry!$E711)</f>
        <v/>
      </c>
      <c r="B708" t="str">
        <f>IF($A708="","",LEFT($E708,4)&amp;MID($E708,6,2)&amp;RIGHT($E708,2)&amp;$F708&amp;"|"&amp;"1"&amp;RIGHT("00000"&amp;703,5))</f>
        <v/>
      </c>
      <c r="C708" t="str">
        <f t="shared" si="70"/>
        <v/>
      </c>
      <c r="D708" t="str">
        <f t="shared" si="71"/>
        <v/>
      </c>
      <c r="E708" t="str">
        <f>IF(Entry!$B711="","",IF(ISNUMBER(Entry!$B711),IF(AND(Entry!$B711&gt;=10000101,Entry!$B711&lt;=99991231),INT(Entry!$B711/10000)&amp;"/"&amp;RIGHT("00"&amp;INT(MOD(Entry!$B711,10000)/100),2)&amp;"/"&amp;RIGHT("00"&amp;MOD(Entry!$B711,100),2),"نامعتبر"),IF(LEN(Entry!$B711)=10,Entry!$B711,"نامعتبر")))</f>
        <v/>
      </c>
      <c r="F708" t="str">
        <f>IF(Entry!$B711="","",IF(Entry!$C711="","0000",IF(AND(ISNUMBER(Entry!$C711),Entry!$C711&gt;=0,Entry!$C711&lt;1),RIGHT("00"&amp;HOUR(Entry!$C711),2)&amp;RIGHT("00"&amp;MINUTE(Entry!$C711),2),IFERROR(RIGHT("00"&amp;VALUE(LEFT(Entry!$C711,FIND(":",Entry!$C711)-1)),2)&amp;RIGHT("00"&amp;VALUE(MID(Entry!$C711,FIND(":",Entry!$C711)+1,2)),2),"0000"))))</f>
        <v/>
      </c>
      <c r="G708" t="str">
        <f>IF($A708="","",Entry!$G711)</f>
        <v/>
      </c>
      <c r="H708" t="str">
        <f>IF($A708="","",IF(Entry!$H711="",0,Entry!$H711))</f>
        <v/>
      </c>
      <c r="I708" t="str">
        <f>IF($A708="","",IF(Entry!$I711="",0,Entry!$I711))</f>
        <v/>
      </c>
      <c r="J708" t="str">
        <f t="shared" si="72"/>
        <v/>
      </c>
      <c r="K708" t="str">
        <f>IF($A708="","",Entry!$D711)</f>
        <v/>
      </c>
      <c r="L708" t="str">
        <f>IF($A708="","",Entry!$L711)</f>
        <v/>
      </c>
      <c r="N708" t="str">
        <f>IF(OR(Sync!$M708="",$Q708="",$Q708="نامعتبر"),"",Sync!$M708)</f>
        <v/>
      </c>
      <c r="O708" t="str">
        <f t="shared" si="73"/>
        <v/>
      </c>
      <c r="P708" t="str">
        <f>IF($N708="","",LEFT($Q708,4)&amp;MID($Q708,6,2)&amp;RIGHT($Q708,2)&amp;IF(Sync!$K708="","0000",IF(AND(ISNUMBER(Sync!$K708),Sync!$K708&gt;=0,Sync!$K708&lt;1),RIGHT("00"&amp;HOUR(Sync!$K708),2)&amp;RIGHT("00"&amp;MINUTE(Sync!$K708),2),IFERROR(RIGHT("00"&amp;VALUE(LEFT(Sync!$K708,FIND(":",Sync!$K708)-1)),2)&amp;RIGHT("00"&amp;VALUE(MID(Sync!$K708,FIND(":",Sync!$K708)+1,2)),2),"0000")))&amp;"|"&amp;"2"&amp;RIGHT("00000"&amp;703,5))</f>
        <v/>
      </c>
      <c r="Q708" t="str">
        <f>IF(Sync!$J708="","",IF(ISNUMBER(Sync!$J708),IF(AND(Sync!$J708&gt;=10000101,Sync!$J708&lt;=99991231),INT(Sync!$J708/10000)&amp;"/"&amp;RIGHT("00"&amp;INT(MOD(Sync!$J708,10000)/100),2)&amp;"/"&amp;RIGHT("00"&amp;MOD(Sync!$J708,100),2),"نامعتبر"),IF(LEN(Sync!$J708)=10,Sync!$J708,"نامعتبر")))</f>
        <v/>
      </c>
      <c r="R708" t="str">
        <f t="shared" si="74"/>
        <v/>
      </c>
      <c r="S708" t="str">
        <f t="shared" si="75"/>
        <v/>
      </c>
      <c r="T708" t="str">
        <f>IF($N708="","",IF(Sync!$N708="",0,Sync!$N708))</f>
        <v/>
      </c>
      <c r="U708" t="str">
        <f>IF($N708="","",IF(Sync!$O708="",0,Sync!$O708))</f>
        <v/>
      </c>
      <c r="V708" t="str">
        <f>IF($N708="","",Sync!$L708)</f>
        <v/>
      </c>
      <c r="W708" t="str">
        <f>IF($N708="","",Sync!$P708)</f>
        <v/>
      </c>
      <c r="AA708" t="str">
        <f>IF($A708="","",IF(COUNTIF($A$6:$A708,$A708)=1,1,0))</f>
        <v/>
      </c>
      <c r="AB708">
        <f>SUM($AA$6:$AA708)</f>
        <v>3</v>
      </c>
      <c r="AC708" t="str">
        <f t="shared" si="76"/>
        <v/>
      </c>
    </row>
    <row r="709" spans="1:29" x14ac:dyDescent="0.2">
      <c r="A709" t="str">
        <f>IF(OR(Entry!$B712="",Entry!$E712="",$E709="نامعتبر"),"",Entry!$E712)</f>
        <v/>
      </c>
      <c r="B709" t="str">
        <f>IF($A709="","",LEFT($E709,4)&amp;MID($E709,6,2)&amp;RIGHT($E709,2)&amp;$F709&amp;"|"&amp;"1"&amp;RIGHT("00000"&amp;704,5))</f>
        <v/>
      </c>
      <c r="C709" t="str">
        <f t="shared" si="70"/>
        <v/>
      </c>
      <c r="D709" t="str">
        <f t="shared" si="71"/>
        <v/>
      </c>
      <c r="E709" t="str">
        <f>IF(Entry!$B712="","",IF(ISNUMBER(Entry!$B712),IF(AND(Entry!$B712&gt;=10000101,Entry!$B712&lt;=99991231),INT(Entry!$B712/10000)&amp;"/"&amp;RIGHT("00"&amp;INT(MOD(Entry!$B712,10000)/100),2)&amp;"/"&amp;RIGHT("00"&amp;MOD(Entry!$B712,100),2),"نامعتبر"),IF(LEN(Entry!$B712)=10,Entry!$B712,"نامعتبر")))</f>
        <v/>
      </c>
      <c r="F709" t="str">
        <f>IF(Entry!$B712="","",IF(Entry!$C712="","0000",IF(AND(ISNUMBER(Entry!$C712),Entry!$C712&gt;=0,Entry!$C712&lt;1),RIGHT("00"&amp;HOUR(Entry!$C712),2)&amp;RIGHT("00"&amp;MINUTE(Entry!$C712),2),IFERROR(RIGHT("00"&amp;VALUE(LEFT(Entry!$C712,FIND(":",Entry!$C712)-1)),2)&amp;RIGHT("00"&amp;VALUE(MID(Entry!$C712,FIND(":",Entry!$C712)+1,2)),2),"0000"))))</f>
        <v/>
      </c>
      <c r="G709" t="str">
        <f>IF($A709="","",Entry!$G712)</f>
        <v/>
      </c>
      <c r="H709" t="str">
        <f>IF($A709="","",IF(Entry!$H712="",0,Entry!$H712))</f>
        <v/>
      </c>
      <c r="I709" t="str">
        <f>IF($A709="","",IF(Entry!$I712="",0,Entry!$I712))</f>
        <v/>
      </c>
      <c r="J709" t="str">
        <f t="shared" si="72"/>
        <v/>
      </c>
      <c r="K709" t="str">
        <f>IF($A709="","",Entry!$D712)</f>
        <v/>
      </c>
      <c r="L709" t="str">
        <f>IF($A709="","",Entry!$L712)</f>
        <v/>
      </c>
      <c r="N709" t="str">
        <f>IF(OR(Sync!$M709="",$Q709="",$Q709="نامعتبر"),"",Sync!$M709)</f>
        <v/>
      </c>
      <c r="O709" t="str">
        <f t="shared" si="73"/>
        <v/>
      </c>
      <c r="P709" t="str">
        <f>IF($N709="","",LEFT($Q709,4)&amp;MID($Q709,6,2)&amp;RIGHT($Q709,2)&amp;IF(Sync!$K709="","0000",IF(AND(ISNUMBER(Sync!$K709),Sync!$K709&gt;=0,Sync!$K709&lt;1),RIGHT("00"&amp;HOUR(Sync!$K709),2)&amp;RIGHT("00"&amp;MINUTE(Sync!$K709),2),IFERROR(RIGHT("00"&amp;VALUE(LEFT(Sync!$K709,FIND(":",Sync!$K709)-1)),2)&amp;RIGHT("00"&amp;VALUE(MID(Sync!$K709,FIND(":",Sync!$K709)+1,2)),2),"0000")))&amp;"|"&amp;"2"&amp;RIGHT("00000"&amp;704,5))</f>
        <v/>
      </c>
      <c r="Q709" t="str">
        <f>IF(Sync!$J709="","",IF(ISNUMBER(Sync!$J709),IF(AND(Sync!$J709&gt;=10000101,Sync!$J709&lt;=99991231),INT(Sync!$J709/10000)&amp;"/"&amp;RIGHT("00"&amp;INT(MOD(Sync!$J709,10000)/100),2)&amp;"/"&amp;RIGHT("00"&amp;MOD(Sync!$J709,100),2),"نامعتبر"),IF(LEN(Sync!$J709)=10,Sync!$J709,"نامعتبر")))</f>
        <v/>
      </c>
      <c r="R709" t="str">
        <f t="shared" si="74"/>
        <v/>
      </c>
      <c r="S709" t="str">
        <f t="shared" si="75"/>
        <v/>
      </c>
      <c r="T709" t="str">
        <f>IF($N709="","",IF(Sync!$N709="",0,Sync!$N709))</f>
        <v/>
      </c>
      <c r="U709" t="str">
        <f>IF($N709="","",IF(Sync!$O709="",0,Sync!$O709))</f>
        <v/>
      </c>
      <c r="V709" t="str">
        <f>IF($N709="","",Sync!$L709)</f>
        <v/>
      </c>
      <c r="W709" t="str">
        <f>IF($N709="","",Sync!$P709)</f>
        <v/>
      </c>
      <c r="AA709" t="str">
        <f>IF($A709="","",IF(COUNTIF($A$6:$A709,$A709)=1,1,0))</f>
        <v/>
      </c>
      <c r="AB709">
        <f>SUM($AA$6:$AA709)</f>
        <v>3</v>
      </c>
      <c r="AC709" t="str">
        <f t="shared" si="76"/>
        <v/>
      </c>
    </row>
    <row r="710" spans="1:29" x14ac:dyDescent="0.2">
      <c r="A710" t="str">
        <f>IF(OR(Entry!$B713="",Entry!$E713="",$E710="نامعتبر"),"",Entry!$E713)</f>
        <v/>
      </c>
      <c r="B710" t="str">
        <f>IF($A710="","",LEFT($E710,4)&amp;MID($E710,6,2)&amp;RIGHT($E710,2)&amp;$F710&amp;"|"&amp;"1"&amp;RIGHT("00000"&amp;705,5))</f>
        <v/>
      </c>
      <c r="C710" t="str">
        <f t="shared" ref="C710:C773" si="77">IF($B710="","",COUNTIFS($A$6:$A$1005,$A710,$B$6:$B$1005,"&lt;"&amp;$B710)+COUNTIFS($N$6:$N$2005,$A710,$P$6:$P$2005,"&lt;"&amp;$B710)+1)</f>
        <v/>
      </c>
      <c r="D710" t="str">
        <f t="shared" ref="D710:D773" si="78">IF($C710="","",$A710&amp;"|"&amp;RIGHT("000000"&amp;$C710,6))</f>
        <v/>
      </c>
      <c r="E710" t="str">
        <f>IF(Entry!$B713="","",IF(ISNUMBER(Entry!$B713),IF(AND(Entry!$B713&gt;=10000101,Entry!$B713&lt;=99991231),INT(Entry!$B713/10000)&amp;"/"&amp;RIGHT("00"&amp;INT(MOD(Entry!$B713,10000)/100),2)&amp;"/"&amp;RIGHT("00"&amp;MOD(Entry!$B713,100),2),"نامعتبر"),IF(LEN(Entry!$B713)=10,Entry!$B713,"نامعتبر")))</f>
        <v/>
      </c>
      <c r="F710" t="str">
        <f>IF(Entry!$B713="","",IF(Entry!$C713="","0000",IF(AND(ISNUMBER(Entry!$C713),Entry!$C713&gt;=0,Entry!$C713&lt;1),RIGHT("00"&amp;HOUR(Entry!$C713),2)&amp;RIGHT("00"&amp;MINUTE(Entry!$C713),2),IFERROR(RIGHT("00"&amp;VALUE(LEFT(Entry!$C713,FIND(":",Entry!$C713)-1)),2)&amp;RIGHT("00"&amp;VALUE(MID(Entry!$C713,FIND(":",Entry!$C713)+1,2)),2),"0000"))))</f>
        <v/>
      </c>
      <c r="G710" t="str">
        <f>IF($A710="","",Entry!$G713)</f>
        <v/>
      </c>
      <c r="H710" t="str">
        <f>IF($A710="","",IF(Entry!$H713="",0,Entry!$H713))</f>
        <v/>
      </c>
      <c r="I710" t="str">
        <f>IF($A710="","",IF(Entry!$I713="",0,Entry!$I713))</f>
        <v/>
      </c>
      <c r="J710" t="str">
        <f t="shared" ref="J710:J773" si="79">IF($A710="","",ROUND($H710*$I710,0))</f>
        <v/>
      </c>
      <c r="K710" t="str">
        <f>IF($A710="","",Entry!$D713)</f>
        <v/>
      </c>
      <c r="L710" t="str">
        <f>IF($A710="","",Entry!$L713)</f>
        <v/>
      </c>
      <c r="N710" t="str">
        <f>IF(OR(Sync!$M710="",$Q710="",$Q710="نامعتبر"),"",Sync!$M710)</f>
        <v/>
      </c>
      <c r="O710" t="str">
        <f t="shared" ref="O710:O773" si="80">IF($N710="","",$Q710)</f>
        <v/>
      </c>
      <c r="P710" t="str">
        <f>IF($N710="","",LEFT($Q710,4)&amp;MID($Q710,6,2)&amp;RIGHT($Q710,2)&amp;IF(Sync!$K710="","0000",IF(AND(ISNUMBER(Sync!$K710),Sync!$K710&gt;=0,Sync!$K710&lt;1),RIGHT("00"&amp;HOUR(Sync!$K710),2)&amp;RIGHT("00"&amp;MINUTE(Sync!$K710),2),IFERROR(RIGHT("00"&amp;VALUE(LEFT(Sync!$K710,FIND(":",Sync!$K710)-1)),2)&amp;RIGHT("00"&amp;VALUE(MID(Sync!$K710,FIND(":",Sync!$K710)+1,2)),2),"0000")))&amp;"|"&amp;"2"&amp;RIGHT("00000"&amp;705,5))</f>
        <v/>
      </c>
      <c r="Q710" t="str">
        <f>IF(Sync!$J710="","",IF(ISNUMBER(Sync!$J710),IF(AND(Sync!$J710&gt;=10000101,Sync!$J710&lt;=99991231),INT(Sync!$J710/10000)&amp;"/"&amp;RIGHT("00"&amp;INT(MOD(Sync!$J710,10000)/100),2)&amp;"/"&amp;RIGHT("00"&amp;MOD(Sync!$J710,100),2),"نامعتبر"),IF(LEN(Sync!$J710)=10,Sync!$J710,"نامعتبر")))</f>
        <v/>
      </c>
      <c r="R710" t="str">
        <f t="shared" ref="R710:R773" si="81">IF($P710="","",COUNTIFS($N$6:$N$2005,$N710,$P$6:$P$2005,"&lt;"&amp;$P710)+COUNTIFS($A$6:$A$1005,$N710,$B$6:$B$1005,"&lt;"&amp;$P710)+1)</f>
        <v/>
      </c>
      <c r="S710" t="str">
        <f t="shared" ref="S710:S773" si="82">IF($N710="","",$N710&amp;"|"&amp;RIGHT("000000"&amp;$R710,6))</f>
        <v/>
      </c>
      <c r="T710" t="str">
        <f>IF($N710="","",IF(Sync!$N710="",0,Sync!$N710))</f>
        <v/>
      </c>
      <c r="U710" t="str">
        <f>IF($N710="","",IF(Sync!$O710="",0,Sync!$O710))</f>
        <v/>
      </c>
      <c r="V710" t="str">
        <f>IF($N710="","",Sync!$L710)</f>
        <v/>
      </c>
      <c r="W710" t="str">
        <f>IF($N710="","",Sync!$P710)</f>
        <v/>
      </c>
      <c r="AA710" t="str">
        <f>IF($A710="","",IF(COUNTIF($A$6:$A710,$A710)=1,1,0))</f>
        <v/>
      </c>
      <c r="AB710">
        <f>SUM($AA$6:$AA710)</f>
        <v>3</v>
      </c>
      <c r="AC710" t="str">
        <f t="shared" ref="AC710:AC773" si="83">IFERROR(INDEX($A$6:$A$1005,MATCH(ROW()-5,$AB$6:$AB$1005,0)),"")</f>
        <v/>
      </c>
    </row>
    <row r="711" spans="1:29" x14ac:dyDescent="0.2">
      <c r="A711" t="str">
        <f>IF(OR(Entry!$B714="",Entry!$E714="",$E711="نامعتبر"),"",Entry!$E714)</f>
        <v/>
      </c>
      <c r="B711" t="str">
        <f>IF($A711="","",LEFT($E711,4)&amp;MID($E711,6,2)&amp;RIGHT($E711,2)&amp;$F711&amp;"|"&amp;"1"&amp;RIGHT("00000"&amp;706,5))</f>
        <v/>
      </c>
      <c r="C711" t="str">
        <f t="shared" si="77"/>
        <v/>
      </c>
      <c r="D711" t="str">
        <f t="shared" si="78"/>
        <v/>
      </c>
      <c r="E711" t="str">
        <f>IF(Entry!$B714="","",IF(ISNUMBER(Entry!$B714),IF(AND(Entry!$B714&gt;=10000101,Entry!$B714&lt;=99991231),INT(Entry!$B714/10000)&amp;"/"&amp;RIGHT("00"&amp;INT(MOD(Entry!$B714,10000)/100),2)&amp;"/"&amp;RIGHT("00"&amp;MOD(Entry!$B714,100),2),"نامعتبر"),IF(LEN(Entry!$B714)=10,Entry!$B714,"نامعتبر")))</f>
        <v/>
      </c>
      <c r="F711" t="str">
        <f>IF(Entry!$B714="","",IF(Entry!$C714="","0000",IF(AND(ISNUMBER(Entry!$C714),Entry!$C714&gt;=0,Entry!$C714&lt;1),RIGHT("00"&amp;HOUR(Entry!$C714),2)&amp;RIGHT("00"&amp;MINUTE(Entry!$C714),2),IFERROR(RIGHT("00"&amp;VALUE(LEFT(Entry!$C714,FIND(":",Entry!$C714)-1)),2)&amp;RIGHT("00"&amp;VALUE(MID(Entry!$C714,FIND(":",Entry!$C714)+1,2)),2),"0000"))))</f>
        <v/>
      </c>
      <c r="G711" t="str">
        <f>IF($A711="","",Entry!$G714)</f>
        <v/>
      </c>
      <c r="H711" t="str">
        <f>IF($A711="","",IF(Entry!$H714="",0,Entry!$H714))</f>
        <v/>
      </c>
      <c r="I711" t="str">
        <f>IF($A711="","",IF(Entry!$I714="",0,Entry!$I714))</f>
        <v/>
      </c>
      <c r="J711" t="str">
        <f t="shared" si="79"/>
        <v/>
      </c>
      <c r="K711" t="str">
        <f>IF($A711="","",Entry!$D714)</f>
        <v/>
      </c>
      <c r="L711" t="str">
        <f>IF($A711="","",Entry!$L714)</f>
        <v/>
      </c>
      <c r="N711" t="str">
        <f>IF(OR(Sync!$M711="",$Q711="",$Q711="نامعتبر"),"",Sync!$M711)</f>
        <v/>
      </c>
      <c r="O711" t="str">
        <f t="shared" si="80"/>
        <v/>
      </c>
      <c r="P711" t="str">
        <f>IF($N711="","",LEFT($Q711,4)&amp;MID($Q711,6,2)&amp;RIGHT($Q711,2)&amp;IF(Sync!$K711="","0000",IF(AND(ISNUMBER(Sync!$K711),Sync!$K711&gt;=0,Sync!$K711&lt;1),RIGHT("00"&amp;HOUR(Sync!$K711),2)&amp;RIGHT("00"&amp;MINUTE(Sync!$K711),2),IFERROR(RIGHT("00"&amp;VALUE(LEFT(Sync!$K711,FIND(":",Sync!$K711)-1)),2)&amp;RIGHT("00"&amp;VALUE(MID(Sync!$K711,FIND(":",Sync!$K711)+1,2)),2),"0000")))&amp;"|"&amp;"2"&amp;RIGHT("00000"&amp;706,5))</f>
        <v/>
      </c>
      <c r="Q711" t="str">
        <f>IF(Sync!$J711="","",IF(ISNUMBER(Sync!$J711),IF(AND(Sync!$J711&gt;=10000101,Sync!$J711&lt;=99991231),INT(Sync!$J711/10000)&amp;"/"&amp;RIGHT("00"&amp;INT(MOD(Sync!$J711,10000)/100),2)&amp;"/"&amp;RIGHT("00"&amp;MOD(Sync!$J711,100),2),"نامعتبر"),IF(LEN(Sync!$J711)=10,Sync!$J711,"نامعتبر")))</f>
        <v/>
      </c>
      <c r="R711" t="str">
        <f t="shared" si="81"/>
        <v/>
      </c>
      <c r="S711" t="str">
        <f t="shared" si="82"/>
        <v/>
      </c>
      <c r="T711" t="str">
        <f>IF($N711="","",IF(Sync!$N711="",0,Sync!$N711))</f>
        <v/>
      </c>
      <c r="U711" t="str">
        <f>IF($N711="","",IF(Sync!$O711="",0,Sync!$O711))</f>
        <v/>
      </c>
      <c r="V711" t="str">
        <f>IF($N711="","",Sync!$L711)</f>
        <v/>
      </c>
      <c r="W711" t="str">
        <f>IF($N711="","",Sync!$P711)</f>
        <v/>
      </c>
      <c r="AA711" t="str">
        <f>IF($A711="","",IF(COUNTIF($A$6:$A711,$A711)=1,1,0))</f>
        <v/>
      </c>
      <c r="AB711">
        <f>SUM($AA$6:$AA711)</f>
        <v>3</v>
      </c>
      <c r="AC711" t="str">
        <f t="shared" si="83"/>
        <v/>
      </c>
    </row>
    <row r="712" spans="1:29" x14ac:dyDescent="0.2">
      <c r="A712" t="str">
        <f>IF(OR(Entry!$B715="",Entry!$E715="",$E712="نامعتبر"),"",Entry!$E715)</f>
        <v/>
      </c>
      <c r="B712" t="str">
        <f>IF($A712="","",LEFT($E712,4)&amp;MID($E712,6,2)&amp;RIGHT($E712,2)&amp;$F712&amp;"|"&amp;"1"&amp;RIGHT("00000"&amp;707,5))</f>
        <v/>
      </c>
      <c r="C712" t="str">
        <f t="shared" si="77"/>
        <v/>
      </c>
      <c r="D712" t="str">
        <f t="shared" si="78"/>
        <v/>
      </c>
      <c r="E712" t="str">
        <f>IF(Entry!$B715="","",IF(ISNUMBER(Entry!$B715),IF(AND(Entry!$B715&gt;=10000101,Entry!$B715&lt;=99991231),INT(Entry!$B715/10000)&amp;"/"&amp;RIGHT("00"&amp;INT(MOD(Entry!$B715,10000)/100),2)&amp;"/"&amp;RIGHT("00"&amp;MOD(Entry!$B715,100),2),"نامعتبر"),IF(LEN(Entry!$B715)=10,Entry!$B715,"نامعتبر")))</f>
        <v/>
      </c>
      <c r="F712" t="str">
        <f>IF(Entry!$B715="","",IF(Entry!$C715="","0000",IF(AND(ISNUMBER(Entry!$C715),Entry!$C715&gt;=0,Entry!$C715&lt;1),RIGHT("00"&amp;HOUR(Entry!$C715),2)&amp;RIGHT("00"&amp;MINUTE(Entry!$C715),2),IFERROR(RIGHT("00"&amp;VALUE(LEFT(Entry!$C715,FIND(":",Entry!$C715)-1)),2)&amp;RIGHT("00"&amp;VALUE(MID(Entry!$C715,FIND(":",Entry!$C715)+1,2)),2),"0000"))))</f>
        <v/>
      </c>
      <c r="G712" t="str">
        <f>IF($A712="","",Entry!$G715)</f>
        <v/>
      </c>
      <c r="H712" t="str">
        <f>IF($A712="","",IF(Entry!$H715="",0,Entry!$H715))</f>
        <v/>
      </c>
      <c r="I712" t="str">
        <f>IF($A712="","",IF(Entry!$I715="",0,Entry!$I715))</f>
        <v/>
      </c>
      <c r="J712" t="str">
        <f t="shared" si="79"/>
        <v/>
      </c>
      <c r="K712" t="str">
        <f>IF($A712="","",Entry!$D715)</f>
        <v/>
      </c>
      <c r="L712" t="str">
        <f>IF($A712="","",Entry!$L715)</f>
        <v/>
      </c>
      <c r="N712" t="str">
        <f>IF(OR(Sync!$M712="",$Q712="",$Q712="نامعتبر"),"",Sync!$M712)</f>
        <v/>
      </c>
      <c r="O712" t="str">
        <f t="shared" si="80"/>
        <v/>
      </c>
      <c r="P712" t="str">
        <f>IF($N712="","",LEFT($Q712,4)&amp;MID($Q712,6,2)&amp;RIGHT($Q712,2)&amp;IF(Sync!$K712="","0000",IF(AND(ISNUMBER(Sync!$K712),Sync!$K712&gt;=0,Sync!$K712&lt;1),RIGHT("00"&amp;HOUR(Sync!$K712),2)&amp;RIGHT("00"&amp;MINUTE(Sync!$K712),2),IFERROR(RIGHT("00"&amp;VALUE(LEFT(Sync!$K712,FIND(":",Sync!$K712)-1)),2)&amp;RIGHT("00"&amp;VALUE(MID(Sync!$K712,FIND(":",Sync!$K712)+1,2)),2),"0000")))&amp;"|"&amp;"2"&amp;RIGHT("00000"&amp;707,5))</f>
        <v/>
      </c>
      <c r="Q712" t="str">
        <f>IF(Sync!$J712="","",IF(ISNUMBER(Sync!$J712),IF(AND(Sync!$J712&gt;=10000101,Sync!$J712&lt;=99991231),INT(Sync!$J712/10000)&amp;"/"&amp;RIGHT("00"&amp;INT(MOD(Sync!$J712,10000)/100),2)&amp;"/"&amp;RIGHT("00"&amp;MOD(Sync!$J712,100),2),"نامعتبر"),IF(LEN(Sync!$J712)=10,Sync!$J712,"نامعتبر")))</f>
        <v/>
      </c>
      <c r="R712" t="str">
        <f t="shared" si="81"/>
        <v/>
      </c>
      <c r="S712" t="str">
        <f t="shared" si="82"/>
        <v/>
      </c>
      <c r="T712" t="str">
        <f>IF($N712="","",IF(Sync!$N712="",0,Sync!$N712))</f>
        <v/>
      </c>
      <c r="U712" t="str">
        <f>IF($N712="","",IF(Sync!$O712="",0,Sync!$O712))</f>
        <v/>
      </c>
      <c r="V712" t="str">
        <f>IF($N712="","",Sync!$L712)</f>
        <v/>
      </c>
      <c r="W712" t="str">
        <f>IF($N712="","",Sync!$P712)</f>
        <v/>
      </c>
      <c r="AA712" t="str">
        <f>IF($A712="","",IF(COUNTIF($A$6:$A712,$A712)=1,1,0))</f>
        <v/>
      </c>
      <c r="AB712">
        <f>SUM($AA$6:$AA712)</f>
        <v>3</v>
      </c>
      <c r="AC712" t="str">
        <f t="shared" si="83"/>
        <v/>
      </c>
    </row>
    <row r="713" spans="1:29" x14ac:dyDescent="0.2">
      <c r="A713" t="str">
        <f>IF(OR(Entry!$B716="",Entry!$E716="",$E713="نامعتبر"),"",Entry!$E716)</f>
        <v/>
      </c>
      <c r="B713" t="str">
        <f>IF($A713="","",LEFT($E713,4)&amp;MID($E713,6,2)&amp;RIGHT($E713,2)&amp;$F713&amp;"|"&amp;"1"&amp;RIGHT("00000"&amp;708,5))</f>
        <v/>
      </c>
      <c r="C713" t="str">
        <f t="shared" si="77"/>
        <v/>
      </c>
      <c r="D713" t="str">
        <f t="shared" si="78"/>
        <v/>
      </c>
      <c r="E713" t="str">
        <f>IF(Entry!$B716="","",IF(ISNUMBER(Entry!$B716),IF(AND(Entry!$B716&gt;=10000101,Entry!$B716&lt;=99991231),INT(Entry!$B716/10000)&amp;"/"&amp;RIGHT("00"&amp;INT(MOD(Entry!$B716,10000)/100),2)&amp;"/"&amp;RIGHT("00"&amp;MOD(Entry!$B716,100),2),"نامعتبر"),IF(LEN(Entry!$B716)=10,Entry!$B716,"نامعتبر")))</f>
        <v/>
      </c>
      <c r="F713" t="str">
        <f>IF(Entry!$B716="","",IF(Entry!$C716="","0000",IF(AND(ISNUMBER(Entry!$C716),Entry!$C716&gt;=0,Entry!$C716&lt;1),RIGHT("00"&amp;HOUR(Entry!$C716),2)&amp;RIGHT("00"&amp;MINUTE(Entry!$C716),2),IFERROR(RIGHT("00"&amp;VALUE(LEFT(Entry!$C716,FIND(":",Entry!$C716)-1)),2)&amp;RIGHT("00"&amp;VALUE(MID(Entry!$C716,FIND(":",Entry!$C716)+1,2)),2),"0000"))))</f>
        <v/>
      </c>
      <c r="G713" t="str">
        <f>IF($A713="","",Entry!$G716)</f>
        <v/>
      </c>
      <c r="H713" t="str">
        <f>IF($A713="","",IF(Entry!$H716="",0,Entry!$H716))</f>
        <v/>
      </c>
      <c r="I713" t="str">
        <f>IF($A713="","",IF(Entry!$I716="",0,Entry!$I716))</f>
        <v/>
      </c>
      <c r="J713" t="str">
        <f t="shared" si="79"/>
        <v/>
      </c>
      <c r="K713" t="str">
        <f>IF($A713="","",Entry!$D716)</f>
        <v/>
      </c>
      <c r="L713" t="str">
        <f>IF($A713="","",Entry!$L716)</f>
        <v/>
      </c>
      <c r="N713" t="str">
        <f>IF(OR(Sync!$M713="",$Q713="",$Q713="نامعتبر"),"",Sync!$M713)</f>
        <v/>
      </c>
      <c r="O713" t="str">
        <f t="shared" si="80"/>
        <v/>
      </c>
      <c r="P713" t="str">
        <f>IF($N713="","",LEFT($Q713,4)&amp;MID($Q713,6,2)&amp;RIGHT($Q713,2)&amp;IF(Sync!$K713="","0000",IF(AND(ISNUMBER(Sync!$K713),Sync!$K713&gt;=0,Sync!$K713&lt;1),RIGHT("00"&amp;HOUR(Sync!$K713),2)&amp;RIGHT("00"&amp;MINUTE(Sync!$K713),2),IFERROR(RIGHT("00"&amp;VALUE(LEFT(Sync!$K713,FIND(":",Sync!$K713)-1)),2)&amp;RIGHT("00"&amp;VALUE(MID(Sync!$K713,FIND(":",Sync!$K713)+1,2)),2),"0000")))&amp;"|"&amp;"2"&amp;RIGHT("00000"&amp;708,5))</f>
        <v/>
      </c>
      <c r="Q713" t="str">
        <f>IF(Sync!$J713="","",IF(ISNUMBER(Sync!$J713),IF(AND(Sync!$J713&gt;=10000101,Sync!$J713&lt;=99991231),INT(Sync!$J713/10000)&amp;"/"&amp;RIGHT("00"&amp;INT(MOD(Sync!$J713,10000)/100),2)&amp;"/"&amp;RIGHT("00"&amp;MOD(Sync!$J713,100),2),"نامعتبر"),IF(LEN(Sync!$J713)=10,Sync!$J713,"نامعتبر")))</f>
        <v/>
      </c>
      <c r="R713" t="str">
        <f t="shared" si="81"/>
        <v/>
      </c>
      <c r="S713" t="str">
        <f t="shared" si="82"/>
        <v/>
      </c>
      <c r="T713" t="str">
        <f>IF($N713="","",IF(Sync!$N713="",0,Sync!$N713))</f>
        <v/>
      </c>
      <c r="U713" t="str">
        <f>IF($N713="","",IF(Sync!$O713="",0,Sync!$O713))</f>
        <v/>
      </c>
      <c r="V713" t="str">
        <f>IF($N713="","",Sync!$L713)</f>
        <v/>
      </c>
      <c r="W713" t="str">
        <f>IF($N713="","",Sync!$P713)</f>
        <v/>
      </c>
      <c r="AA713" t="str">
        <f>IF($A713="","",IF(COUNTIF($A$6:$A713,$A713)=1,1,0))</f>
        <v/>
      </c>
      <c r="AB713">
        <f>SUM($AA$6:$AA713)</f>
        <v>3</v>
      </c>
      <c r="AC713" t="str">
        <f t="shared" si="83"/>
        <v/>
      </c>
    </row>
    <row r="714" spans="1:29" x14ac:dyDescent="0.2">
      <c r="A714" t="str">
        <f>IF(OR(Entry!$B717="",Entry!$E717="",$E714="نامعتبر"),"",Entry!$E717)</f>
        <v/>
      </c>
      <c r="B714" t="str">
        <f>IF($A714="","",LEFT($E714,4)&amp;MID($E714,6,2)&amp;RIGHT($E714,2)&amp;$F714&amp;"|"&amp;"1"&amp;RIGHT("00000"&amp;709,5))</f>
        <v/>
      </c>
      <c r="C714" t="str">
        <f t="shared" si="77"/>
        <v/>
      </c>
      <c r="D714" t="str">
        <f t="shared" si="78"/>
        <v/>
      </c>
      <c r="E714" t="str">
        <f>IF(Entry!$B717="","",IF(ISNUMBER(Entry!$B717),IF(AND(Entry!$B717&gt;=10000101,Entry!$B717&lt;=99991231),INT(Entry!$B717/10000)&amp;"/"&amp;RIGHT("00"&amp;INT(MOD(Entry!$B717,10000)/100),2)&amp;"/"&amp;RIGHT("00"&amp;MOD(Entry!$B717,100),2),"نامعتبر"),IF(LEN(Entry!$B717)=10,Entry!$B717,"نامعتبر")))</f>
        <v/>
      </c>
      <c r="F714" t="str">
        <f>IF(Entry!$B717="","",IF(Entry!$C717="","0000",IF(AND(ISNUMBER(Entry!$C717),Entry!$C717&gt;=0,Entry!$C717&lt;1),RIGHT("00"&amp;HOUR(Entry!$C717),2)&amp;RIGHT("00"&amp;MINUTE(Entry!$C717),2),IFERROR(RIGHT("00"&amp;VALUE(LEFT(Entry!$C717,FIND(":",Entry!$C717)-1)),2)&amp;RIGHT("00"&amp;VALUE(MID(Entry!$C717,FIND(":",Entry!$C717)+1,2)),2),"0000"))))</f>
        <v/>
      </c>
      <c r="G714" t="str">
        <f>IF($A714="","",Entry!$G717)</f>
        <v/>
      </c>
      <c r="H714" t="str">
        <f>IF($A714="","",IF(Entry!$H717="",0,Entry!$H717))</f>
        <v/>
      </c>
      <c r="I714" t="str">
        <f>IF($A714="","",IF(Entry!$I717="",0,Entry!$I717))</f>
        <v/>
      </c>
      <c r="J714" t="str">
        <f t="shared" si="79"/>
        <v/>
      </c>
      <c r="K714" t="str">
        <f>IF($A714="","",Entry!$D717)</f>
        <v/>
      </c>
      <c r="L714" t="str">
        <f>IF($A714="","",Entry!$L717)</f>
        <v/>
      </c>
      <c r="N714" t="str">
        <f>IF(OR(Sync!$M714="",$Q714="",$Q714="نامعتبر"),"",Sync!$M714)</f>
        <v/>
      </c>
      <c r="O714" t="str">
        <f t="shared" si="80"/>
        <v/>
      </c>
      <c r="P714" t="str">
        <f>IF($N714="","",LEFT($Q714,4)&amp;MID($Q714,6,2)&amp;RIGHT($Q714,2)&amp;IF(Sync!$K714="","0000",IF(AND(ISNUMBER(Sync!$K714),Sync!$K714&gt;=0,Sync!$K714&lt;1),RIGHT("00"&amp;HOUR(Sync!$K714),2)&amp;RIGHT("00"&amp;MINUTE(Sync!$K714),2),IFERROR(RIGHT("00"&amp;VALUE(LEFT(Sync!$K714,FIND(":",Sync!$K714)-1)),2)&amp;RIGHT("00"&amp;VALUE(MID(Sync!$K714,FIND(":",Sync!$K714)+1,2)),2),"0000")))&amp;"|"&amp;"2"&amp;RIGHT("00000"&amp;709,5))</f>
        <v/>
      </c>
      <c r="Q714" t="str">
        <f>IF(Sync!$J714="","",IF(ISNUMBER(Sync!$J714),IF(AND(Sync!$J714&gt;=10000101,Sync!$J714&lt;=99991231),INT(Sync!$J714/10000)&amp;"/"&amp;RIGHT("00"&amp;INT(MOD(Sync!$J714,10000)/100),2)&amp;"/"&amp;RIGHT("00"&amp;MOD(Sync!$J714,100),2),"نامعتبر"),IF(LEN(Sync!$J714)=10,Sync!$J714,"نامعتبر")))</f>
        <v/>
      </c>
      <c r="R714" t="str">
        <f t="shared" si="81"/>
        <v/>
      </c>
      <c r="S714" t="str">
        <f t="shared" si="82"/>
        <v/>
      </c>
      <c r="T714" t="str">
        <f>IF($N714="","",IF(Sync!$N714="",0,Sync!$N714))</f>
        <v/>
      </c>
      <c r="U714" t="str">
        <f>IF($N714="","",IF(Sync!$O714="",0,Sync!$O714))</f>
        <v/>
      </c>
      <c r="V714" t="str">
        <f>IF($N714="","",Sync!$L714)</f>
        <v/>
      </c>
      <c r="W714" t="str">
        <f>IF($N714="","",Sync!$P714)</f>
        <v/>
      </c>
      <c r="AA714" t="str">
        <f>IF($A714="","",IF(COUNTIF($A$6:$A714,$A714)=1,1,0))</f>
        <v/>
      </c>
      <c r="AB714">
        <f>SUM($AA$6:$AA714)</f>
        <v>3</v>
      </c>
      <c r="AC714" t="str">
        <f t="shared" si="83"/>
        <v/>
      </c>
    </row>
    <row r="715" spans="1:29" x14ac:dyDescent="0.2">
      <c r="A715" t="str">
        <f>IF(OR(Entry!$B718="",Entry!$E718="",$E715="نامعتبر"),"",Entry!$E718)</f>
        <v/>
      </c>
      <c r="B715" t="str">
        <f>IF($A715="","",LEFT($E715,4)&amp;MID($E715,6,2)&amp;RIGHT($E715,2)&amp;$F715&amp;"|"&amp;"1"&amp;RIGHT("00000"&amp;710,5))</f>
        <v/>
      </c>
      <c r="C715" t="str">
        <f t="shared" si="77"/>
        <v/>
      </c>
      <c r="D715" t="str">
        <f t="shared" si="78"/>
        <v/>
      </c>
      <c r="E715" t="str">
        <f>IF(Entry!$B718="","",IF(ISNUMBER(Entry!$B718),IF(AND(Entry!$B718&gt;=10000101,Entry!$B718&lt;=99991231),INT(Entry!$B718/10000)&amp;"/"&amp;RIGHT("00"&amp;INT(MOD(Entry!$B718,10000)/100),2)&amp;"/"&amp;RIGHT("00"&amp;MOD(Entry!$B718,100),2),"نامعتبر"),IF(LEN(Entry!$B718)=10,Entry!$B718,"نامعتبر")))</f>
        <v/>
      </c>
      <c r="F715" t="str">
        <f>IF(Entry!$B718="","",IF(Entry!$C718="","0000",IF(AND(ISNUMBER(Entry!$C718),Entry!$C718&gt;=0,Entry!$C718&lt;1),RIGHT("00"&amp;HOUR(Entry!$C718),2)&amp;RIGHT("00"&amp;MINUTE(Entry!$C718),2),IFERROR(RIGHT("00"&amp;VALUE(LEFT(Entry!$C718,FIND(":",Entry!$C718)-1)),2)&amp;RIGHT("00"&amp;VALUE(MID(Entry!$C718,FIND(":",Entry!$C718)+1,2)),2),"0000"))))</f>
        <v/>
      </c>
      <c r="G715" t="str">
        <f>IF($A715="","",Entry!$G718)</f>
        <v/>
      </c>
      <c r="H715" t="str">
        <f>IF($A715="","",IF(Entry!$H718="",0,Entry!$H718))</f>
        <v/>
      </c>
      <c r="I715" t="str">
        <f>IF($A715="","",IF(Entry!$I718="",0,Entry!$I718))</f>
        <v/>
      </c>
      <c r="J715" t="str">
        <f t="shared" si="79"/>
        <v/>
      </c>
      <c r="K715" t="str">
        <f>IF($A715="","",Entry!$D718)</f>
        <v/>
      </c>
      <c r="L715" t="str">
        <f>IF($A715="","",Entry!$L718)</f>
        <v/>
      </c>
      <c r="N715" t="str">
        <f>IF(OR(Sync!$M715="",$Q715="",$Q715="نامعتبر"),"",Sync!$M715)</f>
        <v/>
      </c>
      <c r="O715" t="str">
        <f t="shared" si="80"/>
        <v/>
      </c>
      <c r="P715" t="str">
        <f>IF($N715="","",LEFT($Q715,4)&amp;MID($Q715,6,2)&amp;RIGHT($Q715,2)&amp;IF(Sync!$K715="","0000",IF(AND(ISNUMBER(Sync!$K715),Sync!$K715&gt;=0,Sync!$K715&lt;1),RIGHT("00"&amp;HOUR(Sync!$K715),2)&amp;RIGHT("00"&amp;MINUTE(Sync!$K715),2),IFERROR(RIGHT("00"&amp;VALUE(LEFT(Sync!$K715,FIND(":",Sync!$K715)-1)),2)&amp;RIGHT("00"&amp;VALUE(MID(Sync!$K715,FIND(":",Sync!$K715)+1,2)),2),"0000")))&amp;"|"&amp;"2"&amp;RIGHT("00000"&amp;710,5))</f>
        <v/>
      </c>
      <c r="Q715" t="str">
        <f>IF(Sync!$J715="","",IF(ISNUMBER(Sync!$J715),IF(AND(Sync!$J715&gt;=10000101,Sync!$J715&lt;=99991231),INT(Sync!$J715/10000)&amp;"/"&amp;RIGHT("00"&amp;INT(MOD(Sync!$J715,10000)/100),2)&amp;"/"&amp;RIGHT("00"&amp;MOD(Sync!$J715,100),2),"نامعتبر"),IF(LEN(Sync!$J715)=10,Sync!$J715,"نامعتبر")))</f>
        <v/>
      </c>
      <c r="R715" t="str">
        <f t="shared" si="81"/>
        <v/>
      </c>
      <c r="S715" t="str">
        <f t="shared" si="82"/>
        <v/>
      </c>
      <c r="T715" t="str">
        <f>IF($N715="","",IF(Sync!$N715="",0,Sync!$N715))</f>
        <v/>
      </c>
      <c r="U715" t="str">
        <f>IF($N715="","",IF(Sync!$O715="",0,Sync!$O715))</f>
        <v/>
      </c>
      <c r="V715" t="str">
        <f>IF($N715="","",Sync!$L715)</f>
        <v/>
      </c>
      <c r="W715" t="str">
        <f>IF($N715="","",Sync!$P715)</f>
        <v/>
      </c>
      <c r="AA715" t="str">
        <f>IF($A715="","",IF(COUNTIF($A$6:$A715,$A715)=1,1,0))</f>
        <v/>
      </c>
      <c r="AB715">
        <f>SUM($AA$6:$AA715)</f>
        <v>3</v>
      </c>
      <c r="AC715" t="str">
        <f t="shared" si="83"/>
        <v/>
      </c>
    </row>
    <row r="716" spans="1:29" x14ac:dyDescent="0.2">
      <c r="A716" t="str">
        <f>IF(OR(Entry!$B719="",Entry!$E719="",$E716="نامعتبر"),"",Entry!$E719)</f>
        <v/>
      </c>
      <c r="B716" t="str">
        <f>IF($A716="","",LEFT($E716,4)&amp;MID($E716,6,2)&amp;RIGHT($E716,2)&amp;$F716&amp;"|"&amp;"1"&amp;RIGHT("00000"&amp;711,5))</f>
        <v/>
      </c>
      <c r="C716" t="str">
        <f t="shared" si="77"/>
        <v/>
      </c>
      <c r="D716" t="str">
        <f t="shared" si="78"/>
        <v/>
      </c>
      <c r="E716" t="str">
        <f>IF(Entry!$B719="","",IF(ISNUMBER(Entry!$B719),IF(AND(Entry!$B719&gt;=10000101,Entry!$B719&lt;=99991231),INT(Entry!$B719/10000)&amp;"/"&amp;RIGHT("00"&amp;INT(MOD(Entry!$B719,10000)/100),2)&amp;"/"&amp;RIGHT("00"&amp;MOD(Entry!$B719,100),2),"نامعتبر"),IF(LEN(Entry!$B719)=10,Entry!$B719,"نامعتبر")))</f>
        <v/>
      </c>
      <c r="F716" t="str">
        <f>IF(Entry!$B719="","",IF(Entry!$C719="","0000",IF(AND(ISNUMBER(Entry!$C719),Entry!$C719&gt;=0,Entry!$C719&lt;1),RIGHT("00"&amp;HOUR(Entry!$C719),2)&amp;RIGHT("00"&amp;MINUTE(Entry!$C719),2),IFERROR(RIGHT("00"&amp;VALUE(LEFT(Entry!$C719,FIND(":",Entry!$C719)-1)),2)&amp;RIGHT("00"&amp;VALUE(MID(Entry!$C719,FIND(":",Entry!$C719)+1,2)),2),"0000"))))</f>
        <v/>
      </c>
      <c r="G716" t="str">
        <f>IF($A716="","",Entry!$G719)</f>
        <v/>
      </c>
      <c r="H716" t="str">
        <f>IF($A716="","",IF(Entry!$H719="",0,Entry!$H719))</f>
        <v/>
      </c>
      <c r="I716" t="str">
        <f>IF($A716="","",IF(Entry!$I719="",0,Entry!$I719))</f>
        <v/>
      </c>
      <c r="J716" t="str">
        <f t="shared" si="79"/>
        <v/>
      </c>
      <c r="K716" t="str">
        <f>IF($A716="","",Entry!$D719)</f>
        <v/>
      </c>
      <c r="L716" t="str">
        <f>IF($A716="","",Entry!$L719)</f>
        <v/>
      </c>
      <c r="N716" t="str">
        <f>IF(OR(Sync!$M716="",$Q716="",$Q716="نامعتبر"),"",Sync!$M716)</f>
        <v/>
      </c>
      <c r="O716" t="str">
        <f t="shared" si="80"/>
        <v/>
      </c>
      <c r="P716" t="str">
        <f>IF($N716="","",LEFT($Q716,4)&amp;MID($Q716,6,2)&amp;RIGHT($Q716,2)&amp;IF(Sync!$K716="","0000",IF(AND(ISNUMBER(Sync!$K716),Sync!$K716&gt;=0,Sync!$K716&lt;1),RIGHT("00"&amp;HOUR(Sync!$K716),2)&amp;RIGHT("00"&amp;MINUTE(Sync!$K716),2),IFERROR(RIGHT("00"&amp;VALUE(LEFT(Sync!$K716,FIND(":",Sync!$K716)-1)),2)&amp;RIGHT("00"&amp;VALUE(MID(Sync!$K716,FIND(":",Sync!$K716)+1,2)),2),"0000")))&amp;"|"&amp;"2"&amp;RIGHT("00000"&amp;711,5))</f>
        <v/>
      </c>
      <c r="Q716" t="str">
        <f>IF(Sync!$J716="","",IF(ISNUMBER(Sync!$J716),IF(AND(Sync!$J716&gt;=10000101,Sync!$J716&lt;=99991231),INT(Sync!$J716/10000)&amp;"/"&amp;RIGHT("00"&amp;INT(MOD(Sync!$J716,10000)/100),2)&amp;"/"&amp;RIGHT("00"&amp;MOD(Sync!$J716,100),2),"نامعتبر"),IF(LEN(Sync!$J716)=10,Sync!$J716,"نامعتبر")))</f>
        <v/>
      </c>
      <c r="R716" t="str">
        <f t="shared" si="81"/>
        <v/>
      </c>
      <c r="S716" t="str">
        <f t="shared" si="82"/>
        <v/>
      </c>
      <c r="T716" t="str">
        <f>IF($N716="","",IF(Sync!$N716="",0,Sync!$N716))</f>
        <v/>
      </c>
      <c r="U716" t="str">
        <f>IF($N716="","",IF(Sync!$O716="",0,Sync!$O716))</f>
        <v/>
      </c>
      <c r="V716" t="str">
        <f>IF($N716="","",Sync!$L716)</f>
        <v/>
      </c>
      <c r="W716" t="str">
        <f>IF($N716="","",Sync!$P716)</f>
        <v/>
      </c>
      <c r="AA716" t="str">
        <f>IF($A716="","",IF(COUNTIF($A$6:$A716,$A716)=1,1,0))</f>
        <v/>
      </c>
      <c r="AB716">
        <f>SUM($AA$6:$AA716)</f>
        <v>3</v>
      </c>
      <c r="AC716" t="str">
        <f t="shared" si="83"/>
        <v/>
      </c>
    </row>
    <row r="717" spans="1:29" x14ac:dyDescent="0.2">
      <c r="A717" t="str">
        <f>IF(OR(Entry!$B720="",Entry!$E720="",$E717="نامعتبر"),"",Entry!$E720)</f>
        <v/>
      </c>
      <c r="B717" t="str">
        <f>IF($A717="","",LEFT($E717,4)&amp;MID($E717,6,2)&amp;RIGHT($E717,2)&amp;$F717&amp;"|"&amp;"1"&amp;RIGHT("00000"&amp;712,5))</f>
        <v/>
      </c>
      <c r="C717" t="str">
        <f t="shared" si="77"/>
        <v/>
      </c>
      <c r="D717" t="str">
        <f t="shared" si="78"/>
        <v/>
      </c>
      <c r="E717" t="str">
        <f>IF(Entry!$B720="","",IF(ISNUMBER(Entry!$B720),IF(AND(Entry!$B720&gt;=10000101,Entry!$B720&lt;=99991231),INT(Entry!$B720/10000)&amp;"/"&amp;RIGHT("00"&amp;INT(MOD(Entry!$B720,10000)/100),2)&amp;"/"&amp;RIGHT("00"&amp;MOD(Entry!$B720,100),2),"نامعتبر"),IF(LEN(Entry!$B720)=10,Entry!$B720,"نامعتبر")))</f>
        <v/>
      </c>
      <c r="F717" t="str">
        <f>IF(Entry!$B720="","",IF(Entry!$C720="","0000",IF(AND(ISNUMBER(Entry!$C720),Entry!$C720&gt;=0,Entry!$C720&lt;1),RIGHT("00"&amp;HOUR(Entry!$C720),2)&amp;RIGHT("00"&amp;MINUTE(Entry!$C720),2),IFERROR(RIGHT("00"&amp;VALUE(LEFT(Entry!$C720,FIND(":",Entry!$C720)-1)),2)&amp;RIGHT("00"&amp;VALUE(MID(Entry!$C720,FIND(":",Entry!$C720)+1,2)),2),"0000"))))</f>
        <v/>
      </c>
      <c r="G717" t="str">
        <f>IF($A717="","",Entry!$G720)</f>
        <v/>
      </c>
      <c r="H717" t="str">
        <f>IF($A717="","",IF(Entry!$H720="",0,Entry!$H720))</f>
        <v/>
      </c>
      <c r="I717" t="str">
        <f>IF($A717="","",IF(Entry!$I720="",0,Entry!$I720))</f>
        <v/>
      </c>
      <c r="J717" t="str">
        <f t="shared" si="79"/>
        <v/>
      </c>
      <c r="K717" t="str">
        <f>IF($A717="","",Entry!$D720)</f>
        <v/>
      </c>
      <c r="L717" t="str">
        <f>IF($A717="","",Entry!$L720)</f>
        <v/>
      </c>
      <c r="N717" t="str">
        <f>IF(OR(Sync!$M717="",$Q717="",$Q717="نامعتبر"),"",Sync!$M717)</f>
        <v/>
      </c>
      <c r="O717" t="str">
        <f t="shared" si="80"/>
        <v/>
      </c>
      <c r="P717" t="str">
        <f>IF($N717="","",LEFT($Q717,4)&amp;MID($Q717,6,2)&amp;RIGHT($Q717,2)&amp;IF(Sync!$K717="","0000",IF(AND(ISNUMBER(Sync!$K717),Sync!$K717&gt;=0,Sync!$K717&lt;1),RIGHT("00"&amp;HOUR(Sync!$K717),2)&amp;RIGHT("00"&amp;MINUTE(Sync!$K717),2),IFERROR(RIGHT("00"&amp;VALUE(LEFT(Sync!$K717,FIND(":",Sync!$K717)-1)),2)&amp;RIGHT("00"&amp;VALUE(MID(Sync!$K717,FIND(":",Sync!$K717)+1,2)),2),"0000")))&amp;"|"&amp;"2"&amp;RIGHT("00000"&amp;712,5))</f>
        <v/>
      </c>
      <c r="Q717" t="str">
        <f>IF(Sync!$J717="","",IF(ISNUMBER(Sync!$J717),IF(AND(Sync!$J717&gt;=10000101,Sync!$J717&lt;=99991231),INT(Sync!$J717/10000)&amp;"/"&amp;RIGHT("00"&amp;INT(MOD(Sync!$J717,10000)/100),2)&amp;"/"&amp;RIGHT("00"&amp;MOD(Sync!$J717,100),2),"نامعتبر"),IF(LEN(Sync!$J717)=10,Sync!$J717,"نامعتبر")))</f>
        <v/>
      </c>
      <c r="R717" t="str">
        <f t="shared" si="81"/>
        <v/>
      </c>
      <c r="S717" t="str">
        <f t="shared" si="82"/>
        <v/>
      </c>
      <c r="T717" t="str">
        <f>IF($N717="","",IF(Sync!$N717="",0,Sync!$N717))</f>
        <v/>
      </c>
      <c r="U717" t="str">
        <f>IF($N717="","",IF(Sync!$O717="",0,Sync!$O717))</f>
        <v/>
      </c>
      <c r="V717" t="str">
        <f>IF($N717="","",Sync!$L717)</f>
        <v/>
      </c>
      <c r="W717" t="str">
        <f>IF($N717="","",Sync!$P717)</f>
        <v/>
      </c>
      <c r="AA717" t="str">
        <f>IF($A717="","",IF(COUNTIF($A$6:$A717,$A717)=1,1,0))</f>
        <v/>
      </c>
      <c r="AB717">
        <f>SUM($AA$6:$AA717)</f>
        <v>3</v>
      </c>
      <c r="AC717" t="str">
        <f t="shared" si="83"/>
        <v/>
      </c>
    </row>
    <row r="718" spans="1:29" x14ac:dyDescent="0.2">
      <c r="A718" t="str">
        <f>IF(OR(Entry!$B721="",Entry!$E721="",$E718="نامعتبر"),"",Entry!$E721)</f>
        <v/>
      </c>
      <c r="B718" t="str">
        <f>IF($A718="","",LEFT($E718,4)&amp;MID($E718,6,2)&amp;RIGHT($E718,2)&amp;$F718&amp;"|"&amp;"1"&amp;RIGHT("00000"&amp;713,5))</f>
        <v/>
      </c>
      <c r="C718" t="str">
        <f t="shared" si="77"/>
        <v/>
      </c>
      <c r="D718" t="str">
        <f t="shared" si="78"/>
        <v/>
      </c>
      <c r="E718" t="str">
        <f>IF(Entry!$B721="","",IF(ISNUMBER(Entry!$B721),IF(AND(Entry!$B721&gt;=10000101,Entry!$B721&lt;=99991231),INT(Entry!$B721/10000)&amp;"/"&amp;RIGHT("00"&amp;INT(MOD(Entry!$B721,10000)/100),2)&amp;"/"&amp;RIGHT("00"&amp;MOD(Entry!$B721,100),2),"نامعتبر"),IF(LEN(Entry!$B721)=10,Entry!$B721,"نامعتبر")))</f>
        <v/>
      </c>
      <c r="F718" t="str">
        <f>IF(Entry!$B721="","",IF(Entry!$C721="","0000",IF(AND(ISNUMBER(Entry!$C721),Entry!$C721&gt;=0,Entry!$C721&lt;1),RIGHT("00"&amp;HOUR(Entry!$C721),2)&amp;RIGHT("00"&amp;MINUTE(Entry!$C721),2),IFERROR(RIGHT("00"&amp;VALUE(LEFT(Entry!$C721,FIND(":",Entry!$C721)-1)),2)&amp;RIGHT("00"&amp;VALUE(MID(Entry!$C721,FIND(":",Entry!$C721)+1,2)),2),"0000"))))</f>
        <v/>
      </c>
      <c r="G718" t="str">
        <f>IF($A718="","",Entry!$G721)</f>
        <v/>
      </c>
      <c r="H718" t="str">
        <f>IF($A718="","",IF(Entry!$H721="",0,Entry!$H721))</f>
        <v/>
      </c>
      <c r="I718" t="str">
        <f>IF($A718="","",IF(Entry!$I721="",0,Entry!$I721))</f>
        <v/>
      </c>
      <c r="J718" t="str">
        <f t="shared" si="79"/>
        <v/>
      </c>
      <c r="K718" t="str">
        <f>IF($A718="","",Entry!$D721)</f>
        <v/>
      </c>
      <c r="L718" t="str">
        <f>IF($A718="","",Entry!$L721)</f>
        <v/>
      </c>
      <c r="N718" t="str">
        <f>IF(OR(Sync!$M718="",$Q718="",$Q718="نامعتبر"),"",Sync!$M718)</f>
        <v/>
      </c>
      <c r="O718" t="str">
        <f t="shared" si="80"/>
        <v/>
      </c>
      <c r="P718" t="str">
        <f>IF($N718="","",LEFT($Q718,4)&amp;MID($Q718,6,2)&amp;RIGHT($Q718,2)&amp;IF(Sync!$K718="","0000",IF(AND(ISNUMBER(Sync!$K718),Sync!$K718&gt;=0,Sync!$K718&lt;1),RIGHT("00"&amp;HOUR(Sync!$K718),2)&amp;RIGHT("00"&amp;MINUTE(Sync!$K718),2),IFERROR(RIGHT("00"&amp;VALUE(LEFT(Sync!$K718,FIND(":",Sync!$K718)-1)),2)&amp;RIGHT("00"&amp;VALUE(MID(Sync!$K718,FIND(":",Sync!$K718)+1,2)),2),"0000")))&amp;"|"&amp;"2"&amp;RIGHT("00000"&amp;713,5))</f>
        <v/>
      </c>
      <c r="Q718" t="str">
        <f>IF(Sync!$J718="","",IF(ISNUMBER(Sync!$J718),IF(AND(Sync!$J718&gt;=10000101,Sync!$J718&lt;=99991231),INT(Sync!$J718/10000)&amp;"/"&amp;RIGHT("00"&amp;INT(MOD(Sync!$J718,10000)/100),2)&amp;"/"&amp;RIGHT("00"&amp;MOD(Sync!$J718,100),2),"نامعتبر"),IF(LEN(Sync!$J718)=10,Sync!$J718,"نامعتبر")))</f>
        <v/>
      </c>
      <c r="R718" t="str">
        <f t="shared" si="81"/>
        <v/>
      </c>
      <c r="S718" t="str">
        <f t="shared" si="82"/>
        <v/>
      </c>
      <c r="T718" t="str">
        <f>IF($N718="","",IF(Sync!$N718="",0,Sync!$N718))</f>
        <v/>
      </c>
      <c r="U718" t="str">
        <f>IF($N718="","",IF(Sync!$O718="",0,Sync!$O718))</f>
        <v/>
      </c>
      <c r="V718" t="str">
        <f>IF($N718="","",Sync!$L718)</f>
        <v/>
      </c>
      <c r="W718" t="str">
        <f>IF($N718="","",Sync!$P718)</f>
        <v/>
      </c>
      <c r="AA718" t="str">
        <f>IF($A718="","",IF(COUNTIF($A$6:$A718,$A718)=1,1,0))</f>
        <v/>
      </c>
      <c r="AB718">
        <f>SUM($AA$6:$AA718)</f>
        <v>3</v>
      </c>
      <c r="AC718" t="str">
        <f t="shared" si="83"/>
        <v/>
      </c>
    </row>
    <row r="719" spans="1:29" x14ac:dyDescent="0.2">
      <c r="A719" t="str">
        <f>IF(OR(Entry!$B722="",Entry!$E722="",$E719="نامعتبر"),"",Entry!$E722)</f>
        <v/>
      </c>
      <c r="B719" t="str">
        <f>IF($A719="","",LEFT($E719,4)&amp;MID($E719,6,2)&amp;RIGHT($E719,2)&amp;$F719&amp;"|"&amp;"1"&amp;RIGHT("00000"&amp;714,5))</f>
        <v/>
      </c>
      <c r="C719" t="str">
        <f t="shared" si="77"/>
        <v/>
      </c>
      <c r="D719" t="str">
        <f t="shared" si="78"/>
        <v/>
      </c>
      <c r="E719" t="str">
        <f>IF(Entry!$B722="","",IF(ISNUMBER(Entry!$B722),IF(AND(Entry!$B722&gt;=10000101,Entry!$B722&lt;=99991231),INT(Entry!$B722/10000)&amp;"/"&amp;RIGHT("00"&amp;INT(MOD(Entry!$B722,10000)/100),2)&amp;"/"&amp;RIGHT("00"&amp;MOD(Entry!$B722,100),2),"نامعتبر"),IF(LEN(Entry!$B722)=10,Entry!$B722,"نامعتبر")))</f>
        <v/>
      </c>
      <c r="F719" t="str">
        <f>IF(Entry!$B722="","",IF(Entry!$C722="","0000",IF(AND(ISNUMBER(Entry!$C722),Entry!$C722&gt;=0,Entry!$C722&lt;1),RIGHT("00"&amp;HOUR(Entry!$C722),2)&amp;RIGHT("00"&amp;MINUTE(Entry!$C722),2),IFERROR(RIGHT("00"&amp;VALUE(LEFT(Entry!$C722,FIND(":",Entry!$C722)-1)),2)&amp;RIGHT("00"&amp;VALUE(MID(Entry!$C722,FIND(":",Entry!$C722)+1,2)),2),"0000"))))</f>
        <v/>
      </c>
      <c r="G719" t="str">
        <f>IF($A719="","",Entry!$G722)</f>
        <v/>
      </c>
      <c r="H719" t="str">
        <f>IF($A719="","",IF(Entry!$H722="",0,Entry!$H722))</f>
        <v/>
      </c>
      <c r="I719" t="str">
        <f>IF($A719="","",IF(Entry!$I722="",0,Entry!$I722))</f>
        <v/>
      </c>
      <c r="J719" t="str">
        <f t="shared" si="79"/>
        <v/>
      </c>
      <c r="K719" t="str">
        <f>IF($A719="","",Entry!$D722)</f>
        <v/>
      </c>
      <c r="L719" t="str">
        <f>IF($A719="","",Entry!$L722)</f>
        <v/>
      </c>
      <c r="N719" t="str">
        <f>IF(OR(Sync!$M719="",$Q719="",$Q719="نامعتبر"),"",Sync!$M719)</f>
        <v/>
      </c>
      <c r="O719" t="str">
        <f t="shared" si="80"/>
        <v/>
      </c>
      <c r="P719" t="str">
        <f>IF($N719="","",LEFT($Q719,4)&amp;MID($Q719,6,2)&amp;RIGHT($Q719,2)&amp;IF(Sync!$K719="","0000",IF(AND(ISNUMBER(Sync!$K719),Sync!$K719&gt;=0,Sync!$K719&lt;1),RIGHT("00"&amp;HOUR(Sync!$K719),2)&amp;RIGHT("00"&amp;MINUTE(Sync!$K719),2),IFERROR(RIGHT("00"&amp;VALUE(LEFT(Sync!$K719,FIND(":",Sync!$K719)-1)),2)&amp;RIGHT("00"&amp;VALUE(MID(Sync!$K719,FIND(":",Sync!$K719)+1,2)),2),"0000")))&amp;"|"&amp;"2"&amp;RIGHT("00000"&amp;714,5))</f>
        <v/>
      </c>
      <c r="Q719" t="str">
        <f>IF(Sync!$J719="","",IF(ISNUMBER(Sync!$J719),IF(AND(Sync!$J719&gt;=10000101,Sync!$J719&lt;=99991231),INT(Sync!$J719/10000)&amp;"/"&amp;RIGHT("00"&amp;INT(MOD(Sync!$J719,10000)/100),2)&amp;"/"&amp;RIGHT("00"&amp;MOD(Sync!$J719,100),2),"نامعتبر"),IF(LEN(Sync!$J719)=10,Sync!$J719,"نامعتبر")))</f>
        <v/>
      </c>
      <c r="R719" t="str">
        <f t="shared" si="81"/>
        <v/>
      </c>
      <c r="S719" t="str">
        <f t="shared" si="82"/>
        <v/>
      </c>
      <c r="T719" t="str">
        <f>IF($N719="","",IF(Sync!$N719="",0,Sync!$N719))</f>
        <v/>
      </c>
      <c r="U719" t="str">
        <f>IF($N719="","",IF(Sync!$O719="",0,Sync!$O719))</f>
        <v/>
      </c>
      <c r="V719" t="str">
        <f>IF($N719="","",Sync!$L719)</f>
        <v/>
      </c>
      <c r="W719" t="str">
        <f>IF($N719="","",Sync!$P719)</f>
        <v/>
      </c>
      <c r="AA719" t="str">
        <f>IF($A719="","",IF(COUNTIF($A$6:$A719,$A719)=1,1,0))</f>
        <v/>
      </c>
      <c r="AB719">
        <f>SUM($AA$6:$AA719)</f>
        <v>3</v>
      </c>
      <c r="AC719" t="str">
        <f t="shared" si="83"/>
        <v/>
      </c>
    </row>
    <row r="720" spans="1:29" x14ac:dyDescent="0.2">
      <c r="A720" t="str">
        <f>IF(OR(Entry!$B723="",Entry!$E723="",$E720="نامعتبر"),"",Entry!$E723)</f>
        <v/>
      </c>
      <c r="B720" t="str">
        <f>IF($A720="","",LEFT($E720,4)&amp;MID($E720,6,2)&amp;RIGHT($E720,2)&amp;$F720&amp;"|"&amp;"1"&amp;RIGHT("00000"&amp;715,5))</f>
        <v/>
      </c>
      <c r="C720" t="str">
        <f t="shared" si="77"/>
        <v/>
      </c>
      <c r="D720" t="str">
        <f t="shared" si="78"/>
        <v/>
      </c>
      <c r="E720" t="str">
        <f>IF(Entry!$B723="","",IF(ISNUMBER(Entry!$B723),IF(AND(Entry!$B723&gt;=10000101,Entry!$B723&lt;=99991231),INT(Entry!$B723/10000)&amp;"/"&amp;RIGHT("00"&amp;INT(MOD(Entry!$B723,10000)/100),2)&amp;"/"&amp;RIGHT("00"&amp;MOD(Entry!$B723,100),2),"نامعتبر"),IF(LEN(Entry!$B723)=10,Entry!$B723,"نامعتبر")))</f>
        <v/>
      </c>
      <c r="F720" t="str">
        <f>IF(Entry!$B723="","",IF(Entry!$C723="","0000",IF(AND(ISNUMBER(Entry!$C723),Entry!$C723&gt;=0,Entry!$C723&lt;1),RIGHT("00"&amp;HOUR(Entry!$C723),2)&amp;RIGHT("00"&amp;MINUTE(Entry!$C723),2),IFERROR(RIGHT("00"&amp;VALUE(LEFT(Entry!$C723,FIND(":",Entry!$C723)-1)),2)&amp;RIGHT("00"&amp;VALUE(MID(Entry!$C723,FIND(":",Entry!$C723)+1,2)),2),"0000"))))</f>
        <v/>
      </c>
      <c r="G720" t="str">
        <f>IF($A720="","",Entry!$G723)</f>
        <v/>
      </c>
      <c r="H720" t="str">
        <f>IF($A720="","",IF(Entry!$H723="",0,Entry!$H723))</f>
        <v/>
      </c>
      <c r="I720" t="str">
        <f>IF($A720="","",IF(Entry!$I723="",0,Entry!$I723))</f>
        <v/>
      </c>
      <c r="J720" t="str">
        <f t="shared" si="79"/>
        <v/>
      </c>
      <c r="K720" t="str">
        <f>IF($A720="","",Entry!$D723)</f>
        <v/>
      </c>
      <c r="L720" t="str">
        <f>IF($A720="","",Entry!$L723)</f>
        <v/>
      </c>
      <c r="N720" t="str">
        <f>IF(OR(Sync!$M720="",$Q720="",$Q720="نامعتبر"),"",Sync!$M720)</f>
        <v/>
      </c>
      <c r="O720" t="str">
        <f t="shared" si="80"/>
        <v/>
      </c>
      <c r="P720" t="str">
        <f>IF($N720="","",LEFT($Q720,4)&amp;MID($Q720,6,2)&amp;RIGHT($Q720,2)&amp;IF(Sync!$K720="","0000",IF(AND(ISNUMBER(Sync!$K720),Sync!$K720&gt;=0,Sync!$K720&lt;1),RIGHT("00"&amp;HOUR(Sync!$K720),2)&amp;RIGHT("00"&amp;MINUTE(Sync!$K720),2),IFERROR(RIGHT("00"&amp;VALUE(LEFT(Sync!$K720,FIND(":",Sync!$K720)-1)),2)&amp;RIGHT("00"&amp;VALUE(MID(Sync!$K720,FIND(":",Sync!$K720)+1,2)),2),"0000")))&amp;"|"&amp;"2"&amp;RIGHT("00000"&amp;715,5))</f>
        <v/>
      </c>
      <c r="Q720" t="str">
        <f>IF(Sync!$J720="","",IF(ISNUMBER(Sync!$J720),IF(AND(Sync!$J720&gt;=10000101,Sync!$J720&lt;=99991231),INT(Sync!$J720/10000)&amp;"/"&amp;RIGHT("00"&amp;INT(MOD(Sync!$J720,10000)/100),2)&amp;"/"&amp;RIGHT("00"&amp;MOD(Sync!$J720,100),2),"نامعتبر"),IF(LEN(Sync!$J720)=10,Sync!$J720,"نامعتبر")))</f>
        <v/>
      </c>
      <c r="R720" t="str">
        <f t="shared" si="81"/>
        <v/>
      </c>
      <c r="S720" t="str">
        <f t="shared" si="82"/>
        <v/>
      </c>
      <c r="T720" t="str">
        <f>IF($N720="","",IF(Sync!$N720="",0,Sync!$N720))</f>
        <v/>
      </c>
      <c r="U720" t="str">
        <f>IF($N720="","",IF(Sync!$O720="",0,Sync!$O720))</f>
        <v/>
      </c>
      <c r="V720" t="str">
        <f>IF($N720="","",Sync!$L720)</f>
        <v/>
      </c>
      <c r="W720" t="str">
        <f>IF($N720="","",Sync!$P720)</f>
        <v/>
      </c>
      <c r="AA720" t="str">
        <f>IF($A720="","",IF(COUNTIF($A$6:$A720,$A720)=1,1,0))</f>
        <v/>
      </c>
      <c r="AB720">
        <f>SUM($AA$6:$AA720)</f>
        <v>3</v>
      </c>
      <c r="AC720" t="str">
        <f t="shared" si="83"/>
        <v/>
      </c>
    </row>
    <row r="721" spans="1:29" x14ac:dyDescent="0.2">
      <c r="A721" t="str">
        <f>IF(OR(Entry!$B724="",Entry!$E724="",$E721="نامعتبر"),"",Entry!$E724)</f>
        <v/>
      </c>
      <c r="B721" t="str">
        <f>IF($A721="","",LEFT($E721,4)&amp;MID($E721,6,2)&amp;RIGHT($E721,2)&amp;$F721&amp;"|"&amp;"1"&amp;RIGHT("00000"&amp;716,5))</f>
        <v/>
      </c>
      <c r="C721" t="str">
        <f t="shared" si="77"/>
        <v/>
      </c>
      <c r="D721" t="str">
        <f t="shared" si="78"/>
        <v/>
      </c>
      <c r="E721" t="str">
        <f>IF(Entry!$B724="","",IF(ISNUMBER(Entry!$B724),IF(AND(Entry!$B724&gt;=10000101,Entry!$B724&lt;=99991231),INT(Entry!$B724/10000)&amp;"/"&amp;RIGHT("00"&amp;INT(MOD(Entry!$B724,10000)/100),2)&amp;"/"&amp;RIGHT("00"&amp;MOD(Entry!$B724,100),2),"نامعتبر"),IF(LEN(Entry!$B724)=10,Entry!$B724,"نامعتبر")))</f>
        <v/>
      </c>
      <c r="F721" t="str">
        <f>IF(Entry!$B724="","",IF(Entry!$C724="","0000",IF(AND(ISNUMBER(Entry!$C724),Entry!$C724&gt;=0,Entry!$C724&lt;1),RIGHT("00"&amp;HOUR(Entry!$C724),2)&amp;RIGHT("00"&amp;MINUTE(Entry!$C724),2),IFERROR(RIGHT("00"&amp;VALUE(LEFT(Entry!$C724,FIND(":",Entry!$C724)-1)),2)&amp;RIGHT("00"&amp;VALUE(MID(Entry!$C724,FIND(":",Entry!$C724)+1,2)),2),"0000"))))</f>
        <v/>
      </c>
      <c r="G721" t="str">
        <f>IF($A721="","",Entry!$G724)</f>
        <v/>
      </c>
      <c r="H721" t="str">
        <f>IF($A721="","",IF(Entry!$H724="",0,Entry!$H724))</f>
        <v/>
      </c>
      <c r="I721" t="str">
        <f>IF($A721="","",IF(Entry!$I724="",0,Entry!$I724))</f>
        <v/>
      </c>
      <c r="J721" t="str">
        <f t="shared" si="79"/>
        <v/>
      </c>
      <c r="K721" t="str">
        <f>IF($A721="","",Entry!$D724)</f>
        <v/>
      </c>
      <c r="L721" t="str">
        <f>IF($A721="","",Entry!$L724)</f>
        <v/>
      </c>
      <c r="N721" t="str">
        <f>IF(OR(Sync!$M721="",$Q721="",$Q721="نامعتبر"),"",Sync!$M721)</f>
        <v/>
      </c>
      <c r="O721" t="str">
        <f t="shared" si="80"/>
        <v/>
      </c>
      <c r="P721" t="str">
        <f>IF($N721="","",LEFT($Q721,4)&amp;MID($Q721,6,2)&amp;RIGHT($Q721,2)&amp;IF(Sync!$K721="","0000",IF(AND(ISNUMBER(Sync!$K721),Sync!$K721&gt;=0,Sync!$K721&lt;1),RIGHT("00"&amp;HOUR(Sync!$K721),2)&amp;RIGHT("00"&amp;MINUTE(Sync!$K721),2),IFERROR(RIGHT("00"&amp;VALUE(LEFT(Sync!$K721,FIND(":",Sync!$K721)-1)),2)&amp;RIGHT("00"&amp;VALUE(MID(Sync!$K721,FIND(":",Sync!$K721)+1,2)),2),"0000")))&amp;"|"&amp;"2"&amp;RIGHT("00000"&amp;716,5))</f>
        <v/>
      </c>
      <c r="Q721" t="str">
        <f>IF(Sync!$J721="","",IF(ISNUMBER(Sync!$J721),IF(AND(Sync!$J721&gt;=10000101,Sync!$J721&lt;=99991231),INT(Sync!$J721/10000)&amp;"/"&amp;RIGHT("00"&amp;INT(MOD(Sync!$J721,10000)/100),2)&amp;"/"&amp;RIGHT("00"&amp;MOD(Sync!$J721,100),2),"نامعتبر"),IF(LEN(Sync!$J721)=10,Sync!$J721,"نامعتبر")))</f>
        <v/>
      </c>
      <c r="R721" t="str">
        <f t="shared" si="81"/>
        <v/>
      </c>
      <c r="S721" t="str">
        <f t="shared" si="82"/>
        <v/>
      </c>
      <c r="T721" t="str">
        <f>IF($N721="","",IF(Sync!$N721="",0,Sync!$N721))</f>
        <v/>
      </c>
      <c r="U721" t="str">
        <f>IF($N721="","",IF(Sync!$O721="",0,Sync!$O721))</f>
        <v/>
      </c>
      <c r="V721" t="str">
        <f>IF($N721="","",Sync!$L721)</f>
        <v/>
      </c>
      <c r="W721" t="str">
        <f>IF($N721="","",Sync!$P721)</f>
        <v/>
      </c>
      <c r="AA721" t="str">
        <f>IF($A721="","",IF(COUNTIF($A$6:$A721,$A721)=1,1,0))</f>
        <v/>
      </c>
      <c r="AB721">
        <f>SUM($AA$6:$AA721)</f>
        <v>3</v>
      </c>
      <c r="AC721" t="str">
        <f t="shared" si="83"/>
        <v/>
      </c>
    </row>
    <row r="722" spans="1:29" x14ac:dyDescent="0.2">
      <c r="A722" t="str">
        <f>IF(OR(Entry!$B725="",Entry!$E725="",$E722="نامعتبر"),"",Entry!$E725)</f>
        <v/>
      </c>
      <c r="B722" t="str">
        <f>IF($A722="","",LEFT($E722,4)&amp;MID($E722,6,2)&amp;RIGHT($E722,2)&amp;$F722&amp;"|"&amp;"1"&amp;RIGHT("00000"&amp;717,5))</f>
        <v/>
      </c>
      <c r="C722" t="str">
        <f t="shared" si="77"/>
        <v/>
      </c>
      <c r="D722" t="str">
        <f t="shared" si="78"/>
        <v/>
      </c>
      <c r="E722" t="str">
        <f>IF(Entry!$B725="","",IF(ISNUMBER(Entry!$B725),IF(AND(Entry!$B725&gt;=10000101,Entry!$B725&lt;=99991231),INT(Entry!$B725/10000)&amp;"/"&amp;RIGHT("00"&amp;INT(MOD(Entry!$B725,10000)/100),2)&amp;"/"&amp;RIGHT("00"&amp;MOD(Entry!$B725,100),2),"نامعتبر"),IF(LEN(Entry!$B725)=10,Entry!$B725,"نامعتبر")))</f>
        <v/>
      </c>
      <c r="F722" t="str">
        <f>IF(Entry!$B725="","",IF(Entry!$C725="","0000",IF(AND(ISNUMBER(Entry!$C725),Entry!$C725&gt;=0,Entry!$C725&lt;1),RIGHT("00"&amp;HOUR(Entry!$C725),2)&amp;RIGHT("00"&amp;MINUTE(Entry!$C725),2),IFERROR(RIGHT("00"&amp;VALUE(LEFT(Entry!$C725,FIND(":",Entry!$C725)-1)),2)&amp;RIGHT("00"&amp;VALUE(MID(Entry!$C725,FIND(":",Entry!$C725)+1,2)),2),"0000"))))</f>
        <v/>
      </c>
      <c r="G722" t="str">
        <f>IF($A722="","",Entry!$G725)</f>
        <v/>
      </c>
      <c r="H722" t="str">
        <f>IF($A722="","",IF(Entry!$H725="",0,Entry!$H725))</f>
        <v/>
      </c>
      <c r="I722" t="str">
        <f>IF($A722="","",IF(Entry!$I725="",0,Entry!$I725))</f>
        <v/>
      </c>
      <c r="J722" t="str">
        <f t="shared" si="79"/>
        <v/>
      </c>
      <c r="K722" t="str">
        <f>IF($A722="","",Entry!$D725)</f>
        <v/>
      </c>
      <c r="L722" t="str">
        <f>IF($A722="","",Entry!$L725)</f>
        <v/>
      </c>
      <c r="N722" t="str">
        <f>IF(OR(Sync!$M722="",$Q722="",$Q722="نامعتبر"),"",Sync!$M722)</f>
        <v/>
      </c>
      <c r="O722" t="str">
        <f t="shared" si="80"/>
        <v/>
      </c>
      <c r="P722" t="str">
        <f>IF($N722="","",LEFT($Q722,4)&amp;MID($Q722,6,2)&amp;RIGHT($Q722,2)&amp;IF(Sync!$K722="","0000",IF(AND(ISNUMBER(Sync!$K722),Sync!$K722&gt;=0,Sync!$K722&lt;1),RIGHT("00"&amp;HOUR(Sync!$K722),2)&amp;RIGHT("00"&amp;MINUTE(Sync!$K722),2),IFERROR(RIGHT("00"&amp;VALUE(LEFT(Sync!$K722,FIND(":",Sync!$K722)-1)),2)&amp;RIGHT("00"&amp;VALUE(MID(Sync!$K722,FIND(":",Sync!$K722)+1,2)),2),"0000")))&amp;"|"&amp;"2"&amp;RIGHT("00000"&amp;717,5))</f>
        <v/>
      </c>
      <c r="Q722" t="str">
        <f>IF(Sync!$J722="","",IF(ISNUMBER(Sync!$J722),IF(AND(Sync!$J722&gt;=10000101,Sync!$J722&lt;=99991231),INT(Sync!$J722/10000)&amp;"/"&amp;RIGHT("00"&amp;INT(MOD(Sync!$J722,10000)/100),2)&amp;"/"&amp;RIGHT("00"&amp;MOD(Sync!$J722,100),2),"نامعتبر"),IF(LEN(Sync!$J722)=10,Sync!$J722,"نامعتبر")))</f>
        <v/>
      </c>
      <c r="R722" t="str">
        <f t="shared" si="81"/>
        <v/>
      </c>
      <c r="S722" t="str">
        <f t="shared" si="82"/>
        <v/>
      </c>
      <c r="T722" t="str">
        <f>IF($N722="","",IF(Sync!$N722="",0,Sync!$N722))</f>
        <v/>
      </c>
      <c r="U722" t="str">
        <f>IF($N722="","",IF(Sync!$O722="",0,Sync!$O722))</f>
        <v/>
      </c>
      <c r="V722" t="str">
        <f>IF($N722="","",Sync!$L722)</f>
        <v/>
      </c>
      <c r="W722" t="str">
        <f>IF($N722="","",Sync!$P722)</f>
        <v/>
      </c>
      <c r="AA722" t="str">
        <f>IF($A722="","",IF(COUNTIF($A$6:$A722,$A722)=1,1,0))</f>
        <v/>
      </c>
      <c r="AB722">
        <f>SUM($AA$6:$AA722)</f>
        <v>3</v>
      </c>
      <c r="AC722" t="str">
        <f t="shared" si="83"/>
        <v/>
      </c>
    </row>
    <row r="723" spans="1:29" x14ac:dyDescent="0.2">
      <c r="A723" t="str">
        <f>IF(OR(Entry!$B726="",Entry!$E726="",$E723="نامعتبر"),"",Entry!$E726)</f>
        <v/>
      </c>
      <c r="B723" t="str">
        <f>IF($A723="","",LEFT($E723,4)&amp;MID($E723,6,2)&amp;RIGHT($E723,2)&amp;$F723&amp;"|"&amp;"1"&amp;RIGHT("00000"&amp;718,5))</f>
        <v/>
      </c>
      <c r="C723" t="str">
        <f t="shared" si="77"/>
        <v/>
      </c>
      <c r="D723" t="str">
        <f t="shared" si="78"/>
        <v/>
      </c>
      <c r="E723" t="str">
        <f>IF(Entry!$B726="","",IF(ISNUMBER(Entry!$B726),IF(AND(Entry!$B726&gt;=10000101,Entry!$B726&lt;=99991231),INT(Entry!$B726/10000)&amp;"/"&amp;RIGHT("00"&amp;INT(MOD(Entry!$B726,10000)/100),2)&amp;"/"&amp;RIGHT("00"&amp;MOD(Entry!$B726,100),2),"نامعتبر"),IF(LEN(Entry!$B726)=10,Entry!$B726,"نامعتبر")))</f>
        <v/>
      </c>
      <c r="F723" t="str">
        <f>IF(Entry!$B726="","",IF(Entry!$C726="","0000",IF(AND(ISNUMBER(Entry!$C726),Entry!$C726&gt;=0,Entry!$C726&lt;1),RIGHT("00"&amp;HOUR(Entry!$C726),2)&amp;RIGHT("00"&amp;MINUTE(Entry!$C726),2),IFERROR(RIGHT("00"&amp;VALUE(LEFT(Entry!$C726,FIND(":",Entry!$C726)-1)),2)&amp;RIGHT("00"&amp;VALUE(MID(Entry!$C726,FIND(":",Entry!$C726)+1,2)),2),"0000"))))</f>
        <v/>
      </c>
      <c r="G723" t="str">
        <f>IF($A723="","",Entry!$G726)</f>
        <v/>
      </c>
      <c r="H723" t="str">
        <f>IF($A723="","",IF(Entry!$H726="",0,Entry!$H726))</f>
        <v/>
      </c>
      <c r="I723" t="str">
        <f>IF($A723="","",IF(Entry!$I726="",0,Entry!$I726))</f>
        <v/>
      </c>
      <c r="J723" t="str">
        <f t="shared" si="79"/>
        <v/>
      </c>
      <c r="K723" t="str">
        <f>IF($A723="","",Entry!$D726)</f>
        <v/>
      </c>
      <c r="L723" t="str">
        <f>IF($A723="","",Entry!$L726)</f>
        <v/>
      </c>
      <c r="N723" t="str">
        <f>IF(OR(Sync!$M723="",$Q723="",$Q723="نامعتبر"),"",Sync!$M723)</f>
        <v/>
      </c>
      <c r="O723" t="str">
        <f t="shared" si="80"/>
        <v/>
      </c>
      <c r="P723" t="str">
        <f>IF($N723="","",LEFT($Q723,4)&amp;MID($Q723,6,2)&amp;RIGHT($Q723,2)&amp;IF(Sync!$K723="","0000",IF(AND(ISNUMBER(Sync!$K723),Sync!$K723&gt;=0,Sync!$K723&lt;1),RIGHT("00"&amp;HOUR(Sync!$K723),2)&amp;RIGHT("00"&amp;MINUTE(Sync!$K723),2),IFERROR(RIGHT("00"&amp;VALUE(LEFT(Sync!$K723,FIND(":",Sync!$K723)-1)),2)&amp;RIGHT("00"&amp;VALUE(MID(Sync!$K723,FIND(":",Sync!$K723)+1,2)),2),"0000")))&amp;"|"&amp;"2"&amp;RIGHT("00000"&amp;718,5))</f>
        <v/>
      </c>
      <c r="Q723" t="str">
        <f>IF(Sync!$J723="","",IF(ISNUMBER(Sync!$J723),IF(AND(Sync!$J723&gt;=10000101,Sync!$J723&lt;=99991231),INT(Sync!$J723/10000)&amp;"/"&amp;RIGHT("00"&amp;INT(MOD(Sync!$J723,10000)/100),2)&amp;"/"&amp;RIGHT("00"&amp;MOD(Sync!$J723,100),2),"نامعتبر"),IF(LEN(Sync!$J723)=10,Sync!$J723,"نامعتبر")))</f>
        <v/>
      </c>
      <c r="R723" t="str">
        <f t="shared" si="81"/>
        <v/>
      </c>
      <c r="S723" t="str">
        <f t="shared" si="82"/>
        <v/>
      </c>
      <c r="T723" t="str">
        <f>IF($N723="","",IF(Sync!$N723="",0,Sync!$N723))</f>
        <v/>
      </c>
      <c r="U723" t="str">
        <f>IF($N723="","",IF(Sync!$O723="",0,Sync!$O723))</f>
        <v/>
      </c>
      <c r="V723" t="str">
        <f>IF($N723="","",Sync!$L723)</f>
        <v/>
      </c>
      <c r="W723" t="str">
        <f>IF($N723="","",Sync!$P723)</f>
        <v/>
      </c>
      <c r="AA723" t="str">
        <f>IF($A723="","",IF(COUNTIF($A$6:$A723,$A723)=1,1,0))</f>
        <v/>
      </c>
      <c r="AB723">
        <f>SUM($AA$6:$AA723)</f>
        <v>3</v>
      </c>
      <c r="AC723" t="str">
        <f t="shared" si="83"/>
        <v/>
      </c>
    </row>
    <row r="724" spans="1:29" x14ac:dyDescent="0.2">
      <c r="A724" t="str">
        <f>IF(OR(Entry!$B727="",Entry!$E727="",$E724="نامعتبر"),"",Entry!$E727)</f>
        <v/>
      </c>
      <c r="B724" t="str">
        <f>IF($A724="","",LEFT($E724,4)&amp;MID($E724,6,2)&amp;RIGHT($E724,2)&amp;$F724&amp;"|"&amp;"1"&amp;RIGHT("00000"&amp;719,5))</f>
        <v/>
      </c>
      <c r="C724" t="str">
        <f t="shared" si="77"/>
        <v/>
      </c>
      <c r="D724" t="str">
        <f t="shared" si="78"/>
        <v/>
      </c>
      <c r="E724" t="str">
        <f>IF(Entry!$B727="","",IF(ISNUMBER(Entry!$B727),IF(AND(Entry!$B727&gt;=10000101,Entry!$B727&lt;=99991231),INT(Entry!$B727/10000)&amp;"/"&amp;RIGHT("00"&amp;INT(MOD(Entry!$B727,10000)/100),2)&amp;"/"&amp;RIGHT("00"&amp;MOD(Entry!$B727,100),2),"نامعتبر"),IF(LEN(Entry!$B727)=10,Entry!$B727,"نامعتبر")))</f>
        <v/>
      </c>
      <c r="F724" t="str">
        <f>IF(Entry!$B727="","",IF(Entry!$C727="","0000",IF(AND(ISNUMBER(Entry!$C727),Entry!$C727&gt;=0,Entry!$C727&lt;1),RIGHT("00"&amp;HOUR(Entry!$C727),2)&amp;RIGHT("00"&amp;MINUTE(Entry!$C727),2),IFERROR(RIGHT("00"&amp;VALUE(LEFT(Entry!$C727,FIND(":",Entry!$C727)-1)),2)&amp;RIGHT("00"&amp;VALUE(MID(Entry!$C727,FIND(":",Entry!$C727)+1,2)),2),"0000"))))</f>
        <v/>
      </c>
      <c r="G724" t="str">
        <f>IF($A724="","",Entry!$G727)</f>
        <v/>
      </c>
      <c r="H724" t="str">
        <f>IF($A724="","",IF(Entry!$H727="",0,Entry!$H727))</f>
        <v/>
      </c>
      <c r="I724" t="str">
        <f>IF($A724="","",IF(Entry!$I727="",0,Entry!$I727))</f>
        <v/>
      </c>
      <c r="J724" t="str">
        <f t="shared" si="79"/>
        <v/>
      </c>
      <c r="K724" t="str">
        <f>IF($A724="","",Entry!$D727)</f>
        <v/>
      </c>
      <c r="L724" t="str">
        <f>IF($A724="","",Entry!$L727)</f>
        <v/>
      </c>
      <c r="N724" t="str">
        <f>IF(OR(Sync!$M724="",$Q724="",$Q724="نامعتبر"),"",Sync!$M724)</f>
        <v/>
      </c>
      <c r="O724" t="str">
        <f t="shared" si="80"/>
        <v/>
      </c>
      <c r="P724" t="str">
        <f>IF($N724="","",LEFT($Q724,4)&amp;MID($Q724,6,2)&amp;RIGHT($Q724,2)&amp;IF(Sync!$K724="","0000",IF(AND(ISNUMBER(Sync!$K724),Sync!$K724&gt;=0,Sync!$K724&lt;1),RIGHT("00"&amp;HOUR(Sync!$K724),2)&amp;RIGHT("00"&amp;MINUTE(Sync!$K724),2),IFERROR(RIGHT("00"&amp;VALUE(LEFT(Sync!$K724,FIND(":",Sync!$K724)-1)),2)&amp;RIGHT("00"&amp;VALUE(MID(Sync!$K724,FIND(":",Sync!$K724)+1,2)),2),"0000")))&amp;"|"&amp;"2"&amp;RIGHT("00000"&amp;719,5))</f>
        <v/>
      </c>
      <c r="Q724" t="str">
        <f>IF(Sync!$J724="","",IF(ISNUMBER(Sync!$J724),IF(AND(Sync!$J724&gt;=10000101,Sync!$J724&lt;=99991231),INT(Sync!$J724/10000)&amp;"/"&amp;RIGHT("00"&amp;INT(MOD(Sync!$J724,10000)/100),2)&amp;"/"&amp;RIGHT("00"&amp;MOD(Sync!$J724,100),2),"نامعتبر"),IF(LEN(Sync!$J724)=10,Sync!$J724,"نامعتبر")))</f>
        <v/>
      </c>
      <c r="R724" t="str">
        <f t="shared" si="81"/>
        <v/>
      </c>
      <c r="S724" t="str">
        <f t="shared" si="82"/>
        <v/>
      </c>
      <c r="T724" t="str">
        <f>IF($N724="","",IF(Sync!$N724="",0,Sync!$N724))</f>
        <v/>
      </c>
      <c r="U724" t="str">
        <f>IF($N724="","",IF(Sync!$O724="",0,Sync!$O724))</f>
        <v/>
      </c>
      <c r="V724" t="str">
        <f>IF($N724="","",Sync!$L724)</f>
        <v/>
      </c>
      <c r="W724" t="str">
        <f>IF($N724="","",Sync!$P724)</f>
        <v/>
      </c>
      <c r="AA724" t="str">
        <f>IF($A724="","",IF(COUNTIF($A$6:$A724,$A724)=1,1,0))</f>
        <v/>
      </c>
      <c r="AB724">
        <f>SUM($AA$6:$AA724)</f>
        <v>3</v>
      </c>
      <c r="AC724" t="str">
        <f t="shared" si="83"/>
        <v/>
      </c>
    </row>
    <row r="725" spans="1:29" x14ac:dyDescent="0.2">
      <c r="A725" t="str">
        <f>IF(OR(Entry!$B728="",Entry!$E728="",$E725="نامعتبر"),"",Entry!$E728)</f>
        <v/>
      </c>
      <c r="B725" t="str">
        <f>IF($A725="","",LEFT($E725,4)&amp;MID($E725,6,2)&amp;RIGHT($E725,2)&amp;$F725&amp;"|"&amp;"1"&amp;RIGHT("00000"&amp;720,5))</f>
        <v/>
      </c>
      <c r="C725" t="str">
        <f t="shared" si="77"/>
        <v/>
      </c>
      <c r="D725" t="str">
        <f t="shared" si="78"/>
        <v/>
      </c>
      <c r="E725" t="str">
        <f>IF(Entry!$B728="","",IF(ISNUMBER(Entry!$B728),IF(AND(Entry!$B728&gt;=10000101,Entry!$B728&lt;=99991231),INT(Entry!$B728/10000)&amp;"/"&amp;RIGHT("00"&amp;INT(MOD(Entry!$B728,10000)/100),2)&amp;"/"&amp;RIGHT("00"&amp;MOD(Entry!$B728,100),2),"نامعتبر"),IF(LEN(Entry!$B728)=10,Entry!$B728,"نامعتبر")))</f>
        <v/>
      </c>
      <c r="F725" t="str">
        <f>IF(Entry!$B728="","",IF(Entry!$C728="","0000",IF(AND(ISNUMBER(Entry!$C728),Entry!$C728&gt;=0,Entry!$C728&lt;1),RIGHT("00"&amp;HOUR(Entry!$C728),2)&amp;RIGHT("00"&amp;MINUTE(Entry!$C728),2),IFERROR(RIGHT("00"&amp;VALUE(LEFT(Entry!$C728,FIND(":",Entry!$C728)-1)),2)&amp;RIGHT("00"&amp;VALUE(MID(Entry!$C728,FIND(":",Entry!$C728)+1,2)),2),"0000"))))</f>
        <v/>
      </c>
      <c r="G725" t="str">
        <f>IF($A725="","",Entry!$G728)</f>
        <v/>
      </c>
      <c r="H725" t="str">
        <f>IF($A725="","",IF(Entry!$H728="",0,Entry!$H728))</f>
        <v/>
      </c>
      <c r="I725" t="str">
        <f>IF($A725="","",IF(Entry!$I728="",0,Entry!$I728))</f>
        <v/>
      </c>
      <c r="J725" t="str">
        <f t="shared" si="79"/>
        <v/>
      </c>
      <c r="K725" t="str">
        <f>IF($A725="","",Entry!$D728)</f>
        <v/>
      </c>
      <c r="L725" t="str">
        <f>IF($A725="","",Entry!$L728)</f>
        <v/>
      </c>
      <c r="N725" t="str">
        <f>IF(OR(Sync!$M725="",$Q725="",$Q725="نامعتبر"),"",Sync!$M725)</f>
        <v/>
      </c>
      <c r="O725" t="str">
        <f t="shared" si="80"/>
        <v/>
      </c>
      <c r="P725" t="str">
        <f>IF($N725="","",LEFT($Q725,4)&amp;MID($Q725,6,2)&amp;RIGHT($Q725,2)&amp;IF(Sync!$K725="","0000",IF(AND(ISNUMBER(Sync!$K725),Sync!$K725&gt;=0,Sync!$K725&lt;1),RIGHT("00"&amp;HOUR(Sync!$K725),2)&amp;RIGHT("00"&amp;MINUTE(Sync!$K725),2),IFERROR(RIGHT("00"&amp;VALUE(LEFT(Sync!$K725,FIND(":",Sync!$K725)-1)),2)&amp;RIGHT("00"&amp;VALUE(MID(Sync!$K725,FIND(":",Sync!$K725)+1,2)),2),"0000")))&amp;"|"&amp;"2"&amp;RIGHT("00000"&amp;720,5))</f>
        <v/>
      </c>
      <c r="Q725" t="str">
        <f>IF(Sync!$J725="","",IF(ISNUMBER(Sync!$J725),IF(AND(Sync!$J725&gt;=10000101,Sync!$J725&lt;=99991231),INT(Sync!$J725/10000)&amp;"/"&amp;RIGHT("00"&amp;INT(MOD(Sync!$J725,10000)/100),2)&amp;"/"&amp;RIGHT("00"&amp;MOD(Sync!$J725,100),2),"نامعتبر"),IF(LEN(Sync!$J725)=10,Sync!$J725,"نامعتبر")))</f>
        <v/>
      </c>
      <c r="R725" t="str">
        <f t="shared" si="81"/>
        <v/>
      </c>
      <c r="S725" t="str">
        <f t="shared" si="82"/>
        <v/>
      </c>
      <c r="T725" t="str">
        <f>IF($N725="","",IF(Sync!$N725="",0,Sync!$N725))</f>
        <v/>
      </c>
      <c r="U725" t="str">
        <f>IF($N725="","",IF(Sync!$O725="",0,Sync!$O725))</f>
        <v/>
      </c>
      <c r="V725" t="str">
        <f>IF($N725="","",Sync!$L725)</f>
        <v/>
      </c>
      <c r="W725" t="str">
        <f>IF($N725="","",Sync!$P725)</f>
        <v/>
      </c>
      <c r="AA725" t="str">
        <f>IF($A725="","",IF(COUNTIF($A$6:$A725,$A725)=1,1,0))</f>
        <v/>
      </c>
      <c r="AB725">
        <f>SUM($AA$6:$AA725)</f>
        <v>3</v>
      </c>
      <c r="AC725" t="str">
        <f t="shared" si="83"/>
        <v/>
      </c>
    </row>
    <row r="726" spans="1:29" x14ac:dyDescent="0.2">
      <c r="A726" t="str">
        <f>IF(OR(Entry!$B729="",Entry!$E729="",$E726="نامعتبر"),"",Entry!$E729)</f>
        <v/>
      </c>
      <c r="B726" t="str">
        <f>IF($A726="","",LEFT($E726,4)&amp;MID($E726,6,2)&amp;RIGHT($E726,2)&amp;$F726&amp;"|"&amp;"1"&amp;RIGHT("00000"&amp;721,5))</f>
        <v/>
      </c>
      <c r="C726" t="str">
        <f t="shared" si="77"/>
        <v/>
      </c>
      <c r="D726" t="str">
        <f t="shared" si="78"/>
        <v/>
      </c>
      <c r="E726" t="str">
        <f>IF(Entry!$B729="","",IF(ISNUMBER(Entry!$B729),IF(AND(Entry!$B729&gt;=10000101,Entry!$B729&lt;=99991231),INT(Entry!$B729/10000)&amp;"/"&amp;RIGHT("00"&amp;INT(MOD(Entry!$B729,10000)/100),2)&amp;"/"&amp;RIGHT("00"&amp;MOD(Entry!$B729,100),2),"نامعتبر"),IF(LEN(Entry!$B729)=10,Entry!$B729,"نامعتبر")))</f>
        <v/>
      </c>
      <c r="F726" t="str">
        <f>IF(Entry!$B729="","",IF(Entry!$C729="","0000",IF(AND(ISNUMBER(Entry!$C729),Entry!$C729&gt;=0,Entry!$C729&lt;1),RIGHT("00"&amp;HOUR(Entry!$C729),2)&amp;RIGHT("00"&amp;MINUTE(Entry!$C729),2),IFERROR(RIGHT("00"&amp;VALUE(LEFT(Entry!$C729,FIND(":",Entry!$C729)-1)),2)&amp;RIGHT("00"&amp;VALUE(MID(Entry!$C729,FIND(":",Entry!$C729)+1,2)),2),"0000"))))</f>
        <v/>
      </c>
      <c r="G726" t="str">
        <f>IF($A726="","",Entry!$G729)</f>
        <v/>
      </c>
      <c r="H726" t="str">
        <f>IF($A726="","",IF(Entry!$H729="",0,Entry!$H729))</f>
        <v/>
      </c>
      <c r="I726" t="str">
        <f>IF($A726="","",IF(Entry!$I729="",0,Entry!$I729))</f>
        <v/>
      </c>
      <c r="J726" t="str">
        <f t="shared" si="79"/>
        <v/>
      </c>
      <c r="K726" t="str">
        <f>IF($A726="","",Entry!$D729)</f>
        <v/>
      </c>
      <c r="L726" t="str">
        <f>IF($A726="","",Entry!$L729)</f>
        <v/>
      </c>
      <c r="N726" t="str">
        <f>IF(OR(Sync!$M726="",$Q726="",$Q726="نامعتبر"),"",Sync!$M726)</f>
        <v/>
      </c>
      <c r="O726" t="str">
        <f t="shared" si="80"/>
        <v/>
      </c>
      <c r="P726" t="str">
        <f>IF($N726="","",LEFT($Q726,4)&amp;MID($Q726,6,2)&amp;RIGHT($Q726,2)&amp;IF(Sync!$K726="","0000",IF(AND(ISNUMBER(Sync!$K726),Sync!$K726&gt;=0,Sync!$K726&lt;1),RIGHT("00"&amp;HOUR(Sync!$K726),2)&amp;RIGHT("00"&amp;MINUTE(Sync!$K726),2),IFERROR(RIGHT("00"&amp;VALUE(LEFT(Sync!$K726,FIND(":",Sync!$K726)-1)),2)&amp;RIGHT("00"&amp;VALUE(MID(Sync!$K726,FIND(":",Sync!$K726)+1,2)),2),"0000")))&amp;"|"&amp;"2"&amp;RIGHT("00000"&amp;721,5))</f>
        <v/>
      </c>
      <c r="Q726" t="str">
        <f>IF(Sync!$J726="","",IF(ISNUMBER(Sync!$J726),IF(AND(Sync!$J726&gt;=10000101,Sync!$J726&lt;=99991231),INT(Sync!$J726/10000)&amp;"/"&amp;RIGHT("00"&amp;INT(MOD(Sync!$J726,10000)/100),2)&amp;"/"&amp;RIGHT("00"&amp;MOD(Sync!$J726,100),2),"نامعتبر"),IF(LEN(Sync!$J726)=10,Sync!$J726,"نامعتبر")))</f>
        <v/>
      </c>
      <c r="R726" t="str">
        <f t="shared" si="81"/>
        <v/>
      </c>
      <c r="S726" t="str">
        <f t="shared" si="82"/>
        <v/>
      </c>
      <c r="T726" t="str">
        <f>IF($N726="","",IF(Sync!$N726="",0,Sync!$N726))</f>
        <v/>
      </c>
      <c r="U726" t="str">
        <f>IF($N726="","",IF(Sync!$O726="",0,Sync!$O726))</f>
        <v/>
      </c>
      <c r="V726" t="str">
        <f>IF($N726="","",Sync!$L726)</f>
        <v/>
      </c>
      <c r="W726" t="str">
        <f>IF($N726="","",Sync!$P726)</f>
        <v/>
      </c>
      <c r="AA726" t="str">
        <f>IF($A726="","",IF(COUNTIF($A$6:$A726,$A726)=1,1,0))</f>
        <v/>
      </c>
      <c r="AB726">
        <f>SUM($AA$6:$AA726)</f>
        <v>3</v>
      </c>
      <c r="AC726" t="str">
        <f t="shared" si="83"/>
        <v/>
      </c>
    </row>
    <row r="727" spans="1:29" x14ac:dyDescent="0.2">
      <c r="A727" t="str">
        <f>IF(OR(Entry!$B730="",Entry!$E730="",$E727="نامعتبر"),"",Entry!$E730)</f>
        <v/>
      </c>
      <c r="B727" t="str">
        <f>IF($A727="","",LEFT($E727,4)&amp;MID($E727,6,2)&amp;RIGHT($E727,2)&amp;$F727&amp;"|"&amp;"1"&amp;RIGHT("00000"&amp;722,5))</f>
        <v/>
      </c>
      <c r="C727" t="str">
        <f t="shared" si="77"/>
        <v/>
      </c>
      <c r="D727" t="str">
        <f t="shared" si="78"/>
        <v/>
      </c>
      <c r="E727" t="str">
        <f>IF(Entry!$B730="","",IF(ISNUMBER(Entry!$B730),IF(AND(Entry!$B730&gt;=10000101,Entry!$B730&lt;=99991231),INT(Entry!$B730/10000)&amp;"/"&amp;RIGHT("00"&amp;INT(MOD(Entry!$B730,10000)/100),2)&amp;"/"&amp;RIGHT("00"&amp;MOD(Entry!$B730,100),2),"نامعتبر"),IF(LEN(Entry!$B730)=10,Entry!$B730,"نامعتبر")))</f>
        <v/>
      </c>
      <c r="F727" t="str">
        <f>IF(Entry!$B730="","",IF(Entry!$C730="","0000",IF(AND(ISNUMBER(Entry!$C730),Entry!$C730&gt;=0,Entry!$C730&lt;1),RIGHT("00"&amp;HOUR(Entry!$C730),2)&amp;RIGHT("00"&amp;MINUTE(Entry!$C730),2),IFERROR(RIGHT("00"&amp;VALUE(LEFT(Entry!$C730,FIND(":",Entry!$C730)-1)),2)&amp;RIGHT("00"&amp;VALUE(MID(Entry!$C730,FIND(":",Entry!$C730)+1,2)),2),"0000"))))</f>
        <v/>
      </c>
      <c r="G727" t="str">
        <f>IF($A727="","",Entry!$G730)</f>
        <v/>
      </c>
      <c r="H727" t="str">
        <f>IF($A727="","",IF(Entry!$H730="",0,Entry!$H730))</f>
        <v/>
      </c>
      <c r="I727" t="str">
        <f>IF($A727="","",IF(Entry!$I730="",0,Entry!$I730))</f>
        <v/>
      </c>
      <c r="J727" t="str">
        <f t="shared" si="79"/>
        <v/>
      </c>
      <c r="K727" t="str">
        <f>IF($A727="","",Entry!$D730)</f>
        <v/>
      </c>
      <c r="L727" t="str">
        <f>IF($A727="","",Entry!$L730)</f>
        <v/>
      </c>
      <c r="N727" t="str">
        <f>IF(OR(Sync!$M727="",$Q727="",$Q727="نامعتبر"),"",Sync!$M727)</f>
        <v/>
      </c>
      <c r="O727" t="str">
        <f t="shared" si="80"/>
        <v/>
      </c>
      <c r="P727" t="str">
        <f>IF($N727="","",LEFT($Q727,4)&amp;MID($Q727,6,2)&amp;RIGHT($Q727,2)&amp;IF(Sync!$K727="","0000",IF(AND(ISNUMBER(Sync!$K727),Sync!$K727&gt;=0,Sync!$K727&lt;1),RIGHT("00"&amp;HOUR(Sync!$K727),2)&amp;RIGHT("00"&amp;MINUTE(Sync!$K727),2),IFERROR(RIGHT("00"&amp;VALUE(LEFT(Sync!$K727,FIND(":",Sync!$K727)-1)),2)&amp;RIGHT("00"&amp;VALUE(MID(Sync!$K727,FIND(":",Sync!$K727)+1,2)),2),"0000")))&amp;"|"&amp;"2"&amp;RIGHT("00000"&amp;722,5))</f>
        <v/>
      </c>
      <c r="Q727" t="str">
        <f>IF(Sync!$J727="","",IF(ISNUMBER(Sync!$J727),IF(AND(Sync!$J727&gt;=10000101,Sync!$J727&lt;=99991231),INT(Sync!$J727/10000)&amp;"/"&amp;RIGHT("00"&amp;INT(MOD(Sync!$J727,10000)/100),2)&amp;"/"&amp;RIGHT("00"&amp;MOD(Sync!$J727,100),2),"نامعتبر"),IF(LEN(Sync!$J727)=10,Sync!$J727,"نامعتبر")))</f>
        <v/>
      </c>
      <c r="R727" t="str">
        <f t="shared" si="81"/>
        <v/>
      </c>
      <c r="S727" t="str">
        <f t="shared" si="82"/>
        <v/>
      </c>
      <c r="T727" t="str">
        <f>IF($N727="","",IF(Sync!$N727="",0,Sync!$N727))</f>
        <v/>
      </c>
      <c r="U727" t="str">
        <f>IF($N727="","",IF(Sync!$O727="",0,Sync!$O727))</f>
        <v/>
      </c>
      <c r="V727" t="str">
        <f>IF($N727="","",Sync!$L727)</f>
        <v/>
      </c>
      <c r="W727" t="str">
        <f>IF($N727="","",Sync!$P727)</f>
        <v/>
      </c>
      <c r="AA727" t="str">
        <f>IF($A727="","",IF(COUNTIF($A$6:$A727,$A727)=1,1,0))</f>
        <v/>
      </c>
      <c r="AB727">
        <f>SUM($AA$6:$AA727)</f>
        <v>3</v>
      </c>
      <c r="AC727" t="str">
        <f t="shared" si="83"/>
        <v/>
      </c>
    </row>
    <row r="728" spans="1:29" x14ac:dyDescent="0.2">
      <c r="A728" t="str">
        <f>IF(OR(Entry!$B731="",Entry!$E731="",$E728="نامعتبر"),"",Entry!$E731)</f>
        <v/>
      </c>
      <c r="B728" t="str">
        <f>IF($A728="","",LEFT($E728,4)&amp;MID($E728,6,2)&amp;RIGHT($E728,2)&amp;$F728&amp;"|"&amp;"1"&amp;RIGHT("00000"&amp;723,5))</f>
        <v/>
      </c>
      <c r="C728" t="str">
        <f t="shared" si="77"/>
        <v/>
      </c>
      <c r="D728" t="str">
        <f t="shared" si="78"/>
        <v/>
      </c>
      <c r="E728" t="str">
        <f>IF(Entry!$B731="","",IF(ISNUMBER(Entry!$B731),IF(AND(Entry!$B731&gt;=10000101,Entry!$B731&lt;=99991231),INT(Entry!$B731/10000)&amp;"/"&amp;RIGHT("00"&amp;INT(MOD(Entry!$B731,10000)/100),2)&amp;"/"&amp;RIGHT("00"&amp;MOD(Entry!$B731,100),2),"نامعتبر"),IF(LEN(Entry!$B731)=10,Entry!$B731,"نامعتبر")))</f>
        <v/>
      </c>
      <c r="F728" t="str">
        <f>IF(Entry!$B731="","",IF(Entry!$C731="","0000",IF(AND(ISNUMBER(Entry!$C731),Entry!$C731&gt;=0,Entry!$C731&lt;1),RIGHT("00"&amp;HOUR(Entry!$C731),2)&amp;RIGHT("00"&amp;MINUTE(Entry!$C731),2),IFERROR(RIGHT("00"&amp;VALUE(LEFT(Entry!$C731,FIND(":",Entry!$C731)-1)),2)&amp;RIGHT("00"&amp;VALUE(MID(Entry!$C731,FIND(":",Entry!$C731)+1,2)),2),"0000"))))</f>
        <v/>
      </c>
      <c r="G728" t="str">
        <f>IF($A728="","",Entry!$G731)</f>
        <v/>
      </c>
      <c r="H728" t="str">
        <f>IF($A728="","",IF(Entry!$H731="",0,Entry!$H731))</f>
        <v/>
      </c>
      <c r="I728" t="str">
        <f>IF($A728="","",IF(Entry!$I731="",0,Entry!$I731))</f>
        <v/>
      </c>
      <c r="J728" t="str">
        <f t="shared" si="79"/>
        <v/>
      </c>
      <c r="K728" t="str">
        <f>IF($A728="","",Entry!$D731)</f>
        <v/>
      </c>
      <c r="L728" t="str">
        <f>IF($A728="","",Entry!$L731)</f>
        <v/>
      </c>
      <c r="N728" t="str">
        <f>IF(OR(Sync!$M728="",$Q728="",$Q728="نامعتبر"),"",Sync!$M728)</f>
        <v/>
      </c>
      <c r="O728" t="str">
        <f t="shared" si="80"/>
        <v/>
      </c>
      <c r="P728" t="str">
        <f>IF($N728="","",LEFT($Q728,4)&amp;MID($Q728,6,2)&amp;RIGHT($Q728,2)&amp;IF(Sync!$K728="","0000",IF(AND(ISNUMBER(Sync!$K728),Sync!$K728&gt;=0,Sync!$K728&lt;1),RIGHT("00"&amp;HOUR(Sync!$K728),2)&amp;RIGHT("00"&amp;MINUTE(Sync!$K728),2),IFERROR(RIGHT("00"&amp;VALUE(LEFT(Sync!$K728,FIND(":",Sync!$K728)-1)),2)&amp;RIGHT("00"&amp;VALUE(MID(Sync!$K728,FIND(":",Sync!$K728)+1,2)),2),"0000")))&amp;"|"&amp;"2"&amp;RIGHT("00000"&amp;723,5))</f>
        <v/>
      </c>
      <c r="Q728" t="str">
        <f>IF(Sync!$J728="","",IF(ISNUMBER(Sync!$J728),IF(AND(Sync!$J728&gt;=10000101,Sync!$J728&lt;=99991231),INT(Sync!$J728/10000)&amp;"/"&amp;RIGHT("00"&amp;INT(MOD(Sync!$J728,10000)/100),2)&amp;"/"&amp;RIGHT("00"&amp;MOD(Sync!$J728,100),2),"نامعتبر"),IF(LEN(Sync!$J728)=10,Sync!$J728,"نامعتبر")))</f>
        <v/>
      </c>
      <c r="R728" t="str">
        <f t="shared" si="81"/>
        <v/>
      </c>
      <c r="S728" t="str">
        <f t="shared" si="82"/>
        <v/>
      </c>
      <c r="T728" t="str">
        <f>IF($N728="","",IF(Sync!$N728="",0,Sync!$N728))</f>
        <v/>
      </c>
      <c r="U728" t="str">
        <f>IF($N728="","",IF(Sync!$O728="",0,Sync!$O728))</f>
        <v/>
      </c>
      <c r="V728" t="str">
        <f>IF($N728="","",Sync!$L728)</f>
        <v/>
      </c>
      <c r="W728" t="str">
        <f>IF($N728="","",Sync!$P728)</f>
        <v/>
      </c>
      <c r="AA728" t="str">
        <f>IF($A728="","",IF(COUNTIF($A$6:$A728,$A728)=1,1,0))</f>
        <v/>
      </c>
      <c r="AB728">
        <f>SUM($AA$6:$AA728)</f>
        <v>3</v>
      </c>
      <c r="AC728" t="str">
        <f t="shared" si="83"/>
        <v/>
      </c>
    </row>
    <row r="729" spans="1:29" x14ac:dyDescent="0.2">
      <c r="A729" t="str">
        <f>IF(OR(Entry!$B732="",Entry!$E732="",$E729="نامعتبر"),"",Entry!$E732)</f>
        <v/>
      </c>
      <c r="B729" t="str">
        <f>IF($A729="","",LEFT($E729,4)&amp;MID($E729,6,2)&amp;RIGHT($E729,2)&amp;$F729&amp;"|"&amp;"1"&amp;RIGHT("00000"&amp;724,5))</f>
        <v/>
      </c>
      <c r="C729" t="str">
        <f t="shared" si="77"/>
        <v/>
      </c>
      <c r="D729" t="str">
        <f t="shared" si="78"/>
        <v/>
      </c>
      <c r="E729" t="str">
        <f>IF(Entry!$B732="","",IF(ISNUMBER(Entry!$B732),IF(AND(Entry!$B732&gt;=10000101,Entry!$B732&lt;=99991231),INT(Entry!$B732/10000)&amp;"/"&amp;RIGHT("00"&amp;INT(MOD(Entry!$B732,10000)/100),2)&amp;"/"&amp;RIGHT("00"&amp;MOD(Entry!$B732,100),2),"نامعتبر"),IF(LEN(Entry!$B732)=10,Entry!$B732,"نامعتبر")))</f>
        <v/>
      </c>
      <c r="F729" t="str">
        <f>IF(Entry!$B732="","",IF(Entry!$C732="","0000",IF(AND(ISNUMBER(Entry!$C732),Entry!$C732&gt;=0,Entry!$C732&lt;1),RIGHT("00"&amp;HOUR(Entry!$C732),2)&amp;RIGHT("00"&amp;MINUTE(Entry!$C732),2),IFERROR(RIGHT("00"&amp;VALUE(LEFT(Entry!$C732,FIND(":",Entry!$C732)-1)),2)&amp;RIGHT("00"&amp;VALUE(MID(Entry!$C732,FIND(":",Entry!$C732)+1,2)),2),"0000"))))</f>
        <v/>
      </c>
      <c r="G729" t="str">
        <f>IF($A729="","",Entry!$G732)</f>
        <v/>
      </c>
      <c r="H729" t="str">
        <f>IF($A729="","",IF(Entry!$H732="",0,Entry!$H732))</f>
        <v/>
      </c>
      <c r="I729" t="str">
        <f>IF($A729="","",IF(Entry!$I732="",0,Entry!$I732))</f>
        <v/>
      </c>
      <c r="J729" t="str">
        <f t="shared" si="79"/>
        <v/>
      </c>
      <c r="K729" t="str">
        <f>IF($A729="","",Entry!$D732)</f>
        <v/>
      </c>
      <c r="L729" t="str">
        <f>IF($A729="","",Entry!$L732)</f>
        <v/>
      </c>
      <c r="N729" t="str">
        <f>IF(OR(Sync!$M729="",$Q729="",$Q729="نامعتبر"),"",Sync!$M729)</f>
        <v/>
      </c>
      <c r="O729" t="str">
        <f t="shared" si="80"/>
        <v/>
      </c>
      <c r="P729" t="str">
        <f>IF($N729="","",LEFT($Q729,4)&amp;MID($Q729,6,2)&amp;RIGHT($Q729,2)&amp;IF(Sync!$K729="","0000",IF(AND(ISNUMBER(Sync!$K729),Sync!$K729&gt;=0,Sync!$K729&lt;1),RIGHT("00"&amp;HOUR(Sync!$K729),2)&amp;RIGHT("00"&amp;MINUTE(Sync!$K729),2),IFERROR(RIGHT("00"&amp;VALUE(LEFT(Sync!$K729,FIND(":",Sync!$K729)-1)),2)&amp;RIGHT("00"&amp;VALUE(MID(Sync!$K729,FIND(":",Sync!$K729)+1,2)),2),"0000")))&amp;"|"&amp;"2"&amp;RIGHT("00000"&amp;724,5))</f>
        <v/>
      </c>
      <c r="Q729" t="str">
        <f>IF(Sync!$J729="","",IF(ISNUMBER(Sync!$J729),IF(AND(Sync!$J729&gt;=10000101,Sync!$J729&lt;=99991231),INT(Sync!$J729/10000)&amp;"/"&amp;RIGHT("00"&amp;INT(MOD(Sync!$J729,10000)/100),2)&amp;"/"&amp;RIGHT("00"&amp;MOD(Sync!$J729,100),2),"نامعتبر"),IF(LEN(Sync!$J729)=10,Sync!$J729,"نامعتبر")))</f>
        <v/>
      </c>
      <c r="R729" t="str">
        <f t="shared" si="81"/>
        <v/>
      </c>
      <c r="S729" t="str">
        <f t="shared" si="82"/>
        <v/>
      </c>
      <c r="T729" t="str">
        <f>IF($N729="","",IF(Sync!$N729="",0,Sync!$N729))</f>
        <v/>
      </c>
      <c r="U729" t="str">
        <f>IF($N729="","",IF(Sync!$O729="",0,Sync!$O729))</f>
        <v/>
      </c>
      <c r="V729" t="str">
        <f>IF($N729="","",Sync!$L729)</f>
        <v/>
      </c>
      <c r="W729" t="str">
        <f>IF($N729="","",Sync!$P729)</f>
        <v/>
      </c>
      <c r="AA729" t="str">
        <f>IF($A729="","",IF(COUNTIF($A$6:$A729,$A729)=1,1,0))</f>
        <v/>
      </c>
      <c r="AB729">
        <f>SUM($AA$6:$AA729)</f>
        <v>3</v>
      </c>
      <c r="AC729" t="str">
        <f t="shared" si="83"/>
        <v/>
      </c>
    </row>
    <row r="730" spans="1:29" x14ac:dyDescent="0.2">
      <c r="A730" t="str">
        <f>IF(OR(Entry!$B733="",Entry!$E733="",$E730="نامعتبر"),"",Entry!$E733)</f>
        <v/>
      </c>
      <c r="B730" t="str">
        <f>IF($A730="","",LEFT($E730,4)&amp;MID($E730,6,2)&amp;RIGHT($E730,2)&amp;$F730&amp;"|"&amp;"1"&amp;RIGHT("00000"&amp;725,5))</f>
        <v/>
      </c>
      <c r="C730" t="str">
        <f t="shared" si="77"/>
        <v/>
      </c>
      <c r="D730" t="str">
        <f t="shared" si="78"/>
        <v/>
      </c>
      <c r="E730" t="str">
        <f>IF(Entry!$B733="","",IF(ISNUMBER(Entry!$B733),IF(AND(Entry!$B733&gt;=10000101,Entry!$B733&lt;=99991231),INT(Entry!$B733/10000)&amp;"/"&amp;RIGHT("00"&amp;INT(MOD(Entry!$B733,10000)/100),2)&amp;"/"&amp;RIGHT("00"&amp;MOD(Entry!$B733,100),2),"نامعتبر"),IF(LEN(Entry!$B733)=10,Entry!$B733,"نامعتبر")))</f>
        <v/>
      </c>
      <c r="F730" t="str">
        <f>IF(Entry!$B733="","",IF(Entry!$C733="","0000",IF(AND(ISNUMBER(Entry!$C733),Entry!$C733&gt;=0,Entry!$C733&lt;1),RIGHT("00"&amp;HOUR(Entry!$C733),2)&amp;RIGHT("00"&amp;MINUTE(Entry!$C733),2),IFERROR(RIGHT("00"&amp;VALUE(LEFT(Entry!$C733,FIND(":",Entry!$C733)-1)),2)&amp;RIGHT("00"&amp;VALUE(MID(Entry!$C733,FIND(":",Entry!$C733)+1,2)),2),"0000"))))</f>
        <v/>
      </c>
      <c r="G730" t="str">
        <f>IF($A730="","",Entry!$G733)</f>
        <v/>
      </c>
      <c r="H730" t="str">
        <f>IF($A730="","",IF(Entry!$H733="",0,Entry!$H733))</f>
        <v/>
      </c>
      <c r="I730" t="str">
        <f>IF($A730="","",IF(Entry!$I733="",0,Entry!$I733))</f>
        <v/>
      </c>
      <c r="J730" t="str">
        <f t="shared" si="79"/>
        <v/>
      </c>
      <c r="K730" t="str">
        <f>IF($A730="","",Entry!$D733)</f>
        <v/>
      </c>
      <c r="L730" t="str">
        <f>IF($A730="","",Entry!$L733)</f>
        <v/>
      </c>
      <c r="N730" t="str">
        <f>IF(OR(Sync!$M730="",$Q730="",$Q730="نامعتبر"),"",Sync!$M730)</f>
        <v/>
      </c>
      <c r="O730" t="str">
        <f t="shared" si="80"/>
        <v/>
      </c>
      <c r="P730" t="str">
        <f>IF($N730="","",LEFT($Q730,4)&amp;MID($Q730,6,2)&amp;RIGHT($Q730,2)&amp;IF(Sync!$K730="","0000",IF(AND(ISNUMBER(Sync!$K730),Sync!$K730&gt;=0,Sync!$K730&lt;1),RIGHT("00"&amp;HOUR(Sync!$K730),2)&amp;RIGHT("00"&amp;MINUTE(Sync!$K730),2),IFERROR(RIGHT("00"&amp;VALUE(LEFT(Sync!$K730,FIND(":",Sync!$K730)-1)),2)&amp;RIGHT("00"&amp;VALUE(MID(Sync!$K730,FIND(":",Sync!$K730)+1,2)),2),"0000")))&amp;"|"&amp;"2"&amp;RIGHT("00000"&amp;725,5))</f>
        <v/>
      </c>
      <c r="Q730" t="str">
        <f>IF(Sync!$J730="","",IF(ISNUMBER(Sync!$J730),IF(AND(Sync!$J730&gt;=10000101,Sync!$J730&lt;=99991231),INT(Sync!$J730/10000)&amp;"/"&amp;RIGHT("00"&amp;INT(MOD(Sync!$J730,10000)/100),2)&amp;"/"&amp;RIGHT("00"&amp;MOD(Sync!$J730,100),2),"نامعتبر"),IF(LEN(Sync!$J730)=10,Sync!$J730,"نامعتبر")))</f>
        <v/>
      </c>
      <c r="R730" t="str">
        <f t="shared" si="81"/>
        <v/>
      </c>
      <c r="S730" t="str">
        <f t="shared" si="82"/>
        <v/>
      </c>
      <c r="T730" t="str">
        <f>IF($N730="","",IF(Sync!$N730="",0,Sync!$N730))</f>
        <v/>
      </c>
      <c r="U730" t="str">
        <f>IF($N730="","",IF(Sync!$O730="",0,Sync!$O730))</f>
        <v/>
      </c>
      <c r="V730" t="str">
        <f>IF($N730="","",Sync!$L730)</f>
        <v/>
      </c>
      <c r="W730" t="str">
        <f>IF($N730="","",Sync!$P730)</f>
        <v/>
      </c>
      <c r="AA730" t="str">
        <f>IF($A730="","",IF(COUNTIF($A$6:$A730,$A730)=1,1,0))</f>
        <v/>
      </c>
      <c r="AB730">
        <f>SUM($AA$6:$AA730)</f>
        <v>3</v>
      </c>
      <c r="AC730" t="str">
        <f t="shared" si="83"/>
        <v/>
      </c>
    </row>
    <row r="731" spans="1:29" x14ac:dyDescent="0.2">
      <c r="A731" t="str">
        <f>IF(OR(Entry!$B734="",Entry!$E734="",$E731="نامعتبر"),"",Entry!$E734)</f>
        <v/>
      </c>
      <c r="B731" t="str">
        <f>IF($A731="","",LEFT($E731,4)&amp;MID($E731,6,2)&amp;RIGHT($E731,2)&amp;$F731&amp;"|"&amp;"1"&amp;RIGHT("00000"&amp;726,5))</f>
        <v/>
      </c>
      <c r="C731" t="str">
        <f t="shared" si="77"/>
        <v/>
      </c>
      <c r="D731" t="str">
        <f t="shared" si="78"/>
        <v/>
      </c>
      <c r="E731" t="str">
        <f>IF(Entry!$B734="","",IF(ISNUMBER(Entry!$B734),IF(AND(Entry!$B734&gt;=10000101,Entry!$B734&lt;=99991231),INT(Entry!$B734/10000)&amp;"/"&amp;RIGHT("00"&amp;INT(MOD(Entry!$B734,10000)/100),2)&amp;"/"&amp;RIGHT("00"&amp;MOD(Entry!$B734,100),2),"نامعتبر"),IF(LEN(Entry!$B734)=10,Entry!$B734,"نامعتبر")))</f>
        <v/>
      </c>
      <c r="F731" t="str">
        <f>IF(Entry!$B734="","",IF(Entry!$C734="","0000",IF(AND(ISNUMBER(Entry!$C734),Entry!$C734&gt;=0,Entry!$C734&lt;1),RIGHT("00"&amp;HOUR(Entry!$C734),2)&amp;RIGHT("00"&amp;MINUTE(Entry!$C734),2),IFERROR(RIGHT("00"&amp;VALUE(LEFT(Entry!$C734,FIND(":",Entry!$C734)-1)),2)&amp;RIGHT("00"&amp;VALUE(MID(Entry!$C734,FIND(":",Entry!$C734)+1,2)),2),"0000"))))</f>
        <v/>
      </c>
      <c r="G731" t="str">
        <f>IF($A731="","",Entry!$G734)</f>
        <v/>
      </c>
      <c r="H731" t="str">
        <f>IF($A731="","",IF(Entry!$H734="",0,Entry!$H734))</f>
        <v/>
      </c>
      <c r="I731" t="str">
        <f>IF($A731="","",IF(Entry!$I734="",0,Entry!$I734))</f>
        <v/>
      </c>
      <c r="J731" t="str">
        <f t="shared" si="79"/>
        <v/>
      </c>
      <c r="K731" t="str">
        <f>IF($A731="","",Entry!$D734)</f>
        <v/>
      </c>
      <c r="L731" t="str">
        <f>IF($A731="","",Entry!$L734)</f>
        <v/>
      </c>
      <c r="N731" t="str">
        <f>IF(OR(Sync!$M731="",$Q731="",$Q731="نامعتبر"),"",Sync!$M731)</f>
        <v/>
      </c>
      <c r="O731" t="str">
        <f t="shared" si="80"/>
        <v/>
      </c>
      <c r="P731" t="str">
        <f>IF($N731="","",LEFT($Q731,4)&amp;MID($Q731,6,2)&amp;RIGHT($Q731,2)&amp;IF(Sync!$K731="","0000",IF(AND(ISNUMBER(Sync!$K731),Sync!$K731&gt;=0,Sync!$K731&lt;1),RIGHT("00"&amp;HOUR(Sync!$K731),2)&amp;RIGHT("00"&amp;MINUTE(Sync!$K731),2),IFERROR(RIGHT("00"&amp;VALUE(LEFT(Sync!$K731,FIND(":",Sync!$K731)-1)),2)&amp;RIGHT("00"&amp;VALUE(MID(Sync!$K731,FIND(":",Sync!$K731)+1,2)),2),"0000")))&amp;"|"&amp;"2"&amp;RIGHT("00000"&amp;726,5))</f>
        <v/>
      </c>
      <c r="Q731" t="str">
        <f>IF(Sync!$J731="","",IF(ISNUMBER(Sync!$J731),IF(AND(Sync!$J731&gt;=10000101,Sync!$J731&lt;=99991231),INT(Sync!$J731/10000)&amp;"/"&amp;RIGHT("00"&amp;INT(MOD(Sync!$J731,10000)/100),2)&amp;"/"&amp;RIGHT("00"&amp;MOD(Sync!$J731,100),2),"نامعتبر"),IF(LEN(Sync!$J731)=10,Sync!$J731,"نامعتبر")))</f>
        <v/>
      </c>
      <c r="R731" t="str">
        <f t="shared" si="81"/>
        <v/>
      </c>
      <c r="S731" t="str">
        <f t="shared" si="82"/>
        <v/>
      </c>
      <c r="T731" t="str">
        <f>IF($N731="","",IF(Sync!$N731="",0,Sync!$N731))</f>
        <v/>
      </c>
      <c r="U731" t="str">
        <f>IF($N731="","",IF(Sync!$O731="",0,Sync!$O731))</f>
        <v/>
      </c>
      <c r="V731" t="str">
        <f>IF($N731="","",Sync!$L731)</f>
        <v/>
      </c>
      <c r="W731" t="str">
        <f>IF($N731="","",Sync!$P731)</f>
        <v/>
      </c>
      <c r="AA731" t="str">
        <f>IF($A731="","",IF(COUNTIF($A$6:$A731,$A731)=1,1,0))</f>
        <v/>
      </c>
      <c r="AB731">
        <f>SUM($AA$6:$AA731)</f>
        <v>3</v>
      </c>
      <c r="AC731" t="str">
        <f t="shared" si="83"/>
        <v/>
      </c>
    </row>
    <row r="732" spans="1:29" x14ac:dyDescent="0.2">
      <c r="A732" t="str">
        <f>IF(OR(Entry!$B735="",Entry!$E735="",$E732="نامعتبر"),"",Entry!$E735)</f>
        <v/>
      </c>
      <c r="B732" t="str">
        <f>IF($A732="","",LEFT($E732,4)&amp;MID($E732,6,2)&amp;RIGHT($E732,2)&amp;$F732&amp;"|"&amp;"1"&amp;RIGHT("00000"&amp;727,5))</f>
        <v/>
      </c>
      <c r="C732" t="str">
        <f t="shared" si="77"/>
        <v/>
      </c>
      <c r="D732" t="str">
        <f t="shared" si="78"/>
        <v/>
      </c>
      <c r="E732" t="str">
        <f>IF(Entry!$B735="","",IF(ISNUMBER(Entry!$B735),IF(AND(Entry!$B735&gt;=10000101,Entry!$B735&lt;=99991231),INT(Entry!$B735/10000)&amp;"/"&amp;RIGHT("00"&amp;INT(MOD(Entry!$B735,10000)/100),2)&amp;"/"&amp;RIGHT("00"&amp;MOD(Entry!$B735,100),2),"نامعتبر"),IF(LEN(Entry!$B735)=10,Entry!$B735,"نامعتبر")))</f>
        <v/>
      </c>
      <c r="F732" t="str">
        <f>IF(Entry!$B735="","",IF(Entry!$C735="","0000",IF(AND(ISNUMBER(Entry!$C735),Entry!$C735&gt;=0,Entry!$C735&lt;1),RIGHT("00"&amp;HOUR(Entry!$C735),2)&amp;RIGHT("00"&amp;MINUTE(Entry!$C735),2),IFERROR(RIGHT("00"&amp;VALUE(LEFT(Entry!$C735,FIND(":",Entry!$C735)-1)),2)&amp;RIGHT("00"&amp;VALUE(MID(Entry!$C735,FIND(":",Entry!$C735)+1,2)),2),"0000"))))</f>
        <v/>
      </c>
      <c r="G732" t="str">
        <f>IF($A732="","",Entry!$G735)</f>
        <v/>
      </c>
      <c r="H732" t="str">
        <f>IF($A732="","",IF(Entry!$H735="",0,Entry!$H735))</f>
        <v/>
      </c>
      <c r="I732" t="str">
        <f>IF($A732="","",IF(Entry!$I735="",0,Entry!$I735))</f>
        <v/>
      </c>
      <c r="J732" t="str">
        <f t="shared" si="79"/>
        <v/>
      </c>
      <c r="K732" t="str">
        <f>IF($A732="","",Entry!$D735)</f>
        <v/>
      </c>
      <c r="L732" t="str">
        <f>IF($A732="","",Entry!$L735)</f>
        <v/>
      </c>
      <c r="N732" t="str">
        <f>IF(OR(Sync!$M732="",$Q732="",$Q732="نامعتبر"),"",Sync!$M732)</f>
        <v/>
      </c>
      <c r="O732" t="str">
        <f t="shared" si="80"/>
        <v/>
      </c>
      <c r="P732" t="str">
        <f>IF($N732="","",LEFT($Q732,4)&amp;MID($Q732,6,2)&amp;RIGHT($Q732,2)&amp;IF(Sync!$K732="","0000",IF(AND(ISNUMBER(Sync!$K732),Sync!$K732&gt;=0,Sync!$K732&lt;1),RIGHT("00"&amp;HOUR(Sync!$K732),2)&amp;RIGHT("00"&amp;MINUTE(Sync!$K732),2),IFERROR(RIGHT("00"&amp;VALUE(LEFT(Sync!$K732,FIND(":",Sync!$K732)-1)),2)&amp;RIGHT("00"&amp;VALUE(MID(Sync!$K732,FIND(":",Sync!$K732)+1,2)),2),"0000")))&amp;"|"&amp;"2"&amp;RIGHT("00000"&amp;727,5))</f>
        <v/>
      </c>
      <c r="Q732" t="str">
        <f>IF(Sync!$J732="","",IF(ISNUMBER(Sync!$J732),IF(AND(Sync!$J732&gt;=10000101,Sync!$J732&lt;=99991231),INT(Sync!$J732/10000)&amp;"/"&amp;RIGHT("00"&amp;INT(MOD(Sync!$J732,10000)/100),2)&amp;"/"&amp;RIGHT("00"&amp;MOD(Sync!$J732,100),2),"نامعتبر"),IF(LEN(Sync!$J732)=10,Sync!$J732,"نامعتبر")))</f>
        <v/>
      </c>
      <c r="R732" t="str">
        <f t="shared" si="81"/>
        <v/>
      </c>
      <c r="S732" t="str">
        <f t="shared" si="82"/>
        <v/>
      </c>
      <c r="T732" t="str">
        <f>IF($N732="","",IF(Sync!$N732="",0,Sync!$N732))</f>
        <v/>
      </c>
      <c r="U732" t="str">
        <f>IF($N732="","",IF(Sync!$O732="",0,Sync!$O732))</f>
        <v/>
      </c>
      <c r="V732" t="str">
        <f>IF($N732="","",Sync!$L732)</f>
        <v/>
      </c>
      <c r="W732" t="str">
        <f>IF($N732="","",Sync!$P732)</f>
        <v/>
      </c>
      <c r="AA732" t="str">
        <f>IF($A732="","",IF(COUNTIF($A$6:$A732,$A732)=1,1,0))</f>
        <v/>
      </c>
      <c r="AB732">
        <f>SUM($AA$6:$AA732)</f>
        <v>3</v>
      </c>
      <c r="AC732" t="str">
        <f t="shared" si="83"/>
        <v/>
      </c>
    </row>
    <row r="733" spans="1:29" x14ac:dyDescent="0.2">
      <c r="A733" t="str">
        <f>IF(OR(Entry!$B736="",Entry!$E736="",$E733="نامعتبر"),"",Entry!$E736)</f>
        <v/>
      </c>
      <c r="B733" t="str">
        <f>IF($A733="","",LEFT($E733,4)&amp;MID($E733,6,2)&amp;RIGHT($E733,2)&amp;$F733&amp;"|"&amp;"1"&amp;RIGHT("00000"&amp;728,5))</f>
        <v/>
      </c>
      <c r="C733" t="str">
        <f t="shared" si="77"/>
        <v/>
      </c>
      <c r="D733" t="str">
        <f t="shared" si="78"/>
        <v/>
      </c>
      <c r="E733" t="str">
        <f>IF(Entry!$B736="","",IF(ISNUMBER(Entry!$B736),IF(AND(Entry!$B736&gt;=10000101,Entry!$B736&lt;=99991231),INT(Entry!$B736/10000)&amp;"/"&amp;RIGHT("00"&amp;INT(MOD(Entry!$B736,10000)/100),2)&amp;"/"&amp;RIGHT("00"&amp;MOD(Entry!$B736,100),2),"نامعتبر"),IF(LEN(Entry!$B736)=10,Entry!$B736,"نامعتبر")))</f>
        <v/>
      </c>
      <c r="F733" t="str">
        <f>IF(Entry!$B736="","",IF(Entry!$C736="","0000",IF(AND(ISNUMBER(Entry!$C736),Entry!$C736&gt;=0,Entry!$C736&lt;1),RIGHT("00"&amp;HOUR(Entry!$C736),2)&amp;RIGHT("00"&amp;MINUTE(Entry!$C736),2),IFERROR(RIGHT("00"&amp;VALUE(LEFT(Entry!$C736,FIND(":",Entry!$C736)-1)),2)&amp;RIGHT("00"&amp;VALUE(MID(Entry!$C736,FIND(":",Entry!$C736)+1,2)),2),"0000"))))</f>
        <v/>
      </c>
      <c r="G733" t="str">
        <f>IF($A733="","",Entry!$G736)</f>
        <v/>
      </c>
      <c r="H733" t="str">
        <f>IF($A733="","",IF(Entry!$H736="",0,Entry!$H736))</f>
        <v/>
      </c>
      <c r="I733" t="str">
        <f>IF($A733="","",IF(Entry!$I736="",0,Entry!$I736))</f>
        <v/>
      </c>
      <c r="J733" t="str">
        <f t="shared" si="79"/>
        <v/>
      </c>
      <c r="K733" t="str">
        <f>IF($A733="","",Entry!$D736)</f>
        <v/>
      </c>
      <c r="L733" t="str">
        <f>IF($A733="","",Entry!$L736)</f>
        <v/>
      </c>
      <c r="N733" t="str">
        <f>IF(OR(Sync!$M733="",$Q733="",$Q733="نامعتبر"),"",Sync!$M733)</f>
        <v/>
      </c>
      <c r="O733" t="str">
        <f t="shared" si="80"/>
        <v/>
      </c>
      <c r="P733" t="str">
        <f>IF($N733="","",LEFT($Q733,4)&amp;MID($Q733,6,2)&amp;RIGHT($Q733,2)&amp;IF(Sync!$K733="","0000",IF(AND(ISNUMBER(Sync!$K733),Sync!$K733&gt;=0,Sync!$K733&lt;1),RIGHT("00"&amp;HOUR(Sync!$K733),2)&amp;RIGHT("00"&amp;MINUTE(Sync!$K733),2),IFERROR(RIGHT("00"&amp;VALUE(LEFT(Sync!$K733,FIND(":",Sync!$K733)-1)),2)&amp;RIGHT("00"&amp;VALUE(MID(Sync!$K733,FIND(":",Sync!$K733)+1,2)),2),"0000")))&amp;"|"&amp;"2"&amp;RIGHT("00000"&amp;728,5))</f>
        <v/>
      </c>
      <c r="Q733" t="str">
        <f>IF(Sync!$J733="","",IF(ISNUMBER(Sync!$J733),IF(AND(Sync!$J733&gt;=10000101,Sync!$J733&lt;=99991231),INT(Sync!$J733/10000)&amp;"/"&amp;RIGHT("00"&amp;INT(MOD(Sync!$J733,10000)/100),2)&amp;"/"&amp;RIGHT("00"&amp;MOD(Sync!$J733,100),2),"نامعتبر"),IF(LEN(Sync!$J733)=10,Sync!$J733,"نامعتبر")))</f>
        <v/>
      </c>
      <c r="R733" t="str">
        <f t="shared" si="81"/>
        <v/>
      </c>
      <c r="S733" t="str">
        <f t="shared" si="82"/>
        <v/>
      </c>
      <c r="T733" t="str">
        <f>IF($N733="","",IF(Sync!$N733="",0,Sync!$N733))</f>
        <v/>
      </c>
      <c r="U733" t="str">
        <f>IF($N733="","",IF(Sync!$O733="",0,Sync!$O733))</f>
        <v/>
      </c>
      <c r="V733" t="str">
        <f>IF($N733="","",Sync!$L733)</f>
        <v/>
      </c>
      <c r="W733" t="str">
        <f>IF($N733="","",Sync!$P733)</f>
        <v/>
      </c>
      <c r="AA733" t="str">
        <f>IF($A733="","",IF(COUNTIF($A$6:$A733,$A733)=1,1,0))</f>
        <v/>
      </c>
      <c r="AB733">
        <f>SUM($AA$6:$AA733)</f>
        <v>3</v>
      </c>
      <c r="AC733" t="str">
        <f t="shared" si="83"/>
        <v/>
      </c>
    </row>
    <row r="734" spans="1:29" x14ac:dyDescent="0.2">
      <c r="A734" t="str">
        <f>IF(OR(Entry!$B737="",Entry!$E737="",$E734="نامعتبر"),"",Entry!$E737)</f>
        <v/>
      </c>
      <c r="B734" t="str">
        <f>IF($A734="","",LEFT($E734,4)&amp;MID($E734,6,2)&amp;RIGHT($E734,2)&amp;$F734&amp;"|"&amp;"1"&amp;RIGHT("00000"&amp;729,5))</f>
        <v/>
      </c>
      <c r="C734" t="str">
        <f t="shared" si="77"/>
        <v/>
      </c>
      <c r="D734" t="str">
        <f t="shared" si="78"/>
        <v/>
      </c>
      <c r="E734" t="str">
        <f>IF(Entry!$B737="","",IF(ISNUMBER(Entry!$B737),IF(AND(Entry!$B737&gt;=10000101,Entry!$B737&lt;=99991231),INT(Entry!$B737/10000)&amp;"/"&amp;RIGHT("00"&amp;INT(MOD(Entry!$B737,10000)/100),2)&amp;"/"&amp;RIGHT("00"&amp;MOD(Entry!$B737,100),2),"نامعتبر"),IF(LEN(Entry!$B737)=10,Entry!$B737,"نامعتبر")))</f>
        <v/>
      </c>
      <c r="F734" t="str">
        <f>IF(Entry!$B737="","",IF(Entry!$C737="","0000",IF(AND(ISNUMBER(Entry!$C737),Entry!$C737&gt;=0,Entry!$C737&lt;1),RIGHT("00"&amp;HOUR(Entry!$C737),2)&amp;RIGHT("00"&amp;MINUTE(Entry!$C737),2),IFERROR(RIGHT("00"&amp;VALUE(LEFT(Entry!$C737,FIND(":",Entry!$C737)-1)),2)&amp;RIGHT("00"&amp;VALUE(MID(Entry!$C737,FIND(":",Entry!$C737)+1,2)),2),"0000"))))</f>
        <v/>
      </c>
      <c r="G734" t="str">
        <f>IF($A734="","",Entry!$G737)</f>
        <v/>
      </c>
      <c r="H734" t="str">
        <f>IF($A734="","",IF(Entry!$H737="",0,Entry!$H737))</f>
        <v/>
      </c>
      <c r="I734" t="str">
        <f>IF($A734="","",IF(Entry!$I737="",0,Entry!$I737))</f>
        <v/>
      </c>
      <c r="J734" t="str">
        <f t="shared" si="79"/>
        <v/>
      </c>
      <c r="K734" t="str">
        <f>IF($A734="","",Entry!$D737)</f>
        <v/>
      </c>
      <c r="L734" t="str">
        <f>IF($A734="","",Entry!$L737)</f>
        <v/>
      </c>
      <c r="N734" t="str">
        <f>IF(OR(Sync!$M734="",$Q734="",$Q734="نامعتبر"),"",Sync!$M734)</f>
        <v/>
      </c>
      <c r="O734" t="str">
        <f t="shared" si="80"/>
        <v/>
      </c>
      <c r="P734" t="str">
        <f>IF($N734="","",LEFT($Q734,4)&amp;MID($Q734,6,2)&amp;RIGHT($Q734,2)&amp;IF(Sync!$K734="","0000",IF(AND(ISNUMBER(Sync!$K734),Sync!$K734&gt;=0,Sync!$K734&lt;1),RIGHT("00"&amp;HOUR(Sync!$K734),2)&amp;RIGHT("00"&amp;MINUTE(Sync!$K734),2),IFERROR(RIGHT("00"&amp;VALUE(LEFT(Sync!$K734,FIND(":",Sync!$K734)-1)),2)&amp;RIGHT("00"&amp;VALUE(MID(Sync!$K734,FIND(":",Sync!$K734)+1,2)),2),"0000")))&amp;"|"&amp;"2"&amp;RIGHT("00000"&amp;729,5))</f>
        <v/>
      </c>
      <c r="Q734" t="str">
        <f>IF(Sync!$J734="","",IF(ISNUMBER(Sync!$J734),IF(AND(Sync!$J734&gt;=10000101,Sync!$J734&lt;=99991231),INT(Sync!$J734/10000)&amp;"/"&amp;RIGHT("00"&amp;INT(MOD(Sync!$J734,10000)/100),2)&amp;"/"&amp;RIGHT("00"&amp;MOD(Sync!$J734,100),2),"نامعتبر"),IF(LEN(Sync!$J734)=10,Sync!$J734,"نامعتبر")))</f>
        <v/>
      </c>
      <c r="R734" t="str">
        <f t="shared" si="81"/>
        <v/>
      </c>
      <c r="S734" t="str">
        <f t="shared" si="82"/>
        <v/>
      </c>
      <c r="T734" t="str">
        <f>IF($N734="","",IF(Sync!$N734="",0,Sync!$N734))</f>
        <v/>
      </c>
      <c r="U734" t="str">
        <f>IF($N734="","",IF(Sync!$O734="",0,Sync!$O734))</f>
        <v/>
      </c>
      <c r="V734" t="str">
        <f>IF($N734="","",Sync!$L734)</f>
        <v/>
      </c>
      <c r="W734" t="str">
        <f>IF($N734="","",Sync!$P734)</f>
        <v/>
      </c>
      <c r="AA734" t="str">
        <f>IF($A734="","",IF(COUNTIF($A$6:$A734,$A734)=1,1,0))</f>
        <v/>
      </c>
      <c r="AB734">
        <f>SUM($AA$6:$AA734)</f>
        <v>3</v>
      </c>
      <c r="AC734" t="str">
        <f t="shared" si="83"/>
        <v/>
      </c>
    </row>
    <row r="735" spans="1:29" x14ac:dyDescent="0.2">
      <c r="A735" t="str">
        <f>IF(OR(Entry!$B738="",Entry!$E738="",$E735="نامعتبر"),"",Entry!$E738)</f>
        <v/>
      </c>
      <c r="B735" t="str">
        <f>IF($A735="","",LEFT($E735,4)&amp;MID($E735,6,2)&amp;RIGHT($E735,2)&amp;$F735&amp;"|"&amp;"1"&amp;RIGHT("00000"&amp;730,5))</f>
        <v/>
      </c>
      <c r="C735" t="str">
        <f t="shared" si="77"/>
        <v/>
      </c>
      <c r="D735" t="str">
        <f t="shared" si="78"/>
        <v/>
      </c>
      <c r="E735" t="str">
        <f>IF(Entry!$B738="","",IF(ISNUMBER(Entry!$B738),IF(AND(Entry!$B738&gt;=10000101,Entry!$B738&lt;=99991231),INT(Entry!$B738/10000)&amp;"/"&amp;RIGHT("00"&amp;INT(MOD(Entry!$B738,10000)/100),2)&amp;"/"&amp;RIGHT("00"&amp;MOD(Entry!$B738,100),2),"نامعتبر"),IF(LEN(Entry!$B738)=10,Entry!$B738,"نامعتبر")))</f>
        <v/>
      </c>
      <c r="F735" t="str">
        <f>IF(Entry!$B738="","",IF(Entry!$C738="","0000",IF(AND(ISNUMBER(Entry!$C738),Entry!$C738&gt;=0,Entry!$C738&lt;1),RIGHT("00"&amp;HOUR(Entry!$C738),2)&amp;RIGHT("00"&amp;MINUTE(Entry!$C738),2),IFERROR(RIGHT("00"&amp;VALUE(LEFT(Entry!$C738,FIND(":",Entry!$C738)-1)),2)&amp;RIGHT("00"&amp;VALUE(MID(Entry!$C738,FIND(":",Entry!$C738)+1,2)),2),"0000"))))</f>
        <v/>
      </c>
      <c r="G735" t="str">
        <f>IF($A735="","",Entry!$G738)</f>
        <v/>
      </c>
      <c r="H735" t="str">
        <f>IF($A735="","",IF(Entry!$H738="",0,Entry!$H738))</f>
        <v/>
      </c>
      <c r="I735" t="str">
        <f>IF($A735="","",IF(Entry!$I738="",0,Entry!$I738))</f>
        <v/>
      </c>
      <c r="J735" t="str">
        <f t="shared" si="79"/>
        <v/>
      </c>
      <c r="K735" t="str">
        <f>IF($A735="","",Entry!$D738)</f>
        <v/>
      </c>
      <c r="L735" t="str">
        <f>IF($A735="","",Entry!$L738)</f>
        <v/>
      </c>
      <c r="N735" t="str">
        <f>IF(OR(Sync!$M735="",$Q735="",$Q735="نامعتبر"),"",Sync!$M735)</f>
        <v/>
      </c>
      <c r="O735" t="str">
        <f t="shared" si="80"/>
        <v/>
      </c>
      <c r="P735" t="str">
        <f>IF($N735="","",LEFT($Q735,4)&amp;MID($Q735,6,2)&amp;RIGHT($Q735,2)&amp;IF(Sync!$K735="","0000",IF(AND(ISNUMBER(Sync!$K735),Sync!$K735&gt;=0,Sync!$K735&lt;1),RIGHT("00"&amp;HOUR(Sync!$K735),2)&amp;RIGHT("00"&amp;MINUTE(Sync!$K735),2),IFERROR(RIGHT("00"&amp;VALUE(LEFT(Sync!$K735,FIND(":",Sync!$K735)-1)),2)&amp;RIGHT("00"&amp;VALUE(MID(Sync!$K735,FIND(":",Sync!$K735)+1,2)),2),"0000")))&amp;"|"&amp;"2"&amp;RIGHT("00000"&amp;730,5))</f>
        <v/>
      </c>
      <c r="Q735" t="str">
        <f>IF(Sync!$J735="","",IF(ISNUMBER(Sync!$J735),IF(AND(Sync!$J735&gt;=10000101,Sync!$J735&lt;=99991231),INT(Sync!$J735/10000)&amp;"/"&amp;RIGHT("00"&amp;INT(MOD(Sync!$J735,10000)/100),2)&amp;"/"&amp;RIGHT("00"&amp;MOD(Sync!$J735,100),2),"نامعتبر"),IF(LEN(Sync!$J735)=10,Sync!$J735,"نامعتبر")))</f>
        <v/>
      </c>
      <c r="R735" t="str">
        <f t="shared" si="81"/>
        <v/>
      </c>
      <c r="S735" t="str">
        <f t="shared" si="82"/>
        <v/>
      </c>
      <c r="T735" t="str">
        <f>IF($N735="","",IF(Sync!$N735="",0,Sync!$N735))</f>
        <v/>
      </c>
      <c r="U735" t="str">
        <f>IF($N735="","",IF(Sync!$O735="",0,Sync!$O735))</f>
        <v/>
      </c>
      <c r="V735" t="str">
        <f>IF($N735="","",Sync!$L735)</f>
        <v/>
      </c>
      <c r="W735" t="str">
        <f>IF($N735="","",Sync!$P735)</f>
        <v/>
      </c>
      <c r="AA735" t="str">
        <f>IF($A735="","",IF(COUNTIF($A$6:$A735,$A735)=1,1,0))</f>
        <v/>
      </c>
      <c r="AB735">
        <f>SUM($AA$6:$AA735)</f>
        <v>3</v>
      </c>
      <c r="AC735" t="str">
        <f t="shared" si="83"/>
        <v/>
      </c>
    </row>
    <row r="736" spans="1:29" x14ac:dyDescent="0.2">
      <c r="A736" t="str">
        <f>IF(OR(Entry!$B739="",Entry!$E739="",$E736="نامعتبر"),"",Entry!$E739)</f>
        <v/>
      </c>
      <c r="B736" t="str">
        <f>IF($A736="","",LEFT($E736,4)&amp;MID($E736,6,2)&amp;RIGHT($E736,2)&amp;$F736&amp;"|"&amp;"1"&amp;RIGHT("00000"&amp;731,5))</f>
        <v/>
      </c>
      <c r="C736" t="str">
        <f t="shared" si="77"/>
        <v/>
      </c>
      <c r="D736" t="str">
        <f t="shared" si="78"/>
        <v/>
      </c>
      <c r="E736" t="str">
        <f>IF(Entry!$B739="","",IF(ISNUMBER(Entry!$B739),IF(AND(Entry!$B739&gt;=10000101,Entry!$B739&lt;=99991231),INT(Entry!$B739/10000)&amp;"/"&amp;RIGHT("00"&amp;INT(MOD(Entry!$B739,10000)/100),2)&amp;"/"&amp;RIGHT("00"&amp;MOD(Entry!$B739,100),2),"نامعتبر"),IF(LEN(Entry!$B739)=10,Entry!$B739,"نامعتبر")))</f>
        <v/>
      </c>
      <c r="F736" t="str">
        <f>IF(Entry!$B739="","",IF(Entry!$C739="","0000",IF(AND(ISNUMBER(Entry!$C739),Entry!$C739&gt;=0,Entry!$C739&lt;1),RIGHT("00"&amp;HOUR(Entry!$C739),2)&amp;RIGHT("00"&amp;MINUTE(Entry!$C739),2),IFERROR(RIGHT("00"&amp;VALUE(LEFT(Entry!$C739,FIND(":",Entry!$C739)-1)),2)&amp;RIGHT("00"&amp;VALUE(MID(Entry!$C739,FIND(":",Entry!$C739)+1,2)),2),"0000"))))</f>
        <v/>
      </c>
      <c r="G736" t="str">
        <f>IF($A736="","",Entry!$G739)</f>
        <v/>
      </c>
      <c r="H736" t="str">
        <f>IF($A736="","",IF(Entry!$H739="",0,Entry!$H739))</f>
        <v/>
      </c>
      <c r="I736" t="str">
        <f>IF($A736="","",IF(Entry!$I739="",0,Entry!$I739))</f>
        <v/>
      </c>
      <c r="J736" t="str">
        <f t="shared" si="79"/>
        <v/>
      </c>
      <c r="K736" t="str">
        <f>IF($A736="","",Entry!$D739)</f>
        <v/>
      </c>
      <c r="L736" t="str">
        <f>IF($A736="","",Entry!$L739)</f>
        <v/>
      </c>
      <c r="N736" t="str">
        <f>IF(OR(Sync!$M736="",$Q736="",$Q736="نامعتبر"),"",Sync!$M736)</f>
        <v/>
      </c>
      <c r="O736" t="str">
        <f t="shared" si="80"/>
        <v/>
      </c>
      <c r="P736" t="str">
        <f>IF($N736="","",LEFT($Q736,4)&amp;MID($Q736,6,2)&amp;RIGHT($Q736,2)&amp;IF(Sync!$K736="","0000",IF(AND(ISNUMBER(Sync!$K736),Sync!$K736&gt;=0,Sync!$K736&lt;1),RIGHT("00"&amp;HOUR(Sync!$K736),2)&amp;RIGHT("00"&amp;MINUTE(Sync!$K736),2),IFERROR(RIGHT("00"&amp;VALUE(LEFT(Sync!$K736,FIND(":",Sync!$K736)-1)),2)&amp;RIGHT("00"&amp;VALUE(MID(Sync!$K736,FIND(":",Sync!$K736)+1,2)),2),"0000")))&amp;"|"&amp;"2"&amp;RIGHT("00000"&amp;731,5))</f>
        <v/>
      </c>
      <c r="Q736" t="str">
        <f>IF(Sync!$J736="","",IF(ISNUMBER(Sync!$J736),IF(AND(Sync!$J736&gt;=10000101,Sync!$J736&lt;=99991231),INT(Sync!$J736/10000)&amp;"/"&amp;RIGHT("00"&amp;INT(MOD(Sync!$J736,10000)/100),2)&amp;"/"&amp;RIGHT("00"&amp;MOD(Sync!$J736,100),2),"نامعتبر"),IF(LEN(Sync!$J736)=10,Sync!$J736,"نامعتبر")))</f>
        <v/>
      </c>
      <c r="R736" t="str">
        <f t="shared" si="81"/>
        <v/>
      </c>
      <c r="S736" t="str">
        <f t="shared" si="82"/>
        <v/>
      </c>
      <c r="T736" t="str">
        <f>IF($N736="","",IF(Sync!$N736="",0,Sync!$N736))</f>
        <v/>
      </c>
      <c r="U736" t="str">
        <f>IF($N736="","",IF(Sync!$O736="",0,Sync!$O736))</f>
        <v/>
      </c>
      <c r="V736" t="str">
        <f>IF($N736="","",Sync!$L736)</f>
        <v/>
      </c>
      <c r="W736" t="str">
        <f>IF($N736="","",Sync!$P736)</f>
        <v/>
      </c>
      <c r="AA736" t="str">
        <f>IF($A736="","",IF(COUNTIF($A$6:$A736,$A736)=1,1,0))</f>
        <v/>
      </c>
      <c r="AB736">
        <f>SUM($AA$6:$AA736)</f>
        <v>3</v>
      </c>
      <c r="AC736" t="str">
        <f t="shared" si="83"/>
        <v/>
      </c>
    </row>
    <row r="737" spans="1:29" x14ac:dyDescent="0.2">
      <c r="A737" t="str">
        <f>IF(OR(Entry!$B740="",Entry!$E740="",$E737="نامعتبر"),"",Entry!$E740)</f>
        <v/>
      </c>
      <c r="B737" t="str">
        <f>IF($A737="","",LEFT($E737,4)&amp;MID($E737,6,2)&amp;RIGHT($E737,2)&amp;$F737&amp;"|"&amp;"1"&amp;RIGHT("00000"&amp;732,5))</f>
        <v/>
      </c>
      <c r="C737" t="str">
        <f t="shared" si="77"/>
        <v/>
      </c>
      <c r="D737" t="str">
        <f t="shared" si="78"/>
        <v/>
      </c>
      <c r="E737" t="str">
        <f>IF(Entry!$B740="","",IF(ISNUMBER(Entry!$B740),IF(AND(Entry!$B740&gt;=10000101,Entry!$B740&lt;=99991231),INT(Entry!$B740/10000)&amp;"/"&amp;RIGHT("00"&amp;INT(MOD(Entry!$B740,10000)/100),2)&amp;"/"&amp;RIGHT("00"&amp;MOD(Entry!$B740,100),2),"نامعتبر"),IF(LEN(Entry!$B740)=10,Entry!$B740,"نامعتبر")))</f>
        <v/>
      </c>
      <c r="F737" t="str">
        <f>IF(Entry!$B740="","",IF(Entry!$C740="","0000",IF(AND(ISNUMBER(Entry!$C740),Entry!$C740&gt;=0,Entry!$C740&lt;1),RIGHT("00"&amp;HOUR(Entry!$C740),2)&amp;RIGHT("00"&amp;MINUTE(Entry!$C740),2),IFERROR(RIGHT("00"&amp;VALUE(LEFT(Entry!$C740,FIND(":",Entry!$C740)-1)),2)&amp;RIGHT("00"&amp;VALUE(MID(Entry!$C740,FIND(":",Entry!$C740)+1,2)),2),"0000"))))</f>
        <v/>
      </c>
      <c r="G737" t="str">
        <f>IF($A737="","",Entry!$G740)</f>
        <v/>
      </c>
      <c r="H737" t="str">
        <f>IF($A737="","",IF(Entry!$H740="",0,Entry!$H740))</f>
        <v/>
      </c>
      <c r="I737" t="str">
        <f>IF($A737="","",IF(Entry!$I740="",0,Entry!$I740))</f>
        <v/>
      </c>
      <c r="J737" t="str">
        <f t="shared" si="79"/>
        <v/>
      </c>
      <c r="K737" t="str">
        <f>IF($A737="","",Entry!$D740)</f>
        <v/>
      </c>
      <c r="L737" t="str">
        <f>IF($A737="","",Entry!$L740)</f>
        <v/>
      </c>
      <c r="N737" t="str">
        <f>IF(OR(Sync!$M737="",$Q737="",$Q737="نامعتبر"),"",Sync!$M737)</f>
        <v/>
      </c>
      <c r="O737" t="str">
        <f t="shared" si="80"/>
        <v/>
      </c>
      <c r="P737" t="str">
        <f>IF($N737="","",LEFT($Q737,4)&amp;MID($Q737,6,2)&amp;RIGHT($Q737,2)&amp;IF(Sync!$K737="","0000",IF(AND(ISNUMBER(Sync!$K737),Sync!$K737&gt;=0,Sync!$K737&lt;1),RIGHT("00"&amp;HOUR(Sync!$K737),2)&amp;RIGHT("00"&amp;MINUTE(Sync!$K737),2),IFERROR(RIGHT("00"&amp;VALUE(LEFT(Sync!$K737,FIND(":",Sync!$K737)-1)),2)&amp;RIGHT("00"&amp;VALUE(MID(Sync!$K737,FIND(":",Sync!$K737)+1,2)),2),"0000")))&amp;"|"&amp;"2"&amp;RIGHT("00000"&amp;732,5))</f>
        <v/>
      </c>
      <c r="Q737" t="str">
        <f>IF(Sync!$J737="","",IF(ISNUMBER(Sync!$J737),IF(AND(Sync!$J737&gt;=10000101,Sync!$J737&lt;=99991231),INT(Sync!$J737/10000)&amp;"/"&amp;RIGHT("00"&amp;INT(MOD(Sync!$J737,10000)/100),2)&amp;"/"&amp;RIGHT("00"&amp;MOD(Sync!$J737,100),2),"نامعتبر"),IF(LEN(Sync!$J737)=10,Sync!$J737,"نامعتبر")))</f>
        <v/>
      </c>
      <c r="R737" t="str">
        <f t="shared" si="81"/>
        <v/>
      </c>
      <c r="S737" t="str">
        <f t="shared" si="82"/>
        <v/>
      </c>
      <c r="T737" t="str">
        <f>IF($N737="","",IF(Sync!$N737="",0,Sync!$N737))</f>
        <v/>
      </c>
      <c r="U737" t="str">
        <f>IF($N737="","",IF(Sync!$O737="",0,Sync!$O737))</f>
        <v/>
      </c>
      <c r="V737" t="str">
        <f>IF($N737="","",Sync!$L737)</f>
        <v/>
      </c>
      <c r="W737" t="str">
        <f>IF($N737="","",Sync!$P737)</f>
        <v/>
      </c>
      <c r="AA737" t="str">
        <f>IF($A737="","",IF(COUNTIF($A$6:$A737,$A737)=1,1,0))</f>
        <v/>
      </c>
      <c r="AB737">
        <f>SUM($AA$6:$AA737)</f>
        <v>3</v>
      </c>
      <c r="AC737" t="str">
        <f t="shared" si="83"/>
        <v/>
      </c>
    </row>
    <row r="738" spans="1:29" x14ac:dyDescent="0.2">
      <c r="A738" t="str">
        <f>IF(OR(Entry!$B741="",Entry!$E741="",$E738="نامعتبر"),"",Entry!$E741)</f>
        <v/>
      </c>
      <c r="B738" t="str">
        <f>IF($A738="","",LEFT($E738,4)&amp;MID($E738,6,2)&amp;RIGHT($E738,2)&amp;$F738&amp;"|"&amp;"1"&amp;RIGHT("00000"&amp;733,5))</f>
        <v/>
      </c>
      <c r="C738" t="str">
        <f t="shared" si="77"/>
        <v/>
      </c>
      <c r="D738" t="str">
        <f t="shared" si="78"/>
        <v/>
      </c>
      <c r="E738" t="str">
        <f>IF(Entry!$B741="","",IF(ISNUMBER(Entry!$B741),IF(AND(Entry!$B741&gt;=10000101,Entry!$B741&lt;=99991231),INT(Entry!$B741/10000)&amp;"/"&amp;RIGHT("00"&amp;INT(MOD(Entry!$B741,10000)/100),2)&amp;"/"&amp;RIGHT("00"&amp;MOD(Entry!$B741,100),2),"نامعتبر"),IF(LEN(Entry!$B741)=10,Entry!$B741,"نامعتبر")))</f>
        <v/>
      </c>
      <c r="F738" t="str">
        <f>IF(Entry!$B741="","",IF(Entry!$C741="","0000",IF(AND(ISNUMBER(Entry!$C741),Entry!$C741&gt;=0,Entry!$C741&lt;1),RIGHT("00"&amp;HOUR(Entry!$C741),2)&amp;RIGHT("00"&amp;MINUTE(Entry!$C741),2),IFERROR(RIGHT("00"&amp;VALUE(LEFT(Entry!$C741,FIND(":",Entry!$C741)-1)),2)&amp;RIGHT("00"&amp;VALUE(MID(Entry!$C741,FIND(":",Entry!$C741)+1,2)),2),"0000"))))</f>
        <v/>
      </c>
      <c r="G738" t="str">
        <f>IF($A738="","",Entry!$G741)</f>
        <v/>
      </c>
      <c r="H738" t="str">
        <f>IF($A738="","",IF(Entry!$H741="",0,Entry!$H741))</f>
        <v/>
      </c>
      <c r="I738" t="str">
        <f>IF($A738="","",IF(Entry!$I741="",0,Entry!$I741))</f>
        <v/>
      </c>
      <c r="J738" t="str">
        <f t="shared" si="79"/>
        <v/>
      </c>
      <c r="K738" t="str">
        <f>IF($A738="","",Entry!$D741)</f>
        <v/>
      </c>
      <c r="L738" t="str">
        <f>IF($A738="","",Entry!$L741)</f>
        <v/>
      </c>
      <c r="N738" t="str">
        <f>IF(OR(Sync!$M738="",$Q738="",$Q738="نامعتبر"),"",Sync!$M738)</f>
        <v/>
      </c>
      <c r="O738" t="str">
        <f t="shared" si="80"/>
        <v/>
      </c>
      <c r="P738" t="str">
        <f>IF($N738="","",LEFT($Q738,4)&amp;MID($Q738,6,2)&amp;RIGHT($Q738,2)&amp;IF(Sync!$K738="","0000",IF(AND(ISNUMBER(Sync!$K738),Sync!$K738&gt;=0,Sync!$K738&lt;1),RIGHT("00"&amp;HOUR(Sync!$K738),2)&amp;RIGHT("00"&amp;MINUTE(Sync!$K738),2),IFERROR(RIGHT("00"&amp;VALUE(LEFT(Sync!$K738,FIND(":",Sync!$K738)-1)),2)&amp;RIGHT("00"&amp;VALUE(MID(Sync!$K738,FIND(":",Sync!$K738)+1,2)),2),"0000")))&amp;"|"&amp;"2"&amp;RIGHT("00000"&amp;733,5))</f>
        <v/>
      </c>
      <c r="Q738" t="str">
        <f>IF(Sync!$J738="","",IF(ISNUMBER(Sync!$J738),IF(AND(Sync!$J738&gt;=10000101,Sync!$J738&lt;=99991231),INT(Sync!$J738/10000)&amp;"/"&amp;RIGHT("00"&amp;INT(MOD(Sync!$J738,10000)/100),2)&amp;"/"&amp;RIGHT("00"&amp;MOD(Sync!$J738,100),2),"نامعتبر"),IF(LEN(Sync!$J738)=10,Sync!$J738,"نامعتبر")))</f>
        <v/>
      </c>
      <c r="R738" t="str">
        <f t="shared" si="81"/>
        <v/>
      </c>
      <c r="S738" t="str">
        <f t="shared" si="82"/>
        <v/>
      </c>
      <c r="T738" t="str">
        <f>IF($N738="","",IF(Sync!$N738="",0,Sync!$N738))</f>
        <v/>
      </c>
      <c r="U738" t="str">
        <f>IF($N738="","",IF(Sync!$O738="",0,Sync!$O738))</f>
        <v/>
      </c>
      <c r="V738" t="str">
        <f>IF($N738="","",Sync!$L738)</f>
        <v/>
      </c>
      <c r="W738" t="str">
        <f>IF($N738="","",Sync!$P738)</f>
        <v/>
      </c>
      <c r="AA738" t="str">
        <f>IF($A738="","",IF(COUNTIF($A$6:$A738,$A738)=1,1,0))</f>
        <v/>
      </c>
      <c r="AB738">
        <f>SUM($AA$6:$AA738)</f>
        <v>3</v>
      </c>
      <c r="AC738" t="str">
        <f t="shared" si="83"/>
        <v/>
      </c>
    </row>
    <row r="739" spans="1:29" x14ac:dyDescent="0.2">
      <c r="A739" t="str">
        <f>IF(OR(Entry!$B742="",Entry!$E742="",$E739="نامعتبر"),"",Entry!$E742)</f>
        <v/>
      </c>
      <c r="B739" t="str">
        <f>IF($A739="","",LEFT($E739,4)&amp;MID($E739,6,2)&amp;RIGHT($E739,2)&amp;$F739&amp;"|"&amp;"1"&amp;RIGHT("00000"&amp;734,5))</f>
        <v/>
      </c>
      <c r="C739" t="str">
        <f t="shared" si="77"/>
        <v/>
      </c>
      <c r="D739" t="str">
        <f t="shared" si="78"/>
        <v/>
      </c>
      <c r="E739" t="str">
        <f>IF(Entry!$B742="","",IF(ISNUMBER(Entry!$B742),IF(AND(Entry!$B742&gt;=10000101,Entry!$B742&lt;=99991231),INT(Entry!$B742/10000)&amp;"/"&amp;RIGHT("00"&amp;INT(MOD(Entry!$B742,10000)/100),2)&amp;"/"&amp;RIGHT("00"&amp;MOD(Entry!$B742,100),2),"نامعتبر"),IF(LEN(Entry!$B742)=10,Entry!$B742,"نامعتبر")))</f>
        <v/>
      </c>
      <c r="F739" t="str">
        <f>IF(Entry!$B742="","",IF(Entry!$C742="","0000",IF(AND(ISNUMBER(Entry!$C742),Entry!$C742&gt;=0,Entry!$C742&lt;1),RIGHT("00"&amp;HOUR(Entry!$C742),2)&amp;RIGHT("00"&amp;MINUTE(Entry!$C742),2),IFERROR(RIGHT("00"&amp;VALUE(LEFT(Entry!$C742,FIND(":",Entry!$C742)-1)),2)&amp;RIGHT("00"&amp;VALUE(MID(Entry!$C742,FIND(":",Entry!$C742)+1,2)),2),"0000"))))</f>
        <v/>
      </c>
      <c r="G739" t="str">
        <f>IF($A739="","",Entry!$G742)</f>
        <v/>
      </c>
      <c r="H739" t="str">
        <f>IF($A739="","",IF(Entry!$H742="",0,Entry!$H742))</f>
        <v/>
      </c>
      <c r="I739" t="str">
        <f>IF($A739="","",IF(Entry!$I742="",0,Entry!$I742))</f>
        <v/>
      </c>
      <c r="J739" t="str">
        <f t="shared" si="79"/>
        <v/>
      </c>
      <c r="K739" t="str">
        <f>IF($A739="","",Entry!$D742)</f>
        <v/>
      </c>
      <c r="L739" t="str">
        <f>IF($A739="","",Entry!$L742)</f>
        <v/>
      </c>
      <c r="N739" t="str">
        <f>IF(OR(Sync!$M739="",$Q739="",$Q739="نامعتبر"),"",Sync!$M739)</f>
        <v/>
      </c>
      <c r="O739" t="str">
        <f t="shared" si="80"/>
        <v/>
      </c>
      <c r="P739" t="str">
        <f>IF($N739="","",LEFT($Q739,4)&amp;MID($Q739,6,2)&amp;RIGHT($Q739,2)&amp;IF(Sync!$K739="","0000",IF(AND(ISNUMBER(Sync!$K739),Sync!$K739&gt;=0,Sync!$K739&lt;1),RIGHT("00"&amp;HOUR(Sync!$K739),2)&amp;RIGHT("00"&amp;MINUTE(Sync!$K739),2),IFERROR(RIGHT("00"&amp;VALUE(LEFT(Sync!$K739,FIND(":",Sync!$K739)-1)),2)&amp;RIGHT("00"&amp;VALUE(MID(Sync!$K739,FIND(":",Sync!$K739)+1,2)),2),"0000")))&amp;"|"&amp;"2"&amp;RIGHT("00000"&amp;734,5))</f>
        <v/>
      </c>
      <c r="Q739" t="str">
        <f>IF(Sync!$J739="","",IF(ISNUMBER(Sync!$J739),IF(AND(Sync!$J739&gt;=10000101,Sync!$J739&lt;=99991231),INT(Sync!$J739/10000)&amp;"/"&amp;RIGHT("00"&amp;INT(MOD(Sync!$J739,10000)/100),2)&amp;"/"&amp;RIGHT("00"&amp;MOD(Sync!$J739,100),2),"نامعتبر"),IF(LEN(Sync!$J739)=10,Sync!$J739,"نامعتبر")))</f>
        <v/>
      </c>
      <c r="R739" t="str">
        <f t="shared" si="81"/>
        <v/>
      </c>
      <c r="S739" t="str">
        <f t="shared" si="82"/>
        <v/>
      </c>
      <c r="T739" t="str">
        <f>IF($N739="","",IF(Sync!$N739="",0,Sync!$N739))</f>
        <v/>
      </c>
      <c r="U739" t="str">
        <f>IF($N739="","",IF(Sync!$O739="",0,Sync!$O739))</f>
        <v/>
      </c>
      <c r="V739" t="str">
        <f>IF($N739="","",Sync!$L739)</f>
        <v/>
      </c>
      <c r="W739" t="str">
        <f>IF($N739="","",Sync!$P739)</f>
        <v/>
      </c>
      <c r="AA739" t="str">
        <f>IF($A739="","",IF(COUNTIF($A$6:$A739,$A739)=1,1,0))</f>
        <v/>
      </c>
      <c r="AB739">
        <f>SUM($AA$6:$AA739)</f>
        <v>3</v>
      </c>
      <c r="AC739" t="str">
        <f t="shared" si="83"/>
        <v/>
      </c>
    </row>
    <row r="740" spans="1:29" x14ac:dyDescent="0.2">
      <c r="A740" t="str">
        <f>IF(OR(Entry!$B743="",Entry!$E743="",$E740="نامعتبر"),"",Entry!$E743)</f>
        <v/>
      </c>
      <c r="B740" t="str">
        <f>IF($A740="","",LEFT($E740,4)&amp;MID($E740,6,2)&amp;RIGHT($E740,2)&amp;$F740&amp;"|"&amp;"1"&amp;RIGHT("00000"&amp;735,5))</f>
        <v/>
      </c>
      <c r="C740" t="str">
        <f t="shared" si="77"/>
        <v/>
      </c>
      <c r="D740" t="str">
        <f t="shared" si="78"/>
        <v/>
      </c>
      <c r="E740" t="str">
        <f>IF(Entry!$B743="","",IF(ISNUMBER(Entry!$B743),IF(AND(Entry!$B743&gt;=10000101,Entry!$B743&lt;=99991231),INT(Entry!$B743/10000)&amp;"/"&amp;RIGHT("00"&amp;INT(MOD(Entry!$B743,10000)/100),2)&amp;"/"&amp;RIGHT("00"&amp;MOD(Entry!$B743,100),2),"نامعتبر"),IF(LEN(Entry!$B743)=10,Entry!$B743,"نامعتبر")))</f>
        <v/>
      </c>
      <c r="F740" t="str">
        <f>IF(Entry!$B743="","",IF(Entry!$C743="","0000",IF(AND(ISNUMBER(Entry!$C743),Entry!$C743&gt;=0,Entry!$C743&lt;1),RIGHT("00"&amp;HOUR(Entry!$C743),2)&amp;RIGHT("00"&amp;MINUTE(Entry!$C743),2),IFERROR(RIGHT("00"&amp;VALUE(LEFT(Entry!$C743,FIND(":",Entry!$C743)-1)),2)&amp;RIGHT("00"&amp;VALUE(MID(Entry!$C743,FIND(":",Entry!$C743)+1,2)),2),"0000"))))</f>
        <v/>
      </c>
      <c r="G740" t="str">
        <f>IF($A740="","",Entry!$G743)</f>
        <v/>
      </c>
      <c r="H740" t="str">
        <f>IF($A740="","",IF(Entry!$H743="",0,Entry!$H743))</f>
        <v/>
      </c>
      <c r="I740" t="str">
        <f>IF($A740="","",IF(Entry!$I743="",0,Entry!$I743))</f>
        <v/>
      </c>
      <c r="J740" t="str">
        <f t="shared" si="79"/>
        <v/>
      </c>
      <c r="K740" t="str">
        <f>IF($A740="","",Entry!$D743)</f>
        <v/>
      </c>
      <c r="L740" t="str">
        <f>IF($A740="","",Entry!$L743)</f>
        <v/>
      </c>
      <c r="N740" t="str">
        <f>IF(OR(Sync!$M740="",$Q740="",$Q740="نامعتبر"),"",Sync!$M740)</f>
        <v/>
      </c>
      <c r="O740" t="str">
        <f t="shared" si="80"/>
        <v/>
      </c>
      <c r="P740" t="str">
        <f>IF($N740="","",LEFT($Q740,4)&amp;MID($Q740,6,2)&amp;RIGHT($Q740,2)&amp;IF(Sync!$K740="","0000",IF(AND(ISNUMBER(Sync!$K740),Sync!$K740&gt;=0,Sync!$K740&lt;1),RIGHT("00"&amp;HOUR(Sync!$K740),2)&amp;RIGHT("00"&amp;MINUTE(Sync!$K740),2),IFERROR(RIGHT("00"&amp;VALUE(LEFT(Sync!$K740,FIND(":",Sync!$K740)-1)),2)&amp;RIGHT("00"&amp;VALUE(MID(Sync!$K740,FIND(":",Sync!$K740)+1,2)),2),"0000")))&amp;"|"&amp;"2"&amp;RIGHT("00000"&amp;735,5))</f>
        <v/>
      </c>
      <c r="Q740" t="str">
        <f>IF(Sync!$J740="","",IF(ISNUMBER(Sync!$J740),IF(AND(Sync!$J740&gt;=10000101,Sync!$J740&lt;=99991231),INT(Sync!$J740/10000)&amp;"/"&amp;RIGHT("00"&amp;INT(MOD(Sync!$J740,10000)/100),2)&amp;"/"&amp;RIGHT("00"&amp;MOD(Sync!$J740,100),2),"نامعتبر"),IF(LEN(Sync!$J740)=10,Sync!$J740,"نامعتبر")))</f>
        <v/>
      </c>
      <c r="R740" t="str">
        <f t="shared" si="81"/>
        <v/>
      </c>
      <c r="S740" t="str">
        <f t="shared" si="82"/>
        <v/>
      </c>
      <c r="T740" t="str">
        <f>IF($N740="","",IF(Sync!$N740="",0,Sync!$N740))</f>
        <v/>
      </c>
      <c r="U740" t="str">
        <f>IF($N740="","",IF(Sync!$O740="",0,Sync!$O740))</f>
        <v/>
      </c>
      <c r="V740" t="str">
        <f>IF($N740="","",Sync!$L740)</f>
        <v/>
      </c>
      <c r="W740" t="str">
        <f>IF($N740="","",Sync!$P740)</f>
        <v/>
      </c>
      <c r="AA740" t="str">
        <f>IF($A740="","",IF(COUNTIF($A$6:$A740,$A740)=1,1,0))</f>
        <v/>
      </c>
      <c r="AB740">
        <f>SUM($AA$6:$AA740)</f>
        <v>3</v>
      </c>
      <c r="AC740" t="str">
        <f t="shared" si="83"/>
        <v/>
      </c>
    </row>
    <row r="741" spans="1:29" x14ac:dyDescent="0.2">
      <c r="A741" t="str">
        <f>IF(OR(Entry!$B744="",Entry!$E744="",$E741="نامعتبر"),"",Entry!$E744)</f>
        <v/>
      </c>
      <c r="B741" t="str">
        <f>IF($A741="","",LEFT($E741,4)&amp;MID($E741,6,2)&amp;RIGHT($E741,2)&amp;$F741&amp;"|"&amp;"1"&amp;RIGHT("00000"&amp;736,5))</f>
        <v/>
      </c>
      <c r="C741" t="str">
        <f t="shared" si="77"/>
        <v/>
      </c>
      <c r="D741" t="str">
        <f t="shared" si="78"/>
        <v/>
      </c>
      <c r="E741" t="str">
        <f>IF(Entry!$B744="","",IF(ISNUMBER(Entry!$B744),IF(AND(Entry!$B744&gt;=10000101,Entry!$B744&lt;=99991231),INT(Entry!$B744/10000)&amp;"/"&amp;RIGHT("00"&amp;INT(MOD(Entry!$B744,10000)/100),2)&amp;"/"&amp;RIGHT("00"&amp;MOD(Entry!$B744,100),2),"نامعتبر"),IF(LEN(Entry!$B744)=10,Entry!$B744,"نامعتبر")))</f>
        <v/>
      </c>
      <c r="F741" t="str">
        <f>IF(Entry!$B744="","",IF(Entry!$C744="","0000",IF(AND(ISNUMBER(Entry!$C744),Entry!$C744&gt;=0,Entry!$C744&lt;1),RIGHT("00"&amp;HOUR(Entry!$C744),2)&amp;RIGHT("00"&amp;MINUTE(Entry!$C744),2),IFERROR(RIGHT("00"&amp;VALUE(LEFT(Entry!$C744,FIND(":",Entry!$C744)-1)),2)&amp;RIGHT("00"&amp;VALUE(MID(Entry!$C744,FIND(":",Entry!$C744)+1,2)),2),"0000"))))</f>
        <v/>
      </c>
      <c r="G741" t="str">
        <f>IF($A741="","",Entry!$G744)</f>
        <v/>
      </c>
      <c r="H741" t="str">
        <f>IF($A741="","",IF(Entry!$H744="",0,Entry!$H744))</f>
        <v/>
      </c>
      <c r="I741" t="str">
        <f>IF($A741="","",IF(Entry!$I744="",0,Entry!$I744))</f>
        <v/>
      </c>
      <c r="J741" t="str">
        <f t="shared" si="79"/>
        <v/>
      </c>
      <c r="K741" t="str">
        <f>IF($A741="","",Entry!$D744)</f>
        <v/>
      </c>
      <c r="L741" t="str">
        <f>IF($A741="","",Entry!$L744)</f>
        <v/>
      </c>
      <c r="N741" t="str">
        <f>IF(OR(Sync!$M741="",$Q741="",$Q741="نامعتبر"),"",Sync!$M741)</f>
        <v/>
      </c>
      <c r="O741" t="str">
        <f t="shared" si="80"/>
        <v/>
      </c>
      <c r="P741" t="str">
        <f>IF($N741="","",LEFT($Q741,4)&amp;MID($Q741,6,2)&amp;RIGHT($Q741,2)&amp;IF(Sync!$K741="","0000",IF(AND(ISNUMBER(Sync!$K741),Sync!$K741&gt;=0,Sync!$K741&lt;1),RIGHT("00"&amp;HOUR(Sync!$K741),2)&amp;RIGHT("00"&amp;MINUTE(Sync!$K741),2),IFERROR(RIGHT("00"&amp;VALUE(LEFT(Sync!$K741,FIND(":",Sync!$K741)-1)),2)&amp;RIGHT("00"&amp;VALUE(MID(Sync!$K741,FIND(":",Sync!$K741)+1,2)),2),"0000")))&amp;"|"&amp;"2"&amp;RIGHT("00000"&amp;736,5))</f>
        <v/>
      </c>
      <c r="Q741" t="str">
        <f>IF(Sync!$J741="","",IF(ISNUMBER(Sync!$J741),IF(AND(Sync!$J741&gt;=10000101,Sync!$J741&lt;=99991231),INT(Sync!$J741/10000)&amp;"/"&amp;RIGHT("00"&amp;INT(MOD(Sync!$J741,10000)/100),2)&amp;"/"&amp;RIGHT("00"&amp;MOD(Sync!$J741,100),2),"نامعتبر"),IF(LEN(Sync!$J741)=10,Sync!$J741,"نامعتبر")))</f>
        <v/>
      </c>
      <c r="R741" t="str">
        <f t="shared" si="81"/>
        <v/>
      </c>
      <c r="S741" t="str">
        <f t="shared" si="82"/>
        <v/>
      </c>
      <c r="T741" t="str">
        <f>IF($N741="","",IF(Sync!$N741="",0,Sync!$N741))</f>
        <v/>
      </c>
      <c r="U741" t="str">
        <f>IF($N741="","",IF(Sync!$O741="",0,Sync!$O741))</f>
        <v/>
      </c>
      <c r="V741" t="str">
        <f>IF($N741="","",Sync!$L741)</f>
        <v/>
      </c>
      <c r="W741" t="str">
        <f>IF($N741="","",Sync!$P741)</f>
        <v/>
      </c>
      <c r="AA741" t="str">
        <f>IF($A741="","",IF(COUNTIF($A$6:$A741,$A741)=1,1,0))</f>
        <v/>
      </c>
      <c r="AB741">
        <f>SUM($AA$6:$AA741)</f>
        <v>3</v>
      </c>
      <c r="AC741" t="str">
        <f t="shared" si="83"/>
        <v/>
      </c>
    </row>
    <row r="742" spans="1:29" x14ac:dyDescent="0.2">
      <c r="A742" t="str">
        <f>IF(OR(Entry!$B745="",Entry!$E745="",$E742="نامعتبر"),"",Entry!$E745)</f>
        <v/>
      </c>
      <c r="B742" t="str">
        <f>IF($A742="","",LEFT($E742,4)&amp;MID($E742,6,2)&amp;RIGHT($E742,2)&amp;$F742&amp;"|"&amp;"1"&amp;RIGHT("00000"&amp;737,5))</f>
        <v/>
      </c>
      <c r="C742" t="str">
        <f t="shared" si="77"/>
        <v/>
      </c>
      <c r="D742" t="str">
        <f t="shared" si="78"/>
        <v/>
      </c>
      <c r="E742" t="str">
        <f>IF(Entry!$B745="","",IF(ISNUMBER(Entry!$B745),IF(AND(Entry!$B745&gt;=10000101,Entry!$B745&lt;=99991231),INT(Entry!$B745/10000)&amp;"/"&amp;RIGHT("00"&amp;INT(MOD(Entry!$B745,10000)/100),2)&amp;"/"&amp;RIGHT("00"&amp;MOD(Entry!$B745,100),2),"نامعتبر"),IF(LEN(Entry!$B745)=10,Entry!$B745,"نامعتبر")))</f>
        <v/>
      </c>
      <c r="F742" t="str">
        <f>IF(Entry!$B745="","",IF(Entry!$C745="","0000",IF(AND(ISNUMBER(Entry!$C745),Entry!$C745&gt;=0,Entry!$C745&lt;1),RIGHT("00"&amp;HOUR(Entry!$C745),2)&amp;RIGHT("00"&amp;MINUTE(Entry!$C745),2),IFERROR(RIGHT("00"&amp;VALUE(LEFT(Entry!$C745,FIND(":",Entry!$C745)-1)),2)&amp;RIGHT("00"&amp;VALUE(MID(Entry!$C745,FIND(":",Entry!$C745)+1,2)),2),"0000"))))</f>
        <v/>
      </c>
      <c r="G742" t="str">
        <f>IF($A742="","",Entry!$G745)</f>
        <v/>
      </c>
      <c r="H742" t="str">
        <f>IF($A742="","",IF(Entry!$H745="",0,Entry!$H745))</f>
        <v/>
      </c>
      <c r="I742" t="str">
        <f>IF($A742="","",IF(Entry!$I745="",0,Entry!$I745))</f>
        <v/>
      </c>
      <c r="J742" t="str">
        <f t="shared" si="79"/>
        <v/>
      </c>
      <c r="K742" t="str">
        <f>IF($A742="","",Entry!$D745)</f>
        <v/>
      </c>
      <c r="L742" t="str">
        <f>IF($A742="","",Entry!$L745)</f>
        <v/>
      </c>
      <c r="N742" t="str">
        <f>IF(OR(Sync!$M742="",$Q742="",$Q742="نامعتبر"),"",Sync!$M742)</f>
        <v/>
      </c>
      <c r="O742" t="str">
        <f t="shared" si="80"/>
        <v/>
      </c>
      <c r="P742" t="str">
        <f>IF($N742="","",LEFT($Q742,4)&amp;MID($Q742,6,2)&amp;RIGHT($Q742,2)&amp;IF(Sync!$K742="","0000",IF(AND(ISNUMBER(Sync!$K742),Sync!$K742&gt;=0,Sync!$K742&lt;1),RIGHT("00"&amp;HOUR(Sync!$K742),2)&amp;RIGHT("00"&amp;MINUTE(Sync!$K742),2),IFERROR(RIGHT("00"&amp;VALUE(LEFT(Sync!$K742,FIND(":",Sync!$K742)-1)),2)&amp;RIGHT("00"&amp;VALUE(MID(Sync!$K742,FIND(":",Sync!$K742)+1,2)),2),"0000")))&amp;"|"&amp;"2"&amp;RIGHT("00000"&amp;737,5))</f>
        <v/>
      </c>
      <c r="Q742" t="str">
        <f>IF(Sync!$J742="","",IF(ISNUMBER(Sync!$J742),IF(AND(Sync!$J742&gt;=10000101,Sync!$J742&lt;=99991231),INT(Sync!$J742/10000)&amp;"/"&amp;RIGHT("00"&amp;INT(MOD(Sync!$J742,10000)/100),2)&amp;"/"&amp;RIGHT("00"&amp;MOD(Sync!$J742,100),2),"نامعتبر"),IF(LEN(Sync!$J742)=10,Sync!$J742,"نامعتبر")))</f>
        <v/>
      </c>
      <c r="R742" t="str">
        <f t="shared" si="81"/>
        <v/>
      </c>
      <c r="S742" t="str">
        <f t="shared" si="82"/>
        <v/>
      </c>
      <c r="T742" t="str">
        <f>IF($N742="","",IF(Sync!$N742="",0,Sync!$N742))</f>
        <v/>
      </c>
      <c r="U742" t="str">
        <f>IF($N742="","",IF(Sync!$O742="",0,Sync!$O742))</f>
        <v/>
      </c>
      <c r="V742" t="str">
        <f>IF($N742="","",Sync!$L742)</f>
        <v/>
      </c>
      <c r="W742" t="str">
        <f>IF($N742="","",Sync!$P742)</f>
        <v/>
      </c>
      <c r="AA742" t="str">
        <f>IF($A742="","",IF(COUNTIF($A$6:$A742,$A742)=1,1,0))</f>
        <v/>
      </c>
      <c r="AB742">
        <f>SUM($AA$6:$AA742)</f>
        <v>3</v>
      </c>
      <c r="AC742" t="str">
        <f t="shared" si="83"/>
        <v/>
      </c>
    </row>
    <row r="743" spans="1:29" x14ac:dyDescent="0.2">
      <c r="A743" t="str">
        <f>IF(OR(Entry!$B746="",Entry!$E746="",$E743="نامعتبر"),"",Entry!$E746)</f>
        <v/>
      </c>
      <c r="B743" t="str">
        <f>IF($A743="","",LEFT($E743,4)&amp;MID($E743,6,2)&amp;RIGHT($E743,2)&amp;$F743&amp;"|"&amp;"1"&amp;RIGHT("00000"&amp;738,5))</f>
        <v/>
      </c>
      <c r="C743" t="str">
        <f t="shared" si="77"/>
        <v/>
      </c>
      <c r="D743" t="str">
        <f t="shared" si="78"/>
        <v/>
      </c>
      <c r="E743" t="str">
        <f>IF(Entry!$B746="","",IF(ISNUMBER(Entry!$B746),IF(AND(Entry!$B746&gt;=10000101,Entry!$B746&lt;=99991231),INT(Entry!$B746/10000)&amp;"/"&amp;RIGHT("00"&amp;INT(MOD(Entry!$B746,10000)/100),2)&amp;"/"&amp;RIGHT("00"&amp;MOD(Entry!$B746,100),2),"نامعتبر"),IF(LEN(Entry!$B746)=10,Entry!$B746,"نامعتبر")))</f>
        <v/>
      </c>
      <c r="F743" t="str">
        <f>IF(Entry!$B746="","",IF(Entry!$C746="","0000",IF(AND(ISNUMBER(Entry!$C746),Entry!$C746&gt;=0,Entry!$C746&lt;1),RIGHT("00"&amp;HOUR(Entry!$C746),2)&amp;RIGHT("00"&amp;MINUTE(Entry!$C746),2),IFERROR(RIGHT("00"&amp;VALUE(LEFT(Entry!$C746,FIND(":",Entry!$C746)-1)),2)&amp;RIGHT("00"&amp;VALUE(MID(Entry!$C746,FIND(":",Entry!$C746)+1,2)),2),"0000"))))</f>
        <v/>
      </c>
      <c r="G743" t="str">
        <f>IF($A743="","",Entry!$G746)</f>
        <v/>
      </c>
      <c r="H743" t="str">
        <f>IF($A743="","",IF(Entry!$H746="",0,Entry!$H746))</f>
        <v/>
      </c>
      <c r="I743" t="str">
        <f>IF($A743="","",IF(Entry!$I746="",0,Entry!$I746))</f>
        <v/>
      </c>
      <c r="J743" t="str">
        <f t="shared" si="79"/>
        <v/>
      </c>
      <c r="K743" t="str">
        <f>IF($A743="","",Entry!$D746)</f>
        <v/>
      </c>
      <c r="L743" t="str">
        <f>IF($A743="","",Entry!$L746)</f>
        <v/>
      </c>
      <c r="N743" t="str">
        <f>IF(OR(Sync!$M743="",$Q743="",$Q743="نامعتبر"),"",Sync!$M743)</f>
        <v/>
      </c>
      <c r="O743" t="str">
        <f t="shared" si="80"/>
        <v/>
      </c>
      <c r="P743" t="str">
        <f>IF($N743="","",LEFT($Q743,4)&amp;MID($Q743,6,2)&amp;RIGHT($Q743,2)&amp;IF(Sync!$K743="","0000",IF(AND(ISNUMBER(Sync!$K743),Sync!$K743&gt;=0,Sync!$K743&lt;1),RIGHT("00"&amp;HOUR(Sync!$K743),2)&amp;RIGHT("00"&amp;MINUTE(Sync!$K743),2),IFERROR(RIGHT("00"&amp;VALUE(LEFT(Sync!$K743,FIND(":",Sync!$K743)-1)),2)&amp;RIGHT("00"&amp;VALUE(MID(Sync!$K743,FIND(":",Sync!$K743)+1,2)),2),"0000")))&amp;"|"&amp;"2"&amp;RIGHT("00000"&amp;738,5))</f>
        <v/>
      </c>
      <c r="Q743" t="str">
        <f>IF(Sync!$J743="","",IF(ISNUMBER(Sync!$J743),IF(AND(Sync!$J743&gt;=10000101,Sync!$J743&lt;=99991231),INT(Sync!$J743/10000)&amp;"/"&amp;RIGHT("00"&amp;INT(MOD(Sync!$J743,10000)/100),2)&amp;"/"&amp;RIGHT("00"&amp;MOD(Sync!$J743,100),2),"نامعتبر"),IF(LEN(Sync!$J743)=10,Sync!$J743,"نامعتبر")))</f>
        <v/>
      </c>
      <c r="R743" t="str">
        <f t="shared" si="81"/>
        <v/>
      </c>
      <c r="S743" t="str">
        <f t="shared" si="82"/>
        <v/>
      </c>
      <c r="T743" t="str">
        <f>IF($N743="","",IF(Sync!$N743="",0,Sync!$N743))</f>
        <v/>
      </c>
      <c r="U743" t="str">
        <f>IF($N743="","",IF(Sync!$O743="",0,Sync!$O743))</f>
        <v/>
      </c>
      <c r="V743" t="str">
        <f>IF($N743="","",Sync!$L743)</f>
        <v/>
      </c>
      <c r="W743" t="str">
        <f>IF($N743="","",Sync!$P743)</f>
        <v/>
      </c>
      <c r="AA743" t="str">
        <f>IF($A743="","",IF(COUNTIF($A$6:$A743,$A743)=1,1,0))</f>
        <v/>
      </c>
      <c r="AB743">
        <f>SUM($AA$6:$AA743)</f>
        <v>3</v>
      </c>
      <c r="AC743" t="str">
        <f t="shared" si="83"/>
        <v/>
      </c>
    </row>
    <row r="744" spans="1:29" x14ac:dyDescent="0.2">
      <c r="A744" t="str">
        <f>IF(OR(Entry!$B747="",Entry!$E747="",$E744="نامعتبر"),"",Entry!$E747)</f>
        <v/>
      </c>
      <c r="B744" t="str">
        <f>IF($A744="","",LEFT($E744,4)&amp;MID($E744,6,2)&amp;RIGHT($E744,2)&amp;$F744&amp;"|"&amp;"1"&amp;RIGHT("00000"&amp;739,5))</f>
        <v/>
      </c>
      <c r="C744" t="str">
        <f t="shared" si="77"/>
        <v/>
      </c>
      <c r="D744" t="str">
        <f t="shared" si="78"/>
        <v/>
      </c>
      <c r="E744" t="str">
        <f>IF(Entry!$B747="","",IF(ISNUMBER(Entry!$B747),IF(AND(Entry!$B747&gt;=10000101,Entry!$B747&lt;=99991231),INT(Entry!$B747/10000)&amp;"/"&amp;RIGHT("00"&amp;INT(MOD(Entry!$B747,10000)/100),2)&amp;"/"&amp;RIGHT("00"&amp;MOD(Entry!$B747,100),2),"نامعتبر"),IF(LEN(Entry!$B747)=10,Entry!$B747,"نامعتبر")))</f>
        <v/>
      </c>
      <c r="F744" t="str">
        <f>IF(Entry!$B747="","",IF(Entry!$C747="","0000",IF(AND(ISNUMBER(Entry!$C747),Entry!$C747&gt;=0,Entry!$C747&lt;1),RIGHT("00"&amp;HOUR(Entry!$C747),2)&amp;RIGHT("00"&amp;MINUTE(Entry!$C747),2),IFERROR(RIGHT("00"&amp;VALUE(LEFT(Entry!$C747,FIND(":",Entry!$C747)-1)),2)&amp;RIGHT("00"&amp;VALUE(MID(Entry!$C747,FIND(":",Entry!$C747)+1,2)),2),"0000"))))</f>
        <v/>
      </c>
      <c r="G744" t="str">
        <f>IF($A744="","",Entry!$G747)</f>
        <v/>
      </c>
      <c r="H744" t="str">
        <f>IF($A744="","",IF(Entry!$H747="",0,Entry!$H747))</f>
        <v/>
      </c>
      <c r="I744" t="str">
        <f>IF($A744="","",IF(Entry!$I747="",0,Entry!$I747))</f>
        <v/>
      </c>
      <c r="J744" t="str">
        <f t="shared" si="79"/>
        <v/>
      </c>
      <c r="K744" t="str">
        <f>IF($A744="","",Entry!$D747)</f>
        <v/>
      </c>
      <c r="L744" t="str">
        <f>IF($A744="","",Entry!$L747)</f>
        <v/>
      </c>
      <c r="N744" t="str">
        <f>IF(OR(Sync!$M744="",$Q744="",$Q744="نامعتبر"),"",Sync!$M744)</f>
        <v/>
      </c>
      <c r="O744" t="str">
        <f t="shared" si="80"/>
        <v/>
      </c>
      <c r="P744" t="str">
        <f>IF($N744="","",LEFT($Q744,4)&amp;MID($Q744,6,2)&amp;RIGHT($Q744,2)&amp;IF(Sync!$K744="","0000",IF(AND(ISNUMBER(Sync!$K744),Sync!$K744&gt;=0,Sync!$K744&lt;1),RIGHT("00"&amp;HOUR(Sync!$K744),2)&amp;RIGHT("00"&amp;MINUTE(Sync!$K744),2),IFERROR(RIGHT("00"&amp;VALUE(LEFT(Sync!$K744,FIND(":",Sync!$K744)-1)),2)&amp;RIGHT("00"&amp;VALUE(MID(Sync!$K744,FIND(":",Sync!$K744)+1,2)),2),"0000")))&amp;"|"&amp;"2"&amp;RIGHT("00000"&amp;739,5))</f>
        <v/>
      </c>
      <c r="Q744" t="str">
        <f>IF(Sync!$J744="","",IF(ISNUMBER(Sync!$J744),IF(AND(Sync!$J744&gt;=10000101,Sync!$J744&lt;=99991231),INT(Sync!$J744/10000)&amp;"/"&amp;RIGHT("00"&amp;INT(MOD(Sync!$J744,10000)/100),2)&amp;"/"&amp;RIGHT("00"&amp;MOD(Sync!$J744,100),2),"نامعتبر"),IF(LEN(Sync!$J744)=10,Sync!$J744,"نامعتبر")))</f>
        <v/>
      </c>
      <c r="R744" t="str">
        <f t="shared" si="81"/>
        <v/>
      </c>
      <c r="S744" t="str">
        <f t="shared" si="82"/>
        <v/>
      </c>
      <c r="T744" t="str">
        <f>IF($N744="","",IF(Sync!$N744="",0,Sync!$N744))</f>
        <v/>
      </c>
      <c r="U744" t="str">
        <f>IF($N744="","",IF(Sync!$O744="",0,Sync!$O744))</f>
        <v/>
      </c>
      <c r="V744" t="str">
        <f>IF($N744="","",Sync!$L744)</f>
        <v/>
      </c>
      <c r="W744" t="str">
        <f>IF($N744="","",Sync!$P744)</f>
        <v/>
      </c>
      <c r="AA744" t="str">
        <f>IF($A744="","",IF(COUNTIF($A$6:$A744,$A744)=1,1,0))</f>
        <v/>
      </c>
      <c r="AB744">
        <f>SUM($AA$6:$AA744)</f>
        <v>3</v>
      </c>
      <c r="AC744" t="str">
        <f t="shared" si="83"/>
        <v/>
      </c>
    </row>
    <row r="745" spans="1:29" x14ac:dyDescent="0.2">
      <c r="A745" t="str">
        <f>IF(OR(Entry!$B748="",Entry!$E748="",$E745="نامعتبر"),"",Entry!$E748)</f>
        <v/>
      </c>
      <c r="B745" t="str">
        <f>IF($A745="","",LEFT($E745,4)&amp;MID($E745,6,2)&amp;RIGHT($E745,2)&amp;$F745&amp;"|"&amp;"1"&amp;RIGHT("00000"&amp;740,5))</f>
        <v/>
      </c>
      <c r="C745" t="str">
        <f t="shared" si="77"/>
        <v/>
      </c>
      <c r="D745" t="str">
        <f t="shared" si="78"/>
        <v/>
      </c>
      <c r="E745" t="str">
        <f>IF(Entry!$B748="","",IF(ISNUMBER(Entry!$B748),IF(AND(Entry!$B748&gt;=10000101,Entry!$B748&lt;=99991231),INT(Entry!$B748/10000)&amp;"/"&amp;RIGHT("00"&amp;INT(MOD(Entry!$B748,10000)/100),2)&amp;"/"&amp;RIGHT("00"&amp;MOD(Entry!$B748,100),2),"نامعتبر"),IF(LEN(Entry!$B748)=10,Entry!$B748,"نامعتبر")))</f>
        <v/>
      </c>
      <c r="F745" t="str">
        <f>IF(Entry!$B748="","",IF(Entry!$C748="","0000",IF(AND(ISNUMBER(Entry!$C748),Entry!$C748&gt;=0,Entry!$C748&lt;1),RIGHT("00"&amp;HOUR(Entry!$C748),2)&amp;RIGHT("00"&amp;MINUTE(Entry!$C748),2),IFERROR(RIGHT("00"&amp;VALUE(LEFT(Entry!$C748,FIND(":",Entry!$C748)-1)),2)&amp;RIGHT("00"&amp;VALUE(MID(Entry!$C748,FIND(":",Entry!$C748)+1,2)),2),"0000"))))</f>
        <v/>
      </c>
      <c r="G745" t="str">
        <f>IF($A745="","",Entry!$G748)</f>
        <v/>
      </c>
      <c r="H745" t="str">
        <f>IF($A745="","",IF(Entry!$H748="",0,Entry!$H748))</f>
        <v/>
      </c>
      <c r="I745" t="str">
        <f>IF($A745="","",IF(Entry!$I748="",0,Entry!$I748))</f>
        <v/>
      </c>
      <c r="J745" t="str">
        <f t="shared" si="79"/>
        <v/>
      </c>
      <c r="K745" t="str">
        <f>IF($A745="","",Entry!$D748)</f>
        <v/>
      </c>
      <c r="L745" t="str">
        <f>IF($A745="","",Entry!$L748)</f>
        <v/>
      </c>
      <c r="N745" t="str">
        <f>IF(OR(Sync!$M745="",$Q745="",$Q745="نامعتبر"),"",Sync!$M745)</f>
        <v/>
      </c>
      <c r="O745" t="str">
        <f t="shared" si="80"/>
        <v/>
      </c>
      <c r="P745" t="str">
        <f>IF($N745="","",LEFT($Q745,4)&amp;MID($Q745,6,2)&amp;RIGHT($Q745,2)&amp;IF(Sync!$K745="","0000",IF(AND(ISNUMBER(Sync!$K745),Sync!$K745&gt;=0,Sync!$K745&lt;1),RIGHT("00"&amp;HOUR(Sync!$K745),2)&amp;RIGHT("00"&amp;MINUTE(Sync!$K745),2),IFERROR(RIGHT("00"&amp;VALUE(LEFT(Sync!$K745,FIND(":",Sync!$K745)-1)),2)&amp;RIGHT("00"&amp;VALUE(MID(Sync!$K745,FIND(":",Sync!$K745)+1,2)),2),"0000")))&amp;"|"&amp;"2"&amp;RIGHT("00000"&amp;740,5))</f>
        <v/>
      </c>
      <c r="Q745" t="str">
        <f>IF(Sync!$J745="","",IF(ISNUMBER(Sync!$J745),IF(AND(Sync!$J745&gt;=10000101,Sync!$J745&lt;=99991231),INT(Sync!$J745/10000)&amp;"/"&amp;RIGHT("00"&amp;INT(MOD(Sync!$J745,10000)/100),2)&amp;"/"&amp;RIGHT("00"&amp;MOD(Sync!$J745,100),2),"نامعتبر"),IF(LEN(Sync!$J745)=10,Sync!$J745,"نامعتبر")))</f>
        <v/>
      </c>
      <c r="R745" t="str">
        <f t="shared" si="81"/>
        <v/>
      </c>
      <c r="S745" t="str">
        <f t="shared" si="82"/>
        <v/>
      </c>
      <c r="T745" t="str">
        <f>IF($N745="","",IF(Sync!$N745="",0,Sync!$N745))</f>
        <v/>
      </c>
      <c r="U745" t="str">
        <f>IF($N745="","",IF(Sync!$O745="",0,Sync!$O745))</f>
        <v/>
      </c>
      <c r="V745" t="str">
        <f>IF($N745="","",Sync!$L745)</f>
        <v/>
      </c>
      <c r="W745" t="str">
        <f>IF($N745="","",Sync!$P745)</f>
        <v/>
      </c>
      <c r="AA745" t="str">
        <f>IF($A745="","",IF(COUNTIF($A$6:$A745,$A745)=1,1,0))</f>
        <v/>
      </c>
      <c r="AB745">
        <f>SUM($AA$6:$AA745)</f>
        <v>3</v>
      </c>
      <c r="AC745" t="str">
        <f t="shared" si="83"/>
        <v/>
      </c>
    </row>
    <row r="746" spans="1:29" x14ac:dyDescent="0.2">
      <c r="A746" t="str">
        <f>IF(OR(Entry!$B749="",Entry!$E749="",$E746="نامعتبر"),"",Entry!$E749)</f>
        <v/>
      </c>
      <c r="B746" t="str">
        <f>IF($A746="","",LEFT($E746,4)&amp;MID($E746,6,2)&amp;RIGHT($E746,2)&amp;$F746&amp;"|"&amp;"1"&amp;RIGHT("00000"&amp;741,5))</f>
        <v/>
      </c>
      <c r="C746" t="str">
        <f t="shared" si="77"/>
        <v/>
      </c>
      <c r="D746" t="str">
        <f t="shared" si="78"/>
        <v/>
      </c>
      <c r="E746" t="str">
        <f>IF(Entry!$B749="","",IF(ISNUMBER(Entry!$B749),IF(AND(Entry!$B749&gt;=10000101,Entry!$B749&lt;=99991231),INT(Entry!$B749/10000)&amp;"/"&amp;RIGHT("00"&amp;INT(MOD(Entry!$B749,10000)/100),2)&amp;"/"&amp;RIGHT("00"&amp;MOD(Entry!$B749,100),2),"نامعتبر"),IF(LEN(Entry!$B749)=10,Entry!$B749,"نامعتبر")))</f>
        <v/>
      </c>
      <c r="F746" t="str">
        <f>IF(Entry!$B749="","",IF(Entry!$C749="","0000",IF(AND(ISNUMBER(Entry!$C749),Entry!$C749&gt;=0,Entry!$C749&lt;1),RIGHT("00"&amp;HOUR(Entry!$C749),2)&amp;RIGHT("00"&amp;MINUTE(Entry!$C749),2),IFERROR(RIGHT("00"&amp;VALUE(LEFT(Entry!$C749,FIND(":",Entry!$C749)-1)),2)&amp;RIGHT("00"&amp;VALUE(MID(Entry!$C749,FIND(":",Entry!$C749)+1,2)),2),"0000"))))</f>
        <v/>
      </c>
      <c r="G746" t="str">
        <f>IF($A746="","",Entry!$G749)</f>
        <v/>
      </c>
      <c r="H746" t="str">
        <f>IF($A746="","",IF(Entry!$H749="",0,Entry!$H749))</f>
        <v/>
      </c>
      <c r="I746" t="str">
        <f>IF($A746="","",IF(Entry!$I749="",0,Entry!$I749))</f>
        <v/>
      </c>
      <c r="J746" t="str">
        <f t="shared" si="79"/>
        <v/>
      </c>
      <c r="K746" t="str">
        <f>IF($A746="","",Entry!$D749)</f>
        <v/>
      </c>
      <c r="L746" t="str">
        <f>IF($A746="","",Entry!$L749)</f>
        <v/>
      </c>
      <c r="N746" t="str">
        <f>IF(OR(Sync!$M746="",$Q746="",$Q746="نامعتبر"),"",Sync!$M746)</f>
        <v/>
      </c>
      <c r="O746" t="str">
        <f t="shared" si="80"/>
        <v/>
      </c>
      <c r="P746" t="str">
        <f>IF($N746="","",LEFT($Q746,4)&amp;MID($Q746,6,2)&amp;RIGHT($Q746,2)&amp;IF(Sync!$K746="","0000",IF(AND(ISNUMBER(Sync!$K746),Sync!$K746&gt;=0,Sync!$K746&lt;1),RIGHT("00"&amp;HOUR(Sync!$K746),2)&amp;RIGHT("00"&amp;MINUTE(Sync!$K746),2),IFERROR(RIGHT("00"&amp;VALUE(LEFT(Sync!$K746,FIND(":",Sync!$K746)-1)),2)&amp;RIGHT("00"&amp;VALUE(MID(Sync!$K746,FIND(":",Sync!$K746)+1,2)),2),"0000")))&amp;"|"&amp;"2"&amp;RIGHT("00000"&amp;741,5))</f>
        <v/>
      </c>
      <c r="Q746" t="str">
        <f>IF(Sync!$J746="","",IF(ISNUMBER(Sync!$J746),IF(AND(Sync!$J746&gt;=10000101,Sync!$J746&lt;=99991231),INT(Sync!$J746/10000)&amp;"/"&amp;RIGHT("00"&amp;INT(MOD(Sync!$J746,10000)/100),2)&amp;"/"&amp;RIGHT("00"&amp;MOD(Sync!$J746,100),2),"نامعتبر"),IF(LEN(Sync!$J746)=10,Sync!$J746,"نامعتبر")))</f>
        <v/>
      </c>
      <c r="R746" t="str">
        <f t="shared" si="81"/>
        <v/>
      </c>
      <c r="S746" t="str">
        <f t="shared" si="82"/>
        <v/>
      </c>
      <c r="T746" t="str">
        <f>IF($N746="","",IF(Sync!$N746="",0,Sync!$N746))</f>
        <v/>
      </c>
      <c r="U746" t="str">
        <f>IF($N746="","",IF(Sync!$O746="",0,Sync!$O746))</f>
        <v/>
      </c>
      <c r="V746" t="str">
        <f>IF($N746="","",Sync!$L746)</f>
        <v/>
      </c>
      <c r="W746" t="str">
        <f>IF($N746="","",Sync!$P746)</f>
        <v/>
      </c>
      <c r="AA746" t="str">
        <f>IF($A746="","",IF(COUNTIF($A$6:$A746,$A746)=1,1,0))</f>
        <v/>
      </c>
      <c r="AB746">
        <f>SUM($AA$6:$AA746)</f>
        <v>3</v>
      </c>
      <c r="AC746" t="str">
        <f t="shared" si="83"/>
        <v/>
      </c>
    </row>
    <row r="747" spans="1:29" x14ac:dyDescent="0.2">
      <c r="A747" t="str">
        <f>IF(OR(Entry!$B750="",Entry!$E750="",$E747="نامعتبر"),"",Entry!$E750)</f>
        <v/>
      </c>
      <c r="B747" t="str">
        <f>IF($A747="","",LEFT($E747,4)&amp;MID($E747,6,2)&amp;RIGHT($E747,2)&amp;$F747&amp;"|"&amp;"1"&amp;RIGHT("00000"&amp;742,5))</f>
        <v/>
      </c>
      <c r="C747" t="str">
        <f t="shared" si="77"/>
        <v/>
      </c>
      <c r="D747" t="str">
        <f t="shared" si="78"/>
        <v/>
      </c>
      <c r="E747" t="str">
        <f>IF(Entry!$B750="","",IF(ISNUMBER(Entry!$B750),IF(AND(Entry!$B750&gt;=10000101,Entry!$B750&lt;=99991231),INT(Entry!$B750/10000)&amp;"/"&amp;RIGHT("00"&amp;INT(MOD(Entry!$B750,10000)/100),2)&amp;"/"&amp;RIGHT("00"&amp;MOD(Entry!$B750,100),2),"نامعتبر"),IF(LEN(Entry!$B750)=10,Entry!$B750,"نامعتبر")))</f>
        <v/>
      </c>
      <c r="F747" t="str">
        <f>IF(Entry!$B750="","",IF(Entry!$C750="","0000",IF(AND(ISNUMBER(Entry!$C750),Entry!$C750&gt;=0,Entry!$C750&lt;1),RIGHT("00"&amp;HOUR(Entry!$C750),2)&amp;RIGHT("00"&amp;MINUTE(Entry!$C750),2),IFERROR(RIGHT("00"&amp;VALUE(LEFT(Entry!$C750,FIND(":",Entry!$C750)-1)),2)&amp;RIGHT("00"&amp;VALUE(MID(Entry!$C750,FIND(":",Entry!$C750)+1,2)),2),"0000"))))</f>
        <v/>
      </c>
      <c r="G747" t="str">
        <f>IF($A747="","",Entry!$G750)</f>
        <v/>
      </c>
      <c r="H747" t="str">
        <f>IF($A747="","",IF(Entry!$H750="",0,Entry!$H750))</f>
        <v/>
      </c>
      <c r="I747" t="str">
        <f>IF($A747="","",IF(Entry!$I750="",0,Entry!$I750))</f>
        <v/>
      </c>
      <c r="J747" t="str">
        <f t="shared" si="79"/>
        <v/>
      </c>
      <c r="K747" t="str">
        <f>IF($A747="","",Entry!$D750)</f>
        <v/>
      </c>
      <c r="L747" t="str">
        <f>IF($A747="","",Entry!$L750)</f>
        <v/>
      </c>
      <c r="N747" t="str">
        <f>IF(OR(Sync!$M747="",$Q747="",$Q747="نامعتبر"),"",Sync!$M747)</f>
        <v/>
      </c>
      <c r="O747" t="str">
        <f t="shared" si="80"/>
        <v/>
      </c>
      <c r="P747" t="str">
        <f>IF($N747="","",LEFT($Q747,4)&amp;MID($Q747,6,2)&amp;RIGHT($Q747,2)&amp;IF(Sync!$K747="","0000",IF(AND(ISNUMBER(Sync!$K747),Sync!$K747&gt;=0,Sync!$K747&lt;1),RIGHT("00"&amp;HOUR(Sync!$K747),2)&amp;RIGHT("00"&amp;MINUTE(Sync!$K747),2),IFERROR(RIGHT("00"&amp;VALUE(LEFT(Sync!$K747,FIND(":",Sync!$K747)-1)),2)&amp;RIGHT("00"&amp;VALUE(MID(Sync!$K747,FIND(":",Sync!$K747)+1,2)),2),"0000")))&amp;"|"&amp;"2"&amp;RIGHT("00000"&amp;742,5))</f>
        <v/>
      </c>
      <c r="Q747" t="str">
        <f>IF(Sync!$J747="","",IF(ISNUMBER(Sync!$J747),IF(AND(Sync!$J747&gt;=10000101,Sync!$J747&lt;=99991231),INT(Sync!$J747/10000)&amp;"/"&amp;RIGHT("00"&amp;INT(MOD(Sync!$J747,10000)/100),2)&amp;"/"&amp;RIGHT("00"&amp;MOD(Sync!$J747,100),2),"نامعتبر"),IF(LEN(Sync!$J747)=10,Sync!$J747,"نامعتبر")))</f>
        <v/>
      </c>
      <c r="R747" t="str">
        <f t="shared" si="81"/>
        <v/>
      </c>
      <c r="S747" t="str">
        <f t="shared" si="82"/>
        <v/>
      </c>
      <c r="T747" t="str">
        <f>IF($N747="","",IF(Sync!$N747="",0,Sync!$N747))</f>
        <v/>
      </c>
      <c r="U747" t="str">
        <f>IF($N747="","",IF(Sync!$O747="",0,Sync!$O747))</f>
        <v/>
      </c>
      <c r="V747" t="str">
        <f>IF($N747="","",Sync!$L747)</f>
        <v/>
      </c>
      <c r="W747" t="str">
        <f>IF($N747="","",Sync!$P747)</f>
        <v/>
      </c>
      <c r="AA747" t="str">
        <f>IF($A747="","",IF(COUNTIF($A$6:$A747,$A747)=1,1,0))</f>
        <v/>
      </c>
      <c r="AB747">
        <f>SUM($AA$6:$AA747)</f>
        <v>3</v>
      </c>
      <c r="AC747" t="str">
        <f t="shared" si="83"/>
        <v/>
      </c>
    </row>
    <row r="748" spans="1:29" x14ac:dyDescent="0.2">
      <c r="A748" t="str">
        <f>IF(OR(Entry!$B751="",Entry!$E751="",$E748="نامعتبر"),"",Entry!$E751)</f>
        <v/>
      </c>
      <c r="B748" t="str">
        <f>IF($A748="","",LEFT($E748,4)&amp;MID($E748,6,2)&amp;RIGHT($E748,2)&amp;$F748&amp;"|"&amp;"1"&amp;RIGHT("00000"&amp;743,5))</f>
        <v/>
      </c>
      <c r="C748" t="str">
        <f t="shared" si="77"/>
        <v/>
      </c>
      <c r="D748" t="str">
        <f t="shared" si="78"/>
        <v/>
      </c>
      <c r="E748" t="str">
        <f>IF(Entry!$B751="","",IF(ISNUMBER(Entry!$B751),IF(AND(Entry!$B751&gt;=10000101,Entry!$B751&lt;=99991231),INT(Entry!$B751/10000)&amp;"/"&amp;RIGHT("00"&amp;INT(MOD(Entry!$B751,10000)/100),2)&amp;"/"&amp;RIGHT("00"&amp;MOD(Entry!$B751,100),2),"نامعتبر"),IF(LEN(Entry!$B751)=10,Entry!$B751,"نامعتبر")))</f>
        <v/>
      </c>
      <c r="F748" t="str">
        <f>IF(Entry!$B751="","",IF(Entry!$C751="","0000",IF(AND(ISNUMBER(Entry!$C751),Entry!$C751&gt;=0,Entry!$C751&lt;1),RIGHT("00"&amp;HOUR(Entry!$C751),2)&amp;RIGHT("00"&amp;MINUTE(Entry!$C751),2),IFERROR(RIGHT("00"&amp;VALUE(LEFT(Entry!$C751,FIND(":",Entry!$C751)-1)),2)&amp;RIGHT("00"&amp;VALUE(MID(Entry!$C751,FIND(":",Entry!$C751)+1,2)),2),"0000"))))</f>
        <v/>
      </c>
      <c r="G748" t="str">
        <f>IF($A748="","",Entry!$G751)</f>
        <v/>
      </c>
      <c r="H748" t="str">
        <f>IF($A748="","",IF(Entry!$H751="",0,Entry!$H751))</f>
        <v/>
      </c>
      <c r="I748" t="str">
        <f>IF($A748="","",IF(Entry!$I751="",0,Entry!$I751))</f>
        <v/>
      </c>
      <c r="J748" t="str">
        <f t="shared" si="79"/>
        <v/>
      </c>
      <c r="K748" t="str">
        <f>IF($A748="","",Entry!$D751)</f>
        <v/>
      </c>
      <c r="L748" t="str">
        <f>IF($A748="","",Entry!$L751)</f>
        <v/>
      </c>
      <c r="N748" t="str">
        <f>IF(OR(Sync!$M748="",$Q748="",$Q748="نامعتبر"),"",Sync!$M748)</f>
        <v/>
      </c>
      <c r="O748" t="str">
        <f t="shared" si="80"/>
        <v/>
      </c>
      <c r="P748" t="str">
        <f>IF($N748="","",LEFT($Q748,4)&amp;MID($Q748,6,2)&amp;RIGHT($Q748,2)&amp;IF(Sync!$K748="","0000",IF(AND(ISNUMBER(Sync!$K748),Sync!$K748&gt;=0,Sync!$K748&lt;1),RIGHT("00"&amp;HOUR(Sync!$K748),2)&amp;RIGHT("00"&amp;MINUTE(Sync!$K748),2),IFERROR(RIGHT("00"&amp;VALUE(LEFT(Sync!$K748,FIND(":",Sync!$K748)-1)),2)&amp;RIGHT("00"&amp;VALUE(MID(Sync!$K748,FIND(":",Sync!$K748)+1,2)),2),"0000")))&amp;"|"&amp;"2"&amp;RIGHT("00000"&amp;743,5))</f>
        <v/>
      </c>
      <c r="Q748" t="str">
        <f>IF(Sync!$J748="","",IF(ISNUMBER(Sync!$J748),IF(AND(Sync!$J748&gt;=10000101,Sync!$J748&lt;=99991231),INT(Sync!$J748/10000)&amp;"/"&amp;RIGHT("00"&amp;INT(MOD(Sync!$J748,10000)/100),2)&amp;"/"&amp;RIGHT("00"&amp;MOD(Sync!$J748,100),2),"نامعتبر"),IF(LEN(Sync!$J748)=10,Sync!$J748,"نامعتبر")))</f>
        <v/>
      </c>
      <c r="R748" t="str">
        <f t="shared" si="81"/>
        <v/>
      </c>
      <c r="S748" t="str">
        <f t="shared" si="82"/>
        <v/>
      </c>
      <c r="T748" t="str">
        <f>IF($N748="","",IF(Sync!$N748="",0,Sync!$N748))</f>
        <v/>
      </c>
      <c r="U748" t="str">
        <f>IF($N748="","",IF(Sync!$O748="",0,Sync!$O748))</f>
        <v/>
      </c>
      <c r="V748" t="str">
        <f>IF($N748="","",Sync!$L748)</f>
        <v/>
      </c>
      <c r="W748" t="str">
        <f>IF($N748="","",Sync!$P748)</f>
        <v/>
      </c>
      <c r="AA748" t="str">
        <f>IF($A748="","",IF(COUNTIF($A$6:$A748,$A748)=1,1,0))</f>
        <v/>
      </c>
      <c r="AB748">
        <f>SUM($AA$6:$AA748)</f>
        <v>3</v>
      </c>
      <c r="AC748" t="str">
        <f t="shared" si="83"/>
        <v/>
      </c>
    </row>
    <row r="749" spans="1:29" x14ac:dyDescent="0.2">
      <c r="A749" t="str">
        <f>IF(OR(Entry!$B752="",Entry!$E752="",$E749="نامعتبر"),"",Entry!$E752)</f>
        <v/>
      </c>
      <c r="B749" t="str">
        <f>IF($A749="","",LEFT($E749,4)&amp;MID($E749,6,2)&amp;RIGHT($E749,2)&amp;$F749&amp;"|"&amp;"1"&amp;RIGHT("00000"&amp;744,5))</f>
        <v/>
      </c>
      <c r="C749" t="str">
        <f t="shared" si="77"/>
        <v/>
      </c>
      <c r="D749" t="str">
        <f t="shared" si="78"/>
        <v/>
      </c>
      <c r="E749" t="str">
        <f>IF(Entry!$B752="","",IF(ISNUMBER(Entry!$B752),IF(AND(Entry!$B752&gt;=10000101,Entry!$B752&lt;=99991231),INT(Entry!$B752/10000)&amp;"/"&amp;RIGHT("00"&amp;INT(MOD(Entry!$B752,10000)/100),2)&amp;"/"&amp;RIGHT("00"&amp;MOD(Entry!$B752,100),2),"نامعتبر"),IF(LEN(Entry!$B752)=10,Entry!$B752,"نامعتبر")))</f>
        <v/>
      </c>
      <c r="F749" t="str">
        <f>IF(Entry!$B752="","",IF(Entry!$C752="","0000",IF(AND(ISNUMBER(Entry!$C752),Entry!$C752&gt;=0,Entry!$C752&lt;1),RIGHT("00"&amp;HOUR(Entry!$C752),2)&amp;RIGHT("00"&amp;MINUTE(Entry!$C752),2),IFERROR(RIGHT("00"&amp;VALUE(LEFT(Entry!$C752,FIND(":",Entry!$C752)-1)),2)&amp;RIGHT("00"&amp;VALUE(MID(Entry!$C752,FIND(":",Entry!$C752)+1,2)),2),"0000"))))</f>
        <v/>
      </c>
      <c r="G749" t="str">
        <f>IF($A749="","",Entry!$G752)</f>
        <v/>
      </c>
      <c r="H749" t="str">
        <f>IF($A749="","",IF(Entry!$H752="",0,Entry!$H752))</f>
        <v/>
      </c>
      <c r="I749" t="str">
        <f>IF($A749="","",IF(Entry!$I752="",0,Entry!$I752))</f>
        <v/>
      </c>
      <c r="J749" t="str">
        <f t="shared" si="79"/>
        <v/>
      </c>
      <c r="K749" t="str">
        <f>IF($A749="","",Entry!$D752)</f>
        <v/>
      </c>
      <c r="L749" t="str">
        <f>IF($A749="","",Entry!$L752)</f>
        <v/>
      </c>
      <c r="N749" t="str">
        <f>IF(OR(Sync!$M749="",$Q749="",$Q749="نامعتبر"),"",Sync!$M749)</f>
        <v/>
      </c>
      <c r="O749" t="str">
        <f t="shared" si="80"/>
        <v/>
      </c>
      <c r="P749" t="str">
        <f>IF($N749="","",LEFT($Q749,4)&amp;MID($Q749,6,2)&amp;RIGHT($Q749,2)&amp;IF(Sync!$K749="","0000",IF(AND(ISNUMBER(Sync!$K749),Sync!$K749&gt;=0,Sync!$K749&lt;1),RIGHT("00"&amp;HOUR(Sync!$K749),2)&amp;RIGHT("00"&amp;MINUTE(Sync!$K749),2),IFERROR(RIGHT("00"&amp;VALUE(LEFT(Sync!$K749,FIND(":",Sync!$K749)-1)),2)&amp;RIGHT("00"&amp;VALUE(MID(Sync!$K749,FIND(":",Sync!$K749)+1,2)),2),"0000")))&amp;"|"&amp;"2"&amp;RIGHT("00000"&amp;744,5))</f>
        <v/>
      </c>
      <c r="Q749" t="str">
        <f>IF(Sync!$J749="","",IF(ISNUMBER(Sync!$J749),IF(AND(Sync!$J749&gt;=10000101,Sync!$J749&lt;=99991231),INT(Sync!$J749/10000)&amp;"/"&amp;RIGHT("00"&amp;INT(MOD(Sync!$J749,10000)/100),2)&amp;"/"&amp;RIGHT("00"&amp;MOD(Sync!$J749,100),2),"نامعتبر"),IF(LEN(Sync!$J749)=10,Sync!$J749,"نامعتبر")))</f>
        <v/>
      </c>
      <c r="R749" t="str">
        <f t="shared" si="81"/>
        <v/>
      </c>
      <c r="S749" t="str">
        <f t="shared" si="82"/>
        <v/>
      </c>
      <c r="T749" t="str">
        <f>IF($N749="","",IF(Sync!$N749="",0,Sync!$N749))</f>
        <v/>
      </c>
      <c r="U749" t="str">
        <f>IF($N749="","",IF(Sync!$O749="",0,Sync!$O749))</f>
        <v/>
      </c>
      <c r="V749" t="str">
        <f>IF($N749="","",Sync!$L749)</f>
        <v/>
      </c>
      <c r="W749" t="str">
        <f>IF($N749="","",Sync!$P749)</f>
        <v/>
      </c>
      <c r="AA749" t="str">
        <f>IF($A749="","",IF(COUNTIF($A$6:$A749,$A749)=1,1,0))</f>
        <v/>
      </c>
      <c r="AB749">
        <f>SUM($AA$6:$AA749)</f>
        <v>3</v>
      </c>
      <c r="AC749" t="str">
        <f t="shared" si="83"/>
        <v/>
      </c>
    </row>
    <row r="750" spans="1:29" x14ac:dyDescent="0.2">
      <c r="A750" t="str">
        <f>IF(OR(Entry!$B753="",Entry!$E753="",$E750="نامعتبر"),"",Entry!$E753)</f>
        <v/>
      </c>
      <c r="B750" t="str">
        <f>IF($A750="","",LEFT($E750,4)&amp;MID($E750,6,2)&amp;RIGHT($E750,2)&amp;$F750&amp;"|"&amp;"1"&amp;RIGHT("00000"&amp;745,5))</f>
        <v/>
      </c>
      <c r="C750" t="str">
        <f t="shared" si="77"/>
        <v/>
      </c>
      <c r="D750" t="str">
        <f t="shared" si="78"/>
        <v/>
      </c>
      <c r="E750" t="str">
        <f>IF(Entry!$B753="","",IF(ISNUMBER(Entry!$B753),IF(AND(Entry!$B753&gt;=10000101,Entry!$B753&lt;=99991231),INT(Entry!$B753/10000)&amp;"/"&amp;RIGHT("00"&amp;INT(MOD(Entry!$B753,10000)/100),2)&amp;"/"&amp;RIGHT("00"&amp;MOD(Entry!$B753,100),2),"نامعتبر"),IF(LEN(Entry!$B753)=10,Entry!$B753,"نامعتبر")))</f>
        <v/>
      </c>
      <c r="F750" t="str">
        <f>IF(Entry!$B753="","",IF(Entry!$C753="","0000",IF(AND(ISNUMBER(Entry!$C753),Entry!$C753&gt;=0,Entry!$C753&lt;1),RIGHT("00"&amp;HOUR(Entry!$C753),2)&amp;RIGHT("00"&amp;MINUTE(Entry!$C753),2),IFERROR(RIGHT("00"&amp;VALUE(LEFT(Entry!$C753,FIND(":",Entry!$C753)-1)),2)&amp;RIGHT("00"&amp;VALUE(MID(Entry!$C753,FIND(":",Entry!$C753)+1,2)),2),"0000"))))</f>
        <v/>
      </c>
      <c r="G750" t="str">
        <f>IF($A750="","",Entry!$G753)</f>
        <v/>
      </c>
      <c r="H750" t="str">
        <f>IF($A750="","",IF(Entry!$H753="",0,Entry!$H753))</f>
        <v/>
      </c>
      <c r="I750" t="str">
        <f>IF($A750="","",IF(Entry!$I753="",0,Entry!$I753))</f>
        <v/>
      </c>
      <c r="J750" t="str">
        <f t="shared" si="79"/>
        <v/>
      </c>
      <c r="K750" t="str">
        <f>IF($A750="","",Entry!$D753)</f>
        <v/>
      </c>
      <c r="L750" t="str">
        <f>IF($A750="","",Entry!$L753)</f>
        <v/>
      </c>
      <c r="N750" t="str">
        <f>IF(OR(Sync!$M750="",$Q750="",$Q750="نامعتبر"),"",Sync!$M750)</f>
        <v/>
      </c>
      <c r="O750" t="str">
        <f t="shared" si="80"/>
        <v/>
      </c>
      <c r="P750" t="str">
        <f>IF($N750="","",LEFT($Q750,4)&amp;MID($Q750,6,2)&amp;RIGHT($Q750,2)&amp;IF(Sync!$K750="","0000",IF(AND(ISNUMBER(Sync!$K750),Sync!$K750&gt;=0,Sync!$K750&lt;1),RIGHT("00"&amp;HOUR(Sync!$K750),2)&amp;RIGHT("00"&amp;MINUTE(Sync!$K750),2),IFERROR(RIGHT("00"&amp;VALUE(LEFT(Sync!$K750,FIND(":",Sync!$K750)-1)),2)&amp;RIGHT("00"&amp;VALUE(MID(Sync!$K750,FIND(":",Sync!$K750)+1,2)),2),"0000")))&amp;"|"&amp;"2"&amp;RIGHT("00000"&amp;745,5))</f>
        <v/>
      </c>
      <c r="Q750" t="str">
        <f>IF(Sync!$J750="","",IF(ISNUMBER(Sync!$J750),IF(AND(Sync!$J750&gt;=10000101,Sync!$J750&lt;=99991231),INT(Sync!$J750/10000)&amp;"/"&amp;RIGHT("00"&amp;INT(MOD(Sync!$J750,10000)/100),2)&amp;"/"&amp;RIGHT("00"&amp;MOD(Sync!$J750,100),2),"نامعتبر"),IF(LEN(Sync!$J750)=10,Sync!$J750,"نامعتبر")))</f>
        <v/>
      </c>
      <c r="R750" t="str">
        <f t="shared" si="81"/>
        <v/>
      </c>
      <c r="S750" t="str">
        <f t="shared" si="82"/>
        <v/>
      </c>
      <c r="T750" t="str">
        <f>IF($N750="","",IF(Sync!$N750="",0,Sync!$N750))</f>
        <v/>
      </c>
      <c r="U750" t="str">
        <f>IF($N750="","",IF(Sync!$O750="",0,Sync!$O750))</f>
        <v/>
      </c>
      <c r="V750" t="str">
        <f>IF($N750="","",Sync!$L750)</f>
        <v/>
      </c>
      <c r="W750" t="str">
        <f>IF($N750="","",Sync!$P750)</f>
        <v/>
      </c>
      <c r="AA750" t="str">
        <f>IF($A750="","",IF(COUNTIF($A$6:$A750,$A750)=1,1,0))</f>
        <v/>
      </c>
      <c r="AB750">
        <f>SUM($AA$6:$AA750)</f>
        <v>3</v>
      </c>
      <c r="AC750" t="str">
        <f t="shared" si="83"/>
        <v/>
      </c>
    </row>
    <row r="751" spans="1:29" x14ac:dyDescent="0.2">
      <c r="A751" t="str">
        <f>IF(OR(Entry!$B754="",Entry!$E754="",$E751="نامعتبر"),"",Entry!$E754)</f>
        <v/>
      </c>
      <c r="B751" t="str">
        <f>IF($A751="","",LEFT($E751,4)&amp;MID($E751,6,2)&amp;RIGHT($E751,2)&amp;$F751&amp;"|"&amp;"1"&amp;RIGHT("00000"&amp;746,5))</f>
        <v/>
      </c>
      <c r="C751" t="str">
        <f t="shared" si="77"/>
        <v/>
      </c>
      <c r="D751" t="str">
        <f t="shared" si="78"/>
        <v/>
      </c>
      <c r="E751" t="str">
        <f>IF(Entry!$B754="","",IF(ISNUMBER(Entry!$B754),IF(AND(Entry!$B754&gt;=10000101,Entry!$B754&lt;=99991231),INT(Entry!$B754/10000)&amp;"/"&amp;RIGHT("00"&amp;INT(MOD(Entry!$B754,10000)/100),2)&amp;"/"&amp;RIGHT("00"&amp;MOD(Entry!$B754,100),2),"نامعتبر"),IF(LEN(Entry!$B754)=10,Entry!$B754,"نامعتبر")))</f>
        <v/>
      </c>
      <c r="F751" t="str">
        <f>IF(Entry!$B754="","",IF(Entry!$C754="","0000",IF(AND(ISNUMBER(Entry!$C754),Entry!$C754&gt;=0,Entry!$C754&lt;1),RIGHT("00"&amp;HOUR(Entry!$C754),2)&amp;RIGHT("00"&amp;MINUTE(Entry!$C754),2),IFERROR(RIGHT("00"&amp;VALUE(LEFT(Entry!$C754,FIND(":",Entry!$C754)-1)),2)&amp;RIGHT("00"&amp;VALUE(MID(Entry!$C754,FIND(":",Entry!$C754)+1,2)),2),"0000"))))</f>
        <v/>
      </c>
      <c r="G751" t="str">
        <f>IF($A751="","",Entry!$G754)</f>
        <v/>
      </c>
      <c r="H751" t="str">
        <f>IF($A751="","",IF(Entry!$H754="",0,Entry!$H754))</f>
        <v/>
      </c>
      <c r="I751" t="str">
        <f>IF($A751="","",IF(Entry!$I754="",0,Entry!$I754))</f>
        <v/>
      </c>
      <c r="J751" t="str">
        <f t="shared" si="79"/>
        <v/>
      </c>
      <c r="K751" t="str">
        <f>IF($A751="","",Entry!$D754)</f>
        <v/>
      </c>
      <c r="L751" t="str">
        <f>IF($A751="","",Entry!$L754)</f>
        <v/>
      </c>
      <c r="N751" t="str">
        <f>IF(OR(Sync!$M751="",$Q751="",$Q751="نامعتبر"),"",Sync!$M751)</f>
        <v/>
      </c>
      <c r="O751" t="str">
        <f t="shared" si="80"/>
        <v/>
      </c>
      <c r="P751" t="str">
        <f>IF($N751="","",LEFT($Q751,4)&amp;MID($Q751,6,2)&amp;RIGHT($Q751,2)&amp;IF(Sync!$K751="","0000",IF(AND(ISNUMBER(Sync!$K751),Sync!$K751&gt;=0,Sync!$K751&lt;1),RIGHT("00"&amp;HOUR(Sync!$K751),2)&amp;RIGHT("00"&amp;MINUTE(Sync!$K751),2),IFERROR(RIGHT("00"&amp;VALUE(LEFT(Sync!$K751,FIND(":",Sync!$K751)-1)),2)&amp;RIGHT("00"&amp;VALUE(MID(Sync!$K751,FIND(":",Sync!$K751)+1,2)),2),"0000")))&amp;"|"&amp;"2"&amp;RIGHT("00000"&amp;746,5))</f>
        <v/>
      </c>
      <c r="Q751" t="str">
        <f>IF(Sync!$J751="","",IF(ISNUMBER(Sync!$J751),IF(AND(Sync!$J751&gt;=10000101,Sync!$J751&lt;=99991231),INT(Sync!$J751/10000)&amp;"/"&amp;RIGHT("00"&amp;INT(MOD(Sync!$J751,10000)/100),2)&amp;"/"&amp;RIGHT("00"&amp;MOD(Sync!$J751,100),2),"نامعتبر"),IF(LEN(Sync!$J751)=10,Sync!$J751,"نامعتبر")))</f>
        <v/>
      </c>
      <c r="R751" t="str">
        <f t="shared" si="81"/>
        <v/>
      </c>
      <c r="S751" t="str">
        <f t="shared" si="82"/>
        <v/>
      </c>
      <c r="T751" t="str">
        <f>IF($N751="","",IF(Sync!$N751="",0,Sync!$N751))</f>
        <v/>
      </c>
      <c r="U751" t="str">
        <f>IF($N751="","",IF(Sync!$O751="",0,Sync!$O751))</f>
        <v/>
      </c>
      <c r="V751" t="str">
        <f>IF($N751="","",Sync!$L751)</f>
        <v/>
      </c>
      <c r="W751" t="str">
        <f>IF($N751="","",Sync!$P751)</f>
        <v/>
      </c>
      <c r="AA751" t="str">
        <f>IF($A751="","",IF(COUNTIF($A$6:$A751,$A751)=1,1,0))</f>
        <v/>
      </c>
      <c r="AB751">
        <f>SUM($AA$6:$AA751)</f>
        <v>3</v>
      </c>
      <c r="AC751" t="str">
        <f t="shared" si="83"/>
        <v/>
      </c>
    </row>
    <row r="752" spans="1:29" x14ac:dyDescent="0.2">
      <c r="A752" t="str">
        <f>IF(OR(Entry!$B755="",Entry!$E755="",$E752="نامعتبر"),"",Entry!$E755)</f>
        <v/>
      </c>
      <c r="B752" t="str">
        <f>IF($A752="","",LEFT($E752,4)&amp;MID($E752,6,2)&amp;RIGHT($E752,2)&amp;$F752&amp;"|"&amp;"1"&amp;RIGHT("00000"&amp;747,5))</f>
        <v/>
      </c>
      <c r="C752" t="str">
        <f t="shared" si="77"/>
        <v/>
      </c>
      <c r="D752" t="str">
        <f t="shared" si="78"/>
        <v/>
      </c>
      <c r="E752" t="str">
        <f>IF(Entry!$B755="","",IF(ISNUMBER(Entry!$B755),IF(AND(Entry!$B755&gt;=10000101,Entry!$B755&lt;=99991231),INT(Entry!$B755/10000)&amp;"/"&amp;RIGHT("00"&amp;INT(MOD(Entry!$B755,10000)/100),2)&amp;"/"&amp;RIGHT("00"&amp;MOD(Entry!$B755,100),2),"نامعتبر"),IF(LEN(Entry!$B755)=10,Entry!$B755,"نامعتبر")))</f>
        <v/>
      </c>
      <c r="F752" t="str">
        <f>IF(Entry!$B755="","",IF(Entry!$C755="","0000",IF(AND(ISNUMBER(Entry!$C755),Entry!$C755&gt;=0,Entry!$C755&lt;1),RIGHT("00"&amp;HOUR(Entry!$C755),2)&amp;RIGHT("00"&amp;MINUTE(Entry!$C755),2),IFERROR(RIGHT("00"&amp;VALUE(LEFT(Entry!$C755,FIND(":",Entry!$C755)-1)),2)&amp;RIGHT("00"&amp;VALUE(MID(Entry!$C755,FIND(":",Entry!$C755)+1,2)),2),"0000"))))</f>
        <v/>
      </c>
      <c r="G752" t="str">
        <f>IF($A752="","",Entry!$G755)</f>
        <v/>
      </c>
      <c r="H752" t="str">
        <f>IF($A752="","",IF(Entry!$H755="",0,Entry!$H755))</f>
        <v/>
      </c>
      <c r="I752" t="str">
        <f>IF($A752="","",IF(Entry!$I755="",0,Entry!$I755))</f>
        <v/>
      </c>
      <c r="J752" t="str">
        <f t="shared" si="79"/>
        <v/>
      </c>
      <c r="K752" t="str">
        <f>IF($A752="","",Entry!$D755)</f>
        <v/>
      </c>
      <c r="L752" t="str">
        <f>IF($A752="","",Entry!$L755)</f>
        <v/>
      </c>
      <c r="N752" t="str">
        <f>IF(OR(Sync!$M752="",$Q752="",$Q752="نامعتبر"),"",Sync!$M752)</f>
        <v/>
      </c>
      <c r="O752" t="str">
        <f t="shared" si="80"/>
        <v/>
      </c>
      <c r="P752" t="str">
        <f>IF($N752="","",LEFT($Q752,4)&amp;MID($Q752,6,2)&amp;RIGHT($Q752,2)&amp;IF(Sync!$K752="","0000",IF(AND(ISNUMBER(Sync!$K752),Sync!$K752&gt;=0,Sync!$K752&lt;1),RIGHT("00"&amp;HOUR(Sync!$K752),2)&amp;RIGHT("00"&amp;MINUTE(Sync!$K752),2),IFERROR(RIGHT("00"&amp;VALUE(LEFT(Sync!$K752,FIND(":",Sync!$K752)-1)),2)&amp;RIGHT("00"&amp;VALUE(MID(Sync!$K752,FIND(":",Sync!$K752)+1,2)),2),"0000")))&amp;"|"&amp;"2"&amp;RIGHT("00000"&amp;747,5))</f>
        <v/>
      </c>
      <c r="Q752" t="str">
        <f>IF(Sync!$J752="","",IF(ISNUMBER(Sync!$J752),IF(AND(Sync!$J752&gt;=10000101,Sync!$J752&lt;=99991231),INT(Sync!$J752/10000)&amp;"/"&amp;RIGHT("00"&amp;INT(MOD(Sync!$J752,10000)/100),2)&amp;"/"&amp;RIGHT("00"&amp;MOD(Sync!$J752,100),2),"نامعتبر"),IF(LEN(Sync!$J752)=10,Sync!$J752,"نامعتبر")))</f>
        <v/>
      </c>
      <c r="R752" t="str">
        <f t="shared" si="81"/>
        <v/>
      </c>
      <c r="S752" t="str">
        <f t="shared" si="82"/>
        <v/>
      </c>
      <c r="T752" t="str">
        <f>IF($N752="","",IF(Sync!$N752="",0,Sync!$N752))</f>
        <v/>
      </c>
      <c r="U752" t="str">
        <f>IF($N752="","",IF(Sync!$O752="",0,Sync!$O752))</f>
        <v/>
      </c>
      <c r="V752" t="str">
        <f>IF($N752="","",Sync!$L752)</f>
        <v/>
      </c>
      <c r="W752" t="str">
        <f>IF($N752="","",Sync!$P752)</f>
        <v/>
      </c>
      <c r="AA752" t="str">
        <f>IF($A752="","",IF(COUNTIF($A$6:$A752,$A752)=1,1,0))</f>
        <v/>
      </c>
      <c r="AB752">
        <f>SUM($AA$6:$AA752)</f>
        <v>3</v>
      </c>
      <c r="AC752" t="str">
        <f t="shared" si="83"/>
        <v/>
      </c>
    </row>
    <row r="753" spans="1:29" x14ac:dyDescent="0.2">
      <c r="A753" t="str">
        <f>IF(OR(Entry!$B756="",Entry!$E756="",$E753="نامعتبر"),"",Entry!$E756)</f>
        <v/>
      </c>
      <c r="B753" t="str">
        <f>IF($A753="","",LEFT($E753,4)&amp;MID($E753,6,2)&amp;RIGHT($E753,2)&amp;$F753&amp;"|"&amp;"1"&amp;RIGHT("00000"&amp;748,5))</f>
        <v/>
      </c>
      <c r="C753" t="str">
        <f t="shared" si="77"/>
        <v/>
      </c>
      <c r="D753" t="str">
        <f t="shared" si="78"/>
        <v/>
      </c>
      <c r="E753" t="str">
        <f>IF(Entry!$B756="","",IF(ISNUMBER(Entry!$B756),IF(AND(Entry!$B756&gt;=10000101,Entry!$B756&lt;=99991231),INT(Entry!$B756/10000)&amp;"/"&amp;RIGHT("00"&amp;INT(MOD(Entry!$B756,10000)/100),2)&amp;"/"&amp;RIGHT("00"&amp;MOD(Entry!$B756,100),2),"نامعتبر"),IF(LEN(Entry!$B756)=10,Entry!$B756,"نامعتبر")))</f>
        <v/>
      </c>
      <c r="F753" t="str">
        <f>IF(Entry!$B756="","",IF(Entry!$C756="","0000",IF(AND(ISNUMBER(Entry!$C756),Entry!$C756&gt;=0,Entry!$C756&lt;1),RIGHT("00"&amp;HOUR(Entry!$C756),2)&amp;RIGHT("00"&amp;MINUTE(Entry!$C756),2),IFERROR(RIGHT("00"&amp;VALUE(LEFT(Entry!$C756,FIND(":",Entry!$C756)-1)),2)&amp;RIGHT("00"&amp;VALUE(MID(Entry!$C756,FIND(":",Entry!$C756)+1,2)),2),"0000"))))</f>
        <v/>
      </c>
      <c r="G753" t="str">
        <f>IF($A753="","",Entry!$G756)</f>
        <v/>
      </c>
      <c r="H753" t="str">
        <f>IF($A753="","",IF(Entry!$H756="",0,Entry!$H756))</f>
        <v/>
      </c>
      <c r="I753" t="str">
        <f>IF($A753="","",IF(Entry!$I756="",0,Entry!$I756))</f>
        <v/>
      </c>
      <c r="J753" t="str">
        <f t="shared" si="79"/>
        <v/>
      </c>
      <c r="K753" t="str">
        <f>IF($A753="","",Entry!$D756)</f>
        <v/>
      </c>
      <c r="L753" t="str">
        <f>IF($A753="","",Entry!$L756)</f>
        <v/>
      </c>
      <c r="N753" t="str">
        <f>IF(OR(Sync!$M753="",$Q753="",$Q753="نامعتبر"),"",Sync!$M753)</f>
        <v/>
      </c>
      <c r="O753" t="str">
        <f t="shared" si="80"/>
        <v/>
      </c>
      <c r="P753" t="str">
        <f>IF($N753="","",LEFT($Q753,4)&amp;MID($Q753,6,2)&amp;RIGHT($Q753,2)&amp;IF(Sync!$K753="","0000",IF(AND(ISNUMBER(Sync!$K753),Sync!$K753&gt;=0,Sync!$K753&lt;1),RIGHT("00"&amp;HOUR(Sync!$K753),2)&amp;RIGHT("00"&amp;MINUTE(Sync!$K753),2),IFERROR(RIGHT("00"&amp;VALUE(LEFT(Sync!$K753,FIND(":",Sync!$K753)-1)),2)&amp;RIGHT("00"&amp;VALUE(MID(Sync!$K753,FIND(":",Sync!$K753)+1,2)),2),"0000")))&amp;"|"&amp;"2"&amp;RIGHT("00000"&amp;748,5))</f>
        <v/>
      </c>
      <c r="Q753" t="str">
        <f>IF(Sync!$J753="","",IF(ISNUMBER(Sync!$J753),IF(AND(Sync!$J753&gt;=10000101,Sync!$J753&lt;=99991231),INT(Sync!$J753/10000)&amp;"/"&amp;RIGHT("00"&amp;INT(MOD(Sync!$J753,10000)/100),2)&amp;"/"&amp;RIGHT("00"&amp;MOD(Sync!$J753,100),2),"نامعتبر"),IF(LEN(Sync!$J753)=10,Sync!$J753,"نامعتبر")))</f>
        <v/>
      </c>
      <c r="R753" t="str">
        <f t="shared" si="81"/>
        <v/>
      </c>
      <c r="S753" t="str">
        <f t="shared" si="82"/>
        <v/>
      </c>
      <c r="T753" t="str">
        <f>IF($N753="","",IF(Sync!$N753="",0,Sync!$N753))</f>
        <v/>
      </c>
      <c r="U753" t="str">
        <f>IF($N753="","",IF(Sync!$O753="",0,Sync!$O753))</f>
        <v/>
      </c>
      <c r="V753" t="str">
        <f>IF($N753="","",Sync!$L753)</f>
        <v/>
      </c>
      <c r="W753" t="str">
        <f>IF($N753="","",Sync!$P753)</f>
        <v/>
      </c>
      <c r="AA753" t="str">
        <f>IF($A753="","",IF(COUNTIF($A$6:$A753,$A753)=1,1,0))</f>
        <v/>
      </c>
      <c r="AB753">
        <f>SUM($AA$6:$AA753)</f>
        <v>3</v>
      </c>
      <c r="AC753" t="str">
        <f t="shared" si="83"/>
        <v/>
      </c>
    </row>
    <row r="754" spans="1:29" x14ac:dyDescent="0.2">
      <c r="A754" t="str">
        <f>IF(OR(Entry!$B757="",Entry!$E757="",$E754="نامعتبر"),"",Entry!$E757)</f>
        <v/>
      </c>
      <c r="B754" t="str">
        <f>IF($A754="","",LEFT($E754,4)&amp;MID($E754,6,2)&amp;RIGHT($E754,2)&amp;$F754&amp;"|"&amp;"1"&amp;RIGHT("00000"&amp;749,5))</f>
        <v/>
      </c>
      <c r="C754" t="str">
        <f t="shared" si="77"/>
        <v/>
      </c>
      <c r="D754" t="str">
        <f t="shared" si="78"/>
        <v/>
      </c>
      <c r="E754" t="str">
        <f>IF(Entry!$B757="","",IF(ISNUMBER(Entry!$B757),IF(AND(Entry!$B757&gt;=10000101,Entry!$B757&lt;=99991231),INT(Entry!$B757/10000)&amp;"/"&amp;RIGHT("00"&amp;INT(MOD(Entry!$B757,10000)/100),2)&amp;"/"&amp;RIGHT("00"&amp;MOD(Entry!$B757,100),2),"نامعتبر"),IF(LEN(Entry!$B757)=10,Entry!$B757,"نامعتبر")))</f>
        <v/>
      </c>
      <c r="F754" t="str">
        <f>IF(Entry!$B757="","",IF(Entry!$C757="","0000",IF(AND(ISNUMBER(Entry!$C757),Entry!$C757&gt;=0,Entry!$C757&lt;1),RIGHT("00"&amp;HOUR(Entry!$C757),2)&amp;RIGHT("00"&amp;MINUTE(Entry!$C757),2),IFERROR(RIGHT("00"&amp;VALUE(LEFT(Entry!$C757,FIND(":",Entry!$C757)-1)),2)&amp;RIGHT("00"&amp;VALUE(MID(Entry!$C757,FIND(":",Entry!$C757)+1,2)),2),"0000"))))</f>
        <v/>
      </c>
      <c r="G754" t="str">
        <f>IF($A754="","",Entry!$G757)</f>
        <v/>
      </c>
      <c r="H754" t="str">
        <f>IF($A754="","",IF(Entry!$H757="",0,Entry!$H757))</f>
        <v/>
      </c>
      <c r="I754" t="str">
        <f>IF($A754="","",IF(Entry!$I757="",0,Entry!$I757))</f>
        <v/>
      </c>
      <c r="J754" t="str">
        <f t="shared" si="79"/>
        <v/>
      </c>
      <c r="K754" t="str">
        <f>IF($A754="","",Entry!$D757)</f>
        <v/>
      </c>
      <c r="L754" t="str">
        <f>IF($A754="","",Entry!$L757)</f>
        <v/>
      </c>
      <c r="N754" t="str">
        <f>IF(OR(Sync!$M754="",$Q754="",$Q754="نامعتبر"),"",Sync!$M754)</f>
        <v/>
      </c>
      <c r="O754" t="str">
        <f t="shared" si="80"/>
        <v/>
      </c>
      <c r="P754" t="str">
        <f>IF($N754="","",LEFT($Q754,4)&amp;MID($Q754,6,2)&amp;RIGHT($Q754,2)&amp;IF(Sync!$K754="","0000",IF(AND(ISNUMBER(Sync!$K754),Sync!$K754&gt;=0,Sync!$K754&lt;1),RIGHT("00"&amp;HOUR(Sync!$K754),2)&amp;RIGHT("00"&amp;MINUTE(Sync!$K754),2),IFERROR(RIGHT("00"&amp;VALUE(LEFT(Sync!$K754,FIND(":",Sync!$K754)-1)),2)&amp;RIGHT("00"&amp;VALUE(MID(Sync!$K754,FIND(":",Sync!$K754)+1,2)),2),"0000")))&amp;"|"&amp;"2"&amp;RIGHT("00000"&amp;749,5))</f>
        <v/>
      </c>
      <c r="Q754" t="str">
        <f>IF(Sync!$J754="","",IF(ISNUMBER(Sync!$J754),IF(AND(Sync!$J754&gt;=10000101,Sync!$J754&lt;=99991231),INT(Sync!$J754/10000)&amp;"/"&amp;RIGHT("00"&amp;INT(MOD(Sync!$J754,10000)/100),2)&amp;"/"&amp;RIGHT("00"&amp;MOD(Sync!$J754,100),2),"نامعتبر"),IF(LEN(Sync!$J754)=10,Sync!$J754,"نامعتبر")))</f>
        <v/>
      </c>
      <c r="R754" t="str">
        <f t="shared" si="81"/>
        <v/>
      </c>
      <c r="S754" t="str">
        <f t="shared" si="82"/>
        <v/>
      </c>
      <c r="T754" t="str">
        <f>IF($N754="","",IF(Sync!$N754="",0,Sync!$N754))</f>
        <v/>
      </c>
      <c r="U754" t="str">
        <f>IF($N754="","",IF(Sync!$O754="",0,Sync!$O754))</f>
        <v/>
      </c>
      <c r="V754" t="str">
        <f>IF($N754="","",Sync!$L754)</f>
        <v/>
      </c>
      <c r="W754" t="str">
        <f>IF($N754="","",Sync!$P754)</f>
        <v/>
      </c>
      <c r="AA754" t="str">
        <f>IF($A754="","",IF(COUNTIF($A$6:$A754,$A754)=1,1,0))</f>
        <v/>
      </c>
      <c r="AB754">
        <f>SUM($AA$6:$AA754)</f>
        <v>3</v>
      </c>
      <c r="AC754" t="str">
        <f t="shared" si="83"/>
        <v/>
      </c>
    </row>
    <row r="755" spans="1:29" x14ac:dyDescent="0.2">
      <c r="A755" t="str">
        <f>IF(OR(Entry!$B758="",Entry!$E758="",$E755="نامعتبر"),"",Entry!$E758)</f>
        <v/>
      </c>
      <c r="B755" t="str">
        <f>IF($A755="","",LEFT($E755,4)&amp;MID($E755,6,2)&amp;RIGHT($E755,2)&amp;$F755&amp;"|"&amp;"1"&amp;RIGHT("00000"&amp;750,5))</f>
        <v/>
      </c>
      <c r="C755" t="str">
        <f t="shared" si="77"/>
        <v/>
      </c>
      <c r="D755" t="str">
        <f t="shared" si="78"/>
        <v/>
      </c>
      <c r="E755" t="str">
        <f>IF(Entry!$B758="","",IF(ISNUMBER(Entry!$B758),IF(AND(Entry!$B758&gt;=10000101,Entry!$B758&lt;=99991231),INT(Entry!$B758/10000)&amp;"/"&amp;RIGHT("00"&amp;INT(MOD(Entry!$B758,10000)/100),2)&amp;"/"&amp;RIGHT("00"&amp;MOD(Entry!$B758,100),2),"نامعتبر"),IF(LEN(Entry!$B758)=10,Entry!$B758,"نامعتبر")))</f>
        <v/>
      </c>
      <c r="F755" t="str">
        <f>IF(Entry!$B758="","",IF(Entry!$C758="","0000",IF(AND(ISNUMBER(Entry!$C758),Entry!$C758&gt;=0,Entry!$C758&lt;1),RIGHT("00"&amp;HOUR(Entry!$C758),2)&amp;RIGHT("00"&amp;MINUTE(Entry!$C758),2),IFERROR(RIGHT("00"&amp;VALUE(LEFT(Entry!$C758,FIND(":",Entry!$C758)-1)),2)&amp;RIGHT("00"&amp;VALUE(MID(Entry!$C758,FIND(":",Entry!$C758)+1,2)),2),"0000"))))</f>
        <v/>
      </c>
      <c r="G755" t="str">
        <f>IF($A755="","",Entry!$G758)</f>
        <v/>
      </c>
      <c r="H755" t="str">
        <f>IF($A755="","",IF(Entry!$H758="",0,Entry!$H758))</f>
        <v/>
      </c>
      <c r="I755" t="str">
        <f>IF($A755="","",IF(Entry!$I758="",0,Entry!$I758))</f>
        <v/>
      </c>
      <c r="J755" t="str">
        <f t="shared" si="79"/>
        <v/>
      </c>
      <c r="K755" t="str">
        <f>IF($A755="","",Entry!$D758)</f>
        <v/>
      </c>
      <c r="L755" t="str">
        <f>IF($A755="","",Entry!$L758)</f>
        <v/>
      </c>
      <c r="N755" t="str">
        <f>IF(OR(Sync!$M755="",$Q755="",$Q755="نامعتبر"),"",Sync!$M755)</f>
        <v/>
      </c>
      <c r="O755" t="str">
        <f t="shared" si="80"/>
        <v/>
      </c>
      <c r="P755" t="str">
        <f>IF($N755="","",LEFT($Q755,4)&amp;MID($Q755,6,2)&amp;RIGHT($Q755,2)&amp;IF(Sync!$K755="","0000",IF(AND(ISNUMBER(Sync!$K755),Sync!$K755&gt;=0,Sync!$K755&lt;1),RIGHT("00"&amp;HOUR(Sync!$K755),2)&amp;RIGHT("00"&amp;MINUTE(Sync!$K755),2),IFERROR(RIGHT("00"&amp;VALUE(LEFT(Sync!$K755,FIND(":",Sync!$K755)-1)),2)&amp;RIGHT("00"&amp;VALUE(MID(Sync!$K755,FIND(":",Sync!$K755)+1,2)),2),"0000")))&amp;"|"&amp;"2"&amp;RIGHT("00000"&amp;750,5))</f>
        <v/>
      </c>
      <c r="Q755" t="str">
        <f>IF(Sync!$J755="","",IF(ISNUMBER(Sync!$J755),IF(AND(Sync!$J755&gt;=10000101,Sync!$J755&lt;=99991231),INT(Sync!$J755/10000)&amp;"/"&amp;RIGHT("00"&amp;INT(MOD(Sync!$J755,10000)/100),2)&amp;"/"&amp;RIGHT("00"&amp;MOD(Sync!$J755,100),2),"نامعتبر"),IF(LEN(Sync!$J755)=10,Sync!$J755,"نامعتبر")))</f>
        <v/>
      </c>
      <c r="R755" t="str">
        <f t="shared" si="81"/>
        <v/>
      </c>
      <c r="S755" t="str">
        <f t="shared" si="82"/>
        <v/>
      </c>
      <c r="T755" t="str">
        <f>IF($N755="","",IF(Sync!$N755="",0,Sync!$N755))</f>
        <v/>
      </c>
      <c r="U755" t="str">
        <f>IF($N755="","",IF(Sync!$O755="",0,Sync!$O755))</f>
        <v/>
      </c>
      <c r="V755" t="str">
        <f>IF($N755="","",Sync!$L755)</f>
        <v/>
      </c>
      <c r="W755" t="str">
        <f>IF($N755="","",Sync!$P755)</f>
        <v/>
      </c>
      <c r="AA755" t="str">
        <f>IF($A755="","",IF(COUNTIF($A$6:$A755,$A755)=1,1,0))</f>
        <v/>
      </c>
      <c r="AB755">
        <f>SUM($AA$6:$AA755)</f>
        <v>3</v>
      </c>
      <c r="AC755" t="str">
        <f t="shared" si="83"/>
        <v/>
      </c>
    </row>
    <row r="756" spans="1:29" x14ac:dyDescent="0.2">
      <c r="A756" t="str">
        <f>IF(OR(Entry!$B759="",Entry!$E759="",$E756="نامعتبر"),"",Entry!$E759)</f>
        <v/>
      </c>
      <c r="B756" t="str">
        <f>IF($A756="","",LEFT($E756,4)&amp;MID($E756,6,2)&amp;RIGHT($E756,2)&amp;$F756&amp;"|"&amp;"1"&amp;RIGHT("00000"&amp;751,5))</f>
        <v/>
      </c>
      <c r="C756" t="str">
        <f t="shared" si="77"/>
        <v/>
      </c>
      <c r="D756" t="str">
        <f t="shared" si="78"/>
        <v/>
      </c>
      <c r="E756" t="str">
        <f>IF(Entry!$B759="","",IF(ISNUMBER(Entry!$B759),IF(AND(Entry!$B759&gt;=10000101,Entry!$B759&lt;=99991231),INT(Entry!$B759/10000)&amp;"/"&amp;RIGHT("00"&amp;INT(MOD(Entry!$B759,10000)/100),2)&amp;"/"&amp;RIGHT("00"&amp;MOD(Entry!$B759,100),2),"نامعتبر"),IF(LEN(Entry!$B759)=10,Entry!$B759,"نامعتبر")))</f>
        <v/>
      </c>
      <c r="F756" t="str">
        <f>IF(Entry!$B759="","",IF(Entry!$C759="","0000",IF(AND(ISNUMBER(Entry!$C759),Entry!$C759&gt;=0,Entry!$C759&lt;1),RIGHT("00"&amp;HOUR(Entry!$C759),2)&amp;RIGHT("00"&amp;MINUTE(Entry!$C759),2),IFERROR(RIGHT("00"&amp;VALUE(LEFT(Entry!$C759,FIND(":",Entry!$C759)-1)),2)&amp;RIGHT("00"&amp;VALUE(MID(Entry!$C759,FIND(":",Entry!$C759)+1,2)),2),"0000"))))</f>
        <v/>
      </c>
      <c r="G756" t="str">
        <f>IF($A756="","",Entry!$G759)</f>
        <v/>
      </c>
      <c r="H756" t="str">
        <f>IF($A756="","",IF(Entry!$H759="",0,Entry!$H759))</f>
        <v/>
      </c>
      <c r="I756" t="str">
        <f>IF($A756="","",IF(Entry!$I759="",0,Entry!$I759))</f>
        <v/>
      </c>
      <c r="J756" t="str">
        <f t="shared" si="79"/>
        <v/>
      </c>
      <c r="K756" t="str">
        <f>IF($A756="","",Entry!$D759)</f>
        <v/>
      </c>
      <c r="L756" t="str">
        <f>IF($A756="","",Entry!$L759)</f>
        <v/>
      </c>
      <c r="N756" t="str">
        <f>IF(OR(Sync!$M756="",$Q756="",$Q756="نامعتبر"),"",Sync!$M756)</f>
        <v/>
      </c>
      <c r="O756" t="str">
        <f t="shared" si="80"/>
        <v/>
      </c>
      <c r="P756" t="str">
        <f>IF($N756="","",LEFT($Q756,4)&amp;MID($Q756,6,2)&amp;RIGHT($Q756,2)&amp;IF(Sync!$K756="","0000",IF(AND(ISNUMBER(Sync!$K756),Sync!$K756&gt;=0,Sync!$K756&lt;1),RIGHT("00"&amp;HOUR(Sync!$K756),2)&amp;RIGHT("00"&amp;MINUTE(Sync!$K756),2),IFERROR(RIGHT("00"&amp;VALUE(LEFT(Sync!$K756,FIND(":",Sync!$K756)-1)),2)&amp;RIGHT("00"&amp;VALUE(MID(Sync!$K756,FIND(":",Sync!$K756)+1,2)),2),"0000")))&amp;"|"&amp;"2"&amp;RIGHT("00000"&amp;751,5))</f>
        <v/>
      </c>
      <c r="Q756" t="str">
        <f>IF(Sync!$J756="","",IF(ISNUMBER(Sync!$J756),IF(AND(Sync!$J756&gt;=10000101,Sync!$J756&lt;=99991231),INT(Sync!$J756/10000)&amp;"/"&amp;RIGHT("00"&amp;INT(MOD(Sync!$J756,10000)/100),2)&amp;"/"&amp;RIGHT("00"&amp;MOD(Sync!$J756,100),2),"نامعتبر"),IF(LEN(Sync!$J756)=10,Sync!$J756,"نامعتبر")))</f>
        <v/>
      </c>
      <c r="R756" t="str">
        <f t="shared" si="81"/>
        <v/>
      </c>
      <c r="S756" t="str">
        <f t="shared" si="82"/>
        <v/>
      </c>
      <c r="T756" t="str">
        <f>IF($N756="","",IF(Sync!$N756="",0,Sync!$N756))</f>
        <v/>
      </c>
      <c r="U756" t="str">
        <f>IF($N756="","",IF(Sync!$O756="",0,Sync!$O756))</f>
        <v/>
      </c>
      <c r="V756" t="str">
        <f>IF($N756="","",Sync!$L756)</f>
        <v/>
      </c>
      <c r="W756" t="str">
        <f>IF($N756="","",Sync!$P756)</f>
        <v/>
      </c>
      <c r="AA756" t="str">
        <f>IF($A756="","",IF(COUNTIF($A$6:$A756,$A756)=1,1,0))</f>
        <v/>
      </c>
      <c r="AB756">
        <f>SUM($AA$6:$AA756)</f>
        <v>3</v>
      </c>
      <c r="AC756" t="str">
        <f t="shared" si="83"/>
        <v/>
      </c>
    </row>
    <row r="757" spans="1:29" x14ac:dyDescent="0.2">
      <c r="A757" t="str">
        <f>IF(OR(Entry!$B760="",Entry!$E760="",$E757="نامعتبر"),"",Entry!$E760)</f>
        <v/>
      </c>
      <c r="B757" t="str">
        <f>IF($A757="","",LEFT($E757,4)&amp;MID($E757,6,2)&amp;RIGHT($E757,2)&amp;$F757&amp;"|"&amp;"1"&amp;RIGHT("00000"&amp;752,5))</f>
        <v/>
      </c>
      <c r="C757" t="str">
        <f t="shared" si="77"/>
        <v/>
      </c>
      <c r="D757" t="str">
        <f t="shared" si="78"/>
        <v/>
      </c>
      <c r="E757" t="str">
        <f>IF(Entry!$B760="","",IF(ISNUMBER(Entry!$B760),IF(AND(Entry!$B760&gt;=10000101,Entry!$B760&lt;=99991231),INT(Entry!$B760/10000)&amp;"/"&amp;RIGHT("00"&amp;INT(MOD(Entry!$B760,10000)/100),2)&amp;"/"&amp;RIGHT("00"&amp;MOD(Entry!$B760,100),2),"نامعتبر"),IF(LEN(Entry!$B760)=10,Entry!$B760,"نامعتبر")))</f>
        <v/>
      </c>
      <c r="F757" t="str">
        <f>IF(Entry!$B760="","",IF(Entry!$C760="","0000",IF(AND(ISNUMBER(Entry!$C760),Entry!$C760&gt;=0,Entry!$C760&lt;1),RIGHT("00"&amp;HOUR(Entry!$C760),2)&amp;RIGHT("00"&amp;MINUTE(Entry!$C760),2),IFERROR(RIGHT("00"&amp;VALUE(LEFT(Entry!$C760,FIND(":",Entry!$C760)-1)),2)&amp;RIGHT("00"&amp;VALUE(MID(Entry!$C760,FIND(":",Entry!$C760)+1,2)),2),"0000"))))</f>
        <v/>
      </c>
      <c r="G757" t="str">
        <f>IF($A757="","",Entry!$G760)</f>
        <v/>
      </c>
      <c r="H757" t="str">
        <f>IF($A757="","",IF(Entry!$H760="",0,Entry!$H760))</f>
        <v/>
      </c>
      <c r="I757" t="str">
        <f>IF($A757="","",IF(Entry!$I760="",0,Entry!$I760))</f>
        <v/>
      </c>
      <c r="J757" t="str">
        <f t="shared" si="79"/>
        <v/>
      </c>
      <c r="K757" t="str">
        <f>IF($A757="","",Entry!$D760)</f>
        <v/>
      </c>
      <c r="L757" t="str">
        <f>IF($A757="","",Entry!$L760)</f>
        <v/>
      </c>
      <c r="N757" t="str">
        <f>IF(OR(Sync!$M757="",$Q757="",$Q757="نامعتبر"),"",Sync!$M757)</f>
        <v/>
      </c>
      <c r="O757" t="str">
        <f t="shared" si="80"/>
        <v/>
      </c>
      <c r="P757" t="str">
        <f>IF($N757="","",LEFT($Q757,4)&amp;MID($Q757,6,2)&amp;RIGHT($Q757,2)&amp;IF(Sync!$K757="","0000",IF(AND(ISNUMBER(Sync!$K757),Sync!$K757&gt;=0,Sync!$K757&lt;1),RIGHT("00"&amp;HOUR(Sync!$K757),2)&amp;RIGHT("00"&amp;MINUTE(Sync!$K757),2),IFERROR(RIGHT("00"&amp;VALUE(LEFT(Sync!$K757,FIND(":",Sync!$K757)-1)),2)&amp;RIGHT("00"&amp;VALUE(MID(Sync!$K757,FIND(":",Sync!$K757)+1,2)),2),"0000")))&amp;"|"&amp;"2"&amp;RIGHT("00000"&amp;752,5))</f>
        <v/>
      </c>
      <c r="Q757" t="str">
        <f>IF(Sync!$J757="","",IF(ISNUMBER(Sync!$J757),IF(AND(Sync!$J757&gt;=10000101,Sync!$J757&lt;=99991231),INT(Sync!$J757/10000)&amp;"/"&amp;RIGHT("00"&amp;INT(MOD(Sync!$J757,10000)/100),2)&amp;"/"&amp;RIGHT("00"&amp;MOD(Sync!$J757,100),2),"نامعتبر"),IF(LEN(Sync!$J757)=10,Sync!$J757,"نامعتبر")))</f>
        <v/>
      </c>
      <c r="R757" t="str">
        <f t="shared" si="81"/>
        <v/>
      </c>
      <c r="S757" t="str">
        <f t="shared" si="82"/>
        <v/>
      </c>
      <c r="T757" t="str">
        <f>IF($N757="","",IF(Sync!$N757="",0,Sync!$N757))</f>
        <v/>
      </c>
      <c r="U757" t="str">
        <f>IF($N757="","",IF(Sync!$O757="",0,Sync!$O757))</f>
        <v/>
      </c>
      <c r="V757" t="str">
        <f>IF($N757="","",Sync!$L757)</f>
        <v/>
      </c>
      <c r="W757" t="str">
        <f>IF($N757="","",Sync!$P757)</f>
        <v/>
      </c>
      <c r="AA757" t="str">
        <f>IF($A757="","",IF(COUNTIF($A$6:$A757,$A757)=1,1,0))</f>
        <v/>
      </c>
      <c r="AB757">
        <f>SUM($AA$6:$AA757)</f>
        <v>3</v>
      </c>
      <c r="AC757" t="str">
        <f t="shared" si="83"/>
        <v/>
      </c>
    </row>
    <row r="758" spans="1:29" x14ac:dyDescent="0.2">
      <c r="A758" t="str">
        <f>IF(OR(Entry!$B761="",Entry!$E761="",$E758="نامعتبر"),"",Entry!$E761)</f>
        <v/>
      </c>
      <c r="B758" t="str">
        <f>IF($A758="","",LEFT($E758,4)&amp;MID($E758,6,2)&amp;RIGHT($E758,2)&amp;$F758&amp;"|"&amp;"1"&amp;RIGHT("00000"&amp;753,5))</f>
        <v/>
      </c>
      <c r="C758" t="str">
        <f t="shared" si="77"/>
        <v/>
      </c>
      <c r="D758" t="str">
        <f t="shared" si="78"/>
        <v/>
      </c>
      <c r="E758" t="str">
        <f>IF(Entry!$B761="","",IF(ISNUMBER(Entry!$B761),IF(AND(Entry!$B761&gt;=10000101,Entry!$B761&lt;=99991231),INT(Entry!$B761/10000)&amp;"/"&amp;RIGHT("00"&amp;INT(MOD(Entry!$B761,10000)/100),2)&amp;"/"&amp;RIGHT("00"&amp;MOD(Entry!$B761,100),2),"نامعتبر"),IF(LEN(Entry!$B761)=10,Entry!$B761,"نامعتبر")))</f>
        <v/>
      </c>
      <c r="F758" t="str">
        <f>IF(Entry!$B761="","",IF(Entry!$C761="","0000",IF(AND(ISNUMBER(Entry!$C761),Entry!$C761&gt;=0,Entry!$C761&lt;1),RIGHT("00"&amp;HOUR(Entry!$C761),2)&amp;RIGHT("00"&amp;MINUTE(Entry!$C761),2),IFERROR(RIGHT("00"&amp;VALUE(LEFT(Entry!$C761,FIND(":",Entry!$C761)-1)),2)&amp;RIGHT("00"&amp;VALUE(MID(Entry!$C761,FIND(":",Entry!$C761)+1,2)),2),"0000"))))</f>
        <v/>
      </c>
      <c r="G758" t="str">
        <f>IF($A758="","",Entry!$G761)</f>
        <v/>
      </c>
      <c r="H758" t="str">
        <f>IF($A758="","",IF(Entry!$H761="",0,Entry!$H761))</f>
        <v/>
      </c>
      <c r="I758" t="str">
        <f>IF($A758="","",IF(Entry!$I761="",0,Entry!$I761))</f>
        <v/>
      </c>
      <c r="J758" t="str">
        <f t="shared" si="79"/>
        <v/>
      </c>
      <c r="K758" t="str">
        <f>IF($A758="","",Entry!$D761)</f>
        <v/>
      </c>
      <c r="L758" t="str">
        <f>IF($A758="","",Entry!$L761)</f>
        <v/>
      </c>
      <c r="N758" t="str">
        <f>IF(OR(Sync!$M758="",$Q758="",$Q758="نامعتبر"),"",Sync!$M758)</f>
        <v/>
      </c>
      <c r="O758" t="str">
        <f t="shared" si="80"/>
        <v/>
      </c>
      <c r="P758" t="str">
        <f>IF($N758="","",LEFT($Q758,4)&amp;MID($Q758,6,2)&amp;RIGHT($Q758,2)&amp;IF(Sync!$K758="","0000",IF(AND(ISNUMBER(Sync!$K758),Sync!$K758&gt;=0,Sync!$K758&lt;1),RIGHT("00"&amp;HOUR(Sync!$K758),2)&amp;RIGHT("00"&amp;MINUTE(Sync!$K758),2),IFERROR(RIGHT("00"&amp;VALUE(LEFT(Sync!$K758,FIND(":",Sync!$K758)-1)),2)&amp;RIGHT("00"&amp;VALUE(MID(Sync!$K758,FIND(":",Sync!$K758)+1,2)),2),"0000")))&amp;"|"&amp;"2"&amp;RIGHT("00000"&amp;753,5))</f>
        <v/>
      </c>
      <c r="Q758" t="str">
        <f>IF(Sync!$J758="","",IF(ISNUMBER(Sync!$J758),IF(AND(Sync!$J758&gt;=10000101,Sync!$J758&lt;=99991231),INT(Sync!$J758/10000)&amp;"/"&amp;RIGHT("00"&amp;INT(MOD(Sync!$J758,10000)/100),2)&amp;"/"&amp;RIGHT("00"&amp;MOD(Sync!$J758,100),2),"نامعتبر"),IF(LEN(Sync!$J758)=10,Sync!$J758,"نامعتبر")))</f>
        <v/>
      </c>
      <c r="R758" t="str">
        <f t="shared" si="81"/>
        <v/>
      </c>
      <c r="S758" t="str">
        <f t="shared" si="82"/>
        <v/>
      </c>
      <c r="T758" t="str">
        <f>IF($N758="","",IF(Sync!$N758="",0,Sync!$N758))</f>
        <v/>
      </c>
      <c r="U758" t="str">
        <f>IF($N758="","",IF(Sync!$O758="",0,Sync!$O758))</f>
        <v/>
      </c>
      <c r="V758" t="str">
        <f>IF($N758="","",Sync!$L758)</f>
        <v/>
      </c>
      <c r="W758" t="str">
        <f>IF($N758="","",Sync!$P758)</f>
        <v/>
      </c>
      <c r="AA758" t="str">
        <f>IF($A758="","",IF(COUNTIF($A$6:$A758,$A758)=1,1,0))</f>
        <v/>
      </c>
      <c r="AB758">
        <f>SUM($AA$6:$AA758)</f>
        <v>3</v>
      </c>
      <c r="AC758" t="str">
        <f t="shared" si="83"/>
        <v/>
      </c>
    </row>
    <row r="759" spans="1:29" x14ac:dyDescent="0.2">
      <c r="A759" t="str">
        <f>IF(OR(Entry!$B762="",Entry!$E762="",$E759="نامعتبر"),"",Entry!$E762)</f>
        <v/>
      </c>
      <c r="B759" t="str">
        <f>IF($A759="","",LEFT($E759,4)&amp;MID($E759,6,2)&amp;RIGHT($E759,2)&amp;$F759&amp;"|"&amp;"1"&amp;RIGHT("00000"&amp;754,5))</f>
        <v/>
      </c>
      <c r="C759" t="str">
        <f t="shared" si="77"/>
        <v/>
      </c>
      <c r="D759" t="str">
        <f t="shared" si="78"/>
        <v/>
      </c>
      <c r="E759" t="str">
        <f>IF(Entry!$B762="","",IF(ISNUMBER(Entry!$B762),IF(AND(Entry!$B762&gt;=10000101,Entry!$B762&lt;=99991231),INT(Entry!$B762/10000)&amp;"/"&amp;RIGHT("00"&amp;INT(MOD(Entry!$B762,10000)/100),2)&amp;"/"&amp;RIGHT("00"&amp;MOD(Entry!$B762,100),2),"نامعتبر"),IF(LEN(Entry!$B762)=10,Entry!$B762,"نامعتبر")))</f>
        <v/>
      </c>
      <c r="F759" t="str">
        <f>IF(Entry!$B762="","",IF(Entry!$C762="","0000",IF(AND(ISNUMBER(Entry!$C762),Entry!$C762&gt;=0,Entry!$C762&lt;1),RIGHT("00"&amp;HOUR(Entry!$C762),2)&amp;RIGHT("00"&amp;MINUTE(Entry!$C762),2),IFERROR(RIGHT("00"&amp;VALUE(LEFT(Entry!$C762,FIND(":",Entry!$C762)-1)),2)&amp;RIGHT("00"&amp;VALUE(MID(Entry!$C762,FIND(":",Entry!$C762)+1,2)),2),"0000"))))</f>
        <v/>
      </c>
      <c r="G759" t="str">
        <f>IF($A759="","",Entry!$G762)</f>
        <v/>
      </c>
      <c r="H759" t="str">
        <f>IF($A759="","",IF(Entry!$H762="",0,Entry!$H762))</f>
        <v/>
      </c>
      <c r="I759" t="str">
        <f>IF($A759="","",IF(Entry!$I762="",0,Entry!$I762))</f>
        <v/>
      </c>
      <c r="J759" t="str">
        <f t="shared" si="79"/>
        <v/>
      </c>
      <c r="K759" t="str">
        <f>IF($A759="","",Entry!$D762)</f>
        <v/>
      </c>
      <c r="L759" t="str">
        <f>IF($A759="","",Entry!$L762)</f>
        <v/>
      </c>
      <c r="N759" t="str">
        <f>IF(OR(Sync!$M759="",$Q759="",$Q759="نامعتبر"),"",Sync!$M759)</f>
        <v/>
      </c>
      <c r="O759" t="str">
        <f t="shared" si="80"/>
        <v/>
      </c>
      <c r="P759" t="str">
        <f>IF($N759="","",LEFT($Q759,4)&amp;MID($Q759,6,2)&amp;RIGHT($Q759,2)&amp;IF(Sync!$K759="","0000",IF(AND(ISNUMBER(Sync!$K759),Sync!$K759&gt;=0,Sync!$K759&lt;1),RIGHT("00"&amp;HOUR(Sync!$K759),2)&amp;RIGHT("00"&amp;MINUTE(Sync!$K759),2),IFERROR(RIGHT("00"&amp;VALUE(LEFT(Sync!$K759,FIND(":",Sync!$K759)-1)),2)&amp;RIGHT("00"&amp;VALUE(MID(Sync!$K759,FIND(":",Sync!$K759)+1,2)),2),"0000")))&amp;"|"&amp;"2"&amp;RIGHT("00000"&amp;754,5))</f>
        <v/>
      </c>
      <c r="Q759" t="str">
        <f>IF(Sync!$J759="","",IF(ISNUMBER(Sync!$J759),IF(AND(Sync!$J759&gt;=10000101,Sync!$J759&lt;=99991231),INT(Sync!$J759/10000)&amp;"/"&amp;RIGHT("00"&amp;INT(MOD(Sync!$J759,10000)/100),2)&amp;"/"&amp;RIGHT("00"&amp;MOD(Sync!$J759,100),2),"نامعتبر"),IF(LEN(Sync!$J759)=10,Sync!$J759,"نامعتبر")))</f>
        <v/>
      </c>
      <c r="R759" t="str">
        <f t="shared" si="81"/>
        <v/>
      </c>
      <c r="S759" t="str">
        <f t="shared" si="82"/>
        <v/>
      </c>
      <c r="T759" t="str">
        <f>IF($N759="","",IF(Sync!$N759="",0,Sync!$N759))</f>
        <v/>
      </c>
      <c r="U759" t="str">
        <f>IF($N759="","",IF(Sync!$O759="",0,Sync!$O759))</f>
        <v/>
      </c>
      <c r="V759" t="str">
        <f>IF($N759="","",Sync!$L759)</f>
        <v/>
      </c>
      <c r="W759" t="str">
        <f>IF($N759="","",Sync!$P759)</f>
        <v/>
      </c>
      <c r="AA759" t="str">
        <f>IF($A759="","",IF(COUNTIF($A$6:$A759,$A759)=1,1,0))</f>
        <v/>
      </c>
      <c r="AB759">
        <f>SUM($AA$6:$AA759)</f>
        <v>3</v>
      </c>
      <c r="AC759" t="str">
        <f t="shared" si="83"/>
        <v/>
      </c>
    </row>
    <row r="760" spans="1:29" x14ac:dyDescent="0.2">
      <c r="A760" t="str">
        <f>IF(OR(Entry!$B763="",Entry!$E763="",$E760="نامعتبر"),"",Entry!$E763)</f>
        <v/>
      </c>
      <c r="B760" t="str">
        <f>IF($A760="","",LEFT($E760,4)&amp;MID($E760,6,2)&amp;RIGHT($E760,2)&amp;$F760&amp;"|"&amp;"1"&amp;RIGHT("00000"&amp;755,5))</f>
        <v/>
      </c>
      <c r="C760" t="str">
        <f t="shared" si="77"/>
        <v/>
      </c>
      <c r="D760" t="str">
        <f t="shared" si="78"/>
        <v/>
      </c>
      <c r="E760" t="str">
        <f>IF(Entry!$B763="","",IF(ISNUMBER(Entry!$B763),IF(AND(Entry!$B763&gt;=10000101,Entry!$B763&lt;=99991231),INT(Entry!$B763/10000)&amp;"/"&amp;RIGHT("00"&amp;INT(MOD(Entry!$B763,10000)/100),2)&amp;"/"&amp;RIGHT("00"&amp;MOD(Entry!$B763,100),2),"نامعتبر"),IF(LEN(Entry!$B763)=10,Entry!$B763,"نامعتبر")))</f>
        <v/>
      </c>
      <c r="F760" t="str">
        <f>IF(Entry!$B763="","",IF(Entry!$C763="","0000",IF(AND(ISNUMBER(Entry!$C763),Entry!$C763&gt;=0,Entry!$C763&lt;1),RIGHT("00"&amp;HOUR(Entry!$C763),2)&amp;RIGHT("00"&amp;MINUTE(Entry!$C763),2),IFERROR(RIGHT("00"&amp;VALUE(LEFT(Entry!$C763,FIND(":",Entry!$C763)-1)),2)&amp;RIGHT("00"&amp;VALUE(MID(Entry!$C763,FIND(":",Entry!$C763)+1,2)),2),"0000"))))</f>
        <v/>
      </c>
      <c r="G760" t="str">
        <f>IF($A760="","",Entry!$G763)</f>
        <v/>
      </c>
      <c r="H760" t="str">
        <f>IF($A760="","",IF(Entry!$H763="",0,Entry!$H763))</f>
        <v/>
      </c>
      <c r="I760" t="str">
        <f>IF($A760="","",IF(Entry!$I763="",0,Entry!$I763))</f>
        <v/>
      </c>
      <c r="J760" t="str">
        <f t="shared" si="79"/>
        <v/>
      </c>
      <c r="K760" t="str">
        <f>IF($A760="","",Entry!$D763)</f>
        <v/>
      </c>
      <c r="L760" t="str">
        <f>IF($A760="","",Entry!$L763)</f>
        <v/>
      </c>
      <c r="N760" t="str">
        <f>IF(OR(Sync!$M760="",$Q760="",$Q760="نامعتبر"),"",Sync!$M760)</f>
        <v/>
      </c>
      <c r="O760" t="str">
        <f t="shared" si="80"/>
        <v/>
      </c>
      <c r="P760" t="str">
        <f>IF($N760="","",LEFT($Q760,4)&amp;MID($Q760,6,2)&amp;RIGHT($Q760,2)&amp;IF(Sync!$K760="","0000",IF(AND(ISNUMBER(Sync!$K760),Sync!$K760&gt;=0,Sync!$K760&lt;1),RIGHT("00"&amp;HOUR(Sync!$K760),2)&amp;RIGHT("00"&amp;MINUTE(Sync!$K760),2),IFERROR(RIGHT("00"&amp;VALUE(LEFT(Sync!$K760,FIND(":",Sync!$K760)-1)),2)&amp;RIGHT("00"&amp;VALUE(MID(Sync!$K760,FIND(":",Sync!$K760)+1,2)),2),"0000")))&amp;"|"&amp;"2"&amp;RIGHT("00000"&amp;755,5))</f>
        <v/>
      </c>
      <c r="Q760" t="str">
        <f>IF(Sync!$J760="","",IF(ISNUMBER(Sync!$J760),IF(AND(Sync!$J760&gt;=10000101,Sync!$J760&lt;=99991231),INT(Sync!$J760/10000)&amp;"/"&amp;RIGHT("00"&amp;INT(MOD(Sync!$J760,10000)/100),2)&amp;"/"&amp;RIGHT("00"&amp;MOD(Sync!$J760,100),2),"نامعتبر"),IF(LEN(Sync!$J760)=10,Sync!$J760,"نامعتبر")))</f>
        <v/>
      </c>
      <c r="R760" t="str">
        <f t="shared" si="81"/>
        <v/>
      </c>
      <c r="S760" t="str">
        <f t="shared" si="82"/>
        <v/>
      </c>
      <c r="T760" t="str">
        <f>IF($N760="","",IF(Sync!$N760="",0,Sync!$N760))</f>
        <v/>
      </c>
      <c r="U760" t="str">
        <f>IF($N760="","",IF(Sync!$O760="",0,Sync!$O760))</f>
        <v/>
      </c>
      <c r="V760" t="str">
        <f>IF($N760="","",Sync!$L760)</f>
        <v/>
      </c>
      <c r="W760" t="str">
        <f>IF($N760="","",Sync!$P760)</f>
        <v/>
      </c>
      <c r="AA760" t="str">
        <f>IF($A760="","",IF(COUNTIF($A$6:$A760,$A760)=1,1,0))</f>
        <v/>
      </c>
      <c r="AB760">
        <f>SUM($AA$6:$AA760)</f>
        <v>3</v>
      </c>
      <c r="AC760" t="str">
        <f t="shared" si="83"/>
        <v/>
      </c>
    </row>
    <row r="761" spans="1:29" x14ac:dyDescent="0.2">
      <c r="A761" t="str">
        <f>IF(OR(Entry!$B764="",Entry!$E764="",$E761="نامعتبر"),"",Entry!$E764)</f>
        <v/>
      </c>
      <c r="B761" t="str">
        <f>IF($A761="","",LEFT($E761,4)&amp;MID($E761,6,2)&amp;RIGHT($E761,2)&amp;$F761&amp;"|"&amp;"1"&amp;RIGHT("00000"&amp;756,5))</f>
        <v/>
      </c>
      <c r="C761" t="str">
        <f t="shared" si="77"/>
        <v/>
      </c>
      <c r="D761" t="str">
        <f t="shared" si="78"/>
        <v/>
      </c>
      <c r="E761" t="str">
        <f>IF(Entry!$B764="","",IF(ISNUMBER(Entry!$B764),IF(AND(Entry!$B764&gt;=10000101,Entry!$B764&lt;=99991231),INT(Entry!$B764/10000)&amp;"/"&amp;RIGHT("00"&amp;INT(MOD(Entry!$B764,10000)/100),2)&amp;"/"&amp;RIGHT("00"&amp;MOD(Entry!$B764,100),2),"نامعتبر"),IF(LEN(Entry!$B764)=10,Entry!$B764,"نامعتبر")))</f>
        <v/>
      </c>
      <c r="F761" t="str">
        <f>IF(Entry!$B764="","",IF(Entry!$C764="","0000",IF(AND(ISNUMBER(Entry!$C764),Entry!$C764&gt;=0,Entry!$C764&lt;1),RIGHT("00"&amp;HOUR(Entry!$C764),2)&amp;RIGHT("00"&amp;MINUTE(Entry!$C764),2),IFERROR(RIGHT("00"&amp;VALUE(LEFT(Entry!$C764,FIND(":",Entry!$C764)-1)),2)&amp;RIGHT("00"&amp;VALUE(MID(Entry!$C764,FIND(":",Entry!$C764)+1,2)),2),"0000"))))</f>
        <v/>
      </c>
      <c r="G761" t="str">
        <f>IF($A761="","",Entry!$G764)</f>
        <v/>
      </c>
      <c r="H761" t="str">
        <f>IF($A761="","",IF(Entry!$H764="",0,Entry!$H764))</f>
        <v/>
      </c>
      <c r="I761" t="str">
        <f>IF($A761="","",IF(Entry!$I764="",0,Entry!$I764))</f>
        <v/>
      </c>
      <c r="J761" t="str">
        <f t="shared" si="79"/>
        <v/>
      </c>
      <c r="K761" t="str">
        <f>IF($A761="","",Entry!$D764)</f>
        <v/>
      </c>
      <c r="L761" t="str">
        <f>IF($A761="","",Entry!$L764)</f>
        <v/>
      </c>
      <c r="N761" t="str">
        <f>IF(OR(Sync!$M761="",$Q761="",$Q761="نامعتبر"),"",Sync!$M761)</f>
        <v/>
      </c>
      <c r="O761" t="str">
        <f t="shared" si="80"/>
        <v/>
      </c>
      <c r="P761" t="str">
        <f>IF($N761="","",LEFT($Q761,4)&amp;MID($Q761,6,2)&amp;RIGHT($Q761,2)&amp;IF(Sync!$K761="","0000",IF(AND(ISNUMBER(Sync!$K761),Sync!$K761&gt;=0,Sync!$K761&lt;1),RIGHT("00"&amp;HOUR(Sync!$K761),2)&amp;RIGHT("00"&amp;MINUTE(Sync!$K761),2),IFERROR(RIGHT("00"&amp;VALUE(LEFT(Sync!$K761,FIND(":",Sync!$K761)-1)),2)&amp;RIGHT("00"&amp;VALUE(MID(Sync!$K761,FIND(":",Sync!$K761)+1,2)),2),"0000")))&amp;"|"&amp;"2"&amp;RIGHT("00000"&amp;756,5))</f>
        <v/>
      </c>
      <c r="Q761" t="str">
        <f>IF(Sync!$J761="","",IF(ISNUMBER(Sync!$J761),IF(AND(Sync!$J761&gt;=10000101,Sync!$J761&lt;=99991231),INT(Sync!$J761/10000)&amp;"/"&amp;RIGHT("00"&amp;INT(MOD(Sync!$J761,10000)/100),2)&amp;"/"&amp;RIGHT("00"&amp;MOD(Sync!$J761,100),2),"نامعتبر"),IF(LEN(Sync!$J761)=10,Sync!$J761,"نامعتبر")))</f>
        <v/>
      </c>
      <c r="R761" t="str">
        <f t="shared" si="81"/>
        <v/>
      </c>
      <c r="S761" t="str">
        <f t="shared" si="82"/>
        <v/>
      </c>
      <c r="T761" t="str">
        <f>IF($N761="","",IF(Sync!$N761="",0,Sync!$N761))</f>
        <v/>
      </c>
      <c r="U761" t="str">
        <f>IF($N761="","",IF(Sync!$O761="",0,Sync!$O761))</f>
        <v/>
      </c>
      <c r="V761" t="str">
        <f>IF($N761="","",Sync!$L761)</f>
        <v/>
      </c>
      <c r="W761" t="str">
        <f>IF($N761="","",Sync!$P761)</f>
        <v/>
      </c>
      <c r="AA761" t="str">
        <f>IF($A761="","",IF(COUNTIF($A$6:$A761,$A761)=1,1,0))</f>
        <v/>
      </c>
      <c r="AB761">
        <f>SUM($AA$6:$AA761)</f>
        <v>3</v>
      </c>
      <c r="AC761" t="str">
        <f t="shared" si="83"/>
        <v/>
      </c>
    </row>
    <row r="762" spans="1:29" x14ac:dyDescent="0.2">
      <c r="A762" t="str">
        <f>IF(OR(Entry!$B765="",Entry!$E765="",$E762="نامعتبر"),"",Entry!$E765)</f>
        <v/>
      </c>
      <c r="B762" t="str">
        <f>IF($A762="","",LEFT($E762,4)&amp;MID($E762,6,2)&amp;RIGHT($E762,2)&amp;$F762&amp;"|"&amp;"1"&amp;RIGHT("00000"&amp;757,5))</f>
        <v/>
      </c>
      <c r="C762" t="str">
        <f t="shared" si="77"/>
        <v/>
      </c>
      <c r="D762" t="str">
        <f t="shared" si="78"/>
        <v/>
      </c>
      <c r="E762" t="str">
        <f>IF(Entry!$B765="","",IF(ISNUMBER(Entry!$B765),IF(AND(Entry!$B765&gt;=10000101,Entry!$B765&lt;=99991231),INT(Entry!$B765/10000)&amp;"/"&amp;RIGHT("00"&amp;INT(MOD(Entry!$B765,10000)/100),2)&amp;"/"&amp;RIGHT("00"&amp;MOD(Entry!$B765,100),2),"نامعتبر"),IF(LEN(Entry!$B765)=10,Entry!$B765,"نامعتبر")))</f>
        <v/>
      </c>
      <c r="F762" t="str">
        <f>IF(Entry!$B765="","",IF(Entry!$C765="","0000",IF(AND(ISNUMBER(Entry!$C765),Entry!$C765&gt;=0,Entry!$C765&lt;1),RIGHT("00"&amp;HOUR(Entry!$C765),2)&amp;RIGHT("00"&amp;MINUTE(Entry!$C765),2),IFERROR(RIGHT("00"&amp;VALUE(LEFT(Entry!$C765,FIND(":",Entry!$C765)-1)),2)&amp;RIGHT("00"&amp;VALUE(MID(Entry!$C765,FIND(":",Entry!$C765)+1,2)),2),"0000"))))</f>
        <v/>
      </c>
      <c r="G762" t="str">
        <f>IF($A762="","",Entry!$G765)</f>
        <v/>
      </c>
      <c r="H762" t="str">
        <f>IF($A762="","",IF(Entry!$H765="",0,Entry!$H765))</f>
        <v/>
      </c>
      <c r="I762" t="str">
        <f>IF($A762="","",IF(Entry!$I765="",0,Entry!$I765))</f>
        <v/>
      </c>
      <c r="J762" t="str">
        <f t="shared" si="79"/>
        <v/>
      </c>
      <c r="K762" t="str">
        <f>IF($A762="","",Entry!$D765)</f>
        <v/>
      </c>
      <c r="L762" t="str">
        <f>IF($A762="","",Entry!$L765)</f>
        <v/>
      </c>
      <c r="N762" t="str">
        <f>IF(OR(Sync!$M762="",$Q762="",$Q762="نامعتبر"),"",Sync!$M762)</f>
        <v/>
      </c>
      <c r="O762" t="str">
        <f t="shared" si="80"/>
        <v/>
      </c>
      <c r="P762" t="str">
        <f>IF($N762="","",LEFT($Q762,4)&amp;MID($Q762,6,2)&amp;RIGHT($Q762,2)&amp;IF(Sync!$K762="","0000",IF(AND(ISNUMBER(Sync!$K762),Sync!$K762&gt;=0,Sync!$K762&lt;1),RIGHT("00"&amp;HOUR(Sync!$K762),2)&amp;RIGHT("00"&amp;MINUTE(Sync!$K762),2),IFERROR(RIGHT("00"&amp;VALUE(LEFT(Sync!$K762,FIND(":",Sync!$K762)-1)),2)&amp;RIGHT("00"&amp;VALUE(MID(Sync!$K762,FIND(":",Sync!$K762)+1,2)),2),"0000")))&amp;"|"&amp;"2"&amp;RIGHT("00000"&amp;757,5))</f>
        <v/>
      </c>
      <c r="Q762" t="str">
        <f>IF(Sync!$J762="","",IF(ISNUMBER(Sync!$J762),IF(AND(Sync!$J762&gt;=10000101,Sync!$J762&lt;=99991231),INT(Sync!$J762/10000)&amp;"/"&amp;RIGHT("00"&amp;INT(MOD(Sync!$J762,10000)/100),2)&amp;"/"&amp;RIGHT("00"&amp;MOD(Sync!$J762,100),2),"نامعتبر"),IF(LEN(Sync!$J762)=10,Sync!$J762,"نامعتبر")))</f>
        <v/>
      </c>
      <c r="R762" t="str">
        <f t="shared" si="81"/>
        <v/>
      </c>
      <c r="S762" t="str">
        <f t="shared" si="82"/>
        <v/>
      </c>
      <c r="T762" t="str">
        <f>IF($N762="","",IF(Sync!$N762="",0,Sync!$N762))</f>
        <v/>
      </c>
      <c r="U762" t="str">
        <f>IF($N762="","",IF(Sync!$O762="",0,Sync!$O762))</f>
        <v/>
      </c>
      <c r="V762" t="str">
        <f>IF($N762="","",Sync!$L762)</f>
        <v/>
      </c>
      <c r="W762" t="str">
        <f>IF($N762="","",Sync!$P762)</f>
        <v/>
      </c>
      <c r="AA762" t="str">
        <f>IF($A762="","",IF(COUNTIF($A$6:$A762,$A762)=1,1,0))</f>
        <v/>
      </c>
      <c r="AB762">
        <f>SUM($AA$6:$AA762)</f>
        <v>3</v>
      </c>
      <c r="AC762" t="str">
        <f t="shared" si="83"/>
        <v/>
      </c>
    </row>
    <row r="763" spans="1:29" x14ac:dyDescent="0.2">
      <c r="A763" t="str">
        <f>IF(OR(Entry!$B766="",Entry!$E766="",$E763="نامعتبر"),"",Entry!$E766)</f>
        <v/>
      </c>
      <c r="B763" t="str">
        <f>IF($A763="","",LEFT($E763,4)&amp;MID($E763,6,2)&amp;RIGHT($E763,2)&amp;$F763&amp;"|"&amp;"1"&amp;RIGHT("00000"&amp;758,5))</f>
        <v/>
      </c>
      <c r="C763" t="str">
        <f t="shared" si="77"/>
        <v/>
      </c>
      <c r="D763" t="str">
        <f t="shared" si="78"/>
        <v/>
      </c>
      <c r="E763" t="str">
        <f>IF(Entry!$B766="","",IF(ISNUMBER(Entry!$B766),IF(AND(Entry!$B766&gt;=10000101,Entry!$B766&lt;=99991231),INT(Entry!$B766/10000)&amp;"/"&amp;RIGHT("00"&amp;INT(MOD(Entry!$B766,10000)/100),2)&amp;"/"&amp;RIGHT("00"&amp;MOD(Entry!$B766,100),2),"نامعتبر"),IF(LEN(Entry!$B766)=10,Entry!$B766,"نامعتبر")))</f>
        <v/>
      </c>
      <c r="F763" t="str">
        <f>IF(Entry!$B766="","",IF(Entry!$C766="","0000",IF(AND(ISNUMBER(Entry!$C766),Entry!$C766&gt;=0,Entry!$C766&lt;1),RIGHT("00"&amp;HOUR(Entry!$C766),2)&amp;RIGHT("00"&amp;MINUTE(Entry!$C766),2),IFERROR(RIGHT("00"&amp;VALUE(LEFT(Entry!$C766,FIND(":",Entry!$C766)-1)),2)&amp;RIGHT("00"&amp;VALUE(MID(Entry!$C766,FIND(":",Entry!$C766)+1,2)),2),"0000"))))</f>
        <v/>
      </c>
      <c r="G763" t="str">
        <f>IF($A763="","",Entry!$G766)</f>
        <v/>
      </c>
      <c r="H763" t="str">
        <f>IF($A763="","",IF(Entry!$H766="",0,Entry!$H766))</f>
        <v/>
      </c>
      <c r="I763" t="str">
        <f>IF($A763="","",IF(Entry!$I766="",0,Entry!$I766))</f>
        <v/>
      </c>
      <c r="J763" t="str">
        <f t="shared" si="79"/>
        <v/>
      </c>
      <c r="K763" t="str">
        <f>IF($A763="","",Entry!$D766)</f>
        <v/>
      </c>
      <c r="L763" t="str">
        <f>IF($A763="","",Entry!$L766)</f>
        <v/>
      </c>
      <c r="N763" t="str">
        <f>IF(OR(Sync!$M763="",$Q763="",$Q763="نامعتبر"),"",Sync!$M763)</f>
        <v/>
      </c>
      <c r="O763" t="str">
        <f t="shared" si="80"/>
        <v/>
      </c>
      <c r="P763" t="str">
        <f>IF($N763="","",LEFT($Q763,4)&amp;MID($Q763,6,2)&amp;RIGHT($Q763,2)&amp;IF(Sync!$K763="","0000",IF(AND(ISNUMBER(Sync!$K763),Sync!$K763&gt;=0,Sync!$K763&lt;1),RIGHT("00"&amp;HOUR(Sync!$K763),2)&amp;RIGHT("00"&amp;MINUTE(Sync!$K763),2),IFERROR(RIGHT("00"&amp;VALUE(LEFT(Sync!$K763,FIND(":",Sync!$K763)-1)),2)&amp;RIGHT("00"&amp;VALUE(MID(Sync!$K763,FIND(":",Sync!$K763)+1,2)),2),"0000")))&amp;"|"&amp;"2"&amp;RIGHT("00000"&amp;758,5))</f>
        <v/>
      </c>
      <c r="Q763" t="str">
        <f>IF(Sync!$J763="","",IF(ISNUMBER(Sync!$J763),IF(AND(Sync!$J763&gt;=10000101,Sync!$J763&lt;=99991231),INT(Sync!$J763/10000)&amp;"/"&amp;RIGHT("00"&amp;INT(MOD(Sync!$J763,10000)/100),2)&amp;"/"&amp;RIGHT("00"&amp;MOD(Sync!$J763,100),2),"نامعتبر"),IF(LEN(Sync!$J763)=10,Sync!$J763,"نامعتبر")))</f>
        <v/>
      </c>
      <c r="R763" t="str">
        <f t="shared" si="81"/>
        <v/>
      </c>
      <c r="S763" t="str">
        <f t="shared" si="82"/>
        <v/>
      </c>
      <c r="T763" t="str">
        <f>IF($N763="","",IF(Sync!$N763="",0,Sync!$N763))</f>
        <v/>
      </c>
      <c r="U763" t="str">
        <f>IF($N763="","",IF(Sync!$O763="",0,Sync!$O763))</f>
        <v/>
      </c>
      <c r="V763" t="str">
        <f>IF($N763="","",Sync!$L763)</f>
        <v/>
      </c>
      <c r="W763" t="str">
        <f>IF($N763="","",Sync!$P763)</f>
        <v/>
      </c>
      <c r="AA763" t="str">
        <f>IF($A763="","",IF(COUNTIF($A$6:$A763,$A763)=1,1,0))</f>
        <v/>
      </c>
      <c r="AB763">
        <f>SUM($AA$6:$AA763)</f>
        <v>3</v>
      </c>
      <c r="AC763" t="str">
        <f t="shared" si="83"/>
        <v/>
      </c>
    </row>
    <row r="764" spans="1:29" x14ac:dyDescent="0.2">
      <c r="A764" t="str">
        <f>IF(OR(Entry!$B767="",Entry!$E767="",$E764="نامعتبر"),"",Entry!$E767)</f>
        <v/>
      </c>
      <c r="B764" t="str">
        <f>IF($A764="","",LEFT($E764,4)&amp;MID($E764,6,2)&amp;RIGHT($E764,2)&amp;$F764&amp;"|"&amp;"1"&amp;RIGHT("00000"&amp;759,5))</f>
        <v/>
      </c>
      <c r="C764" t="str">
        <f t="shared" si="77"/>
        <v/>
      </c>
      <c r="D764" t="str">
        <f t="shared" si="78"/>
        <v/>
      </c>
      <c r="E764" t="str">
        <f>IF(Entry!$B767="","",IF(ISNUMBER(Entry!$B767),IF(AND(Entry!$B767&gt;=10000101,Entry!$B767&lt;=99991231),INT(Entry!$B767/10000)&amp;"/"&amp;RIGHT("00"&amp;INT(MOD(Entry!$B767,10000)/100),2)&amp;"/"&amp;RIGHT("00"&amp;MOD(Entry!$B767,100),2),"نامعتبر"),IF(LEN(Entry!$B767)=10,Entry!$B767,"نامعتبر")))</f>
        <v/>
      </c>
      <c r="F764" t="str">
        <f>IF(Entry!$B767="","",IF(Entry!$C767="","0000",IF(AND(ISNUMBER(Entry!$C767),Entry!$C767&gt;=0,Entry!$C767&lt;1),RIGHT("00"&amp;HOUR(Entry!$C767),2)&amp;RIGHT("00"&amp;MINUTE(Entry!$C767),2),IFERROR(RIGHT("00"&amp;VALUE(LEFT(Entry!$C767,FIND(":",Entry!$C767)-1)),2)&amp;RIGHT("00"&amp;VALUE(MID(Entry!$C767,FIND(":",Entry!$C767)+1,2)),2),"0000"))))</f>
        <v/>
      </c>
      <c r="G764" t="str">
        <f>IF($A764="","",Entry!$G767)</f>
        <v/>
      </c>
      <c r="H764" t="str">
        <f>IF($A764="","",IF(Entry!$H767="",0,Entry!$H767))</f>
        <v/>
      </c>
      <c r="I764" t="str">
        <f>IF($A764="","",IF(Entry!$I767="",0,Entry!$I767))</f>
        <v/>
      </c>
      <c r="J764" t="str">
        <f t="shared" si="79"/>
        <v/>
      </c>
      <c r="K764" t="str">
        <f>IF($A764="","",Entry!$D767)</f>
        <v/>
      </c>
      <c r="L764" t="str">
        <f>IF($A764="","",Entry!$L767)</f>
        <v/>
      </c>
      <c r="N764" t="str">
        <f>IF(OR(Sync!$M764="",$Q764="",$Q764="نامعتبر"),"",Sync!$M764)</f>
        <v/>
      </c>
      <c r="O764" t="str">
        <f t="shared" si="80"/>
        <v/>
      </c>
      <c r="P764" t="str">
        <f>IF($N764="","",LEFT($Q764,4)&amp;MID($Q764,6,2)&amp;RIGHT($Q764,2)&amp;IF(Sync!$K764="","0000",IF(AND(ISNUMBER(Sync!$K764),Sync!$K764&gt;=0,Sync!$K764&lt;1),RIGHT("00"&amp;HOUR(Sync!$K764),2)&amp;RIGHT("00"&amp;MINUTE(Sync!$K764),2),IFERROR(RIGHT("00"&amp;VALUE(LEFT(Sync!$K764,FIND(":",Sync!$K764)-1)),2)&amp;RIGHT("00"&amp;VALUE(MID(Sync!$K764,FIND(":",Sync!$K764)+1,2)),2),"0000")))&amp;"|"&amp;"2"&amp;RIGHT("00000"&amp;759,5))</f>
        <v/>
      </c>
      <c r="Q764" t="str">
        <f>IF(Sync!$J764="","",IF(ISNUMBER(Sync!$J764),IF(AND(Sync!$J764&gt;=10000101,Sync!$J764&lt;=99991231),INT(Sync!$J764/10000)&amp;"/"&amp;RIGHT("00"&amp;INT(MOD(Sync!$J764,10000)/100),2)&amp;"/"&amp;RIGHT("00"&amp;MOD(Sync!$J764,100),2),"نامعتبر"),IF(LEN(Sync!$J764)=10,Sync!$J764,"نامعتبر")))</f>
        <v/>
      </c>
      <c r="R764" t="str">
        <f t="shared" si="81"/>
        <v/>
      </c>
      <c r="S764" t="str">
        <f t="shared" si="82"/>
        <v/>
      </c>
      <c r="T764" t="str">
        <f>IF($N764="","",IF(Sync!$N764="",0,Sync!$N764))</f>
        <v/>
      </c>
      <c r="U764" t="str">
        <f>IF($N764="","",IF(Sync!$O764="",0,Sync!$O764))</f>
        <v/>
      </c>
      <c r="V764" t="str">
        <f>IF($N764="","",Sync!$L764)</f>
        <v/>
      </c>
      <c r="W764" t="str">
        <f>IF($N764="","",Sync!$P764)</f>
        <v/>
      </c>
      <c r="AA764" t="str">
        <f>IF($A764="","",IF(COUNTIF($A$6:$A764,$A764)=1,1,0))</f>
        <v/>
      </c>
      <c r="AB764">
        <f>SUM($AA$6:$AA764)</f>
        <v>3</v>
      </c>
      <c r="AC764" t="str">
        <f t="shared" si="83"/>
        <v/>
      </c>
    </row>
    <row r="765" spans="1:29" x14ac:dyDescent="0.2">
      <c r="A765" t="str">
        <f>IF(OR(Entry!$B768="",Entry!$E768="",$E765="نامعتبر"),"",Entry!$E768)</f>
        <v/>
      </c>
      <c r="B765" t="str">
        <f>IF($A765="","",LEFT($E765,4)&amp;MID($E765,6,2)&amp;RIGHT($E765,2)&amp;$F765&amp;"|"&amp;"1"&amp;RIGHT("00000"&amp;760,5))</f>
        <v/>
      </c>
      <c r="C765" t="str">
        <f t="shared" si="77"/>
        <v/>
      </c>
      <c r="D765" t="str">
        <f t="shared" si="78"/>
        <v/>
      </c>
      <c r="E765" t="str">
        <f>IF(Entry!$B768="","",IF(ISNUMBER(Entry!$B768),IF(AND(Entry!$B768&gt;=10000101,Entry!$B768&lt;=99991231),INT(Entry!$B768/10000)&amp;"/"&amp;RIGHT("00"&amp;INT(MOD(Entry!$B768,10000)/100),2)&amp;"/"&amp;RIGHT("00"&amp;MOD(Entry!$B768,100),2),"نامعتبر"),IF(LEN(Entry!$B768)=10,Entry!$B768,"نامعتبر")))</f>
        <v/>
      </c>
      <c r="F765" t="str">
        <f>IF(Entry!$B768="","",IF(Entry!$C768="","0000",IF(AND(ISNUMBER(Entry!$C768),Entry!$C768&gt;=0,Entry!$C768&lt;1),RIGHT("00"&amp;HOUR(Entry!$C768),2)&amp;RIGHT("00"&amp;MINUTE(Entry!$C768),2),IFERROR(RIGHT("00"&amp;VALUE(LEFT(Entry!$C768,FIND(":",Entry!$C768)-1)),2)&amp;RIGHT("00"&amp;VALUE(MID(Entry!$C768,FIND(":",Entry!$C768)+1,2)),2),"0000"))))</f>
        <v/>
      </c>
      <c r="G765" t="str">
        <f>IF($A765="","",Entry!$G768)</f>
        <v/>
      </c>
      <c r="H765" t="str">
        <f>IF($A765="","",IF(Entry!$H768="",0,Entry!$H768))</f>
        <v/>
      </c>
      <c r="I765" t="str">
        <f>IF($A765="","",IF(Entry!$I768="",0,Entry!$I768))</f>
        <v/>
      </c>
      <c r="J765" t="str">
        <f t="shared" si="79"/>
        <v/>
      </c>
      <c r="K765" t="str">
        <f>IF($A765="","",Entry!$D768)</f>
        <v/>
      </c>
      <c r="L765" t="str">
        <f>IF($A765="","",Entry!$L768)</f>
        <v/>
      </c>
      <c r="N765" t="str">
        <f>IF(OR(Sync!$M765="",$Q765="",$Q765="نامعتبر"),"",Sync!$M765)</f>
        <v/>
      </c>
      <c r="O765" t="str">
        <f t="shared" si="80"/>
        <v/>
      </c>
      <c r="P765" t="str">
        <f>IF($N765="","",LEFT($Q765,4)&amp;MID($Q765,6,2)&amp;RIGHT($Q765,2)&amp;IF(Sync!$K765="","0000",IF(AND(ISNUMBER(Sync!$K765),Sync!$K765&gt;=0,Sync!$K765&lt;1),RIGHT("00"&amp;HOUR(Sync!$K765),2)&amp;RIGHT("00"&amp;MINUTE(Sync!$K765),2),IFERROR(RIGHT("00"&amp;VALUE(LEFT(Sync!$K765,FIND(":",Sync!$K765)-1)),2)&amp;RIGHT("00"&amp;VALUE(MID(Sync!$K765,FIND(":",Sync!$K765)+1,2)),2),"0000")))&amp;"|"&amp;"2"&amp;RIGHT("00000"&amp;760,5))</f>
        <v/>
      </c>
      <c r="Q765" t="str">
        <f>IF(Sync!$J765="","",IF(ISNUMBER(Sync!$J765),IF(AND(Sync!$J765&gt;=10000101,Sync!$J765&lt;=99991231),INT(Sync!$J765/10000)&amp;"/"&amp;RIGHT("00"&amp;INT(MOD(Sync!$J765,10000)/100),2)&amp;"/"&amp;RIGHT("00"&amp;MOD(Sync!$J765,100),2),"نامعتبر"),IF(LEN(Sync!$J765)=10,Sync!$J765,"نامعتبر")))</f>
        <v/>
      </c>
      <c r="R765" t="str">
        <f t="shared" si="81"/>
        <v/>
      </c>
      <c r="S765" t="str">
        <f t="shared" si="82"/>
        <v/>
      </c>
      <c r="T765" t="str">
        <f>IF($N765="","",IF(Sync!$N765="",0,Sync!$N765))</f>
        <v/>
      </c>
      <c r="U765" t="str">
        <f>IF($N765="","",IF(Sync!$O765="",0,Sync!$O765))</f>
        <v/>
      </c>
      <c r="V765" t="str">
        <f>IF($N765="","",Sync!$L765)</f>
        <v/>
      </c>
      <c r="W765" t="str">
        <f>IF($N765="","",Sync!$P765)</f>
        <v/>
      </c>
      <c r="AA765" t="str">
        <f>IF($A765="","",IF(COUNTIF($A$6:$A765,$A765)=1,1,0))</f>
        <v/>
      </c>
      <c r="AB765">
        <f>SUM($AA$6:$AA765)</f>
        <v>3</v>
      </c>
      <c r="AC765" t="str">
        <f t="shared" si="83"/>
        <v/>
      </c>
    </row>
    <row r="766" spans="1:29" x14ac:dyDescent="0.2">
      <c r="A766" t="str">
        <f>IF(OR(Entry!$B769="",Entry!$E769="",$E766="نامعتبر"),"",Entry!$E769)</f>
        <v/>
      </c>
      <c r="B766" t="str">
        <f>IF($A766="","",LEFT($E766,4)&amp;MID($E766,6,2)&amp;RIGHT($E766,2)&amp;$F766&amp;"|"&amp;"1"&amp;RIGHT("00000"&amp;761,5))</f>
        <v/>
      </c>
      <c r="C766" t="str">
        <f t="shared" si="77"/>
        <v/>
      </c>
      <c r="D766" t="str">
        <f t="shared" si="78"/>
        <v/>
      </c>
      <c r="E766" t="str">
        <f>IF(Entry!$B769="","",IF(ISNUMBER(Entry!$B769),IF(AND(Entry!$B769&gt;=10000101,Entry!$B769&lt;=99991231),INT(Entry!$B769/10000)&amp;"/"&amp;RIGHT("00"&amp;INT(MOD(Entry!$B769,10000)/100),2)&amp;"/"&amp;RIGHT("00"&amp;MOD(Entry!$B769,100),2),"نامعتبر"),IF(LEN(Entry!$B769)=10,Entry!$B769,"نامعتبر")))</f>
        <v/>
      </c>
      <c r="F766" t="str">
        <f>IF(Entry!$B769="","",IF(Entry!$C769="","0000",IF(AND(ISNUMBER(Entry!$C769),Entry!$C769&gt;=0,Entry!$C769&lt;1),RIGHT("00"&amp;HOUR(Entry!$C769),2)&amp;RIGHT("00"&amp;MINUTE(Entry!$C769),2),IFERROR(RIGHT("00"&amp;VALUE(LEFT(Entry!$C769,FIND(":",Entry!$C769)-1)),2)&amp;RIGHT("00"&amp;VALUE(MID(Entry!$C769,FIND(":",Entry!$C769)+1,2)),2),"0000"))))</f>
        <v/>
      </c>
      <c r="G766" t="str">
        <f>IF($A766="","",Entry!$G769)</f>
        <v/>
      </c>
      <c r="H766" t="str">
        <f>IF($A766="","",IF(Entry!$H769="",0,Entry!$H769))</f>
        <v/>
      </c>
      <c r="I766" t="str">
        <f>IF($A766="","",IF(Entry!$I769="",0,Entry!$I769))</f>
        <v/>
      </c>
      <c r="J766" t="str">
        <f t="shared" si="79"/>
        <v/>
      </c>
      <c r="K766" t="str">
        <f>IF($A766="","",Entry!$D769)</f>
        <v/>
      </c>
      <c r="L766" t="str">
        <f>IF($A766="","",Entry!$L769)</f>
        <v/>
      </c>
      <c r="N766" t="str">
        <f>IF(OR(Sync!$M766="",$Q766="",$Q766="نامعتبر"),"",Sync!$M766)</f>
        <v/>
      </c>
      <c r="O766" t="str">
        <f t="shared" si="80"/>
        <v/>
      </c>
      <c r="P766" t="str">
        <f>IF($N766="","",LEFT($Q766,4)&amp;MID($Q766,6,2)&amp;RIGHT($Q766,2)&amp;IF(Sync!$K766="","0000",IF(AND(ISNUMBER(Sync!$K766),Sync!$K766&gt;=0,Sync!$K766&lt;1),RIGHT("00"&amp;HOUR(Sync!$K766),2)&amp;RIGHT("00"&amp;MINUTE(Sync!$K766),2),IFERROR(RIGHT("00"&amp;VALUE(LEFT(Sync!$K766,FIND(":",Sync!$K766)-1)),2)&amp;RIGHT("00"&amp;VALUE(MID(Sync!$K766,FIND(":",Sync!$K766)+1,2)),2),"0000")))&amp;"|"&amp;"2"&amp;RIGHT("00000"&amp;761,5))</f>
        <v/>
      </c>
      <c r="Q766" t="str">
        <f>IF(Sync!$J766="","",IF(ISNUMBER(Sync!$J766),IF(AND(Sync!$J766&gt;=10000101,Sync!$J766&lt;=99991231),INT(Sync!$J766/10000)&amp;"/"&amp;RIGHT("00"&amp;INT(MOD(Sync!$J766,10000)/100),2)&amp;"/"&amp;RIGHT("00"&amp;MOD(Sync!$J766,100),2),"نامعتبر"),IF(LEN(Sync!$J766)=10,Sync!$J766,"نامعتبر")))</f>
        <v/>
      </c>
      <c r="R766" t="str">
        <f t="shared" si="81"/>
        <v/>
      </c>
      <c r="S766" t="str">
        <f t="shared" si="82"/>
        <v/>
      </c>
      <c r="T766" t="str">
        <f>IF($N766="","",IF(Sync!$N766="",0,Sync!$N766))</f>
        <v/>
      </c>
      <c r="U766" t="str">
        <f>IF($N766="","",IF(Sync!$O766="",0,Sync!$O766))</f>
        <v/>
      </c>
      <c r="V766" t="str">
        <f>IF($N766="","",Sync!$L766)</f>
        <v/>
      </c>
      <c r="W766" t="str">
        <f>IF($N766="","",Sync!$P766)</f>
        <v/>
      </c>
      <c r="AA766" t="str">
        <f>IF($A766="","",IF(COUNTIF($A$6:$A766,$A766)=1,1,0))</f>
        <v/>
      </c>
      <c r="AB766">
        <f>SUM($AA$6:$AA766)</f>
        <v>3</v>
      </c>
      <c r="AC766" t="str">
        <f t="shared" si="83"/>
        <v/>
      </c>
    </row>
    <row r="767" spans="1:29" x14ac:dyDescent="0.2">
      <c r="A767" t="str">
        <f>IF(OR(Entry!$B770="",Entry!$E770="",$E767="نامعتبر"),"",Entry!$E770)</f>
        <v/>
      </c>
      <c r="B767" t="str">
        <f>IF($A767="","",LEFT($E767,4)&amp;MID($E767,6,2)&amp;RIGHT($E767,2)&amp;$F767&amp;"|"&amp;"1"&amp;RIGHT("00000"&amp;762,5))</f>
        <v/>
      </c>
      <c r="C767" t="str">
        <f t="shared" si="77"/>
        <v/>
      </c>
      <c r="D767" t="str">
        <f t="shared" si="78"/>
        <v/>
      </c>
      <c r="E767" t="str">
        <f>IF(Entry!$B770="","",IF(ISNUMBER(Entry!$B770),IF(AND(Entry!$B770&gt;=10000101,Entry!$B770&lt;=99991231),INT(Entry!$B770/10000)&amp;"/"&amp;RIGHT("00"&amp;INT(MOD(Entry!$B770,10000)/100),2)&amp;"/"&amp;RIGHT("00"&amp;MOD(Entry!$B770,100),2),"نامعتبر"),IF(LEN(Entry!$B770)=10,Entry!$B770,"نامعتبر")))</f>
        <v/>
      </c>
      <c r="F767" t="str">
        <f>IF(Entry!$B770="","",IF(Entry!$C770="","0000",IF(AND(ISNUMBER(Entry!$C770),Entry!$C770&gt;=0,Entry!$C770&lt;1),RIGHT("00"&amp;HOUR(Entry!$C770),2)&amp;RIGHT("00"&amp;MINUTE(Entry!$C770),2),IFERROR(RIGHT("00"&amp;VALUE(LEFT(Entry!$C770,FIND(":",Entry!$C770)-1)),2)&amp;RIGHT("00"&amp;VALUE(MID(Entry!$C770,FIND(":",Entry!$C770)+1,2)),2),"0000"))))</f>
        <v/>
      </c>
      <c r="G767" t="str">
        <f>IF($A767="","",Entry!$G770)</f>
        <v/>
      </c>
      <c r="H767" t="str">
        <f>IF($A767="","",IF(Entry!$H770="",0,Entry!$H770))</f>
        <v/>
      </c>
      <c r="I767" t="str">
        <f>IF($A767="","",IF(Entry!$I770="",0,Entry!$I770))</f>
        <v/>
      </c>
      <c r="J767" t="str">
        <f t="shared" si="79"/>
        <v/>
      </c>
      <c r="K767" t="str">
        <f>IF($A767="","",Entry!$D770)</f>
        <v/>
      </c>
      <c r="L767" t="str">
        <f>IF($A767="","",Entry!$L770)</f>
        <v/>
      </c>
      <c r="N767" t="str">
        <f>IF(OR(Sync!$M767="",$Q767="",$Q767="نامعتبر"),"",Sync!$M767)</f>
        <v/>
      </c>
      <c r="O767" t="str">
        <f t="shared" si="80"/>
        <v/>
      </c>
      <c r="P767" t="str">
        <f>IF($N767="","",LEFT($Q767,4)&amp;MID($Q767,6,2)&amp;RIGHT($Q767,2)&amp;IF(Sync!$K767="","0000",IF(AND(ISNUMBER(Sync!$K767),Sync!$K767&gt;=0,Sync!$K767&lt;1),RIGHT("00"&amp;HOUR(Sync!$K767),2)&amp;RIGHT("00"&amp;MINUTE(Sync!$K767),2),IFERROR(RIGHT("00"&amp;VALUE(LEFT(Sync!$K767,FIND(":",Sync!$K767)-1)),2)&amp;RIGHT("00"&amp;VALUE(MID(Sync!$K767,FIND(":",Sync!$K767)+1,2)),2),"0000")))&amp;"|"&amp;"2"&amp;RIGHT("00000"&amp;762,5))</f>
        <v/>
      </c>
      <c r="Q767" t="str">
        <f>IF(Sync!$J767="","",IF(ISNUMBER(Sync!$J767),IF(AND(Sync!$J767&gt;=10000101,Sync!$J767&lt;=99991231),INT(Sync!$J767/10000)&amp;"/"&amp;RIGHT("00"&amp;INT(MOD(Sync!$J767,10000)/100),2)&amp;"/"&amp;RIGHT("00"&amp;MOD(Sync!$J767,100),2),"نامعتبر"),IF(LEN(Sync!$J767)=10,Sync!$J767,"نامعتبر")))</f>
        <v/>
      </c>
      <c r="R767" t="str">
        <f t="shared" si="81"/>
        <v/>
      </c>
      <c r="S767" t="str">
        <f t="shared" si="82"/>
        <v/>
      </c>
      <c r="T767" t="str">
        <f>IF($N767="","",IF(Sync!$N767="",0,Sync!$N767))</f>
        <v/>
      </c>
      <c r="U767" t="str">
        <f>IF($N767="","",IF(Sync!$O767="",0,Sync!$O767))</f>
        <v/>
      </c>
      <c r="V767" t="str">
        <f>IF($N767="","",Sync!$L767)</f>
        <v/>
      </c>
      <c r="W767" t="str">
        <f>IF($N767="","",Sync!$P767)</f>
        <v/>
      </c>
      <c r="AA767" t="str">
        <f>IF($A767="","",IF(COUNTIF($A$6:$A767,$A767)=1,1,0))</f>
        <v/>
      </c>
      <c r="AB767">
        <f>SUM($AA$6:$AA767)</f>
        <v>3</v>
      </c>
      <c r="AC767" t="str">
        <f t="shared" si="83"/>
        <v/>
      </c>
    </row>
    <row r="768" spans="1:29" x14ac:dyDescent="0.2">
      <c r="A768" t="str">
        <f>IF(OR(Entry!$B771="",Entry!$E771="",$E768="نامعتبر"),"",Entry!$E771)</f>
        <v/>
      </c>
      <c r="B768" t="str">
        <f>IF($A768="","",LEFT($E768,4)&amp;MID($E768,6,2)&amp;RIGHT($E768,2)&amp;$F768&amp;"|"&amp;"1"&amp;RIGHT("00000"&amp;763,5))</f>
        <v/>
      </c>
      <c r="C768" t="str">
        <f t="shared" si="77"/>
        <v/>
      </c>
      <c r="D768" t="str">
        <f t="shared" si="78"/>
        <v/>
      </c>
      <c r="E768" t="str">
        <f>IF(Entry!$B771="","",IF(ISNUMBER(Entry!$B771),IF(AND(Entry!$B771&gt;=10000101,Entry!$B771&lt;=99991231),INT(Entry!$B771/10000)&amp;"/"&amp;RIGHT("00"&amp;INT(MOD(Entry!$B771,10000)/100),2)&amp;"/"&amp;RIGHT("00"&amp;MOD(Entry!$B771,100),2),"نامعتبر"),IF(LEN(Entry!$B771)=10,Entry!$B771,"نامعتبر")))</f>
        <v/>
      </c>
      <c r="F768" t="str">
        <f>IF(Entry!$B771="","",IF(Entry!$C771="","0000",IF(AND(ISNUMBER(Entry!$C771),Entry!$C771&gt;=0,Entry!$C771&lt;1),RIGHT("00"&amp;HOUR(Entry!$C771),2)&amp;RIGHT("00"&amp;MINUTE(Entry!$C771),2),IFERROR(RIGHT("00"&amp;VALUE(LEFT(Entry!$C771,FIND(":",Entry!$C771)-1)),2)&amp;RIGHT("00"&amp;VALUE(MID(Entry!$C771,FIND(":",Entry!$C771)+1,2)),2),"0000"))))</f>
        <v/>
      </c>
      <c r="G768" t="str">
        <f>IF($A768="","",Entry!$G771)</f>
        <v/>
      </c>
      <c r="H768" t="str">
        <f>IF($A768="","",IF(Entry!$H771="",0,Entry!$H771))</f>
        <v/>
      </c>
      <c r="I768" t="str">
        <f>IF($A768="","",IF(Entry!$I771="",0,Entry!$I771))</f>
        <v/>
      </c>
      <c r="J768" t="str">
        <f t="shared" si="79"/>
        <v/>
      </c>
      <c r="K768" t="str">
        <f>IF($A768="","",Entry!$D771)</f>
        <v/>
      </c>
      <c r="L768" t="str">
        <f>IF($A768="","",Entry!$L771)</f>
        <v/>
      </c>
      <c r="N768" t="str">
        <f>IF(OR(Sync!$M768="",$Q768="",$Q768="نامعتبر"),"",Sync!$M768)</f>
        <v/>
      </c>
      <c r="O768" t="str">
        <f t="shared" si="80"/>
        <v/>
      </c>
      <c r="P768" t="str">
        <f>IF($N768="","",LEFT($Q768,4)&amp;MID($Q768,6,2)&amp;RIGHT($Q768,2)&amp;IF(Sync!$K768="","0000",IF(AND(ISNUMBER(Sync!$K768),Sync!$K768&gt;=0,Sync!$K768&lt;1),RIGHT("00"&amp;HOUR(Sync!$K768),2)&amp;RIGHT("00"&amp;MINUTE(Sync!$K768),2),IFERROR(RIGHT("00"&amp;VALUE(LEFT(Sync!$K768,FIND(":",Sync!$K768)-1)),2)&amp;RIGHT("00"&amp;VALUE(MID(Sync!$K768,FIND(":",Sync!$K768)+1,2)),2),"0000")))&amp;"|"&amp;"2"&amp;RIGHT("00000"&amp;763,5))</f>
        <v/>
      </c>
      <c r="Q768" t="str">
        <f>IF(Sync!$J768="","",IF(ISNUMBER(Sync!$J768),IF(AND(Sync!$J768&gt;=10000101,Sync!$J768&lt;=99991231),INT(Sync!$J768/10000)&amp;"/"&amp;RIGHT("00"&amp;INT(MOD(Sync!$J768,10000)/100),2)&amp;"/"&amp;RIGHT("00"&amp;MOD(Sync!$J768,100),2),"نامعتبر"),IF(LEN(Sync!$J768)=10,Sync!$J768,"نامعتبر")))</f>
        <v/>
      </c>
      <c r="R768" t="str">
        <f t="shared" si="81"/>
        <v/>
      </c>
      <c r="S768" t="str">
        <f t="shared" si="82"/>
        <v/>
      </c>
      <c r="T768" t="str">
        <f>IF($N768="","",IF(Sync!$N768="",0,Sync!$N768))</f>
        <v/>
      </c>
      <c r="U768" t="str">
        <f>IF($N768="","",IF(Sync!$O768="",0,Sync!$O768))</f>
        <v/>
      </c>
      <c r="V768" t="str">
        <f>IF($N768="","",Sync!$L768)</f>
        <v/>
      </c>
      <c r="W768" t="str">
        <f>IF($N768="","",Sync!$P768)</f>
        <v/>
      </c>
      <c r="AA768" t="str">
        <f>IF($A768="","",IF(COUNTIF($A$6:$A768,$A768)=1,1,0))</f>
        <v/>
      </c>
      <c r="AB768">
        <f>SUM($AA$6:$AA768)</f>
        <v>3</v>
      </c>
      <c r="AC768" t="str">
        <f t="shared" si="83"/>
        <v/>
      </c>
    </row>
    <row r="769" spans="1:29" x14ac:dyDescent="0.2">
      <c r="A769" t="str">
        <f>IF(OR(Entry!$B772="",Entry!$E772="",$E769="نامعتبر"),"",Entry!$E772)</f>
        <v/>
      </c>
      <c r="B769" t="str">
        <f>IF($A769="","",LEFT($E769,4)&amp;MID($E769,6,2)&amp;RIGHT($E769,2)&amp;$F769&amp;"|"&amp;"1"&amp;RIGHT("00000"&amp;764,5))</f>
        <v/>
      </c>
      <c r="C769" t="str">
        <f t="shared" si="77"/>
        <v/>
      </c>
      <c r="D769" t="str">
        <f t="shared" si="78"/>
        <v/>
      </c>
      <c r="E769" t="str">
        <f>IF(Entry!$B772="","",IF(ISNUMBER(Entry!$B772),IF(AND(Entry!$B772&gt;=10000101,Entry!$B772&lt;=99991231),INT(Entry!$B772/10000)&amp;"/"&amp;RIGHT("00"&amp;INT(MOD(Entry!$B772,10000)/100),2)&amp;"/"&amp;RIGHT("00"&amp;MOD(Entry!$B772,100),2),"نامعتبر"),IF(LEN(Entry!$B772)=10,Entry!$B772,"نامعتبر")))</f>
        <v/>
      </c>
      <c r="F769" t="str">
        <f>IF(Entry!$B772="","",IF(Entry!$C772="","0000",IF(AND(ISNUMBER(Entry!$C772),Entry!$C772&gt;=0,Entry!$C772&lt;1),RIGHT("00"&amp;HOUR(Entry!$C772),2)&amp;RIGHT("00"&amp;MINUTE(Entry!$C772),2),IFERROR(RIGHT("00"&amp;VALUE(LEFT(Entry!$C772,FIND(":",Entry!$C772)-1)),2)&amp;RIGHT("00"&amp;VALUE(MID(Entry!$C772,FIND(":",Entry!$C772)+1,2)),2),"0000"))))</f>
        <v/>
      </c>
      <c r="G769" t="str">
        <f>IF($A769="","",Entry!$G772)</f>
        <v/>
      </c>
      <c r="H769" t="str">
        <f>IF($A769="","",IF(Entry!$H772="",0,Entry!$H772))</f>
        <v/>
      </c>
      <c r="I769" t="str">
        <f>IF($A769="","",IF(Entry!$I772="",0,Entry!$I772))</f>
        <v/>
      </c>
      <c r="J769" t="str">
        <f t="shared" si="79"/>
        <v/>
      </c>
      <c r="K769" t="str">
        <f>IF($A769="","",Entry!$D772)</f>
        <v/>
      </c>
      <c r="L769" t="str">
        <f>IF($A769="","",Entry!$L772)</f>
        <v/>
      </c>
      <c r="N769" t="str">
        <f>IF(OR(Sync!$M769="",$Q769="",$Q769="نامعتبر"),"",Sync!$M769)</f>
        <v/>
      </c>
      <c r="O769" t="str">
        <f t="shared" si="80"/>
        <v/>
      </c>
      <c r="P769" t="str">
        <f>IF($N769="","",LEFT($Q769,4)&amp;MID($Q769,6,2)&amp;RIGHT($Q769,2)&amp;IF(Sync!$K769="","0000",IF(AND(ISNUMBER(Sync!$K769),Sync!$K769&gt;=0,Sync!$K769&lt;1),RIGHT("00"&amp;HOUR(Sync!$K769),2)&amp;RIGHT("00"&amp;MINUTE(Sync!$K769),2),IFERROR(RIGHT("00"&amp;VALUE(LEFT(Sync!$K769,FIND(":",Sync!$K769)-1)),2)&amp;RIGHT("00"&amp;VALUE(MID(Sync!$K769,FIND(":",Sync!$K769)+1,2)),2),"0000")))&amp;"|"&amp;"2"&amp;RIGHT("00000"&amp;764,5))</f>
        <v/>
      </c>
      <c r="Q769" t="str">
        <f>IF(Sync!$J769="","",IF(ISNUMBER(Sync!$J769),IF(AND(Sync!$J769&gt;=10000101,Sync!$J769&lt;=99991231),INT(Sync!$J769/10000)&amp;"/"&amp;RIGHT("00"&amp;INT(MOD(Sync!$J769,10000)/100),2)&amp;"/"&amp;RIGHT("00"&amp;MOD(Sync!$J769,100),2),"نامعتبر"),IF(LEN(Sync!$J769)=10,Sync!$J769,"نامعتبر")))</f>
        <v/>
      </c>
      <c r="R769" t="str">
        <f t="shared" si="81"/>
        <v/>
      </c>
      <c r="S769" t="str">
        <f t="shared" si="82"/>
        <v/>
      </c>
      <c r="T769" t="str">
        <f>IF($N769="","",IF(Sync!$N769="",0,Sync!$N769))</f>
        <v/>
      </c>
      <c r="U769" t="str">
        <f>IF($N769="","",IF(Sync!$O769="",0,Sync!$O769))</f>
        <v/>
      </c>
      <c r="V769" t="str">
        <f>IF($N769="","",Sync!$L769)</f>
        <v/>
      </c>
      <c r="W769" t="str">
        <f>IF($N769="","",Sync!$P769)</f>
        <v/>
      </c>
      <c r="AA769" t="str">
        <f>IF($A769="","",IF(COUNTIF($A$6:$A769,$A769)=1,1,0))</f>
        <v/>
      </c>
      <c r="AB769">
        <f>SUM($AA$6:$AA769)</f>
        <v>3</v>
      </c>
      <c r="AC769" t="str">
        <f t="shared" si="83"/>
        <v/>
      </c>
    </row>
    <row r="770" spans="1:29" x14ac:dyDescent="0.2">
      <c r="A770" t="str">
        <f>IF(OR(Entry!$B773="",Entry!$E773="",$E770="نامعتبر"),"",Entry!$E773)</f>
        <v/>
      </c>
      <c r="B770" t="str">
        <f>IF($A770="","",LEFT($E770,4)&amp;MID($E770,6,2)&amp;RIGHT($E770,2)&amp;$F770&amp;"|"&amp;"1"&amp;RIGHT("00000"&amp;765,5))</f>
        <v/>
      </c>
      <c r="C770" t="str">
        <f t="shared" si="77"/>
        <v/>
      </c>
      <c r="D770" t="str">
        <f t="shared" si="78"/>
        <v/>
      </c>
      <c r="E770" t="str">
        <f>IF(Entry!$B773="","",IF(ISNUMBER(Entry!$B773),IF(AND(Entry!$B773&gt;=10000101,Entry!$B773&lt;=99991231),INT(Entry!$B773/10000)&amp;"/"&amp;RIGHT("00"&amp;INT(MOD(Entry!$B773,10000)/100),2)&amp;"/"&amp;RIGHT("00"&amp;MOD(Entry!$B773,100),2),"نامعتبر"),IF(LEN(Entry!$B773)=10,Entry!$B773,"نامعتبر")))</f>
        <v/>
      </c>
      <c r="F770" t="str">
        <f>IF(Entry!$B773="","",IF(Entry!$C773="","0000",IF(AND(ISNUMBER(Entry!$C773),Entry!$C773&gt;=0,Entry!$C773&lt;1),RIGHT("00"&amp;HOUR(Entry!$C773),2)&amp;RIGHT("00"&amp;MINUTE(Entry!$C773),2),IFERROR(RIGHT("00"&amp;VALUE(LEFT(Entry!$C773,FIND(":",Entry!$C773)-1)),2)&amp;RIGHT("00"&amp;VALUE(MID(Entry!$C773,FIND(":",Entry!$C773)+1,2)),2),"0000"))))</f>
        <v/>
      </c>
      <c r="G770" t="str">
        <f>IF($A770="","",Entry!$G773)</f>
        <v/>
      </c>
      <c r="H770" t="str">
        <f>IF($A770="","",IF(Entry!$H773="",0,Entry!$H773))</f>
        <v/>
      </c>
      <c r="I770" t="str">
        <f>IF($A770="","",IF(Entry!$I773="",0,Entry!$I773))</f>
        <v/>
      </c>
      <c r="J770" t="str">
        <f t="shared" si="79"/>
        <v/>
      </c>
      <c r="K770" t="str">
        <f>IF($A770="","",Entry!$D773)</f>
        <v/>
      </c>
      <c r="L770" t="str">
        <f>IF($A770="","",Entry!$L773)</f>
        <v/>
      </c>
      <c r="N770" t="str">
        <f>IF(OR(Sync!$M770="",$Q770="",$Q770="نامعتبر"),"",Sync!$M770)</f>
        <v/>
      </c>
      <c r="O770" t="str">
        <f t="shared" si="80"/>
        <v/>
      </c>
      <c r="P770" t="str">
        <f>IF($N770="","",LEFT($Q770,4)&amp;MID($Q770,6,2)&amp;RIGHT($Q770,2)&amp;IF(Sync!$K770="","0000",IF(AND(ISNUMBER(Sync!$K770),Sync!$K770&gt;=0,Sync!$K770&lt;1),RIGHT("00"&amp;HOUR(Sync!$K770),2)&amp;RIGHT("00"&amp;MINUTE(Sync!$K770),2),IFERROR(RIGHT("00"&amp;VALUE(LEFT(Sync!$K770,FIND(":",Sync!$K770)-1)),2)&amp;RIGHT("00"&amp;VALUE(MID(Sync!$K770,FIND(":",Sync!$K770)+1,2)),2),"0000")))&amp;"|"&amp;"2"&amp;RIGHT("00000"&amp;765,5))</f>
        <v/>
      </c>
      <c r="Q770" t="str">
        <f>IF(Sync!$J770="","",IF(ISNUMBER(Sync!$J770),IF(AND(Sync!$J770&gt;=10000101,Sync!$J770&lt;=99991231),INT(Sync!$J770/10000)&amp;"/"&amp;RIGHT("00"&amp;INT(MOD(Sync!$J770,10000)/100),2)&amp;"/"&amp;RIGHT("00"&amp;MOD(Sync!$J770,100),2),"نامعتبر"),IF(LEN(Sync!$J770)=10,Sync!$J770,"نامعتبر")))</f>
        <v/>
      </c>
      <c r="R770" t="str">
        <f t="shared" si="81"/>
        <v/>
      </c>
      <c r="S770" t="str">
        <f t="shared" si="82"/>
        <v/>
      </c>
      <c r="T770" t="str">
        <f>IF($N770="","",IF(Sync!$N770="",0,Sync!$N770))</f>
        <v/>
      </c>
      <c r="U770" t="str">
        <f>IF($N770="","",IF(Sync!$O770="",0,Sync!$O770))</f>
        <v/>
      </c>
      <c r="V770" t="str">
        <f>IF($N770="","",Sync!$L770)</f>
        <v/>
      </c>
      <c r="W770" t="str">
        <f>IF($N770="","",Sync!$P770)</f>
        <v/>
      </c>
      <c r="AA770" t="str">
        <f>IF($A770="","",IF(COUNTIF($A$6:$A770,$A770)=1,1,0))</f>
        <v/>
      </c>
      <c r="AB770">
        <f>SUM($AA$6:$AA770)</f>
        <v>3</v>
      </c>
      <c r="AC770" t="str">
        <f t="shared" si="83"/>
        <v/>
      </c>
    </row>
    <row r="771" spans="1:29" x14ac:dyDescent="0.2">
      <c r="A771" t="str">
        <f>IF(OR(Entry!$B774="",Entry!$E774="",$E771="نامعتبر"),"",Entry!$E774)</f>
        <v/>
      </c>
      <c r="B771" t="str">
        <f>IF($A771="","",LEFT($E771,4)&amp;MID($E771,6,2)&amp;RIGHT($E771,2)&amp;$F771&amp;"|"&amp;"1"&amp;RIGHT("00000"&amp;766,5))</f>
        <v/>
      </c>
      <c r="C771" t="str">
        <f t="shared" si="77"/>
        <v/>
      </c>
      <c r="D771" t="str">
        <f t="shared" si="78"/>
        <v/>
      </c>
      <c r="E771" t="str">
        <f>IF(Entry!$B774="","",IF(ISNUMBER(Entry!$B774),IF(AND(Entry!$B774&gt;=10000101,Entry!$B774&lt;=99991231),INT(Entry!$B774/10000)&amp;"/"&amp;RIGHT("00"&amp;INT(MOD(Entry!$B774,10000)/100),2)&amp;"/"&amp;RIGHT("00"&amp;MOD(Entry!$B774,100),2),"نامعتبر"),IF(LEN(Entry!$B774)=10,Entry!$B774,"نامعتبر")))</f>
        <v/>
      </c>
      <c r="F771" t="str">
        <f>IF(Entry!$B774="","",IF(Entry!$C774="","0000",IF(AND(ISNUMBER(Entry!$C774),Entry!$C774&gt;=0,Entry!$C774&lt;1),RIGHT("00"&amp;HOUR(Entry!$C774),2)&amp;RIGHT("00"&amp;MINUTE(Entry!$C774),2),IFERROR(RIGHT("00"&amp;VALUE(LEFT(Entry!$C774,FIND(":",Entry!$C774)-1)),2)&amp;RIGHT("00"&amp;VALUE(MID(Entry!$C774,FIND(":",Entry!$C774)+1,2)),2),"0000"))))</f>
        <v/>
      </c>
      <c r="G771" t="str">
        <f>IF($A771="","",Entry!$G774)</f>
        <v/>
      </c>
      <c r="H771" t="str">
        <f>IF($A771="","",IF(Entry!$H774="",0,Entry!$H774))</f>
        <v/>
      </c>
      <c r="I771" t="str">
        <f>IF($A771="","",IF(Entry!$I774="",0,Entry!$I774))</f>
        <v/>
      </c>
      <c r="J771" t="str">
        <f t="shared" si="79"/>
        <v/>
      </c>
      <c r="K771" t="str">
        <f>IF($A771="","",Entry!$D774)</f>
        <v/>
      </c>
      <c r="L771" t="str">
        <f>IF($A771="","",Entry!$L774)</f>
        <v/>
      </c>
      <c r="N771" t="str">
        <f>IF(OR(Sync!$M771="",$Q771="",$Q771="نامعتبر"),"",Sync!$M771)</f>
        <v/>
      </c>
      <c r="O771" t="str">
        <f t="shared" si="80"/>
        <v/>
      </c>
      <c r="P771" t="str">
        <f>IF($N771="","",LEFT($Q771,4)&amp;MID($Q771,6,2)&amp;RIGHT($Q771,2)&amp;IF(Sync!$K771="","0000",IF(AND(ISNUMBER(Sync!$K771),Sync!$K771&gt;=0,Sync!$K771&lt;1),RIGHT("00"&amp;HOUR(Sync!$K771),2)&amp;RIGHT("00"&amp;MINUTE(Sync!$K771),2),IFERROR(RIGHT("00"&amp;VALUE(LEFT(Sync!$K771,FIND(":",Sync!$K771)-1)),2)&amp;RIGHT("00"&amp;VALUE(MID(Sync!$K771,FIND(":",Sync!$K771)+1,2)),2),"0000")))&amp;"|"&amp;"2"&amp;RIGHT("00000"&amp;766,5))</f>
        <v/>
      </c>
      <c r="Q771" t="str">
        <f>IF(Sync!$J771="","",IF(ISNUMBER(Sync!$J771),IF(AND(Sync!$J771&gt;=10000101,Sync!$J771&lt;=99991231),INT(Sync!$J771/10000)&amp;"/"&amp;RIGHT("00"&amp;INT(MOD(Sync!$J771,10000)/100),2)&amp;"/"&amp;RIGHT("00"&amp;MOD(Sync!$J771,100),2),"نامعتبر"),IF(LEN(Sync!$J771)=10,Sync!$J771,"نامعتبر")))</f>
        <v/>
      </c>
      <c r="R771" t="str">
        <f t="shared" si="81"/>
        <v/>
      </c>
      <c r="S771" t="str">
        <f t="shared" si="82"/>
        <v/>
      </c>
      <c r="T771" t="str">
        <f>IF($N771="","",IF(Sync!$N771="",0,Sync!$N771))</f>
        <v/>
      </c>
      <c r="U771" t="str">
        <f>IF($N771="","",IF(Sync!$O771="",0,Sync!$O771))</f>
        <v/>
      </c>
      <c r="V771" t="str">
        <f>IF($N771="","",Sync!$L771)</f>
        <v/>
      </c>
      <c r="W771" t="str">
        <f>IF($N771="","",Sync!$P771)</f>
        <v/>
      </c>
      <c r="AA771" t="str">
        <f>IF($A771="","",IF(COUNTIF($A$6:$A771,$A771)=1,1,0))</f>
        <v/>
      </c>
      <c r="AB771">
        <f>SUM($AA$6:$AA771)</f>
        <v>3</v>
      </c>
      <c r="AC771" t="str">
        <f t="shared" si="83"/>
        <v/>
      </c>
    </row>
    <row r="772" spans="1:29" x14ac:dyDescent="0.2">
      <c r="A772" t="str">
        <f>IF(OR(Entry!$B775="",Entry!$E775="",$E772="نامعتبر"),"",Entry!$E775)</f>
        <v/>
      </c>
      <c r="B772" t="str">
        <f>IF($A772="","",LEFT($E772,4)&amp;MID($E772,6,2)&amp;RIGHT($E772,2)&amp;$F772&amp;"|"&amp;"1"&amp;RIGHT("00000"&amp;767,5))</f>
        <v/>
      </c>
      <c r="C772" t="str">
        <f t="shared" si="77"/>
        <v/>
      </c>
      <c r="D772" t="str">
        <f t="shared" si="78"/>
        <v/>
      </c>
      <c r="E772" t="str">
        <f>IF(Entry!$B775="","",IF(ISNUMBER(Entry!$B775),IF(AND(Entry!$B775&gt;=10000101,Entry!$B775&lt;=99991231),INT(Entry!$B775/10000)&amp;"/"&amp;RIGHT("00"&amp;INT(MOD(Entry!$B775,10000)/100),2)&amp;"/"&amp;RIGHT("00"&amp;MOD(Entry!$B775,100),2),"نامعتبر"),IF(LEN(Entry!$B775)=10,Entry!$B775,"نامعتبر")))</f>
        <v/>
      </c>
      <c r="F772" t="str">
        <f>IF(Entry!$B775="","",IF(Entry!$C775="","0000",IF(AND(ISNUMBER(Entry!$C775),Entry!$C775&gt;=0,Entry!$C775&lt;1),RIGHT("00"&amp;HOUR(Entry!$C775),2)&amp;RIGHT("00"&amp;MINUTE(Entry!$C775),2),IFERROR(RIGHT("00"&amp;VALUE(LEFT(Entry!$C775,FIND(":",Entry!$C775)-1)),2)&amp;RIGHT("00"&amp;VALUE(MID(Entry!$C775,FIND(":",Entry!$C775)+1,2)),2),"0000"))))</f>
        <v/>
      </c>
      <c r="G772" t="str">
        <f>IF($A772="","",Entry!$G775)</f>
        <v/>
      </c>
      <c r="H772" t="str">
        <f>IF($A772="","",IF(Entry!$H775="",0,Entry!$H775))</f>
        <v/>
      </c>
      <c r="I772" t="str">
        <f>IF($A772="","",IF(Entry!$I775="",0,Entry!$I775))</f>
        <v/>
      </c>
      <c r="J772" t="str">
        <f t="shared" si="79"/>
        <v/>
      </c>
      <c r="K772" t="str">
        <f>IF($A772="","",Entry!$D775)</f>
        <v/>
      </c>
      <c r="L772" t="str">
        <f>IF($A772="","",Entry!$L775)</f>
        <v/>
      </c>
      <c r="N772" t="str">
        <f>IF(OR(Sync!$M772="",$Q772="",$Q772="نامعتبر"),"",Sync!$M772)</f>
        <v/>
      </c>
      <c r="O772" t="str">
        <f t="shared" si="80"/>
        <v/>
      </c>
      <c r="P772" t="str">
        <f>IF($N772="","",LEFT($Q772,4)&amp;MID($Q772,6,2)&amp;RIGHT($Q772,2)&amp;IF(Sync!$K772="","0000",IF(AND(ISNUMBER(Sync!$K772),Sync!$K772&gt;=0,Sync!$K772&lt;1),RIGHT("00"&amp;HOUR(Sync!$K772),2)&amp;RIGHT("00"&amp;MINUTE(Sync!$K772),2),IFERROR(RIGHT("00"&amp;VALUE(LEFT(Sync!$K772,FIND(":",Sync!$K772)-1)),2)&amp;RIGHT("00"&amp;VALUE(MID(Sync!$K772,FIND(":",Sync!$K772)+1,2)),2),"0000")))&amp;"|"&amp;"2"&amp;RIGHT("00000"&amp;767,5))</f>
        <v/>
      </c>
      <c r="Q772" t="str">
        <f>IF(Sync!$J772="","",IF(ISNUMBER(Sync!$J772),IF(AND(Sync!$J772&gt;=10000101,Sync!$J772&lt;=99991231),INT(Sync!$J772/10000)&amp;"/"&amp;RIGHT("00"&amp;INT(MOD(Sync!$J772,10000)/100),2)&amp;"/"&amp;RIGHT("00"&amp;MOD(Sync!$J772,100),2),"نامعتبر"),IF(LEN(Sync!$J772)=10,Sync!$J772,"نامعتبر")))</f>
        <v/>
      </c>
      <c r="R772" t="str">
        <f t="shared" si="81"/>
        <v/>
      </c>
      <c r="S772" t="str">
        <f t="shared" si="82"/>
        <v/>
      </c>
      <c r="T772" t="str">
        <f>IF($N772="","",IF(Sync!$N772="",0,Sync!$N772))</f>
        <v/>
      </c>
      <c r="U772" t="str">
        <f>IF($N772="","",IF(Sync!$O772="",0,Sync!$O772))</f>
        <v/>
      </c>
      <c r="V772" t="str">
        <f>IF($N772="","",Sync!$L772)</f>
        <v/>
      </c>
      <c r="W772" t="str">
        <f>IF($N772="","",Sync!$P772)</f>
        <v/>
      </c>
      <c r="AA772" t="str">
        <f>IF($A772="","",IF(COUNTIF($A$6:$A772,$A772)=1,1,0))</f>
        <v/>
      </c>
      <c r="AB772">
        <f>SUM($AA$6:$AA772)</f>
        <v>3</v>
      </c>
      <c r="AC772" t="str">
        <f t="shared" si="83"/>
        <v/>
      </c>
    </row>
    <row r="773" spans="1:29" x14ac:dyDescent="0.2">
      <c r="A773" t="str">
        <f>IF(OR(Entry!$B776="",Entry!$E776="",$E773="نامعتبر"),"",Entry!$E776)</f>
        <v/>
      </c>
      <c r="B773" t="str">
        <f>IF($A773="","",LEFT($E773,4)&amp;MID($E773,6,2)&amp;RIGHT($E773,2)&amp;$F773&amp;"|"&amp;"1"&amp;RIGHT("00000"&amp;768,5))</f>
        <v/>
      </c>
      <c r="C773" t="str">
        <f t="shared" si="77"/>
        <v/>
      </c>
      <c r="D773" t="str">
        <f t="shared" si="78"/>
        <v/>
      </c>
      <c r="E773" t="str">
        <f>IF(Entry!$B776="","",IF(ISNUMBER(Entry!$B776),IF(AND(Entry!$B776&gt;=10000101,Entry!$B776&lt;=99991231),INT(Entry!$B776/10000)&amp;"/"&amp;RIGHT("00"&amp;INT(MOD(Entry!$B776,10000)/100),2)&amp;"/"&amp;RIGHT("00"&amp;MOD(Entry!$B776,100),2),"نامعتبر"),IF(LEN(Entry!$B776)=10,Entry!$B776,"نامعتبر")))</f>
        <v/>
      </c>
      <c r="F773" t="str">
        <f>IF(Entry!$B776="","",IF(Entry!$C776="","0000",IF(AND(ISNUMBER(Entry!$C776),Entry!$C776&gt;=0,Entry!$C776&lt;1),RIGHT("00"&amp;HOUR(Entry!$C776),2)&amp;RIGHT("00"&amp;MINUTE(Entry!$C776),2),IFERROR(RIGHT("00"&amp;VALUE(LEFT(Entry!$C776,FIND(":",Entry!$C776)-1)),2)&amp;RIGHT("00"&amp;VALUE(MID(Entry!$C776,FIND(":",Entry!$C776)+1,2)),2),"0000"))))</f>
        <v/>
      </c>
      <c r="G773" t="str">
        <f>IF($A773="","",Entry!$G776)</f>
        <v/>
      </c>
      <c r="H773" t="str">
        <f>IF($A773="","",IF(Entry!$H776="",0,Entry!$H776))</f>
        <v/>
      </c>
      <c r="I773" t="str">
        <f>IF($A773="","",IF(Entry!$I776="",0,Entry!$I776))</f>
        <v/>
      </c>
      <c r="J773" t="str">
        <f t="shared" si="79"/>
        <v/>
      </c>
      <c r="K773" t="str">
        <f>IF($A773="","",Entry!$D776)</f>
        <v/>
      </c>
      <c r="L773" t="str">
        <f>IF($A773="","",Entry!$L776)</f>
        <v/>
      </c>
      <c r="N773" t="str">
        <f>IF(OR(Sync!$M773="",$Q773="",$Q773="نامعتبر"),"",Sync!$M773)</f>
        <v/>
      </c>
      <c r="O773" t="str">
        <f t="shared" si="80"/>
        <v/>
      </c>
      <c r="P773" t="str">
        <f>IF($N773="","",LEFT($Q773,4)&amp;MID($Q773,6,2)&amp;RIGHT($Q773,2)&amp;IF(Sync!$K773="","0000",IF(AND(ISNUMBER(Sync!$K773),Sync!$K773&gt;=0,Sync!$K773&lt;1),RIGHT("00"&amp;HOUR(Sync!$K773),2)&amp;RIGHT("00"&amp;MINUTE(Sync!$K773),2),IFERROR(RIGHT("00"&amp;VALUE(LEFT(Sync!$K773,FIND(":",Sync!$K773)-1)),2)&amp;RIGHT("00"&amp;VALUE(MID(Sync!$K773,FIND(":",Sync!$K773)+1,2)),2),"0000")))&amp;"|"&amp;"2"&amp;RIGHT("00000"&amp;768,5))</f>
        <v/>
      </c>
      <c r="Q773" t="str">
        <f>IF(Sync!$J773="","",IF(ISNUMBER(Sync!$J773),IF(AND(Sync!$J773&gt;=10000101,Sync!$J773&lt;=99991231),INT(Sync!$J773/10000)&amp;"/"&amp;RIGHT("00"&amp;INT(MOD(Sync!$J773,10000)/100),2)&amp;"/"&amp;RIGHT("00"&amp;MOD(Sync!$J773,100),2),"نامعتبر"),IF(LEN(Sync!$J773)=10,Sync!$J773,"نامعتبر")))</f>
        <v/>
      </c>
      <c r="R773" t="str">
        <f t="shared" si="81"/>
        <v/>
      </c>
      <c r="S773" t="str">
        <f t="shared" si="82"/>
        <v/>
      </c>
      <c r="T773" t="str">
        <f>IF($N773="","",IF(Sync!$N773="",0,Sync!$N773))</f>
        <v/>
      </c>
      <c r="U773" t="str">
        <f>IF($N773="","",IF(Sync!$O773="",0,Sync!$O773))</f>
        <v/>
      </c>
      <c r="V773" t="str">
        <f>IF($N773="","",Sync!$L773)</f>
        <v/>
      </c>
      <c r="W773" t="str">
        <f>IF($N773="","",Sync!$P773)</f>
        <v/>
      </c>
      <c r="AA773" t="str">
        <f>IF($A773="","",IF(COUNTIF($A$6:$A773,$A773)=1,1,0))</f>
        <v/>
      </c>
      <c r="AB773">
        <f>SUM($AA$6:$AA773)</f>
        <v>3</v>
      </c>
      <c r="AC773" t="str">
        <f t="shared" si="83"/>
        <v/>
      </c>
    </row>
    <row r="774" spans="1:29" x14ac:dyDescent="0.2">
      <c r="A774" t="str">
        <f>IF(OR(Entry!$B777="",Entry!$E777="",$E774="نامعتبر"),"",Entry!$E777)</f>
        <v/>
      </c>
      <c r="B774" t="str">
        <f>IF($A774="","",LEFT($E774,4)&amp;MID($E774,6,2)&amp;RIGHT($E774,2)&amp;$F774&amp;"|"&amp;"1"&amp;RIGHT("00000"&amp;769,5))</f>
        <v/>
      </c>
      <c r="C774" t="str">
        <f t="shared" ref="C774:C837" si="84">IF($B774="","",COUNTIFS($A$6:$A$1005,$A774,$B$6:$B$1005,"&lt;"&amp;$B774)+COUNTIFS($N$6:$N$2005,$A774,$P$6:$P$2005,"&lt;"&amp;$B774)+1)</f>
        <v/>
      </c>
      <c r="D774" t="str">
        <f t="shared" ref="D774:D837" si="85">IF($C774="","",$A774&amp;"|"&amp;RIGHT("000000"&amp;$C774,6))</f>
        <v/>
      </c>
      <c r="E774" t="str">
        <f>IF(Entry!$B777="","",IF(ISNUMBER(Entry!$B777),IF(AND(Entry!$B777&gt;=10000101,Entry!$B777&lt;=99991231),INT(Entry!$B777/10000)&amp;"/"&amp;RIGHT("00"&amp;INT(MOD(Entry!$B777,10000)/100),2)&amp;"/"&amp;RIGHT("00"&amp;MOD(Entry!$B777,100),2),"نامعتبر"),IF(LEN(Entry!$B777)=10,Entry!$B777,"نامعتبر")))</f>
        <v/>
      </c>
      <c r="F774" t="str">
        <f>IF(Entry!$B777="","",IF(Entry!$C777="","0000",IF(AND(ISNUMBER(Entry!$C777),Entry!$C777&gt;=0,Entry!$C777&lt;1),RIGHT("00"&amp;HOUR(Entry!$C777),2)&amp;RIGHT("00"&amp;MINUTE(Entry!$C777),2),IFERROR(RIGHT("00"&amp;VALUE(LEFT(Entry!$C777,FIND(":",Entry!$C777)-1)),2)&amp;RIGHT("00"&amp;VALUE(MID(Entry!$C777,FIND(":",Entry!$C777)+1,2)),2),"0000"))))</f>
        <v/>
      </c>
      <c r="G774" t="str">
        <f>IF($A774="","",Entry!$G777)</f>
        <v/>
      </c>
      <c r="H774" t="str">
        <f>IF($A774="","",IF(Entry!$H777="",0,Entry!$H777))</f>
        <v/>
      </c>
      <c r="I774" t="str">
        <f>IF($A774="","",IF(Entry!$I777="",0,Entry!$I777))</f>
        <v/>
      </c>
      <c r="J774" t="str">
        <f t="shared" ref="J774:J837" si="86">IF($A774="","",ROUND($H774*$I774,0))</f>
        <v/>
      </c>
      <c r="K774" t="str">
        <f>IF($A774="","",Entry!$D777)</f>
        <v/>
      </c>
      <c r="L774" t="str">
        <f>IF($A774="","",Entry!$L777)</f>
        <v/>
      </c>
      <c r="N774" t="str">
        <f>IF(OR(Sync!$M774="",$Q774="",$Q774="نامعتبر"),"",Sync!$M774)</f>
        <v/>
      </c>
      <c r="O774" t="str">
        <f t="shared" ref="O774:O837" si="87">IF($N774="","",$Q774)</f>
        <v/>
      </c>
      <c r="P774" t="str">
        <f>IF($N774="","",LEFT($Q774,4)&amp;MID($Q774,6,2)&amp;RIGHT($Q774,2)&amp;IF(Sync!$K774="","0000",IF(AND(ISNUMBER(Sync!$K774),Sync!$K774&gt;=0,Sync!$K774&lt;1),RIGHT("00"&amp;HOUR(Sync!$K774),2)&amp;RIGHT("00"&amp;MINUTE(Sync!$K774),2),IFERROR(RIGHT("00"&amp;VALUE(LEFT(Sync!$K774,FIND(":",Sync!$K774)-1)),2)&amp;RIGHT("00"&amp;VALUE(MID(Sync!$K774,FIND(":",Sync!$K774)+1,2)),2),"0000")))&amp;"|"&amp;"2"&amp;RIGHT("00000"&amp;769,5))</f>
        <v/>
      </c>
      <c r="Q774" t="str">
        <f>IF(Sync!$J774="","",IF(ISNUMBER(Sync!$J774),IF(AND(Sync!$J774&gt;=10000101,Sync!$J774&lt;=99991231),INT(Sync!$J774/10000)&amp;"/"&amp;RIGHT("00"&amp;INT(MOD(Sync!$J774,10000)/100),2)&amp;"/"&amp;RIGHT("00"&amp;MOD(Sync!$J774,100),2),"نامعتبر"),IF(LEN(Sync!$J774)=10,Sync!$J774,"نامعتبر")))</f>
        <v/>
      </c>
      <c r="R774" t="str">
        <f t="shared" ref="R774:R837" si="88">IF($P774="","",COUNTIFS($N$6:$N$2005,$N774,$P$6:$P$2005,"&lt;"&amp;$P774)+COUNTIFS($A$6:$A$1005,$N774,$B$6:$B$1005,"&lt;"&amp;$P774)+1)</f>
        <v/>
      </c>
      <c r="S774" t="str">
        <f t="shared" ref="S774:S837" si="89">IF($N774="","",$N774&amp;"|"&amp;RIGHT("000000"&amp;$R774,6))</f>
        <v/>
      </c>
      <c r="T774" t="str">
        <f>IF($N774="","",IF(Sync!$N774="",0,Sync!$N774))</f>
        <v/>
      </c>
      <c r="U774" t="str">
        <f>IF($N774="","",IF(Sync!$O774="",0,Sync!$O774))</f>
        <v/>
      </c>
      <c r="V774" t="str">
        <f>IF($N774="","",Sync!$L774)</f>
        <v/>
      </c>
      <c r="W774" t="str">
        <f>IF($N774="","",Sync!$P774)</f>
        <v/>
      </c>
      <c r="AA774" t="str">
        <f>IF($A774="","",IF(COUNTIF($A$6:$A774,$A774)=1,1,0))</f>
        <v/>
      </c>
      <c r="AB774">
        <f>SUM($AA$6:$AA774)</f>
        <v>3</v>
      </c>
      <c r="AC774" t="str">
        <f t="shared" ref="AC774:AC837" si="90">IFERROR(INDEX($A$6:$A$1005,MATCH(ROW()-5,$AB$6:$AB$1005,0)),"")</f>
        <v/>
      </c>
    </row>
    <row r="775" spans="1:29" x14ac:dyDescent="0.2">
      <c r="A775" t="str">
        <f>IF(OR(Entry!$B778="",Entry!$E778="",$E775="نامعتبر"),"",Entry!$E778)</f>
        <v/>
      </c>
      <c r="B775" t="str">
        <f>IF($A775="","",LEFT($E775,4)&amp;MID($E775,6,2)&amp;RIGHT($E775,2)&amp;$F775&amp;"|"&amp;"1"&amp;RIGHT("00000"&amp;770,5))</f>
        <v/>
      </c>
      <c r="C775" t="str">
        <f t="shared" si="84"/>
        <v/>
      </c>
      <c r="D775" t="str">
        <f t="shared" si="85"/>
        <v/>
      </c>
      <c r="E775" t="str">
        <f>IF(Entry!$B778="","",IF(ISNUMBER(Entry!$B778),IF(AND(Entry!$B778&gt;=10000101,Entry!$B778&lt;=99991231),INT(Entry!$B778/10000)&amp;"/"&amp;RIGHT("00"&amp;INT(MOD(Entry!$B778,10000)/100),2)&amp;"/"&amp;RIGHT("00"&amp;MOD(Entry!$B778,100),2),"نامعتبر"),IF(LEN(Entry!$B778)=10,Entry!$B778,"نامعتبر")))</f>
        <v/>
      </c>
      <c r="F775" t="str">
        <f>IF(Entry!$B778="","",IF(Entry!$C778="","0000",IF(AND(ISNUMBER(Entry!$C778),Entry!$C778&gt;=0,Entry!$C778&lt;1),RIGHT("00"&amp;HOUR(Entry!$C778),2)&amp;RIGHT("00"&amp;MINUTE(Entry!$C778),2),IFERROR(RIGHT("00"&amp;VALUE(LEFT(Entry!$C778,FIND(":",Entry!$C778)-1)),2)&amp;RIGHT("00"&amp;VALUE(MID(Entry!$C778,FIND(":",Entry!$C778)+1,2)),2),"0000"))))</f>
        <v/>
      </c>
      <c r="G775" t="str">
        <f>IF($A775="","",Entry!$G778)</f>
        <v/>
      </c>
      <c r="H775" t="str">
        <f>IF($A775="","",IF(Entry!$H778="",0,Entry!$H778))</f>
        <v/>
      </c>
      <c r="I775" t="str">
        <f>IF($A775="","",IF(Entry!$I778="",0,Entry!$I778))</f>
        <v/>
      </c>
      <c r="J775" t="str">
        <f t="shared" si="86"/>
        <v/>
      </c>
      <c r="K775" t="str">
        <f>IF($A775="","",Entry!$D778)</f>
        <v/>
      </c>
      <c r="L775" t="str">
        <f>IF($A775="","",Entry!$L778)</f>
        <v/>
      </c>
      <c r="N775" t="str">
        <f>IF(OR(Sync!$M775="",$Q775="",$Q775="نامعتبر"),"",Sync!$M775)</f>
        <v/>
      </c>
      <c r="O775" t="str">
        <f t="shared" si="87"/>
        <v/>
      </c>
      <c r="P775" t="str">
        <f>IF($N775="","",LEFT($Q775,4)&amp;MID($Q775,6,2)&amp;RIGHT($Q775,2)&amp;IF(Sync!$K775="","0000",IF(AND(ISNUMBER(Sync!$K775),Sync!$K775&gt;=0,Sync!$K775&lt;1),RIGHT("00"&amp;HOUR(Sync!$K775),2)&amp;RIGHT("00"&amp;MINUTE(Sync!$K775),2),IFERROR(RIGHT("00"&amp;VALUE(LEFT(Sync!$K775,FIND(":",Sync!$K775)-1)),2)&amp;RIGHT("00"&amp;VALUE(MID(Sync!$K775,FIND(":",Sync!$K775)+1,2)),2),"0000")))&amp;"|"&amp;"2"&amp;RIGHT("00000"&amp;770,5))</f>
        <v/>
      </c>
      <c r="Q775" t="str">
        <f>IF(Sync!$J775="","",IF(ISNUMBER(Sync!$J775),IF(AND(Sync!$J775&gt;=10000101,Sync!$J775&lt;=99991231),INT(Sync!$J775/10000)&amp;"/"&amp;RIGHT("00"&amp;INT(MOD(Sync!$J775,10000)/100),2)&amp;"/"&amp;RIGHT("00"&amp;MOD(Sync!$J775,100),2),"نامعتبر"),IF(LEN(Sync!$J775)=10,Sync!$J775,"نامعتبر")))</f>
        <v/>
      </c>
      <c r="R775" t="str">
        <f t="shared" si="88"/>
        <v/>
      </c>
      <c r="S775" t="str">
        <f t="shared" si="89"/>
        <v/>
      </c>
      <c r="T775" t="str">
        <f>IF($N775="","",IF(Sync!$N775="",0,Sync!$N775))</f>
        <v/>
      </c>
      <c r="U775" t="str">
        <f>IF($N775="","",IF(Sync!$O775="",0,Sync!$O775))</f>
        <v/>
      </c>
      <c r="V775" t="str">
        <f>IF($N775="","",Sync!$L775)</f>
        <v/>
      </c>
      <c r="W775" t="str">
        <f>IF($N775="","",Sync!$P775)</f>
        <v/>
      </c>
      <c r="AA775" t="str">
        <f>IF($A775="","",IF(COUNTIF($A$6:$A775,$A775)=1,1,0))</f>
        <v/>
      </c>
      <c r="AB775">
        <f>SUM($AA$6:$AA775)</f>
        <v>3</v>
      </c>
      <c r="AC775" t="str">
        <f t="shared" si="90"/>
        <v/>
      </c>
    </row>
    <row r="776" spans="1:29" x14ac:dyDescent="0.2">
      <c r="A776" t="str">
        <f>IF(OR(Entry!$B779="",Entry!$E779="",$E776="نامعتبر"),"",Entry!$E779)</f>
        <v/>
      </c>
      <c r="B776" t="str">
        <f>IF($A776="","",LEFT($E776,4)&amp;MID($E776,6,2)&amp;RIGHT($E776,2)&amp;$F776&amp;"|"&amp;"1"&amp;RIGHT("00000"&amp;771,5))</f>
        <v/>
      </c>
      <c r="C776" t="str">
        <f t="shared" si="84"/>
        <v/>
      </c>
      <c r="D776" t="str">
        <f t="shared" si="85"/>
        <v/>
      </c>
      <c r="E776" t="str">
        <f>IF(Entry!$B779="","",IF(ISNUMBER(Entry!$B779),IF(AND(Entry!$B779&gt;=10000101,Entry!$B779&lt;=99991231),INT(Entry!$B779/10000)&amp;"/"&amp;RIGHT("00"&amp;INT(MOD(Entry!$B779,10000)/100),2)&amp;"/"&amp;RIGHT("00"&amp;MOD(Entry!$B779,100),2),"نامعتبر"),IF(LEN(Entry!$B779)=10,Entry!$B779,"نامعتبر")))</f>
        <v/>
      </c>
      <c r="F776" t="str">
        <f>IF(Entry!$B779="","",IF(Entry!$C779="","0000",IF(AND(ISNUMBER(Entry!$C779),Entry!$C779&gt;=0,Entry!$C779&lt;1),RIGHT("00"&amp;HOUR(Entry!$C779),2)&amp;RIGHT("00"&amp;MINUTE(Entry!$C779),2),IFERROR(RIGHT("00"&amp;VALUE(LEFT(Entry!$C779,FIND(":",Entry!$C779)-1)),2)&amp;RIGHT("00"&amp;VALUE(MID(Entry!$C779,FIND(":",Entry!$C779)+1,2)),2),"0000"))))</f>
        <v/>
      </c>
      <c r="G776" t="str">
        <f>IF($A776="","",Entry!$G779)</f>
        <v/>
      </c>
      <c r="H776" t="str">
        <f>IF($A776="","",IF(Entry!$H779="",0,Entry!$H779))</f>
        <v/>
      </c>
      <c r="I776" t="str">
        <f>IF($A776="","",IF(Entry!$I779="",0,Entry!$I779))</f>
        <v/>
      </c>
      <c r="J776" t="str">
        <f t="shared" si="86"/>
        <v/>
      </c>
      <c r="K776" t="str">
        <f>IF($A776="","",Entry!$D779)</f>
        <v/>
      </c>
      <c r="L776" t="str">
        <f>IF($A776="","",Entry!$L779)</f>
        <v/>
      </c>
      <c r="N776" t="str">
        <f>IF(OR(Sync!$M776="",$Q776="",$Q776="نامعتبر"),"",Sync!$M776)</f>
        <v/>
      </c>
      <c r="O776" t="str">
        <f t="shared" si="87"/>
        <v/>
      </c>
      <c r="P776" t="str">
        <f>IF($N776="","",LEFT($Q776,4)&amp;MID($Q776,6,2)&amp;RIGHT($Q776,2)&amp;IF(Sync!$K776="","0000",IF(AND(ISNUMBER(Sync!$K776),Sync!$K776&gt;=0,Sync!$K776&lt;1),RIGHT("00"&amp;HOUR(Sync!$K776),2)&amp;RIGHT("00"&amp;MINUTE(Sync!$K776),2),IFERROR(RIGHT("00"&amp;VALUE(LEFT(Sync!$K776,FIND(":",Sync!$K776)-1)),2)&amp;RIGHT("00"&amp;VALUE(MID(Sync!$K776,FIND(":",Sync!$K776)+1,2)),2),"0000")))&amp;"|"&amp;"2"&amp;RIGHT("00000"&amp;771,5))</f>
        <v/>
      </c>
      <c r="Q776" t="str">
        <f>IF(Sync!$J776="","",IF(ISNUMBER(Sync!$J776),IF(AND(Sync!$J776&gt;=10000101,Sync!$J776&lt;=99991231),INT(Sync!$J776/10000)&amp;"/"&amp;RIGHT("00"&amp;INT(MOD(Sync!$J776,10000)/100),2)&amp;"/"&amp;RIGHT("00"&amp;MOD(Sync!$J776,100),2),"نامعتبر"),IF(LEN(Sync!$J776)=10,Sync!$J776,"نامعتبر")))</f>
        <v/>
      </c>
      <c r="R776" t="str">
        <f t="shared" si="88"/>
        <v/>
      </c>
      <c r="S776" t="str">
        <f t="shared" si="89"/>
        <v/>
      </c>
      <c r="T776" t="str">
        <f>IF($N776="","",IF(Sync!$N776="",0,Sync!$N776))</f>
        <v/>
      </c>
      <c r="U776" t="str">
        <f>IF($N776="","",IF(Sync!$O776="",0,Sync!$O776))</f>
        <v/>
      </c>
      <c r="V776" t="str">
        <f>IF($N776="","",Sync!$L776)</f>
        <v/>
      </c>
      <c r="W776" t="str">
        <f>IF($N776="","",Sync!$P776)</f>
        <v/>
      </c>
      <c r="AA776" t="str">
        <f>IF($A776="","",IF(COUNTIF($A$6:$A776,$A776)=1,1,0))</f>
        <v/>
      </c>
      <c r="AB776">
        <f>SUM($AA$6:$AA776)</f>
        <v>3</v>
      </c>
      <c r="AC776" t="str">
        <f t="shared" si="90"/>
        <v/>
      </c>
    </row>
    <row r="777" spans="1:29" x14ac:dyDescent="0.2">
      <c r="A777" t="str">
        <f>IF(OR(Entry!$B780="",Entry!$E780="",$E777="نامعتبر"),"",Entry!$E780)</f>
        <v/>
      </c>
      <c r="B777" t="str">
        <f>IF($A777="","",LEFT($E777,4)&amp;MID($E777,6,2)&amp;RIGHT($E777,2)&amp;$F777&amp;"|"&amp;"1"&amp;RIGHT("00000"&amp;772,5))</f>
        <v/>
      </c>
      <c r="C777" t="str">
        <f t="shared" si="84"/>
        <v/>
      </c>
      <c r="D777" t="str">
        <f t="shared" si="85"/>
        <v/>
      </c>
      <c r="E777" t="str">
        <f>IF(Entry!$B780="","",IF(ISNUMBER(Entry!$B780),IF(AND(Entry!$B780&gt;=10000101,Entry!$B780&lt;=99991231),INT(Entry!$B780/10000)&amp;"/"&amp;RIGHT("00"&amp;INT(MOD(Entry!$B780,10000)/100),2)&amp;"/"&amp;RIGHT("00"&amp;MOD(Entry!$B780,100),2),"نامعتبر"),IF(LEN(Entry!$B780)=10,Entry!$B780,"نامعتبر")))</f>
        <v/>
      </c>
      <c r="F777" t="str">
        <f>IF(Entry!$B780="","",IF(Entry!$C780="","0000",IF(AND(ISNUMBER(Entry!$C780),Entry!$C780&gt;=0,Entry!$C780&lt;1),RIGHT("00"&amp;HOUR(Entry!$C780),2)&amp;RIGHT("00"&amp;MINUTE(Entry!$C780),2),IFERROR(RIGHT("00"&amp;VALUE(LEFT(Entry!$C780,FIND(":",Entry!$C780)-1)),2)&amp;RIGHT("00"&amp;VALUE(MID(Entry!$C780,FIND(":",Entry!$C780)+1,2)),2),"0000"))))</f>
        <v/>
      </c>
      <c r="G777" t="str">
        <f>IF($A777="","",Entry!$G780)</f>
        <v/>
      </c>
      <c r="H777" t="str">
        <f>IF($A777="","",IF(Entry!$H780="",0,Entry!$H780))</f>
        <v/>
      </c>
      <c r="I777" t="str">
        <f>IF($A777="","",IF(Entry!$I780="",0,Entry!$I780))</f>
        <v/>
      </c>
      <c r="J777" t="str">
        <f t="shared" si="86"/>
        <v/>
      </c>
      <c r="K777" t="str">
        <f>IF($A777="","",Entry!$D780)</f>
        <v/>
      </c>
      <c r="L777" t="str">
        <f>IF($A777="","",Entry!$L780)</f>
        <v/>
      </c>
      <c r="N777" t="str">
        <f>IF(OR(Sync!$M777="",$Q777="",$Q777="نامعتبر"),"",Sync!$M777)</f>
        <v/>
      </c>
      <c r="O777" t="str">
        <f t="shared" si="87"/>
        <v/>
      </c>
      <c r="P777" t="str">
        <f>IF($N777="","",LEFT($Q777,4)&amp;MID($Q777,6,2)&amp;RIGHT($Q777,2)&amp;IF(Sync!$K777="","0000",IF(AND(ISNUMBER(Sync!$K777),Sync!$K777&gt;=0,Sync!$K777&lt;1),RIGHT("00"&amp;HOUR(Sync!$K777),2)&amp;RIGHT("00"&amp;MINUTE(Sync!$K777),2),IFERROR(RIGHT("00"&amp;VALUE(LEFT(Sync!$K777,FIND(":",Sync!$K777)-1)),2)&amp;RIGHT("00"&amp;VALUE(MID(Sync!$K777,FIND(":",Sync!$K777)+1,2)),2),"0000")))&amp;"|"&amp;"2"&amp;RIGHT("00000"&amp;772,5))</f>
        <v/>
      </c>
      <c r="Q777" t="str">
        <f>IF(Sync!$J777="","",IF(ISNUMBER(Sync!$J777),IF(AND(Sync!$J777&gt;=10000101,Sync!$J777&lt;=99991231),INT(Sync!$J777/10000)&amp;"/"&amp;RIGHT("00"&amp;INT(MOD(Sync!$J777,10000)/100),2)&amp;"/"&amp;RIGHT("00"&amp;MOD(Sync!$J777,100),2),"نامعتبر"),IF(LEN(Sync!$J777)=10,Sync!$J777,"نامعتبر")))</f>
        <v/>
      </c>
      <c r="R777" t="str">
        <f t="shared" si="88"/>
        <v/>
      </c>
      <c r="S777" t="str">
        <f t="shared" si="89"/>
        <v/>
      </c>
      <c r="T777" t="str">
        <f>IF($N777="","",IF(Sync!$N777="",0,Sync!$N777))</f>
        <v/>
      </c>
      <c r="U777" t="str">
        <f>IF($N777="","",IF(Sync!$O777="",0,Sync!$O777))</f>
        <v/>
      </c>
      <c r="V777" t="str">
        <f>IF($N777="","",Sync!$L777)</f>
        <v/>
      </c>
      <c r="W777" t="str">
        <f>IF($N777="","",Sync!$P777)</f>
        <v/>
      </c>
      <c r="AA777" t="str">
        <f>IF($A777="","",IF(COUNTIF($A$6:$A777,$A777)=1,1,0))</f>
        <v/>
      </c>
      <c r="AB777">
        <f>SUM($AA$6:$AA777)</f>
        <v>3</v>
      </c>
      <c r="AC777" t="str">
        <f t="shared" si="90"/>
        <v/>
      </c>
    </row>
    <row r="778" spans="1:29" x14ac:dyDescent="0.2">
      <c r="A778" t="str">
        <f>IF(OR(Entry!$B781="",Entry!$E781="",$E778="نامعتبر"),"",Entry!$E781)</f>
        <v/>
      </c>
      <c r="B778" t="str">
        <f>IF($A778="","",LEFT($E778,4)&amp;MID($E778,6,2)&amp;RIGHT($E778,2)&amp;$F778&amp;"|"&amp;"1"&amp;RIGHT("00000"&amp;773,5))</f>
        <v/>
      </c>
      <c r="C778" t="str">
        <f t="shared" si="84"/>
        <v/>
      </c>
      <c r="D778" t="str">
        <f t="shared" si="85"/>
        <v/>
      </c>
      <c r="E778" t="str">
        <f>IF(Entry!$B781="","",IF(ISNUMBER(Entry!$B781),IF(AND(Entry!$B781&gt;=10000101,Entry!$B781&lt;=99991231),INT(Entry!$B781/10000)&amp;"/"&amp;RIGHT("00"&amp;INT(MOD(Entry!$B781,10000)/100),2)&amp;"/"&amp;RIGHT("00"&amp;MOD(Entry!$B781,100),2),"نامعتبر"),IF(LEN(Entry!$B781)=10,Entry!$B781,"نامعتبر")))</f>
        <v/>
      </c>
      <c r="F778" t="str">
        <f>IF(Entry!$B781="","",IF(Entry!$C781="","0000",IF(AND(ISNUMBER(Entry!$C781),Entry!$C781&gt;=0,Entry!$C781&lt;1),RIGHT("00"&amp;HOUR(Entry!$C781),2)&amp;RIGHT("00"&amp;MINUTE(Entry!$C781),2),IFERROR(RIGHT("00"&amp;VALUE(LEFT(Entry!$C781,FIND(":",Entry!$C781)-1)),2)&amp;RIGHT("00"&amp;VALUE(MID(Entry!$C781,FIND(":",Entry!$C781)+1,2)),2),"0000"))))</f>
        <v/>
      </c>
      <c r="G778" t="str">
        <f>IF($A778="","",Entry!$G781)</f>
        <v/>
      </c>
      <c r="H778" t="str">
        <f>IF($A778="","",IF(Entry!$H781="",0,Entry!$H781))</f>
        <v/>
      </c>
      <c r="I778" t="str">
        <f>IF($A778="","",IF(Entry!$I781="",0,Entry!$I781))</f>
        <v/>
      </c>
      <c r="J778" t="str">
        <f t="shared" si="86"/>
        <v/>
      </c>
      <c r="K778" t="str">
        <f>IF($A778="","",Entry!$D781)</f>
        <v/>
      </c>
      <c r="L778" t="str">
        <f>IF($A778="","",Entry!$L781)</f>
        <v/>
      </c>
      <c r="N778" t="str">
        <f>IF(OR(Sync!$M778="",$Q778="",$Q778="نامعتبر"),"",Sync!$M778)</f>
        <v/>
      </c>
      <c r="O778" t="str">
        <f t="shared" si="87"/>
        <v/>
      </c>
      <c r="P778" t="str">
        <f>IF($N778="","",LEFT($Q778,4)&amp;MID($Q778,6,2)&amp;RIGHT($Q778,2)&amp;IF(Sync!$K778="","0000",IF(AND(ISNUMBER(Sync!$K778),Sync!$K778&gt;=0,Sync!$K778&lt;1),RIGHT("00"&amp;HOUR(Sync!$K778),2)&amp;RIGHT("00"&amp;MINUTE(Sync!$K778),2),IFERROR(RIGHT("00"&amp;VALUE(LEFT(Sync!$K778,FIND(":",Sync!$K778)-1)),2)&amp;RIGHT("00"&amp;VALUE(MID(Sync!$K778,FIND(":",Sync!$K778)+1,2)),2),"0000")))&amp;"|"&amp;"2"&amp;RIGHT("00000"&amp;773,5))</f>
        <v/>
      </c>
      <c r="Q778" t="str">
        <f>IF(Sync!$J778="","",IF(ISNUMBER(Sync!$J778),IF(AND(Sync!$J778&gt;=10000101,Sync!$J778&lt;=99991231),INT(Sync!$J778/10000)&amp;"/"&amp;RIGHT("00"&amp;INT(MOD(Sync!$J778,10000)/100),2)&amp;"/"&amp;RIGHT("00"&amp;MOD(Sync!$J778,100),2),"نامعتبر"),IF(LEN(Sync!$J778)=10,Sync!$J778,"نامعتبر")))</f>
        <v/>
      </c>
      <c r="R778" t="str">
        <f t="shared" si="88"/>
        <v/>
      </c>
      <c r="S778" t="str">
        <f t="shared" si="89"/>
        <v/>
      </c>
      <c r="T778" t="str">
        <f>IF($N778="","",IF(Sync!$N778="",0,Sync!$N778))</f>
        <v/>
      </c>
      <c r="U778" t="str">
        <f>IF($N778="","",IF(Sync!$O778="",0,Sync!$O778))</f>
        <v/>
      </c>
      <c r="V778" t="str">
        <f>IF($N778="","",Sync!$L778)</f>
        <v/>
      </c>
      <c r="W778" t="str">
        <f>IF($N778="","",Sync!$P778)</f>
        <v/>
      </c>
      <c r="AA778" t="str">
        <f>IF($A778="","",IF(COUNTIF($A$6:$A778,$A778)=1,1,0))</f>
        <v/>
      </c>
      <c r="AB778">
        <f>SUM($AA$6:$AA778)</f>
        <v>3</v>
      </c>
      <c r="AC778" t="str">
        <f t="shared" si="90"/>
        <v/>
      </c>
    </row>
    <row r="779" spans="1:29" x14ac:dyDescent="0.2">
      <c r="A779" t="str">
        <f>IF(OR(Entry!$B782="",Entry!$E782="",$E779="نامعتبر"),"",Entry!$E782)</f>
        <v/>
      </c>
      <c r="B779" t="str">
        <f>IF($A779="","",LEFT($E779,4)&amp;MID($E779,6,2)&amp;RIGHT($E779,2)&amp;$F779&amp;"|"&amp;"1"&amp;RIGHT("00000"&amp;774,5))</f>
        <v/>
      </c>
      <c r="C779" t="str">
        <f t="shared" si="84"/>
        <v/>
      </c>
      <c r="D779" t="str">
        <f t="shared" si="85"/>
        <v/>
      </c>
      <c r="E779" t="str">
        <f>IF(Entry!$B782="","",IF(ISNUMBER(Entry!$B782),IF(AND(Entry!$B782&gt;=10000101,Entry!$B782&lt;=99991231),INT(Entry!$B782/10000)&amp;"/"&amp;RIGHT("00"&amp;INT(MOD(Entry!$B782,10000)/100),2)&amp;"/"&amp;RIGHT("00"&amp;MOD(Entry!$B782,100),2),"نامعتبر"),IF(LEN(Entry!$B782)=10,Entry!$B782,"نامعتبر")))</f>
        <v/>
      </c>
      <c r="F779" t="str">
        <f>IF(Entry!$B782="","",IF(Entry!$C782="","0000",IF(AND(ISNUMBER(Entry!$C782),Entry!$C782&gt;=0,Entry!$C782&lt;1),RIGHT("00"&amp;HOUR(Entry!$C782),2)&amp;RIGHT("00"&amp;MINUTE(Entry!$C782),2),IFERROR(RIGHT("00"&amp;VALUE(LEFT(Entry!$C782,FIND(":",Entry!$C782)-1)),2)&amp;RIGHT("00"&amp;VALUE(MID(Entry!$C782,FIND(":",Entry!$C782)+1,2)),2),"0000"))))</f>
        <v/>
      </c>
      <c r="G779" t="str">
        <f>IF($A779="","",Entry!$G782)</f>
        <v/>
      </c>
      <c r="H779" t="str">
        <f>IF($A779="","",IF(Entry!$H782="",0,Entry!$H782))</f>
        <v/>
      </c>
      <c r="I779" t="str">
        <f>IF($A779="","",IF(Entry!$I782="",0,Entry!$I782))</f>
        <v/>
      </c>
      <c r="J779" t="str">
        <f t="shared" si="86"/>
        <v/>
      </c>
      <c r="K779" t="str">
        <f>IF($A779="","",Entry!$D782)</f>
        <v/>
      </c>
      <c r="L779" t="str">
        <f>IF($A779="","",Entry!$L782)</f>
        <v/>
      </c>
      <c r="N779" t="str">
        <f>IF(OR(Sync!$M779="",$Q779="",$Q779="نامعتبر"),"",Sync!$M779)</f>
        <v/>
      </c>
      <c r="O779" t="str">
        <f t="shared" si="87"/>
        <v/>
      </c>
      <c r="P779" t="str">
        <f>IF($N779="","",LEFT($Q779,4)&amp;MID($Q779,6,2)&amp;RIGHT($Q779,2)&amp;IF(Sync!$K779="","0000",IF(AND(ISNUMBER(Sync!$K779),Sync!$K779&gt;=0,Sync!$K779&lt;1),RIGHT("00"&amp;HOUR(Sync!$K779),2)&amp;RIGHT("00"&amp;MINUTE(Sync!$K779),2),IFERROR(RIGHT("00"&amp;VALUE(LEFT(Sync!$K779,FIND(":",Sync!$K779)-1)),2)&amp;RIGHT("00"&amp;VALUE(MID(Sync!$K779,FIND(":",Sync!$K779)+1,2)),2),"0000")))&amp;"|"&amp;"2"&amp;RIGHT("00000"&amp;774,5))</f>
        <v/>
      </c>
      <c r="Q779" t="str">
        <f>IF(Sync!$J779="","",IF(ISNUMBER(Sync!$J779),IF(AND(Sync!$J779&gt;=10000101,Sync!$J779&lt;=99991231),INT(Sync!$J779/10000)&amp;"/"&amp;RIGHT("00"&amp;INT(MOD(Sync!$J779,10000)/100),2)&amp;"/"&amp;RIGHT("00"&amp;MOD(Sync!$J779,100),2),"نامعتبر"),IF(LEN(Sync!$J779)=10,Sync!$J779,"نامعتبر")))</f>
        <v/>
      </c>
      <c r="R779" t="str">
        <f t="shared" si="88"/>
        <v/>
      </c>
      <c r="S779" t="str">
        <f t="shared" si="89"/>
        <v/>
      </c>
      <c r="T779" t="str">
        <f>IF($N779="","",IF(Sync!$N779="",0,Sync!$N779))</f>
        <v/>
      </c>
      <c r="U779" t="str">
        <f>IF($N779="","",IF(Sync!$O779="",0,Sync!$O779))</f>
        <v/>
      </c>
      <c r="V779" t="str">
        <f>IF($N779="","",Sync!$L779)</f>
        <v/>
      </c>
      <c r="W779" t="str">
        <f>IF($N779="","",Sync!$P779)</f>
        <v/>
      </c>
      <c r="AA779" t="str">
        <f>IF($A779="","",IF(COUNTIF($A$6:$A779,$A779)=1,1,0))</f>
        <v/>
      </c>
      <c r="AB779">
        <f>SUM($AA$6:$AA779)</f>
        <v>3</v>
      </c>
      <c r="AC779" t="str">
        <f t="shared" si="90"/>
        <v/>
      </c>
    </row>
    <row r="780" spans="1:29" x14ac:dyDescent="0.2">
      <c r="A780" t="str">
        <f>IF(OR(Entry!$B783="",Entry!$E783="",$E780="نامعتبر"),"",Entry!$E783)</f>
        <v/>
      </c>
      <c r="B780" t="str">
        <f>IF($A780="","",LEFT($E780,4)&amp;MID($E780,6,2)&amp;RIGHT($E780,2)&amp;$F780&amp;"|"&amp;"1"&amp;RIGHT("00000"&amp;775,5))</f>
        <v/>
      </c>
      <c r="C780" t="str">
        <f t="shared" si="84"/>
        <v/>
      </c>
      <c r="D780" t="str">
        <f t="shared" si="85"/>
        <v/>
      </c>
      <c r="E780" t="str">
        <f>IF(Entry!$B783="","",IF(ISNUMBER(Entry!$B783),IF(AND(Entry!$B783&gt;=10000101,Entry!$B783&lt;=99991231),INT(Entry!$B783/10000)&amp;"/"&amp;RIGHT("00"&amp;INT(MOD(Entry!$B783,10000)/100),2)&amp;"/"&amp;RIGHT("00"&amp;MOD(Entry!$B783,100),2),"نامعتبر"),IF(LEN(Entry!$B783)=10,Entry!$B783,"نامعتبر")))</f>
        <v/>
      </c>
      <c r="F780" t="str">
        <f>IF(Entry!$B783="","",IF(Entry!$C783="","0000",IF(AND(ISNUMBER(Entry!$C783),Entry!$C783&gt;=0,Entry!$C783&lt;1),RIGHT("00"&amp;HOUR(Entry!$C783),2)&amp;RIGHT("00"&amp;MINUTE(Entry!$C783),2),IFERROR(RIGHT("00"&amp;VALUE(LEFT(Entry!$C783,FIND(":",Entry!$C783)-1)),2)&amp;RIGHT("00"&amp;VALUE(MID(Entry!$C783,FIND(":",Entry!$C783)+1,2)),2),"0000"))))</f>
        <v/>
      </c>
      <c r="G780" t="str">
        <f>IF($A780="","",Entry!$G783)</f>
        <v/>
      </c>
      <c r="H780" t="str">
        <f>IF($A780="","",IF(Entry!$H783="",0,Entry!$H783))</f>
        <v/>
      </c>
      <c r="I780" t="str">
        <f>IF($A780="","",IF(Entry!$I783="",0,Entry!$I783))</f>
        <v/>
      </c>
      <c r="J780" t="str">
        <f t="shared" si="86"/>
        <v/>
      </c>
      <c r="K780" t="str">
        <f>IF($A780="","",Entry!$D783)</f>
        <v/>
      </c>
      <c r="L780" t="str">
        <f>IF($A780="","",Entry!$L783)</f>
        <v/>
      </c>
      <c r="N780" t="str">
        <f>IF(OR(Sync!$M780="",$Q780="",$Q780="نامعتبر"),"",Sync!$M780)</f>
        <v/>
      </c>
      <c r="O780" t="str">
        <f t="shared" si="87"/>
        <v/>
      </c>
      <c r="P780" t="str">
        <f>IF($N780="","",LEFT($Q780,4)&amp;MID($Q780,6,2)&amp;RIGHT($Q780,2)&amp;IF(Sync!$K780="","0000",IF(AND(ISNUMBER(Sync!$K780),Sync!$K780&gt;=0,Sync!$K780&lt;1),RIGHT("00"&amp;HOUR(Sync!$K780),2)&amp;RIGHT("00"&amp;MINUTE(Sync!$K780),2),IFERROR(RIGHT("00"&amp;VALUE(LEFT(Sync!$K780,FIND(":",Sync!$K780)-1)),2)&amp;RIGHT("00"&amp;VALUE(MID(Sync!$K780,FIND(":",Sync!$K780)+1,2)),2),"0000")))&amp;"|"&amp;"2"&amp;RIGHT("00000"&amp;775,5))</f>
        <v/>
      </c>
      <c r="Q780" t="str">
        <f>IF(Sync!$J780="","",IF(ISNUMBER(Sync!$J780),IF(AND(Sync!$J780&gt;=10000101,Sync!$J780&lt;=99991231),INT(Sync!$J780/10000)&amp;"/"&amp;RIGHT("00"&amp;INT(MOD(Sync!$J780,10000)/100),2)&amp;"/"&amp;RIGHT("00"&amp;MOD(Sync!$J780,100),2),"نامعتبر"),IF(LEN(Sync!$J780)=10,Sync!$J780,"نامعتبر")))</f>
        <v/>
      </c>
      <c r="R780" t="str">
        <f t="shared" si="88"/>
        <v/>
      </c>
      <c r="S780" t="str">
        <f t="shared" si="89"/>
        <v/>
      </c>
      <c r="T780" t="str">
        <f>IF($N780="","",IF(Sync!$N780="",0,Sync!$N780))</f>
        <v/>
      </c>
      <c r="U780" t="str">
        <f>IF($N780="","",IF(Sync!$O780="",0,Sync!$O780))</f>
        <v/>
      </c>
      <c r="V780" t="str">
        <f>IF($N780="","",Sync!$L780)</f>
        <v/>
      </c>
      <c r="W780" t="str">
        <f>IF($N780="","",Sync!$P780)</f>
        <v/>
      </c>
      <c r="AA780" t="str">
        <f>IF($A780="","",IF(COUNTIF($A$6:$A780,$A780)=1,1,0))</f>
        <v/>
      </c>
      <c r="AB780">
        <f>SUM($AA$6:$AA780)</f>
        <v>3</v>
      </c>
      <c r="AC780" t="str">
        <f t="shared" si="90"/>
        <v/>
      </c>
    </row>
    <row r="781" spans="1:29" x14ac:dyDescent="0.2">
      <c r="A781" t="str">
        <f>IF(OR(Entry!$B784="",Entry!$E784="",$E781="نامعتبر"),"",Entry!$E784)</f>
        <v/>
      </c>
      <c r="B781" t="str">
        <f>IF($A781="","",LEFT($E781,4)&amp;MID($E781,6,2)&amp;RIGHT($E781,2)&amp;$F781&amp;"|"&amp;"1"&amp;RIGHT("00000"&amp;776,5))</f>
        <v/>
      </c>
      <c r="C781" t="str">
        <f t="shared" si="84"/>
        <v/>
      </c>
      <c r="D781" t="str">
        <f t="shared" si="85"/>
        <v/>
      </c>
      <c r="E781" t="str">
        <f>IF(Entry!$B784="","",IF(ISNUMBER(Entry!$B784),IF(AND(Entry!$B784&gt;=10000101,Entry!$B784&lt;=99991231),INT(Entry!$B784/10000)&amp;"/"&amp;RIGHT("00"&amp;INT(MOD(Entry!$B784,10000)/100),2)&amp;"/"&amp;RIGHT("00"&amp;MOD(Entry!$B784,100),2),"نامعتبر"),IF(LEN(Entry!$B784)=10,Entry!$B784,"نامعتبر")))</f>
        <v/>
      </c>
      <c r="F781" t="str">
        <f>IF(Entry!$B784="","",IF(Entry!$C784="","0000",IF(AND(ISNUMBER(Entry!$C784),Entry!$C784&gt;=0,Entry!$C784&lt;1),RIGHT("00"&amp;HOUR(Entry!$C784),2)&amp;RIGHT("00"&amp;MINUTE(Entry!$C784),2),IFERROR(RIGHT("00"&amp;VALUE(LEFT(Entry!$C784,FIND(":",Entry!$C784)-1)),2)&amp;RIGHT("00"&amp;VALUE(MID(Entry!$C784,FIND(":",Entry!$C784)+1,2)),2),"0000"))))</f>
        <v/>
      </c>
      <c r="G781" t="str">
        <f>IF($A781="","",Entry!$G784)</f>
        <v/>
      </c>
      <c r="H781" t="str">
        <f>IF($A781="","",IF(Entry!$H784="",0,Entry!$H784))</f>
        <v/>
      </c>
      <c r="I781" t="str">
        <f>IF($A781="","",IF(Entry!$I784="",0,Entry!$I784))</f>
        <v/>
      </c>
      <c r="J781" t="str">
        <f t="shared" si="86"/>
        <v/>
      </c>
      <c r="K781" t="str">
        <f>IF($A781="","",Entry!$D784)</f>
        <v/>
      </c>
      <c r="L781" t="str">
        <f>IF($A781="","",Entry!$L784)</f>
        <v/>
      </c>
      <c r="N781" t="str">
        <f>IF(OR(Sync!$M781="",$Q781="",$Q781="نامعتبر"),"",Sync!$M781)</f>
        <v/>
      </c>
      <c r="O781" t="str">
        <f t="shared" si="87"/>
        <v/>
      </c>
      <c r="P781" t="str">
        <f>IF($N781="","",LEFT($Q781,4)&amp;MID($Q781,6,2)&amp;RIGHT($Q781,2)&amp;IF(Sync!$K781="","0000",IF(AND(ISNUMBER(Sync!$K781),Sync!$K781&gt;=0,Sync!$K781&lt;1),RIGHT("00"&amp;HOUR(Sync!$K781),2)&amp;RIGHT("00"&amp;MINUTE(Sync!$K781),2),IFERROR(RIGHT("00"&amp;VALUE(LEFT(Sync!$K781,FIND(":",Sync!$K781)-1)),2)&amp;RIGHT("00"&amp;VALUE(MID(Sync!$K781,FIND(":",Sync!$K781)+1,2)),2),"0000")))&amp;"|"&amp;"2"&amp;RIGHT("00000"&amp;776,5))</f>
        <v/>
      </c>
      <c r="Q781" t="str">
        <f>IF(Sync!$J781="","",IF(ISNUMBER(Sync!$J781),IF(AND(Sync!$J781&gt;=10000101,Sync!$J781&lt;=99991231),INT(Sync!$J781/10000)&amp;"/"&amp;RIGHT("00"&amp;INT(MOD(Sync!$J781,10000)/100),2)&amp;"/"&amp;RIGHT("00"&amp;MOD(Sync!$J781,100),2),"نامعتبر"),IF(LEN(Sync!$J781)=10,Sync!$J781,"نامعتبر")))</f>
        <v/>
      </c>
      <c r="R781" t="str">
        <f t="shared" si="88"/>
        <v/>
      </c>
      <c r="S781" t="str">
        <f t="shared" si="89"/>
        <v/>
      </c>
      <c r="T781" t="str">
        <f>IF($N781="","",IF(Sync!$N781="",0,Sync!$N781))</f>
        <v/>
      </c>
      <c r="U781" t="str">
        <f>IF($N781="","",IF(Sync!$O781="",0,Sync!$O781))</f>
        <v/>
      </c>
      <c r="V781" t="str">
        <f>IF($N781="","",Sync!$L781)</f>
        <v/>
      </c>
      <c r="W781" t="str">
        <f>IF($N781="","",Sync!$P781)</f>
        <v/>
      </c>
      <c r="AA781" t="str">
        <f>IF($A781="","",IF(COUNTIF($A$6:$A781,$A781)=1,1,0))</f>
        <v/>
      </c>
      <c r="AB781">
        <f>SUM($AA$6:$AA781)</f>
        <v>3</v>
      </c>
      <c r="AC781" t="str">
        <f t="shared" si="90"/>
        <v/>
      </c>
    </row>
    <row r="782" spans="1:29" x14ac:dyDescent="0.2">
      <c r="A782" t="str">
        <f>IF(OR(Entry!$B785="",Entry!$E785="",$E782="نامعتبر"),"",Entry!$E785)</f>
        <v/>
      </c>
      <c r="B782" t="str">
        <f>IF($A782="","",LEFT($E782,4)&amp;MID($E782,6,2)&amp;RIGHT($E782,2)&amp;$F782&amp;"|"&amp;"1"&amp;RIGHT("00000"&amp;777,5))</f>
        <v/>
      </c>
      <c r="C782" t="str">
        <f t="shared" si="84"/>
        <v/>
      </c>
      <c r="D782" t="str">
        <f t="shared" si="85"/>
        <v/>
      </c>
      <c r="E782" t="str">
        <f>IF(Entry!$B785="","",IF(ISNUMBER(Entry!$B785),IF(AND(Entry!$B785&gt;=10000101,Entry!$B785&lt;=99991231),INT(Entry!$B785/10000)&amp;"/"&amp;RIGHT("00"&amp;INT(MOD(Entry!$B785,10000)/100),2)&amp;"/"&amp;RIGHT("00"&amp;MOD(Entry!$B785,100),2),"نامعتبر"),IF(LEN(Entry!$B785)=10,Entry!$B785,"نامعتبر")))</f>
        <v/>
      </c>
      <c r="F782" t="str">
        <f>IF(Entry!$B785="","",IF(Entry!$C785="","0000",IF(AND(ISNUMBER(Entry!$C785),Entry!$C785&gt;=0,Entry!$C785&lt;1),RIGHT("00"&amp;HOUR(Entry!$C785),2)&amp;RIGHT("00"&amp;MINUTE(Entry!$C785),2),IFERROR(RIGHT("00"&amp;VALUE(LEFT(Entry!$C785,FIND(":",Entry!$C785)-1)),2)&amp;RIGHT("00"&amp;VALUE(MID(Entry!$C785,FIND(":",Entry!$C785)+1,2)),2),"0000"))))</f>
        <v/>
      </c>
      <c r="G782" t="str">
        <f>IF($A782="","",Entry!$G785)</f>
        <v/>
      </c>
      <c r="H782" t="str">
        <f>IF($A782="","",IF(Entry!$H785="",0,Entry!$H785))</f>
        <v/>
      </c>
      <c r="I782" t="str">
        <f>IF($A782="","",IF(Entry!$I785="",0,Entry!$I785))</f>
        <v/>
      </c>
      <c r="J782" t="str">
        <f t="shared" si="86"/>
        <v/>
      </c>
      <c r="K782" t="str">
        <f>IF($A782="","",Entry!$D785)</f>
        <v/>
      </c>
      <c r="L782" t="str">
        <f>IF($A782="","",Entry!$L785)</f>
        <v/>
      </c>
      <c r="N782" t="str">
        <f>IF(OR(Sync!$M782="",$Q782="",$Q782="نامعتبر"),"",Sync!$M782)</f>
        <v/>
      </c>
      <c r="O782" t="str">
        <f t="shared" si="87"/>
        <v/>
      </c>
      <c r="P782" t="str">
        <f>IF($N782="","",LEFT($Q782,4)&amp;MID($Q782,6,2)&amp;RIGHT($Q782,2)&amp;IF(Sync!$K782="","0000",IF(AND(ISNUMBER(Sync!$K782),Sync!$K782&gt;=0,Sync!$K782&lt;1),RIGHT("00"&amp;HOUR(Sync!$K782),2)&amp;RIGHT("00"&amp;MINUTE(Sync!$K782),2),IFERROR(RIGHT("00"&amp;VALUE(LEFT(Sync!$K782,FIND(":",Sync!$K782)-1)),2)&amp;RIGHT("00"&amp;VALUE(MID(Sync!$K782,FIND(":",Sync!$K782)+1,2)),2),"0000")))&amp;"|"&amp;"2"&amp;RIGHT("00000"&amp;777,5))</f>
        <v/>
      </c>
      <c r="Q782" t="str">
        <f>IF(Sync!$J782="","",IF(ISNUMBER(Sync!$J782),IF(AND(Sync!$J782&gt;=10000101,Sync!$J782&lt;=99991231),INT(Sync!$J782/10000)&amp;"/"&amp;RIGHT("00"&amp;INT(MOD(Sync!$J782,10000)/100),2)&amp;"/"&amp;RIGHT("00"&amp;MOD(Sync!$J782,100),2),"نامعتبر"),IF(LEN(Sync!$J782)=10,Sync!$J782,"نامعتبر")))</f>
        <v/>
      </c>
      <c r="R782" t="str">
        <f t="shared" si="88"/>
        <v/>
      </c>
      <c r="S782" t="str">
        <f t="shared" si="89"/>
        <v/>
      </c>
      <c r="T782" t="str">
        <f>IF($N782="","",IF(Sync!$N782="",0,Sync!$N782))</f>
        <v/>
      </c>
      <c r="U782" t="str">
        <f>IF($N782="","",IF(Sync!$O782="",0,Sync!$O782))</f>
        <v/>
      </c>
      <c r="V782" t="str">
        <f>IF($N782="","",Sync!$L782)</f>
        <v/>
      </c>
      <c r="W782" t="str">
        <f>IF($N782="","",Sync!$P782)</f>
        <v/>
      </c>
      <c r="AA782" t="str">
        <f>IF($A782="","",IF(COUNTIF($A$6:$A782,$A782)=1,1,0))</f>
        <v/>
      </c>
      <c r="AB782">
        <f>SUM($AA$6:$AA782)</f>
        <v>3</v>
      </c>
      <c r="AC782" t="str">
        <f t="shared" si="90"/>
        <v/>
      </c>
    </row>
    <row r="783" spans="1:29" x14ac:dyDescent="0.2">
      <c r="A783" t="str">
        <f>IF(OR(Entry!$B786="",Entry!$E786="",$E783="نامعتبر"),"",Entry!$E786)</f>
        <v/>
      </c>
      <c r="B783" t="str">
        <f>IF($A783="","",LEFT($E783,4)&amp;MID($E783,6,2)&amp;RIGHT($E783,2)&amp;$F783&amp;"|"&amp;"1"&amp;RIGHT("00000"&amp;778,5))</f>
        <v/>
      </c>
      <c r="C783" t="str">
        <f t="shared" si="84"/>
        <v/>
      </c>
      <c r="D783" t="str">
        <f t="shared" si="85"/>
        <v/>
      </c>
      <c r="E783" t="str">
        <f>IF(Entry!$B786="","",IF(ISNUMBER(Entry!$B786),IF(AND(Entry!$B786&gt;=10000101,Entry!$B786&lt;=99991231),INT(Entry!$B786/10000)&amp;"/"&amp;RIGHT("00"&amp;INT(MOD(Entry!$B786,10000)/100),2)&amp;"/"&amp;RIGHT("00"&amp;MOD(Entry!$B786,100),2),"نامعتبر"),IF(LEN(Entry!$B786)=10,Entry!$B786,"نامعتبر")))</f>
        <v/>
      </c>
      <c r="F783" t="str">
        <f>IF(Entry!$B786="","",IF(Entry!$C786="","0000",IF(AND(ISNUMBER(Entry!$C786),Entry!$C786&gt;=0,Entry!$C786&lt;1),RIGHT("00"&amp;HOUR(Entry!$C786),2)&amp;RIGHT("00"&amp;MINUTE(Entry!$C786),2),IFERROR(RIGHT("00"&amp;VALUE(LEFT(Entry!$C786,FIND(":",Entry!$C786)-1)),2)&amp;RIGHT("00"&amp;VALUE(MID(Entry!$C786,FIND(":",Entry!$C786)+1,2)),2),"0000"))))</f>
        <v/>
      </c>
      <c r="G783" t="str">
        <f>IF($A783="","",Entry!$G786)</f>
        <v/>
      </c>
      <c r="H783" t="str">
        <f>IF($A783="","",IF(Entry!$H786="",0,Entry!$H786))</f>
        <v/>
      </c>
      <c r="I783" t="str">
        <f>IF($A783="","",IF(Entry!$I786="",0,Entry!$I786))</f>
        <v/>
      </c>
      <c r="J783" t="str">
        <f t="shared" si="86"/>
        <v/>
      </c>
      <c r="K783" t="str">
        <f>IF($A783="","",Entry!$D786)</f>
        <v/>
      </c>
      <c r="L783" t="str">
        <f>IF($A783="","",Entry!$L786)</f>
        <v/>
      </c>
      <c r="N783" t="str">
        <f>IF(OR(Sync!$M783="",$Q783="",$Q783="نامعتبر"),"",Sync!$M783)</f>
        <v/>
      </c>
      <c r="O783" t="str">
        <f t="shared" si="87"/>
        <v/>
      </c>
      <c r="P783" t="str">
        <f>IF($N783="","",LEFT($Q783,4)&amp;MID($Q783,6,2)&amp;RIGHT($Q783,2)&amp;IF(Sync!$K783="","0000",IF(AND(ISNUMBER(Sync!$K783),Sync!$K783&gt;=0,Sync!$K783&lt;1),RIGHT("00"&amp;HOUR(Sync!$K783),2)&amp;RIGHT("00"&amp;MINUTE(Sync!$K783),2),IFERROR(RIGHT("00"&amp;VALUE(LEFT(Sync!$K783,FIND(":",Sync!$K783)-1)),2)&amp;RIGHT("00"&amp;VALUE(MID(Sync!$K783,FIND(":",Sync!$K783)+1,2)),2),"0000")))&amp;"|"&amp;"2"&amp;RIGHT("00000"&amp;778,5))</f>
        <v/>
      </c>
      <c r="Q783" t="str">
        <f>IF(Sync!$J783="","",IF(ISNUMBER(Sync!$J783),IF(AND(Sync!$J783&gt;=10000101,Sync!$J783&lt;=99991231),INT(Sync!$J783/10000)&amp;"/"&amp;RIGHT("00"&amp;INT(MOD(Sync!$J783,10000)/100),2)&amp;"/"&amp;RIGHT("00"&amp;MOD(Sync!$J783,100),2),"نامعتبر"),IF(LEN(Sync!$J783)=10,Sync!$J783,"نامعتبر")))</f>
        <v/>
      </c>
      <c r="R783" t="str">
        <f t="shared" si="88"/>
        <v/>
      </c>
      <c r="S783" t="str">
        <f t="shared" si="89"/>
        <v/>
      </c>
      <c r="T783" t="str">
        <f>IF($N783="","",IF(Sync!$N783="",0,Sync!$N783))</f>
        <v/>
      </c>
      <c r="U783" t="str">
        <f>IF($N783="","",IF(Sync!$O783="",0,Sync!$O783))</f>
        <v/>
      </c>
      <c r="V783" t="str">
        <f>IF($N783="","",Sync!$L783)</f>
        <v/>
      </c>
      <c r="W783" t="str">
        <f>IF($N783="","",Sync!$P783)</f>
        <v/>
      </c>
      <c r="AA783" t="str">
        <f>IF($A783="","",IF(COUNTIF($A$6:$A783,$A783)=1,1,0))</f>
        <v/>
      </c>
      <c r="AB783">
        <f>SUM($AA$6:$AA783)</f>
        <v>3</v>
      </c>
      <c r="AC783" t="str">
        <f t="shared" si="90"/>
        <v/>
      </c>
    </row>
    <row r="784" spans="1:29" x14ac:dyDescent="0.2">
      <c r="A784" t="str">
        <f>IF(OR(Entry!$B787="",Entry!$E787="",$E784="نامعتبر"),"",Entry!$E787)</f>
        <v/>
      </c>
      <c r="B784" t="str">
        <f>IF($A784="","",LEFT($E784,4)&amp;MID($E784,6,2)&amp;RIGHT($E784,2)&amp;$F784&amp;"|"&amp;"1"&amp;RIGHT("00000"&amp;779,5))</f>
        <v/>
      </c>
      <c r="C784" t="str">
        <f t="shared" si="84"/>
        <v/>
      </c>
      <c r="D784" t="str">
        <f t="shared" si="85"/>
        <v/>
      </c>
      <c r="E784" t="str">
        <f>IF(Entry!$B787="","",IF(ISNUMBER(Entry!$B787),IF(AND(Entry!$B787&gt;=10000101,Entry!$B787&lt;=99991231),INT(Entry!$B787/10000)&amp;"/"&amp;RIGHT("00"&amp;INT(MOD(Entry!$B787,10000)/100),2)&amp;"/"&amp;RIGHT("00"&amp;MOD(Entry!$B787,100),2),"نامعتبر"),IF(LEN(Entry!$B787)=10,Entry!$B787,"نامعتبر")))</f>
        <v/>
      </c>
      <c r="F784" t="str">
        <f>IF(Entry!$B787="","",IF(Entry!$C787="","0000",IF(AND(ISNUMBER(Entry!$C787),Entry!$C787&gt;=0,Entry!$C787&lt;1),RIGHT("00"&amp;HOUR(Entry!$C787),2)&amp;RIGHT("00"&amp;MINUTE(Entry!$C787),2),IFERROR(RIGHT("00"&amp;VALUE(LEFT(Entry!$C787,FIND(":",Entry!$C787)-1)),2)&amp;RIGHT("00"&amp;VALUE(MID(Entry!$C787,FIND(":",Entry!$C787)+1,2)),2),"0000"))))</f>
        <v/>
      </c>
      <c r="G784" t="str">
        <f>IF($A784="","",Entry!$G787)</f>
        <v/>
      </c>
      <c r="H784" t="str">
        <f>IF($A784="","",IF(Entry!$H787="",0,Entry!$H787))</f>
        <v/>
      </c>
      <c r="I784" t="str">
        <f>IF($A784="","",IF(Entry!$I787="",0,Entry!$I787))</f>
        <v/>
      </c>
      <c r="J784" t="str">
        <f t="shared" si="86"/>
        <v/>
      </c>
      <c r="K784" t="str">
        <f>IF($A784="","",Entry!$D787)</f>
        <v/>
      </c>
      <c r="L784" t="str">
        <f>IF($A784="","",Entry!$L787)</f>
        <v/>
      </c>
      <c r="N784" t="str">
        <f>IF(OR(Sync!$M784="",$Q784="",$Q784="نامعتبر"),"",Sync!$M784)</f>
        <v/>
      </c>
      <c r="O784" t="str">
        <f t="shared" si="87"/>
        <v/>
      </c>
      <c r="P784" t="str">
        <f>IF($N784="","",LEFT($Q784,4)&amp;MID($Q784,6,2)&amp;RIGHT($Q784,2)&amp;IF(Sync!$K784="","0000",IF(AND(ISNUMBER(Sync!$K784),Sync!$K784&gt;=0,Sync!$K784&lt;1),RIGHT("00"&amp;HOUR(Sync!$K784),2)&amp;RIGHT("00"&amp;MINUTE(Sync!$K784),2),IFERROR(RIGHT("00"&amp;VALUE(LEFT(Sync!$K784,FIND(":",Sync!$K784)-1)),2)&amp;RIGHT("00"&amp;VALUE(MID(Sync!$K784,FIND(":",Sync!$K784)+1,2)),2),"0000")))&amp;"|"&amp;"2"&amp;RIGHT("00000"&amp;779,5))</f>
        <v/>
      </c>
      <c r="Q784" t="str">
        <f>IF(Sync!$J784="","",IF(ISNUMBER(Sync!$J784),IF(AND(Sync!$J784&gt;=10000101,Sync!$J784&lt;=99991231),INT(Sync!$J784/10000)&amp;"/"&amp;RIGHT("00"&amp;INT(MOD(Sync!$J784,10000)/100),2)&amp;"/"&amp;RIGHT("00"&amp;MOD(Sync!$J784,100),2),"نامعتبر"),IF(LEN(Sync!$J784)=10,Sync!$J784,"نامعتبر")))</f>
        <v/>
      </c>
      <c r="R784" t="str">
        <f t="shared" si="88"/>
        <v/>
      </c>
      <c r="S784" t="str">
        <f t="shared" si="89"/>
        <v/>
      </c>
      <c r="T784" t="str">
        <f>IF($N784="","",IF(Sync!$N784="",0,Sync!$N784))</f>
        <v/>
      </c>
      <c r="U784" t="str">
        <f>IF($N784="","",IF(Sync!$O784="",0,Sync!$O784))</f>
        <v/>
      </c>
      <c r="V784" t="str">
        <f>IF($N784="","",Sync!$L784)</f>
        <v/>
      </c>
      <c r="W784" t="str">
        <f>IF($N784="","",Sync!$P784)</f>
        <v/>
      </c>
      <c r="AA784" t="str">
        <f>IF($A784="","",IF(COUNTIF($A$6:$A784,$A784)=1,1,0))</f>
        <v/>
      </c>
      <c r="AB784">
        <f>SUM($AA$6:$AA784)</f>
        <v>3</v>
      </c>
      <c r="AC784" t="str">
        <f t="shared" si="90"/>
        <v/>
      </c>
    </row>
    <row r="785" spans="1:29" x14ac:dyDescent="0.2">
      <c r="A785" t="str">
        <f>IF(OR(Entry!$B788="",Entry!$E788="",$E785="نامعتبر"),"",Entry!$E788)</f>
        <v/>
      </c>
      <c r="B785" t="str">
        <f>IF($A785="","",LEFT($E785,4)&amp;MID($E785,6,2)&amp;RIGHT($E785,2)&amp;$F785&amp;"|"&amp;"1"&amp;RIGHT("00000"&amp;780,5))</f>
        <v/>
      </c>
      <c r="C785" t="str">
        <f t="shared" si="84"/>
        <v/>
      </c>
      <c r="D785" t="str">
        <f t="shared" si="85"/>
        <v/>
      </c>
      <c r="E785" t="str">
        <f>IF(Entry!$B788="","",IF(ISNUMBER(Entry!$B788),IF(AND(Entry!$B788&gt;=10000101,Entry!$B788&lt;=99991231),INT(Entry!$B788/10000)&amp;"/"&amp;RIGHT("00"&amp;INT(MOD(Entry!$B788,10000)/100),2)&amp;"/"&amp;RIGHT("00"&amp;MOD(Entry!$B788,100),2),"نامعتبر"),IF(LEN(Entry!$B788)=10,Entry!$B788,"نامعتبر")))</f>
        <v/>
      </c>
      <c r="F785" t="str">
        <f>IF(Entry!$B788="","",IF(Entry!$C788="","0000",IF(AND(ISNUMBER(Entry!$C788),Entry!$C788&gt;=0,Entry!$C788&lt;1),RIGHT("00"&amp;HOUR(Entry!$C788),2)&amp;RIGHT("00"&amp;MINUTE(Entry!$C788),2),IFERROR(RIGHT("00"&amp;VALUE(LEFT(Entry!$C788,FIND(":",Entry!$C788)-1)),2)&amp;RIGHT("00"&amp;VALUE(MID(Entry!$C788,FIND(":",Entry!$C788)+1,2)),2),"0000"))))</f>
        <v/>
      </c>
      <c r="G785" t="str">
        <f>IF($A785="","",Entry!$G788)</f>
        <v/>
      </c>
      <c r="H785" t="str">
        <f>IF($A785="","",IF(Entry!$H788="",0,Entry!$H788))</f>
        <v/>
      </c>
      <c r="I785" t="str">
        <f>IF($A785="","",IF(Entry!$I788="",0,Entry!$I788))</f>
        <v/>
      </c>
      <c r="J785" t="str">
        <f t="shared" si="86"/>
        <v/>
      </c>
      <c r="K785" t="str">
        <f>IF($A785="","",Entry!$D788)</f>
        <v/>
      </c>
      <c r="L785" t="str">
        <f>IF($A785="","",Entry!$L788)</f>
        <v/>
      </c>
      <c r="N785" t="str">
        <f>IF(OR(Sync!$M785="",$Q785="",$Q785="نامعتبر"),"",Sync!$M785)</f>
        <v/>
      </c>
      <c r="O785" t="str">
        <f t="shared" si="87"/>
        <v/>
      </c>
      <c r="P785" t="str">
        <f>IF($N785="","",LEFT($Q785,4)&amp;MID($Q785,6,2)&amp;RIGHT($Q785,2)&amp;IF(Sync!$K785="","0000",IF(AND(ISNUMBER(Sync!$K785),Sync!$K785&gt;=0,Sync!$K785&lt;1),RIGHT("00"&amp;HOUR(Sync!$K785),2)&amp;RIGHT("00"&amp;MINUTE(Sync!$K785),2),IFERROR(RIGHT("00"&amp;VALUE(LEFT(Sync!$K785,FIND(":",Sync!$K785)-1)),2)&amp;RIGHT("00"&amp;VALUE(MID(Sync!$K785,FIND(":",Sync!$K785)+1,2)),2),"0000")))&amp;"|"&amp;"2"&amp;RIGHT("00000"&amp;780,5))</f>
        <v/>
      </c>
      <c r="Q785" t="str">
        <f>IF(Sync!$J785="","",IF(ISNUMBER(Sync!$J785),IF(AND(Sync!$J785&gt;=10000101,Sync!$J785&lt;=99991231),INT(Sync!$J785/10000)&amp;"/"&amp;RIGHT("00"&amp;INT(MOD(Sync!$J785,10000)/100),2)&amp;"/"&amp;RIGHT("00"&amp;MOD(Sync!$J785,100),2),"نامعتبر"),IF(LEN(Sync!$J785)=10,Sync!$J785,"نامعتبر")))</f>
        <v/>
      </c>
      <c r="R785" t="str">
        <f t="shared" si="88"/>
        <v/>
      </c>
      <c r="S785" t="str">
        <f t="shared" si="89"/>
        <v/>
      </c>
      <c r="T785" t="str">
        <f>IF($N785="","",IF(Sync!$N785="",0,Sync!$N785))</f>
        <v/>
      </c>
      <c r="U785" t="str">
        <f>IF($N785="","",IF(Sync!$O785="",0,Sync!$O785))</f>
        <v/>
      </c>
      <c r="V785" t="str">
        <f>IF($N785="","",Sync!$L785)</f>
        <v/>
      </c>
      <c r="W785" t="str">
        <f>IF($N785="","",Sync!$P785)</f>
        <v/>
      </c>
      <c r="AA785" t="str">
        <f>IF($A785="","",IF(COUNTIF($A$6:$A785,$A785)=1,1,0))</f>
        <v/>
      </c>
      <c r="AB785">
        <f>SUM($AA$6:$AA785)</f>
        <v>3</v>
      </c>
      <c r="AC785" t="str">
        <f t="shared" si="90"/>
        <v/>
      </c>
    </row>
    <row r="786" spans="1:29" x14ac:dyDescent="0.2">
      <c r="A786" t="str">
        <f>IF(OR(Entry!$B789="",Entry!$E789="",$E786="نامعتبر"),"",Entry!$E789)</f>
        <v/>
      </c>
      <c r="B786" t="str">
        <f>IF($A786="","",LEFT($E786,4)&amp;MID($E786,6,2)&amp;RIGHT($E786,2)&amp;$F786&amp;"|"&amp;"1"&amp;RIGHT("00000"&amp;781,5))</f>
        <v/>
      </c>
      <c r="C786" t="str">
        <f t="shared" si="84"/>
        <v/>
      </c>
      <c r="D786" t="str">
        <f t="shared" si="85"/>
        <v/>
      </c>
      <c r="E786" t="str">
        <f>IF(Entry!$B789="","",IF(ISNUMBER(Entry!$B789),IF(AND(Entry!$B789&gt;=10000101,Entry!$B789&lt;=99991231),INT(Entry!$B789/10000)&amp;"/"&amp;RIGHT("00"&amp;INT(MOD(Entry!$B789,10000)/100),2)&amp;"/"&amp;RIGHT("00"&amp;MOD(Entry!$B789,100),2),"نامعتبر"),IF(LEN(Entry!$B789)=10,Entry!$B789,"نامعتبر")))</f>
        <v/>
      </c>
      <c r="F786" t="str">
        <f>IF(Entry!$B789="","",IF(Entry!$C789="","0000",IF(AND(ISNUMBER(Entry!$C789),Entry!$C789&gt;=0,Entry!$C789&lt;1),RIGHT("00"&amp;HOUR(Entry!$C789),2)&amp;RIGHT("00"&amp;MINUTE(Entry!$C789),2),IFERROR(RIGHT("00"&amp;VALUE(LEFT(Entry!$C789,FIND(":",Entry!$C789)-1)),2)&amp;RIGHT("00"&amp;VALUE(MID(Entry!$C789,FIND(":",Entry!$C789)+1,2)),2),"0000"))))</f>
        <v/>
      </c>
      <c r="G786" t="str">
        <f>IF($A786="","",Entry!$G789)</f>
        <v/>
      </c>
      <c r="H786" t="str">
        <f>IF($A786="","",IF(Entry!$H789="",0,Entry!$H789))</f>
        <v/>
      </c>
      <c r="I786" t="str">
        <f>IF($A786="","",IF(Entry!$I789="",0,Entry!$I789))</f>
        <v/>
      </c>
      <c r="J786" t="str">
        <f t="shared" si="86"/>
        <v/>
      </c>
      <c r="K786" t="str">
        <f>IF($A786="","",Entry!$D789)</f>
        <v/>
      </c>
      <c r="L786" t="str">
        <f>IF($A786="","",Entry!$L789)</f>
        <v/>
      </c>
      <c r="N786" t="str">
        <f>IF(OR(Sync!$M786="",$Q786="",$Q786="نامعتبر"),"",Sync!$M786)</f>
        <v/>
      </c>
      <c r="O786" t="str">
        <f t="shared" si="87"/>
        <v/>
      </c>
      <c r="P786" t="str">
        <f>IF($N786="","",LEFT($Q786,4)&amp;MID($Q786,6,2)&amp;RIGHT($Q786,2)&amp;IF(Sync!$K786="","0000",IF(AND(ISNUMBER(Sync!$K786),Sync!$K786&gt;=0,Sync!$K786&lt;1),RIGHT("00"&amp;HOUR(Sync!$K786),2)&amp;RIGHT("00"&amp;MINUTE(Sync!$K786),2),IFERROR(RIGHT("00"&amp;VALUE(LEFT(Sync!$K786,FIND(":",Sync!$K786)-1)),2)&amp;RIGHT("00"&amp;VALUE(MID(Sync!$K786,FIND(":",Sync!$K786)+1,2)),2),"0000")))&amp;"|"&amp;"2"&amp;RIGHT("00000"&amp;781,5))</f>
        <v/>
      </c>
      <c r="Q786" t="str">
        <f>IF(Sync!$J786="","",IF(ISNUMBER(Sync!$J786),IF(AND(Sync!$J786&gt;=10000101,Sync!$J786&lt;=99991231),INT(Sync!$J786/10000)&amp;"/"&amp;RIGHT("00"&amp;INT(MOD(Sync!$J786,10000)/100),2)&amp;"/"&amp;RIGHT("00"&amp;MOD(Sync!$J786,100),2),"نامعتبر"),IF(LEN(Sync!$J786)=10,Sync!$J786,"نامعتبر")))</f>
        <v/>
      </c>
      <c r="R786" t="str">
        <f t="shared" si="88"/>
        <v/>
      </c>
      <c r="S786" t="str">
        <f t="shared" si="89"/>
        <v/>
      </c>
      <c r="T786" t="str">
        <f>IF($N786="","",IF(Sync!$N786="",0,Sync!$N786))</f>
        <v/>
      </c>
      <c r="U786" t="str">
        <f>IF($N786="","",IF(Sync!$O786="",0,Sync!$O786))</f>
        <v/>
      </c>
      <c r="V786" t="str">
        <f>IF($N786="","",Sync!$L786)</f>
        <v/>
      </c>
      <c r="W786" t="str">
        <f>IF($N786="","",Sync!$P786)</f>
        <v/>
      </c>
      <c r="AA786" t="str">
        <f>IF($A786="","",IF(COUNTIF($A$6:$A786,$A786)=1,1,0))</f>
        <v/>
      </c>
      <c r="AB786">
        <f>SUM($AA$6:$AA786)</f>
        <v>3</v>
      </c>
      <c r="AC786" t="str">
        <f t="shared" si="90"/>
        <v/>
      </c>
    </row>
    <row r="787" spans="1:29" x14ac:dyDescent="0.2">
      <c r="A787" t="str">
        <f>IF(OR(Entry!$B790="",Entry!$E790="",$E787="نامعتبر"),"",Entry!$E790)</f>
        <v/>
      </c>
      <c r="B787" t="str">
        <f>IF($A787="","",LEFT($E787,4)&amp;MID($E787,6,2)&amp;RIGHT($E787,2)&amp;$F787&amp;"|"&amp;"1"&amp;RIGHT("00000"&amp;782,5))</f>
        <v/>
      </c>
      <c r="C787" t="str">
        <f t="shared" si="84"/>
        <v/>
      </c>
      <c r="D787" t="str">
        <f t="shared" si="85"/>
        <v/>
      </c>
      <c r="E787" t="str">
        <f>IF(Entry!$B790="","",IF(ISNUMBER(Entry!$B790),IF(AND(Entry!$B790&gt;=10000101,Entry!$B790&lt;=99991231),INT(Entry!$B790/10000)&amp;"/"&amp;RIGHT("00"&amp;INT(MOD(Entry!$B790,10000)/100),2)&amp;"/"&amp;RIGHT("00"&amp;MOD(Entry!$B790,100),2),"نامعتبر"),IF(LEN(Entry!$B790)=10,Entry!$B790,"نامعتبر")))</f>
        <v/>
      </c>
      <c r="F787" t="str">
        <f>IF(Entry!$B790="","",IF(Entry!$C790="","0000",IF(AND(ISNUMBER(Entry!$C790),Entry!$C790&gt;=0,Entry!$C790&lt;1),RIGHT("00"&amp;HOUR(Entry!$C790),2)&amp;RIGHT("00"&amp;MINUTE(Entry!$C790),2),IFERROR(RIGHT("00"&amp;VALUE(LEFT(Entry!$C790,FIND(":",Entry!$C790)-1)),2)&amp;RIGHT("00"&amp;VALUE(MID(Entry!$C790,FIND(":",Entry!$C790)+1,2)),2),"0000"))))</f>
        <v/>
      </c>
      <c r="G787" t="str">
        <f>IF($A787="","",Entry!$G790)</f>
        <v/>
      </c>
      <c r="H787" t="str">
        <f>IF($A787="","",IF(Entry!$H790="",0,Entry!$H790))</f>
        <v/>
      </c>
      <c r="I787" t="str">
        <f>IF($A787="","",IF(Entry!$I790="",0,Entry!$I790))</f>
        <v/>
      </c>
      <c r="J787" t="str">
        <f t="shared" si="86"/>
        <v/>
      </c>
      <c r="K787" t="str">
        <f>IF($A787="","",Entry!$D790)</f>
        <v/>
      </c>
      <c r="L787" t="str">
        <f>IF($A787="","",Entry!$L790)</f>
        <v/>
      </c>
      <c r="N787" t="str">
        <f>IF(OR(Sync!$M787="",$Q787="",$Q787="نامعتبر"),"",Sync!$M787)</f>
        <v/>
      </c>
      <c r="O787" t="str">
        <f t="shared" si="87"/>
        <v/>
      </c>
      <c r="P787" t="str">
        <f>IF($N787="","",LEFT($Q787,4)&amp;MID($Q787,6,2)&amp;RIGHT($Q787,2)&amp;IF(Sync!$K787="","0000",IF(AND(ISNUMBER(Sync!$K787),Sync!$K787&gt;=0,Sync!$K787&lt;1),RIGHT("00"&amp;HOUR(Sync!$K787),2)&amp;RIGHT("00"&amp;MINUTE(Sync!$K787),2),IFERROR(RIGHT("00"&amp;VALUE(LEFT(Sync!$K787,FIND(":",Sync!$K787)-1)),2)&amp;RIGHT("00"&amp;VALUE(MID(Sync!$K787,FIND(":",Sync!$K787)+1,2)),2),"0000")))&amp;"|"&amp;"2"&amp;RIGHT("00000"&amp;782,5))</f>
        <v/>
      </c>
      <c r="Q787" t="str">
        <f>IF(Sync!$J787="","",IF(ISNUMBER(Sync!$J787),IF(AND(Sync!$J787&gt;=10000101,Sync!$J787&lt;=99991231),INT(Sync!$J787/10000)&amp;"/"&amp;RIGHT("00"&amp;INT(MOD(Sync!$J787,10000)/100),2)&amp;"/"&amp;RIGHT("00"&amp;MOD(Sync!$J787,100),2),"نامعتبر"),IF(LEN(Sync!$J787)=10,Sync!$J787,"نامعتبر")))</f>
        <v/>
      </c>
      <c r="R787" t="str">
        <f t="shared" si="88"/>
        <v/>
      </c>
      <c r="S787" t="str">
        <f t="shared" si="89"/>
        <v/>
      </c>
      <c r="T787" t="str">
        <f>IF($N787="","",IF(Sync!$N787="",0,Sync!$N787))</f>
        <v/>
      </c>
      <c r="U787" t="str">
        <f>IF($N787="","",IF(Sync!$O787="",0,Sync!$O787))</f>
        <v/>
      </c>
      <c r="V787" t="str">
        <f>IF($N787="","",Sync!$L787)</f>
        <v/>
      </c>
      <c r="W787" t="str">
        <f>IF($N787="","",Sync!$P787)</f>
        <v/>
      </c>
      <c r="AA787" t="str">
        <f>IF($A787="","",IF(COUNTIF($A$6:$A787,$A787)=1,1,0))</f>
        <v/>
      </c>
      <c r="AB787">
        <f>SUM($AA$6:$AA787)</f>
        <v>3</v>
      </c>
      <c r="AC787" t="str">
        <f t="shared" si="90"/>
        <v/>
      </c>
    </row>
    <row r="788" spans="1:29" x14ac:dyDescent="0.2">
      <c r="A788" t="str">
        <f>IF(OR(Entry!$B791="",Entry!$E791="",$E788="نامعتبر"),"",Entry!$E791)</f>
        <v/>
      </c>
      <c r="B788" t="str">
        <f>IF($A788="","",LEFT($E788,4)&amp;MID($E788,6,2)&amp;RIGHT($E788,2)&amp;$F788&amp;"|"&amp;"1"&amp;RIGHT("00000"&amp;783,5))</f>
        <v/>
      </c>
      <c r="C788" t="str">
        <f t="shared" si="84"/>
        <v/>
      </c>
      <c r="D788" t="str">
        <f t="shared" si="85"/>
        <v/>
      </c>
      <c r="E788" t="str">
        <f>IF(Entry!$B791="","",IF(ISNUMBER(Entry!$B791),IF(AND(Entry!$B791&gt;=10000101,Entry!$B791&lt;=99991231),INT(Entry!$B791/10000)&amp;"/"&amp;RIGHT("00"&amp;INT(MOD(Entry!$B791,10000)/100),2)&amp;"/"&amp;RIGHT("00"&amp;MOD(Entry!$B791,100),2),"نامعتبر"),IF(LEN(Entry!$B791)=10,Entry!$B791,"نامعتبر")))</f>
        <v/>
      </c>
      <c r="F788" t="str">
        <f>IF(Entry!$B791="","",IF(Entry!$C791="","0000",IF(AND(ISNUMBER(Entry!$C791),Entry!$C791&gt;=0,Entry!$C791&lt;1),RIGHT("00"&amp;HOUR(Entry!$C791),2)&amp;RIGHT("00"&amp;MINUTE(Entry!$C791),2),IFERROR(RIGHT("00"&amp;VALUE(LEFT(Entry!$C791,FIND(":",Entry!$C791)-1)),2)&amp;RIGHT("00"&amp;VALUE(MID(Entry!$C791,FIND(":",Entry!$C791)+1,2)),2),"0000"))))</f>
        <v/>
      </c>
      <c r="G788" t="str">
        <f>IF($A788="","",Entry!$G791)</f>
        <v/>
      </c>
      <c r="H788" t="str">
        <f>IF($A788="","",IF(Entry!$H791="",0,Entry!$H791))</f>
        <v/>
      </c>
      <c r="I788" t="str">
        <f>IF($A788="","",IF(Entry!$I791="",0,Entry!$I791))</f>
        <v/>
      </c>
      <c r="J788" t="str">
        <f t="shared" si="86"/>
        <v/>
      </c>
      <c r="K788" t="str">
        <f>IF($A788="","",Entry!$D791)</f>
        <v/>
      </c>
      <c r="L788" t="str">
        <f>IF($A788="","",Entry!$L791)</f>
        <v/>
      </c>
      <c r="N788" t="str">
        <f>IF(OR(Sync!$M788="",$Q788="",$Q788="نامعتبر"),"",Sync!$M788)</f>
        <v/>
      </c>
      <c r="O788" t="str">
        <f t="shared" si="87"/>
        <v/>
      </c>
      <c r="P788" t="str">
        <f>IF($N788="","",LEFT($Q788,4)&amp;MID($Q788,6,2)&amp;RIGHT($Q788,2)&amp;IF(Sync!$K788="","0000",IF(AND(ISNUMBER(Sync!$K788),Sync!$K788&gt;=0,Sync!$K788&lt;1),RIGHT("00"&amp;HOUR(Sync!$K788),2)&amp;RIGHT("00"&amp;MINUTE(Sync!$K788),2),IFERROR(RIGHT("00"&amp;VALUE(LEFT(Sync!$K788,FIND(":",Sync!$K788)-1)),2)&amp;RIGHT("00"&amp;VALUE(MID(Sync!$K788,FIND(":",Sync!$K788)+1,2)),2),"0000")))&amp;"|"&amp;"2"&amp;RIGHT("00000"&amp;783,5))</f>
        <v/>
      </c>
      <c r="Q788" t="str">
        <f>IF(Sync!$J788="","",IF(ISNUMBER(Sync!$J788),IF(AND(Sync!$J788&gt;=10000101,Sync!$J788&lt;=99991231),INT(Sync!$J788/10000)&amp;"/"&amp;RIGHT("00"&amp;INT(MOD(Sync!$J788,10000)/100),2)&amp;"/"&amp;RIGHT("00"&amp;MOD(Sync!$J788,100),2),"نامعتبر"),IF(LEN(Sync!$J788)=10,Sync!$J788,"نامعتبر")))</f>
        <v/>
      </c>
      <c r="R788" t="str">
        <f t="shared" si="88"/>
        <v/>
      </c>
      <c r="S788" t="str">
        <f t="shared" si="89"/>
        <v/>
      </c>
      <c r="T788" t="str">
        <f>IF($N788="","",IF(Sync!$N788="",0,Sync!$N788))</f>
        <v/>
      </c>
      <c r="U788" t="str">
        <f>IF($N788="","",IF(Sync!$O788="",0,Sync!$O788))</f>
        <v/>
      </c>
      <c r="V788" t="str">
        <f>IF($N788="","",Sync!$L788)</f>
        <v/>
      </c>
      <c r="W788" t="str">
        <f>IF($N788="","",Sync!$P788)</f>
        <v/>
      </c>
      <c r="AA788" t="str">
        <f>IF($A788="","",IF(COUNTIF($A$6:$A788,$A788)=1,1,0))</f>
        <v/>
      </c>
      <c r="AB788">
        <f>SUM($AA$6:$AA788)</f>
        <v>3</v>
      </c>
      <c r="AC788" t="str">
        <f t="shared" si="90"/>
        <v/>
      </c>
    </row>
    <row r="789" spans="1:29" x14ac:dyDescent="0.2">
      <c r="A789" t="str">
        <f>IF(OR(Entry!$B792="",Entry!$E792="",$E789="نامعتبر"),"",Entry!$E792)</f>
        <v/>
      </c>
      <c r="B789" t="str">
        <f>IF($A789="","",LEFT($E789,4)&amp;MID($E789,6,2)&amp;RIGHT($E789,2)&amp;$F789&amp;"|"&amp;"1"&amp;RIGHT("00000"&amp;784,5))</f>
        <v/>
      </c>
      <c r="C789" t="str">
        <f t="shared" si="84"/>
        <v/>
      </c>
      <c r="D789" t="str">
        <f t="shared" si="85"/>
        <v/>
      </c>
      <c r="E789" t="str">
        <f>IF(Entry!$B792="","",IF(ISNUMBER(Entry!$B792),IF(AND(Entry!$B792&gt;=10000101,Entry!$B792&lt;=99991231),INT(Entry!$B792/10000)&amp;"/"&amp;RIGHT("00"&amp;INT(MOD(Entry!$B792,10000)/100),2)&amp;"/"&amp;RIGHT("00"&amp;MOD(Entry!$B792,100),2),"نامعتبر"),IF(LEN(Entry!$B792)=10,Entry!$B792,"نامعتبر")))</f>
        <v/>
      </c>
      <c r="F789" t="str">
        <f>IF(Entry!$B792="","",IF(Entry!$C792="","0000",IF(AND(ISNUMBER(Entry!$C792),Entry!$C792&gt;=0,Entry!$C792&lt;1),RIGHT("00"&amp;HOUR(Entry!$C792),2)&amp;RIGHT("00"&amp;MINUTE(Entry!$C792),2),IFERROR(RIGHT("00"&amp;VALUE(LEFT(Entry!$C792,FIND(":",Entry!$C792)-1)),2)&amp;RIGHT("00"&amp;VALUE(MID(Entry!$C792,FIND(":",Entry!$C792)+1,2)),2),"0000"))))</f>
        <v/>
      </c>
      <c r="G789" t="str">
        <f>IF($A789="","",Entry!$G792)</f>
        <v/>
      </c>
      <c r="H789" t="str">
        <f>IF($A789="","",IF(Entry!$H792="",0,Entry!$H792))</f>
        <v/>
      </c>
      <c r="I789" t="str">
        <f>IF($A789="","",IF(Entry!$I792="",0,Entry!$I792))</f>
        <v/>
      </c>
      <c r="J789" t="str">
        <f t="shared" si="86"/>
        <v/>
      </c>
      <c r="K789" t="str">
        <f>IF($A789="","",Entry!$D792)</f>
        <v/>
      </c>
      <c r="L789" t="str">
        <f>IF($A789="","",Entry!$L792)</f>
        <v/>
      </c>
      <c r="N789" t="str">
        <f>IF(OR(Sync!$M789="",$Q789="",$Q789="نامعتبر"),"",Sync!$M789)</f>
        <v/>
      </c>
      <c r="O789" t="str">
        <f t="shared" si="87"/>
        <v/>
      </c>
      <c r="P789" t="str">
        <f>IF($N789="","",LEFT($Q789,4)&amp;MID($Q789,6,2)&amp;RIGHT($Q789,2)&amp;IF(Sync!$K789="","0000",IF(AND(ISNUMBER(Sync!$K789),Sync!$K789&gt;=0,Sync!$K789&lt;1),RIGHT("00"&amp;HOUR(Sync!$K789),2)&amp;RIGHT("00"&amp;MINUTE(Sync!$K789),2),IFERROR(RIGHT("00"&amp;VALUE(LEFT(Sync!$K789,FIND(":",Sync!$K789)-1)),2)&amp;RIGHT("00"&amp;VALUE(MID(Sync!$K789,FIND(":",Sync!$K789)+1,2)),2),"0000")))&amp;"|"&amp;"2"&amp;RIGHT("00000"&amp;784,5))</f>
        <v/>
      </c>
      <c r="Q789" t="str">
        <f>IF(Sync!$J789="","",IF(ISNUMBER(Sync!$J789),IF(AND(Sync!$J789&gt;=10000101,Sync!$J789&lt;=99991231),INT(Sync!$J789/10000)&amp;"/"&amp;RIGHT("00"&amp;INT(MOD(Sync!$J789,10000)/100),2)&amp;"/"&amp;RIGHT("00"&amp;MOD(Sync!$J789,100),2),"نامعتبر"),IF(LEN(Sync!$J789)=10,Sync!$J789,"نامعتبر")))</f>
        <v/>
      </c>
      <c r="R789" t="str">
        <f t="shared" si="88"/>
        <v/>
      </c>
      <c r="S789" t="str">
        <f t="shared" si="89"/>
        <v/>
      </c>
      <c r="T789" t="str">
        <f>IF($N789="","",IF(Sync!$N789="",0,Sync!$N789))</f>
        <v/>
      </c>
      <c r="U789" t="str">
        <f>IF($N789="","",IF(Sync!$O789="",0,Sync!$O789))</f>
        <v/>
      </c>
      <c r="V789" t="str">
        <f>IF($N789="","",Sync!$L789)</f>
        <v/>
      </c>
      <c r="W789" t="str">
        <f>IF($N789="","",Sync!$P789)</f>
        <v/>
      </c>
      <c r="AA789" t="str">
        <f>IF($A789="","",IF(COUNTIF($A$6:$A789,$A789)=1,1,0))</f>
        <v/>
      </c>
      <c r="AB789">
        <f>SUM($AA$6:$AA789)</f>
        <v>3</v>
      </c>
      <c r="AC789" t="str">
        <f t="shared" si="90"/>
        <v/>
      </c>
    </row>
    <row r="790" spans="1:29" x14ac:dyDescent="0.2">
      <c r="A790" t="str">
        <f>IF(OR(Entry!$B793="",Entry!$E793="",$E790="نامعتبر"),"",Entry!$E793)</f>
        <v/>
      </c>
      <c r="B790" t="str">
        <f>IF($A790="","",LEFT($E790,4)&amp;MID($E790,6,2)&amp;RIGHT($E790,2)&amp;$F790&amp;"|"&amp;"1"&amp;RIGHT("00000"&amp;785,5))</f>
        <v/>
      </c>
      <c r="C790" t="str">
        <f t="shared" si="84"/>
        <v/>
      </c>
      <c r="D790" t="str">
        <f t="shared" si="85"/>
        <v/>
      </c>
      <c r="E790" t="str">
        <f>IF(Entry!$B793="","",IF(ISNUMBER(Entry!$B793),IF(AND(Entry!$B793&gt;=10000101,Entry!$B793&lt;=99991231),INT(Entry!$B793/10000)&amp;"/"&amp;RIGHT("00"&amp;INT(MOD(Entry!$B793,10000)/100),2)&amp;"/"&amp;RIGHT("00"&amp;MOD(Entry!$B793,100),2),"نامعتبر"),IF(LEN(Entry!$B793)=10,Entry!$B793,"نامعتبر")))</f>
        <v/>
      </c>
      <c r="F790" t="str">
        <f>IF(Entry!$B793="","",IF(Entry!$C793="","0000",IF(AND(ISNUMBER(Entry!$C793),Entry!$C793&gt;=0,Entry!$C793&lt;1),RIGHT("00"&amp;HOUR(Entry!$C793),2)&amp;RIGHT("00"&amp;MINUTE(Entry!$C793),2),IFERROR(RIGHT("00"&amp;VALUE(LEFT(Entry!$C793,FIND(":",Entry!$C793)-1)),2)&amp;RIGHT("00"&amp;VALUE(MID(Entry!$C793,FIND(":",Entry!$C793)+1,2)),2),"0000"))))</f>
        <v/>
      </c>
      <c r="G790" t="str">
        <f>IF($A790="","",Entry!$G793)</f>
        <v/>
      </c>
      <c r="H790" t="str">
        <f>IF($A790="","",IF(Entry!$H793="",0,Entry!$H793))</f>
        <v/>
      </c>
      <c r="I790" t="str">
        <f>IF($A790="","",IF(Entry!$I793="",0,Entry!$I793))</f>
        <v/>
      </c>
      <c r="J790" t="str">
        <f t="shared" si="86"/>
        <v/>
      </c>
      <c r="K790" t="str">
        <f>IF($A790="","",Entry!$D793)</f>
        <v/>
      </c>
      <c r="L790" t="str">
        <f>IF($A790="","",Entry!$L793)</f>
        <v/>
      </c>
      <c r="N790" t="str">
        <f>IF(OR(Sync!$M790="",$Q790="",$Q790="نامعتبر"),"",Sync!$M790)</f>
        <v/>
      </c>
      <c r="O790" t="str">
        <f t="shared" si="87"/>
        <v/>
      </c>
      <c r="P790" t="str">
        <f>IF($N790="","",LEFT($Q790,4)&amp;MID($Q790,6,2)&amp;RIGHT($Q790,2)&amp;IF(Sync!$K790="","0000",IF(AND(ISNUMBER(Sync!$K790),Sync!$K790&gt;=0,Sync!$K790&lt;1),RIGHT("00"&amp;HOUR(Sync!$K790),2)&amp;RIGHT("00"&amp;MINUTE(Sync!$K790),2),IFERROR(RIGHT("00"&amp;VALUE(LEFT(Sync!$K790,FIND(":",Sync!$K790)-1)),2)&amp;RIGHT("00"&amp;VALUE(MID(Sync!$K790,FIND(":",Sync!$K790)+1,2)),2),"0000")))&amp;"|"&amp;"2"&amp;RIGHT("00000"&amp;785,5))</f>
        <v/>
      </c>
      <c r="Q790" t="str">
        <f>IF(Sync!$J790="","",IF(ISNUMBER(Sync!$J790),IF(AND(Sync!$J790&gt;=10000101,Sync!$J790&lt;=99991231),INT(Sync!$J790/10000)&amp;"/"&amp;RIGHT("00"&amp;INT(MOD(Sync!$J790,10000)/100),2)&amp;"/"&amp;RIGHT("00"&amp;MOD(Sync!$J790,100),2),"نامعتبر"),IF(LEN(Sync!$J790)=10,Sync!$J790,"نامعتبر")))</f>
        <v/>
      </c>
      <c r="R790" t="str">
        <f t="shared" si="88"/>
        <v/>
      </c>
      <c r="S790" t="str">
        <f t="shared" si="89"/>
        <v/>
      </c>
      <c r="T790" t="str">
        <f>IF($N790="","",IF(Sync!$N790="",0,Sync!$N790))</f>
        <v/>
      </c>
      <c r="U790" t="str">
        <f>IF($N790="","",IF(Sync!$O790="",0,Sync!$O790))</f>
        <v/>
      </c>
      <c r="V790" t="str">
        <f>IF($N790="","",Sync!$L790)</f>
        <v/>
      </c>
      <c r="W790" t="str">
        <f>IF($N790="","",Sync!$P790)</f>
        <v/>
      </c>
      <c r="AA790" t="str">
        <f>IF($A790="","",IF(COUNTIF($A$6:$A790,$A790)=1,1,0))</f>
        <v/>
      </c>
      <c r="AB790">
        <f>SUM($AA$6:$AA790)</f>
        <v>3</v>
      </c>
      <c r="AC790" t="str">
        <f t="shared" si="90"/>
        <v/>
      </c>
    </row>
    <row r="791" spans="1:29" x14ac:dyDescent="0.2">
      <c r="A791" t="str">
        <f>IF(OR(Entry!$B794="",Entry!$E794="",$E791="نامعتبر"),"",Entry!$E794)</f>
        <v/>
      </c>
      <c r="B791" t="str">
        <f>IF($A791="","",LEFT($E791,4)&amp;MID($E791,6,2)&amp;RIGHT($E791,2)&amp;$F791&amp;"|"&amp;"1"&amp;RIGHT("00000"&amp;786,5))</f>
        <v/>
      </c>
      <c r="C791" t="str">
        <f t="shared" si="84"/>
        <v/>
      </c>
      <c r="D791" t="str">
        <f t="shared" si="85"/>
        <v/>
      </c>
      <c r="E791" t="str">
        <f>IF(Entry!$B794="","",IF(ISNUMBER(Entry!$B794),IF(AND(Entry!$B794&gt;=10000101,Entry!$B794&lt;=99991231),INT(Entry!$B794/10000)&amp;"/"&amp;RIGHT("00"&amp;INT(MOD(Entry!$B794,10000)/100),2)&amp;"/"&amp;RIGHT("00"&amp;MOD(Entry!$B794,100),2),"نامعتبر"),IF(LEN(Entry!$B794)=10,Entry!$B794,"نامعتبر")))</f>
        <v/>
      </c>
      <c r="F791" t="str">
        <f>IF(Entry!$B794="","",IF(Entry!$C794="","0000",IF(AND(ISNUMBER(Entry!$C794),Entry!$C794&gt;=0,Entry!$C794&lt;1),RIGHT("00"&amp;HOUR(Entry!$C794),2)&amp;RIGHT("00"&amp;MINUTE(Entry!$C794),2),IFERROR(RIGHT("00"&amp;VALUE(LEFT(Entry!$C794,FIND(":",Entry!$C794)-1)),2)&amp;RIGHT("00"&amp;VALUE(MID(Entry!$C794,FIND(":",Entry!$C794)+1,2)),2),"0000"))))</f>
        <v/>
      </c>
      <c r="G791" t="str">
        <f>IF($A791="","",Entry!$G794)</f>
        <v/>
      </c>
      <c r="H791" t="str">
        <f>IF($A791="","",IF(Entry!$H794="",0,Entry!$H794))</f>
        <v/>
      </c>
      <c r="I791" t="str">
        <f>IF($A791="","",IF(Entry!$I794="",0,Entry!$I794))</f>
        <v/>
      </c>
      <c r="J791" t="str">
        <f t="shared" si="86"/>
        <v/>
      </c>
      <c r="K791" t="str">
        <f>IF($A791="","",Entry!$D794)</f>
        <v/>
      </c>
      <c r="L791" t="str">
        <f>IF($A791="","",Entry!$L794)</f>
        <v/>
      </c>
      <c r="N791" t="str">
        <f>IF(OR(Sync!$M791="",$Q791="",$Q791="نامعتبر"),"",Sync!$M791)</f>
        <v/>
      </c>
      <c r="O791" t="str">
        <f t="shared" si="87"/>
        <v/>
      </c>
      <c r="P791" t="str">
        <f>IF($N791="","",LEFT($Q791,4)&amp;MID($Q791,6,2)&amp;RIGHT($Q791,2)&amp;IF(Sync!$K791="","0000",IF(AND(ISNUMBER(Sync!$K791),Sync!$K791&gt;=0,Sync!$K791&lt;1),RIGHT("00"&amp;HOUR(Sync!$K791),2)&amp;RIGHT("00"&amp;MINUTE(Sync!$K791),2),IFERROR(RIGHT("00"&amp;VALUE(LEFT(Sync!$K791,FIND(":",Sync!$K791)-1)),2)&amp;RIGHT("00"&amp;VALUE(MID(Sync!$K791,FIND(":",Sync!$K791)+1,2)),2),"0000")))&amp;"|"&amp;"2"&amp;RIGHT("00000"&amp;786,5))</f>
        <v/>
      </c>
      <c r="Q791" t="str">
        <f>IF(Sync!$J791="","",IF(ISNUMBER(Sync!$J791),IF(AND(Sync!$J791&gt;=10000101,Sync!$J791&lt;=99991231),INT(Sync!$J791/10000)&amp;"/"&amp;RIGHT("00"&amp;INT(MOD(Sync!$J791,10000)/100),2)&amp;"/"&amp;RIGHT("00"&amp;MOD(Sync!$J791,100),2),"نامعتبر"),IF(LEN(Sync!$J791)=10,Sync!$J791,"نامعتبر")))</f>
        <v/>
      </c>
      <c r="R791" t="str">
        <f t="shared" si="88"/>
        <v/>
      </c>
      <c r="S791" t="str">
        <f t="shared" si="89"/>
        <v/>
      </c>
      <c r="T791" t="str">
        <f>IF($N791="","",IF(Sync!$N791="",0,Sync!$N791))</f>
        <v/>
      </c>
      <c r="U791" t="str">
        <f>IF($N791="","",IF(Sync!$O791="",0,Sync!$O791))</f>
        <v/>
      </c>
      <c r="V791" t="str">
        <f>IF($N791="","",Sync!$L791)</f>
        <v/>
      </c>
      <c r="W791" t="str">
        <f>IF($N791="","",Sync!$P791)</f>
        <v/>
      </c>
      <c r="AA791" t="str">
        <f>IF($A791="","",IF(COUNTIF($A$6:$A791,$A791)=1,1,0))</f>
        <v/>
      </c>
      <c r="AB791">
        <f>SUM($AA$6:$AA791)</f>
        <v>3</v>
      </c>
      <c r="AC791" t="str">
        <f t="shared" si="90"/>
        <v/>
      </c>
    </row>
    <row r="792" spans="1:29" x14ac:dyDescent="0.2">
      <c r="A792" t="str">
        <f>IF(OR(Entry!$B795="",Entry!$E795="",$E792="نامعتبر"),"",Entry!$E795)</f>
        <v/>
      </c>
      <c r="B792" t="str">
        <f>IF($A792="","",LEFT($E792,4)&amp;MID($E792,6,2)&amp;RIGHT($E792,2)&amp;$F792&amp;"|"&amp;"1"&amp;RIGHT("00000"&amp;787,5))</f>
        <v/>
      </c>
      <c r="C792" t="str">
        <f t="shared" si="84"/>
        <v/>
      </c>
      <c r="D792" t="str">
        <f t="shared" si="85"/>
        <v/>
      </c>
      <c r="E792" t="str">
        <f>IF(Entry!$B795="","",IF(ISNUMBER(Entry!$B795),IF(AND(Entry!$B795&gt;=10000101,Entry!$B795&lt;=99991231),INT(Entry!$B795/10000)&amp;"/"&amp;RIGHT("00"&amp;INT(MOD(Entry!$B795,10000)/100),2)&amp;"/"&amp;RIGHT("00"&amp;MOD(Entry!$B795,100),2),"نامعتبر"),IF(LEN(Entry!$B795)=10,Entry!$B795,"نامعتبر")))</f>
        <v/>
      </c>
      <c r="F792" t="str">
        <f>IF(Entry!$B795="","",IF(Entry!$C795="","0000",IF(AND(ISNUMBER(Entry!$C795),Entry!$C795&gt;=0,Entry!$C795&lt;1),RIGHT("00"&amp;HOUR(Entry!$C795),2)&amp;RIGHT("00"&amp;MINUTE(Entry!$C795),2),IFERROR(RIGHT("00"&amp;VALUE(LEFT(Entry!$C795,FIND(":",Entry!$C795)-1)),2)&amp;RIGHT("00"&amp;VALUE(MID(Entry!$C795,FIND(":",Entry!$C795)+1,2)),2),"0000"))))</f>
        <v/>
      </c>
      <c r="G792" t="str">
        <f>IF($A792="","",Entry!$G795)</f>
        <v/>
      </c>
      <c r="H792" t="str">
        <f>IF($A792="","",IF(Entry!$H795="",0,Entry!$H795))</f>
        <v/>
      </c>
      <c r="I792" t="str">
        <f>IF($A792="","",IF(Entry!$I795="",0,Entry!$I795))</f>
        <v/>
      </c>
      <c r="J792" t="str">
        <f t="shared" si="86"/>
        <v/>
      </c>
      <c r="K792" t="str">
        <f>IF($A792="","",Entry!$D795)</f>
        <v/>
      </c>
      <c r="L792" t="str">
        <f>IF($A792="","",Entry!$L795)</f>
        <v/>
      </c>
      <c r="N792" t="str">
        <f>IF(OR(Sync!$M792="",$Q792="",$Q792="نامعتبر"),"",Sync!$M792)</f>
        <v/>
      </c>
      <c r="O792" t="str">
        <f t="shared" si="87"/>
        <v/>
      </c>
      <c r="P792" t="str">
        <f>IF($N792="","",LEFT($Q792,4)&amp;MID($Q792,6,2)&amp;RIGHT($Q792,2)&amp;IF(Sync!$K792="","0000",IF(AND(ISNUMBER(Sync!$K792),Sync!$K792&gt;=0,Sync!$K792&lt;1),RIGHT("00"&amp;HOUR(Sync!$K792),2)&amp;RIGHT("00"&amp;MINUTE(Sync!$K792),2),IFERROR(RIGHT("00"&amp;VALUE(LEFT(Sync!$K792,FIND(":",Sync!$K792)-1)),2)&amp;RIGHT("00"&amp;VALUE(MID(Sync!$K792,FIND(":",Sync!$K792)+1,2)),2),"0000")))&amp;"|"&amp;"2"&amp;RIGHT("00000"&amp;787,5))</f>
        <v/>
      </c>
      <c r="Q792" t="str">
        <f>IF(Sync!$J792="","",IF(ISNUMBER(Sync!$J792),IF(AND(Sync!$J792&gt;=10000101,Sync!$J792&lt;=99991231),INT(Sync!$J792/10000)&amp;"/"&amp;RIGHT("00"&amp;INT(MOD(Sync!$J792,10000)/100),2)&amp;"/"&amp;RIGHT("00"&amp;MOD(Sync!$J792,100),2),"نامعتبر"),IF(LEN(Sync!$J792)=10,Sync!$J792,"نامعتبر")))</f>
        <v/>
      </c>
      <c r="R792" t="str">
        <f t="shared" si="88"/>
        <v/>
      </c>
      <c r="S792" t="str">
        <f t="shared" si="89"/>
        <v/>
      </c>
      <c r="T792" t="str">
        <f>IF($N792="","",IF(Sync!$N792="",0,Sync!$N792))</f>
        <v/>
      </c>
      <c r="U792" t="str">
        <f>IF($N792="","",IF(Sync!$O792="",0,Sync!$O792))</f>
        <v/>
      </c>
      <c r="V792" t="str">
        <f>IF($N792="","",Sync!$L792)</f>
        <v/>
      </c>
      <c r="W792" t="str">
        <f>IF($N792="","",Sync!$P792)</f>
        <v/>
      </c>
      <c r="AA792" t="str">
        <f>IF($A792="","",IF(COUNTIF($A$6:$A792,$A792)=1,1,0))</f>
        <v/>
      </c>
      <c r="AB792">
        <f>SUM($AA$6:$AA792)</f>
        <v>3</v>
      </c>
      <c r="AC792" t="str">
        <f t="shared" si="90"/>
        <v/>
      </c>
    </row>
    <row r="793" spans="1:29" x14ac:dyDescent="0.2">
      <c r="A793" t="str">
        <f>IF(OR(Entry!$B796="",Entry!$E796="",$E793="نامعتبر"),"",Entry!$E796)</f>
        <v/>
      </c>
      <c r="B793" t="str">
        <f>IF($A793="","",LEFT($E793,4)&amp;MID($E793,6,2)&amp;RIGHT($E793,2)&amp;$F793&amp;"|"&amp;"1"&amp;RIGHT("00000"&amp;788,5))</f>
        <v/>
      </c>
      <c r="C793" t="str">
        <f t="shared" si="84"/>
        <v/>
      </c>
      <c r="D793" t="str">
        <f t="shared" si="85"/>
        <v/>
      </c>
      <c r="E793" t="str">
        <f>IF(Entry!$B796="","",IF(ISNUMBER(Entry!$B796),IF(AND(Entry!$B796&gt;=10000101,Entry!$B796&lt;=99991231),INT(Entry!$B796/10000)&amp;"/"&amp;RIGHT("00"&amp;INT(MOD(Entry!$B796,10000)/100),2)&amp;"/"&amp;RIGHT("00"&amp;MOD(Entry!$B796,100),2),"نامعتبر"),IF(LEN(Entry!$B796)=10,Entry!$B796,"نامعتبر")))</f>
        <v/>
      </c>
      <c r="F793" t="str">
        <f>IF(Entry!$B796="","",IF(Entry!$C796="","0000",IF(AND(ISNUMBER(Entry!$C796),Entry!$C796&gt;=0,Entry!$C796&lt;1),RIGHT("00"&amp;HOUR(Entry!$C796),2)&amp;RIGHT("00"&amp;MINUTE(Entry!$C796),2),IFERROR(RIGHT("00"&amp;VALUE(LEFT(Entry!$C796,FIND(":",Entry!$C796)-1)),2)&amp;RIGHT("00"&amp;VALUE(MID(Entry!$C796,FIND(":",Entry!$C796)+1,2)),2),"0000"))))</f>
        <v/>
      </c>
      <c r="G793" t="str">
        <f>IF($A793="","",Entry!$G796)</f>
        <v/>
      </c>
      <c r="H793" t="str">
        <f>IF($A793="","",IF(Entry!$H796="",0,Entry!$H796))</f>
        <v/>
      </c>
      <c r="I793" t="str">
        <f>IF($A793="","",IF(Entry!$I796="",0,Entry!$I796))</f>
        <v/>
      </c>
      <c r="J793" t="str">
        <f t="shared" si="86"/>
        <v/>
      </c>
      <c r="K793" t="str">
        <f>IF($A793="","",Entry!$D796)</f>
        <v/>
      </c>
      <c r="L793" t="str">
        <f>IF($A793="","",Entry!$L796)</f>
        <v/>
      </c>
      <c r="N793" t="str">
        <f>IF(OR(Sync!$M793="",$Q793="",$Q793="نامعتبر"),"",Sync!$M793)</f>
        <v/>
      </c>
      <c r="O793" t="str">
        <f t="shared" si="87"/>
        <v/>
      </c>
      <c r="P793" t="str">
        <f>IF($N793="","",LEFT($Q793,4)&amp;MID($Q793,6,2)&amp;RIGHT($Q793,2)&amp;IF(Sync!$K793="","0000",IF(AND(ISNUMBER(Sync!$K793),Sync!$K793&gt;=0,Sync!$K793&lt;1),RIGHT("00"&amp;HOUR(Sync!$K793),2)&amp;RIGHT("00"&amp;MINUTE(Sync!$K793),2),IFERROR(RIGHT("00"&amp;VALUE(LEFT(Sync!$K793,FIND(":",Sync!$K793)-1)),2)&amp;RIGHT("00"&amp;VALUE(MID(Sync!$K793,FIND(":",Sync!$K793)+1,2)),2),"0000")))&amp;"|"&amp;"2"&amp;RIGHT("00000"&amp;788,5))</f>
        <v/>
      </c>
      <c r="Q793" t="str">
        <f>IF(Sync!$J793="","",IF(ISNUMBER(Sync!$J793),IF(AND(Sync!$J793&gt;=10000101,Sync!$J793&lt;=99991231),INT(Sync!$J793/10000)&amp;"/"&amp;RIGHT("00"&amp;INT(MOD(Sync!$J793,10000)/100),2)&amp;"/"&amp;RIGHT("00"&amp;MOD(Sync!$J793,100),2),"نامعتبر"),IF(LEN(Sync!$J793)=10,Sync!$J793,"نامعتبر")))</f>
        <v/>
      </c>
      <c r="R793" t="str">
        <f t="shared" si="88"/>
        <v/>
      </c>
      <c r="S793" t="str">
        <f t="shared" si="89"/>
        <v/>
      </c>
      <c r="T793" t="str">
        <f>IF($N793="","",IF(Sync!$N793="",0,Sync!$N793))</f>
        <v/>
      </c>
      <c r="U793" t="str">
        <f>IF($N793="","",IF(Sync!$O793="",0,Sync!$O793))</f>
        <v/>
      </c>
      <c r="V793" t="str">
        <f>IF($N793="","",Sync!$L793)</f>
        <v/>
      </c>
      <c r="W793" t="str">
        <f>IF($N793="","",Sync!$P793)</f>
        <v/>
      </c>
      <c r="AA793" t="str">
        <f>IF($A793="","",IF(COUNTIF($A$6:$A793,$A793)=1,1,0))</f>
        <v/>
      </c>
      <c r="AB793">
        <f>SUM($AA$6:$AA793)</f>
        <v>3</v>
      </c>
      <c r="AC793" t="str">
        <f t="shared" si="90"/>
        <v/>
      </c>
    </row>
    <row r="794" spans="1:29" x14ac:dyDescent="0.2">
      <c r="A794" t="str">
        <f>IF(OR(Entry!$B797="",Entry!$E797="",$E794="نامعتبر"),"",Entry!$E797)</f>
        <v/>
      </c>
      <c r="B794" t="str">
        <f>IF($A794="","",LEFT($E794,4)&amp;MID($E794,6,2)&amp;RIGHT($E794,2)&amp;$F794&amp;"|"&amp;"1"&amp;RIGHT("00000"&amp;789,5))</f>
        <v/>
      </c>
      <c r="C794" t="str">
        <f t="shared" si="84"/>
        <v/>
      </c>
      <c r="D794" t="str">
        <f t="shared" si="85"/>
        <v/>
      </c>
      <c r="E794" t="str">
        <f>IF(Entry!$B797="","",IF(ISNUMBER(Entry!$B797),IF(AND(Entry!$B797&gt;=10000101,Entry!$B797&lt;=99991231),INT(Entry!$B797/10000)&amp;"/"&amp;RIGHT("00"&amp;INT(MOD(Entry!$B797,10000)/100),2)&amp;"/"&amp;RIGHT("00"&amp;MOD(Entry!$B797,100),2),"نامعتبر"),IF(LEN(Entry!$B797)=10,Entry!$B797,"نامعتبر")))</f>
        <v/>
      </c>
      <c r="F794" t="str">
        <f>IF(Entry!$B797="","",IF(Entry!$C797="","0000",IF(AND(ISNUMBER(Entry!$C797),Entry!$C797&gt;=0,Entry!$C797&lt;1),RIGHT("00"&amp;HOUR(Entry!$C797),2)&amp;RIGHT("00"&amp;MINUTE(Entry!$C797),2),IFERROR(RIGHT("00"&amp;VALUE(LEFT(Entry!$C797,FIND(":",Entry!$C797)-1)),2)&amp;RIGHT("00"&amp;VALUE(MID(Entry!$C797,FIND(":",Entry!$C797)+1,2)),2),"0000"))))</f>
        <v/>
      </c>
      <c r="G794" t="str">
        <f>IF($A794="","",Entry!$G797)</f>
        <v/>
      </c>
      <c r="H794" t="str">
        <f>IF($A794="","",IF(Entry!$H797="",0,Entry!$H797))</f>
        <v/>
      </c>
      <c r="I794" t="str">
        <f>IF($A794="","",IF(Entry!$I797="",0,Entry!$I797))</f>
        <v/>
      </c>
      <c r="J794" t="str">
        <f t="shared" si="86"/>
        <v/>
      </c>
      <c r="K794" t="str">
        <f>IF($A794="","",Entry!$D797)</f>
        <v/>
      </c>
      <c r="L794" t="str">
        <f>IF($A794="","",Entry!$L797)</f>
        <v/>
      </c>
      <c r="N794" t="str">
        <f>IF(OR(Sync!$M794="",$Q794="",$Q794="نامعتبر"),"",Sync!$M794)</f>
        <v/>
      </c>
      <c r="O794" t="str">
        <f t="shared" si="87"/>
        <v/>
      </c>
      <c r="P794" t="str">
        <f>IF($N794="","",LEFT($Q794,4)&amp;MID($Q794,6,2)&amp;RIGHT($Q794,2)&amp;IF(Sync!$K794="","0000",IF(AND(ISNUMBER(Sync!$K794),Sync!$K794&gt;=0,Sync!$K794&lt;1),RIGHT("00"&amp;HOUR(Sync!$K794),2)&amp;RIGHT("00"&amp;MINUTE(Sync!$K794),2),IFERROR(RIGHT("00"&amp;VALUE(LEFT(Sync!$K794,FIND(":",Sync!$K794)-1)),2)&amp;RIGHT("00"&amp;VALUE(MID(Sync!$K794,FIND(":",Sync!$K794)+1,2)),2),"0000")))&amp;"|"&amp;"2"&amp;RIGHT("00000"&amp;789,5))</f>
        <v/>
      </c>
      <c r="Q794" t="str">
        <f>IF(Sync!$J794="","",IF(ISNUMBER(Sync!$J794),IF(AND(Sync!$J794&gt;=10000101,Sync!$J794&lt;=99991231),INT(Sync!$J794/10000)&amp;"/"&amp;RIGHT("00"&amp;INT(MOD(Sync!$J794,10000)/100),2)&amp;"/"&amp;RIGHT("00"&amp;MOD(Sync!$J794,100),2),"نامعتبر"),IF(LEN(Sync!$J794)=10,Sync!$J794,"نامعتبر")))</f>
        <v/>
      </c>
      <c r="R794" t="str">
        <f t="shared" si="88"/>
        <v/>
      </c>
      <c r="S794" t="str">
        <f t="shared" si="89"/>
        <v/>
      </c>
      <c r="T794" t="str">
        <f>IF($N794="","",IF(Sync!$N794="",0,Sync!$N794))</f>
        <v/>
      </c>
      <c r="U794" t="str">
        <f>IF($N794="","",IF(Sync!$O794="",0,Sync!$O794))</f>
        <v/>
      </c>
      <c r="V794" t="str">
        <f>IF($N794="","",Sync!$L794)</f>
        <v/>
      </c>
      <c r="W794" t="str">
        <f>IF($N794="","",Sync!$P794)</f>
        <v/>
      </c>
      <c r="AA794" t="str">
        <f>IF($A794="","",IF(COUNTIF($A$6:$A794,$A794)=1,1,0))</f>
        <v/>
      </c>
      <c r="AB794">
        <f>SUM($AA$6:$AA794)</f>
        <v>3</v>
      </c>
      <c r="AC794" t="str">
        <f t="shared" si="90"/>
        <v/>
      </c>
    </row>
    <row r="795" spans="1:29" x14ac:dyDescent="0.2">
      <c r="A795" t="str">
        <f>IF(OR(Entry!$B798="",Entry!$E798="",$E795="نامعتبر"),"",Entry!$E798)</f>
        <v/>
      </c>
      <c r="B795" t="str">
        <f>IF($A795="","",LEFT($E795,4)&amp;MID($E795,6,2)&amp;RIGHT($E795,2)&amp;$F795&amp;"|"&amp;"1"&amp;RIGHT("00000"&amp;790,5))</f>
        <v/>
      </c>
      <c r="C795" t="str">
        <f t="shared" si="84"/>
        <v/>
      </c>
      <c r="D795" t="str">
        <f t="shared" si="85"/>
        <v/>
      </c>
      <c r="E795" t="str">
        <f>IF(Entry!$B798="","",IF(ISNUMBER(Entry!$B798),IF(AND(Entry!$B798&gt;=10000101,Entry!$B798&lt;=99991231),INT(Entry!$B798/10000)&amp;"/"&amp;RIGHT("00"&amp;INT(MOD(Entry!$B798,10000)/100),2)&amp;"/"&amp;RIGHT("00"&amp;MOD(Entry!$B798,100),2),"نامعتبر"),IF(LEN(Entry!$B798)=10,Entry!$B798,"نامعتبر")))</f>
        <v/>
      </c>
      <c r="F795" t="str">
        <f>IF(Entry!$B798="","",IF(Entry!$C798="","0000",IF(AND(ISNUMBER(Entry!$C798),Entry!$C798&gt;=0,Entry!$C798&lt;1),RIGHT("00"&amp;HOUR(Entry!$C798),2)&amp;RIGHT("00"&amp;MINUTE(Entry!$C798),2),IFERROR(RIGHT("00"&amp;VALUE(LEFT(Entry!$C798,FIND(":",Entry!$C798)-1)),2)&amp;RIGHT("00"&amp;VALUE(MID(Entry!$C798,FIND(":",Entry!$C798)+1,2)),2),"0000"))))</f>
        <v/>
      </c>
      <c r="G795" t="str">
        <f>IF($A795="","",Entry!$G798)</f>
        <v/>
      </c>
      <c r="H795" t="str">
        <f>IF($A795="","",IF(Entry!$H798="",0,Entry!$H798))</f>
        <v/>
      </c>
      <c r="I795" t="str">
        <f>IF($A795="","",IF(Entry!$I798="",0,Entry!$I798))</f>
        <v/>
      </c>
      <c r="J795" t="str">
        <f t="shared" si="86"/>
        <v/>
      </c>
      <c r="K795" t="str">
        <f>IF($A795="","",Entry!$D798)</f>
        <v/>
      </c>
      <c r="L795" t="str">
        <f>IF($A795="","",Entry!$L798)</f>
        <v/>
      </c>
      <c r="N795" t="str">
        <f>IF(OR(Sync!$M795="",$Q795="",$Q795="نامعتبر"),"",Sync!$M795)</f>
        <v/>
      </c>
      <c r="O795" t="str">
        <f t="shared" si="87"/>
        <v/>
      </c>
      <c r="P795" t="str">
        <f>IF($N795="","",LEFT($Q795,4)&amp;MID($Q795,6,2)&amp;RIGHT($Q795,2)&amp;IF(Sync!$K795="","0000",IF(AND(ISNUMBER(Sync!$K795),Sync!$K795&gt;=0,Sync!$K795&lt;1),RIGHT("00"&amp;HOUR(Sync!$K795),2)&amp;RIGHT("00"&amp;MINUTE(Sync!$K795),2),IFERROR(RIGHT("00"&amp;VALUE(LEFT(Sync!$K795,FIND(":",Sync!$K795)-1)),2)&amp;RIGHT("00"&amp;VALUE(MID(Sync!$K795,FIND(":",Sync!$K795)+1,2)),2),"0000")))&amp;"|"&amp;"2"&amp;RIGHT("00000"&amp;790,5))</f>
        <v/>
      </c>
      <c r="Q795" t="str">
        <f>IF(Sync!$J795="","",IF(ISNUMBER(Sync!$J795),IF(AND(Sync!$J795&gt;=10000101,Sync!$J795&lt;=99991231),INT(Sync!$J795/10000)&amp;"/"&amp;RIGHT("00"&amp;INT(MOD(Sync!$J795,10000)/100),2)&amp;"/"&amp;RIGHT("00"&amp;MOD(Sync!$J795,100),2),"نامعتبر"),IF(LEN(Sync!$J795)=10,Sync!$J795,"نامعتبر")))</f>
        <v/>
      </c>
      <c r="R795" t="str">
        <f t="shared" si="88"/>
        <v/>
      </c>
      <c r="S795" t="str">
        <f t="shared" si="89"/>
        <v/>
      </c>
      <c r="T795" t="str">
        <f>IF($N795="","",IF(Sync!$N795="",0,Sync!$N795))</f>
        <v/>
      </c>
      <c r="U795" t="str">
        <f>IF($N795="","",IF(Sync!$O795="",0,Sync!$O795))</f>
        <v/>
      </c>
      <c r="V795" t="str">
        <f>IF($N795="","",Sync!$L795)</f>
        <v/>
      </c>
      <c r="W795" t="str">
        <f>IF($N795="","",Sync!$P795)</f>
        <v/>
      </c>
      <c r="AA795" t="str">
        <f>IF($A795="","",IF(COUNTIF($A$6:$A795,$A795)=1,1,0))</f>
        <v/>
      </c>
      <c r="AB795">
        <f>SUM($AA$6:$AA795)</f>
        <v>3</v>
      </c>
      <c r="AC795" t="str">
        <f t="shared" si="90"/>
        <v/>
      </c>
    </row>
    <row r="796" spans="1:29" x14ac:dyDescent="0.2">
      <c r="A796" t="str">
        <f>IF(OR(Entry!$B799="",Entry!$E799="",$E796="نامعتبر"),"",Entry!$E799)</f>
        <v/>
      </c>
      <c r="B796" t="str">
        <f>IF($A796="","",LEFT($E796,4)&amp;MID($E796,6,2)&amp;RIGHT($E796,2)&amp;$F796&amp;"|"&amp;"1"&amp;RIGHT("00000"&amp;791,5))</f>
        <v/>
      </c>
      <c r="C796" t="str">
        <f t="shared" si="84"/>
        <v/>
      </c>
      <c r="D796" t="str">
        <f t="shared" si="85"/>
        <v/>
      </c>
      <c r="E796" t="str">
        <f>IF(Entry!$B799="","",IF(ISNUMBER(Entry!$B799),IF(AND(Entry!$B799&gt;=10000101,Entry!$B799&lt;=99991231),INT(Entry!$B799/10000)&amp;"/"&amp;RIGHT("00"&amp;INT(MOD(Entry!$B799,10000)/100),2)&amp;"/"&amp;RIGHT("00"&amp;MOD(Entry!$B799,100),2),"نامعتبر"),IF(LEN(Entry!$B799)=10,Entry!$B799,"نامعتبر")))</f>
        <v/>
      </c>
      <c r="F796" t="str">
        <f>IF(Entry!$B799="","",IF(Entry!$C799="","0000",IF(AND(ISNUMBER(Entry!$C799),Entry!$C799&gt;=0,Entry!$C799&lt;1),RIGHT("00"&amp;HOUR(Entry!$C799),2)&amp;RIGHT("00"&amp;MINUTE(Entry!$C799),2),IFERROR(RIGHT("00"&amp;VALUE(LEFT(Entry!$C799,FIND(":",Entry!$C799)-1)),2)&amp;RIGHT("00"&amp;VALUE(MID(Entry!$C799,FIND(":",Entry!$C799)+1,2)),2),"0000"))))</f>
        <v/>
      </c>
      <c r="G796" t="str">
        <f>IF($A796="","",Entry!$G799)</f>
        <v/>
      </c>
      <c r="H796" t="str">
        <f>IF($A796="","",IF(Entry!$H799="",0,Entry!$H799))</f>
        <v/>
      </c>
      <c r="I796" t="str">
        <f>IF($A796="","",IF(Entry!$I799="",0,Entry!$I799))</f>
        <v/>
      </c>
      <c r="J796" t="str">
        <f t="shared" si="86"/>
        <v/>
      </c>
      <c r="K796" t="str">
        <f>IF($A796="","",Entry!$D799)</f>
        <v/>
      </c>
      <c r="L796" t="str">
        <f>IF($A796="","",Entry!$L799)</f>
        <v/>
      </c>
      <c r="N796" t="str">
        <f>IF(OR(Sync!$M796="",$Q796="",$Q796="نامعتبر"),"",Sync!$M796)</f>
        <v/>
      </c>
      <c r="O796" t="str">
        <f t="shared" si="87"/>
        <v/>
      </c>
      <c r="P796" t="str">
        <f>IF($N796="","",LEFT($Q796,4)&amp;MID($Q796,6,2)&amp;RIGHT($Q796,2)&amp;IF(Sync!$K796="","0000",IF(AND(ISNUMBER(Sync!$K796),Sync!$K796&gt;=0,Sync!$K796&lt;1),RIGHT("00"&amp;HOUR(Sync!$K796),2)&amp;RIGHT("00"&amp;MINUTE(Sync!$K796),2),IFERROR(RIGHT("00"&amp;VALUE(LEFT(Sync!$K796,FIND(":",Sync!$K796)-1)),2)&amp;RIGHT("00"&amp;VALUE(MID(Sync!$K796,FIND(":",Sync!$K796)+1,2)),2),"0000")))&amp;"|"&amp;"2"&amp;RIGHT("00000"&amp;791,5))</f>
        <v/>
      </c>
      <c r="Q796" t="str">
        <f>IF(Sync!$J796="","",IF(ISNUMBER(Sync!$J796),IF(AND(Sync!$J796&gt;=10000101,Sync!$J796&lt;=99991231),INT(Sync!$J796/10000)&amp;"/"&amp;RIGHT("00"&amp;INT(MOD(Sync!$J796,10000)/100),2)&amp;"/"&amp;RIGHT("00"&amp;MOD(Sync!$J796,100),2),"نامعتبر"),IF(LEN(Sync!$J796)=10,Sync!$J796,"نامعتبر")))</f>
        <v/>
      </c>
      <c r="R796" t="str">
        <f t="shared" si="88"/>
        <v/>
      </c>
      <c r="S796" t="str">
        <f t="shared" si="89"/>
        <v/>
      </c>
      <c r="T796" t="str">
        <f>IF($N796="","",IF(Sync!$N796="",0,Sync!$N796))</f>
        <v/>
      </c>
      <c r="U796" t="str">
        <f>IF($N796="","",IF(Sync!$O796="",0,Sync!$O796))</f>
        <v/>
      </c>
      <c r="V796" t="str">
        <f>IF($N796="","",Sync!$L796)</f>
        <v/>
      </c>
      <c r="W796" t="str">
        <f>IF($N796="","",Sync!$P796)</f>
        <v/>
      </c>
      <c r="AA796" t="str">
        <f>IF($A796="","",IF(COUNTIF($A$6:$A796,$A796)=1,1,0))</f>
        <v/>
      </c>
      <c r="AB796">
        <f>SUM($AA$6:$AA796)</f>
        <v>3</v>
      </c>
      <c r="AC796" t="str">
        <f t="shared" si="90"/>
        <v/>
      </c>
    </row>
    <row r="797" spans="1:29" x14ac:dyDescent="0.2">
      <c r="A797" t="str">
        <f>IF(OR(Entry!$B800="",Entry!$E800="",$E797="نامعتبر"),"",Entry!$E800)</f>
        <v/>
      </c>
      <c r="B797" t="str">
        <f>IF($A797="","",LEFT($E797,4)&amp;MID($E797,6,2)&amp;RIGHT($E797,2)&amp;$F797&amp;"|"&amp;"1"&amp;RIGHT("00000"&amp;792,5))</f>
        <v/>
      </c>
      <c r="C797" t="str">
        <f t="shared" si="84"/>
        <v/>
      </c>
      <c r="D797" t="str">
        <f t="shared" si="85"/>
        <v/>
      </c>
      <c r="E797" t="str">
        <f>IF(Entry!$B800="","",IF(ISNUMBER(Entry!$B800),IF(AND(Entry!$B800&gt;=10000101,Entry!$B800&lt;=99991231),INT(Entry!$B800/10000)&amp;"/"&amp;RIGHT("00"&amp;INT(MOD(Entry!$B800,10000)/100),2)&amp;"/"&amp;RIGHT("00"&amp;MOD(Entry!$B800,100),2),"نامعتبر"),IF(LEN(Entry!$B800)=10,Entry!$B800,"نامعتبر")))</f>
        <v/>
      </c>
      <c r="F797" t="str">
        <f>IF(Entry!$B800="","",IF(Entry!$C800="","0000",IF(AND(ISNUMBER(Entry!$C800),Entry!$C800&gt;=0,Entry!$C800&lt;1),RIGHT("00"&amp;HOUR(Entry!$C800),2)&amp;RIGHT("00"&amp;MINUTE(Entry!$C800),2),IFERROR(RIGHT("00"&amp;VALUE(LEFT(Entry!$C800,FIND(":",Entry!$C800)-1)),2)&amp;RIGHT("00"&amp;VALUE(MID(Entry!$C800,FIND(":",Entry!$C800)+1,2)),2),"0000"))))</f>
        <v/>
      </c>
      <c r="G797" t="str">
        <f>IF($A797="","",Entry!$G800)</f>
        <v/>
      </c>
      <c r="H797" t="str">
        <f>IF($A797="","",IF(Entry!$H800="",0,Entry!$H800))</f>
        <v/>
      </c>
      <c r="I797" t="str">
        <f>IF($A797="","",IF(Entry!$I800="",0,Entry!$I800))</f>
        <v/>
      </c>
      <c r="J797" t="str">
        <f t="shared" si="86"/>
        <v/>
      </c>
      <c r="K797" t="str">
        <f>IF($A797="","",Entry!$D800)</f>
        <v/>
      </c>
      <c r="L797" t="str">
        <f>IF($A797="","",Entry!$L800)</f>
        <v/>
      </c>
      <c r="N797" t="str">
        <f>IF(OR(Sync!$M797="",$Q797="",$Q797="نامعتبر"),"",Sync!$M797)</f>
        <v/>
      </c>
      <c r="O797" t="str">
        <f t="shared" si="87"/>
        <v/>
      </c>
      <c r="P797" t="str">
        <f>IF($N797="","",LEFT($Q797,4)&amp;MID($Q797,6,2)&amp;RIGHT($Q797,2)&amp;IF(Sync!$K797="","0000",IF(AND(ISNUMBER(Sync!$K797),Sync!$K797&gt;=0,Sync!$K797&lt;1),RIGHT("00"&amp;HOUR(Sync!$K797),2)&amp;RIGHT("00"&amp;MINUTE(Sync!$K797),2),IFERROR(RIGHT("00"&amp;VALUE(LEFT(Sync!$K797,FIND(":",Sync!$K797)-1)),2)&amp;RIGHT("00"&amp;VALUE(MID(Sync!$K797,FIND(":",Sync!$K797)+1,2)),2),"0000")))&amp;"|"&amp;"2"&amp;RIGHT("00000"&amp;792,5))</f>
        <v/>
      </c>
      <c r="Q797" t="str">
        <f>IF(Sync!$J797="","",IF(ISNUMBER(Sync!$J797),IF(AND(Sync!$J797&gt;=10000101,Sync!$J797&lt;=99991231),INT(Sync!$J797/10000)&amp;"/"&amp;RIGHT("00"&amp;INT(MOD(Sync!$J797,10000)/100),2)&amp;"/"&amp;RIGHT("00"&amp;MOD(Sync!$J797,100),2),"نامعتبر"),IF(LEN(Sync!$J797)=10,Sync!$J797,"نامعتبر")))</f>
        <v/>
      </c>
      <c r="R797" t="str">
        <f t="shared" si="88"/>
        <v/>
      </c>
      <c r="S797" t="str">
        <f t="shared" si="89"/>
        <v/>
      </c>
      <c r="T797" t="str">
        <f>IF($N797="","",IF(Sync!$N797="",0,Sync!$N797))</f>
        <v/>
      </c>
      <c r="U797" t="str">
        <f>IF($N797="","",IF(Sync!$O797="",0,Sync!$O797))</f>
        <v/>
      </c>
      <c r="V797" t="str">
        <f>IF($N797="","",Sync!$L797)</f>
        <v/>
      </c>
      <c r="W797" t="str">
        <f>IF($N797="","",Sync!$P797)</f>
        <v/>
      </c>
      <c r="AA797" t="str">
        <f>IF($A797="","",IF(COUNTIF($A$6:$A797,$A797)=1,1,0))</f>
        <v/>
      </c>
      <c r="AB797">
        <f>SUM($AA$6:$AA797)</f>
        <v>3</v>
      </c>
      <c r="AC797" t="str">
        <f t="shared" si="90"/>
        <v/>
      </c>
    </row>
    <row r="798" spans="1:29" x14ac:dyDescent="0.2">
      <c r="A798" t="str">
        <f>IF(OR(Entry!$B801="",Entry!$E801="",$E798="نامعتبر"),"",Entry!$E801)</f>
        <v/>
      </c>
      <c r="B798" t="str">
        <f>IF($A798="","",LEFT($E798,4)&amp;MID($E798,6,2)&amp;RIGHT($E798,2)&amp;$F798&amp;"|"&amp;"1"&amp;RIGHT("00000"&amp;793,5))</f>
        <v/>
      </c>
      <c r="C798" t="str">
        <f t="shared" si="84"/>
        <v/>
      </c>
      <c r="D798" t="str">
        <f t="shared" si="85"/>
        <v/>
      </c>
      <c r="E798" t="str">
        <f>IF(Entry!$B801="","",IF(ISNUMBER(Entry!$B801),IF(AND(Entry!$B801&gt;=10000101,Entry!$B801&lt;=99991231),INT(Entry!$B801/10000)&amp;"/"&amp;RIGHT("00"&amp;INT(MOD(Entry!$B801,10000)/100),2)&amp;"/"&amp;RIGHT("00"&amp;MOD(Entry!$B801,100),2),"نامعتبر"),IF(LEN(Entry!$B801)=10,Entry!$B801,"نامعتبر")))</f>
        <v/>
      </c>
      <c r="F798" t="str">
        <f>IF(Entry!$B801="","",IF(Entry!$C801="","0000",IF(AND(ISNUMBER(Entry!$C801),Entry!$C801&gt;=0,Entry!$C801&lt;1),RIGHT("00"&amp;HOUR(Entry!$C801),2)&amp;RIGHT("00"&amp;MINUTE(Entry!$C801),2),IFERROR(RIGHT("00"&amp;VALUE(LEFT(Entry!$C801,FIND(":",Entry!$C801)-1)),2)&amp;RIGHT("00"&amp;VALUE(MID(Entry!$C801,FIND(":",Entry!$C801)+1,2)),2),"0000"))))</f>
        <v/>
      </c>
      <c r="G798" t="str">
        <f>IF($A798="","",Entry!$G801)</f>
        <v/>
      </c>
      <c r="H798" t="str">
        <f>IF($A798="","",IF(Entry!$H801="",0,Entry!$H801))</f>
        <v/>
      </c>
      <c r="I798" t="str">
        <f>IF($A798="","",IF(Entry!$I801="",0,Entry!$I801))</f>
        <v/>
      </c>
      <c r="J798" t="str">
        <f t="shared" si="86"/>
        <v/>
      </c>
      <c r="K798" t="str">
        <f>IF($A798="","",Entry!$D801)</f>
        <v/>
      </c>
      <c r="L798" t="str">
        <f>IF($A798="","",Entry!$L801)</f>
        <v/>
      </c>
      <c r="N798" t="str">
        <f>IF(OR(Sync!$M798="",$Q798="",$Q798="نامعتبر"),"",Sync!$M798)</f>
        <v/>
      </c>
      <c r="O798" t="str">
        <f t="shared" si="87"/>
        <v/>
      </c>
      <c r="P798" t="str">
        <f>IF($N798="","",LEFT($Q798,4)&amp;MID($Q798,6,2)&amp;RIGHT($Q798,2)&amp;IF(Sync!$K798="","0000",IF(AND(ISNUMBER(Sync!$K798),Sync!$K798&gt;=0,Sync!$K798&lt;1),RIGHT("00"&amp;HOUR(Sync!$K798),2)&amp;RIGHT("00"&amp;MINUTE(Sync!$K798),2),IFERROR(RIGHT("00"&amp;VALUE(LEFT(Sync!$K798,FIND(":",Sync!$K798)-1)),2)&amp;RIGHT("00"&amp;VALUE(MID(Sync!$K798,FIND(":",Sync!$K798)+1,2)),2),"0000")))&amp;"|"&amp;"2"&amp;RIGHT("00000"&amp;793,5))</f>
        <v/>
      </c>
      <c r="Q798" t="str">
        <f>IF(Sync!$J798="","",IF(ISNUMBER(Sync!$J798),IF(AND(Sync!$J798&gt;=10000101,Sync!$J798&lt;=99991231),INT(Sync!$J798/10000)&amp;"/"&amp;RIGHT("00"&amp;INT(MOD(Sync!$J798,10000)/100),2)&amp;"/"&amp;RIGHT("00"&amp;MOD(Sync!$J798,100),2),"نامعتبر"),IF(LEN(Sync!$J798)=10,Sync!$J798,"نامعتبر")))</f>
        <v/>
      </c>
      <c r="R798" t="str">
        <f t="shared" si="88"/>
        <v/>
      </c>
      <c r="S798" t="str">
        <f t="shared" si="89"/>
        <v/>
      </c>
      <c r="T798" t="str">
        <f>IF($N798="","",IF(Sync!$N798="",0,Sync!$N798))</f>
        <v/>
      </c>
      <c r="U798" t="str">
        <f>IF($N798="","",IF(Sync!$O798="",0,Sync!$O798))</f>
        <v/>
      </c>
      <c r="V798" t="str">
        <f>IF($N798="","",Sync!$L798)</f>
        <v/>
      </c>
      <c r="W798" t="str">
        <f>IF($N798="","",Sync!$P798)</f>
        <v/>
      </c>
      <c r="AA798" t="str">
        <f>IF($A798="","",IF(COUNTIF($A$6:$A798,$A798)=1,1,0))</f>
        <v/>
      </c>
      <c r="AB798">
        <f>SUM($AA$6:$AA798)</f>
        <v>3</v>
      </c>
      <c r="AC798" t="str">
        <f t="shared" si="90"/>
        <v/>
      </c>
    </row>
    <row r="799" spans="1:29" x14ac:dyDescent="0.2">
      <c r="A799" t="str">
        <f>IF(OR(Entry!$B802="",Entry!$E802="",$E799="نامعتبر"),"",Entry!$E802)</f>
        <v/>
      </c>
      <c r="B799" t="str">
        <f>IF($A799="","",LEFT($E799,4)&amp;MID($E799,6,2)&amp;RIGHT($E799,2)&amp;$F799&amp;"|"&amp;"1"&amp;RIGHT("00000"&amp;794,5))</f>
        <v/>
      </c>
      <c r="C799" t="str">
        <f t="shared" si="84"/>
        <v/>
      </c>
      <c r="D799" t="str">
        <f t="shared" si="85"/>
        <v/>
      </c>
      <c r="E799" t="str">
        <f>IF(Entry!$B802="","",IF(ISNUMBER(Entry!$B802),IF(AND(Entry!$B802&gt;=10000101,Entry!$B802&lt;=99991231),INT(Entry!$B802/10000)&amp;"/"&amp;RIGHT("00"&amp;INT(MOD(Entry!$B802,10000)/100),2)&amp;"/"&amp;RIGHT("00"&amp;MOD(Entry!$B802,100),2),"نامعتبر"),IF(LEN(Entry!$B802)=10,Entry!$B802,"نامعتبر")))</f>
        <v/>
      </c>
      <c r="F799" t="str">
        <f>IF(Entry!$B802="","",IF(Entry!$C802="","0000",IF(AND(ISNUMBER(Entry!$C802),Entry!$C802&gt;=0,Entry!$C802&lt;1),RIGHT("00"&amp;HOUR(Entry!$C802),2)&amp;RIGHT("00"&amp;MINUTE(Entry!$C802),2),IFERROR(RIGHT("00"&amp;VALUE(LEFT(Entry!$C802,FIND(":",Entry!$C802)-1)),2)&amp;RIGHT("00"&amp;VALUE(MID(Entry!$C802,FIND(":",Entry!$C802)+1,2)),2),"0000"))))</f>
        <v/>
      </c>
      <c r="G799" t="str">
        <f>IF($A799="","",Entry!$G802)</f>
        <v/>
      </c>
      <c r="H799" t="str">
        <f>IF($A799="","",IF(Entry!$H802="",0,Entry!$H802))</f>
        <v/>
      </c>
      <c r="I799" t="str">
        <f>IF($A799="","",IF(Entry!$I802="",0,Entry!$I802))</f>
        <v/>
      </c>
      <c r="J799" t="str">
        <f t="shared" si="86"/>
        <v/>
      </c>
      <c r="K799" t="str">
        <f>IF($A799="","",Entry!$D802)</f>
        <v/>
      </c>
      <c r="L799" t="str">
        <f>IF($A799="","",Entry!$L802)</f>
        <v/>
      </c>
      <c r="N799" t="str">
        <f>IF(OR(Sync!$M799="",$Q799="",$Q799="نامعتبر"),"",Sync!$M799)</f>
        <v/>
      </c>
      <c r="O799" t="str">
        <f t="shared" si="87"/>
        <v/>
      </c>
      <c r="P799" t="str">
        <f>IF($N799="","",LEFT($Q799,4)&amp;MID($Q799,6,2)&amp;RIGHT($Q799,2)&amp;IF(Sync!$K799="","0000",IF(AND(ISNUMBER(Sync!$K799),Sync!$K799&gt;=0,Sync!$K799&lt;1),RIGHT("00"&amp;HOUR(Sync!$K799),2)&amp;RIGHT("00"&amp;MINUTE(Sync!$K799),2),IFERROR(RIGHT("00"&amp;VALUE(LEFT(Sync!$K799,FIND(":",Sync!$K799)-1)),2)&amp;RIGHT("00"&amp;VALUE(MID(Sync!$K799,FIND(":",Sync!$K799)+1,2)),2),"0000")))&amp;"|"&amp;"2"&amp;RIGHT("00000"&amp;794,5))</f>
        <v/>
      </c>
      <c r="Q799" t="str">
        <f>IF(Sync!$J799="","",IF(ISNUMBER(Sync!$J799),IF(AND(Sync!$J799&gt;=10000101,Sync!$J799&lt;=99991231),INT(Sync!$J799/10000)&amp;"/"&amp;RIGHT("00"&amp;INT(MOD(Sync!$J799,10000)/100),2)&amp;"/"&amp;RIGHT("00"&amp;MOD(Sync!$J799,100),2),"نامعتبر"),IF(LEN(Sync!$J799)=10,Sync!$J799,"نامعتبر")))</f>
        <v/>
      </c>
      <c r="R799" t="str">
        <f t="shared" si="88"/>
        <v/>
      </c>
      <c r="S799" t="str">
        <f t="shared" si="89"/>
        <v/>
      </c>
      <c r="T799" t="str">
        <f>IF($N799="","",IF(Sync!$N799="",0,Sync!$N799))</f>
        <v/>
      </c>
      <c r="U799" t="str">
        <f>IF($N799="","",IF(Sync!$O799="",0,Sync!$O799))</f>
        <v/>
      </c>
      <c r="V799" t="str">
        <f>IF($N799="","",Sync!$L799)</f>
        <v/>
      </c>
      <c r="W799" t="str">
        <f>IF($N799="","",Sync!$P799)</f>
        <v/>
      </c>
      <c r="AA799" t="str">
        <f>IF($A799="","",IF(COUNTIF($A$6:$A799,$A799)=1,1,0))</f>
        <v/>
      </c>
      <c r="AB799">
        <f>SUM($AA$6:$AA799)</f>
        <v>3</v>
      </c>
      <c r="AC799" t="str">
        <f t="shared" si="90"/>
        <v/>
      </c>
    </row>
    <row r="800" spans="1:29" x14ac:dyDescent="0.2">
      <c r="A800" t="str">
        <f>IF(OR(Entry!$B803="",Entry!$E803="",$E800="نامعتبر"),"",Entry!$E803)</f>
        <v/>
      </c>
      <c r="B800" t="str">
        <f>IF($A800="","",LEFT($E800,4)&amp;MID($E800,6,2)&amp;RIGHT($E800,2)&amp;$F800&amp;"|"&amp;"1"&amp;RIGHT("00000"&amp;795,5))</f>
        <v/>
      </c>
      <c r="C800" t="str">
        <f t="shared" si="84"/>
        <v/>
      </c>
      <c r="D800" t="str">
        <f t="shared" si="85"/>
        <v/>
      </c>
      <c r="E800" t="str">
        <f>IF(Entry!$B803="","",IF(ISNUMBER(Entry!$B803),IF(AND(Entry!$B803&gt;=10000101,Entry!$B803&lt;=99991231),INT(Entry!$B803/10000)&amp;"/"&amp;RIGHT("00"&amp;INT(MOD(Entry!$B803,10000)/100),2)&amp;"/"&amp;RIGHT("00"&amp;MOD(Entry!$B803,100),2),"نامعتبر"),IF(LEN(Entry!$B803)=10,Entry!$B803,"نامعتبر")))</f>
        <v/>
      </c>
      <c r="F800" t="str">
        <f>IF(Entry!$B803="","",IF(Entry!$C803="","0000",IF(AND(ISNUMBER(Entry!$C803),Entry!$C803&gt;=0,Entry!$C803&lt;1),RIGHT("00"&amp;HOUR(Entry!$C803),2)&amp;RIGHT("00"&amp;MINUTE(Entry!$C803),2),IFERROR(RIGHT("00"&amp;VALUE(LEFT(Entry!$C803,FIND(":",Entry!$C803)-1)),2)&amp;RIGHT("00"&amp;VALUE(MID(Entry!$C803,FIND(":",Entry!$C803)+1,2)),2),"0000"))))</f>
        <v/>
      </c>
      <c r="G800" t="str">
        <f>IF($A800="","",Entry!$G803)</f>
        <v/>
      </c>
      <c r="H800" t="str">
        <f>IF($A800="","",IF(Entry!$H803="",0,Entry!$H803))</f>
        <v/>
      </c>
      <c r="I800" t="str">
        <f>IF($A800="","",IF(Entry!$I803="",0,Entry!$I803))</f>
        <v/>
      </c>
      <c r="J800" t="str">
        <f t="shared" si="86"/>
        <v/>
      </c>
      <c r="K800" t="str">
        <f>IF($A800="","",Entry!$D803)</f>
        <v/>
      </c>
      <c r="L800" t="str">
        <f>IF($A800="","",Entry!$L803)</f>
        <v/>
      </c>
      <c r="N800" t="str">
        <f>IF(OR(Sync!$M800="",$Q800="",$Q800="نامعتبر"),"",Sync!$M800)</f>
        <v/>
      </c>
      <c r="O800" t="str">
        <f t="shared" si="87"/>
        <v/>
      </c>
      <c r="P800" t="str">
        <f>IF($N800="","",LEFT($Q800,4)&amp;MID($Q800,6,2)&amp;RIGHT($Q800,2)&amp;IF(Sync!$K800="","0000",IF(AND(ISNUMBER(Sync!$K800),Sync!$K800&gt;=0,Sync!$K800&lt;1),RIGHT("00"&amp;HOUR(Sync!$K800),2)&amp;RIGHT("00"&amp;MINUTE(Sync!$K800),2),IFERROR(RIGHT("00"&amp;VALUE(LEFT(Sync!$K800,FIND(":",Sync!$K800)-1)),2)&amp;RIGHT("00"&amp;VALUE(MID(Sync!$K800,FIND(":",Sync!$K800)+1,2)),2),"0000")))&amp;"|"&amp;"2"&amp;RIGHT("00000"&amp;795,5))</f>
        <v/>
      </c>
      <c r="Q800" t="str">
        <f>IF(Sync!$J800="","",IF(ISNUMBER(Sync!$J800),IF(AND(Sync!$J800&gt;=10000101,Sync!$J800&lt;=99991231),INT(Sync!$J800/10000)&amp;"/"&amp;RIGHT("00"&amp;INT(MOD(Sync!$J800,10000)/100),2)&amp;"/"&amp;RIGHT("00"&amp;MOD(Sync!$J800,100),2),"نامعتبر"),IF(LEN(Sync!$J800)=10,Sync!$J800,"نامعتبر")))</f>
        <v/>
      </c>
      <c r="R800" t="str">
        <f t="shared" si="88"/>
        <v/>
      </c>
      <c r="S800" t="str">
        <f t="shared" si="89"/>
        <v/>
      </c>
      <c r="T800" t="str">
        <f>IF($N800="","",IF(Sync!$N800="",0,Sync!$N800))</f>
        <v/>
      </c>
      <c r="U800" t="str">
        <f>IF($N800="","",IF(Sync!$O800="",0,Sync!$O800))</f>
        <v/>
      </c>
      <c r="V800" t="str">
        <f>IF($N800="","",Sync!$L800)</f>
        <v/>
      </c>
      <c r="W800" t="str">
        <f>IF($N800="","",Sync!$P800)</f>
        <v/>
      </c>
      <c r="AA800" t="str">
        <f>IF($A800="","",IF(COUNTIF($A$6:$A800,$A800)=1,1,0))</f>
        <v/>
      </c>
      <c r="AB800">
        <f>SUM($AA$6:$AA800)</f>
        <v>3</v>
      </c>
      <c r="AC800" t="str">
        <f t="shared" si="90"/>
        <v/>
      </c>
    </row>
    <row r="801" spans="1:29" x14ac:dyDescent="0.2">
      <c r="A801" t="str">
        <f>IF(OR(Entry!$B804="",Entry!$E804="",$E801="نامعتبر"),"",Entry!$E804)</f>
        <v/>
      </c>
      <c r="B801" t="str">
        <f>IF($A801="","",LEFT($E801,4)&amp;MID($E801,6,2)&amp;RIGHT($E801,2)&amp;$F801&amp;"|"&amp;"1"&amp;RIGHT("00000"&amp;796,5))</f>
        <v/>
      </c>
      <c r="C801" t="str">
        <f t="shared" si="84"/>
        <v/>
      </c>
      <c r="D801" t="str">
        <f t="shared" si="85"/>
        <v/>
      </c>
      <c r="E801" t="str">
        <f>IF(Entry!$B804="","",IF(ISNUMBER(Entry!$B804),IF(AND(Entry!$B804&gt;=10000101,Entry!$B804&lt;=99991231),INT(Entry!$B804/10000)&amp;"/"&amp;RIGHT("00"&amp;INT(MOD(Entry!$B804,10000)/100),2)&amp;"/"&amp;RIGHT("00"&amp;MOD(Entry!$B804,100),2),"نامعتبر"),IF(LEN(Entry!$B804)=10,Entry!$B804,"نامعتبر")))</f>
        <v/>
      </c>
      <c r="F801" t="str">
        <f>IF(Entry!$B804="","",IF(Entry!$C804="","0000",IF(AND(ISNUMBER(Entry!$C804),Entry!$C804&gt;=0,Entry!$C804&lt;1),RIGHT("00"&amp;HOUR(Entry!$C804),2)&amp;RIGHT("00"&amp;MINUTE(Entry!$C804),2),IFERROR(RIGHT("00"&amp;VALUE(LEFT(Entry!$C804,FIND(":",Entry!$C804)-1)),2)&amp;RIGHT("00"&amp;VALUE(MID(Entry!$C804,FIND(":",Entry!$C804)+1,2)),2),"0000"))))</f>
        <v/>
      </c>
      <c r="G801" t="str">
        <f>IF($A801="","",Entry!$G804)</f>
        <v/>
      </c>
      <c r="H801" t="str">
        <f>IF($A801="","",IF(Entry!$H804="",0,Entry!$H804))</f>
        <v/>
      </c>
      <c r="I801" t="str">
        <f>IF($A801="","",IF(Entry!$I804="",0,Entry!$I804))</f>
        <v/>
      </c>
      <c r="J801" t="str">
        <f t="shared" si="86"/>
        <v/>
      </c>
      <c r="K801" t="str">
        <f>IF($A801="","",Entry!$D804)</f>
        <v/>
      </c>
      <c r="L801" t="str">
        <f>IF($A801="","",Entry!$L804)</f>
        <v/>
      </c>
      <c r="N801" t="str">
        <f>IF(OR(Sync!$M801="",$Q801="",$Q801="نامعتبر"),"",Sync!$M801)</f>
        <v/>
      </c>
      <c r="O801" t="str">
        <f t="shared" si="87"/>
        <v/>
      </c>
      <c r="P801" t="str">
        <f>IF($N801="","",LEFT($Q801,4)&amp;MID($Q801,6,2)&amp;RIGHT($Q801,2)&amp;IF(Sync!$K801="","0000",IF(AND(ISNUMBER(Sync!$K801),Sync!$K801&gt;=0,Sync!$K801&lt;1),RIGHT("00"&amp;HOUR(Sync!$K801),2)&amp;RIGHT("00"&amp;MINUTE(Sync!$K801),2),IFERROR(RIGHT("00"&amp;VALUE(LEFT(Sync!$K801,FIND(":",Sync!$K801)-1)),2)&amp;RIGHT("00"&amp;VALUE(MID(Sync!$K801,FIND(":",Sync!$K801)+1,2)),2),"0000")))&amp;"|"&amp;"2"&amp;RIGHT("00000"&amp;796,5))</f>
        <v/>
      </c>
      <c r="Q801" t="str">
        <f>IF(Sync!$J801="","",IF(ISNUMBER(Sync!$J801),IF(AND(Sync!$J801&gt;=10000101,Sync!$J801&lt;=99991231),INT(Sync!$J801/10000)&amp;"/"&amp;RIGHT("00"&amp;INT(MOD(Sync!$J801,10000)/100),2)&amp;"/"&amp;RIGHT("00"&amp;MOD(Sync!$J801,100),2),"نامعتبر"),IF(LEN(Sync!$J801)=10,Sync!$J801,"نامعتبر")))</f>
        <v/>
      </c>
      <c r="R801" t="str">
        <f t="shared" si="88"/>
        <v/>
      </c>
      <c r="S801" t="str">
        <f t="shared" si="89"/>
        <v/>
      </c>
      <c r="T801" t="str">
        <f>IF($N801="","",IF(Sync!$N801="",0,Sync!$N801))</f>
        <v/>
      </c>
      <c r="U801" t="str">
        <f>IF($N801="","",IF(Sync!$O801="",0,Sync!$O801))</f>
        <v/>
      </c>
      <c r="V801" t="str">
        <f>IF($N801="","",Sync!$L801)</f>
        <v/>
      </c>
      <c r="W801" t="str">
        <f>IF($N801="","",Sync!$P801)</f>
        <v/>
      </c>
      <c r="AA801" t="str">
        <f>IF($A801="","",IF(COUNTIF($A$6:$A801,$A801)=1,1,0))</f>
        <v/>
      </c>
      <c r="AB801">
        <f>SUM($AA$6:$AA801)</f>
        <v>3</v>
      </c>
      <c r="AC801" t="str">
        <f t="shared" si="90"/>
        <v/>
      </c>
    </row>
    <row r="802" spans="1:29" x14ac:dyDescent="0.2">
      <c r="A802" t="str">
        <f>IF(OR(Entry!$B805="",Entry!$E805="",$E802="نامعتبر"),"",Entry!$E805)</f>
        <v/>
      </c>
      <c r="B802" t="str">
        <f>IF($A802="","",LEFT($E802,4)&amp;MID($E802,6,2)&amp;RIGHT($E802,2)&amp;$F802&amp;"|"&amp;"1"&amp;RIGHT("00000"&amp;797,5))</f>
        <v/>
      </c>
      <c r="C802" t="str">
        <f t="shared" si="84"/>
        <v/>
      </c>
      <c r="D802" t="str">
        <f t="shared" si="85"/>
        <v/>
      </c>
      <c r="E802" t="str">
        <f>IF(Entry!$B805="","",IF(ISNUMBER(Entry!$B805),IF(AND(Entry!$B805&gt;=10000101,Entry!$B805&lt;=99991231),INT(Entry!$B805/10000)&amp;"/"&amp;RIGHT("00"&amp;INT(MOD(Entry!$B805,10000)/100),2)&amp;"/"&amp;RIGHT("00"&amp;MOD(Entry!$B805,100),2),"نامعتبر"),IF(LEN(Entry!$B805)=10,Entry!$B805,"نامعتبر")))</f>
        <v/>
      </c>
      <c r="F802" t="str">
        <f>IF(Entry!$B805="","",IF(Entry!$C805="","0000",IF(AND(ISNUMBER(Entry!$C805),Entry!$C805&gt;=0,Entry!$C805&lt;1),RIGHT("00"&amp;HOUR(Entry!$C805),2)&amp;RIGHT("00"&amp;MINUTE(Entry!$C805),2),IFERROR(RIGHT("00"&amp;VALUE(LEFT(Entry!$C805,FIND(":",Entry!$C805)-1)),2)&amp;RIGHT("00"&amp;VALUE(MID(Entry!$C805,FIND(":",Entry!$C805)+1,2)),2),"0000"))))</f>
        <v/>
      </c>
      <c r="G802" t="str">
        <f>IF($A802="","",Entry!$G805)</f>
        <v/>
      </c>
      <c r="H802" t="str">
        <f>IF($A802="","",IF(Entry!$H805="",0,Entry!$H805))</f>
        <v/>
      </c>
      <c r="I802" t="str">
        <f>IF($A802="","",IF(Entry!$I805="",0,Entry!$I805))</f>
        <v/>
      </c>
      <c r="J802" t="str">
        <f t="shared" si="86"/>
        <v/>
      </c>
      <c r="K802" t="str">
        <f>IF($A802="","",Entry!$D805)</f>
        <v/>
      </c>
      <c r="L802" t="str">
        <f>IF($A802="","",Entry!$L805)</f>
        <v/>
      </c>
      <c r="N802" t="str">
        <f>IF(OR(Sync!$M802="",$Q802="",$Q802="نامعتبر"),"",Sync!$M802)</f>
        <v/>
      </c>
      <c r="O802" t="str">
        <f t="shared" si="87"/>
        <v/>
      </c>
      <c r="P802" t="str">
        <f>IF($N802="","",LEFT($Q802,4)&amp;MID($Q802,6,2)&amp;RIGHT($Q802,2)&amp;IF(Sync!$K802="","0000",IF(AND(ISNUMBER(Sync!$K802),Sync!$K802&gt;=0,Sync!$K802&lt;1),RIGHT("00"&amp;HOUR(Sync!$K802),2)&amp;RIGHT("00"&amp;MINUTE(Sync!$K802),2),IFERROR(RIGHT("00"&amp;VALUE(LEFT(Sync!$K802,FIND(":",Sync!$K802)-1)),2)&amp;RIGHT("00"&amp;VALUE(MID(Sync!$K802,FIND(":",Sync!$K802)+1,2)),2),"0000")))&amp;"|"&amp;"2"&amp;RIGHT("00000"&amp;797,5))</f>
        <v/>
      </c>
      <c r="Q802" t="str">
        <f>IF(Sync!$J802="","",IF(ISNUMBER(Sync!$J802),IF(AND(Sync!$J802&gt;=10000101,Sync!$J802&lt;=99991231),INT(Sync!$J802/10000)&amp;"/"&amp;RIGHT("00"&amp;INT(MOD(Sync!$J802,10000)/100),2)&amp;"/"&amp;RIGHT("00"&amp;MOD(Sync!$J802,100),2),"نامعتبر"),IF(LEN(Sync!$J802)=10,Sync!$J802,"نامعتبر")))</f>
        <v/>
      </c>
      <c r="R802" t="str">
        <f t="shared" si="88"/>
        <v/>
      </c>
      <c r="S802" t="str">
        <f t="shared" si="89"/>
        <v/>
      </c>
      <c r="T802" t="str">
        <f>IF($N802="","",IF(Sync!$N802="",0,Sync!$N802))</f>
        <v/>
      </c>
      <c r="U802" t="str">
        <f>IF($N802="","",IF(Sync!$O802="",0,Sync!$O802))</f>
        <v/>
      </c>
      <c r="V802" t="str">
        <f>IF($N802="","",Sync!$L802)</f>
        <v/>
      </c>
      <c r="W802" t="str">
        <f>IF($N802="","",Sync!$P802)</f>
        <v/>
      </c>
      <c r="AA802" t="str">
        <f>IF($A802="","",IF(COUNTIF($A$6:$A802,$A802)=1,1,0))</f>
        <v/>
      </c>
      <c r="AB802">
        <f>SUM($AA$6:$AA802)</f>
        <v>3</v>
      </c>
      <c r="AC802" t="str">
        <f t="shared" si="90"/>
        <v/>
      </c>
    </row>
    <row r="803" spans="1:29" x14ac:dyDescent="0.2">
      <c r="A803" t="str">
        <f>IF(OR(Entry!$B806="",Entry!$E806="",$E803="نامعتبر"),"",Entry!$E806)</f>
        <v/>
      </c>
      <c r="B803" t="str">
        <f>IF($A803="","",LEFT($E803,4)&amp;MID($E803,6,2)&amp;RIGHT($E803,2)&amp;$F803&amp;"|"&amp;"1"&amp;RIGHT("00000"&amp;798,5))</f>
        <v/>
      </c>
      <c r="C803" t="str">
        <f t="shared" si="84"/>
        <v/>
      </c>
      <c r="D803" t="str">
        <f t="shared" si="85"/>
        <v/>
      </c>
      <c r="E803" t="str">
        <f>IF(Entry!$B806="","",IF(ISNUMBER(Entry!$B806),IF(AND(Entry!$B806&gt;=10000101,Entry!$B806&lt;=99991231),INT(Entry!$B806/10000)&amp;"/"&amp;RIGHT("00"&amp;INT(MOD(Entry!$B806,10000)/100),2)&amp;"/"&amp;RIGHT("00"&amp;MOD(Entry!$B806,100),2),"نامعتبر"),IF(LEN(Entry!$B806)=10,Entry!$B806,"نامعتبر")))</f>
        <v/>
      </c>
      <c r="F803" t="str">
        <f>IF(Entry!$B806="","",IF(Entry!$C806="","0000",IF(AND(ISNUMBER(Entry!$C806),Entry!$C806&gt;=0,Entry!$C806&lt;1),RIGHT("00"&amp;HOUR(Entry!$C806),2)&amp;RIGHT("00"&amp;MINUTE(Entry!$C806),2),IFERROR(RIGHT("00"&amp;VALUE(LEFT(Entry!$C806,FIND(":",Entry!$C806)-1)),2)&amp;RIGHT("00"&amp;VALUE(MID(Entry!$C806,FIND(":",Entry!$C806)+1,2)),2),"0000"))))</f>
        <v/>
      </c>
      <c r="G803" t="str">
        <f>IF($A803="","",Entry!$G806)</f>
        <v/>
      </c>
      <c r="H803" t="str">
        <f>IF($A803="","",IF(Entry!$H806="",0,Entry!$H806))</f>
        <v/>
      </c>
      <c r="I803" t="str">
        <f>IF($A803="","",IF(Entry!$I806="",0,Entry!$I806))</f>
        <v/>
      </c>
      <c r="J803" t="str">
        <f t="shared" si="86"/>
        <v/>
      </c>
      <c r="K803" t="str">
        <f>IF($A803="","",Entry!$D806)</f>
        <v/>
      </c>
      <c r="L803" t="str">
        <f>IF($A803="","",Entry!$L806)</f>
        <v/>
      </c>
      <c r="N803" t="str">
        <f>IF(OR(Sync!$M803="",$Q803="",$Q803="نامعتبر"),"",Sync!$M803)</f>
        <v/>
      </c>
      <c r="O803" t="str">
        <f t="shared" si="87"/>
        <v/>
      </c>
      <c r="P803" t="str">
        <f>IF($N803="","",LEFT($Q803,4)&amp;MID($Q803,6,2)&amp;RIGHT($Q803,2)&amp;IF(Sync!$K803="","0000",IF(AND(ISNUMBER(Sync!$K803),Sync!$K803&gt;=0,Sync!$K803&lt;1),RIGHT("00"&amp;HOUR(Sync!$K803),2)&amp;RIGHT("00"&amp;MINUTE(Sync!$K803),2),IFERROR(RIGHT("00"&amp;VALUE(LEFT(Sync!$K803,FIND(":",Sync!$K803)-1)),2)&amp;RIGHT("00"&amp;VALUE(MID(Sync!$K803,FIND(":",Sync!$K803)+1,2)),2),"0000")))&amp;"|"&amp;"2"&amp;RIGHT("00000"&amp;798,5))</f>
        <v/>
      </c>
      <c r="Q803" t="str">
        <f>IF(Sync!$J803="","",IF(ISNUMBER(Sync!$J803),IF(AND(Sync!$J803&gt;=10000101,Sync!$J803&lt;=99991231),INT(Sync!$J803/10000)&amp;"/"&amp;RIGHT("00"&amp;INT(MOD(Sync!$J803,10000)/100),2)&amp;"/"&amp;RIGHT("00"&amp;MOD(Sync!$J803,100),2),"نامعتبر"),IF(LEN(Sync!$J803)=10,Sync!$J803,"نامعتبر")))</f>
        <v/>
      </c>
      <c r="R803" t="str">
        <f t="shared" si="88"/>
        <v/>
      </c>
      <c r="S803" t="str">
        <f t="shared" si="89"/>
        <v/>
      </c>
      <c r="T803" t="str">
        <f>IF($N803="","",IF(Sync!$N803="",0,Sync!$N803))</f>
        <v/>
      </c>
      <c r="U803" t="str">
        <f>IF($N803="","",IF(Sync!$O803="",0,Sync!$O803))</f>
        <v/>
      </c>
      <c r="V803" t="str">
        <f>IF($N803="","",Sync!$L803)</f>
        <v/>
      </c>
      <c r="W803" t="str">
        <f>IF($N803="","",Sync!$P803)</f>
        <v/>
      </c>
      <c r="AA803" t="str">
        <f>IF($A803="","",IF(COUNTIF($A$6:$A803,$A803)=1,1,0))</f>
        <v/>
      </c>
      <c r="AB803">
        <f>SUM($AA$6:$AA803)</f>
        <v>3</v>
      </c>
      <c r="AC803" t="str">
        <f t="shared" si="90"/>
        <v/>
      </c>
    </row>
    <row r="804" spans="1:29" x14ac:dyDescent="0.2">
      <c r="A804" t="str">
        <f>IF(OR(Entry!$B807="",Entry!$E807="",$E804="نامعتبر"),"",Entry!$E807)</f>
        <v/>
      </c>
      <c r="B804" t="str">
        <f>IF($A804="","",LEFT($E804,4)&amp;MID($E804,6,2)&amp;RIGHT($E804,2)&amp;$F804&amp;"|"&amp;"1"&amp;RIGHT("00000"&amp;799,5))</f>
        <v/>
      </c>
      <c r="C804" t="str">
        <f t="shared" si="84"/>
        <v/>
      </c>
      <c r="D804" t="str">
        <f t="shared" si="85"/>
        <v/>
      </c>
      <c r="E804" t="str">
        <f>IF(Entry!$B807="","",IF(ISNUMBER(Entry!$B807),IF(AND(Entry!$B807&gt;=10000101,Entry!$B807&lt;=99991231),INT(Entry!$B807/10000)&amp;"/"&amp;RIGHT("00"&amp;INT(MOD(Entry!$B807,10000)/100),2)&amp;"/"&amp;RIGHT("00"&amp;MOD(Entry!$B807,100),2),"نامعتبر"),IF(LEN(Entry!$B807)=10,Entry!$B807,"نامعتبر")))</f>
        <v/>
      </c>
      <c r="F804" t="str">
        <f>IF(Entry!$B807="","",IF(Entry!$C807="","0000",IF(AND(ISNUMBER(Entry!$C807),Entry!$C807&gt;=0,Entry!$C807&lt;1),RIGHT("00"&amp;HOUR(Entry!$C807),2)&amp;RIGHT("00"&amp;MINUTE(Entry!$C807),2),IFERROR(RIGHT("00"&amp;VALUE(LEFT(Entry!$C807,FIND(":",Entry!$C807)-1)),2)&amp;RIGHT("00"&amp;VALUE(MID(Entry!$C807,FIND(":",Entry!$C807)+1,2)),2),"0000"))))</f>
        <v/>
      </c>
      <c r="G804" t="str">
        <f>IF($A804="","",Entry!$G807)</f>
        <v/>
      </c>
      <c r="H804" t="str">
        <f>IF($A804="","",IF(Entry!$H807="",0,Entry!$H807))</f>
        <v/>
      </c>
      <c r="I804" t="str">
        <f>IF($A804="","",IF(Entry!$I807="",0,Entry!$I807))</f>
        <v/>
      </c>
      <c r="J804" t="str">
        <f t="shared" si="86"/>
        <v/>
      </c>
      <c r="K804" t="str">
        <f>IF($A804="","",Entry!$D807)</f>
        <v/>
      </c>
      <c r="L804" t="str">
        <f>IF($A804="","",Entry!$L807)</f>
        <v/>
      </c>
      <c r="N804" t="str">
        <f>IF(OR(Sync!$M804="",$Q804="",$Q804="نامعتبر"),"",Sync!$M804)</f>
        <v/>
      </c>
      <c r="O804" t="str">
        <f t="shared" si="87"/>
        <v/>
      </c>
      <c r="P804" t="str">
        <f>IF($N804="","",LEFT($Q804,4)&amp;MID($Q804,6,2)&amp;RIGHT($Q804,2)&amp;IF(Sync!$K804="","0000",IF(AND(ISNUMBER(Sync!$K804),Sync!$K804&gt;=0,Sync!$K804&lt;1),RIGHT("00"&amp;HOUR(Sync!$K804),2)&amp;RIGHT("00"&amp;MINUTE(Sync!$K804),2),IFERROR(RIGHT("00"&amp;VALUE(LEFT(Sync!$K804,FIND(":",Sync!$K804)-1)),2)&amp;RIGHT("00"&amp;VALUE(MID(Sync!$K804,FIND(":",Sync!$K804)+1,2)),2),"0000")))&amp;"|"&amp;"2"&amp;RIGHT("00000"&amp;799,5))</f>
        <v/>
      </c>
      <c r="Q804" t="str">
        <f>IF(Sync!$J804="","",IF(ISNUMBER(Sync!$J804),IF(AND(Sync!$J804&gt;=10000101,Sync!$J804&lt;=99991231),INT(Sync!$J804/10000)&amp;"/"&amp;RIGHT("00"&amp;INT(MOD(Sync!$J804,10000)/100),2)&amp;"/"&amp;RIGHT("00"&amp;MOD(Sync!$J804,100),2),"نامعتبر"),IF(LEN(Sync!$J804)=10,Sync!$J804,"نامعتبر")))</f>
        <v/>
      </c>
      <c r="R804" t="str">
        <f t="shared" si="88"/>
        <v/>
      </c>
      <c r="S804" t="str">
        <f t="shared" si="89"/>
        <v/>
      </c>
      <c r="T804" t="str">
        <f>IF($N804="","",IF(Sync!$N804="",0,Sync!$N804))</f>
        <v/>
      </c>
      <c r="U804" t="str">
        <f>IF($N804="","",IF(Sync!$O804="",0,Sync!$O804))</f>
        <v/>
      </c>
      <c r="V804" t="str">
        <f>IF($N804="","",Sync!$L804)</f>
        <v/>
      </c>
      <c r="W804" t="str">
        <f>IF($N804="","",Sync!$P804)</f>
        <v/>
      </c>
      <c r="AA804" t="str">
        <f>IF($A804="","",IF(COUNTIF($A$6:$A804,$A804)=1,1,0))</f>
        <v/>
      </c>
      <c r="AB804">
        <f>SUM($AA$6:$AA804)</f>
        <v>3</v>
      </c>
      <c r="AC804" t="str">
        <f t="shared" si="90"/>
        <v/>
      </c>
    </row>
    <row r="805" spans="1:29" x14ac:dyDescent="0.2">
      <c r="A805" t="str">
        <f>IF(OR(Entry!$B808="",Entry!$E808="",$E805="نامعتبر"),"",Entry!$E808)</f>
        <v/>
      </c>
      <c r="B805" t="str">
        <f>IF($A805="","",LEFT($E805,4)&amp;MID($E805,6,2)&amp;RIGHT($E805,2)&amp;$F805&amp;"|"&amp;"1"&amp;RIGHT("00000"&amp;800,5))</f>
        <v/>
      </c>
      <c r="C805" t="str">
        <f t="shared" si="84"/>
        <v/>
      </c>
      <c r="D805" t="str">
        <f t="shared" si="85"/>
        <v/>
      </c>
      <c r="E805" t="str">
        <f>IF(Entry!$B808="","",IF(ISNUMBER(Entry!$B808),IF(AND(Entry!$B808&gt;=10000101,Entry!$B808&lt;=99991231),INT(Entry!$B808/10000)&amp;"/"&amp;RIGHT("00"&amp;INT(MOD(Entry!$B808,10000)/100),2)&amp;"/"&amp;RIGHT("00"&amp;MOD(Entry!$B808,100),2),"نامعتبر"),IF(LEN(Entry!$B808)=10,Entry!$B808,"نامعتبر")))</f>
        <v/>
      </c>
      <c r="F805" t="str">
        <f>IF(Entry!$B808="","",IF(Entry!$C808="","0000",IF(AND(ISNUMBER(Entry!$C808),Entry!$C808&gt;=0,Entry!$C808&lt;1),RIGHT("00"&amp;HOUR(Entry!$C808),2)&amp;RIGHT("00"&amp;MINUTE(Entry!$C808),2),IFERROR(RIGHT("00"&amp;VALUE(LEFT(Entry!$C808,FIND(":",Entry!$C808)-1)),2)&amp;RIGHT("00"&amp;VALUE(MID(Entry!$C808,FIND(":",Entry!$C808)+1,2)),2),"0000"))))</f>
        <v/>
      </c>
      <c r="G805" t="str">
        <f>IF($A805="","",Entry!$G808)</f>
        <v/>
      </c>
      <c r="H805" t="str">
        <f>IF($A805="","",IF(Entry!$H808="",0,Entry!$H808))</f>
        <v/>
      </c>
      <c r="I805" t="str">
        <f>IF($A805="","",IF(Entry!$I808="",0,Entry!$I808))</f>
        <v/>
      </c>
      <c r="J805" t="str">
        <f t="shared" si="86"/>
        <v/>
      </c>
      <c r="K805" t="str">
        <f>IF($A805="","",Entry!$D808)</f>
        <v/>
      </c>
      <c r="L805" t="str">
        <f>IF($A805="","",Entry!$L808)</f>
        <v/>
      </c>
      <c r="N805" t="str">
        <f>IF(OR(Sync!$M805="",$Q805="",$Q805="نامعتبر"),"",Sync!$M805)</f>
        <v/>
      </c>
      <c r="O805" t="str">
        <f t="shared" si="87"/>
        <v/>
      </c>
      <c r="P805" t="str">
        <f>IF($N805="","",LEFT($Q805,4)&amp;MID($Q805,6,2)&amp;RIGHT($Q805,2)&amp;IF(Sync!$K805="","0000",IF(AND(ISNUMBER(Sync!$K805),Sync!$K805&gt;=0,Sync!$K805&lt;1),RIGHT("00"&amp;HOUR(Sync!$K805),2)&amp;RIGHT("00"&amp;MINUTE(Sync!$K805),2),IFERROR(RIGHT("00"&amp;VALUE(LEFT(Sync!$K805,FIND(":",Sync!$K805)-1)),2)&amp;RIGHT("00"&amp;VALUE(MID(Sync!$K805,FIND(":",Sync!$K805)+1,2)),2),"0000")))&amp;"|"&amp;"2"&amp;RIGHT("00000"&amp;800,5))</f>
        <v/>
      </c>
      <c r="Q805" t="str">
        <f>IF(Sync!$J805="","",IF(ISNUMBER(Sync!$J805),IF(AND(Sync!$J805&gt;=10000101,Sync!$J805&lt;=99991231),INT(Sync!$J805/10000)&amp;"/"&amp;RIGHT("00"&amp;INT(MOD(Sync!$J805,10000)/100),2)&amp;"/"&amp;RIGHT("00"&amp;MOD(Sync!$J805,100),2),"نامعتبر"),IF(LEN(Sync!$J805)=10,Sync!$J805,"نامعتبر")))</f>
        <v/>
      </c>
      <c r="R805" t="str">
        <f t="shared" si="88"/>
        <v/>
      </c>
      <c r="S805" t="str">
        <f t="shared" si="89"/>
        <v/>
      </c>
      <c r="T805" t="str">
        <f>IF($N805="","",IF(Sync!$N805="",0,Sync!$N805))</f>
        <v/>
      </c>
      <c r="U805" t="str">
        <f>IF($N805="","",IF(Sync!$O805="",0,Sync!$O805))</f>
        <v/>
      </c>
      <c r="V805" t="str">
        <f>IF($N805="","",Sync!$L805)</f>
        <v/>
      </c>
      <c r="W805" t="str">
        <f>IF($N805="","",Sync!$P805)</f>
        <v/>
      </c>
      <c r="AA805" t="str">
        <f>IF($A805="","",IF(COUNTIF($A$6:$A805,$A805)=1,1,0))</f>
        <v/>
      </c>
      <c r="AB805">
        <f>SUM($AA$6:$AA805)</f>
        <v>3</v>
      </c>
      <c r="AC805" t="str">
        <f t="shared" si="90"/>
        <v/>
      </c>
    </row>
    <row r="806" spans="1:29" x14ac:dyDescent="0.2">
      <c r="A806" t="str">
        <f>IF(OR(Entry!$B809="",Entry!$E809="",$E806="نامعتبر"),"",Entry!$E809)</f>
        <v/>
      </c>
      <c r="B806" t="str">
        <f>IF($A806="","",LEFT($E806,4)&amp;MID($E806,6,2)&amp;RIGHT($E806,2)&amp;$F806&amp;"|"&amp;"1"&amp;RIGHT("00000"&amp;801,5))</f>
        <v/>
      </c>
      <c r="C806" t="str">
        <f t="shared" si="84"/>
        <v/>
      </c>
      <c r="D806" t="str">
        <f t="shared" si="85"/>
        <v/>
      </c>
      <c r="E806" t="str">
        <f>IF(Entry!$B809="","",IF(ISNUMBER(Entry!$B809),IF(AND(Entry!$B809&gt;=10000101,Entry!$B809&lt;=99991231),INT(Entry!$B809/10000)&amp;"/"&amp;RIGHT("00"&amp;INT(MOD(Entry!$B809,10000)/100),2)&amp;"/"&amp;RIGHT("00"&amp;MOD(Entry!$B809,100),2),"نامعتبر"),IF(LEN(Entry!$B809)=10,Entry!$B809,"نامعتبر")))</f>
        <v/>
      </c>
      <c r="F806" t="str">
        <f>IF(Entry!$B809="","",IF(Entry!$C809="","0000",IF(AND(ISNUMBER(Entry!$C809),Entry!$C809&gt;=0,Entry!$C809&lt;1),RIGHT("00"&amp;HOUR(Entry!$C809),2)&amp;RIGHT("00"&amp;MINUTE(Entry!$C809),2),IFERROR(RIGHT("00"&amp;VALUE(LEFT(Entry!$C809,FIND(":",Entry!$C809)-1)),2)&amp;RIGHT("00"&amp;VALUE(MID(Entry!$C809,FIND(":",Entry!$C809)+1,2)),2),"0000"))))</f>
        <v/>
      </c>
      <c r="G806" t="str">
        <f>IF($A806="","",Entry!$G809)</f>
        <v/>
      </c>
      <c r="H806" t="str">
        <f>IF($A806="","",IF(Entry!$H809="",0,Entry!$H809))</f>
        <v/>
      </c>
      <c r="I806" t="str">
        <f>IF($A806="","",IF(Entry!$I809="",0,Entry!$I809))</f>
        <v/>
      </c>
      <c r="J806" t="str">
        <f t="shared" si="86"/>
        <v/>
      </c>
      <c r="K806" t="str">
        <f>IF($A806="","",Entry!$D809)</f>
        <v/>
      </c>
      <c r="L806" t="str">
        <f>IF($A806="","",Entry!$L809)</f>
        <v/>
      </c>
      <c r="N806" t="str">
        <f>IF(OR(Sync!$M806="",$Q806="",$Q806="نامعتبر"),"",Sync!$M806)</f>
        <v/>
      </c>
      <c r="O806" t="str">
        <f t="shared" si="87"/>
        <v/>
      </c>
      <c r="P806" t="str">
        <f>IF($N806="","",LEFT($Q806,4)&amp;MID($Q806,6,2)&amp;RIGHT($Q806,2)&amp;IF(Sync!$K806="","0000",IF(AND(ISNUMBER(Sync!$K806),Sync!$K806&gt;=0,Sync!$K806&lt;1),RIGHT("00"&amp;HOUR(Sync!$K806),2)&amp;RIGHT("00"&amp;MINUTE(Sync!$K806),2),IFERROR(RIGHT("00"&amp;VALUE(LEFT(Sync!$K806,FIND(":",Sync!$K806)-1)),2)&amp;RIGHT("00"&amp;VALUE(MID(Sync!$K806,FIND(":",Sync!$K806)+1,2)),2),"0000")))&amp;"|"&amp;"2"&amp;RIGHT("00000"&amp;801,5))</f>
        <v/>
      </c>
      <c r="Q806" t="str">
        <f>IF(Sync!$J806="","",IF(ISNUMBER(Sync!$J806),IF(AND(Sync!$J806&gt;=10000101,Sync!$J806&lt;=99991231),INT(Sync!$J806/10000)&amp;"/"&amp;RIGHT("00"&amp;INT(MOD(Sync!$J806,10000)/100),2)&amp;"/"&amp;RIGHT("00"&amp;MOD(Sync!$J806,100),2),"نامعتبر"),IF(LEN(Sync!$J806)=10,Sync!$J806,"نامعتبر")))</f>
        <v/>
      </c>
      <c r="R806" t="str">
        <f t="shared" si="88"/>
        <v/>
      </c>
      <c r="S806" t="str">
        <f t="shared" si="89"/>
        <v/>
      </c>
      <c r="T806" t="str">
        <f>IF($N806="","",IF(Sync!$N806="",0,Sync!$N806))</f>
        <v/>
      </c>
      <c r="U806" t="str">
        <f>IF($N806="","",IF(Sync!$O806="",0,Sync!$O806))</f>
        <v/>
      </c>
      <c r="V806" t="str">
        <f>IF($N806="","",Sync!$L806)</f>
        <v/>
      </c>
      <c r="W806" t="str">
        <f>IF($N806="","",Sync!$P806)</f>
        <v/>
      </c>
      <c r="AA806" t="str">
        <f>IF($A806="","",IF(COUNTIF($A$6:$A806,$A806)=1,1,0))</f>
        <v/>
      </c>
      <c r="AB806">
        <f>SUM($AA$6:$AA806)</f>
        <v>3</v>
      </c>
      <c r="AC806" t="str">
        <f t="shared" si="90"/>
        <v/>
      </c>
    </row>
    <row r="807" spans="1:29" x14ac:dyDescent="0.2">
      <c r="A807" t="str">
        <f>IF(OR(Entry!$B810="",Entry!$E810="",$E807="نامعتبر"),"",Entry!$E810)</f>
        <v/>
      </c>
      <c r="B807" t="str">
        <f>IF($A807="","",LEFT($E807,4)&amp;MID($E807,6,2)&amp;RIGHT($E807,2)&amp;$F807&amp;"|"&amp;"1"&amp;RIGHT("00000"&amp;802,5))</f>
        <v/>
      </c>
      <c r="C807" t="str">
        <f t="shared" si="84"/>
        <v/>
      </c>
      <c r="D807" t="str">
        <f t="shared" si="85"/>
        <v/>
      </c>
      <c r="E807" t="str">
        <f>IF(Entry!$B810="","",IF(ISNUMBER(Entry!$B810),IF(AND(Entry!$B810&gt;=10000101,Entry!$B810&lt;=99991231),INT(Entry!$B810/10000)&amp;"/"&amp;RIGHT("00"&amp;INT(MOD(Entry!$B810,10000)/100),2)&amp;"/"&amp;RIGHT("00"&amp;MOD(Entry!$B810,100),2),"نامعتبر"),IF(LEN(Entry!$B810)=10,Entry!$B810,"نامعتبر")))</f>
        <v/>
      </c>
      <c r="F807" t="str">
        <f>IF(Entry!$B810="","",IF(Entry!$C810="","0000",IF(AND(ISNUMBER(Entry!$C810),Entry!$C810&gt;=0,Entry!$C810&lt;1),RIGHT("00"&amp;HOUR(Entry!$C810),2)&amp;RIGHT("00"&amp;MINUTE(Entry!$C810),2),IFERROR(RIGHT("00"&amp;VALUE(LEFT(Entry!$C810,FIND(":",Entry!$C810)-1)),2)&amp;RIGHT("00"&amp;VALUE(MID(Entry!$C810,FIND(":",Entry!$C810)+1,2)),2),"0000"))))</f>
        <v/>
      </c>
      <c r="G807" t="str">
        <f>IF($A807="","",Entry!$G810)</f>
        <v/>
      </c>
      <c r="H807" t="str">
        <f>IF($A807="","",IF(Entry!$H810="",0,Entry!$H810))</f>
        <v/>
      </c>
      <c r="I807" t="str">
        <f>IF($A807="","",IF(Entry!$I810="",0,Entry!$I810))</f>
        <v/>
      </c>
      <c r="J807" t="str">
        <f t="shared" si="86"/>
        <v/>
      </c>
      <c r="K807" t="str">
        <f>IF($A807="","",Entry!$D810)</f>
        <v/>
      </c>
      <c r="L807" t="str">
        <f>IF($A807="","",Entry!$L810)</f>
        <v/>
      </c>
      <c r="N807" t="str">
        <f>IF(OR(Sync!$M807="",$Q807="",$Q807="نامعتبر"),"",Sync!$M807)</f>
        <v/>
      </c>
      <c r="O807" t="str">
        <f t="shared" si="87"/>
        <v/>
      </c>
      <c r="P807" t="str">
        <f>IF($N807="","",LEFT($Q807,4)&amp;MID($Q807,6,2)&amp;RIGHT($Q807,2)&amp;IF(Sync!$K807="","0000",IF(AND(ISNUMBER(Sync!$K807),Sync!$K807&gt;=0,Sync!$K807&lt;1),RIGHT("00"&amp;HOUR(Sync!$K807),2)&amp;RIGHT("00"&amp;MINUTE(Sync!$K807),2),IFERROR(RIGHT("00"&amp;VALUE(LEFT(Sync!$K807,FIND(":",Sync!$K807)-1)),2)&amp;RIGHT("00"&amp;VALUE(MID(Sync!$K807,FIND(":",Sync!$K807)+1,2)),2),"0000")))&amp;"|"&amp;"2"&amp;RIGHT("00000"&amp;802,5))</f>
        <v/>
      </c>
      <c r="Q807" t="str">
        <f>IF(Sync!$J807="","",IF(ISNUMBER(Sync!$J807),IF(AND(Sync!$J807&gt;=10000101,Sync!$J807&lt;=99991231),INT(Sync!$J807/10000)&amp;"/"&amp;RIGHT("00"&amp;INT(MOD(Sync!$J807,10000)/100),2)&amp;"/"&amp;RIGHT("00"&amp;MOD(Sync!$J807,100),2),"نامعتبر"),IF(LEN(Sync!$J807)=10,Sync!$J807,"نامعتبر")))</f>
        <v/>
      </c>
      <c r="R807" t="str">
        <f t="shared" si="88"/>
        <v/>
      </c>
      <c r="S807" t="str">
        <f t="shared" si="89"/>
        <v/>
      </c>
      <c r="T807" t="str">
        <f>IF($N807="","",IF(Sync!$N807="",0,Sync!$N807))</f>
        <v/>
      </c>
      <c r="U807" t="str">
        <f>IF($N807="","",IF(Sync!$O807="",0,Sync!$O807))</f>
        <v/>
      </c>
      <c r="V807" t="str">
        <f>IF($N807="","",Sync!$L807)</f>
        <v/>
      </c>
      <c r="W807" t="str">
        <f>IF($N807="","",Sync!$P807)</f>
        <v/>
      </c>
      <c r="AA807" t="str">
        <f>IF($A807="","",IF(COUNTIF($A$6:$A807,$A807)=1,1,0))</f>
        <v/>
      </c>
      <c r="AB807">
        <f>SUM($AA$6:$AA807)</f>
        <v>3</v>
      </c>
      <c r="AC807" t="str">
        <f t="shared" si="90"/>
        <v/>
      </c>
    </row>
    <row r="808" spans="1:29" x14ac:dyDescent="0.2">
      <c r="A808" t="str">
        <f>IF(OR(Entry!$B811="",Entry!$E811="",$E808="نامعتبر"),"",Entry!$E811)</f>
        <v/>
      </c>
      <c r="B808" t="str">
        <f>IF($A808="","",LEFT($E808,4)&amp;MID($E808,6,2)&amp;RIGHT($E808,2)&amp;$F808&amp;"|"&amp;"1"&amp;RIGHT("00000"&amp;803,5))</f>
        <v/>
      </c>
      <c r="C808" t="str">
        <f t="shared" si="84"/>
        <v/>
      </c>
      <c r="D808" t="str">
        <f t="shared" si="85"/>
        <v/>
      </c>
      <c r="E808" t="str">
        <f>IF(Entry!$B811="","",IF(ISNUMBER(Entry!$B811),IF(AND(Entry!$B811&gt;=10000101,Entry!$B811&lt;=99991231),INT(Entry!$B811/10000)&amp;"/"&amp;RIGHT("00"&amp;INT(MOD(Entry!$B811,10000)/100),2)&amp;"/"&amp;RIGHT("00"&amp;MOD(Entry!$B811,100),2),"نامعتبر"),IF(LEN(Entry!$B811)=10,Entry!$B811,"نامعتبر")))</f>
        <v/>
      </c>
      <c r="F808" t="str">
        <f>IF(Entry!$B811="","",IF(Entry!$C811="","0000",IF(AND(ISNUMBER(Entry!$C811),Entry!$C811&gt;=0,Entry!$C811&lt;1),RIGHT("00"&amp;HOUR(Entry!$C811),2)&amp;RIGHT("00"&amp;MINUTE(Entry!$C811),2),IFERROR(RIGHT("00"&amp;VALUE(LEFT(Entry!$C811,FIND(":",Entry!$C811)-1)),2)&amp;RIGHT("00"&amp;VALUE(MID(Entry!$C811,FIND(":",Entry!$C811)+1,2)),2),"0000"))))</f>
        <v/>
      </c>
      <c r="G808" t="str">
        <f>IF($A808="","",Entry!$G811)</f>
        <v/>
      </c>
      <c r="H808" t="str">
        <f>IF($A808="","",IF(Entry!$H811="",0,Entry!$H811))</f>
        <v/>
      </c>
      <c r="I808" t="str">
        <f>IF($A808="","",IF(Entry!$I811="",0,Entry!$I811))</f>
        <v/>
      </c>
      <c r="J808" t="str">
        <f t="shared" si="86"/>
        <v/>
      </c>
      <c r="K808" t="str">
        <f>IF($A808="","",Entry!$D811)</f>
        <v/>
      </c>
      <c r="L808" t="str">
        <f>IF($A808="","",Entry!$L811)</f>
        <v/>
      </c>
      <c r="N808" t="str">
        <f>IF(OR(Sync!$M808="",$Q808="",$Q808="نامعتبر"),"",Sync!$M808)</f>
        <v/>
      </c>
      <c r="O808" t="str">
        <f t="shared" si="87"/>
        <v/>
      </c>
      <c r="P808" t="str">
        <f>IF($N808="","",LEFT($Q808,4)&amp;MID($Q808,6,2)&amp;RIGHT($Q808,2)&amp;IF(Sync!$K808="","0000",IF(AND(ISNUMBER(Sync!$K808),Sync!$K808&gt;=0,Sync!$K808&lt;1),RIGHT("00"&amp;HOUR(Sync!$K808),2)&amp;RIGHT("00"&amp;MINUTE(Sync!$K808),2),IFERROR(RIGHT("00"&amp;VALUE(LEFT(Sync!$K808,FIND(":",Sync!$K808)-1)),2)&amp;RIGHT("00"&amp;VALUE(MID(Sync!$K808,FIND(":",Sync!$K808)+1,2)),2),"0000")))&amp;"|"&amp;"2"&amp;RIGHT("00000"&amp;803,5))</f>
        <v/>
      </c>
      <c r="Q808" t="str">
        <f>IF(Sync!$J808="","",IF(ISNUMBER(Sync!$J808),IF(AND(Sync!$J808&gt;=10000101,Sync!$J808&lt;=99991231),INT(Sync!$J808/10000)&amp;"/"&amp;RIGHT("00"&amp;INT(MOD(Sync!$J808,10000)/100),2)&amp;"/"&amp;RIGHT("00"&amp;MOD(Sync!$J808,100),2),"نامعتبر"),IF(LEN(Sync!$J808)=10,Sync!$J808,"نامعتبر")))</f>
        <v/>
      </c>
      <c r="R808" t="str">
        <f t="shared" si="88"/>
        <v/>
      </c>
      <c r="S808" t="str">
        <f t="shared" si="89"/>
        <v/>
      </c>
      <c r="T808" t="str">
        <f>IF($N808="","",IF(Sync!$N808="",0,Sync!$N808))</f>
        <v/>
      </c>
      <c r="U808" t="str">
        <f>IF($N808="","",IF(Sync!$O808="",0,Sync!$O808))</f>
        <v/>
      </c>
      <c r="V808" t="str">
        <f>IF($N808="","",Sync!$L808)</f>
        <v/>
      </c>
      <c r="W808" t="str">
        <f>IF($N808="","",Sync!$P808)</f>
        <v/>
      </c>
      <c r="AA808" t="str">
        <f>IF($A808="","",IF(COUNTIF($A$6:$A808,$A808)=1,1,0))</f>
        <v/>
      </c>
      <c r="AB808">
        <f>SUM($AA$6:$AA808)</f>
        <v>3</v>
      </c>
      <c r="AC808" t="str">
        <f t="shared" si="90"/>
        <v/>
      </c>
    </row>
    <row r="809" spans="1:29" x14ac:dyDescent="0.2">
      <c r="A809" t="str">
        <f>IF(OR(Entry!$B812="",Entry!$E812="",$E809="نامعتبر"),"",Entry!$E812)</f>
        <v/>
      </c>
      <c r="B809" t="str">
        <f>IF($A809="","",LEFT($E809,4)&amp;MID($E809,6,2)&amp;RIGHT($E809,2)&amp;$F809&amp;"|"&amp;"1"&amp;RIGHT("00000"&amp;804,5))</f>
        <v/>
      </c>
      <c r="C809" t="str">
        <f t="shared" si="84"/>
        <v/>
      </c>
      <c r="D809" t="str">
        <f t="shared" si="85"/>
        <v/>
      </c>
      <c r="E809" t="str">
        <f>IF(Entry!$B812="","",IF(ISNUMBER(Entry!$B812),IF(AND(Entry!$B812&gt;=10000101,Entry!$B812&lt;=99991231),INT(Entry!$B812/10000)&amp;"/"&amp;RIGHT("00"&amp;INT(MOD(Entry!$B812,10000)/100),2)&amp;"/"&amp;RIGHT("00"&amp;MOD(Entry!$B812,100),2),"نامعتبر"),IF(LEN(Entry!$B812)=10,Entry!$B812,"نامعتبر")))</f>
        <v/>
      </c>
      <c r="F809" t="str">
        <f>IF(Entry!$B812="","",IF(Entry!$C812="","0000",IF(AND(ISNUMBER(Entry!$C812),Entry!$C812&gt;=0,Entry!$C812&lt;1),RIGHT("00"&amp;HOUR(Entry!$C812),2)&amp;RIGHT("00"&amp;MINUTE(Entry!$C812),2),IFERROR(RIGHT("00"&amp;VALUE(LEFT(Entry!$C812,FIND(":",Entry!$C812)-1)),2)&amp;RIGHT("00"&amp;VALUE(MID(Entry!$C812,FIND(":",Entry!$C812)+1,2)),2),"0000"))))</f>
        <v/>
      </c>
      <c r="G809" t="str">
        <f>IF($A809="","",Entry!$G812)</f>
        <v/>
      </c>
      <c r="H809" t="str">
        <f>IF($A809="","",IF(Entry!$H812="",0,Entry!$H812))</f>
        <v/>
      </c>
      <c r="I809" t="str">
        <f>IF($A809="","",IF(Entry!$I812="",0,Entry!$I812))</f>
        <v/>
      </c>
      <c r="J809" t="str">
        <f t="shared" si="86"/>
        <v/>
      </c>
      <c r="K809" t="str">
        <f>IF($A809="","",Entry!$D812)</f>
        <v/>
      </c>
      <c r="L809" t="str">
        <f>IF($A809="","",Entry!$L812)</f>
        <v/>
      </c>
      <c r="N809" t="str">
        <f>IF(OR(Sync!$M809="",$Q809="",$Q809="نامعتبر"),"",Sync!$M809)</f>
        <v/>
      </c>
      <c r="O809" t="str">
        <f t="shared" si="87"/>
        <v/>
      </c>
      <c r="P809" t="str">
        <f>IF($N809="","",LEFT($Q809,4)&amp;MID($Q809,6,2)&amp;RIGHT($Q809,2)&amp;IF(Sync!$K809="","0000",IF(AND(ISNUMBER(Sync!$K809),Sync!$K809&gt;=0,Sync!$K809&lt;1),RIGHT("00"&amp;HOUR(Sync!$K809),2)&amp;RIGHT("00"&amp;MINUTE(Sync!$K809),2),IFERROR(RIGHT("00"&amp;VALUE(LEFT(Sync!$K809,FIND(":",Sync!$K809)-1)),2)&amp;RIGHT("00"&amp;VALUE(MID(Sync!$K809,FIND(":",Sync!$K809)+1,2)),2),"0000")))&amp;"|"&amp;"2"&amp;RIGHT("00000"&amp;804,5))</f>
        <v/>
      </c>
      <c r="Q809" t="str">
        <f>IF(Sync!$J809="","",IF(ISNUMBER(Sync!$J809),IF(AND(Sync!$J809&gt;=10000101,Sync!$J809&lt;=99991231),INT(Sync!$J809/10000)&amp;"/"&amp;RIGHT("00"&amp;INT(MOD(Sync!$J809,10000)/100),2)&amp;"/"&amp;RIGHT("00"&amp;MOD(Sync!$J809,100),2),"نامعتبر"),IF(LEN(Sync!$J809)=10,Sync!$J809,"نامعتبر")))</f>
        <v/>
      </c>
      <c r="R809" t="str">
        <f t="shared" si="88"/>
        <v/>
      </c>
      <c r="S809" t="str">
        <f t="shared" si="89"/>
        <v/>
      </c>
      <c r="T809" t="str">
        <f>IF($N809="","",IF(Sync!$N809="",0,Sync!$N809))</f>
        <v/>
      </c>
      <c r="U809" t="str">
        <f>IF($N809="","",IF(Sync!$O809="",0,Sync!$O809))</f>
        <v/>
      </c>
      <c r="V809" t="str">
        <f>IF($N809="","",Sync!$L809)</f>
        <v/>
      </c>
      <c r="W809" t="str">
        <f>IF($N809="","",Sync!$P809)</f>
        <v/>
      </c>
      <c r="AA809" t="str">
        <f>IF($A809="","",IF(COUNTIF($A$6:$A809,$A809)=1,1,0))</f>
        <v/>
      </c>
      <c r="AB809">
        <f>SUM($AA$6:$AA809)</f>
        <v>3</v>
      </c>
      <c r="AC809" t="str">
        <f t="shared" si="90"/>
        <v/>
      </c>
    </row>
    <row r="810" spans="1:29" x14ac:dyDescent="0.2">
      <c r="A810" t="str">
        <f>IF(OR(Entry!$B813="",Entry!$E813="",$E810="نامعتبر"),"",Entry!$E813)</f>
        <v/>
      </c>
      <c r="B810" t="str">
        <f>IF($A810="","",LEFT($E810,4)&amp;MID($E810,6,2)&amp;RIGHT($E810,2)&amp;$F810&amp;"|"&amp;"1"&amp;RIGHT("00000"&amp;805,5))</f>
        <v/>
      </c>
      <c r="C810" t="str">
        <f t="shared" si="84"/>
        <v/>
      </c>
      <c r="D810" t="str">
        <f t="shared" si="85"/>
        <v/>
      </c>
      <c r="E810" t="str">
        <f>IF(Entry!$B813="","",IF(ISNUMBER(Entry!$B813),IF(AND(Entry!$B813&gt;=10000101,Entry!$B813&lt;=99991231),INT(Entry!$B813/10000)&amp;"/"&amp;RIGHT("00"&amp;INT(MOD(Entry!$B813,10000)/100),2)&amp;"/"&amp;RIGHT("00"&amp;MOD(Entry!$B813,100),2),"نامعتبر"),IF(LEN(Entry!$B813)=10,Entry!$B813,"نامعتبر")))</f>
        <v/>
      </c>
      <c r="F810" t="str">
        <f>IF(Entry!$B813="","",IF(Entry!$C813="","0000",IF(AND(ISNUMBER(Entry!$C813),Entry!$C813&gt;=0,Entry!$C813&lt;1),RIGHT("00"&amp;HOUR(Entry!$C813),2)&amp;RIGHT("00"&amp;MINUTE(Entry!$C813),2),IFERROR(RIGHT("00"&amp;VALUE(LEFT(Entry!$C813,FIND(":",Entry!$C813)-1)),2)&amp;RIGHT("00"&amp;VALUE(MID(Entry!$C813,FIND(":",Entry!$C813)+1,2)),2),"0000"))))</f>
        <v/>
      </c>
      <c r="G810" t="str">
        <f>IF($A810="","",Entry!$G813)</f>
        <v/>
      </c>
      <c r="H810" t="str">
        <f>IF($A810="","",IF(Entry!$H813="",0,Entry!$H813))</f>
        <v/>
      </c>
      <c r="I810" t="str">
        <f>IF($A810="","",IF(Entry!$I813="",0,Entry!$I813))</f>
        <v/>
      </c>
      <c r="J810" t="str">
        <f t="shared" si="86"/>
        <v/>
      </c>
      <c r="K810" t="str">
        <f>IF($A810="","",Entry!$D813)</f>
        <v/>
      </c>
      <c r="L810" t="str">
        <f>IF($A810="","",Entry!$L813)</f>
        <v/>
      </c>
      <c r="N810" t="str">
        <f>IF(OR(Sync!$M810="",$Q810="",$Q810="نامعتبر"),"",Sync!$M810)</f>
        <v/>
      </c>
      <c r="O810" t="str">
        <f t="shared" si="87"/>
        <v/>
      </c>
      <c r="P810" t="str">
        <f>IF($N810="","",LEFT($Q810,4)&amp;MID($Q810,6,2)&amp;RIGHT($Q810,2)&amp;IF(Sync!$K810="","0000",IF(AND(ISNUMBER(Sync!$K810),Sync!$K810&gt;=0,Sync!$K810&lt;1),RIGHT("00"&amp;HOUR(Sync!$K810),2)&amp;RIGHT("00"&amp;MINUTE(Sync!$K810),2),IFERROR(RIGHT("00"&amp;VALUE(LEFT(Sync!$K810,FIND(":",Sync!$K810)-1)),2)&amp;RIGHT("00"&amp;VALUE(MID(Sync!$K810,FIND(":",Sync!$K810)+1,2)),2),"0000")))&amp;"|"&amp;"2"&amp;RIGHT("00000"&amp;805,5))</f>
        <v/>
      </c>
      <c r="Q810" t="str">
        <f>IF(Sync!$J810="","",IF(ISNUMBER(Sync!$J810),IF(AND(Sync!$J810&gt;=10000101,Sync!$J810&lt;=99991231),INT(Sync!$J810/10000)&amp;"/"&amp;RIGHT("00"&amp;INT(MOD(Sync!$J810,10000)/100),2)&amp;"/"&amp;RIGHT("00"&amp;MOD(Sync!$J810,100),2),"نامعتبر"),IF(LEN(Sync!$J810)=10,Sync!$J810,"نامعتبر")))</f>
        <v/>
      </c>
      <c r="R810" t="str">
        <f t="shared" si="88"/>
        <v/>
      </c>
      <c r="S810" t="str">
        <f t="shared" si="89"/>
        <v/>
      </c>
      <c r="T810" t="str">
        <f>IF($N810="","",IF(Sync!$N810="",0,Sync!$N810))</f>
        <v/>
      </c>
      <c r="U810" t="str">
        <f>IF($N810="","",IF(Sync!$O810="",0,Sync!$O810))</f>
        <v/>
      </c>
      <c r="V810" t="str">
        <f>IF($N810="","",Sync!$L810)</f>
        <v/>
      </c>
      <c r="W810" t="str">
        <f>IF($N810="","",Sync!$P810)</f>
        <v/>
      </c>
      <c r="AA810" t="str">
        <f>IF($A810="","",IF(COUNTIF($A$6:$A810,$A810)=1,1,0))</f>
        <v/>
      </c>
      <c r="AB810">
        <f>SUM($AA$6:$AA810)</f>
        <v>3</v>
      </c>
      <c r="AC810" t="str">
        <f t="shared" si="90"/>
        <v/>
      </c>
    </row>
    <row r="811" spans="1:29" x14ac:dyDescent="0.2">
      <c r="A811" t="str">
        <f>IF(OR(Entry!$B814="",Entry!$E814="",$E811="نامعتبر"),"",Entry!$E814)</f>
        <v/>
      </c>
      <c r="B811" t="str">
        <f>IF($A811="","",LEFT($E811,4)&amp;MID($E811,6,2)&amp;RIGHT($E811,2)&amp;$F811&amp;"|"&amp;"1"&amp;RIGHT("00000"&amp;806,5))</f>
        <v/>
      </c>
      <c r="C811" t="str">
        <f t="shared" si="84"/>
        <v/>
      </c>
      <c r="D811" t="str">
        <f t="shared" si="85"/>
        <v/>
      </c>
      <c r="E811" t="str">
        <f>IF(Entry!$B814="","",IF(ISNUMBER(Entry!$B814),IF(AND(Entry!$B814&gt;=10000101,Entry!$B814&lt;=99991231),INT(Entry!$B814/10000)&amp;"/"&amp;RIGHT("00"&amp;INT(MOD(Entry!$B814,10000)/100),2)&amp;"/"&amp;RIGHT("00"&amp;MOD(Entry!$B814,100),2),"نامعتبر"),IF(LEN(Entry!$B814)=10,Entry!$B814,"نامعتبر")))</f>
        <v/>
      </c>
      <c r="F811" t="str">
        <f>IF(Entry!$B814="","",IF(Entry!$C814="","0000",IF(AND(ISNUMBER(Entry!$C814),Entry!$C814&gt;=0,Entry!$C814&lt;1),RIGHT("00"&amp;HOUR(Entry!$C814),2)&amp;RIGHT("00"&amp;MINUTE(Entry!$C814),2),IFERROR(RIGHT("00"&amp;VALUE(LEFT(Entry!$C814,FIND(":",Entry!$C814)-1)),2)&amp;RIGHT("00"&amp;VALUE(MID(Entry!$C814,FIND(":",Entry!$C814)+1,2)),2),"0000"))))</f>
        <v/>
      </c>
      <c r="G811" t="str">
        <f>IF($A811="","",Entry!$G814)</f>
        <v/>
      </c>
      <c r="H811" t="str">
        <f>IF($A811="","",IF(Entry!$H814="",0,Entry!$H814))</f>
        <v/>
      </c>
      <c r="I811" t="str">
        <f>IF($A811="","",IF(Entry!$I814="",0,Entry!$I814))</f>
        <v/>
      </c>
      <c r="J811" t="str">
        <f t="shared" si="86"/>
        <v/>
      </c>
      <c r="K811" t="str">
        <f>IF($A811="","",Entry!$D814)</f>
        <v/>
      </c>
      <c r="L811" t="str">
        <f>IF($A811="","",Entry!$L814)</f>
        <v/>
      </c>
      <c r="N811" t="str">
        <f>IF(OR(Sync!$M811="",$Q811="",$Q811="نامعتبر"),"",Sync!$M811)</f>
        <v/>
      </c>
      <c r="O811" t="str">
        <f t="shared" si="87"/>
        <v/>
      </c>
      <c r="P811" t="str">
        <f>IF($N811="","",LEFT($Q811,4)&amp;MID($Q811,6,2)&amp;RIGHT($Q811,2)&amp;IF(Sync!$K811="","0000",IF(AND(ISNUMBER(Sync!$K811),Sync!$K811&gt;=0,Sync!$K811&lt;1),RIGHT("00"&amp;HOUR(Sync!$K811),2)&amp;RIGHT("00"&amp;MINUTE(Sync!$K811),2),IFERROR(RIGHT("00"&amp;VALUE(LEFT(Sync!$K811,FIND(":",Sync!$K811)-1)),2)&amp;RIGHT("00"&amp;VALUE(MID(Sync!$K811,FIND(":",Sync!$K811)+1,2)),2),"0000")))&amp;"|"&amp;"2"&amp;RIGHT("00000"&amp;806,5))</f>
        <v/>
      </c>
      <c r="Q811" t="str">
        <f>IF(Sync!$J811="","",IF(ISNUMBER(Sync!$J811),IF(AND(Sync!$J811&gt;=10000101,Sync!$J811&lt;=99991231),INT(Sync!$J811/10000)&amp;"/"&amp;RIGHT("00"&amp;INT(MOD(Sync!$J811,10000)/100),2)&amp;"/"&amp;RIGHT("00"&amp;MOD(Sync!$J811,100),2),"نامعتبر"),IF(LEN(Sync!$J811)=10,Sync!$J811,"نامعتبر")))</f>
        <v/>
      </c>
      <c r="R811" t="str">
        <f t="shared" si="88"/>
        <v/>
      </c>
      <c r="S811" t="str">
        <f t="shared" si="89"/>
        <v/>
      </c>
      <c r="T811" t="str">
        <f>IF($N811="","",IF(Sync!$N811="",0,Sync!$N811))</f>
        <v/>
      </c>
      <c r="U811" t="str">
        <f>IF($N811="","",IF(Sync!$O811="",0,Sync!$O811))</f>
        <v/>
      </c>
      <c r="V811" t="str">
        <f>IF($N811="","",Sync!$L811)</f>
        <v/>
      </c>
      <c r="W811" t="str">
        <f>IF($N811="","",Sync!$P811)</f>
        <v/>
      </c>
      <c r="AA811" t="str">
        <f>IF($A811="","",IF(COUNTIF($A$6:$A811,$A811)=1,1,0))</f>
        <v/>
      </c>
      <c r="AB811">
        <f>SUM($AA$6:$AA811)</f>
        <v>3</v>
      </c>
      <c r="AC811" t="str">
        <f t="shared" si="90"/>
        <v/>
      </c>
    </row>
    <row r="812" spans="1:29" x14ac:dyDescent="0.2">
      <c r="A812" t="str">
        <f>IF(OR(Entry!$B815="",Entry!$E815="",$E812="نامعتبر"),"",Entry!$E815)</f>
        <v/>
      </c>
      <c r="B812" t="str">
        <f>IF($A812="","",LEFT($E812,4)&amp;MID($E812,6,2)&amp;RIGHT($E812,2)&amp;$F812&amp;"|"&amp;"1"&amp;RIGHT("00000"&amp;807,5))</f>
        <v/>
      </c>
      <c r="C812" t="str">
        <f t="shared" si="84"/>
        <v/>
      </c>
      <c r="D812" t="str">
        <f t="shared" si="85"/>
        <v/>
      </c>
      <c r="E812" t="str">
        <f>IF(Entry!$B815="","",IF(ISNUMBER(Entry!$B815),IF(AND(Entry!$B815&gt;=10000101,Entry!$B815&lt;=99991231),INT(Entry!$B815/10000)&amp;"/"&amp;RIGHT("00"&amp;INT(MOD(Entry!$B815,10000)/100),2)&amp;"/"&amp;RIGHT("00"&amp;MOD(Entry!$B815,100),2),"نامعتبر"),IF(LEN(Entry!$B815)=10,Entry!$B815,"نامعتبر")))</f>
        <v/>
      </c>
      <c r="F812" t="str">
        <f>IF(Entry!$B815="","",IF(Entry!$C815="","0000",IF(AND(ISNUMBER(Entry!$C815),Entry!$C815&gt;=0,Entry!$C815&lt;1),RIGHT("00"&amp;HOUR(Entry!$C815),2)&amp;RIGHT("00"&amp;MINUTE(Entry!$C815),2),IFERROR(RIGHT("00"&amp;VALUE(LEFT(Entry!$C815,FIND(":",Entry!$C815)-1)),2)&amp;RIGHT("00"&amp;VALUE(MID(Entry!$C815,FIND(":",Entry!$C815)+1,2)),2),"0000"))))</f>
        <v/>
      </c>
      <c r="G812" t="str">
        <f>IF($A812="","",Entry!$G815)</f>
        <v/>
      </c>
      <c r="H812" t="str">
        <f>IF($A812="","",IF(Entry!$H815="",0,Entry!$H815))</f>
        <v/>
      </c>
      <c r="I812" t="str">
        <f>IF($A812="","",IF(Entry!$I815="",0,Entry!$I815))</f>
        <v/>
      </c>
      <c r="J812" t="str">
        <f t="shared" si="86"/>
        <v/>
      </c>
      <c r="K812" t="str">
        <f>IF($A812="","",Entry!$D815)</f>
        <v/>
      </c>
      <c r="L812" t="str">
        <f>IF($A812="","",Entry!$L815)</f>
        <v/>
      </c>
      <c r="N812" t="str">
        <f>IF(OR(Sync!$M812="",$Q812="",$Q812="نامعتبر"),"",Sync!$M812)</f>
        <v/>
      </c>
      <c r="O812" t="str">
        <f t="shared" si="87"/>
        <v/>
      </c>
      <c r="P812" t="str">
        <f>IF($N812="","",LEFT($Q812,4)&amp;MID($Q812,6,2)&amp;RIGHT($Q812,2)&amp;IF(Sync!$K812="","0000",IF(AND(ISNUMBER(Sync!$K812),Sync!$K812&gt;=0,Sync!$K812&lt;1),RIGHT("00"&amp;HOUR(Sync!$K812),2)&amp;RIGHT("00"&amp;MINUTE(Sync!$K812),2),IFERROR(RIGHT("00"&amp;VALUE(LEFT(Sync!$K812,FIND(":",Sync!$K812)-1)),2)&amp;RIGHT("00"&amp;VALUE(MID(Sync!$K812,FIND(":",Sync!$K812)+1,2)),2),"0000")))&amp;"|"&amp;"2"&amp;RIGHT("00000"&amp;807,5))</f>
        <v/>
      </c>
      <c r="Q812" t="str">
        <f>IF(Sync!$J812="","",IF(ISNUMBER(Sync!$J812),IF(AND(Sync!$J812&gt;=10000101,Sync!$J812&lt;=99991231),INT(Sync!$J812/10000)&amp;"/"&amp;RIGHT("00"&amp;INT(MOD(Sync!$J812,10000)/100),2)&amp;"/"&amp;RIGHT("00"&amp;MOD(Sync!$J812,100),2),"نامعتبر"),IF(LEN(Sync!$J812)=10,Sync!$J812,"نامعتبر")))</f>
        <v/>
      </c>
      <c r="R812" t="str">
        <f t="shared" si="88"/>
        <v/>
      </c>
      <c r="S812" t="str">
        <f t="shared" si="89"/>
        <v/>
      </c>
      <c r="T812" t="str">
        <f>IF($N812="","",IF(Sync!$N812="",0,Sync!$N812))</f>
        <v/>
      </c>
      <c r="U812" t="str">
        <f>IF($N812="","",IF(Sync!$O812="",0,Sync!$O812))</f>
        <v/>
      </c>
      <c r="V812" t="str">
        <f>IF($N812="","",Sync!$L812)</f>
        <v/>
      </c>
      <c r="W812" t="str">
        <f>IF($N812="","",Sync!$P812)</f>
        <v/>
      </c>
      <c r="AA812" t="str">
        <f>IF($A812="","",IF(COUNTIF($A$6:$A812,$A812)=1,1,0))</f>
        <v/>
      </c>
      <c r="AB812">
        <f>SUM($AA$6:$AA812)</f>
        <v>3</v>
      </c>
      <c r="AC812" t="str">
        <f t="shared" si="90"/>
        <v/>
      </c>
    </row>
    <row r="813" spans="1:29" x14ac:dyDescent="0.2">
      <c r="A813" t="str">
        <f>IF(OR(Entry!$B816="",Entry!$E816="",$E813="نامعتبر"),"",Entry!$E816)</f>
        <v/>
      </c>
      <c r="B813" t="str">
        <f>IF($A813="","",LEFT($E813,4)&amp;MID($E813,6,2)&amp;RIGHT($E813,2)&amp;$F813&amp;"|"&amp;"1"&amp;RIGHT("00000"&amp;808,5))</f>
        <v/>
      </c>
      <c r="C813" t="str">
        <f t="shared" si="84"/>
        <v/>
      </c>
      <c r="D813" t="str">
        <f t="shared" si="85"/>
        <v/>
      </c>
      <c r="E813" t="str">
        <f>IF(Entry!$B816="","",IF(ISNUMBER(Entry!$B816),IF(AND(Entry!$B816&gt;=10000101,Entry!$B816&lt;=99991231),INT(Entry!$B816/10000)&amp;"/"&amp;RIGHT("00"&amp;INT(MOD(Entry!$B816,10000)/100),2)&amp;"/"&amp;RIGHT("00"&amp;MOD(Entry!$B816,100),2),"نامعتبر"),IF(LEN(Entry!$B816)=10,Entry!$B816,"نامعتبر")))</f>
        <v/>
      </c>
      <c r="F813" t="str">
        <f>IF(Entry!$B816="","",IF(Entry!$C816="","0000",IF(AND(ISNUMBER(Entry!$C816),Entry!$C816&gt;=0,Entry!$C816&lt;1),RIGHT("00"&amp;HOUR(Entry!$C816),2)&amp;RIGHT("00"&amp;MINUTE(Entry!$C816),2),IFERROR(RIGHT("00"&amp;VALUE(LEFT(Entry!$C816,FIND(":",Entry!$C816)-1)),2)&amp;RIGHT("00"&amp;VALUE(MID(Entry!$C816,FIND(":",Entry!$C816)+1,2)),2),"0000"))))</f>
        <v/>
      </c>
      <c r="G813" t="str">
        <f>IF($A813="","",Entry!$G816)</f>
        <v/>
      </c>
      <c r="H813" t="str">
        <f>IF($A813="","",IF(Entry!$H816="",0,Entry!$H816))</f>
        <v/>
      </c>
      <c r="I813" t="str">
        <f>IF($A813="","",IF(Entry!$I816="",0,Entry!$I816))</f>
        <v/>
      </c>
      <c r="J813" t="str">
        <f t="shared" si="86"/>
        <v/>
      </c>
      <c r="K813" t="str">
        <f>IF($A813="","",Entry!$D816)</f>
        <v/>
      </c>
      <c r="L813" t="str">
        <f>IF($A813="","",Entry!$L816)</f>
        <v/>
      </c>
      <c r="N813" t="str">
        <f>IF(OR(Sync!$M813="",$Q813="",$Q813="نامعتبر"),"",Sync!$M813)</f>
        <v/>
      </c>
      <c r="O813" t="str">
        <f t="shared" si="87"/>
        <v/>
      </c>
      <c r="P813" t="str">
        <f>IF($N813="","",LEFT($Q813,4)&amp;MID($Q813,6,2)&amp;RIGHT($Q813,2)&amp;IF(Sync!$K813="","0000",IF(AND(ISNUMBER(Sync!$K813),Sync!$K813&gt;=0,Sync!$K813&lt;1),RIGHT("00"&amp;HOUR(Sync!$K813),2)&amp;RIGHT("00"&amp;MINUTE(Sync!$K813),2),IFERROR(RIGHT("00"&amp;VALUE(LEFT(Sync!$K813,FIND(":",Sync!$K813)-1)),2)&amp;RIGHT("00"&amp;VALUE(MID(Sync!$K813,FIND(":",Sync!$K813)+1,2)),2),"0000")))&amp;"|"&amp;"2"&amp;RIGHT("00000"&amp;808,5))</f>
        <v/>
      </c>
      <c r="Q813" t="str">
        <f>IF(Sync!$J813="","",IF(ISNUMBER(Sync!$J813),IF(AND(Sync!$J813&gt;=10000101,Sync!$J813&lt;=99991231),INT(Sync!$J813/10000)&amp;"/"&amp;RIGHT("00"&amp;INT(MOD(Sync!$J813,10000)/100),2)&amp;"/"&amp;RIGHT("00"&amp;MOD(Sync!$J813,100),2),"نامعتبر"),IF(LEN(Sync!$J813)=10,Sync!$J813,"نامعتبر")))</f>
        <v/>
      </c>
      <c r="R813" t="str">
        <f t="shared" si="88"/>
        <v/>
      </c>
      <c r="S813" t="str">
        <f t="shared" si="89"/>
        <v/>
      </c>
      <c r="T813" t="str">
        <f>IF($N813="","",IF(Sync!$N813="",0,Sync!$N813))</f>
        <v/>
      </c>
      <c r="U813" t="str">
        <f>IF($N813="","",IF(Sync!$O813="",0,Sync!$O813))</f>
        <v/>
      </c>
      <c r="V813" t="str">
        <f>IF($N813="","",Sync!$L813)</f>
        <v/>
      </c>
      <c r="W813" t="str">
        <f>IF($N813="","",Sync!$P813)</f>
        <v/>
      </c>
      <c r="AA813" t="str">
        <f>IF($A813="","",IF(COUNTIF($A$6:$A813,$A813)=1,1,0))</f>
        <v/>
      </c>
      <c r="AB813">
        <f>SUM($AA$6:$AA813)</f>
        <v>3</v>
      </c>
      <c r="AC813" t="str">
        <f t="shared" si="90"/>
        <v/>
      </c>
    </row>
    <row r="814" spans="1:29" x14ac:dyDescent="0.2">
      <c r="A814" t="str">
        <f>IF(OR(Entry!$B817="",Entry!$E817="",$E814="نامعتبر"),"",Entry!$E817)</f>
        <v/>
      </c>
      <c r="B814" t="str">
        <f>IF($A814="","",LEFT($E814,4)&amp;MID($E814,6,2)&amp;RIGHT($E814,2)&amp;$F814&amp;"|"&amp;"1"&amp;RIGHT("00000"&amp;809,5))</f>
        <v/>
      </c>
      <c r="C814" t="str">
        <f t="shared" si="84"/>
        <v/>
      </c>
      <c r="D814" t="str">
        <f t="shared" si="85"/>
        <v/>
      </c>
      <c r="E814" t="str">
        <f>IF(Entry!$B817="","",IF(ISNUMBER(Entry!$B817),IF(AND(Entry!$B817&gt;=10000101,Entry!$B817&lt;=99991231),INT(Entry!$B817/10000)&amp;"/"&amp;RIGHT("00"&amp;INT(MOD(Entry!$B817,10000)/100),2)&amp;"/"&amp;RIGHT("00"&amp;MOD(Entry!$B817,100),2),"نامعتبر"),IF(LEN(Entry!$B817)=10,Entry!$B817,"نامعتبر")))</f>
        <v/>
      </c>
      <c r="F814" t="str">
        <f>IF(Entry!$B817="","",IF(Entry!$C817="","0000",IF(AND(ISNUMBER(Entry!$C817),Entry!$C817&gt;=0,Entry!$C817&lt;1),RIGHT("00"&amp;HOUR(Entry!$C817),2)&amp;RIGHT("00"&amp;MINUTE(Entry!$C817),2),IFERROR(RIGHT("00"&amp;VALUE(LEFT(Entry!$C817,FIND(":",Entry!$C817)-1)),2)&amp;RIGHT("00"&amp;VALUE(MID(Entry!$C817,FIND(":",Entry!$C817)+1,2)),2),"0000"))))</f>
        <v/>
      </c>
      <c r="G814" t="str">
        <f>IF($A814="","",Entry!$G817)</f>
        <v/>
      </c>
      <c r="H814" t="str">
        <f>IF($A814="","",IF(Entry!$H817="",0,Entry!$H817))</f>
        <v/>
      </c>
      <c r="I814" t="str">
        <f>IF($A814="","",IF(Entry!$I817="",0,Entry!$I817))</f>
        <v/>
      </c>
      <c r="J814" t="str">
        <f t="shared" si="86"/>
        <v/>
      </c>
      <c r="K814" t="str">
        <f>IF($A814="","",Entry!$D817)</f>
        <v/>
      </c>
      <c r="L814" t="str">
        <f>IF($A814="","",Entry!$L817)</f>
        <v/>
      </c>
      <c r="N814" t="str">
        <f>IF(OR(Sync!$M814="",$Q814="",$Q814="نامعتبر"),"",Sync!$M814)</f>
        <v/>
      </c>
      <c r="O814" t="str">
        <f t="shared" si="87"/>
        <v/>
      </c>
      <c r="P814" t="str">
        <f>IF($N814="","",LEFT($Q814,4)&amp;MID($Q814,6,2)&amp;RIGHT($Q814,2)&amp;IF(Sync!$K814="","0000",IF(AND(ISNUMBER(Sync!$K814),Sync!$K814&gt;=0,Sync!$K814&lt;1),RIGHT("00"&amp;HOUR(Sync!$K814),2)&amp;RIGHT("00"&amp;MINUTE(Sync!$K814),2),IFERROR(RIGHT("00"&amp;VALUE(LEFT(Sync!$K814,FIND(":",Sync!$K814)-1)),2)&amp;RIGHT("00"&amp;VALUE(MID(Sync!$K814,FIND(":",Sync!$K814)+1,2)),2),"0000")))&amp;"|"&amp;"2"&amp;RIGHT("00000"&amp;809,5))</f>
        <v/>
      </c>
      <c r="Q814" t="str">
        <f>IF(Sync!$J814="","",IF(ISNUMBER(Sync!$J814),IF(AND(Sync!$J814&gt;=10000101,Sync!$J814&lt;=99991231),INT(Sync!$J814/10000)&amp;"/"&amp;RIGHT("00"&amp;INT(MOD(Sync!$J814,10000)/100),2)&amp;"/"&amp;RIGHT("00"&amp;MOD(Sync!$J814,100),2),"نامعتبر"),IF(LEN(Sync!$J814)=10,Sync!$J814,"نامعتبر")))</f>
        <v/>
      </c>
      <c r="R814" t="str">
        <f t="shared" si="88"/>
        <v/>
      </c>
      <c r="S814" t="str">
        <f t="shared" si="89"/>
        <v/>
      </c>
      <c r="T814" t="str">
        <f>IF($N814="","",IF(Sync!$N814="",0,Sync!$N814))</f>
        <v/>
      </c>
      <c r="U814" t="str">
        <f>IF($N814="","",IF(Sync!$O814="",0,Sync!$O814))</f>
        <v/>
      </c>
      <c r="V814" t="str">
        <f>IF($N814="","",Sync!$L814)</f>
        <v/>
      </c>
      <c r="W814" t="str">
        <f>IF($N814="","",Sync!$P814)</f>
        <v/>
      </c>
      <c r="AA814" t="str">
        <f>IF($A814="","",IF(COUNTIF($A$6:$A814,$A814)=1,1,0))</f>
        <v/>
      </c>
      <c r="AB814">
        <f>SUM($AA$6:$AA814)</f>
        <v>3</v>
      </c>
      <c r="AC814" t="str">
        <f t="shared" si="90"/>
        <v/>
      </c>
    </row>
    <row r="815" spans="1:29" x14ac:dyDescent="0.2">
      <c r="A815" t="str">
        <f>IF(OR(Entry!$B818="",Entry!$E818="",$E815="نامعتبر"),"",Entry!$E818)</f>
        <v/>
      </c>
      <c r="B815" t="str">
        <f>IF($A815="","",LEFT($E815,4)&amp;MID($E815,6,2)&amp;RIGHT($E815,2)&amp;$F815&amp;"|"&amp;"1"&amp;RIGHT("00000"&amp;810,5))</f>
        <v/>
      </c>
      <c r="C815" t="str">
        <f t="shared" si="84"/>
        <v/>
      </c>
      <c r="D815" t="str">
        <f t="shared" si="85"/>
        <v/>
      </c>
      <c r="E815" t="str">
        <f>IF(Entry!$B818="","",IF(ISNUMBER(Entry!$B818),IF(AND(Entry!$B818&gt;=10000101,Entry!$B818&lt;=99991231),INT(Entry!$B818/10000)&amp;"/"&amp;RIGHT("00"&amp;INT(MOD(Entry!$B818,10000)/100),2)&amp;"/"&amp;RIGHT("00"&amp;MOD(Entry!$B818,100),2),"نامعتبر"),IF(LEN(Entry!$B818)=10,Entry!$B818,"نامعتبر")))</f>
        <v/>
      </c>
      <c r="F815" t="str">
        <f>IF(Entry!$B818="","",IF(Entry!$C818="","0000",IF(AND(ISNUMBER(Entry!$C818),Entry!$C818&gt;=0,Entry!$C818&lt;1),RIGHT("00"&amp;HOUR(Entry!$C818),2)&amp;RIGHT("00"&amp;MINUTE(Entry!$C818),2),IFERROR(RIGHT("00"&amp;VALUE(LEFT(Entry!$C818,FIND(":",Entry!$C818)-1)),2)&amp;RIGHT("00"&amp;VALUE(MID(Entry!$C818,FIND(":",Entry!$C818)+1,2)),2),"0000"))))</f>
        <v/>
      </c>
      <c r="G815" t="str">
        <f>IF($A815="","",Entry!$G818)</f>
        <v/>
      </c>
      <c r="H815" t="str">
        <f>IF($A815="","",IF(Entry!$H818="",0,Entry!$H818))</f>
        <v/>
      </c>
      <c r="I815" t="str">
        <f>IF($A815="","",IF(Entry!$I818="",0,Entry!$I818))</f>
        <v/>
      </c>
      <c r="J815" t="str">
        <f t="shared" si="86"/>
        <v/>
      </c>
      <c r="K815" t="str">
        <f>IF($A815="","",Entry!$D818)</f>
        <v/>
      </c>
      <c r="L815" t="str">
        <f>IF($A815="","",Entry!$L818)</f>
        <v/>
      </c>
      <c r="N815" t="str">
        <f>IF(OR(Sync!$M815="",$Q815="",$Q815="نامعتبر"),"",Sync!$M815)</f>
        <v/>
      </c>
      <c r="O815" t="str">
        <f t="shared" si="87"/>
        <v/>
      </c>
      <c r="P815" t="str">
        <f>IF($N815="","",LEFT($Q815,4)&amp;MID($Q815,6,2)&amp;RIGHT($Q815,2)&amp;IF(Sync!$K815="","0000",IF(AND(ISNUMBER(Sync!$K815),Sync!$K815&gt;=0,Sync!$K815&lt;1),RIGHT("00"&amp;HOUR(Sync!$K815),2)&amp;RIGHT("00"&amp;MINUTE(Sync!$K815),2),IFERROR(RIGHT("00"&amp;VALUE(LEFT(Sync!$K815,FIND(":",Sync!$K815)-1)),2)&amp;RIGHT("00"&amp;VALUE(MID(Sync!$K815,FIND(":",Sync!$K815)+1,2)),2),"0000")))&amp;"|"&amp;"2"&amp;RIGHT("00000"&amp;810,5))</f>
        <v/>
      </c>
      <c r="Q815" t="str">
        <f>IF(Sync!$J815="","",IF(ISNUMBER(Sync!$J815),IF(AND(Sync!$J815&gt;=10000101,Sync!$J815&lt;=99991231),INT(Sync!$J815/10000)&amp;"/"&amp;RIGHT("00"&amp;INT(MOD(Sync!$J815,10000)/100),2)&amp;"/"&amp;RIGHT("00"&amp;MOD(Sync!$J815,100),2),"نامعتبر"),IF(LEN(Sync!$J815)=10,Sync!$J815,"نامعتبر")))</f>
        <v/>
      </c>
      <c r="R815" t="str">
        <f t="shared" si="88"/>
        <v/>
      </c>
      <c r="S815" t="str">
        <f t="shared" si="89"/>
        <v/>
      </c>
      <c r="T815" t="str">
        <f>IF($N815="","",IF(Sync!$N815="",0,Sync!$N815))</f>
        <v/>
      </c>
      <c r="U815" t="str">
        <f>IF($N815="","",IF(Sync!$O815="",0,Sync!$O815))</f>
        <v/>
      </c>
      <c r="V815" t="str">
        <f>IF($N815="","",Sync!$L815)</f>
        <v/>
      </c>
      <c r="W815" t="str">
        <f>IF($N815="","",Sync!$P815)</f>
        <v/>
      </c>
      <c r="AA815" t="str">
        <f>IF($A815="","",IF(COUNTIF($A$6:$A815,$A815)=1,1,0))</f>
        <v/>
      </c>
      <c r="AB815">
        <f>SUM($AA$6:$AA815)</f>
        <v>3</v>
      </c>
      <c r="AC815" t="str">
        <f t="shared" si="90"/>
        <v/>
      </c>
    </row>
    <row r="816" spans="1:29" x14ac:dyDescent="0.2">
      <c r="A816" t="str">
        <f>IF(OR(Entry!$B819="",Entry!$E819="",$E816="نامعتبر"),"",Entry!$E819)</f>
        <v/>
      </c>
      <c r="B816" t="str">
        <f>IF($A816="","",LEFT($E816,4)&amp;MID($E816,6,2)&amp;RIGHT($E816,2)&amp;$F816&amp;"|"&amp;"1"&amp;RIGHT("00000"&amp;811,5))</f>
        <v/>
      </c>
      <c r="C816" t="str">
        <f t="shared" si="84"/>
        <v/>
      </c>
      <c r="D816" t="str">
        <f t="shared" si="85"/>
        <v/>
      </c>
      <c r="E816" t="str">
        <f>IF(Entry!$B819="","",IF(ISNUMBER(Entry!$B819),IF(AND(Entry!$B819&gt;=10000101,Entry!$B819&lt;=99991231),INT(Entry!$B819/10000)&amp;"/"&amp;RIGHT("00"&amp;INT(MOD(Entry!$B819,10000)/100),2)&amp;"/"&amp;RIGHT("00"&amp;MOD(Entry!$B819,100),2),"نامعتبر"),IF(LEN(Entry!$B819)=10,Entry!$B819,"نامعتبر")))</f>
        <v/>
      </c>
      <c r="F816" t="str">
        <f>IF(Entry!$B819="","",IF(Entry!$C819="","0000",IF(AND(ISNUMBER(Entry!$C819),Entry!$C819&gt;=0,Entry!$C819&lt;1),RIGHT("00"&amp;HOUR(Entry!$C819),2)&amp;RIGHT("00"&amp;MINUTE(Entry!$C819),2),IFERROR(RIGHT("00"&amp;VALUE(LEFT(Entry!$C819,FIND(":",Entry!$C819)-1)),2)&amp;RIGHT("00"&amp;VALUE(MID(Entry!$C819,FIND(":",Entry!$C819)+1,2)),2),"0000"))))</f>
        <v/>
      </c>
      <c r="G816" t="str">
        <f>IF($A816="","",Entry!$G819)</f>
        <v/>
      </c>
      <c r="H816" t="str">
        <f>IF($A816="","",IF(Entry!$H819="",0,Entry!$H819))</f>
        <v/>
      </c>
      <c r="I816" t="str">
        <f>IF($A816="","",IF(Entry!$I819="",0,Entry!$I819))</f>
        <v/>
      </c>
      <c r="J816" t="str">
        <f t="shared" si="86"/>
        <v/>
      </c>
      <c r="K816" t="str">
        <f>IF($A816="","",Entry!$D819)</f>
        <v/>
      </c>
      <c r="L816" t="str">
        <f>IF($A816="","",Entry!$L819)</f>
        <v/>
      </c>
      <c r="N816" t="str">
        <f>IF(OR(Sync!$M816="",$Q816="",$Q816="نامعتبر"),"",Sync!$M816)</f>
        <v/>
      </c>
      <c r="O816" t="str">
        <f t="shared" si="87"/>
        <v/>
      </c>
      <c r="P816" t="str">
        <f>IF($N816="","",LEFT($Q816,4)&amp;MID($Q816,6,2)&amp;RIGHT($Q816,2)&amp;IF(Sync!$K816="","0000",IF(AND(ISNUMBER(Sync!$K816),Sync!$K816&gt;=0,Sync!$K816&lt;1),RIGHT("00"&amp;HOUR(Sync!$K816),2)&amp;RIGHT("00"&amp;MINUTE(Sync!$K816),2),IFERROR(RIGHT("00"&amp;VALUE(LEFT(Sync!$K816,FIND(":",Sync!$K816)-1)),2)&amp;RIGHT("00"&amp;VALUE(MID(Sync!$K816,FIND(":",Sync!$K816)+1,2)),2),"0000")))&amp;"|"&amp;"2"&amp;RIGHT("00000"&amp;811,5))</f>
        <v/>
      </c>
      <c r="Q816" t="str">
        <f>IF(Sync!$J816="","",IF(ISNUMBER(Sync!$J816),IF(AND(Sync!$J816&gt;=10000101,Sync!$J816&lt;=99991231),INT(Sync!$J816/10000)&amp;"/"&amp;RIGHT("00"&amp;INT(MOD(Sync!$J816,10000)/100),2)&amp;"/"&amp;RIGHT("00"&amp;MOD(Sync!$J816,100),2),"نامعتبر"),IF(LEN(Sync!$J816)=10,Sync!$J816,"نامعتبر")))</f>
        <v/>
      </c>
      <c r="R816" t="str">
        <f t="shared" si="88"/>
        <v/>
      </c>
      <c r="S816" t="str">
        <f t="shared" si="89"/>
        <v/>
      </c>
      <c r="T816" t="str">
        <f>IF($N816="","",IF(Sync!$N816="",0,Sync!$N816))</f>
        <v/>
      </c>
      <c r="U816" t="str">
        <f>IF($N816="","",IF(Sync!$O816="",0,Sync!$O816))</f>
        <v/>
      </c>
      <c r="V816" t="str">
        <f>IF($N816="","",Sync!$L816)</f>
        <v/>
      </c>
      <c r="W816" t="str">
        <f>IF($N816="","",Sync!$P816)</f>
        <v/>
      </c>
      <c r="AA816" t="str">
        <f>IF($A816="","",IF(COUNTIF($A$6:$A816,$A816)=1,1,0))</f>
        <v/>
      </c>
      <c r="AB816">
        <f>SUM($AA$6:$AA816)</f>
        <v>3</v>
      </c>
      <c r="AC816" t="str">
        <f t="shared" si="90"/>
        <v/>
      </c>
    </row>
    <row r="817" spans="1:29" x14ac:dyDescent="0.2">
      <c r="A817" t="str">
        <f>IF(OR(Entry!$B820="",Entry!$E820="",$E817="نامعتبر"),"",Entry!$E820)</f>
        <v/>
      </c>
      <c r="B817" t="str">
        <f>IF($A817="","",LEFT($E817,4)&amp;MID($E817,6,2)&amp;RIGHT($E817,2)&amp;$F817&amp;"|"&amp;"1"&amp;RIGHT("00000"&amp;812,5))</f>
        <v/>
      </c>
      <c r="C817" t="str">
        <f t="shared" si="84"/>
        <v/>
      </c>
      <c r="D817" t="str">
        <f t="shared" si="85"/>
        <v/>
      </c>
      <c r="E817" t="str">
        <f>IF(Entry!$B820="","",IF(ISNUMBER(Entry!$B820),IF(AND(Entry!$B820&gt;=10000101,Entry!$B820&lt;=99991231),INT(Entry!$B820/10000)&amp;"/"&amp;RIGHT("00"&amp;INT(MOD(Entry!$B820,10000)/100),2)&amp;"/"&amp;RIGHT("00"&amp;MOD(Entry!$B820,100),2),"نامعتبر"),IF(LEN(Entry!$B820)=10,Entry!$B820,"نامعتبر")))</f>
        <v/>
      </c>
      <c r="F817" t="str">
        <f>IF(Entry!$B820="","",IF(Entry!$C820="","0000",IF(AND(ISNUMBER(Entry!$C820),Entry!$C820&gt;=0,Entry!$C820&lt;1),RIGHT("00"&amp;HOUR(Entry!$C820),2)&amp;RIGHT("00"&amp;MINUTE(Entry!$C820),2),IFERROR(RIGHT("00"&amp;VALUE(LEFT(Entry!$C820,FIND(":",Entry!$C820)-1)),2)&amp;RIGHT("00"&amp;VALUE(MID(Entry!$C820,FIND(":",Entry!$C820)+1,2)),2),"0000"))))</f>
        <v/>
      </c>
      <c r="G817" t="str">
        <f>IF($A817="","",Entry!$G820)</f>
        <v/>
      </c>
      <c r="H817" t="str">
        <f>IF($A817="","",IF(Entry!$H820="",0,Entry!$H820))</f>
        <v/>
      </c>
      <c r="I817" t="str">
        <f>IF($A817="","",IF(Entry!$I820="",0,Entry!$I820))</f>
        <v/>
      </c>
      <c r="J817" t="str">
        <f t="shared" si="86"/>
        <v/>
      </c>
      <c r="K817" t="str">
        <f>IF($A817="","",Entry!$D820)</f>
        <v/>
      </c>
      <c r="L817" t="str">
        <f>IF($A817="","",Entry!$L820)</f>
        <v/>
      </c>
      <c r="N817" t="str">
        <f>IF(OR(Sync!$M817="",$Q817="",$Q817="نامعتبر"),"",Sync!$M817)</f>
        <v/>
      </c>
      <c r="O817" t="str">
        <f t="shared" si="87"/>
        <v/>
      </c>
      <c r="P817" t="str">
        <f>IF($N817="","",LEFT($Q817,4)&amp;MID($Q817,6,2)&amp;RIGHT($Q817,2)&amp;IF(Sync!$K817="","0000",IF(AND(ISNUMBER(Sync!$K817),Sync!$K817&gt;=0,Sync!$K817&lt;1),RIGHT("00"&amp;HOUR(Sync!$K817),2)&amp;RIGHT("00"&amp;MINUTE(Sync!$K817),2),IFERROR(RIGHT("00"&amp;VALUE(LEFT(Sync!$K817,FIND(":",Sync!$K817)-1)),2)&amp;RIGHT("00"&amp;VALUE(MID(Sync!$K817,FIND(":",Sync!$K817)+1,2)),2),"0000")))&amp;"|"&amp;"2"&amp;RIGHT("00000"&amp;812,5))</f>
        <v/>
      </c>
      <c r="Q817" t="str">
        <f>IF(Sync!$J817="","",IF(ISNUMBER(Sync!$J817),IF(AND(Sync!$J817&gt;=10000101,Sync!$J817&lt;=99991231),INT(Sync!$J817/10000)&amp;"/"&amp;RIGHT("00"&amp;INT(MOD(Sync!$J817,10000)/100),2)&amp;"/"&amp;RIGHT("00"&amp;MOD(Sync!$J817,100),2),"نامعتبر"),IF(LEN(Sync!$J817)=10,Sync!$J817,"نامعتبر")))</f>
        <v/>
      </c>
      <c r="R817" t="str">
        <f t="shared" si="88"/>
        <v/>
      </c>
      <c r="S817" t="str">
        <f t="shared" si="89"/>
        <v/>
      </c>
      <c r="T817" t="str">
        <f>IF($N817="","",IF(Sync!$N817="",0,Sync!$N817))</f>
        <v/>
      </c>
      <c r="U817" t="str">
        <f>IF($N817="","",IF(Sync!$O817="",0,Sync!$O817))</f>
        <v/>
      </c>
      <c r="V817" t="str">
        <f>IF($N817="","",Sync!$L817)</f>
        <v/>
      </c>
      <c r="W817" t="str">
        <f>IF($N817="","",Sync!$P817)</f>
        <v/>
      </c>
      <c r="AA817" t="str">
        <f>IF($A817="","",IF(COUNTIF($A$6:$A817,$A817)=1,1,0))</f>
        <v/>
      </c>
      <c r="AB817">
        <f>SUM($AA$6:$AA817)</f>
        <v>3</v>
      </c>
      <c r="AC817" t="str">
        <f t="shared" si="90"/>
        <v/>
      </c>
    </row>
    <row r="818" spans="1:29" x14ac:dyDescent="0.2">
      <c r="A818" t="str">
        <f>IF(OR(Entry!$B821="",Entry!$E821="",$E818="نامعتبر"),"",Entry!$E821)</f>
        <v/>
      </c>
      <c r="B818" t="str">
        <f>IF($A818="","",LEFT($E818,4)&amp;MID($E818,6,2)&amp;RIGHT($E818,2)&amp;$F818&amp;"|"&amp;"1"&amp;RIGHT("00000"&amp;813,5))</f>
        <v/>
      </c>
      <c r="C818" t="str">
        <f t="shared" si="84"/>
        <v/>
      </c>
      <c r="D818" t="str">
        <f t="shared" si="85"/>
        <v/>
      </c>
      <c r="E818" t="str">
        <f>IF(Entry!$B821="","",IF(ISNUMBER(Entry!$B821),IF(AND(Entry!$B821&gt;=10000101,Entry!$B821&lt;=99991231),INT(Entry!$B821/10000)&amp;"/"&amp;RIGHT("00"&amp;INT(MOD(Entry!$B821,10000)/100),2)&amp;"/"&amp;RIGHT("00"&amp;MOD(Entry!$B821,100),2),"نامعتبر"),IF(LEN(Entry!$B821)=10,Entry!$B821,"نامعتبر")))</f>
        <v/>
      </c>
      <c r="F818" t="str">
        <f>IF(Entry!$B821="","",IF(Entry!$C821="","0000",IF(AND(ISNUMBER(Entry!$C821),Entry!$C821&gt;=0,Entry!$C821&lt;1),RIGHT("00"&amp;HOUR(Entry!$C821),2)&amp;RIGHT("00"&amp;MINUTE(Entry!$C821),2),IFERROR(RIGHT("00"&amp;VALUE(LEFT(Entry!$C821,FIND(":",Entry!$C821)-1)),2)&amp;RIGHT("00"&amp;VALUE(MID(Entry!$C821,FIND(":",Entry!$C821)+1,2)),2),"0000"))))</f>
        <v/>
      </c>
      <c r="G818" t="str">
        <f>IF($A818="","",Entry!$G821)</f>
        <v/>
      </c>
      <c r="H818" t="str">
        <f>IF($A818="","",IF(Entry!$H821="",0,Entry!$H821))</f>
        <v/>
      </c>
      <c r="I818" t="str">
        <f>IF($A818="","",IF(Entry!$I821="",0,Entry!$I821))</f>
        <v/>
      </c>
      <c r="J818" t="str">
        <f t="shared" si="86"/>
        <v/>
      </c>
      <c r="K818" t="str">
        <f>IF($A818="","",Entry!$D821)</f>
        <v/>
      </c>
      <c r="L818" t="str">
        <f>IF($A818="","",Entry!$L821)</f>
        <v/>
      </c>
      <c r="N818" t="str">
        <f>IF(OR(Sync!$M818="",$Q818="",$Q818="نامعتبر"),"",Sync!$M818)</f>
        <v/>
      </c>
      <c r="O818" t="str">
        <f t="shared" si="87"/>
        <v/>
      </c>
      <c r="P818" t="str">
        <f>IF($N818="","",LEFT($Q818,4)&amp;MID($Q818,6,2)&amp;RIGHT($Q818,2)&amp;IF(Sync!$K818="","0000",IF(AND(ISNUMBER(Sync!$K818),Sync!$K818&gt;=0,Sync!$K818&lt;1),RIGHT("00"&amp;HOUR(Sync!$K818),2)&amp;RIGHT("00"&amp;MINUTE(Sync!$K818),2),IFERROR(RIGHT("00"&amp;VALUE(LEFT(Sync!$K818,FIND(":",Sync!$K818)-1)),2)&amp;RIGHT("00"&amp;VALUE(MID(Sync!$K818,FIND(":",Sync!$K818)+1,2)),2),"0000")))&amp;"|"&amp;"2"&amp;RIGHT("00000"&amp;813,5))</f>
        <v/>
      </c>
      <c r="Q818" t="str">
        <f>IF(Sync!$J818="","",IF(ISNUMBER(Sync!$J818),IF(AND(Sync!$J818&gt;=10000101,Sync!$J818&lt;=99991231),INT(Sync!$J818/10000)&amp;"/"&amp;RIGHT("00"&amp;INT(MOD(Sync!$J818,10000)/100),2)&amp;"/"&amp;RIGHT("00"&amp;MOD(Sync!$J818,100),2),"نامعتبر"),IF(LEN(Sync!$J818)=10,Sync!$J818,"نامعتبر")))</f>
        <v/>
      </c>
      <c r="R818" t="str">
        <f t="shared" si="88"/>
        <v/>
      </c>
      <c r="S818" t="str">
        <f t="shared" si="89"/>
        <v/>
      </c>
      <c r="T818" t="str">
        <f>IF($N818="","",IF(Sync!$N818="",0,Sync!$N818))</f>
        <v/>
      </c>
      <c r="U818" t="str">
        <f>IF($N818="","",IF(Sync!$O818="",0,Sync!$O818))</f>
        <v/>
      </c>
      <c r="V818" t="str">
        <f>IF($N818="","",Sync!$L818)</f>
        <v/>
      </c>
      <c r="W818" t="str">
        <f>IF($N818="","",Sync!$P818)</f>
        <v/>
      </c>
      <c r="AA818" t="str">
        <f>IF($A818="","",IF(COUNTIF($A$6:$A818,$A818)=1,1,0))</f>
        <v/>
      </c>
      <c r="AB818">
        <f>SUM($AA$6:$AA818)</f>
        <v>3</v>
      </c>
      <c r="AC818" t="str">
        <f t="shared" si="90"/>
        <v/>
      </c>
    </row>
    <row r="819" spans="1:29" x14ac:dyDescent="0.2">
      <c r="A819" t="str">
        <f>IF(OR(Entry!$B822="",Entry!$E822="",$E819="نامعتبر"),"",Entry!$E822)</f>
        <v/>
      </c>
      <c r="B819" t="str">
        <f>IF($A819="","",LEFT($E819,4)&amp;MID($E819,6,2)&amp;RIGHT($E819,2)&amp;$F819&amp;"|"&amp;"1"&amp;RIGHT("00000"&amp;814,5))</f>
        <v/>
      </c>
      <c r="C819" t="str">
        <f t="shared" si="84"/>
        <v/>
      </c>
      <c r="D819" t="str">
        <f t="shared" si="85"/>
        <v/>
      </c>
      <c r="E819" t="str">
        <f>IF(Entry!$B822="","",IF(ISNUMBER(Entry!$B822),IF(AND(Entry!$B822&gt;=10000101,Entry!$B822&lt;=99991231),INT(Entry!$B822/10000)&amp;"/"&amp;RIGHT("00"&amp;INT(MOD(Entry!$B822,10000)/100),2)&amp;"/"&amp;RIGHT("00"&amp;MOD(Entry!$B822,100),2),"نامعتبر"),IF(LEN(Entry!$B822)=10,Entry!$B822,"نامعتبر")))</f>
        <v/>
      </c>
      <c r="F819" t="str">
        <f>IF(Entry!$B822="","",IF(Entry!$C822="","0000",IF(AND(ISNUMBER(Entry!$C822),Entry!$C822&gt;=0,Entry!$C822&lt;1),RIGHT("00"&amp;HOUR(Entry!$C822),2)&amp;RIGHT("00"&amp;MINUTE(Entry!$C822),2),IFERROR(RIGHT("00"&amp;VALUE(LEFT(Entry!$C822,FIND(":",Entry!$C822)-1)),2)&amp;RIGHT("00"&amp;VALUE(MID(Entry!$C822,FIND(":",Entry!$C822)+1,2)),2),"0000"))))</f>
        <v/>
      </c>
      <c r="G819" t="str">
        <f>IF($A819="","",Entry!$G822)</f>
        <v/>
      </c>
      <c r="H819" t="str">
        <f>IF($A819="","",IF(Entry!$H822="",0,Entry!$H822))</f>
        <v/>
      </c>
      <c r="I819" t="str">
        <f>IF($A819="","",IF(Entry!$I822="",0,Entry!$I822))</f>
        <v/>
      </c>
      <c r="J819" t="str">
        <f t="shared" si="86"/>
        <v/>
      </c>
      <c r="K819" t="str">
        <f>IF($A819="","",Entry!$D822)</f>
        <v/>
      </c>
      <c r="L819" t="str">
        <f>IF($A819="","",Entry!$L822)</f>
        <v/>
      </c>
      <c r="N819" t="str">
        <f>IF(OR(Sync!$M819="",$Q819="",$Q819="نامعتبر"),"",Sync!$M819)</f>
        <v/>
      </c>
      <c r="O819" t="str">
        <f t="shared" si="87"/>
        <v/>
      </c>
      <c r="P819" t="str">
        <f>IF($N819="","",LEFT($Q819,4)&amp;MID($Q819,6,2)&amp;RIGHT($Q819,2)&amp;IF(Sync!$K819="","0000",IF(AND(ISNUMBER(Sync!$K819),Sync!$K819&gt;=0,Sync!$K819&lt;1),RIGHT("00"&amp;HOUR(Sync!$K819),2)&amp;RIGHT("00"&amp;MINUTE(Sync!$K819),2),IFERROR(RIGHT("00"&amp;VALUE(LEFT(Sync!$K819,FIND(":",Sync!$K819)-1)),2)&amp;RIGHT("00"&amp;VALUE(MID(Sync!$K819,FIND(":",Sync!$K819)+1,2)),2),"0000")))&amp;"|"&amp;"2"&amp;RIGHT("00000"&amp;814,5))</f>
        <v/>
      </c>
      <c r="Q819" t="str">
        <f>IF(Sync!$J819="","",IF(ISNUMBER(Sync!$J819),IF(AND(Sync!$J819&gt;=10000101,Sync!$J819&lt;=99991231),INT(Sync!$J819/10000)&amp;"/"&amp;RIGHT("00"&amp;INT(MOD(Sync!$J819,10000)/100),2)&amp;"/"&amp;RIGHT("00"&amp;MOD(Sync!$J819,100),2),"نامعتبر"),IF(LEN(Sync!$J819)=10,Sync!$J819,"نامعتبر")))</f>
        <v/>
      </c>
      <c r="R819" t="str">
        <f t="shared" si="88"/>
        <v/>
      </c>
      <c r="S819" t="str">
        <f t="shared" si="89"/>
        <v/>
      </c>
      <c r="T819" t="str">
        <f>IF($N819="","",IF(Sync!$N819="",0,Sync!$N819))</f>
        <v/>
      </c>
      <c r="U819" t="str">
        <f>IF($N819="","",IF(Sync!$O819="",0,Sync!$O819))</f>
        <v/>
      </c>
      <c r="V819" t="str">
        <f>IF($N819="","",Sync!$L819)</f>
        <v/>
      </c>
      <c r="W819" t="str">
        <f>IF($N819="","",Sync!$P819)</f>
        <v/>
      </c>
      <c r="AA819" t="str">
        <f>IF($A819="","",IF(COUNTIF($A$6:$A819,$A819)=1,1,0))</f>
        <v/>
      </c>
      <c r="AB819">
        <f>SUM($AA$6:$AA819)</f>
        <v>3</v>
      </c>
      <c r="AC819" t="str">
        <f t="shared" si="90"/>
        <v/>
      </c>
    </row>
    <row r="820" spans="1:29" x14ac:dyDescent="0.2">
      <c r="A820" t="str">
        <f>IF(OR(Entry!$B823="",Entry!$E823="",$E820="نامعتبر"),"",Entry!$E823)</f>
        <v/>
      </c>
      <c r="B820" t="str">
        <f>IF($A820="","",LEFT($E820,4)&amp;MID($E820,6,2)&amp;RIGHT($E820,2)&amp;$F820&amp;"|"&amp;"1"&amp;RIGHT("00000"&amp;815,5))</f>
        <v/>
      </c>
      <c r="C820" t="str">
        <f t="shared" si="84"/>
        <v/>
      </c>
      <c r="D820" t="str">
        <f t="shared" si="85"/>
        <v/>
      </c>
      <c r="E820" t="str">
        <f>IF(Entry!$B823="","",IF(ISNUMBER(Entry!$B823),IF(AND(Entry!$B823&gt;=10000101,Entry!$B823&lt;=99991231),INT(Entry!$B823/10000)&amp;"/"&amp;RIGHT("00"&amp;INT(MOD(Entry!$B823,10000)/100),2)&amp;"/"&amp;RIGHT("00"&amp;MOD(Entry!$B823,100),2),"نامعتبر"),IF(LEN(Entry!$B823)=10,Entry!$B823,"نامعتبر")))</f>
        <v/>
      </c>
      <c r="F820" t="str">
        <f>IF(Entry!$B823="","",IF(Entry!$C823="","0000",IF(AND(ISNUMBER(Entry!$C823),Entry!$C823&gt;=0,Entry!$C823&lt;1),RIGHT("00"&amp;HOUR(Entry!$C823),2)&amp;RIGHT("00"&amp;MINUTE(Entry!$C823),2),IFERROR(RIGHT("00"&amp;VALUE(LEFT(Entry!$C823,FIND(":",Entry!$C823)-1)),2)&amp;RIGHT("00"&amp;VALUE(MID(Entry!$C823,FIND(":",Entry!$C823)+1,2)),2),"0000"))))</f>
        <v/>
      </c>
      <c r="G820" t="str">
        <f>IF($A820="","",Entry!$G823)</f>
        <v/>
      </c>
      <c r="H820" t="str">
        <f>IF($A820="","",IF(Entry!$H823="",0,Entry!$H823))</f>
        <v/>
      </c>
      <c r="I820" t="str">
        <f>IF($A820="","",IF(Entry!$I823="",0,Entry!$I823))</f>
        <v/>
      </c>
      <c r="J820" t="str">
        <f t="shared" si="86"/>
        <v/>
      </c>
      <c r="K820" t="str">
        <f>IF($A820="","",Entry!$D823)</f>
        <v/>
      </c>
      <c r="L820" t="str">
        <f>IF($A820="","",Entry!$L823)</f>
        <v/>
      </c>
      <c r="N820" t="str">
        <f>IF(OR(Sync!$M820="",$Q820="",$Q820="نامعتبر"),"",Sync!$M820)</f>
        <v/>
      </c>
      <c r="O820" t="str">
        <f t="shared" si="87"/>
        <v/>
      </c>
      <c r="P820" t="str">
        <f>IF($N820="","",LEFT($Q820,4)&amp;MID($Q820,6,2)&amp;RIGHT($Q820,2)&amp;IF(Sync!$K820="","0000",IF(AND(ISNUMBER(Sync!$K820),Sync!$K820&gt;=0,Sync!$K820&lt;1),RIGHT("00"&amp;HOUR(Sync!$K820),2)&amp;RIGHT("00"&amp;MINUTE(Sync!$K820),2),IFERROR(RIGHT("00"&amp;VALUE(LEFT(Sync!$K820,FIND(":",Sync!$K820)-1)),2)&amp;RIGHT("00"&amp;VALUE(MID(Sync!$K820,FIND(":",Sync!$K820)+1,2)),2),"0000")))&amp;"|"&amp;"2"&amp;RIGHT("00000"&amp;815,5))</f>
        <v/>
      </c>
      <c r="Q820" t="str">
        <f>IF(Sync!$J820="","",IF(ISNUMBER(Sync!$J820),IF(AND(Sync!$J820&gt;=10000101,Sync!$J820&lt;=99991231),INT(Sync!$J820/10000)&amp;"/"&amp;RIGHT("00"&amp;INT(MOD(Sync!$J820,10000)/100),2)&amp;"/"&amp;RIGHT("00"&amp;MOD(Sync!$J820,100),2),"نامعتبر"),IF(LEN(Sync!$J820)=10,Sync!$J820,"نامعتبر")))</f>
        <v/>
      </c>
      <c r="R820" t="str">
        <f t="shared" si="88"/>
        <v/>
      </c>
      <c r="S820" t="str">
        <f t="shared" si="89"/>
        <v/>
      </c>
      <c r="T820" t="str">
        <f>IF($N820="","",IF(Sync!$N820="",0,Sync!$N820))</f>
        <v/>
      </c>
      <c r="U820" t="str">
        <f>IF($N820="","",IF(Sync!$O820="",0,Sync!$O820))</f>
        <v/>
      </c>
      <c r="V820" t="str">
        <f>IF($N820="","",Sync!$L820)</f>
        <v/>
      </c>
      <c r="W820" t="str">
        <f>IF($N820="","",Sync!$P820)</f>
        <v/>
      </c>
      <c r="AA820" t="str">
        <f>IF($A820="","",IF(COUNTIF($A$6:$A820,$A820)=1,1,0))</f>
        <v/>
      </c>
      <c r="AB820">
        <f>SUM($AA$6:$AA820)</f>
        <v>3</v>
      </c>
      <c r="AC820" t="str">
        <f t="shared" si="90"/>
        <v/>
      </c>
    </row>
    <row r="821" spans="1:29" x14ac:dyDescent="0.2">
      <c r="A821" t="str">
        <f>IF(OR(Entry!$B824="",Entry!$E824="",$E821="نامعتبر"),"",Entry!$E824)</f>
        <v/>
      </c>
      <c r="B821" t="str">
        <f>IF($A821="","",LEFT($E821,4)&amp;MID($E821,6,2)&amp;RIGHT($E821,2)&amp;$F821&amp;"|"&amp;"1"&amp;RIGHT("00000"&amp;816,5))</f>
        <v/>
      </c>
      <c r="C821" t="str">
        <f t="shared" si="84"/>
        <v/>
      </c>
      <c r="D821" t="str">
        <f t="shared" si="85"/>
        <v/>
      </c>
      <c r="E821" t="str">
        <f>IF(Entry!$B824="","",IF(ISNUMBER(Entry!$B824),IF(AND(Entry!$B824&gt;=10000101,Entry!$B824&lt;=99991231),INT(Entry!$B824/10000)&amp;"/"&amp;RIGHT("00"&amp;INT(MOD(Entry!$B824,10000)/100),2)&amp;"/"&amp;RIGHT("00"&amp;MOD(Entry!$B824,100),2),"نامعتبر"),IF(LEN(Entry!$B824)=10,Entry!$B824,"نامعتبر")))</f>
        <v/>
      </c>
      <c r="F821" t="str">
        <f>IF(Entry!$B824="","",IF(Entry!$C824="","0000",IF(AND(ISNUMBER(Entry!$C824),Entry!$C824&gt;=0,Entry!$C824&lt;1),RIGHT("00"&amp;HOUR(Entry!$C824),2)&amp;RIGHT("00"&amp;MINUTE(Entry!$C824),2),IFERROR(RIGHT("00"&amp;VALUE(LEFT(Entry!$C824,FIND(":",Entry!$C824)-1)),2)&amp;RIGHT("00"&amp;VALUE(MID(Entry!$C824,FIND(":",Entry!$C824)+1,2)),2),"0000"))))</f>
        <v/>
      </c>
      <c r="G821" t="str">
        <f>IF($A821="","",Entry!$G824)</f>
        <v/>
      </c>
      <c r="H821" t="str">
        <f>IF($A821="","",IF(Entry!$H824="",0,Entry!$H824))</f>
        <v/>
      </c>
      <c r="I821" t="str">
        <f>IF($A821="","",IF(Entry!$I824="",0,Entry!$I824))</f>
        <v/>
      </c>
      <c r="J821" t="str">
        <f t="shared" si="86"/>
        <v/>
      </c>
      <c r="K821" t="str">
        <f>IF($A821="","",Entry!$D824)</f>
        <v/>
      </c>
      <c r="L821" t="str">
        <f>IF($A821="","",Entry!$L824)</f>
        <v/>
      </c>
      <c r="N821" t="str">
        <f>IF(OR(Sync!$M821="",$Q821="",$Q821="نامعتبر"),"",Sync!$M821)</f>
        <v/>
      </c>
      <c r="O821" t="str">
        <f t="shared" si="87"/>
        <v/>
      </c>
      <c r="P821" t="str">
        <f>IF($N821="","",LEFT($Q821,4)&amp;MID($Q821,6,2)&amp;RIGHT($Q821,2)&amp;IF(Sync!$K821="","0000",IF(AND(ISNUMBER(Sync!$K821),Sync!$K821&gt;=0,Sync!$K821&lt;1),RIGHT("00"&amp;HOUR(Sync!$K821),2)&amp;RIGHT("00"&amp;MINUTE(Sync!$K821),2),IFERROR(RIGHT("00"&amp;VALUE(LEFT(Sync!$K821,FIND(":",Sync!$K821)-1)),2)&amp;RIGHT("00"&amp;VALUE(MID(Sync!$K821,FIND(":",Sync!$K821)+1,2)),2),"0000")))&amp;"|"&amp;"2"&amp;RIGHT("00000"&amp;816,5))</f>
        <v/>
      </c>
      <c r="Q821" t="str">
        <f>IF(Sync!$J821="","",IF(ISNUMBER(Sync!$J821),IF(AND(Sync!$J821&gt;=10000101,Sync!$J821&lt;=99991231),INT(Sync!$J821/10000)&amp;"/"&amp;RIGHT("00"&amp;INT(MOD(Sync!$J821,10000)/100),2)&amp;"/"&amp;RIGHT("00"&amp;MOD(Sync!$J821,100),2),"نامعتبر"),IF(LEN(Sync!$J821)=10,Sync!$J821,"نامعتبر")))</f>
        <v/>
      </c>
      <c r="R821" t="str">
        <f t="shared" si="88"/>
        <v/>
      </c>
      <c r="S821" t="str">
        <f t="shared" si="89"/>
        <v/>
      </c>
      <c r="T821" t="str">
        <f>IF($N821="","",IF(Sync!$N821="",0,Sync!$N821))</f>
        <v/>
      </c>
      <c r="U821" t="str">
        <f>IF($N821="","",IF(Sync!$O821="",0,Sync!$O821))</f>
        <v/>
      </c>
      <c r="V821" t="str">
        <f>IF($N821="","",Sync!$L821)</f>
        <v/>
      </c>
      <c r="W821" t="str">
        <f>IF($N821="","",Sync!$P821)</f>
        <v/>
      </c>
      <c r="AA821" t="str">
        <f>IF($A821="","",IF(COUNTIF($A$6:$A821,$A821)=1,1,0))</f>
        <v/>
      </c>
      <c r="AB821">
        <f>SUM($AA$6:$AA821)</f>
        <v>3</v>
      </c>
      <c r="AC821" t="str">
        <f t="shared" si="90"/>
        <v/>
      </c>
    </row>
    <row r="822" spans="1:29" x14ac:dyDescent="0.2">
      <c r="A822" t="str">
        <f>IF(OR(Entry!$B825="",Entry!$E825="",$E822="نامعتبر"),"",Entry!$E825)</f>
        <v/>
      </c>
      <c r="B822" t="str">
        <f>IF($A822="","",LEFT($E822,4)&amp;MID($E822,6,2)&amp;RIGHT($E822,2)&amp;$F822&amp;"|"&amp;"1"&amp;RIGHT("00000"&amp;817,5))</f>
        <v/>
      </c>
      <c r="C822" t="str">
        <f t="shared" si="84"/>
        <v/>
      </c>
      <c r="D822" t="str">
        <f t="shared" si="85"/>
        <v/>
      </c>
      <c r="E822" t="str">
        <f>IF(Entry!$B825="","",IF(ISNUMBER(Entry!$B825),IF(AND(Entry!$B825&gt;=10000101,Entry!$B825&lt;=99991231),INT(Entry!$B825/10000)&amp;"/"&amp;RIGHT("00"&amp;INT(MOD(Entry!$B825,10000)/100),2)&amp;"/"&amp;RIGHT("00"&amp;MOD(Entry!$B825,100),2),"نامعتبر"),IF(LEN(Entry!$B825)=10,Entry!$B825,"نامعتبر")))</f>
        <v/>
      </c>
      <c r="F822" t="str">
        <f>IF(Entry!$B825="","",IF(Entry!$C825="","0000",IF(AND(ISNUMBER(Entry!$C825),Entry!$C825&gt;=0,Entry!$C825&lt;1),RIGHT("00"&amp;HOUR(Entry!$C825),2)&amp;RIGHT("00"&amp;MINUTE(Entry!$C825),2),IFERROR(RIGHT("00"&amp;VALUE(LEFT(Entry!$C825,FIND(":",Entry!$C825)-1)),2)&amp;RIGHT("00"&amp;VALUE(MID(Entry!$C825,FIND(":",Entry!$C825)+1,2)),2),"0000"))))</f>
        <v/>
      </c>
      <c r="G822" t="str">
        <f>IF($A822="","",Entry!$G825)</f>
        <v/>
      </c>
      <c r="H822" t="str">
        <f>IF($A822="","",IF(Entry!$H825="",0,Entry!$H825))</f>
        <v/>
      </c>
      <c r="I822" t="str">
        <f>IF($A822="","",IF(Entry!$I825="",0,Entry!$I825))</f>
        <v/>
      </c>
      <c r="J822" t="str">
        <f t="shared" si="86"/>
        <v/>
      </c>
      <c r="K822" t="str">
        <f>IF($A822="","",Entry!$D825)</f>
        <v/>
      </c>
      <c r="L822" t="str">
        <f>IF($A822="","",Entry!$L825)</f>
        <v/>
      </c>
      <c r="N822" t="str">
        <f>IF(OR(Sync!$M822="",$Q822="",$Q822="نامعتبر"),"",Sync!$M822)</f>
        <v/>
      </c>
      <c r="O822" t="str">
        <f t="shared" si="87"/>
        <v/>
      </c>
      <c r="P822" t="str">
        <f>IF($N822="","",LEFT($Q822,4)&amp;MID($Q822,6,2)&amp;RIGHT($Q822,2)&amp;IF(Sync!$K822="","0000",IF(AND(ISNUMBER(Sync!$K822),Sync!$K822&gt;=0,Sync!$K822&lt;1),RIGHT("00"&amp;HOUR(Sync!$K822),2)&amp;RIGHT("00"&amp;MINUTE(Sync!$K822),2),IFERROR(RIGHT("00"&amp;VALUE(LEFT(Sync!$K822,FIND(":",Sync!$K822)-1)),2)&amp;RIGHT("00"&amp;VALUE(MID(Sync!$K822,FIND(":",Sync!$K822)+1,2)),2),"0000")))&amp;"|"&amp;"2"&amp;RIGHT("00000"&amp;817,5))</f>
        <v/>
      </c>
      <c r="Q822" t="str">
        <f>IF(Sync!$J822="","",IF(ISNUMBER(Sync!$J822),IF(AND(Sync!$J822&gt;=10000101,Sync!$J822&lt;=99991231),INT(Sync!$J822/10000)&amp;"/"&amp;RIGHT("00"&amp;INT(MOD(Sync!$J822,10000)/100),2)&amp;"/"&amp;RIGHT("00"&amp;MOD(Sync!$J822,100),2),"نامعتبر"),IF(LEN(Sync!$J822)=10,Sync!$J822,"نامعتبر")))</f>
        <v/>
      </c>
      <c r="R822" t="str">
        <f t="shared" si="88"/>
        <v/>
      </c>
      <c r="S822" t="str">
        <f t="shared" si="89"/>
        <v/>
      </c>
      <c r="T822" t="str">
        <f>IF($N822="","",IF(Sync!$N822="",0,Sync!$N822))</f>
        <v/>
      </c>
      <c r="U822" t="str">
        <f>IF($N822="","",IF(Sync!$O822="",0,Sync!$O822))</f>
        <v/>
      </c>
      <c r="V822" t="str">
        <f>IF($N822="","",Sync!$L822)</f>
        <v/>
      </c>
      <c r="W822" t="str">
        <f>IF($N822="","",Sync!$P822)</f>
        <v/>
      </c>
      <c r="AA822" t="str">
        <f>IF($A822="","",IF(COUNTIF($A$6:$A822,$A822)=1,1,0))</f>
        <v/>
      </c>
      <c r="AB822">
        <f>SUM($AA$6:$AA822)</f>
        <v>3</v>
      </c>
      <c r="AC822" t="str">
        <f t="shared" si="90"/>
        <v/>
      </c>
    </row>
    <row r="823" spans="1:29" x14ac:dyDescent="0.2">
      <c r="A823" t="str">
        <f>IF(OR(Entry!$B826="",Entry!$E826="",$E823="نامعتبر"),"",Entry!$E826)</f>
        <v/>
      </c>
      <c r="B823" t="str">
        <f>IF($A823="","",LEFT($E823,4)&amp;MID($E823,6,2)&amp;RIGHT($E823,2)&amp;$F823&amp;"|"&amp;"1"&amp;RIGHT("00000"&amp;818,5))</f>
        <v/>
      </c>
      <c r="C823" t="str">
        <f t="shared" si="84"/>
        <v/>
      </c>
      <c r="D823" t="str">
        <f t="shared" si="85"/>
        <v/>
      </c>
      <c r="E823" t="str">
        <f>IF(Entry!$B826="","",IF(ISNUMBER(Entry!$B826),IF(AND(Entry!$B826&gt;=10000101,Entry!$B826&lt;=99991231),INT(Entry!$B826/10000)&amp;"/"&amp;RIGHT("00"&amp;INT(MOD(Entry!$B826,10000)/100),2)&amp;"/"&amp;RIGHT("00"&amp;MOD(Entry!$B826,100),2),"نامعتبر"),IF(LEN(Entry!$B826)=10,Entry!$B826,"نامعتبر")))</f>
        <v/>
      </c>
      <c r="F823" t="str">
        <f>IF(Entry!$B826="","",IF(Entry!$C826="","0000",IF(AND(ISNUMBER(Entry!$C826),Entry!$C826&gt;=0,Entry!$C826&lt;1),RIGHT("00"&amp;HOUR(Entry!$C826),2)&amp;RIGHT("00"&amp;MINUTE(Entry!$C826),2),IFERROR(RIGHT("00"&amp;VALUE(LEFT(Entry!$C826,FIND(":",Entry!$C826)-1)),2)&amp;RIGHT("00"&amp;VALUE(MID(Entry!$C826,FIND(":",Entry!$C826)+1,2)),2),"0000"))))</f>
        <v/>
      </c>
      <c r="G823" t="str">
        <f>IF($A823="","",Entry!$G826)</f>
        <v/>
      </c>
      <c r="H823" t="str">
        <f>IF($A823="","",IF(Entry!$H826="",0,Entry!$H826))</f>
        <v/>
      </c>
      <c r="I823" t="str">
        <f>IF($A823="","",IF(Entry!$I826="",0,Entry!$I826))</f>
        <v/>
      </c>
      <c r="J823" t="str">
        <f t="shared" si="86"/>
        <v/>
      </c>
      <c r="K823" t="str">
        <f>IF($A823="","",Entry!$D826)</f>
        <v/>
      </c>
      <c r="L823" t="str">
        <f>IF($A823="","",Entry!$L826)</f>
        <v/>
      </c>
      <c r="N823" t="str">
        <f>IF(OR(Sync!$M823="",$Q823="",$Q823="نامعتبر"),"",Sync!$M823)</f>
        <v/>
      </c>
      <c r="O823" t="str">
        <f t="shared" si="87"/>
        <v/>
      </c>
      <c r="P823" t="str">
        <f>IF($N823="","",LEFT($Q823,4)&amp;MID($Q823,6,2)&amp;RIGHT($Q823,2)&amp;IF(Sync!$K823="","0000",IF(AND(ISNUMBER(Sync!$K823),Sync!$K823&gt;=0,Sync!$K823&lt;1),RIGHT("00"&amp;HOUR(Sync!$K823),2)&amp;RIGHT("00"&amp;MINUTE(Sync!$K823),2),IFERROR(RIGHT("00"&amp;VALUE(LEFT(Sync!$K823,FIND(":",Sync!$K823)-1)),2)&amp;RIGHT("00"&amp;VALUE(MID(Sync!$K823,FIND(":",Sync!$K823)+1,2)),2),"0000")))&amp;"|"&amp;"2"&amp;RIGHT("00000"&amp;818,5))</f>
        <v/>
      </c>
      <c r="Q823" t="str">
        <f>IF(Sync!$J823="","",IF(ISNUMBER(Sync!$J823),IF(AND(Sync!$J823&gt;=10000101,Sync!$J823&lt;=99991231),INT(Sync!$J823/10000)&amp;"/"&amp;RIGHT("00"&amp;INT(MOD(Sync!$J823,10000)/100),2)&amp;"/"&amp;RIGHT("00"&amp;MOD(Sync!$J823,100),2),"نامعتبر"),IF(LEN(Sync!$J823)=10,Sync!$J823,"نامعتبر")))</f>
        <v/>
      </c>
      <c r="R823" t="str">
        <f t="shared" si="88"/>
        <v/>
      </c>
      <c r="S823" t="str">
        <f t="shared" si="89"/>
        <v/>
      </c>
      <c r="T823" t="str">
        <f>IF($N823="","",IF(Sync!$N823="",0,Sync!$N823))</f>
        <v/>
      </c>
      <c r="U823" t="str">
        <f>IF($N823="","",IF(Sync!$O823="",0,Sync!$O823))</f>
        <v/>
      </c>
      <c r="V823" t="str">
        <f>IF($N823="","",Sync!$L823)</f>
        <v/>
      </c>
      <c r="W823" t="str">
        <f>IF($N823="","",Sync!$P823)</f>
        <v/>
      </c>
      <c r="AA823" t="str">
        <f>IF($A823="","",IF(COUNTIF($A$6:$A823,$A823)=1,1,0))</f>
        <v/>
      </c>
      <c r="AB823">
        <f>SUM($AA$6:$AA823)</f>
        <v>3</v>
      </c>
      <c r="AC823" t="str">
        <f t="shared" si="90"/>
        <v/>
      </c>
    </row>
    <row r="824" spans="1:29" x14ac:dyDescent="0.2">
      <c r="A824" t="str">
        <f>IF(OR(Entry!$B827="",Entry!$E827="",$E824="نامعتبر"),"",Entry!$E827)</f>
        <v/>
      </c>
      <c r="B824" t="str">
        <f>IF($A824="","",LEFT($E824,4)&amp;MID($E824,6,2)&amp;RIGHT($E824,2)&amp;$F824&amp;"|"&amp;"1"&amp;RIGHT("00000"&amp;819,5))</f>
        <v/>
      </c>
      <c r="C824" t="str">
        <f t="shared" si="84"/>
        <v/>
      </c>
      <c r="D824" t="str">
        <f t="shared" si="85"/>
        <v/>
      </c>
      <c r="E824" t="str">
        <f>IF(Entry!$B827="","",IF(ISNUMBER(Entry!$B827),IF(AND(Entry!$B827&gt;=10000101,Entry!$B827&lt;=99991231),INT(Entry!$B827/10000)&amp;"/"&amp;RIGHT("00"&amp;INT(MOD(Entry!$B827,10000)/100),2)&amp;"/"&amp;RIGHT("00"&amp;MOD(Entry!$B827,100),2),"نامعتبر"),IF(LEN(Entry!$B827)=10,Entry!$B827,"نامعتبر")))</f>
        <v/>
      </c>
      <c r="F824" t="str">
        <f>IF(Entry!$B827="","",IF(Entry!$C827="","0000",IF(AND(ISNUMBER(Entry!$C827),Entry!$C827&gt;=0,Entry!$C827&lt;1),RIGHT("00"&amp;HOUR(Entry!$C827),2)&amp;RIGHT("00"&amp;MINUTE(Entry!$C827),2),IFERROR(RIGHT("00"&amp;VALUE(LEFT(Entry!$C827,FIND(":",Entry!$C827)-1)),2)&amp;RIGHT("00"&amp;VALUE(MID(Entry!$C827,FIND(":",Entry!$C827)+1,2)),2),"0000"))))</f>
        <v/>
      </c>
      <c r="G824" t="str">
        <f>IF($A824="","",Entry!$G827)</f>
        <v/>
      </c>
      <c r="H824" t="str">
        <f>IF($A824="","",IF(Entry!$H827="",0,Entry!$H827))</f>
        <v/>
      </c>
      <c r="I824" t="str">
        <f>IF($A824="","",IF(Entry!$I827="",0,Entry!$I827))</f>
        <v/>
      </c>
      <c r="J824" t="str">
        <f t="shared" si="86"/>
        <v/>
      </c>
      <c r="K824" t="str">
        <f>IF($A824="","",Entry!$D827)</f>
        <v/>
      </c>
      <c r="L824" t="str">
        <f>IF($A824="","",Entry!$L827)</f>
        <v/>
      </c>
      <c r="N824" t="str">
        <f>IF(OR(Sync!$M824="",$Q824="",$Q824="نامعتبر"),"",Sync!$M824)</f>
        <v/>
      </c>
      <c r="O824" t="str">
        <f t="shared" si="87"/>
        <v/>
      </c>
      <c r="P824" t="str">
        <f>IF($N824="","",LEFT($Q824,4)&amp;MID($Q824,6,2)&amp;RIGHT($Q824,2)&amp;IF(Sync!$K824="","0000",IF(AND(ISNUMBER(Sync!$K824),Sync!$K824&gt;=0,Sync!$K824&lt;1),RIGHT("00"&amp;HOUR(Sync!$K824),2)&amp;RIGHT("00"&amp;MINUTE(Sync!$K824),2),IFERROR(RIGHT("00"&amp;VALUE(LEFT(Sync!$K824,FIND(":",Sync!$K824)-1)),2)&amp;RIGHT("00"&amp;VALUE(MID(Sync!$K824,FIND(":",Sync!$K824)+1,2)),2),"0000")))&amp;"|"&amp;"2"&amp;RIGHT("00000"&amp;819,5))</f>
        <v/>
      </c>
      <c r="Q824" t="str">
        <f>IF(Sync!$J824="","",IF(ISNUMBER(Sync!$J824),IF(AND(Sync!$J824&gt;=10000101,Sync!$J824&lt;=99991231),INT(Sync!$J824/10000)&amp;"/"&amp;RIGHT("00"&amp;INT(MOD(Sync!$J824,10000)/100),2)&amp;"/"&amp;RIGHT("00"&amp;MOD(Sync!$J824,100),2),"نامعتبر"),IF(LEN(Sync!$J824)=10,Sync!$J824,"نامعتبر")))</f>
        <v/>
      </c>
      <c r="R824" t="str">
        <f t="shared" si="88"/>
        <v/>
      </c>
      <c r="S824" t="str">
        <f t="shared" si="89"/>
        <v/>
      </c>
      <c r="T824" t="str">
        <f>IF($N824="","",IF(Sync!$N824="",0,Sync!$N824))</f>
        <v/>
      </c>
      <c r="U824" t="str">
        <f>IF($N824="","",IF(Sync!$O824="",0,Sync!$O824))</f>
        <v/>
      </c>
      <c r="V824" t="str">
        <f>IF($N824="","",Sync!$L824)</f>
        <v/>
      </c>
      <c r="W824" t="str">
        <f>IF($N824="","",Sync!$P824)</f>
        <v/>
      </c>
      <c r="AA824" t="str">
        <f>IF($A824="","",IF(COUNTIF($A$6:$A824,$A824)=1,1,0))</f>
        <v/>
      </c>
      <c r="AB824">
        <f>SUM($AA$6:$AA824)</f>
        <v>3</v>
      </c>
      <c r="AC824" t="str">
        <f t="shared" si="90"/>
        <v/>
      </c>
    </row>
    <row r="825" spans="1:29" x14ac:dyDescent="0.2">
      <c r="A825" t="str">
        <f>IF(OR(Entry!$B828="",Entry!$E828="",$E825="نامعتبر"),"",Entry!$E828)</f>
        <v/>
      </c>
      <c r="B825" t="str">
        <f>IF($A825="","",LEFT($E825,4)&amp;MID($E825,6,2)&amp;RIGHT($E825,2)&amp;$F825&amp;"|"&amp;"1"&amp;RIGHT("00000"&amp;820,5))</f>
        <v/>
      </c>
      <c r="C825" t="str">
        <f t="shared" si="84"/>
        <v/>
      </c>
      <c r="D825" t="str">
        <f t="shared" si="85"/>
        <v/>
      </c>
      <c r="E825" t="str">
        <f>IF(Entry!$B828="","",IF(ISNUMBER(Entry!$B828),IF(AND(Entry!$B828&gt;=10000101,Entry!$B828&lt;=99991231),INT(Entry!$B828/10000)&amp;"/"&amp;RIGHT("00"&amp;INT(MOD(Entry!$B828,10000)/100),2)&amp;"/"&amp;RIGHT("00"&amp;MOD(Entry!$B828,100),2),"نامعتبر"),IF(LEN(Entry!$B828)=10,Entry!$B828,"نامعتبر")))</f>
        <v/>
      </c>
      <c r="F825" t="str">
        <f>IF(Entry!$B828="","",IF(Entry!$C828="","0000",IF(AND(ISNUMBER(Entry!$C828),Entry!$C828&gt;=0,Entry!$C828&lt;1),RIGHT("00"&amp;HOUR(Entry!$C828),2)&amp;RIGHT("00"&amp;MINUTE(Entry!$C828),2),IFERROR(RIGHT("00"&amp;VALUE(LEFT(Entry!$C828,FIND(":",Entry!$C828)-1)),2)&amp;RIGHT("00"&amp;VALUE(MID(Entry!$C828,FIND(":",Entry!$C828)+1,2)),2),"0000"))))</f>
        <v/>
      </c>
      <c r="G825" t="str">
        <f>IF($A825="","",Entry!$G828)</f>
        <v/>
      </c>
      <c r="H825" t="str">
        <f>IF($A825="","",IF(Entry!$H828="",0,Entry!$H828))</f>
        <v/>
      </c>
      <c r="I825" t="str">
        <f>IF($A825="","",IF(Entry!$I828="",0,Entry!$I828))</f>
        <v/>
      </c>
      <c r="J825" t="str">
        <f t="shared" si="86"/>
        <v/>
      </c>
      <c r="K825" t="str">
        <f>IF($A825="","",Entry!$D828)</f>
        <v/>
      </c>
      <c r="L825" t="str">
        <f>IF($A825="","",Entry!$L828)</f>
        <v/>
      </c>
      <c r="N825" t="str">
        <f>IF(OR(Sync!$M825="",$Q825="",$Q825="نامعتبر"),"",Sync!$M825)</f>
        <v/>
      </c>
      <c r="O825" t="str">
        <f t="shared" si="87"/>
        <v/>
      </c>
      <c r="P825" t="str">
        <f>IF($N825="","",LEFT($Q825,4)&amp;MID($Q825,6,2)&amp;RIGHT($Q825,2)&amp;IF(Sync!$K825="","0000",IF(AND(ISNUMBER(Sync!$K825),Sync!$K825&gt;=0,Sync!$K825&lt;1),RIGHT("00"&amp;HOUR(Sync!$K825),2)&amp;RIGHT("00"&amp;MINUTE(Sync!$K825),2),IFERROR(RIGHT("00"&amp;VALUE(LEFT(Sync!$K825,FIND(":",Sync!$K825)-1)),2)&amp;RIGHT("00"&amp;VALUE(MID(Sync!$K825,FIND(":",Sync!$K825)+1,2)),2),"0000")))&amp;"|"&amp;"2"&amp;RIGHT("00000"&amp;820,5))</f>
        <v/>
      </c>
      <c r="Q825" t="str">
        <f>IF(Sync!$J825="","",IF(ISNUMBER(Sync!$J825),IF(AND(Sync!$J825&gt;=10000101,Sync!$J825&lt;=99991231),INT(Sync!$J825/10000)&amp;"/"&amp;RIGHT("00"&amp;INT(MOD(Sync!$J825,10000)/100),2)&amp;"/"&amp;RIGHT("00"&amp;MOD(Sync!$J825,100),2),"نامعتبر"),IF(LEN(Sync!$J825)=10,Sync!$J825,"نامعتبر")))</f>
        <v/>
      </c>
      <c r="R825" t="str">
        <f t="shared" si="88"/>
        <v/>
      </c>
      <c r="S825" t="str">
        <f t="shared" si="89"/>
        <v/>
      </c>
      <c r="T825" t="str">
        <f>IF($N825="","",IF(Sync!$N825="",0,Sync!$N825))</f>
        <v/>
      </c>
      <c r="U825" t="str">
        <f>IF($N825="","",IF(Sync!$O825="",0,Sync!$O825))</f>
        <v/>
      </c>
      <c r="V825" t="str">
        <f>IF($N825="","",Sync!$L825)</f>
        <v/>
      </c>
      <c r="W825" t="str">
        <f>IF($N825="","",Sync!$P825)</f>
        <v/>
      </c>
      <c r="AA825" t="str">
        <f>IF($A825="","",IF(COUNTIF($A$6:$A825,$A825)=1,1,0))</f>
        <v/>
      </c>
      <c r="AB825">
        <f>SUM($AA$6:$AA825)</f>
        <v>3</v>
      </c>
      <c r="AC825" t="str">
        <f t="shared" si="90"/>
        <v/>
      </c>
    </row>
    <row r="826" spans="1:29" x14ac:dyDescent="0.2">
      <c r="A826" t="str">
        <f>IF(OR(Entry!$B829="",Entry!$E829="",$E826="نامعتبر"),"",Entry!$E829)</f>
        <v/>
      </c>
      <c r="B826" t="str">
        <f>IF($A826="","",LEFT($E826,4)&amp;MID($E826,6,2)&amp;RIGHT($E826,2)&amp;$F826&amp;"|"&amp;"1"&amp;RIGHT("00000"&amp;821,5))</f>
        <v/>
      </c>
      <c r="C826" t="str">
        <f t="shared" si="84"/>
        <v/>
      </c>
      <c r="D826" t="str">
        <f t="shared" si="85"/>
        <v/>
      </c>
      <c r="E826" t="str">
        <f>IF(Entry!$B829="","",IF(ISNUMBER(Entry!$B829),IF(AND(Entry!$B829&gt;=10000101,Entry!$B829&lt;=99991231),INT(Entry!$B829/10000)&amp;"/"&amp;RIGHT("00"&amp;INT(MOD(Entry!$B829,10000)/100),2)&amp;"/"&amp;RIGHT("00"&amp;MOD(Entry!$B829,100),2),"نامعتبر"),IF(LEN(Entry!$B829)=10,Entry!$B829,"نامعتبر")))</f>
        <v/>
      </c>
      <c r="F826" t="str">
        <f>IF(Entry!$B829="","",IF(Entry!$C829="","0000",IF(AND(ISNUMBER(Entry!$C829),Entry!$C829&gt;=0,Entry!$C829&lt;1),RIGHT("00"&amp;HOUR(Entry!$C829),2)&amp;RIGHT("00"&amp;MINUTE(Entry!$C829),2),IFERROR(RIGHT("00"&amp;VALUE(LEFT(Entry!$C829,FIND(":",Entry!$C829)-1)),2)&amp;RIGHT("00"&amp;VALUE(MID(Entry!$C829,FIND(":",Entry!$C829)+1,2)),2),"0000"))))</f>
        <v/>
      </c>
      <c r="G826" t="str">
        <f>IF($A826="","",Entry!$G829)</f>
        <v/>
      </c>
      <c r="H826" t="str">
        <f>IF($A826="","",IF(Entry!$H829="",0,Entry!$H829))</f>
        <v/>
      </c>
      <c r="I826" t="str">
        <f>IF($A826="","",IF(Entry!$I829="",0,Entry!$I829))</f>
        <v/>
      </c>
      <c r="J826" t="str">
        <f t="shared" si="86"/>
        <v/>
      </c>
      <c r="K826" t="str">
        <f>IF($A826="","",Entry!$D829)</f>
        <v/>
      </c>
      <c r="L826" t="str">
        <f>IF($A826="","",Entry!$L829)</f>
        <v/>
      </c>
      <c r="N826" t="str">
        <f>IF(OR(Sync!$M826="",$Q826="",$Q826="نامعتبر"),"",Sync!$M826)</f>
        <v/>
      </c>
      <c r="O826" t="str">
        <f t="shared" si="87"/>
        <v/>
      </c>
      <c r="P826" t="str">
        <f>IF($N826="","",LEFT($Q826,4)&amp;MID($Q826,6,2)&amp;RIGHT($Q826,2)&amp;IF(Sync!$K826="","0000",IF(AND(ISNUMBER(Sync!$K826),Sync!$K826&gt;=0,Sync!$K826&lt;1),RIGHT("00"&amp;HOUR(Sync!$K826),2)&amp;RIGHT("00"&amp;MINUTE(Sync!$K826),2),IFERROR(RIGHT("00"&amp;VALUE(LEFT(Sync!$K826,FIND(":",Sync!$K826)-1)),2)&amp;RIGHT("00"&amp;VALUE(MID(Sync!$K826,FIND(":",Sync!$K826)+1,2)),2),"0000")))&amp;"|"&amp;"2"&amp;RIGHT("00000"&amp;821,5))</f>
        <v/>
      </c>
      <c r="Q826" t="str">
        <f>IF(Sync!$J826="","",IF(ISNUMBER(Sync!$J826),IF(AND(Sync!$J826&gt;=10000101,Sync!$J826&lt;=99991231),INT(Sync!$J826/10000)&amp;"/"&amp;RIGHT("00"&amp;INT(MOD(Sync!$J826,10000)/100),2)&amp;"/"&amp;RIGHT("00"&amp;MOD(Sync!$J826,100),2),"نامعتبر"),IF(LEN(Sync!$J826)=10,Sync!$J826,"نامعتبر")))</f>
        <v/>
      </c>
      <c r="R826" t="str">
        <f t="shared" si="88"/>
        <v/>
      </c>
      <c r="S826" t="str">
        <f t="shared" si="89"/>
        <v/>
      </c>
      <c r="T826" t="str">
        <f>IF($N826="","",IF(Sync!$N826="",0,Sync!$N826))</f>
        <v/>
      </c>
      <c r="U826" t="str">
        <f>IF($N826="","",IF(Sync!$O826="",0,Sync!$O826))</f>
        <v/>
      </c>
      <c r="V826" t="str">
        <f>IF($N826="","",Sync!$L826)</f>
        <v/>
      </c>
      <c r="W826" t="str">
        <f>IF($N826="","",Sync!$P826)</f>
        <v/>
      </c>
      <c r="AA826" t="str">
        <f>IF($A826="","",IF(COUNTIF($A$6:$A826,$A826)=1,1,0))</f>
        <v/>
      </c>
      <c r="AB826">
        <f>SUM($AA$6:$AA826)</f>
        <v>3</v>
      </c>
      <c r="AC826" t="str">
        <f t="shared" si="90"/>
        <v/>
      </c>
    </row>
    <row r="827" spans="1:29" x14ac:dyDescent="0.2">
      <c r="A827" t="str">
        <f>IF(OR(Entry!$B830="",Entry!$E830="",$E827="نامعتبر"),"",Entry!$E830)</f>
        <v/>
      </c>
      <c r="B827" t="str">
        <f>IF($A827="","",LEFT($E827,4)&amp;MID($E827,6,2)&amp;RIGHT($E827,2)&amp;$F827&amp;"|"&amp;"1"&amp;RIGHT("00000"&amp;822,5))</f>
        <v/>
      </c>
      <c r="C827" t="str">
        <f t="shared" si="84"/>
        <v/>
      </c>
      <c r="D827" t="str">
        <f t="shared" si="85"/>
        <v/>
      </c>
      <c r="E827" t="str">
        <f>IF(Entry!$B830="","",IF(ISNUMBER(Entry!$B830),IF(AND(Entry!$B830&gt;=10000101,Entry!$B830&lt;=99991231),INT(Entry!$B830/10000)&amp;"/"&amp;RIGHT("00"&amp;INT(MOD(Entry!$B830,10000)/100),2)&amp;"/"&amp;RIGHT("00"&amp;MOD(Entry!$B830,100),2),"نامعتبر"),IF(LEN(Entry!$B830)=10,Entry!$B830,"نامعتبر")))</f>
        <v/>
      </c>
      <c r="F827" t="str">
        <f>IF(Entry!$B830="","",IF(Entry!$C830="","0000",IF(AND(ISNUMBER(Entry!$C830),Entry!$C830&gt;=0,Entry!$C830&lt;1),RIGHT("00"&amp;HOUR(Entry!$C830),2)&amp;RIGHT("00"&amp;MINUTE(Entry!$C830),2),IFERROR(RIGHT("00"&amp;VALUE(LEFT(Entry!$C830,FIND(":",Entry!$C830)-1)),2)&amp;RIGHT("00"&amp;VALUE(MID(Entry!$C830,FIND(":",Entry!$C830)+1,2)),2),"0000"))))</f>
        <v/>
      </c>
      <c r="G827" t="str">
        <f>IF($A827="","",Entry!$G830)</f>
        <v/>
      </c>
      <c r="H827" t="str">
        <f>IF($A827="","",IF(Entry!$H830="",0,Entry!$H830))</f>
        <v/>
      </c>
      <c r="I827" t="str">
        <f>IF($A827="","",IF(Entry!$I830="",0,Entry!$I830))</f>
        <v/>
      </c>
      <c r="J827" t="str">
        <f t="shared" si="86"/>
        <v/>
      </c>
      <c r="K827" t="str">
        <f>IF($A827="","",Entry!$D830)</f>
        <v/>
      </c>
      <c r="L827" t="str">
        <f>IF($A827="","",Entry!$L830)</f>
        <v/>
      </c>
      <c r="N827" t="str">
        <f>IF(OR(Sync!$M827="",$Q827="",$Q827="نامعتبر"),"",Sync!$M827)</f>
        <v/>
      </c>
      <c r="O827" t="str">
        <f t="shared" si="87"/>
        <v/>
      </c>
      <c r="P827" t="str">
        <f>IF($N827="","",LEFT($Q827,4)&amp;MID($Q827,6,2)&amp;RIGHT($Q827,2)&amp;IF(Sync!$K827="","0000",IF(AND(ISNUMBER(Sync!$K827),Sync!$K827&gt;=0,Sync!$K827&lt;1),RIGHT("00"&amp;HOUR(Sync!$K827),2)&amp;RIGHT("00"&amp;MINUTE(Sync!$K827),2),IFERROR(RIGHT("00"&amp;VALUE(LEFT(Sync!$K827,FIND(":",Sync!$K827)-1)),2)&amp;RIGHT("00"&amp;VALUE(MID(Sync!$K827,FIND(":",Sync!$K827)+1,2)),2),"0000")))&amp;"|"&amp;"2"&amp;RIGHT("00000"&amp;822,5))</f>
        <v/>
      </c>
      <c r="Q827" t="str">
        <f>IF(Sync!$J827="","",IF(ISNUMBER(Sync!$J827),IF(AND(Sync!$J827&gt;=10000101,Sync!$J827&lt;=99991231),INT(Sync!$J827/10000)&amp;"/"&amp;RIGHT("00"&amp;INT(MOD(Sync!$J827,10000)/100),2)&amp;"/"&amp;RIGHT("00"&amp;MOD(Sync!$J827,100),2),"نامعتبر"),IF(LEN(Sync!$J827)=10,Sync!$J827,"نامعتبر")))</f>
        <v/>
      </c>
      <c r="R827" t="str">
        <f t="shared" si="88"/>
        <v/>
      </c>
      <c r="S827" t="str">
        <f t="shared" si="89"/>
        <v/>
      </c>
      <c r="T827" t="str">
        <f>IF($N827="","",IF(Sync!$N827="",0,Sync!$N827))</f>
        <v/>
      </c>
      <c r="U827" t="str">
        <f>IF($N827="","",IF(Sync!$O827="",0,Sync!$O827))</f>
        <v/>
      </c>
      <c r="V827" t="str">
        <f>IF($N827="","",Sync!$L827)</f>
        <v/>
      </c>
      <c r="W827" t="str">
        <f>IF($N827="","",Sync!$P827)</f>
        <v/>
      </c>
      <c r="AA827" t="str">
        <f>IF($A827="","",IF(COUNTIF($A$6:$A827,$A827)=1,1,0))</f>
        <v/>
      </c>
      <c r="AB827">
        <f>SUM($AA$6:$AA827)</f>
        <v>3</v>
      </c>
      <c r="AC827" t="str">
        <f t="shared" si="90"/>
        <v/>
      </c>
    </row>
    <row r="828" spans="1:29" x14ac:dyDescent="0.2">
      <c r="A828" t="str">
        <f>IF(OR(Entry!$B831="",Entry!$E831="",$E828="نامعتبر"),"",Entry!$E831)</f>
        <v/>
      </c>
      <c r="B828" t="str">
        <f>IF($A828="","",LEFT($E828,4)&amp;MID($E828,6,2)&amp;RIGHT($E828,2)&amp;$F828&amp;"|"&amp;"1"&amp;RIGHT("00000"&amp;823,5))</f>
        <v/>
      </c>
      <c r="C828" t="str">
        <f t="shared" si="84"/>
        <v/>
      </c>
      <c r="D828" t="str">
        <f t="shared" si="85"/>
        <v/>
      </c>
      <c r="E828" t="str">
        <f>IF(Entry!$B831="","",IF(ISNUMBER(Entry!$B831),IF(AND(Entry!$B831&gt;=10000101,Entry!$B831&lt;=99991231),INT(Entry!$B831/10000)&amp;"/"&amp;RIGHT("00"&amp;INT(MOD(Entry!$B831,10000)/100),2)&amp;"/"&amp;RIGHT("00"&amp;MOD(Entry!$B831,100),2),"نامعتبر"),IF(LEN(Entry!$B831)=10,Entry!$B831,"نامعتبر")))</f>
        <v/>
      </c>
      <c r="F828" t="str">
        <f>IF(Entry!$B831="","",IF(Entry!$C831="","0000",IF(AND(ISNUMBER(Entry!$C831),Entry!$C831&gt;=0,Entry!$C831&lt;1),RIGHT("00"&amp;HOUR(Entry!$C831),2)&amp;RIGHT("00"&amp;MINUTE(Entry!$C831),2),IFERROR(RIGHT("00"&amp;VALUE(LEFT(Entry!$C831,FIND(":",Entry!$C831)-1)),2)&amp;RIGHT("00"&amp;VALUE(MID(Entry!$C831,FIND(":",Entry!$C831)+1,2)),2),"0000"))))</f>
        <v/>
      </c>
      <c r="G828" t="str">
        <f>IF($A828="","",Entry!$G831)</f>
        <v/>
      </c>
      <c r="H828" t="str">
        <f>IF($A828="","",IF(Entry!$H831="",0,Entry!$H831))</f>
        <v/>
      </c>
      <c r="I828" t="str">
        <f>IF($A828="","",IF(Entry!$I831="",0,Entry!$I831))</f>
        <v/>
      </c>
      <c r="J828" t="str">
        <f t="shared" si="86"/>
        <v/>
      </c>
      <c r="K828" t="str">
        <f>IF($A828="","",Entry!$D831)</f>
        <v/>
      </c>
      <c r="L828" t="str">
        <f>IF($A828="","",Entry!$L831)</f>
        <v/>
      </c>
      <c r="N828" t="str">
        <f>IF(OR(Sync!$M828="",$Q828="",$Q828="نامعتبر"),"",Sync!$M828)</f>
        <v/>
      </c>
      <c r="O828" t="str">
        <f t="shared" si="87"/>
        <v/>
      </c>
      <c r="P828" t="str">
        <f>IF($N828="","",LEFT($Q828,4)&amp;MID($Q828,6,2)&amp;RIGHT($Q828,2)&amp;IF(Sync!$K828="","0000",IF(AND(ISNUMBER(Sync!$K828),Sync!$K828&gt;=0,Sync!$K828&lt;1),RIGHT("00"&amp;HOUR(Sync!$K828),2)&amp;RIGHT("00"&amp;MINUTE(Sync!$K828),2),IFERROR(RIGHT("00"&amp;VALUE(LEFT(Sync!$K828,FIND(":",Sync!$K828)-1)),2)&amp;RIGHT("00"&amp;VALUE(MID(Sync!$K828,FIND(":",Sync!$K828)+1,2)),2),"0000")))&amp;"|"&amp;"2"&amp;RIGHT("00000"&amp;823,5))</f>
        <v/>
      </c>
      <c r="Q828" t="str">
        <f>IF(Sync!$J828="","",IF(ISNUMBER(Sync!$J828),IF(AND(Sync!$J828&gt;=10000101,Sync!$J828&lt;=99991231),INT(Sync!$J828/10000)&amp;"/"&amp;RIGHT("00"&amp;INT(MOD(Sync!$J828,10000)/100),2)&amp;"/"&amp;RIGHT("00"&amp;MOD(Sync!$J828,100),2),"نامعتبر"),IF(LEN(Sync!$J828)=10,Sync!$J828,"نامعتبر")))</f>
        <v/>
      </c>
      <c r="R828" t="str">
        <f t="shared" si="88"/>
        <v/>
      </c>
      <c r="S828" t="str">
        <f t="shared" si="89"/>
        <v/>
      </c>
      <c r="T828" t="str">
        <f>IF($N828="","",IF(Sync!$N828="",0,Sync!$N828))</f>
        <v/>
      </c>
      <c r="U828" t="str">
        <f>IF($N828="","",IF(Sync!$O828="",0,Sync!$O828))</f>
        <v/>
      </c>
      <c r="V828" t="str">
        <f>IF($N828="","",Sync!$L828)</f>
        <v/>
      </c>
      <c r="W828" t="str">
        <f>IF($N828="","",Sync!$P828)</f>
        <v/>
      </c>
      <c r="AA828" t="str">
        <f>IF($A828="","",IF(COUNTIF($A$6:$A828,$A828)=1,1,0))</f>
        <v/>
      </c>
      <c r="AB828">
        <f>SUM($AA$6:$AA828)</f>
        <v>3</v>
      </c>
      <c r="AC828" t="str">
        <f t="shared" si="90"/>
        <v/>
      </c>
    </row>
    <row r="829" spans="1:29" x14ac:dyDescent="0.2">
      <c r="A829" t="str">
        <f>IF(OR(Entry!$B832="",Entry!$E832="",$E829="نامعتبر"),"",Entry!$E832)</f>
        <v/>
      </c>
      <c r="B829" t="str">
        <f>IF($A829="","",LEFT($E829,4)&amp;MID($E829,6,2)&amp;RIGHT($E829,2)&amp;$F829&amp;"|"&amp;"1"&amp;RIGHT("00000"&amp;824,5))</f>
        <v/>
      </c>
      <c r="C829" t="str">
        <f t="shared" si="84"/>
        <v/>
      </c>
      <c r="D829" t="str">
        <f t="shared" si="85"/>
        <v/>
      </c>
      <c r="E829" t="str">
        <f>IF(Entry!$B832="","",IF(ISNUMBER(Entry!$B832),IF(AND(Entry!$B832&gt;=10000101,Entry!$B832&lt;=99991231),INT(Entry!$B832/10000)&amp;"/"&amp;RIGHT("00"&amp;INT(MOD(Entry!$B832,10000)/100),2)&amp;"/"&amp;RIGHT("00"&amp;MOD(Entry!$B832,100),2),"نامعتبر"),IF(LEN(Entry!$B832)=10,Entry!$B832,"نامعتبر")))</f>
        <v/>
      </c>
      <c r="F829" t="str">
        <f>IF(Entry!$B832="","",IF(Entry!$C832="","0000",IF(AND(ISNUMBER(Entry!$C832),Entry!$C832&gt;=0,Entry!$C832&lt;1),RIGHT("00"&amp;HOUR(Entry!$C832),2)&amp;RIGHT("00"&amp;MINUTE(Entry!$C832),2),IFERROR(RIGHT("00"&amp;VALUE(LEFT(Entry!$C832,FIND(":",Entry!$C832)-1)),2)&amp;RIGHT("00"&amp;VALUE(MID(Entry!$C832,FIND(":",Entry!$C832)+1,2)),2),"0000"))))</f>
        <v/>
      </c>
      <c r="G829" t="str">
        <f>IF($A829="","",Entry!$G832)</f>
        <v/>
      </c>
      <c r="H829" t="str">
        <f>IF($A829="","",IF(Entry!$H832="",0,Entry!$H832))</f>
        <v/>
      </c>
      <c r="I829" t="str">
        <f>IF($A829="","",IF(Entry!$I832="",0,Entry!$I832))</f>
        <v/>
      </c>
      <c r="J829" t="str">
        <f t="shared" si="86"/>
        <v/>
      </c>
      <c r="K829" t="str">
        <f>IF($A829="","",Entry!$D832)</f>
        <v/>
      </c>
      <c r="L829" t="str">
        <f>IF($A829="","",Entry!$L832)</f>
        <v/>
      </c>
      <c r="N829" t="str">
        <f>IF(OR(Sync!$M829="",$Q829="",$Q829="نامعتبر"),"",Sync!$M829)</f>
        <v/>
      </c>
      <c r="O829" t="str">
        <f t="shared" si="87"/>
        <v/>
      </c>
      <c r="P829" t="str">
        <f>IF($N829="","",LEFT($Q829,4)&amp;MID($Q829,6,2)&amp;RIGHT($Q829,2)&amp;IF(Sync!$K829="","0000",IF(AND(ISNUMBER(Sync!$K829),Sync!$K829&gt;=0,Sync!$K829&lt;1),RIGHT("00"&amp;HOUR(Sync!$K829),2)&amp;RIGHT("00"&amp;MINUTE(Sync!$K829),2),IFERROR(RIGHT("00"&amp;VALUE(LEFT(Sync!$K829,FIND(":",Sync!$K829)-1)),2)&amp;RIGHT("00"&amp;VALUE(MID(Sync!$K829,FIND(":",Sync!$K829)+1,2)),2),"0000")))&amp;"|"&amp;"2"&amp;RIGHT("00000"&amp;824,5))</f>
        <v/>
      </c>
      <c r="Q829" t="str">
        <f>IF(Sync!$J829="","",IF(ISNUMBER(Sync!$J829),IF(AND(Sync!$J829&gt;=10000101,Sync!$J829&lt;=99991231),INT(Sync!$J829/10000)&amp;"/"&amp;RIGHT("00"&amp;INT(MOD(Sync!$J829,10000)/100),2)&amp;"/"&amp;RIGHT("00"&amp;MOD(Sync!$J829,100),2),"نامعتبر"),IF(LEN(Sync!$J829)=10,Sync!$J829,"نامعتبر")))</f>
        <v/>
      </c>
      <c r="R829" t="str">
        <f t="shared" si="88"/>
        <v/>
      </c>
      <c r="S829" t="str">
        <f t="shared" si="89"/>
        <v/>
      </c>
      <c r="T829" t="str">
        <f>IF($N829="","",IF(Sync!$N829="",0,Sync!$N829))</f>
        <v/>
      </c>
      <c r="U829" t="str">
        <f>IF($N829="","",IF(Sync!$O829="",0,Sync!$O829))</f>
        <v/>
      </c>
      <c r="V829" t="str">
        <f>IF($N829="","",Sync!$L829)</f>
        <v/>
      </c>
      <c r="W829" t="str">
        <f>IF($N829="","",Sync!$P829)</f>
        <v/>
      </c>
      <c r="AA829" t="str">
        <f>IF($A829="","",IF(COUNTIF($A$6:$A829,$A829)=1,1,0))</f>
        <v/>
      </c>
      <c r="AB829">
        <f>SUM($AA$6:$AA829)</f>
        <v>3</v>
      </c>
      <c r="AC829" t="str">
        <f t="shared" si="90"/>
        <v/>
      </c>
    </row>
    <row r="830" spans="1:29" x14ac:dyDescent="0.2">
      <c r="A830" t="str">
        <f>IF(OR(Entry!$B833="",Entry!$E833="",$E830="نامعتبر"),"",Entry!$E833)</f>
        <v/>
      </c>
      <c r="B830" t="str">
        <f>IF($A830="","",LEFT($E830,4)&amp;MID($E830,6,2)&amp;RIGHT($E830,2)&amp;$F830&amp;"|"&amp;"1"&amp;RIGHT("00000"&amp;825,5))</f>
        <v/>
      </c>
      <c r="C830" t="str">
        <f t="shared" si="84"/>
        <v/>
      </c>
      <c r="D830" t="str">
        <f t="shared" si="85"/>
        <v/>
      </c>
      <c r="E830" t="str">
        <f>IF(Entry!$B833="","",IF(ISNUMBER(Entry!$B833),IF(AND(Entry!$B833&gt;=10000101,Entry!$B833&lt;=99991231),INT(Entry!$B833/10000)&amp;"/"&amp;RIGHT("00"&amp;INT(MOD(Entry!$B833,10000)/100),2)&amp;"/"&amp;RIGHT("00"&amp;MOD(Entry!$B833,100),2),"نامعتبر"),IF(LEN(Entry!$B833)=10,Entry!$B833,"نامعتبر")))</f>
        <v/>
      </c>
      <c r="F830" t="str">
        <f>IF(Entry!$B833="","",IF(Entry!$C833="","0000",IF(AND(ISNUMBER(Entry!$C833),Entry!$C833&gt;=0,Entry!$C833&lt;1),RIGHT("00"&amp;HOUR(Entry!$C833),2)&amp;RIGHT("00"&amp;MINUTE(Entry!$C833),2),IFERROR(RIGHT("00"&amp;VALUE(LEFT(Entry!$C833,FIND(":",Entry!$C833)-1)),2)&amp;RIGHT("00"&amp;VALUE(MID(Entry!$C833,FIND(":",Entry!$C833)+1,2)),2),"0000"))))</f>
        <v/>
      </c>
      <c r="G830" t="str">
        <f>IF($A830="","",Entry!$G833)</f>
        <v/>
      </c>
      <c r="H830" t="str">
        <f>IF($A830="","",IF(Entry!$H833="",0,Entry!$H833))</f>
        <v/>
      </c>
      <c r="I830" t="str">
        <f>IF($A830="","",IF(Entry!$I833="",0,Entry!$I833))</f>
        <v/>
      </c>
      <c r="J830" t="str">
        <f t="shared" si="86"/>
        <v/>
      </c>
      <c r="K830" t="str">
        <f>IF($A830="","",Entry!$D833)</f>
        <v/>
      </c>
      <c r="L830" t="str">
        <f>IF($A830="","",Entry!$L833)</f>
        <v/>
      </c>
      <c r="N830" t="str">
        <f>IF(OR(Sync!$M830="",$Q830="",$Q830="نامعتبر"),"",Sync!$M830)</f>
        <v/>
      </c>
      <c r="O830" t="str">
        <f t="shared" si="87"/>
        <v/>
      </c>
      <c r="P830" t="str">
        <f>IF($N830="","",LEFT($Q830,4)&amp;MID($Q830,6,2)&amp;RIGHT($Q830,2)&amp;IF(Sync!$K830="","0000",IF(AND(ISNUMBER(Sync!$K830),Sync!$K830&gt;=0,Sync!$K830&lt;1),RIGHT("00"&amp;HOUR(Sync!$K830),2)&amp;RIGHT("00"&amp;MINUTE(Sync!$K830),2),IFERROR(RIGHT("00"&amp;VALUE(LEFT(Sync!$K830,FIND(":",Sync!$K830)-1)),2)&amp;RIGHT("00"&amp;VALUE(MID(Sync!$K830,FIND(":",Sync!$K830)+1,2)),2),"0000")))&amp;"|"&amp;"2"&amp;RIGHT("00000"&amp;825,5))</f>
        <v/>
      </c>
      <c r="Q830" t="str">
        <f>IF(Sync!$J830="","",IF(ISNUMBER(Sync!$J830),IF(AND(Sync!$J830&gt;=10000101,Sync!$J830&lt;=99991231),INT(Sync!$J830/10000)&amp;"/"&amp;RIGHT("00"&amp;INT(MOD(Sync!$J830,10000)/100),2)&amp;"/"&amp;RIGHT("00"&amp;MOD(Sync!$J830,100),2),"نامعتبر"),IF(LEN(Sync!$J830)=10,Sync!$J830,"نامعتبر")))</f>
        <v/>
      </c>
      <c r="R830" t="str">
        <f t="shared" si="88"/>
        <v/>
      </c>
      <c r="S830" t="str">
        <f t="shared" si="89"/>
        <v/>
      </c>
      <c r="T830" t="str">
        <f>IF($N830="","",IF(Sync!$N830="",0,Sync!$N830))</f>
        <v/>
      </c>
      <c r="U830" t="str">
        <f>IF($N830="","",IF(Sync!$O830="",0,Sync!$O830))</f>
        <v/>
      </c>
      <c r="V830" t="str">
        <f>IF($N830="","",Sync!$L830)</f>
        <v/>
      </c>
      <c r="W830" t="str">
        <f>IF($N830="","",Sync!$P830)</f>
        <v/>
      </c>
      <c r="AA830" t="str">
        <f>IF($A830="","",IF(COUNTIF($A$6:$A830,$A830)=1,1,0))</f>
        <v/>
      </c>
      <c r="AB830">
        <f>SUM($AA$6:$AA830)</f>
        <v>3</v>
      </c>
      <c r="AC830" t="str">
        <f t="shared" si="90"/>
        <v/>
      </c>
    </row>
    <row r="831" spans="1:29" x14ac:dyDescent="0.2">
      <c r="A831" t="str">
        <f>IF(OR(Entry!$B834="",Entry!$E834="",$E831="نامعتبر"),"",Entry!$E834)</f>
        <v/>
      </c>
      <c r="B831" t="str">
        <f>IF($A831="","",LEFT($E831,4)&amp;MID($E831,6,2)&amp;RIGHT($E831,2)&amp;$F831&amp;"|"&amp;"1"&amp;RIGHT("00000"&amp;826,5))</f>
        <v/>
      </c>
      <c r="C831" t="str">
        <f t="shared" si="84"/>
        <v/>
      </c>
      <c r="D831" t="str">
        <f t="shared" si="85"/>
        <v/>
      </c>
      <c r="E831" t="str">
        <f>IF(Entry!$B834="","",IF(ISNUMBER(Entry!$B834),IF(AND(Entry!$B834&gt;=10000101,Entry!$B834&lt;=99991231),INT(Entry!$B834/10000)&amp;"/"&amp;RIGHT("00"&amp;INT(MOD(Entry!$B834,10000)/100),2)&amp;"/"&amp;RIGHT("00"&amp;MOD(Entry!$B834,100),2),"نامعتبر"),IF(LEN(Entry!$B834)=10,Entry!$B834,"نامعتبر")))</f>
        <v/>
      </c>
      <c r="F831" t="str">
        <f>IF(Entry!$B834="","",IF(Entry!$C834="","0000",IF(AND(ISNUMBER(Entry!$C834),Entry!$C834&gt;=0,Entry!$C834&lt;1),RIGHT("00"&amp;HOUR(Entry!$C834),2)&amp;RIGHT("00"&amp;MINUTE(Entry!$C834),2),IFERROR(RIGHT("00"&amp;VALUE(LEFT(Entry!$C834,FIND(":",Entry!$C834)-1)),2)&amp;RIGHT("00"&amp;VALUE(MID(Entry!$C834,FIND(":",Entry!$C834)+1,2)),2),"0000"))))</f>
        <v/>
      </c>
      <c r="G831" t="str">
        <f>IF($A831="","",Entry!$G834)</f>
        <v/>
      </c>
      <c r="H831" t="str">
        <f>IF($A831="","",IF(Entry!$H834="",0,Entry!$H834))</f>
        <v/>
      </c>
      <c r="I831" t="str">
        <f>IF($A831="","",IF(Entry!$I834="",0,Entry!$I834))</f>
        <v/>
      </c>
      <c r="J831" t="str">
        <f t="shared" si="86"/>
        <v/>
      </c>
      <c r="K831" t="str">
        <f>IF($A831="","",Entry!$D834)</f>
        <v/>
      </c>
      <c r="L831" t="str">
        <f>IF($A831="","",Entry!$L834)</f>
        <v/>
      </c>
      <c r="N831" t="str">
        <f>IF(OR(Sync!$M831="",$Q831="",$Q831="نامعتبر"),"",Sync!$M831)</f>
        <v/>
      </c>
      <c r="O831" t="str">
        <f t="shared" si="87"/>
        <v/>
      </c>
      <c r="P831" t="str">
        <f>IF($N831="","",LEFT($Q831,4)&amp;MID($Q831,6,2)&amp;RIGHT($Q831,2)&amp;IF(Sync!$K831="","0000",IF(AND(ISNUMBER(Sync!$K831),Sync!$K831&gt;=0,Sync!$K831&lt;1),RIGHT("00"&amp;HOUR(Sync!$K831),2)&amp;RIGHT("00"&amp;MINUTE(Sync!$K831),2),IFERROR(RIGHT("00"&amp;VALUE(LEFT(Sync!$K831,FIND(":",Sync!$K831)-1)),2)&amp;RIGHT("00"&amp;VALUE(MID(Sync!$K831,FIND(":",Sync!$K831)+1,2)),2),"0000")))&amp;"|"&amp;"2"&amp;RIGHT("00000"&amp;826,5))</f>
        <v/>
      </c>
      <c r="Q831" t="str">
        <f>IF(Sync!$J831="","",IF(ISNUMBER(Sync!$J831),IF(AND(Sync!$J831&gt;=10000101,Sync!$J831&lt;=99991231),INT(Sync!$J831/10000)&amp;"/"&amp;RIGHT("00"&amp;INT(MOD(Sync!$J831,10000)/100),2)&amp;"/"&amp;RIGHT("00"&amp;MOD(Sync!$J831,100),2),"نامعتبر"),IF(LEN(Sync!$J831)=10,Sync!$J831,"نامعتبر")))</f>
        <v/>
      </c>
      <c r="R831" t="str">
        <f t="shared" si="88"/>
        <v/>
      </c>
      <c r="S831" t="str">
        <f t="shared" si="89"/>
        <v/>
      </c>
      <c r="T831" t="str">
        <f>IF($N831="","",IF(Sync!$N831="",0,Sync!$N831))</f>
        <v/>
      </c>
      <c r="U831" t="str">
        <f>IF($N831="","",IF(Sync!$O831="",0,Sync!$O831))</f>
        <v/>
      </c>
      <c r="V831" t="str">
        <f>IF($N831="","",Sync!$L831)</f>
        <v/>
      </c>
      <c r="W831" t="str">
        <f>IF($N831="","",Sync!$P831)</f>
        <v/>
      </c>
      <c r="AA831" t="str">
        <f>IF($A831="","",IF(COUNTIF($A$6:$A831,$A831)=1,1,0))</f>
        <v/>
      </c>
      <c r="AB831">
        <f>SUM($AA$6:$AA831)</f>
        <v>3</v>
      </c>
      <c r="AC831" t="str">
        <f t="shared" si="90"/>
        <v/>
      </c>
    </row>
    <row r="832" spans="1:29" x14ac:dyDescent="0.2">
      <c r="A832" t="str">
        <f>IF(OR(Entry!$B835="",Entry!$E835="",$E832="نامعتبر"),"",Entry!$E835)</f>
        <v/>
      </c>
      <c r="B832" t="str">
        <f>IF($A832="","",LEFT($E832,4)&amp;MID($E832,6,2)&amp;RIGHT($E832,2)&amp;$F832&amp;"|"&amp;"1"&amp;RIGHT("00000"&amp;827,5))</f>
        <v/>
      </c>
      <c r="C832" t="str">
        <f t="shared" si="84"/>
        <v/>
      </c>
      <c r="D832" t="str">
        <f t="shared" si="85"/>
        <v/>
      </c>
      <c r="E832" t="str">
        <f>IF(Entry!$B835="","",IF(ISNUMBER(Entry!$B835),IF(AND(Entry!$B835&gt;=10000101,Entry!$B835&lt;=99991231),INT(Entry!$B835/10000)&amp;"/"&amp;RIGHT("00"&amp;INT(MOD(Entry!$B835,10000)/100),2)&amp;"/"&amp;RIGHT("00"&amp;MOD(Entry!$B835,100),2),"نامعتبر"),IF(LEN(Entry!$B835)=10,Entry!$B835,"نامعتبر")))</f>
        <v/>
      </c>
      <c r="F832" t="str">
        <f>IF(Entry!$B835="","",IF(Entry!$C835="","0000",IF(AND(ISNUMBER(Entry!$C835),Entry!$C835&gt;=0,Entry!$C835&lt;1),RIGHT("00"&amp;HOUR(Entry!$C835),2)&amp;RIGHT("00"&amp;MINUTE(Entry!$C835),2),IFERROR(RIGHT("00"&amp;VALUE(LEFT(Entry!$C835,FIND(":",Entry!$C835)-1)),2)&amp;RIGHT("00"&amp;VALUE(MID(Entry!$C835,FIND(":",Entry!$C835)+1,2)),2),"0000"))))</f>
        <v/>
      </c>
      <c r="G832" t="str">
        <f>IF($A832="","",Entry!$G835)</f>
        <v/>
      </c>
      <c r="H832" t="str">
        <f>IF($A832="","",IF(Entry!$H835="",0,Entry!$H835))</f>
        <v/>
      </c>
      <c r="I832" t="str">
        <f>IF($A832="","",IF(Entry!$I835="",0,Entry!$I835))</f>
        <v/>
      </c>
      <c r="J832" t="str">
        <f t="shared" si="86"/>
        <v/>
      </c>
      <c r="K832" t="str">
        <f>IF($A832="","",Entry!$D835)</f>
        <v/>
      </c>
      <c r="L832" t="str">
        <f>IF($A832="","",Entry!$L835)</f>
        <v/>
      </c>
      <c r="N832" t="str">
        <f>IF(OR(Sync!$M832="",$Q832="",$Q832="نامعتبر"),"",Sync!$M832)</f>
        <v/>
      </c>
      <c r="O832" t="str">
        <f t="shared" si="87"/>
        <v/>
      </c>
      <c r="P832" t="str">
        <f>IF($N832="","",LEFT($Q832,4)&amp;MID($Q832,6,2)&amp;RIGHT($Q832,2)&amp;IF(Sync!$K832="","0000",IF(AND(ISNUMBER(Sync!$K832),Sync!$K832&gt;=0,Sync!$K832&lt;1),RIGHT("00"&amp;HOUR(Sync!$K832),2)&amp;RIGHT("00"&amp;MINUTE(Sync!$K832),2),IFERROR(RIGHT("00"&amp;VALUE(LEFT(Sync!$K832,FIND(":",Sync!$K832)-1)),2)&amp;RIGHT("00"&amp;VALUE(MID(Sync!$K832,FIND(":",Sync!$K832)+1,2)),2),"0000")))&amp;"|"&amp;"2"&amp;RIGHT("00000"&amp;827,5))</f>
        <v/>
      </c>
      <c r="Q832" t="str">
        <f>IF(Sync!$J832="","",IF(ISNUMBER(Sync!$J832),IF(AND(Sync!$J832&gt;=10000101,Sync!$J832&lt;=99991231),INT(Sync!$J832/10000)&amp;"/"&amp;RIGHT("00"&amp;INT(MOD(Sync!$J832,10000)/100),2)&amp;"/"&amp;RIGHT("00"&amp;MOD(Sync!$J832,100),2),"نامعتبر"),IF(LEN(Sync!$J832)=10,Sync!$J832,"نامعتبر")))</f>
        <v/>
      </c>
      <c r="R832" t="str">
        <f t="shared" si="88"/>
        <v/>
      </c>
      <c r="S832" t="str">
        <f t="shared" si="89"/>
        <v/>
      </c>
      <c r="T832" t="str">
        <f>IF($N832="","",IF(Sync!$N832="",0,Sync!$N832))</f>
        <v/>
      </c>
      <c r="U832" t="str">
        <f>IF($N832="","",IF(Sync!$O832="",0,Sync!$O832))</f>
        <v/>
      </c>
      <c r="V832" t="str">
        <f>IF($N832="","",Sync!$L832)</f>
        <v/>
      </c>
      <c r="W832" t="str">
        <f>IF($N832="","",Sync!$P832)</f>
        <v/>
      </c>
      <c r="AA832" t="str">
        <f>IF($A832="","",IF(COUNTIF($A$6:$A832,$A832)=1,1,0))</f>
        <v/>
      </c>
      <c r="AB832">
        <f>SUM($AA$6:$AA832)</f>
        <v>3</v>
      </c>
      <c r="AC832" t="str">
        <f t="shared" si="90"/>
        <v/>
      </c>
    </row>
    <row r="833" spans="1:29" x14ac:dyDescent="0.2">
      <c r="A833" t="str">
        <f>IF(OR(Entry!$B836="",Entry!$E836="",$E833="نامعتبر"),"",Entry!$E836)</f>
        <v/>
      </c>
      <c r="B833" t="str">
        <f>IF($A833="","",LEFT($E833,4)&amp;MID($E833,6,2)&amp;RIGHT($E833,2)&amp;$F833&amp;"|"&amp;"1"&amp;RIGHT("00000"&amp;828,5))</f>
        <v/>
      </c>
      <c r="C833" t="str">
        <f t="shared" si="84"/>
        <v/>
      </c>
      <c r="D833" t="str">
        <f t="shared" si="85"/>
        <v/>
      </c>
      <c r="E833" t="str">
        <f>IF(Entry!$B836="","",IF(ISNUMBER(Entry!$B836),IF(AND(Entry!$B836&gt;=10000101,Entry!$B836&lt;=99991231),INT(Entry!$B836/10000)&amp;"/"&amp;RIGHT("00"&amp;INT(MOD(Entry!$B836,10000)/100),2)&amp;"/"&amp;RIGHT("00"&amp;MOD(Entry!$B836,100),2),"نامعتبر"),IF(LEN(Entry!$B836)=10,Entry!$B836,"نامعتبر")))</f>
        <v/>
      </c>
      <c r="F833" t="str">
        <f>IF(Entry!$B836="","",IF(Entry!$C836="","0000",IF(AND(ISNUMBER(Entry!$C836),Entry!$C836&gt;=0,Entry!$C836&lt;1),RIGHT("00"&amp;HOUR(Entry!$C836),2)&amp;RIGHT("00"&amp;MINUTE(Entry!$C836),2),IFERROR(RIGHT("00"&amp;VALUE(LEFT(Entry!$C836,FIND(":",Entry!$C836)-1)),2)&amp;RIGHT("00"&amp;VALUE(MID(Entry!$C836,FIND(":",Entry!$C836)+1,2)),2),"0000"))))</f>
        <v/>
      </c>
      <c r="G833" t="str">
        <f>IF($A833="","",Entry!$G836)</f>
        <v/>
      </c>
      <c r="H833" t="str">
        <f>IF($A833="","",IF(Entry!$H836="",0,Entry!$H836))</f>
        <v/>
      </c>
      <c r="I833" t="str">
        <f>IF($A833="","",IF(Entry!$I836="",0,Entry!$I836))</f>
        <v/>
      </c>
      <c r="J833" t="str">
        <f t="shared" si="86"/>
        <v/>
      </c>
      <c r="K833" t="str">
        <f>IF($A833="","",Entry!$D836)</f>
        <v/>
      </c>
      <c r="L833" t="str">
        <f>IF($A833="","",Entry!$L836)</f>
        <v/>
      </c>
      <c r="N833" t="str">
        <f>IF(OR(Sync!$M833="",$Q833="",$Q833="نامعتبر"),"",Sync!$M833)</f>
        <v/>
      </c>
      <c r="O833" t="str">
        <f t="shared" si="87"/>
        <v/>
      </c>
      <c r="P833" t="str">
        <f>IF($N833="","",LEFT($Q833,4)&amp;MID($Q833,6,2)&amp;RIGHT($Q833,2)&amp;IF(Sync!$K833="","0000",IF(AND(ISNUMBER(Sync!$K833),Sync!$K833&gt;=0,Sync!$K833&lt;1),RIGHT("00"&amp;HOUR(Sync!$K833),2)&amp;RIGHT("00"&amp;MINUTE(Sync!$K833),2),IFERROR(RIGHT("00"&amp;VALUE(LEFT(Sync!$K833,FIND(":",Sync!$K833)-1)),2)&amp;RIGHT("00"&amp;VALUE(MID(Sync!$K833,FIND(":",Sync!$K833)+1,2)),2),"0000")))&amp;"|"&amp;"2"&amp;RIGHT("00000"&amp;828,5))</f>
        <v/>
      </c>
      <c r="Q833" t="str">
        <f>IF(Sync!$J833="","",IF(ISNUMBER(Sync!$J833),IF(AND(Sync!$J833&gt;=10000101,Sync!$J833&lt;=99991231),INT(Sync!$J833/10000)&amp;"/"&amp;RIGHT("00"&amp;INT(MOD(Sync!$J833,10000)/100),2)&amp;"/"&amp;RIGHT("00"&amp;MOD(Sync!$J833,100),2),"نامعتبر"),IF(LEN(Sync!$J833)=10,Sync!$J833,"نامعتبر")))</f>
        <v/>
      </c>
      <c r="R833" t="str">
        <f t="shared" si="88"/>
        <v/>
      </c>
      <c r="S833" t="str">
        <f t="shared" si="89"/>
        <v/>
      </c>
      <c r="T833" t="str">
        <f>IF($N833="","",IF(Sync!$N833="",0,Sync!$N833))</f>
        <v/>
      </c>
      <c r="U833" t="str">
        <f>IF($N833="","",IF(Sync!$O833="",0,Sync!$O833))</f>
        <v/>
      </c>
      <c r="V833" t="str">
        <f>IF($N833="","",Sync!$L833)</f>
        <v/>
      </c>
      <c r="W833" t="str">
        <f>IF($N833="","",Sync!$P833)</f>
        <v/>
      </c>
      <c r="AA833" t="str">
        <f>IF($A833="","",IF(COUNTIF($A$6:$A833,$A833)=1,1,0))</f>
        <v/>
      </c>
      <c r="AB833">
        <f>SUM($AA$6:$AA833)</f>
        <v>3</v>
      </c>
      <c r="AC833" t="str">
        <f t="shared" si="90"/>
        <v/>
      </c>
    </row>
    <row r="834" spans="1:29" x14ac:dyDescent="0.2">
      <c r="A834" t="str">
        <f>IF(OR(Entry!$B837="",Entry!$E837="",$E834="نامعتبر"),"",Entry!$E837)</f>
        <v/>
      </c>
      <c r="B834" t="str">
        <f>IF($A834="","",LEFT($E834,4)&amp;MID($E834,6,2)&amp;RIGHT($E834,2)&amp;$F834&amp;"|"&amp;"1"&amp;RIGHT("00000"&amp;829,5))</f>
        <v/>
      </c>
      <c r="C834" t="str">
        <f t="shared" si="84"/>
        <v/>
      </c>
      <c r="D834" t="str">
        <f t="shared" si="85"/>
        <v/>
      </c>
      <c r="E834" t="str">
        <f>IF(Entry!$B837="","",IF(ISNUMBER(Entry!$B837),IF(AND(Entry!$B837&gt;=10000101,Entry!$B837&lt;=99991231),INT(Entry!$B837/10000)&amp;"/"&amp;RIGHT("00"&amp;INT(MOD(Entry!$B837,10000)/100),2)&amp;"/"&amp;RIGHT("00"&amp;MOD(Entry!$B837,100),2),"نامعتبر"),IF(LEN(Entry!$B837)=10,Entry!$B837,"نامعتبر")))</f>
        <v/>
      </c>
      <c r="F834" t="str">
        <f>IF(Entry!$B837="","",IF(Entry!$C837="","0000",IF(AND(ISNUMBER(Entry!$C837),Entry!$C837&gt;=0,Entry!$C837&lt;1),RIGHT("00"&amp;HOUR(Entry!$C837),2)&amp;RIGHT("00"&amp;MINUTE(Entry!$C837),2),IFERROR(RIGHT("00"&amp;VALUE(LEFT(Entry!$C837,FIND(":",Entry!$C837)-1)),2)&amp;RIGHT("00"&amp;VALUE(MID(Entry!$C837,FIND(":",Entry!$C837)+1,2)),2),"0000"))))</f>
        <v/>
      </c>
      <c r="G834" t="str">
        <f>IF($A834="","",Entry!$G837)</f>
        <v/>
      </c>
      <c r="H834" t="str">
        <f>IF($A834="","",IF(Entry!$H837="",0,Entry!$H837))</f>
        <v/>
      </c>
      <c r="I834" t="str">
        <f>IF($A834="","",IF(Entry!$I837="",0,Entry!$I837))</f>
        <v/>
      </c>
      <c r="J834" t="str">
        <f t="shared" si="86"/>
        <v/>
      </c>
      <c r="K834" t="str">
        <f>IF($A834="","",Entry!$D837)</f>
        <v/>
      </c>
      <c r="L834" t="str">
        <f>IF($A834="","",Entry!$L837)</f>
        <v/>
      </c>
      <c r="N834" t="str">
        <f>IF(OR(Sync!$M834="",$Q834="",$Q834="نامعتبر"),"",Sync!$M834)</f>
        <v/>
      </c>
      <c r="O834" t="str">
        <f t="shared" si="87"/>
        <v/>
      </c>
      <c r="P834" t="str">
        <f>IF($N834="","",LEFT($Q834,4)&amp;MID($Q834,6,2)&amp;RIGHT($Q834,2)&amp;IF(Sync!$K834="","0000",IF(AND(ISNUMBER(Sync!$K834),Sync!$K834&gt;=0,Sync!$K834&lt;1),RIGHT("00"&amp;HOUR(Sync!$K834),2)&amp;RIGHT("00"&amp;MINUTE(Sync!$K834),2),IFERROR(RIGHT("00"&amp;VALUE(LEFT(Sync!$K834,FIND(":",Sync!$K834)-1)),2)&amp;RIGHT("00"&amp;VALUE(MID(Sync!$K834,FIND(":",Sync!$K834)+1,2)),2),"0000")))&amp;"|"&amp;"2"&amp;RIGHT("00000"&amp;829,5))</f>
        <v/>
      </c>
      <c r="Q834" t="str">
        <f>IF(Sync!$J834="","",IF(ISNUMBER(Sync!$J834),IF(AND(Sync!$J834&gt;=10000101,Sync!$J834&lt;=99991231),INT(Sync!$J834/10000)&amp;"/"&amp;RIGHT("00"&amp;INT(MOD(Sync!$J834,10000)/100),2)&amp;"/"&amp;RIGHT("00"&amp;MOD(Sync!$J834,100),2),"نامعتبر"),IF(LEN(Sync!$J834)=10,Sync!$J834,"نامعتبر")))</f>
        <v/>
      </c>
      <c r="R834" t="str">
        <f t="shared" si="88"/>
        <v/>
      </c>
      <c r="S834" t="str">
        <f t="shared" si="89"/>
        <v/>
      </c>
      <c r="T834" t="str">
        <f>IF($N834="","",IF(Sync!$N834="",0,Sync!$N834))</f>
        <v/>
      </c>
      <c r="U834" t="str">
        <f>IF($N834="","",IF(Sync!$O834="",0,Sync!$O834))</f>
        <v/>
      </c>
      <c r="V834" t="str">
        <f>IF($N834="","",Sync!$L834)</f>
        <v/>
      </c>
      <c r="W834" t="str">
        <f>IF($N834="","",Sync!$P834)</f>
        <v/>
      </c>
      <c r="AA834" t="str">
        <f>IF($A834="","",IF(COUNTIF($A$6:$A834,$A834)=1,1,0))</f>
        <v/>
      </c>
      <c r="AB834">
        <f>SUM($AA$6:$AA834)</f>
        <v>3</v>
      </c>
      <c r="AC834" t="str">
        <f t="shared" si="90"/>
        <v/>
      </c>
    </row>
    <row r="835" spans="1:29" x14ac:dyDescent="0.2">
      <c r="A835" t="str">
        <f>IF(OR(Entry!$B838="",Entry!$E838="",$E835="نامعتبر"),"",Entry!$E838)</f>
        <v/>
      </c>
      <c r="B835" t="str">
        <f>IF($A835="","",LEFT($E835,4)&amp;MID($E835,6,2)&amp;RIGHT($E835,2)&amp;$F835&amp;"|"&amp;"1"&amp;RIGHT("00000"&amp;830,5))</f>
        <v/>
      </c>
      <c r="C835" t="str">
        <f t="shared" si="84"/>
        <v/>
      </c>
      <c r="D835" t="str">
        <f t="shared" si="85"/>
        <v/>
      </c>
      <c r="E835" t="str">
        <f>IF(Entry!$B838="","",IF(ISNUMBER(Entry!$B838),IF(AND(Entry!$B838&gt;=10000101,Entry!$B838&lt;=99991231),INT(Entry!$B838/10000)&amp;"/"&amp;RIGHT("00"&amp;INT(MOD(Entry!$B838,10000)/100),2)&amp;"/"&amp;RIGHT("00"&amp;MOD(Entry!$B838,100),2),"نامعتبر"),IF(LEN(Entry!$B838)=10,Entry!$B838,"نامعتبر")))</f>
        <v/>
      </c>
      <c r="F835" t="str">
        <f>IF(Entry!$B838="","",IF(Entry!$C838="","0000",IF(AND(ISNUMBER(Entry!$C838),Entry!$C838&gt;=0,Entry!$C838&lt;1),RIGHT("00"&amp;HOUR(Entry!$C838),2)&amp;RIGHT("00"&amp;MINUTE(Entry!$C838),2),IFERROR(RIGHT("00"&amp;VALUE(LEFT(Entry!$C838,FIND(":",Entry!$C838)-1)),2)&amp;RIGHT("00"&amp;VALUE(MID(Entry!$C838,FIND(":",Entry!$C838)+1,2)),2),"0000"))))</f>
        <v/>
      </c>
      <c r="G835" t="str">
        <f>IF($A835="","",Entry!$G838)</f>
        <v/>
      </c>
      <c r="H835" t="str">
        <f>IF($A835="","",IF(Entry!$H838="",0,Entry!$H838))</f>
        <v/>
      </c>
      <c r="I835" t="str">
        <f>IF($A835="","",IF(Entry!$I838="",0,Entry!$I838))</f>
        <v/>
      </c>
      <c r="J835" t="str">
        <f t="shared" si="86"/>
        <v/>
      </c>
      <c r="K835" t="str">
        <f>IF($A835="","",Entry!$D838)</f>
        <v/>
      </c>
      <c r="L835" t="str">
        <f>IF($A835="","",Entry!$L838)</f>
        <v/>
      </c>
      <c r="N835" t="str">
        <f>IF(OR(Sync!$M835="",$Q835="",$Q835="نامعتبر"),"",Sync!$M835)</f>
        <v/>
      </c>
      <c r="O835" t="str">
        <f t="shared" si="87"/>
        <v/>
      </c>
      <c r="P835" t="str">
        <f>IF($N835="","",LEFT($Q835,4)&amp;MID($Q835,6,2)&amp;RIGHT($Q835,2)&amp;IF(Sync!$K835="","0000",IF(AND(ISNUMBER(Sync!$K835),Sync!$K835&gt;=0,Sync!$K835&lt;1),RIGHT("00"&amp;HOUR(Sync!$K835),2)&amp;RIGHT("00"&amp;MINUTE(Sync!$K835),2),IFERROR(RIGHT("00"&amp;VALUE(LEFT(Sync!$K835,FIND(":",Sync!$K835)-1)),2)&amp;RIGHT("00"&amp;VALUE(MID(Sync!$K835,FIND(":",Sync!$K835)+1,2)),2),"0000")))&amp;"|"&amp;"2"&amp;RIGHT("00000"&amp;830,5))</f>
        <v/>
      </c>
      <c r="Q835" t="str">
        <f>IF(Sync!$J835="","",IF(ISNUMBER(Sync!$J835),IF(AND(Sync!$J835&gt;=10000101,Sync!$J835&lt;=99991231),INT(Sync!$J835/10000)&amp;"/"&amp;RIGHT("00"&amp;INT(MOD(Sync!$J835,10000)/100),2)&amp;"/"&amp;RIGHT("00"&amp;MOD(Sync!$J835,100),2),"نامعتبر"),IF(LEN(Sync!$J835)=10,Sync!$J835,"نامعتبر")))</f>
        <v/>
      </c>
      <c r="R835" t="str">
        <f t="shared" si="88"/>
        <v/>
      </c>
      <c r="S835" t="str">
        <f t="shared" si="89"/>
        <v/>
      </c>
      <c r="T835" t="str">
        <f>IF($N835="","",IF(Sync!$N835="",0,Sync!$N835))</f>
        <v/>
      </c>
      <c r="U835" t="str">
        <f>IF($N835="","",IF(Sync!$O835="",0,Sync!$O835))</f>
        <v/>
      </c>
      <c r="V835" t="str">
        <f>IF($N835="","",Sync!$L835)</f>
        <v/>
      </c>
      <c r="W835" t="str">
        <f>IF($N835="","",Sync!$P835)</f>
        <v/>
      </c>
      <c r="AA835" t="str">
        <f>IF($A835="","",IF(COUNTIF($A$6:$A835,$A835)=1,1,0))</f>
        <v/>
      </c>
      <c r="AB835">
        <f>SUM($AA$6:$AA835)</f>
        <v>3</v>
      </c>
      <c r="AC835" t="str">
        <f t="shared" si="90"/>
        <v/>
      </c>
    </row>
    <row r="836" spans="1:29" x14ac:dyDescent="0.2">
      <c r="A836" t="str">
        <f>IF(OR(Entry!$B839="",Entry!$E839="",$E836="نامعتبر"),"",Entry!$E839)</f>
        <v/>
      </c>
      <c r="B836" t="str">
        <f>IF($A836="","",LEFT($E836,4)&amp;MID($E836,6,2)&amp;RIGHT($E836,2)&amp;$F836&amp;"|"&amp;"1"&amp;RIGHT("00000"&amp;831,5))</f>
        <v/>
      </c>
      <c r="C836" t="str">
        <f t="shared" si="84"/>
        <v/>
      </c>
      <c r="D836" t="str">
        <f t="shared" si="85"/>
        <v/>
      </c>
      <c r="E836" t="str">
        <f>IF(Entry!$B839="","",IF(ISNUMBER(Entry!$B839),IF(AND(Entry!$B839&gt;=10000101,Entry!$B839&lt;=99991231),INT(Entry!$B839/10000)&amp;"/"&amp;RIGHT("00"&amp;INT(MOD(Entry!$B839,10000)/100),2)&amp;"/"&amp;RIGHT("00"&amp;MOD(Entry!$B839,100),2),"نامعتبر"),IF(LEN(Entry!$B839)=10,Entry!$B839,"نامعتبر")))</f>
        <v/>
      </c>
      <c r="F836" t="str">
        <f>IF(Entry!$B839="","",IF(Entry!$C839="","0000",IF(AND(ISNUMBER(Entry!$C839),Entry!$C839&gt;=0,Entry!$C839&lt;1),RIGHT("00"&amp;HOUR(Entry!$C839),2)&amp;RIGHT("00"&amp;MINUTE(Entry!$C839),2),IFERROR(RIGHT("00"&amp;VALUE(LEFT(Entry!$C839,FIND(":",Entry!$C839)-1)),2)&amp;RIGHT("00"&amp;VALUE(MID(Entry!$C839,FIND(":",Entry!$C839)+1,2)),2),"0000"))))</f>
        <v/>
      </c>
      <c r="G836" t="str">
        <f>IF($A836="","",Entry!$G839)</f>
        <v/>
      </c>
      <c r="H836" t="str">
        <f>IF($A836="","",IF(Entry!$H839="",0,Entry!$H839))</f>
        <v/>
      </c>
      <c r="I836" t="str">
        <f>IF($A836="","",IF(Entry!$I839="",0,Entry!$I839))</f>
        <v/>
      </c>
      <c r="J836" t="str">
        <f t="shared" si="86"/>
        <v/>
      </c>
      <c r="K836" t="str">
        <f>IF($A836="","",Entry!$D839)</f>
        <v/>
      </c>
      <c r="L836" t="str">
        <f>IF($A836="","",Entry!$L839)</f>
        <v/>
      </c>
      <c r="N836" t="str">
        <f>IF(OR(Sync!$M836="",$Q836="",$Q836="نامعتبر"),"",Sync!$M836)</f>
        <v/>
      </c>
      <c r="O836" t="str">
        <f t="shared" si="87"/>
        <v/>
      </c>
      <c r="P836" t="str">
        <f>IF($N836="","",LEFT($Q836,4)&amp;MID($Q836,6,2)&amp;RIGHT($Q836,2)&amp;IF(Sync!$K836="","0000",IF(AND(ISNUMBER(Sync!$K836),Sync!$K836&gt;=0,Sync!$K836&lt;1),RIGHT("00"&amp;HOUR(Sync!$K836),2)&amp;RIGHT("00"&amp;MINUTE(Sync!$K836),2),IFERROR(RIGHT("00"&amp;VALUE(LEFT(Sync!$K836,FIND(":",Sync!$K836)-1)),2)&amp;RIGHT("00"&amp;VALUE(MID(Sync!$K836,FIND(":",Sync!$K836)+1,2)),2),"0000")))&amp;"|"&amp;"2"&amp;RIGHT("00000"&amp;831,5))</f>
        <v/>
      </c>
      <c r="Q836" t="str">
        <f>IF(Sync!$J836="","",IF(ISNUMBER(Sync!$J836),IF(AND(Sync!$J836&gt;=10000101,Sync!$J836&lt;=99991231),INT(Sync!$J836/10000)&amp;"/"&amp;RIGHT("00"&amp;INT(MOD(Sync!$J836,10000)/100),2)&amp;"/"&amp;RIGHT("00"&amp;MOD(Sync!$J836,100),2),"نامعتبر"),IF(LEN(Sync!$J836)=10,Sync!$J836,"نامعتبر")))</f>
        <v/>
      </c>
      <c r="R836" t="str">
        <f t="shared" si="88"/>
        <v/>
      </c>
      <c r="S836" t="str">
        <f t="shared" si="89"/>
        <v/>
      </c>
      <c r="T836" t="str">
        <f>IF($N836="","",IF(Sync!$N836="",0,Sync!$N836))</f>
        <v/>
      </c>
      <c r="U836" t="str">
        <f>IF($N836="","",IF(Sync!$O836="",0,Sync!$O836))</f>
        <v/>
      </c>
      <c r="V836" t="str">
        <f>IF($N836="","",Sync!$L836)</f>
        <v/>
      </c>
      <c r="W836" t="str">
        <f>IF($N836="","",Sync!$P836)</f>
        <v/>
      </c>
      <c r="AA836" t="str">
        <f>IF($A836="","",IF(COUNTIF($A$6:$A836,$A836)=1,1,0))</f>
        <v/>
      </c>
      <c r="AB836">
        <f>SUM($AA$6:$AA836)</f>
        <v>3</v>
      </c>
      <c r="AC836" t="str">
        <f t="shared" si="90"/>
        <v/>
      </c>
    </row>
    <row r="837" spans="1:29" x14ac:dyDescent="0.2">
      <c r="A837" t="str">
        <f>IF(OR(Entry!$B840="",Entry!$E840="",$E837="نامعتبر"),"",Entry!$E840)</f>
        <v/>
      </c>
      <c r="B837" t="str">
        <f>IF($A837="","",LEFT($E837,4)&amp;MID($E837,6,2)&amp;RIGHT($E837,2)&amp;$F837&amp;"|"&amp;"1"&amp;RIGHT("00000"&amp;832,5))</f>
        <v/>
      </c>
      <c r="C837" t="str">
        <f t="shared" si="84"/>
        <v/>
      </c>
      <c r="D837" t="str">
        <f t="shared" si="85"/>
        <v/>
      </c>
      <c r="E837" t="str">
        <f>IF(Entry!$B840="","",IF(ISNUMBER(Entry!$B840),IF(AND(Entry!$B840&gt;=10000101,Entry!$B840&lt;=99991231),INT(Entry!$B840/10000)&amp;"/"&amp;RIGHT("00"&amp;INT(MOD(Entry!$B840,10000)/100),2)&amp;"/"&amp;RIGHT("00"&amp;MOD(Entry!$B840,100),2),"نامعتبر"),IF(LEN(Entry!$B840)=10,Entry!$B840,"نامعتبر")))</f>
        <v/>
      </c>
      <c r="F837" t="str">
        <f>IF(Entry!$B840="","",IF(Entry!$C840="","0000",IF(AND(ISNUMBER(Entry!$C840),Entry!$C840&gt;=0,Entry!$C840&lt;1),RIGHT("00"&amp;HOUR(Entry!$C840),2)&amp;RIGHT("00"&amp;MINUTE(Entry!$C840),2),IFERROR(RIGHT("00"&amp;VALUE(LEFT(Entry!$C840,FIND(":",Entry!$C840)-1)),2)&amp;RIGHT("00"&amp;VALUE(MID(Entry!$C840,FIND(":",Entry!$C840)+1,2)),2),"0000"))))</f>
        <v/>
      </c>
      <c r="G837" t="str">
        <f>IF($A837="","",Entry!$G840)</f>
        <v/>
      </c>
      <c r="H837" t="str">
        <f>IF($A837="","",IF(Entry!$H840="",0,Entry!$H840))</f>
        <v/>
      </c>
      <c r="I837" t="str">
        <f>IF($A837="","",IF(Entry!$I840="",0,Entry!$I840))</f>
        <v/>
      </c>
      <c r="J837" t="str">
        <f t="shared" si="86"/>
        <v/>
      </c>
      <c r="K837" t="str">
        <f>IF($A837="","",Entry!$D840)</f>
        <v/>
      </c>
      <c r="L837" t="str">
        <f>IF($A837="","",Entry!$L840)</f>
        <v/>
      </c>
      <c r="N837" t="str">
        <f>IF(OR(Sync!$M837="",$Q837="",$Q837="نامعتبر"),"",Sync!$M837)</f>
        <v/>
      </c>
      <c r="O837" t="str">
        <f t="shared" si="87"/>
        <v/>
      </c>
      <c r="P837" t="str">
        <f>IF($N837="","",LEFT($Q837,4)&amp;MID($Q837,6,2)&amp;RIGHT($Q837,2)&amp;IF(Sync!$K837="","0000",IF(AND(ISNUMBER(Sync!$K837),Sync!$K837&gt;=0,Sync!$K837&lt;1),RIGHT("00"&amp;HOUR(Sync!$K837),2)&amp;RIGHT("00"&amp;MINUTE(Sync!$K837),2),IFERROR(RIGHT("00"&amp;VALUE(LEFT(Sync!$K837,FIND(":",Sync!$K837)-1)),2)&amp;RIGHT("00"&amp;VALUE(MID(Sync!$K837,FIND(":",Sync!$K837)+1,2)),2),"0000")))&amp;"|"&amp;"2"&amp;RIGHT("00000"&amp;832,5))</f>
        <v/>
      </c>
      <c r="Q837" t="str">
        <f>IF(Sync!$J837="","",IF(ISNUMBER(Sync!$J837),IF(AND(Sync!$J837&gt;=10000101,Sync!$J837&lt;=99991231),INT(Sync!$J837/10000)&amp;"/"&amp;RIGHT("00"&amp;INT(MOD(Sync!$J837,10000)/100),2)&amp;"/"&amp;RIGHT("00"&amp;MOD(Sync!$J837,100),2),"نامعتبر"),IF(LEN(Sync!$J837)=10,Sync!$J837,"نامعتبر")))</f>
        <v/>
      </c>
      <c r="R837" t="str">
        <f t="shared" si="88"/>
        <v/>
      </c>
      <c r="S837" t="str">
        <f t="shared" si="89"/>
        <v/>
      </c>
      <c r="T837" t="str">
        <f>IF($N837="","",IF(Sync!$N837="",0,Sync!$N837))</f>
        <v/>
      </c>
      <c r="U837" t="str">
        <f>IF($N837="","",IF(Sync!$O837="",0,Sync!$O837))</f>
        <v/>
      </c>
      <c r="V837" t="str">
        <f>IF($N837="","",Sync!$L837)</f>
        <v/>
      </c>
      <c r="W837" t="str">
        <f>IF($N837="","",Sync!$P837)</f>
        <v/>
      </c>
      <c r="AA837" t="str">
        <f>IF($A837="","",IF(COUNTIF($A$6:$A837,$A837)=1,1,0))</f>
        <v/>
      </c>
      <c r="AB837">
        <f>SUM($AA$6:$AA837)</f>
        <v>3</v>
      </c>
      <c r="AC837" t="str">
        <f t="shared" si="90"/>
        <v/>
      </c>
    </row>
    <row r="838" spans="1:29" x14ac:dyDescent="0.2">
      <c r="A838" t="str">
        <f>IF(OR(Entry!$B841="",Entry!$E841="",$E838="نامعتبر"),"",Entry!$E841)</f>
        <v/>
      </c>
      <c r="B838" t="str">
        <f>IF($A838="","",LEFT($E838,4)&amp;MID($E838,6,2)&amp;RIGHT($E838,2)&amp;$F838&amp;"|"&amp;"1"&amp;RIGHT("00000"&amp;833,5))</f>
        <v/>
      </c>
      <c r="C838" t="str">
        <f t="shared" ref="C838:C901" si="91">IF($B838="","",COUNTIFS($A$6:$A$1005,$A838,$B$6:$B$1005,"&lt;"&amp;$B838)+COUNTIFS($N$6:$N$2005,$A838,$P$6:$P$2005,"&lt;"&amp;$B838)+1)</f>
        <v/>
      </c>
      <c r="D838" t="str">
        <f t="shared" ref="D838:D901" si="92">IF($C838="","",$A838&amp;"|"&amp;RIGHT("000000"&amp;$C838,6))</f>
        <v/>
      </c>
      <c r="E838" t="str">
        <f>IF(Entry!$B841="","",IF(ISNUMBER(Entry!$B841),IF(AND(Entry!$B841&gt;=10000101,Entry!$B841&lt;=99991231),INT(Entry!$B841/10000)&amp;"/"&amp;RIGHT("00"&amp;INT(MOD(Entry!$B841,10000)/100),2)&amp;"/"&amp;RIGHT("00"&amp;MOD(Entry!$B841,100),2),"نامعتبر"),IF(LEN(Entry!$B841)=10,Entry!$B841,"نامعتبر")))</f>
        <v/>
      </c>
      <c r="F838" t="str">
        <f>IF(Entry!$B841="","",IF(Entry!$C841="","0000",IF(AND(ISNUMBER(Entry!$C841),Entry!$C841&gt;=0,Entry!$C841&lt;1),RIGHT("00"&amp;HOUR(Entry!$C841),2)&amp;RIGHT("00"&amp;MINUTE(Entry!$C841),2),IFERROR(RIGHT("00"&amp;VALUE(LEFT(Entry!$C841,FIND(":",Entry!$C841)-1)),2)&amp;RIGHT("00"&amp;VALUE(MID(Entry!$C841,FIND(":",Entry!$C841)+1,2)),2),"0000"))))</f>
        <v/>
      </c>
      <c r="G838" t="str">
        <f>IF($A838="","",Entry!$G841)</f>
        <v/>
      </c>
      <c r="H838" t="str">
        <f>IF($A838="","",IF(Entry!$H841="",0,Entry!$H841))</f>
        <v/>
      </c>
      <c r="I838" t="str">
        <f>IF($A838="","",IF(Entry!$I841="",0,Entry!$I841))</f>
        <v/>
      </c>
      <c r="J838" t="str">
        <f t="shared" ref="J838:J901" si="93">IF($A838="","",ROUND($H838*$I838,0))</f>
        <v/>
      </c>
      <c r="K838" t="str">
        <f>IF($A838="","",Entry!$D841)</f>
        <v/>
      </c>
      <c r="L838" t="str">
        <f>IF($A838="","",Entry!$L841)</f>
        <v/>
      </c>
      <c r="N838" t="str">
        <f>IF(OR(Sync!$M838="",$Q838="",$Q838="نامعتبر"),"",Sync!$M838)</f>
        <v/>
      </c>
      <c r="O838" t="str">
        <f t="shared" ref="O838:O901" si="94">IF($N838="","",$Q838)</f>
        <v/>
      </c>
      <c r="P838" t="str">
        <f>IF($N838="","",LEFT($Q838,4)&amp;MID($Q838,6,2)&amp;RIGHT($Q838,2)&amp;IF(Sync!$K838="","0000",IF(AND(ISNUMBER(Sync!$K838),Sync!$K838&gt;=0,Sync!$K838&lt;1),RIGHT("00"&amp;HOUR(Sync!$K838),2)&amp;RIGHT("00"&amp;MINUTE(Sync!$K838),2),IFERROR(RIGHT("00"&amp;VALUE(LEFT(Sync!$K838,FIND(":",Sync!$K838)-1)),2)&amp;RIGHT("00"&amp;VALUE(MID(Sync!$K838,FIND(":",Sync!$K838)+1,2)),2),"0000")))&amp;"|"&amp;"2"&amp;RIGHT("00000"&amp;833,5))</f>
        <v/>
      </c>
      <c r="Q838" t="str">
        <f>IF(Sync!$J838="","",IF(ISNUMBER(Sync!$J838),IF(AND(Sync!$J838&gt;=10000101,Sync!$J838&lt;=99991231),INT(Sync!$J838/10000)&amp;"/"&amp;RIGHT("00"&amp;INT(MOD(Sync!$J838,10000)/100),2)&amp;"/"&amp;RIGHT("00"&amp;MOD(Sync!$J838,100),2),"نامعتبر"),IF(LEN(Sync!$J838)=10,Sync!$J838,"نامعتبر")))</f>
        <v/>
      </c>
      <c r="R838" t="str">
        <f t="shared" ref="R838:R901" si="95">IF($P838="","",COUNTIFS($N$6:$N$2005,$N838,$P$6:$P$2005,"&lt;"&amp;$P838)+COUNTIFS($A$6:$A$1005,$N838,$B$6:$B$1005,"&lt;"&amp;$P838)+1)</f>
        <v/>
      </c>
      <c r="S838" t="str">
        <f t="shared" ref="S838:S901" si="96">IF($N838="","",$N838&amp;"|"&amp;RIGHT("000000"&amp;$R838,6))</f>
        <v/>
      </c>
      <c r="T838" t="str">
        <f>IF($N838="","",IF(Sync!$N838="",0,Sync!$N838))</f>
        <v/>
      </c>
      <c r="U838" t="str">
        <f>IF($N838="","",IF(Sync!$O838="",0,Sync!$O838))</f>
        <v/>
      </c>
      <c r="V838" t="str">
        <f>IF($N838="","",Sync!$L838)</f>
        <v/>
      </c>
      <c r="W838" t="str">
        <f>IF($N838="","",Sync!$P838)</f>
        <v/>
      </c>
      <c r="AA838" t="str">
        <f>IF($A838="","",IF(COUNTIF($A$6:$A838,$A838)=1,1,0))</f>
        <v/>
      </c>
      <c r="AB838">
        <f>SUM($AA$6:$AA838)</f>
        <v>3</v>
      </c>
      <c r="AC838" t="str">
        <f t="shared" ref="AC838:AC901" si="97">IFERROR(INDEX($A$6:$A$1005,MATCH(ROW()-5,$AB$6:$AB$1005,0)),"")</f>
        <v/>
      </c>
    </row>
    <row r="839" spans="1:29" x14ac:dyDescent="0.2">
      <c r="A839" t="str">
        <f>IF(OR(Entry!$B842="",Entry!$E842="",$E839="نامعتبر"),"",Entry!$E842)</f>
        <v/>
      </c>
      <c r="B839" t="str">
        <f>IF($A839="","",LEFT($E839,4)&amp;MID($E839,6,2)&amp;RIGHT($E839,2)&amp;$F839&amp;"|"&amp;"1"&amp;RIGHT("00000"&amp;834,5))</f>
        <v/>
      </c>
      <c r="C839" t="str">
        <f t="shared" si="91"/>
        <v/>
      </c>
      <c r="D839" t="str">
        <f t="shared" si="92"/>
        <v/>
      </c>
      <c r="E839" t="str">
        <f>IF(Entry!$B842="","",IF(ISNUMBER(Entry!$B842),IF(AND(Entry!$B842&gt;=10000101,Entry!$B842&lt;=99991231),INT(Entry!$B842/10000)&amp;"/"&amp;RIGHT("00"&amp;INT(MOD(Entry!$B842,10000)/100),2)&amp;"/"&amp;RIGHT("00"&amp;MOD(Entry!$B842,100),2),"نامعتبر"),IF(LEN(Entry!$B842)=10,Entry!$B842,"نامعتبر")))</f>
        <v/>
      </c>
      <c r="F839" t="str">
        <f>IF(Entry!$B842="","",IF(Entry!$C842="","0000",IF(AND(ISNUMBER(Entry!$C842),Entry!$C842&gt;=0,Entry!$C842&lt;1),RIGHT("00"&amp;HOUR(Entry!$C842),2)&amp;RIGHT("00"&amp;MINUTE(Entry!$C842),2),IFERROR(RIGHT("00"&amp;VALUE(LEFT(Entry!$C842,FIND(":",Entry!$C842)-1)),2)&amp;RIGHT("00"&amp;VALUE(MID(Entry!$C842,FIND(":",Entry!$C842)+1,2)),2),"0000"))))</f>
        <v/>
      </c>
      <c r="G839" t="str">
        <f>IF($A839="","",Entry!$G842)</f>
        <v/>
      </c>
      <c r="H839" t="str">
        <f>IF($A839="","",IF(Entry!$H842="",0,Entry!$H842))</f>
        <v/>
      </c>
      <c r="I839" t="str">
        <f>IF($A839="","",IF(Entry!$I842="",0,Entry!$I842))</f>
        <v/>
      </c>
      <c r="J839" t="str">
        <f t="shared" si="93"/>
        <v/>
      </c>
      <c r="K839" t="str">
        <f>IF($A839="","",Entry!$D842)</f>
        <v/>
      </c>
      <c r="L839" t="str">
        <f>IF($A839="","",Entry!$L842)</f>
        <v/>
      </c>
      <c r="N839" t="str">
        <f>IF(OR(Sync!$M839="",$Q839="",$Q839="نامعتبر"),"",Sync!$M839)</f>
        <v/>
      </c>
      <c r="O839" t="str">
        <f t="shared" si="94"/>
        <v/>
      </c>
      <c r="P839" t="str">
        <f>IF($N839="","",LEFT($Q839,4)&amp;MID($Q839,6,2)&amp;RIGHT($Q839,2)&amp;IF(Sync!$K839="","0000",IF(AND(ISNUMBER(Sync!$K839),Sync!$K839&gt;=0,Sync!$K839&lt;1),RIGHT("00"&amp;HOUR(Sync!$K839),2)&amp;RIGHT("00"&amp;MINUTE(Sync!$K839),2),IFERROR(RIGHT("00"&amp;VALUE(LEFT(Sync!$K839,FIND(":",Sync!$K839)-1)),2)&amp;RIGHT("00"&amp;VALUE(MID(Sync!$K839,FIND(":",Sync!$K839)+1,2)),2),"0000")))&amp;"|"&amp;"2"&amp;RIGHT("00000"&amp;834,5))</f>
        <v/>
      </c>
      <c r="Q839" t="str">
        <f>IF(Sync!$J839="","",IF(ISNUMBER(Sync!$J839),IF(AND(Sync!$J839&gt;=10000101,Sync!$J839&lt;=99991231),INT(Sync!$J839/10000)&amp;"/"&amp;RIGHT("00"&amp;INT(MOD(Sync!$J839,10000)/100),2)&amp;"/"&amp;RIGHT("00"&amp;MOD(Sync!$J839,100),2),"نامعتبر"),IF(LEN(Sync!$J839)=10,Sync!$J839,"نامعتبر")))</f>
        <v/>
      </c>
      <c r="R839" t="str">
        <f t="shared" si="95"/>
        <v/>
      </c>
      <c r="S839" t="str">
        <f t="shared" si="96"/>
        <v/>
      </c>
      <c r="T839" t="str">
        <f>IF($N839="","",IF(Sync!$N839="",0,Sync!$N839))</f>
        <v/>
      </c>
      <c r="U839" t="str">
        <f>IF($N839="","",IF(Sync!$O839="",0,Sync!$O839))</f>
        <v/>
      </c>
      <c r="V839" t="str">
        <f>IF($N839="","",Sync!$L839)</f>
        <v/>
      </c>
      <c r="W839" t="str">
        <f>IF($N839="","",Sync!$P839)</f>
        <v/>
      </c>
      <c r="AA839" t="str">
        <f>IF($A839="","",IF(COUNTIF($A$6:$A839,$A839)=1,1,0))</f>
        <v/>
      </c>
      <c r="AB839">
        <f>SUM($AA$6:$AA839)</f>
        <v>3</v>
      </c>
      <c r="AC839" t="str">
        <f t="shared" si="97"/>
        <v/>
      </c>
    </row>
    <row r="840" spans="1:29" x14ac:dyDescent="0.2">
      <c r="A840" t="str">
        <f>IF(OR(Entry!$B843="",Entry!$E843="",$E840="نامعتبر"),"",Entry!$E843)</f>
        <v/>
      </c>
      <c r="B840" t="str">
        <f>IF($A840="","",LEFT($E840,4)&amp;MID($E840,6,2)&amp;RIGHT($E840,2)&amp;$F840&amp;"|"&amp;"1"&amp;RIGHT("00000"&amp;835,5))</f>
        <v/>
      </c>
      <c r="C840" t="str">
        <f t="shared" si="91"/>
        <v/>
      </c>
      <c r="D840" t="str">
        <f t="shared" si="92"/>
        <v/>
      </c>
      <c r="E840" t="str">
        <f>IF(Entry!$B843="","",IF(ISNUMBER(Entry!$B843),IF(AND(Entry!$B843&gt;=10000101,Entry!$B843&lt;=99991231),INT(Entry!$B843/10000)&amp;"/"&amp;RIGHT("00"&amp;INT(MOD(Entry!$B843,10000)/100),2)&amp;"/"&amp;RIGHT("00"&amp;MOD(Entry!$B843,100),2),"نامعتبر"),IF(LEN(Entry!$B843)=10,Entry!$B843,"نامعتبر")))</f>
        <v/>
      </c>
      <c r="F840" t="str">
        <f>IF(Entry!$B843="","",IF(Entry!$C843="","0000",IF(AND(ISNUMBER(Entry!$C843),Entry!$C843&gt;=0,Entry!$C843&lt;1),RIGHT("00"&amp;HOUR(Entry!$C843),2)&amp;RIGHT("00"&amp;MINUTE(Entry!$C843),2),IFERROR(RIGHT("00"&amp;VALUE(LEFT(Entry!$C843,FIND(":",Entry!$C843)-1)),2)&amp;RIGHT("00"&amp;VALUE(MID(Entry!$C843,FIND(":",Entry!$C843)+1,2)),2),"0000"))))</f>
        <v/>
      </c>
      <c r="G840" t="str">
        <f>IF($A840="","",Entry!$G843)</f>
        <v/>
      </c>
      <c r="H840" t="str">
        <f>IF($A840="","",IF(Entry!$H843="",0,Entry!$H843))</f>
        <v/>
      </c>
      <c r="I840" t="str">
        <f>IF($A840="","",IF(Entry!$I843="",0,Entry!$I843))</f>
        <v/>
      </c>
      <c r="J840" t="str">
        <f t="shared" si="93"/>
        <v/>
      </c>
      <c r="K840" t="str">
        <f>IF($A840="","",Entry!$D843)</f>
        <v/>
      </c>
      <c r="L840" t="str">
        <f>IF($A840="","",Entry!$L843)</f>
        <v/>
      </c>
      <c r="N840" t="str">
        <f>IF(OR(Sync!$M840="",$Q840="",$Q840="نامعتبر"),"",Sync!$M840)</f>
        <v/>
      </c>
      <c r="O840" t="str">
        <f t="shared" si="94"/>
        <v/>
      </c>
      <c r="P840" t="str">
        <f>IF($N840="","",LEFT($Q840,4)&amp;MID($Q840,6,2)&amp;RIGHT($Q840,2)&amp;IF(Sync!$K840="","0000",IF(AND(ISNUMBER(Sync!$K840),Sync!$K840&gt;=0,Sync!$K840&lt;1),RIGHT("00"&amp;HOUR(Sync!$K840),2)&amp;RIGHT("00"&amp;MINUTE(Sync!$K840),2),IFERROR(RIGHT("00"&amp;VALUE(LEFT(Sync!$K840,FIND(":",Sync!$K840)-1)),2)&amp;RIGHT("00"&amp;VALUE(MID(Sync!$K840,FIND(":",Sync!$K840)+1,2)),2),"0000")))&amp;"|"&amp;"2"&amp;RIGHT("00000"&amp;835,5))</f>
        <v/>
      </c>
      <c r="Q840" t="str">
        <f>IF(Sync!$J840="","",IF(ISNUMBER(Sync!$J840),IF(AND(Sync!$J840&gt;=10000101,Sync!$J840&lt;=99991231),INT(Sync!$J840/10000)&amp;"/"&amp;RIGHT("00"&amp;INT(MOD(Sync!$J840,10000)/100),2)&amp;"/"&amp;RIGHT("00"&amp;MOD(Sync!$J840,100),2),"نامعتبر"),IF(LEN(Sync!$J840)=10,Sync!$J840,"نامعتبر")))</f>
        <v/>
      </c>
      <c r="R840" t="str">
        <f t="shared" si="95"/>
        <v/>
      </c>
      <c r="S840" t="str">
        <f t="shared" si="96"/>
        <v/>
      </c>
      <c r="T840" t="str">
        <f>IF($N840="","",IF(Sync!$N840="",0,Sync!$N840))</f>
        <v/>
      </c>
      <c r="U840" t="str">
        <f>IF($N840="","",IF(Sync!$O840="",0,Sync!$O840))</f>
        <v/>
      </c>
      <c r="V840" t="str">
        <f>IF($N840="","",Sync!$L840)</f>
        <v/>
      </c>
      <c r="W840" t="str">
        <f>IF($N840="","",Sync!$P840)</f>
        <v/>
      </c>
      <c r="AA840" t="str">
        <f>IF($A840="","",IF(COUNTIF($A$6:$A840,$A840)=1,1,0))</f>
        <v/>
      </c>
      <c r="AB840">
        <f>SUM($AA$6:$AA840)</f>
        <v>3</v>
      </c>
      <c r="AC840" t="str">
        <f t="shared" si="97"/>
        <v/>
      </c>
    </row>
    <row r="841" spans="1:29" x14ac:dyDescent="0.2">
      <c r="A841" t="str">
        <f>IF(OR(Entry!$B844="",Entry!$E844="",$E841="نامعتبر"),"",Entry!$E844)</f>
        <v/>
      </c>
      <c r="B841" t="str">
        <f>IF($A841="","",LEFT($E841,4)&amp;MID($E841,6,2)&amp;RIGHT($E841,2)&amp;$F841&amp;"|"&amp;"1"&amp;RIGHT("00000"&amp;836,5))</f>
        <v/>
      </c>
      <c r="C841" t="str">
        <f t="shared" si="91"/>
        <v/>
      </c>
      <c r="D841" t="str">
        <f t="shared" si="92"/>
        <v/>
      </c>
      <c r="E841" t="str">
        <f>IF(Entry!$B844="","",IF(ISNUMBER(Entry!$B844),IF(AND(Entry!$B844&gt;=10000101,Entry!$B844&lt;=99991231),INT(Entry!$B844/10000)&amp;"/"&amp;RIGHT("00"&amp;INT(MOD(Entry!$B844,10000)/100),2)&amp;"/"&amp;RIGHT("00"&amp;MOD(Entry!$B844,100),2),"نامعتبر"),IF(LEN(Entry!$B844)=10,Entry!$B844,"نامعتبر")))</f>
        <v/>
      </c>
      <c r="F841" t="str">
        <f>IF(Entry!$B844="","",IF(Entry!$C844="","0000",IF(AND(ISNUMBER(Entry!$C844),Entry!$C844&gt;=0,Entry!$C844&lt;1),RIGHT("00"&amp;HOUR(Entry!$C844),2)&amp;RIGHT("00"&amp;MINUTE(Entry!$C844),2),IFERROR(RIGHT("00"&amp;VALUE(LEFT(Entry!$C844,FIND(":",Entry!$C844)-1)),2)&amp;RIGHT("00"&amp;VALUE(MID(Entry!$C844,FIND(":",Entry!$C844)+1,2)),2),"0000"))))</f>
        <v/>
      </c>
      <c r="G841" t="str">
        <f>IF($A841="","",Entry!$G844)</f>
        <v/>
      </c>
      <c r="H841" t="str">
        <f>IF($A841="","",IF(Entry!$H844="",0,Entry!$H844))</f>
        <v/>
      </c>
      <c r="I841" t="str">
        <f>IF($A841="","",IF(Entry!$I844="",0,Entry!$I844))</f>
        <v/>
      </c>
      <c r="J841" t="str">
        <f t="shared" si="93"/>
        <v/>
      </c>
      <c r="K841" t="str">
        <f>IF($A841="","",Entry!$D844)</f>
        <v/>
      </c>
      <c r="L841" t="str">
        <f>IF($A841="","",Entry!$L844)</f>
        <v/>
      </c>
      <c r="N841" t="str">
        <f>IF(OR(Sync!$M841="",$Q841="",$Q841="نامعتبر"),"",Sync!$M841)</f>
        <v/>
      </c>
      <c r="O841" t="str">
        <f t="shared" si="94"/>
        <v/>
      </c>
      <c r="P841" t="str">
        <f>IF($N841="","",LEFT($Q841,4)&amp;MID($Q841,6,2)&amp;RIGHT($Q841,2)&amp;IF(Sync!$K841="","0000",IF(AND(ISNUMBER(Sync!$K841),Sync!$K841&gt;=0,Sync!$K841&lt;1),RIGHT("00"&amp;HOUR(Sync!$K841),2)&amp;RIGHT("00"&amp;MINUTE(Sync!$K841),2),IFERROR(RIGHT("00"&amp;VALUE(LEFT(Sync!$K841,FIND(":",Sync!$K841)-1)),2)&amp;RIGHT("00"&amp;VALUE(MID(Sync!$K841,FIND(":",Sync!$K841)+1,2)),2),"0000")))&amp;"|"&amp;"2"&amp;RIGHT("00000"&amp;836,5))</f>
        <v/>
      </c>
      <c r="Q841" t="str">
        <f>IF(Sync!$J841="","",IF(ISNUMBER(Sync!$J841),IF(AND(Sync!$J841&gt;=10000101,Sync!$J841&lt;=99991231),INT(Sync!$J841/10000)&amp;"/"&amp;RIGHT("00"&amp;INT(MOD(Sync!$J841,10000)/100),2)&amp;"/"&amp;RIGHT("00"&amp;MOD(Sync!$J841,100),2),"نامعتبر"),IF(LEN(Sync!$J841)=10,Sync!$J841,"نامعتبر")))</f>
        <v/>
      </c>
      <c r="R841" t="str">
        <f t="shared" si="95"/>
        <v/>
      </c>
      <c r="S841" t="str">
        <f t="shared" si="96"/>
        <v/>
      </c>
      <c r="T841" t="str">
        <f>IF($N841="","",IF(Sync!$N841="",0,Sync!$N841))</f>
        <v/>
      </c>
      <c r="U841" t="str">
        <f>IF($N841="","",IF(Sync!$O841="",0,Sync!$O841))</f>
        <v/>
      </c>
      <c r="V841" t="str">
        <f>IF($N841="","",Sync!$L841)</f>
        <v/>
      </c>
      <c r="W841" t="str">
        <f>IF($N841="","",Sync!$P841)</f>
        <v/>
      </c>
      <c r="AA841" t="str">
        <f>IF($A841="","",IF(COUNTIF($A$6:$A841,$A841)=1,1,0))</f>
        <v/>
      </c>
      <c r="AB841">
        <f>SUM($AA$6:$AA841)</f>
        <v>3</v>
      </c>
      <c r="AC841" t="str">
        <f t="shared" si="97"/>
        <v/>
      </c>
    </row>
    <row r="842" spans="1:29" x14ac:dyDescent="0.2">
      <c r="A842" t="str">
        <f>IF(OR(Entry!$B845="",Entry!$E845="",$E842="نامعتبر"),"",Entry!$E845)</f>
        <v/>
      </c>
      <c r="B842" t="str">
        <f>IF($A842="","",LEFT($E842,4)&amp;MID($E842,6,2)&amp;RIGHT($E842,2)&amp;$F842&amp;"|"&amp;"1"&amp;RIGHT("00000"&amp;837,5))</f>
        <v/>
      </c>
      <c r="C842" t="str">
        <f t="shared" si="91"/>
        <v/>
      </c>
      <c r="D842" t="str">
        <f t="shared" si="92"/>
        <v/>
      </c>
      <c r="E842" t="str">
        <f>IF(Entry!$B845="","",IF(ISNUMBER(Entry!$B845),IF(AND(Entry!$B845&gt;=10000101,Entry!$B845&lt;=99991231),INT(Entry!$B845/10000)&amp;"/"&amp;RIGHT("00"&amp;INT(MOD(Entry!$B845,10000)/100),2)&amp;"/"&amp;RIGHT("00"&amp;MOD(Entry!$B845,100),2),"نامعتبر"),IF(LEN(Entry!$B845)=10,Entry!$B845,"نامعتبر")))</f>
        <v/>
      </c>
      <c r="F842" t="str">
        <f>IF(Entry!$B845="","",IF(Entry!$C845="","0000",IF(AND(ISNUMBER(Entry!$C845),Entry!$C845&gt;=0,Entry!$C845&lt;1),RIGHT("00"&amp;HOUR(Entry!$C845),2)&amp;RIGHT("00"&amp;MINUTE(Entry!$C845),2),IFERROR(RIGHT("00"&amp;VALUE(LEFT(Entry!$C845,FIND(":",Entry!$C845)-1)),2)&amp;RIGHT("00"&amp;VALUE(MID(Entry!$C845,FIND(":",Entry!$C845)+1,2)),2),"0000"))))</f>
        <v/>
      </c>
      <c r="G842" t="str">
        <f>IF($A842="","",Entry!$G845)</f>
        <v/>
      </c>
      <c r="H842" t="str">
        <f>IF($A842="","",IF(Entry!$H845="",0,Entry!$H845))</f>
        <v/>
      </c>
      <c r="I842" t="str">
        <f>IF($A842="","",IF(Entry!$I845="",0,Entry!$I845))</f>
        <v/>
      </c>
      <c r="J842" t="str">
        <f t="shared" si="93"/>
        <v/>
      </c>
      <c r="K842" t="str">
        <f>IF($A842="","",Entry!$D845)</f>
        <v/>
      </c>
      <c r="L842" t="str">
        <f>IF($A842="","",Entry!$L845)</f>
        <v/>
      </c>
      <c r="N842" t="str">
        <f>IF(OR(Sync!$M842="",$Q842="",$Q842="نامعتبر"),"",Sync!$M842)</f>
        <v/>
      </c>
      <c r="O842" t="str">
        <f t="shared" si="94"/>
        <v/>
      </c>
      <c r="P842" t="str">
        <f>IF($N842="","",LEFT($Q842,4)&amp;MID($Q842,6,2)&amp;RIGHT($Q842,2)&amp;IF(Sync!$K842="","0000",IF(AND(ISNUMBER(Sync!$K842),Sync!$K842&gt;=0,Sync!$K842&lt;1),RIGHT("00"&amp;HOUR(Sync!$K842),2)&amp;RIGHT("00"&amp;MINUTE(Sync!$K842),2),IFERROR(RIGHT("00"&amp;VALUE(LEFT(Sync!$K842,FIND(":",Sync!$K842)-1)),2)&amp;RIGHT("00"&amp;VALUE(MID(Sync!$K842,FIND(":",Sync!$K842)+1,2)),2),"0000")))&amp;"|"&amp;"2"&amp;RIGHT("00000"&amp;837,5))</f>
        <v/>
      </c>
      <c r="Q842" t="str">
        <f>IF(Sync!$J842="","",IF(ISNUMBER(Sync!$J842),IF(AND(Sync!$J842&gt;=10000101,Sync!$J842&lt;=99991231),INT(Sync!$J842/10000)&amp;"/"&amp;RIGHT("00"&amp;INT(MOD(Sync!$J842,10000)/100),2)&amp;"/"&amp;RIGHT("00"&amp;MOD(Sync!$J842,100),2),"نامعتبر"),IF(LEN(Sync!$J842)=10,Sync!$J842,"نامعتبر")))</f>
        <v/>
      </c>
      <c r="R842" t="str">
        <f t="shared" si="95"/>
        <v/>
      </c>
      <c r="S842" t="str">
        <f t="shared" si="96"/>
        <v/>
      </c>
      <c r="T842" t="str">
        <f>IF($N842="","",IF(Sync!$N842="",0,Sync!$N842))</f>
        <v/>
      </c>
      <c r="U842" t="str">
        <f>IF($N842="","",IF(Sync!$O842="",0,Sync!$O842))</f>
        <v/>
      </c>
      <c r="V842" t="str">
        <f>IF($N842="","",Sync!$L842)</f>
        <v/>
      </c>
      <c r="W842" t="str">
        <f>IF($N842="","",Sync!$P842)</f>
        <v/>
      </c>
      <c r="AA842" t="str">
        <f>IF($A842="","",IF(COUNTIF($A$6:$A842,$A842)=1,1,0))</f>
        <v/>
      </c>
      <c r="AB842">
        <f>SUM($AA$6:$AA842)</f>
        <v>3</v>
      </c>
      <c r="AC842" t="str">
        <f t="shared" si="97"/>
        <v/>
      </c>
    </row>
    <row r="843" spans="1:29" x14ac:dyDescent="0.2">
      <c r="A843" t="str">
        <f>IF(OR(Entry!$B846="",Entry!$E846="",$E843="نامعتبر"),"",Entry!$E846)</f>
        <v/>
      </c>
      <c r="B843" t="str">
        <f>IF($A843="","",LEFT($E843,4)&amp;MID($E843,6,2)&amp;RIGHT($E843,2)&amp;$F843&amp;"|"&amp;"1"&amp;RIGHT("00000"&amp;838,5))</f>
        <v/>
      </c>
      <c r="C843" t="str">
        <f t="shared" si="91"/>
        <v/>
      </c>
      <c r="D843" t="str">
        <f t="shared" si="92"/>
        <v/>
      </c>
      <c r="E843" t="str">
        <f>IF(Entry!$B846="","",IF(ISNUMBER(Entry!$B846),IF(AND(Entry!$B846&gt;=10000101,Entry!$B846&lt;=99991231),INT(Entry!$B846/10000)&amp;"/"&amp;RIGHT("00"&amp;INT(MOD(Entry!$B846,10000)/100),2)&amp;"/"&amp;RIGHT("00"&amp;MOD(Entry!$B846,100),2),"نامعتبر"),IF(LEN(Entry!$B846)=10,Entry!$B846,"نامعتبر")))</f>
        <v/>
      </c>
      <c r="F843" t="str">
        <f>IF(Entry!$B846="","",IF(Entry!$C846="","0000",IF(AND(ISNUMBER(Entry!$C846),Entry!$C846&gt;=0,Entry!$C846&lt;1),RIGHT("00"&amp;HOUR(Entry!$C846),2)&amp;RIGHT("00"&amp;MINUTE(Entry!$C846),2),IFERROR(RIGHT("00"&amp;VALUE(LEFT(Entry!$C846,FIND(":",Entry!$C846)-1)),2)&amp;RIGHT("00"&amp;VALUE(MID(Entry!$C846,FIND(":",Entry!$C846)+1,2)),2),"0000"))))</f>
        <v/>
      </c>
      <c r="G843" t="str">
        <f>IF($A843="","",Entry!$G846)</f>
        <v/>
      </c>
      <c r="H843" t="str">
        <f>IF($A843="","",IF(Entry!$H846="",0,Entry!$H846))</f>
        <v/>
      </c>
      <c r="I843" t="str">
        <f>IF($A843="","",IF(Entry!$I846="",0,Entry!$I846))</f>
        <v/>
      </c>
      <c r="J843" t="str">
        <f t="shared" si="93"/>
        <v/>
      </c>
      <c r="K843" t="str">
        <f>IF($A843="","",Entry!$D846)</f>
        <v/>
      </c>
      <c r="L843" t="str">
        <f>IF($A843="","",Entry!$L846)</f>
        <v/>
      </c>
      <c r="N843" t="str">
        <f>IF(OR(Sync!$M843="",$Q843="",$Q843="نامعتبر"),"",Sync!$M843)</f>
        <v/>
      </c>
      <c r="O843" t="str">
        <f t="shared" si="94"/>
        <v/>
      </c>
      <c r="P843" t="str">
        <f>IF($N843="","",LEFT($Q843,4)&amp;MID($Q843,6,2)&amp;RIGHT($Q843,2)&amp;IF(Sync!$K843="","0000",IF(AND(ISNUMBER(Sync!$K843),Sync!$K843&gt;=0,Sync!$K843&lt;1),RIGHT("00"&amp;HOUR(Sync!$K843),2)&amp;RIGHT("00"&amp;MINUTE(Sync!$K843),2),IFERROR(RIGHT("00"&amp;VALUE(LEFT(Sync!$K843,FIND(":",Sync!$K843)-1)),2)&amp;RIGHT("00"&amp;VALUE(MID(Sync!$K843,FIND(":",Sync!$K843)+1,2)),2),"0000")))&amp;"|"&amp;"2"&amp;RIGHT("00000"&amp;838,5))</f>
        <v/>
      </c>
      <c r="Q843" t="str">
        <f>IF(Sync!$J843="","",IF(ISNUMBER(Sync!$J843),IF(AND(Sync!$J843&gt;=10000101,Sync!$J843&lt;=99991231),INT(Sync!$J843/10000)&amp;"/"&amp;RIGHT("00"&amp;INT(MOD(Sync!$J843,10000)/100),2)&amp;"/"&amp;RIGHT("00"&amp;MOD(Sync!$J843,100),2),"نامعتبر"),IF(LEN(Sync!$J843)=10,Sync!$J843,"نامعتبر")))</f>
        <v/>
      </c>
      <c r="R843" t="str">
        <f t="shared" si="95"/>
        <v/>
      </c>
      <c r="S843" t="str">
        <f t="shared" si="96"/>
        <v/>
      </c>
      <c r="T843" t="str">
        <f>IF($N843="","",IF(Sync!$N843="",0,Sync!$N843))</f>
        <v/>
      </c>
      <c r="U843" t="str">
        <f>IF($N843="","",IF(Sync!$O843="",0,Sync!$O843))</f>
        <v/>
      </c>
      <c r="V843" t="str">
        <f>IF($N843="","",Sync!$L843)</f>
        <v/>
      </c>
      <c r="W843" t="str">
        <f>IF($N843="","",Sync!$P843)</f>
        <v/>
      </c>
      <c r="AA843" t="str">
        <f>IF($A843="","",IF(COUNTIF($A$6:$A843,$A843)=1,1,0))</f>
        <v/>
      </c>
      <c r="AB843">
        <f>SUM($AA$6:$AA843)</f>
        <v>3</v>
      </c>
      <c r="AC843" t="str">
        <f t="shared" si="97"/>
        <v/>
      </c>
    </row>
    <row r="844" spans="1:29" x14ac:dyDescent="0.2">
      <c r="A844" t="str">
        <f>IF(OR(Entry!$B847="",Entry!$E847="",$E844="نامعتبر"),"",Entry!$E847)</f>
        <v/>
      </c>
      <c r="B844" t="str">
        <f>IF($A844="","",LEFT($E844,4)&amp;MID($E844,6,2)&amp;RIGHT($E844,2)&amp;$F844&amp;"|"&amp;"1"&amp;RIGHT("00000"&amp;839,5))</f>
        <v/>
      </c>
      <c r="C844" t="str">
        <f t="shared" si="91"/>
        <v/>
      </c>
      <c r="D844" t="str">
        <f t="shared" si="92"/>
        <v/>
      </c>
      <c r="E844" t="str">
        <f>IF(Entry!$B847="","",IF(ISNUMBER(Entry!$B847),IF(AND(Entry!$B847&gt;=10000101,Entry!$B847&lt;=99991231),INT(Entry!$B847/10000)&amp;"/"&amp;RIGHT("00"&amp;INT(MOD(Entry!$B847,10000)/100),2)&amp;"/"&amp;RIGHT("00"&amp;MOD(Entry!$B847,100),2),"نامعتبر"),IF(LEN(Entry!$B847)=10,Entry!$B847,"نامعتبر")))</f>
        <v/>
      </c>
      <c r="F844" t="str">
        <f>IF(Entry!$B847="","",IF(Entry!$C847="","0000",IF(AND(ISNUMBER(Entry!$C847),Entry!$C847&gt;=0,Entry!$C847&lt;1),RIGHT("00"&amp;HOUR(Entry!$C847),2)&amp;RIGHT("00"&amp;MINUTE(Entry!$C847),2),IFERROR(RIGHT("00"&amp;VALUE(LEFT(Entry!$C847,FIND(":",Entry!$C847)-1)),2)&amp;RIGHT("00"&amp;VALUE(MID(Entry!$C847,FIND(":",Entry!$C847)+1,2)),2),"0000"))))</f>
        <v/>
      </c>
      <c r="G844" t="str">
        <f>IF($A844="","",Entry!$G847)</f>
        <v/>
      </c>
      <c r="H844" t="str">
        <f>IF($A844="","",IF(Entry!$H847="",0,Entry!$H847))</f>
        <v/>
      </c>
      <c r="I844" t="str">
        <f>IF($A844="","",IF(Entry!$I847="",0,Entry!$I847))</f>
        <v/>
      </c>
      <c r="J844" t="str">
        <f t="shared" si="93"/>
        <v/>
      </c>
      <c r="K844" t="str">
        <f>IF($A844="","",Entry!$D847)</f>
        <v/>
      </c>
      <c r="L844" t="str">
        <f>IF($A844="","",Entry!$L847)</f>
        <v/>
      </c>
      <c r="N844" t="str">
        <f>IF(OR(Sync!$M844="",$Q844="",$Q844="نامعتبر"),"",Sync!$M844)</f>
        <v/>
      </c>
      <c r="O844" t="str">
        <f t="shared" si="94"/>
        <v/>
      </c>
      <c r="P844" t="str">
        <f>IF($N844="","",LEFT($Q844,4)&amp;MID($Q844,6,2)&amp;RIGHT($Q844,2)&amp;IF(Sync!$K844="","0000",IF(AND(ISNUMBER(Sync!$K844),Sync!$K844&gt;=0,Sync!$K844&lt;1),RIGHT("00"&amp;HOUR(Sync!$K844),2)&amp;RIGHT("00"&amp;MINUTE(Sync!$K844),2),IFERROR(RIGHT("00"&amp;VALUE(LEFT(Sync!$K844,FIND(":",Sync!$K844)-1)),2)&amp;RIGHT("00"&amp;VALUE(MID(Sync!$K844,FIND(":",Sync!$K844)+1,2)),2),"0000")))&amp;"|"&amp;"2"&amp;RIGHT("00000"&amp;839,5))</f>
        <v/>
      </c>
      <c r="Q844" t="str">
        <f>IF(Sync!$J844="","",IF(ISNUMBER(Sync!$J844),IF(AND(Sync!$J844&gt;=10000101,Sync!$J844&lt;=99991231),INT(Sync!$J844/10000)&amp;"/"&amp;RIGHT("00"&amp;INT(MOD(Sync!$J844,10000)/100),2)&amp;"/"&amp;RIGHT("00"&amp;MOD(Sync!$J844,100),2),"نامعتبر"),IF(LEN(Sync!$J844)=10,Sync!$J844,"نامعتبر")))</f>
        <v/>
      </c>
      <c r="R844" t="str">
        <f t="shared" si="95"/>
        <v/>
      </c>
      <c r="S844" t="str">
        <f t="shared" si="96"/>
        <v/>
      </c>
      <c r="T844" t="str">
        <f>IF($N844="","",IF(Sync!$N844="",0,Sync!$N844))</f>
        <v/>
      </c>
      <c r="U844" t="str">
        <f>IF($N844="","",IF(Sync!$O844="",0,Sync!$O844))</f>
        <v/>
      </c>
      <c r="V844" t="str">
        <f>IF($N844="","",Sync!$L844)</f>
        <v/>
      </c>
      <c r="W844" t="str">
        <f>IF($N844="","",Sync!$P844)</f>
        <v/>
      </c>
      <c r="AA844" t="str">
        <f>IF($A844="","",IF(COUNTIF($A$6:$A844,$A844)=1,1,0))</f>
        <v/>
      </c>
      <c r="AB844">
        <f>SUM($AA$6:$AA844)</f>
        <v>3</v>
      </c>
      <c r="AC844" t="str">
        <f t="shared" si="97"/>
        <v/>
      </c>
    </row>
    <row r="845" spans="1:29" x14ac:dyDescent="0.2">
      <c r="A845" t="str">
        <f>IF(OR(Entry!$B848="",Entry!$E848="",$E845="نامعتبر"),"",Entry!$E848)</f>
        <v/>
      </c>
      <c r="B845" t="str">
        <f>IF($A845="","",LEFT($E845,4)&amp;MID($E845,6,2)&amp;RIGHT($E845,2)&amp;$F845&amp;"|"&amp;"1"&amp;RIGHT("00000"&amp;840,5))</f>
        <v/>
      </c>
      <c r="C845" t="str">
        <f t="shared" si="91"/>
        <v/>
      </c>
      <c r="D845" t="str">
        <f t="shared" si="92"/>
        <v/>
      </c>
      <c r="E845" t="str">
        <f>IF(Entry!$B848="","",IF(ISNUMBER(Entry!$B848),IF(AND(Entry!$B848&gt;=10000101,Entry!$B848&lt;=99991231),INT(Entry!$B848/10000)&amp;"/"&amp;RIGHT("00"&amp;INT(MOD(Entry!$B848,10000)/100),2)&amp;"/"&amp;RIGHT("00"&amp;MOD(Entry!$B848,100),2),"نامعتبر"),IF(LEN(Entry!$B848)=10,Entry!$B848,"نامعتبر")))</f>
        <v/>
      </c>
      <c r="F845" t="str">
        <f>IF(Entry!$B848="","",IF(Entry!$C848="","0000",IF(AND(ISNUMBER(Entry!$C848),Entry!$C848&gt;=0,Entry!$C848&lt;1),RIGHT("00"&amp;HOUR(Entry!$C848),2)&amp;RIGHT("00"&amp;MINUTE(Entry!$C848),2),IFERROR(RIGHT("00"&amp;VALUE(LEFT(Entry!$C848,FIND(":",Entry!$C848)-1)),2)&amp;RIGHT("00"&amp;VALUE(MID(Entry!$C848,FIND(":",Entry!$C848)+1,2)),2),"0000"))))</f>
        <v/>
      </c>
      <c r="G845" t="str">
        <f>IF($A845="","",Entry!$G848)</f>
        <v/>
      </c>
      <c r="H845" t="str">
        <f>IF($A845="","",IF(Entry!$H848="",0,Entry!$H848))</f>
        <v/>
      </c>
      <c r="I845" t="str">
        <f>IF($A845="","",IF(Entry!$I848="",0,Entry!$I848))</f>
        <v/>
      </c>
      <c r="J845" t="str">
        <f t="shared" si="93"/>
        <v/>
      </c>
      <c r="K845" t="str">
        <f>IF($A845="","",Entry!$D848)</f>
        <v/>
      </c>
      <c r="L845" t="str">
        <f>IF($A845="","",Entry!$L848)</f>
        <v/>
      </c>
      <c r="N845" t="str">
        <f>IF(OR(Sync!$M845="",$Q845="",$Q845="نامعتبر"),"",Sync!$M845)</f>
        <v/>
      </c>
      <c r="O845" t="str">
        <f t="shared" si="94"/>
        <v/>
      </c>
      <c r="P845" t="str">
        <f>IF($N845="","",LEFT($Q845,4)&amp;MID($Q845,6,2)&amp;RIGHT($Q845,2)&amp;IF(Sync!$K845="","0000",IF(AND(ISNUMBER(Sync!$K845),Sync!$K845&gt;=0,Sync!$K845&lt;1),RIGHT("00"&amp;HOUR(Sync!$K845),2)&amp;RIGHT("00"&amp;MINUTE(Sync!$K845),2),IFERROR(RIGHT("00"&amp;VALUE(LEFT(Sync!$K845,FIND(":",Sync!$K845)-1)),2)&amp;RIGHT("00"&amp;VALUE(MID(Sync!$K845,FIND(":",Sync!$K845)+1,2)),2),"0000")))&amp;"|"&amp;"2"&amp;RIGHT("00000"&amp;840,5))</f>
        <v/>
      </c>
      <c r="Q845" t="str">
        <f>IF(Sync!$J845="","",IF(ISNUMBER(Sync!$J845),IF(AND(Sync!$J845&gt;=10000101,Sync!$J845&lt;=99991231),INT(Sync!$J845/10000)&amp;"/"&amp;RIGHT("00"&amp;INT(MOD(Sync!$J845,10000)/100),2)&amp;"/"&amp;RIGHT("00"&amp;MOD(Sync!$J845,100),2),"نامعتبر"),IF(LEN(Sync!$J845)=10,Sync!$J845,"نامعتبر")))</f>
        <v/>
      </c>
      <c r="R845" t="str">
        <f t="shared" si="95"/>
        <v/>
      </c>
      <c r="S845" t="str">
        <f t="shared" si="96"/>
        <v/>
      </c>
      <c r="T845" t="str">
        <f>IF($N845="","",IF(Sync!$N845="",0,Sync!$N845))</f>
        <v/>
      </c>
      <c r="U845" t="str">
        <f>IF($N845="","",IF(Sync!$O845="",0,Sync!$O845))</f>
        <v/>
      </c>
      <c r="V845" t="str">
        <f>IF($N845="","",Sync!$L845)</f>
        <v/>
      </c>
      <c r="W845" t="str">
        <f>IF($N845="","",Sync!$P845)</f>
        <v/>
      </c>
      <c r="AA845" t="str">
        <f>IF($A845="","",IF(COUNTIF($A$6:$A845,$A845)=1,1,0))</f>
        <v/>
      </c>
      <c r="AB845">
        <f>SUM($AA$6:$AA845)</f>
        <v>3</v>
      </c>
      <c r="AC845" t="str">
        <f t="shared" si="97"/>
        <v/>
      </c>
    </row>
    <row r="846" spans="1:29" x14ac:dyDescent="0.2">
      <c r="A846" t="str">
        <f>IF(OR(Entry!$B849="",Entry!$E849="",$E846="نامعتبر"),"",Entry!$E849)</f>
        <v/>
      </c>
      <c r="B846" t="str">
        <f>IF($A846="","",LEFT($E846,4)&amp;MID($E846,6,2)&amp;RIGHT($E846,2)&amp;$F846&amp;"|"&amp;"1"&amp;RIGHT("00000"&amp;841,5))</f>
        <v/>
      </c>
      <c r="C846" t="str">
        <f t="shared" si="91"/>
        <v/>
      </c>
      <c r="D846" t="str">
        <f t="shared" si="92"/>
        <v/>
      </c>
      <c r="E846" t="str">
        <f>IF(Entry!$B849="","",IF(ISNUMBER(Entry!$B849),IF(AND(Entry!$B849&gt;=10000101,Entry!$B849&lt;=99991231),INT(Entry!$B849/10000)&amp;"/"&amp;RIGHT("00"&amp;INT(MOD(Entry!$B849,10000)/100),2)&amp;"/"&amp;RIGHT("00"&amp;MOD(Entry!$B849,100),2),"نامعتبر"),IF(LEN(Entry!$B849)=10,Entry!$B849,"نامعتبر")))</f>
        <v/>
      </c>
      <c r="F846" t="str">
        <f>IF(Entry!$B849="","",IF(Entry!$C849="","0000",IF(AND(ISNUMBER(Entry!$C849),Entry!$C849&gt;=0,Entry!$C849&lt;1),RIGHT("00"&amp;HOUR(Entry!$C849),2)&amp;RIGHT("00"&amp;MINUTE(Entry!$C849),2),IFERROR(RIGHT("00"&amp;VALUE(LEFT(Entry!$C849,FIND(":",Entry!$C849)-1)),2)&amp;RIGHT("00"&amp;VALUE(MID(Entry!$C849,FIND(":",Entry!$C849)+1,2)),2),"0000"))))</f>
        <v/>
      </c>
      <c r="G846" t="str">
        <f>IF($A846="","",Entry!$G849)</f>
        <v/>
      </c>
      <c r="H846" t="str">
        <f>IF($A846="","",IF(Entry!$H849="",0,Entry!$H849))</f>
        <v/>
      </c>
      <c r="I846" t="str">
        <f>IF($A846="","",IF(Entry!$I849="",0,Entry!$I849))</f>
        <v/>
      </c>
      <c r="J846" t="str">
        <f t="shared" si="93"/>
        <v/>
      </c>
      <c r="K846" t="str">
        <f>IF($A846="","",Entry!$D849)</f>
        <v/>
      </c>
      <c r="L846" t="str">
        <f>IF($A846="","",Entry!$L849)</f>
        <v/>
      </c>
      <c r="N846" t="str">
        <f>IF(OR(Sync!$M846="",$Q846="",$Q846="نامعتبر"),"",Sync!$M846)</f>
        <v/>
      </c>
      <c r="O846" t="str">
        <f t="shared" si="94"/>
        <v/>
      </c>
      <c r="P846" t="str">
        <f>IF($N846="","",LEFT($Q846,4)&amp;MID($Q846,6,2)&amp;RIGHT($Q846,2)&amp;IF(Sync!$K846="","0000",IF(AND(ISNUMBER(Sync!$K846),Sync!$K846&gt;=0,Sync!$K846&lt;1),RIGHT("00"&amp;HOUR(Sync!$K846),2)&amp;RIGHT("00"&amp;MINUTE(Sync!$K846),2),IFERROR(RIGHT("00"&amp;VALUE(LEFT(Sync!$K846,FIND(":",Sync!$K846)-1)),2)&amp;RIGHT("00"&amp;VALUE(MID(Sync!$K846,FIND(":",Sync!$K846)+1,2)),2),"0000")))&amp;"|"&amp;"2"&amp;RIGHT("00000"&amp;841,5))</f>
        <v/>
      </c>
      <c r="Q846" t="str">
        <f>IF(Sync!$J846="","",IF(ISNUMBER(Sync!$J846),IF(AND(Sync!$J846&gt;=10000101,Sync!$J846&lt;=99991231),INT(Sync!$J846/10000)&amp;"/"&amp;RIGHT("00"&amp;INT(MOD(Sync!$J846,10000)/100),2)&amp;"/"&amp;RIGHT("00"&amp;MOD(Sync!$J846,100),2),"نامعتبر"),IF(LEN(Sync!$J846)=10,Sync!$J846,"نامعتبر")))</f>
        <v/>
      </c>
      <c r="R846" t="str">
        <f t="shared" si="95"/>
        <v/>
      </c>
      <c r="S846" t="str">
        <f t="shared" si="96"/>
        <v/>
      </c>
      <c r="T846" t="str">
        <f>IF($N846="","",IF(Sync!$N846="",0,Sync!$N846))</f>
        <v/>
      </c>
      <c r="U846" t="str">
        <f>IF($N846="","",IF(Sync!$O846="",0,Sync!$O846))</f>
        <v/>
      </c>
      <c r="V846" t="str">
        <f>IF($N846="","",Sync!$L846)</f>
        <v/>
      </c>
      <c r="W846" t="str">
        <f>IF($N846="","",Sync!$P846)</f>
        <v/>
      </c>
      <c r="AA846" t="str">
        <f>IF($A846="","",IF(COUNTIF($A$6:$A846,$A846)=1,1,0))</f>
        <v/>
      </c>
      <c r="AB846">
        <f>SUM($AA$6:$AA846)</f>
        <v>3</v>
      </c>
      <c r="AC846" t="str">
        <f t="shared" si="97"/>
        <v/>
      </c>
    </row>
    <row r="847" spans="1:29" x14ac:dyDescent="0.2">
      <c r="A847" t="str">
        <f>IF(OR(Entry!$B850="",Entry!$E850="",$E847="نامعتبر"),"",Entry!$E850)</f>
        <v/>
      </c>
      <c r="B847" t="str">
        <f>IF($A847="","",LEFT($E847,4)&amp;MID($E847,6,2)&amp;RIGHT($E847,2)&amp;$F847&amp;"|"&amp;"1"&amp;RIGHT("00000"&amp;842,5))</f>
        <v/>
      </c>
      <c r="C847" t="str">
        <f t="shared" si="91"/>
        <v/>
      </c>
      <c r="D847" t="str">
        <f t="shared" si="92"/>
        <v/>
      </c>
      <c r="E847" t="str">
        <f>IF(Entry!$B850="","",IF(ISNUMBER(Entry!$B850),IF(AND(Entry!$B850&gt;=10000101,Entry!$B850&lt;=99991231),INT(Entry!$B850/10000)&amp;"/"&amp;RIGHT("00"&amp;INT(MOD(Entry!$B850,10000)/100),2)&amp;"/"&amp;RIGHT("00"&amp;MOD(Entry!$B850,100),2),"نامعتبر"),IF(LEN(Entry!$B850)=10,Entry!$B850,"نامعتبر")))</f>
        <v/>
      </c>
      <c r="F847" t="str">
        <f>IF(Entry!$B850="","",IF(Entry!$C850="","0000",IF(AND(ISNUMBER(Entry!$C850),Entry!$C850&gt;=0,Entry!$C850&lt;1),RIGHT("00"&amp;HOUR(Entry!$C850),2)&amp;RIGHT("00"&amp;MINUTE(Entry!$C850),2),IFERROR(RIGHT("00"&amp;VALUE(LEFT(Entry!$C850,FIND(":",Entry!$C850)-1)),2)&amp;RIGHT("00"&amp;VALUE(MID(Entry!$C850,FIND(":",Entry!$C850)+1,2)),2),"0000"))))</f>
        <v/>
      </c>
      <c r="G847" t="str">
        <f>IF($A847="","",Entry!$G850)</f>
        <v/>
      </c>
      <c r="H847" t="str">
        <f>IF($A847="","",IF(Entry!$H850="",0,Entry!$H850))</f>
        <v/>
      </c>
      <c r="I847" t="str">
        <f>IF($A847="","",IF(Entry!$I850="",0,Entry!$I850))</f>
        <v/>
      </c>
      <c r="J847" t="str">
        <f t="shared" si="93"/>
        <v/>
      </c>
      <c r="K847" t="str">
        <f>IF($A847="","",Entry!$D850)</f>
        <v/>
      </c>
      <c r="L847" t="str">
        <f>IF($A847="","",Entry!$L850)</f>
        <v/>
      </c>
      <c r="N847" t="str">
        <f>IF(OR(Sync!$M847="",$Q847="",$Q847="نامعتبر"),"",Sync!$M847)</f>
        <v/>
      </c>
      <c r="O847" t="str">
        <f t="shared" si="94"/>
        <v/>
      </c>
      <c r="P847" t="str">
        <f>IF($N847="","",LEFT($Q847,4)&amp;MID($Q847,6,2)&amp;RIGHT($Q847,2)&amp;IF(Sync!$K847="","0000",IF(AND(ISNUMBER(Sync!$K847),Sync!$K847&gt;=0,Sync!$K847&lt;1),RIGHT("00"&amp;HOUR(Sync!$K847),2)&amp;RIGHT("00"&amp;MINUTE(Sync!$K847),2),IFERROR(RIGHT("00"&amp;VALUE(LEFT(Sync!$K847,FIND(":",Sync!$K847)-1)),2)&amp;RIGHT("00"&amp;VALUE(MID(Sync!$K847,FIND(":",Sync!$K847)+1,2)),2),"0000")))&amp;"|"&amp;"2"&amp;RIGHT("00000"&amp;842,5))</f>
        <v/>
      </c>
      <c r="Q847" t="str">
        <f>IF(Sync!$J847="","",IF(ISNUMBER(Sync!$J847),IF(AND(Sync!$J847&gt;=10000101,Sync!$J847&lt;=99991231),INT(Sync!$J847/10000)&amp;"/"&amp;RIGHT("00"&amp;INT(MOD(Sync!$J847,10000)/100),2)&amp;"/"&amp;RIGHT("00"&amp;MOD(Sync!$J847,100),2),"نامعتبر"),IF(LEN(Sync!$J847)=10,Sync!$J847,"نامعتبر")))</f>
        <v/>
      </c>
      <c r="R847" t="str">
        <f t="shared" si="95"/>
        <v/>
      </c>
      <c r="S847" t="str">
        <f t="shared" si="96"/>
        <v/>
      </c>
      <c r="T847" t="str">
        <f>IF($N847="","",IF(Sync!$N847="",0,Sync!$N847))</f>
        <v/>
      </c>
      <c r="U847" t="str">
        <f>IF($N847="","",IF(Sync!$O847="",0,Sync!$O847))</f>
        <v/>
      </c>
      <c r="V847" t="str">
        <f>IF($N847="","",Sync!$L847)</f>
        <v/>
      </c>
      <c r="W847" t="str">
        <f>IF($N847="","",Sync!$P847)</f>
        <v/>
      </c>
      <c r="AA847" t="str">
        <f>IF($A847="","",IF(COUNTIF($A$6:$A847,$A847)=1,1,0))</f>
        <v/>
      </c>
      <c r="AB847">
        <f>SUM($AA$6:$AA847)</f>
        <v>3</v>
      </c>
      <c r="AC847" t="str">
        <f t="shared" si="97"/>
        <v/>
      </c>
    </row>
    <row r="848" spans="1:29" x14ac:dyDescent="0.2">
      <c r="A848" t="str">
        <f>IF(OR(Entry!$B851="",Entry!$E851="",$E848="نامعتبر"),"",Entry!$E851)</f>
        <v/>
      </c>
      <c r="B848" t="str">
        <f>IF($A848="","",LEFT($E848,4)&amp;MID($E848,6,2)&amp;RIGHT($E848,2)&amp;$F848&amp;"|"&amp;"1"&amp;RIGHT("00000"&amp;843,5))</f>
        <v/>
      </c>
      <c r="C848" t="str">
        <f t="shared" si="91"/>
        <v/>
      </c>
      <c r="D848" t="str">
        <f t="shared" si="92"/>
        <v/>
      </c>
      <c r="E848" t="str">
        <f>IF(Entry!$B851="","",IF(ISNUMBER(Entry!$B851),IF(AND(Entry!$B851&gt;=10000101,Entry!$B851&lt;=99991231),INT(Entry!$B851/10000)&amp;"/"&amp;RIGHT("00"&amp;INT(MOD(Entry!$B851,10000)/100),2)&amp;"/"&amp;RIGHT("00"&amp;MOD(Entry!$B851,100),2),"نامعتبر"),IF(LEN(Entry!$B851)=10,Entry!$B851,"نامعتبر")))</f>
        <v/>
      </c>
      <c r="F848" t="str">
        <f>IF(Entry!$B851="","",IF(Entry!$C851="","0000",IF(AND(ISNUMBER(Entry!$C851),Entry!$C851&gt;=0,Entry!$C851&lt;1),RIGHT("00"&amp;HOUR(Entry!$C851),2)&amp;RIGHT("00"&amp;MINUTE(Entry!$C851),2),IFERROR(RIGHT("00"&amp;VALUE(LEFT(Entry!$C851,FIND(":",Entry!$C851)-1)),2)&amp;RIGHT("00"&amp;VALUE(MID(Entry!$C851,FIND(":",Entry!$C851)+1,2)),2),"0000"))))</f>
        <v/>
      </c>
      <c r="G848" t="str">
        <f>IF($A848="","",Entry!$G851)</f>
        <v/>
      </c>
      <c r="H848" t="str">
        <f>IF($A848="","",IF(Entry!$H851="",0,Entry!$H851))</f>
        <v/>
      </c>
      <c r="I848" t="str">
        <f>IF($A848="","",IF(Entry!$I851="",0,Entry!$I851))</f>
        <v/>
      </c>
      <c r="J848" t="str">
        <f t="shared" si="93"/>
        <v/>
      </c>
      <c r="K848" t="str">
        <f>IF($A848="","",Entry!$D851)</f>
        <v/>
      </c>
      <c r="L848" t="str">
        <f>IF($A848="","",Entry!$L851)</f>
        <v/>
      </c>
      <c r="N848" t="str">
        <f>IF(OR(Sync!$M848="",$Q848="",$Q848="نامعتبر"),"",Sync!$M848)</f>
        <v/>
      </c>
      <c r="O848" t="str">
        <f t="shared" si="94"/>
        <v/>
      </c>
      <c r="P848" t="str">
        <f>IF($N848="","",LEFT($Q848,4)&amp;MID($Q848,6,2)&amp;RIGHT($Q848,2)&amp;IF(Sync!$K848="","0000",IF(AND(ISNUMBER(Sync!$K848),Sync!$K848&gt;=0,Sync!$K848&lt;1),RIGHT("00"&amp;HOUR(Sync!$K848),2)&amp;RIGHT("00"&amp;MINUTE(Sync!$K848),2),IFERROR(RIGHT("00"&amp;VALUE(LEFT(Sync!$K848,FIND(":",Sync!$K848)-1)),2)&amp;RIGHT("00"&amp;VALUE(MID(Sync!$K848,FIND(":",Sync!$K848)+1,2)),2),"0000")))&amp;"|"&amp;"2"&amp;RIGHT("00000"&amp;843,5))</f>
        <v/>
      </c>
      <c r="Q848" t="str">
        <f>IF(Sync!$J848="","",IF(ISNUMBER(Sync!$J848),IF(AND(Sync!$J848&gt;=10000101,Sync!$J848&lt;=99991231),INT(Sync!$J848/10000)&amp;"/"&amp;RIGHT("00"&amp;INT(MOD(Sync!$J848,10000)/100),2)&amp;"/"&amp;RIGHT("00"&amp;MOD(Sync!$J848,100),2),"نامعتبر"),IF(LEN(Sync!$J848)=10,Sync!$J848,"نامعتبر")))</f>
        <v/>
      </c>
      <c r="R848" t="str">
        <f t="shared" si="95"/>
        <v/>
      </c>
      <c r="S848" t="str">
        <f t="shared" si="96"/>
        <v/>
      </c>
      <c r="T848" t="str">
        <f>IF($N848="","",IF(Sync!$N848="",0,Sync!$N848))</f>
        <v/>
      </c>
      <c r="U848" t="str">
        <f>IF($N848="","",IF(Sync!$O848="",0,Sync!$O848))</f>
        <v/>
      </c>
      <c r="V848" t="str">
        <f>IF($N848="","",Sync!$L848)</f>
        <v/>
      </c>
      <c r="W848" t="str">
        <f>IF($N848="","",Sync!$P848)</f>
        <v/>
      </c>
      <c r="AA848" t="str">
        <f>IF($A848="","",IF(COUNTIF($A$6:$A848,$A848)=1,1,0))</f>
        <v/>
      </c>
      <c r="AB848">
        <f>SUM($AA$6:$AA848)</f>
        <v>3</v>
      </c>
      <c r="AC848" t="str">
        <f t="shared" si="97"/>
        <v/>
      </c>
    </row>
    <row r="849" spans="1:29" x14ac:dyDescent="0.2">
      <c r="A849" t="str">
        <f>IF(OR(Entry!$B852="",Entry!$E852="",$E849="نامعتبر"),"",Entry!$E852)</f>
        <v/>
      </c>
      <c r="B849" t="str">
        <f>IF($A849="","",LEFT($E849,4)&amp;MID($E849,6,2)&amp;RIGHT($E849,2)&amp;$F849&amp;"|"&amp;"1"&amp;RIGHT("00000"&amp;844,5))</f>
        <v/>
      </c>
      <c r="C849" t="str">
        <f t="shared" si="91"/>
        <v/>
      </c>
      <c r="D849" t="str">
        <f t="shared" si="92"/>
        <v/>
      </c>
      <c r="E849" t="str">
        <f>IF(Entry!$B852="","",IF(ISNUMBER(Entry!$B852),IF(AND(Entry!$B852&gt;=10000101,Entry!$B852&lt;=99991231),INT(Entry!$B852/10000)&amp;"/"&amp;RIGHT("00"&amp;INT(MOD(Entry!$B852,10000)/100),2)&amp;"/"&amp;RIGHT("00"&amp;MOD(Entry!$B852,100),2),"نامعتبر"),IF(LEN(Entry!$B852)=10,Entry!$B852,"نامعتبر")))</f>
        <v/>
      </c>
      <c r="F849" t="str">
        <f>IF(Entry!$B852="","",IF(Entry!$C852="","0000",IF(AND(ISNUMBER(Entry!$C852),Entry!$C852&gt;=0,Entry!$C852&lt;1),RIGHT("00"&amp;HOUR(Entry!$C852),2)&amp;RIGHT("00"&amp;MINUTE(Entry!$C852),2),IFERROR(RIGHT("00"&amp;VALUE(LEFT(Entry!$C852,FIND(":",Entry!$C852)-1)),2)&amp;RIGHT("00"&amp;VALUE(MID(Entry!$C852,FIND(":",Entry!$C852)+1,2)),2),"0000"))))</f>
        <v/>
      </c>
      <c r="G849" t="str">
        <f>IF($A849="","",Entry!$G852)</f>
        <v/>
      </c>
      <c r="H849" t="str">
        <f>IF($A849="","",IF(Entry!$H852="",0,Entry!$H852))</f>
        <v/>
      </c>
      <c r="I849" t="str">
        <f>IF($A849="","",IF(Entry!$I852="",0,Entry!$I852))</f>
        <v/>
      </c>
      <c r="J849" t="str">
        <f t="shared" si="93"/>
        <v/>
      </c>
      <c r="K849" t="str">
        <f>IF($A849="","",Entry!$D852)</f>
        <v/>
      </c>
      <c r="L849" t="str">
        <f>IF($A849="","",Entry!$L852)</f>
        <v/>
      </c>
      <c r="N849" t="str">
        <f>IF(OR(Sync!$M849="",$Q849="",$Q849="نامعتبر"),"",Sync!$M849)</f>
        <v/>
      </c>
      <c r="O849" t="str">
        <f t="shared" si="94"/>
        <v/>
      </c>
      <c r="P849" t="str">
        <f>IF($N849="","",LEFT($Q849,4)&amp;MID($Q849,6,2)&amp;RIGHT($Q849,2)&amp;IF(Sync!$K849="","0000",IF(AND(ISNUMBER(Sync!$K849),Sync!$K849&gt;=0,Sync!$K849&lt;1),RIGHT("00"&amp;HOUR(Sync!$K849),2)&amp;RIGHT("00"&amp;MINUTE(Sync!$K849),2),IFERROR(RIGHT("00"&amp;VALUE(LEFT(Sync!$K849,FIND(":",Sync!$K849)-1)),2)&amp;RIGHT("00"&amp;VALUE(MID(Sync!$K849,FIND(":",Sync!$K849)+1,2)),2),"0000")))&amp;"|"&amp;"2"&amp;RIGHT("00000"&amp;844,5))</f>
        <v/>
      </c>
      <c r="Q849" t="str">
        <f>IF(Sync!$J849="","",IF(ISNUMBER(Sync!$J849),IF(AND(Sync!$J849&gt;=10000101,Sync!$J849&lt;=99991231),INT(Sync!$J849/10000)&amp;"/"&amp;RIGHT("00"&amp;INT(MOD(Sync!$J849,10000)/100),2)&amp;"/"&amp;RIGHT("00"&amp;MOD(Sync!$J849,100),2),"نامعتبر"),IF(LEN(Sync!$J849)=10,Sync!$J849,"نامعتبر")))</f>
        <v/>
      </c>
      <c r="R849" t="str">
        <f t="shared" si="95"/>
        <v/>
      </c>
      <c r="S849" t="str">
        <f t="shared" si="96"/>
        <v/>
      </c>
      <c r="T849" t="str">
        <f>IF($N849="","",IF(Sync!$N849="",0,Sync!$N849))</f>
        <v/>
      </c>
      <c r="U849" t="str">
        <f>IF($N849="","",IF(Sync!$O849="",0,Sync!$O849))</f>
        <v/>
      </c>
      <c r="V849" t="str">
        <f>IF($N849="","",Sync!$L849)</f>
        <v/>
      </c>
      <c r="W849" t="str">
        <f>IF($N849="","",Sync!$P849)</f>
        <v/>
      </c>
      <c r="AA849" t="str">
        <f>IF($A849="","",IF(COUNTIF($A$6:$A849,$A849)=1,1,0))</f>
        <v/>
      </c>
      <c r="AB849">
        <f>SUM($AA$6:$AA849)</f>
        <v>3</v>
      </c>
      <c r="AC849" t="str">
        <f t="shared" si="97"/>
        <v/>
      </c>
    </row>
    <row r="850" spans="1:29" x14ac:dyDescent="0.2">
      <c r="A850" t="str">
        <f>IF(OR(Entry!$B853="",Entry!$E853="",$E850="نامعتبر"),"",Entry!$E853)</f>
        <v/>
      </c>
      <c r="B850" t="str">
        <f>IF($A850="","",LEFT($E850,4)&amp;MID($E850,6,2)&amp;RIGHT($E850,2)&amp;$F850&amp;"|"&amp;"1"&amp;RIGHT("00000"&amp;845,5))</f>
        <v/>
      </c>
      <c r="C850" t="str">
        <f t="shared" si="91"/>
        <v/>
      </c>
      <c r="D850" t="str">
        <f t="shared" si="92"/>
        <v/>
      </c>
      <c r="E850" t="str">
        <f>IF(Entry!$B853="","",IF(ISNUMBER(Entry!$B853),IF(AND(Entry!$B853&gt;=10000101,Entry!$B853&lt;=99991231),INT(Entry!$B853/10000)&amp;"/"&amp;RIGHT("00"&amp;INT(MOD(Entry!$B853,10000)/100),2)&amp;"/"&amp;RIGHT("00"&amp;MOD(Entry!$B853,100),2),"نامعتبر"),IF(LEN(Entry!$B853)=10,Entry!$B853,"نامعتبر")))</f>
        <v/>
      </c>
      <c r="F850" t="str">
        <f>IF(Entry!$B853="","",IF(Entry!$C853="","0000",IF(AND(ISNUMBER(Entry!$C853),Entry!$C853&gt;=0,Entry!$C853&lt;1),RIGHT("00"&amp;HOUR(Entry!$C853),2)&amp;RIGHT("00"&amp;MINUTE(Entry!$C853),2),IFERROR(RIGHT("00"&amp;VALUE(LEFT(Entry!$C853,FIND(":",Entry!$C853)-1)),2)&amp;RIGHT("00"&amp;VALUE(MID(Entry!$C853,FIND(":",Entry!$C853)+1,2)),2),"0000"))))</f>
        <v/>
      </c>
      <c r="G850" t="str">
        <f>IF($A850="","",Entry!$G853)</f>
        <v/>
      </c>
      <c r="H850" t="str">
        <f>IF($A850="","",IF(Entry!$H853="",0,Entry!$H853))</f>
        <v/>
      </c>
      <c r="I850" t="str">
        <f>IF($A850="","",IF(Entry!$I853="",0,Entry!$I853))</f>
        <v/>
      </c>
      <c r="J850" t="str">
        <f t="shared" si="93"/>
        <v/>
      </c>
      <c r="K850" t="str">
        <f>IF($A850="","",Entry!$D853)</f>
        <v/>
      </c>
      <c r="L850" t="str">
        <f>IF($A850="","",Entry!$L853)</f>
        <v/>
      </c>
      <c r="N850" t="str">
        <f>IF(OR(Sync!$M850="",$Q850="",$Q850="نامعتبر"),"",Sync!$M850)</f>
        <v/>
      </c>
      <c r="O850" t="str">
        <f t="shared" si="94"/>
        <v/>
      </c>
      <c r="P850" t="str">
        <f>IF($N850="","",LEFT($Q850,4)&amp;MID($Q850,6,2)&amp;RIGHT($Q850,2)&amp;IF(Sync!$K850="","0000",IF(AND(ISNUMBER(Sync!$K850),Sync!$K850&gt;=0,Sync!$K850&lt;1),RIGHT("00"&amp;HOUR(Sync!$K850),2)&amp;RIGHT("00"&amp;MINUTE(Sync!$K850),2),IFERROR(RIGHT("00"&amp;VALUE(LEFT(Sync!$K850,FIND(":",Sync!$K850)-1)),2)&amp;RIGHT("00"&amp;VALUE(MID(Sync!$K850,FIND(":",Sync!$K850)+1,2)),2),"0000")))&amp;"|"&amp;"2"&amp;RIGHT("00000"&amp;845,5))</f>
        <v/>
      </c>
      <c r="Q850" t="str">
        <f>IF(Sync!$J850="","",IF(ISNUMBER(Sync!$J850),IF(AND(Sync!$J850&gt;=10000101,Sync!$J850&lt;=99991231),INT(Sync!$J850/10000)&amp;"/"&amp;RIGHT("00"&amp;INT(MOD(Sync!$J850,10000)/100),2)&amp;"/"&amp;RIGHT("00"&amp;MOD(Sync!$J850,100),2),"نامعتبر"),IF(LEN(Sync!$J850)=10,Sync!$J850,"نامعتبر")))</f>
        <v/>
      </c>
      <c r="R850" t="str">
        <f t="shared" si="95"/>
        <v/>
      </c>
      <c r="S850" t="str">
        <f t="shared" si="96"/>
        <v/>
      </c>
      <c r="T850" t="str">
        <f>IF($N850="","",IF(Sync!$N850="",0,Sync!$N850))</f>
        <v/>
      </c>
      <c r="U850" t="str">
        <f>IF($N850="","",IF(Sync!$O850="",0,Sync!$O850))</f>
        <v/>
      </c>
      <c r="V850" t="str">
        <f>IF($N850="","",Sync!$L850)</f>
        <v/>
      </c>
      <c r="W850" t="str">
        <f>IF($N850="","",Sync!$P850)</f>
        <v/>
      </c>
      <c r="AA850" t="str">
        <f>IF($A850="","",IF(COUNTIF($A$6:$A850,$A850)=1,1,0))</f>
        <v/>
      </c>
      <c r="AB850">
        <f>SUM($AA$6:$AA850)</f>
        <v>3</v>
      </c>
      <c r="AC850" t="str">
        <f t="shared" si="97"/>
        <v/>
      </c>
    </row>
    <row r="851" spans="1:29" x14ac:dyDescent="0.2">
      <c r="A851" t="str">
        <f>IF(OR(Entry!$B854="",Entry!$E854="",$E851="نامعتبر"),"",Entry!$E854)</f>
        <v/>
      </c>
      <c r="B851" t="str">
        <f>IF($A851="","",LEFT($E851,4)&amp;MID($E851,6,2)&amp;RIGHT($E851,2)&amp;$F851&amp;"|"&amp;"1"&amp;RIGHT("00000"&amp;846,5))</f>
        <v/>
      </c>
      <c r="C851" t="str">
        <f t="shared" si="91"/>
        <v/>
      </c>
      <c r="D851" t="str">
        <f t="shared" si="92"/>
        <v/>
      </c>
      <c r="E851" t="str">
        <f>IF(Entry!$B854="","",IF(ISNUMBER(Entry!$B854),IF(AND(Entry!$B854&gt;=10000101,Entry!$B854&lt;=99991231),INT(Entry!$B854/10000)&amp;"/"&amp;RIGHT("00"&amp;INT(MOD(Entry!$B854,10000)/100),2)&amp;"/"&amp;RIGHT("00"&amp;MOD(Entry!$B854,100),2),"نامعتبر"),IF(LEN(Entry!$B854)=10,Entry!$B854,"نامعتبر")))</f>
        <v/>
      </c>
      <c r="F851" t="str">
        <f>IF(Entry!$B854="","",IF(Entry!$C854="","0000",IF(AND(ISNUMBER(Entry!$C854),Entry!$C854&gt;=0,Entry!$C854&lt;1),RIGHT("00"&amp;HOUR(Entry!$C854),2)&amp;RIGHT("00"&amp;MINUTE(Entry!$C854),2),IFERROR(RIGHT("00"&amp;VALUE(LEFT(Entry!$C854,FIND(":",Entry!$C854)-1)),2)&amp;RIGHT("00"&amp;VALUE(MID(Entry!$C854,FIND(":",Entry!$C854)+1,2)),2),"0000"))))</f>
        <v/>
      </c>
      <c r="G851" t="str">
        <f>IF($A851="","",Entry!$G854)</f>
        <v/>
      </c>
      <c r="H851" t="str">
        <f>IF($A851="","",IF(Entry!$H854="",0,Entry!$H854))</f>
        <v/>
      </c>
      <c r="I851" t="str">
        <f>IF($A851="","",IF(Entry!$I854="",0,Entry!$I854))</f>
        <v/>
      </c>
      <c r="J851" t="str">
        <f t="shared" si="93"/>
        <v/>
      </c>
      <c r="K851" t="str">
        <f>IF($A851="","",Entry!$D854)</f>
        <v/>
      </c>
      <c r="L851" t="str">
        <f>IF($A851="","",Entry!$L854)</f>
        <v/>
      </c>
      <c r="N851" t="str">
        <f>IF(OR(Sync!$M851="",$Q851="",$Q851="نامعتبر"),"",Sync!$M851)</f>
        <v/>
      </c>
      <c r="O851" t="str">
        <f t="shared" si="94"/>
        <v/>
      </c>
      <c r="P851" t="str">
        <f>IF($N851="","",LEFT($Q851,4)&amp;MID($Q851,6,2)&amp;RIGHT($Q851,2)&amp;IF(Sync!$K851="","0000",IF(AND(ISNUMBER(Sync!$K851),Sync!$K851&gt;=0,Sync!$K851&lt;1),RIGHT("00"&amp;HOUR(Sync!$K851),2)&amp;RIGHT("00"&amp;MINUTE(Sync!$K851),2),IFERROR(RIGHT("00"&amp;VALUE(LEFT(Sync!$K851,FIND(":",Sync!$K851)-1)),2)&amp;RIGHT("00"&amp;VALUE(MID(Sync!$K851,FIND(":",Sync!$K851)+1,2)),2),"0000")))&amp;"|"&amp;"2"&amp;RIGHT("00000"&amp;846,5))</f>
        <v/>
      </c>
      <c r="Q851" t="str">
        <f>IF(Sync!$J851="","",IF(ISNUMBER(Sync!$J851),IF(AND(Sync!$J851&gt;=10000101,Sync!$J851&lt;=99991231),INT(Sync!$J851/10000)&amp;"/"&amp;RIGHT("00"&amp;INT(MOD(Sync!$J851,10000)/100),2)&amp;"/"&amp;RIGHT("00"&amp;MOD(Sync!$J851,100),2),"نامعتبر"),IF(LEN(Sync!$J851)=10,Sync!$J851,"نامعتبر")))</f>
        <v/>
      </c>
      <c r="R851" t="str">
        <f t="shared" si="95"/>
        <v/>
      </c>
      <c r="S851" t="str">
        <f t="shared" si="96"/>
        <v/>
      </c>
      <c r="T851" t="str">
        <f>IF($N851="","",IF(Sync!$N851="",0,Sync!$N851))</f>
        <v/>
      </c>
      <c r="U851" t="str">
        <f>IF($N851="","",IF(Sync!$O851="",0,Sync!$O851))</f>
        <v/>
      </c>
      <c r="V851" t="str">
        <f>IF($N851="","",Sync!$L851)</f>
        <v/>
      </c>
      <c r="W851" t="str">
        <f>IF($N851="","",Sync!$P851)</f>
        <v/>
      </c>
      <c r="AA851" t="str">
        <f>IF($A851="","",IF(COUNTIF($A$6:$A851,$A851)=1,1,0))</f>
        <v/>
      </c>
      <c r="AB851">
        <f>SUM($AA$6:$AA851)</f>
        <v>3</v>
      </c>
      <c r="AC851" t="str">
        <f t="shared" si="97"/>
        <v/>
      </c>
    </row>
    <row r="852" spans="1:29" x14ac:dyDescent="0.2">
      <c r="A852" t="str">
        <f>IF(OR(Entry!$B855="",Entry!$E855="",$E852="نامعتبر"),"",Entry!$E855)</f>
        <v/>
      </c>
      <c r="B852" t="str">
        <f>IF($A852="","",LEFT($E852,4)&amp;MID($E852,6,2)&amp;RIGHT($E852,2)&amp;$F852&amp;"|"&amp;"1"&amp;RIGHT("00000"&amp;847,5))</f>
        <v/>
      </c>
      <c r="C852" t="str">
        <f t="shared" si="91"/>
        <v/>
      </c>
      <c r="D852" t="str">
        <f t="shared" si="92"/>
        <v/>
      </c>
      <c r="E852" t="str">
        <f>IF(Entry!$B855="","",IF(ISNUMBER(Entry!$B855),IF(AND(Entry!$B855&gt;=10000101,Entry!$B855&lt;=99991231),INT(Entry!$B855/10000)&amp;"/"&amp;RIGHT("00"&amp;INT(MOD(Entry!$B855,10000)/100),2)&amp;"/"&amp;RIGHT("00"&amp;MOD(Entry!$B855,100),2),"نامعتبر"),IF(LEN(Entry!$B855)=10,Entry!$B855,"نامعتبر")))</f>
        <v/>
      </c>
      <c r="F852" t="str">
        <f>IF(Entry!$B855="","",IF(Entry!$C855="","0000",IF(AND(ISNUMBER(Entry!$C855),Entry!$C855&gt;=0,Entry!$C855&lt;1),RIGHT("00"&amp;HOUR(Entry!$C855),2)&amp;RIGHT("00"&amp;MINUTE(Entry!$C855),2),IFERROR(RIGHT("00"&amp;VALUE(LEFT(Entry!$C855,FIND(":",Entry!$C855)-1)),2)&amp;RIGHT("00"&amp;VALUE(MID(Entry!$C855,FIND(":",Entry!$C855)+1,2)),2),"0000"))))</f>
        <v/>
      </c>
      <c r="G852" t="str">
        <f>IF($A852="","",Entry!$G855)</f>
        <v/>
      </c>
      <c r="H852" t="str">
        <f>IF($A852="","",IF(Entry!$H855="",0,Entry!$H855))</f>
        <v/>
      </c>
      <c r="I852" t="str">
        <f>IF($A852="","",IF(Entry!$I855="",0,Entry!$I855))</f>
        <v/>
      </c>
      <c r="J852" t="str">
        <f t="shared" si="93"/>
        <v/>
      </c>
      <c r="K852" t="str">
        <f>IF($A852="","",Entry!$D855)</f>
        <v/>
      </c>
      <c r="L852" t="str">
        <f>IF($A852="","",Entry!$L855)</f>
        <v/>
      </c>
      <c r="N852" t="str">
        <f>IF(OR(Sync!$M852="",$Q852="",$Q852="نامعتبر"),"",Sync!$M852)</f>
        <v/>
      </c>
      <c r="O852" t="str">
        <f t="shared" si="94"/>
        <v/>
      </c>
      <c r="P852" t="str">
        <f>IF($N852="","",LEFT($Q852,4)&amp;MID($Q852,6,2)&amp;RIGHT($Q852,2)&amp;IF(Sync!$K852="","0000",IF(AND(ISNUMBER(Sync!$K852),Sync!$K852&gt;=0,Sync!$K852&lt;1),RIGHT("00"&amp;HOUR(Sync!$K852),2)&amp;RIGHT("00"&amp;MINUTE(Sync!$K852),2),IFERROR(RIGHT("00"&amp;VALUE(LEFT(Sync!$K852,FIND(":",Sync!$K852)-1)),2)&amp;RIGHT("00"&amp;VALUE(MID(Sync!$K852,FIND(":",Sync!$K852)+1,2)),2),"0000")))&amp;"|"&amp;"2"&amp;RIGHT("00000"&amp;847,5))</f>
        <v/>
      </c>
      <c r="Q852" t="str">
        <f>IF(Sync!$J852="","",IF(ISNUMBER(Sync!$J852),IF(AND(Sync!$J852&gt;=10000101,Sync!$J852&lt;=99991231),INT(Sync!$J852/10000)&amp;"/"&amp;RIGHT("00"&amp;INT(MOD(Sync!$J852,10000)/100),2)&amp;"/"&amp;RIGHT("00"&amp;MOD(Sync!$J852,100),2),"نامعتبر"),IF(LEN(Sync!$J852)=10,Sync!$J852,"نامعتبر")))</f>
        <v/>
      </c>
      <c r="R852" t="str">
        <f t="shared" si="95"/>
        <v/>
      </c>
      <c r="S852" t="str">
        <f t="shared" si="96"/>
        <v/>
      </c>
      <c r="T852" t="str">
        <f>IF($N852="","",IF(Sync!$N852="",0,Sync!$N852))</f>
        <v/>
      </c>
      <c r="U852" t="str">
        <f>IF($N852="","",IF(Sync!$O852="",0,Sync!$O852))</f>
        <v/>
      </c>
      <c r="V852" t="str">
        <f>IF($N852="","",Sync!$L852)</f>
        <v/>
      </c>
      <c r="W852" t="str">
        <f>IF($N852="","",Sync!$P852)</f>
        <v/>
      </c>
      <c r="AA852" t="str">
        <f>IF($A852="","",IF(COUNTIF($A$6:$A852,$A852)=1,1,0))</f>
        <v/>
      </c>
      <c r="AB852">
        <f>SUM($AA$6:$AA852)</f>
        <v>3</v>
      </c>
      <c r="AC852" t="str">
        <f t="shared" si="97"/>
        <v/>
      </c>
    </row>
    <row r="853" spans="1:29" x14ac:dyDescent="0.2">
      <c r="A853" t="str">
        <f>IF(OR(Entry!$B856="",Entry!$E856="",$E853="نامعتبر"),"",Entry!$E856)</f>
        <v/>
      </c>
      <c r="B853" t="str">
        <f>IF($A853="","",LEFT($E853,4)&amp;MID($E853,6,2)&amp;RIGHT($E853,2)&amp;$F853&amp;"|"&amp;"1"&amp;RIGHT("00000"&amp;848,5))</f>
        <v/>
      </c>
      <c r="C853" t="str">
        <f t="shared" si="91"/>
        <v/>
      </c>
      <c r="D853" t="str">
        <f t="shared" si="92"/>
        <v/>
      </c>
      <c r="E853" t="str">
        <f>IF(Entry!$B856="","",IF(ISNUMBER(Entry!$B856),IF(AND(Entry!$B856&gt;=10000101,Entry!$B856&lt;=99991231),INT(Entry!$B856/10000)&amp;"/"&amp;RIGHT("00"&amp;INT(MOD(Entry!$B856,10000)/100),2)&amp;"/"&amp;RIGHT("00"&amp;MOD(Entry!$B856,100),2),"نامعتبر"),IF(LEN(Entry!$B856)=10,Entry!$B856,"نامعتبر")))</f>
        <v/>
      </c>
      <c r="F853" t="str">
        <f>IF(Entry!$B856="","",IF(Entry!$C856="","0000",IF(AND(ISNUMBER(Entry!$C856),Entry!$C856&gt;=0,Entry!$C856&lt;1),RIGHT("00"&amp;HOUR(Entry!$C856),2)&amp;RIGHT("00"&amp;MINUTE(Entry!$C856),2),IFERROR(RIGHT("00"&amp;VALUE(LEFT(Entry!$C856,FIND(":",Entry!$C856)-1)),2)&amp;RIGHT("00"&amp;VALUE(MID(Entry!$C856,FIND(":",Entry!$C856)+1,2)),2),"0000"))))</f>
        <v/>
      </c>
      <c r="G853" t="str">
        <f>IF($A853="","",Entry!$G856)</f>
        <v/>
      </c>
      <c r="H853" t="str">
        <f>IF($A853="","",IF(Entry!$H856="",0,Entry!$H856))</f>
        <v/>
      </c>
      <c r="I853" t="str">
        <f>IF($A853="","",IF(Entry!$I856="",0,Entry!$I856))</f>
        <v/>
      </c>
      <c r="J853" t="str">
        <f t="shared" si="93"/>
        <v/>
      </c>
      <c r="K853" t="str">
        <f>IF($A853="","",Entry!$D856)</f>
        <v/>
      </c>
      <c r="L853" t="str">
        <f>IF($A853="","",Entry!$L856)</f>
        <v/>
      </c>
      <c r="N853" t="str">
        <f>IF(OR(Sync!$M853="",$Q853="",$Q853="نامعتبر"),"",Sync!$M853)</f>
        <v/>
      </c>
      <c r="O853" t="str">
        <f t="shared" si="94"/>
        <v/>
      </c>
      <c r="P853" t="str">
        <f>IF($N853="","",LEFT($Q853,4)&amp;MID($Q853,6,2)&amp;RIGHT($Q853,2)&amp;IF(Sync!$K853="","0000",IF(AND(ISNUMBER(Sync!$K853),Sync!$K853&gt;=0,Sync!$K853&lt;1),RIGHT("00"&amp;HOUR(Sync!$K853),2)&amp;RIGHT("00"&amp;MINUTE(Sync!$K853),2),IFERROR(RIGHT("00"&amp;VALUE(LEFT(Sync!$K853,FIND(":",Sync!$K853)-1)),2)&amp;RIGHT("00"&amp;VALUE(MID(Sync!$K853,FIND(":",Sync!$K853)+1,2)),2),"0000")))&amp;"|"&amp;"2"&amp;RIGHT("00000"&amp;848,5))</f>
        <v/>
      </c>
      <c r="Q853" t="str">
        <f>IF(Sync!$J853="","",IF(ISNUMBER(Sync!$J853),IF(AND(Sync!$J853&gt;=10000101,Sync!$J853&lt;=99991231),INT(Sync!$J853/10000)&amp;"/"&amp;RIGHT("00"&amp;INT(MOD(Sync!$J853,10000)/100),2)&amp;"/"&amp;RIGHT("00"&amp;MOD(Sync!$J853,100),2),"نامعتبر"),IF(LEN(Sync!$J853)=10,Sync!$J853,"نامعتبر")))</f>
        <v/>
      </c>
      <c r="R853" t="str">
        <f t="shared" si="95"/>
        <v/>
      </c>
      <c r="S853" t="str">
        <f t="shared" si="96"/>
        <v/>
      </c>
      <c r="T853" t="str">
        <f>IF($N853="","",IF(Sync!$N853="",0,Sync!$N853))</f>
        <v/>
      </c>
      <c r="U853" t="str">
        <f>IF($N853="","",IF(Sync!$O853="",0,Sync!$O853))</f>
        <v/>
      </c>
      <c r="V853" t="str">
        <f>IF($N853="","",Sync!$L853)</f>
        <v/>
      </c>
      <c r="W853" t="str">
        <f>IF($N853="","",Sync!$P853)</f>
        <v/>
      </c>
      <c r="AA853" t="str">
        <f>IF($A853="","",IF(COUNTIF($A$6:$A853,$A853)=1,1,0))</f>
        <v/>
      </c>
      <c r="AB853">
        <f>SUM($AA$6:$AA853)</f>
        <v>3</v>
      </c>
      <c r="AC853" t="str">
        <f t="shared" si="97"/>
        <v/>
      </c>
    </row>
    <row r="854" spans="1:29" x14ac:dyDescent="0.2">
      <c r="A854" t="str">
        <f>IF(OR(Entry!$B857="",Entry!$E857="",$E854="نامعتبر"),"",Entry!$E857)</f>
        <v/>
      </c>
      <c r="B854" t="str">
        <f>IF($A854="","",LEFT($E854,4)&amp;MID($E854,6,2)&amp;RIGHT($E854,2)&amp;$F854&amp;"|"&amp;"1"&amp;RIGHT("00000"&amp;849,5))</f>
        <v/>
      </c>
      <c r="C854" t="str">
        <f t="shared" si="91"/>
        <v/>
      </c>
      <c r="D854" t="str">
        <f t="shared" si="92"/>
        <v/>
      </c>
      <c r="E854" t="str">
        <f>IF(Entry!$B857="","",IF(ISNUMBER(Entry!$B857),IF(AND(Entry!$B857&gt;=10000101,Entry!$B857&lt;=99991231),INT(Entry!$B857/10000)&amp;"/"&amp;RIGHT("00"&amp;INT(MOD(Entry!$B857,10000)/100),2)&amp;"/"&amp;RIGHT("00"&amp;MOD(Entry!$B857,100),2),"نامعتبر"),IF(LEN(Entry!$B857)=10,Entry!$B857,"نامعتبر")))</f>
        <v/>
      </c>
      <c r="F854" t="str">
        <f>IF(Entry!$B857="","",IF(Entry!$C857="","0000",IF(AND(ISNUMBER(Entry!$C857),Entry!$C857&gt;=0,Entry!$C857&lt;1),RIGHT("00"&amp;HOUR(Entry!$C857),2)&amp;RIGHT("00"&amp;MINUTE(Entry!$C857),2),IFERROR(RIGHT("00"&amp;VALUE(LEFT(Entry!$C857,FIND(":",Entry!$C857)-1)),2)&amp;RIGHT("00"&amp;VALUE(MID(Entry!$C857,FIND(":",Entry!$C857)+1,2)),2),"0000"))))</f>
        <v/>
      </c>
      <c r="G854" t="str">
        <f>IF($A854="","",Entry!$G857)</f>
        <v/>
      </c>
      <c r="H854" t="str">
        <f>IF($A854="","",IF(Entry!$H857="",0,Entry!$H857))</f>
        <v/>
      </c>
      <c r="I854" t="str">
        <f>IF($A854="","",IF(Entry!$I857="",0,Entry!$I857))</f>
        <v/>
      </c>
      <c r="J854" t="str">
        <f t="shared" si="93"/>
        <v/>
      </c>
      <c r="K854" t="str">
        <f>IF($A854="","",Entry!$D857)</f>
        <v/>
      </c>
      <c r="L854" t="str">
        <f>IF($A854="","",Entry!$L857)</f>
        <v/>
      </c>
      <c r="N854" t="str">
        <f>IF(OR(Sync!$M854="",$Q854="",$Q854="نامعتبر"),"",Sync!$M854)</f>
        <v/>
      </c>
      <c r="O854" t="str">
        <f t="shared" si="94"/>
        <v/>
      </c>
      <c r="P854" t="str">
        <f>IF($N854="","",LEFT($Q854,4)&amp;MID($Q854,6,2)&amp;RIGHT($Q854,2)&amp;IF(Sync!$K854="","0000",IF(AND(ISNUMBER(Sync!$K854),Sync!$K854&gt;=0,Sync!$K854&lt;1),RIGHT("00"&amp;HOUR(Sync!$K854),2)&amp;RIGHT("00"&amp;MINUTE(Sync!$K854),2),IFERROR(RIGHT("00"&amp;VALUE(LEFT(Sync!$K854,FIND(":",Sync!$K854)-1)),2)&amp;RIGHT("00"&amp;VALUE(MID(Sync!$K854,FIND(":",Sync!$K854)+1,2)),2),"0000")))&amp;"|"&amp;"2"&amp;RIGHT("00000"&amp;849,5))</f>
        <v/>
      </c>
      <c r="Q854" t="str">
        <f>IF(Sync!$J854="","",IF(ISNUMBER(Sync!$J854),IF(AND(Sync!$J854&gt;=10000101,Sync!$J854&lt;=99991231),INT(Sync!$J854/10000)&amp;"/"&amp;RIGHT("00"&amp;INT(MOD(Sync!$J854,10000)/100),2)&amp;"/"&amp;RIGHT("00"&amp;MOD(Sync!$J854,100),2),"نامعتبر"),IF(LEN(Sync!$J854)=10,Sync!$J854,"نامعتبر")))</f>
        <v/>
      </c>
      <c r="R854" t="str">
        <f t="shared" si="95"/>
        <v/>
      </c>
      <c r="S854" t="str">
        <f t="shared" si="96"/>
        <v/>
      </c>
      <c r="T854" t="str">
        <f>IF($N854="","",IF(Sync!$N854="",0,Sync!$N854))</f>
        <v/>
      </c>
      <c r="U854" t="str">
        <f>IF($N854="","",IF(Sync!$O854="",0,Sync!$O854))</f>
        <v/>
      </c>
      <c r="V854" t="str">
        <f>IF($N854="","",Sync!$L854)</f>
        <v/>
      </c>
      <c r="W854" t="str">
        <f>IF($N854="","",Sync!$P854)</f>
        <v/>
      </c>
      <c r="AA854" t="str">
        <f>IF($A854="","",IF(COUNTIF($A$6:$A854,$A854)=1,1,0))</f>
        <v/>
      </c>
      <c r="AB854">
        <f>SUM($AA$6:$AA854)</f>
        <v>3</v>
      </c>
      <c r="AC854" t="str">
        <f t="shared" si="97"/>
        <v/>
      </c>
    </row>
    <row r="855" spans="1:29" x14ac:dyDescent="0.2">
      <c r="A855" t="str">
        <f>IF(OR(Entry!$B858="",Entry!$E858="",$E855="نامعتبر"),"",Entry!$E858)</f>
        <v/>
      </c>
      <c r="B855" t="str">
        <f>IF($A855="","",LEFT($E855,4)&amp;MID($E855,6,2)&amp;RIGHT($E855,2)&amp;$F855&amp;"|"&amp;"1"&amp;RIGHT("00000"&amp;850,5))</f>
        <v/>
      </c>
      <c r="C855" t="str">
        <f t="shared" si="91"/>
        <v/>
      </c>
      <c r="D855" t="str">
        <f t="shared" si="92"/>
        <v/>
      </c>
      <c r="E855" t="str">
        <f>IF(Entry!$B858="","",IF(ISNUMBER(Entry!$B858),IF(AND(Entry!$B858&gt;=10000101,Entry!$B858&lt;=99991231),INT(Entry!$B858/10000)&amp;"/"&amp;RIGHT("00"&amp;INT(MOD(Entry!$B858,10000)/100),2)&amp;"/"&amp;RIGHT("00"&amp;MOD(Entry!$B858,100),2),"نامعتبر"),IF(LEN(Entry!$B858)=10,Entry!$B858,"نامعتبر")))</f>
        <v/>
      </c>
      <c r="F855" t="str">
        <f>IF(Entry!$B858="","",IF(Entry!$C858="","0000",IF(AND(ISNUMBER(Entry!$C858),Entry!$C858&gt;=0,Entry!$C858&lt;1),RIGHT("00"&amp;HOUR(Entry!$C858),2)&amp;RIGHT("00"&amp;MINUTE(Entry!$C858),2),IFERROR(RIGHT("00"&amp;VALUE(LEFT(Entry!$C858,FIND(":",Entry!$C858)-1)),2)&amp;RIGHT("00"&amp;VALUE(MID(Entry!$C858,FIND(":",Entry!$C858)+1,2)),2),"0000"))))</f>
        <v/>
      </c>
      <c r="G855" t="str">
        <f>IF($A855="","",Entry!$G858)</f>
        <v/>
      </c>
      <c r="H855" t="str">
        <f>IF($A855="","",IF(Entry!$H858="",0,Entry!$H858))</f>
        <v/>
      </c>
      <c r="I855" t="str">
        <f>IF($A855="","",IF(Entry!$I858="",0,Entry!$I858))</f>
        <v/>
      </c>
      <c r="J855" t="str">
        <f t="shared" si="93"/>
        <v/>
      </c>
      <c r="K855" t="str">
        <f>IF($A855="","",Entry!$D858)</f>
        <v/>
      </c>
      <c r="L855" t="str">
        <f>IF($A855="","",Entry!$L858)</f>
        <v/>
      </c>
      <c r="N855" t="str">
        <f>IF(OR(Sync!$M855="",$Q855="",$Q855="نامعتبر"),"",Sync!$M855)</f>
        <v/>
      </c>
      <c r="O855" t="str">
        <f t="shared" si="94"/>
        <v/>
      </c>
      <c r="P855" t="str">
        <f>IF($N855="","",LEFT($Q855,4)&amp;MID($Q855,6,2)&amp;RIGHT($Q855,2)&amp;IF(Sync!$K855="","0000",IF(AND(ISNUMBER(Sync!$K855),Sync!$K855&gt;=0,Sync!$K855&lt;1),RIGHT("00"&amp;HOUR(Sync!$K855),2)&amp;RIGHT("00"&amp;MINUTE(Sync!$K855),2),IFERROR(RIGHT("00"&amp;VALUE(LEFT(Sync!$K855,FIND(":",Sync!$K855)-1)),2)&amp;RIGHT("00"&amp;VALUE(MID(Sync!$K855,FIND(":",Sync!$K855)+1,2)),2),"0000")))&amp;"|"&amp;"2"&amp;RIGHT("00000"&amp;850,5))</f>
        <v/>
      </c>
      <c r="Q855" t="str">
        <f>IF(Sync!$J855="","",IF(ISNUMBER(Sync!$J855),IF(AND(Sync!$J855&gt;=10000101,Sync!$J855&lt;=99991231),INT(Sync!$J855/10000)&amp;"/"&amp;RIGHT("00"&amp;INT(MOD(Sync!$J855,10000)/100),2)&amp;"/"&amp;RIGHT("00"&amp;MOD(Sync!$J855,100),2),"نامعتبر"),IF(LEN(Sync!$J855)=10,Sync!$J855,"نامعتبر")))</f>
        <v/>
      </c>
      <c r="R855" t="str">
        <f t="shared" si="95"/>
        <v/>
      </c>
      <c r="S855" t="str">
        <f t="shared" si="96"/>
        <v/>
      </c>
      <c r="T855" t="str">
        <f>IF($N855="","",IF(Sync!$N855="",0,Sync!$N855))</f>
        <v/>
      </c>
      <c r="U855" t="str">
        <f>IF($N855="","",IF(Sync!$O855="",0,Sync!$O855))</f>
        <v/>
      </c>
      <c r="V855" t="str">
        <f>IF($N855="","",Sync!$L855)</f>
        <v/>
      </c>
      <c r="W855" t="str">
        <f>IF($N855="","",Sync!$P855)</f>
        <v/>
      </c>
      <c r="AA855" t="str">
        <f>IF($A855="","",IF(COUNTIF($A$6:$A855,$A855)=1,1,0))</f>
        <v/>
      </c>
      <c r="AB855">
        <f>SUM($AA$6:$AA855)</f>
        <v>3</v>
      </c>
      <c r="AC855" t="str">
        <f t="shared" si="97"/>
        <v/>
      </c>
    </row>
    <row r="856" spans="1:29" x14ac:dyDescent="0.2">
      <c r="A856" t="str">
        <f>IF(OR(Entry!$B859="",Entry!$E859="",$E856="نامعتبر"),"",Entry!$E859)</f>
        <v/>
      </c>
      <c r="B856" t="str">
        <f>IF($A856="","",LEFT($E856,4)&amp;MID($E856,6,2)&amp;RIGHT($E856,2)&amp;$F856&amp;"|"&amp;"1"&amp;RIGHT("00000"&amp;851,5))</f>
        <v/>
      </c>
      <c r="C856" t="str">
        <f t="shared" si="91"/>
        <v/>
      </c>
      <c r="D856" t="str">
        <f t="shared" si="92"/>
        <v/>
      </c>
      <c r="E856" t="str">
        <f>IF(Entry!$B859="","",IF(ISNUMBER(Entry!$B859),IF(AND(Entry!$B859&gt;=10000101,Entry!$B859&lt;=99991231),INT(Entry!$B859/10000)&amp;"/"&amp;RIGHT("00"&amp;INT(MOD(Entry!$B859,10000)/100),2)&amp;"/"&amp;RIGHT("00"&amp;MOD(Entry!$B859,100),2),"نامعتبر"),IF(LEN(Entry!$B859)=10,Entry!$B859,"نامعتبر")))</f>
        <v/>
      </c>
      <c r="F856" t="str">
        <f>IF(Entry!$B859="","",IF(Entry!$C859="","0000",IF(AND(ISNUMBER(Entry!$C859),Entry!$C859&gt;=0,Entry!$C859&lt;1),RIGHT("00"&amp;HOUR(Entry!$C859),2)&amp;RIGHT("00"&amp;MINUTE(Entry!$C859),2),IFERROR(RIGHT("00"&amp;VALUE(LEFT(Entry!$C859,FIND(":",Entry!$C859)-1)),2)&amp;RIGHT("00"&amp;VALUE(MID(Entry!$C859,FIND(":",Entry!$C859)+1,2)),2),"0000"))))</f>
        <v/>
      </c>
      <c r="G856" t="str">
        <f>IF($A856="","",Entry!$G859)</f>
        <v/>
      </c>
      <c r="H856" t="str">
        <f>IF($A856="","",IF(Entry!$H859="",0,Entry!$H859))</f>
        <v/>
      </c>
      <c r="I856" t="str">
        <f>IF($A856="","",IF(Entry!$I859="",0,Entry!$I859))</f>
        <v/>
      </c>
      <c r="J856" t="str">
        <f t="shared" si="93"/>
        <v/>
      </c>
      <c r="K856" t="str">
        <f>IF($A856="","",Entry!$D859)</f>
        <v/>
      </c>
      <c r="L856" t="str">
        <f>IF($A856="","",Entry!$L859)</f>
        <v/>
      </c>
      <c r="N856" t="str">
        <f>IF(OR(Sync!$M856="",$Q856="",$Q856="نامعتبر"),"",Sync!$M856)</f>
        <v/>
      </c>
      <c r="O856" t="str">
        <f t="shared" si="94"/>
        <v/>
      </c>
      <c r="P856" t="str">
        <f>IF($N856="","",LEFT($Q856,4)&amp;MID($Q856,6,2)&amp;RIGHT($Q856,2)&amp;IF(Sync!$K856="","0000",IF(AND(ISNUMBER(Sync!$K856),Sync!$K856&gt;=0,Sync!$K856&lt;1),RIGHT("00"&amp;HOUR(Sync!$K856),2)&amp;RIGHT("00"&amp;MINUTE(Sync!$K856),2),IFERROR(RIGHT("00"&amp;VALUE(LEFT(Sync!$K856,FIND(":",Sync!$K856)-1)),2)&amp;RIGHT("00"&amp;VALUE(MID(Sync!$K856,FIND(":",Sync!$K856)+1,2)),2),"0000")))&amp;"|"&amp;"2"&amp;RIGHT("00000"&amp;851,5))</f>
        <v/>
      </c>
      <c r="Q856" t="str">
        <f>IF(Sync!$J856="","",IF(ISNUMBER(Sync!$J856),IF(AND(Sync!$J856&gt;=10000101,Sync!$J856&lt;=99991231),INT(Sync!$J856/10000)&amp;"/"&amp;RIGHT("00"&amp;INT(MOD(Sync!$J856,10000)/100),2)&amp;"/"&amp;RIGHT("00"&amp;MOD(Sync!$J856,100),2),"نامعتبر"),IF(LEN(Sync!$J856)=10,Sync!$J856,"نامعتبر")))</f>
        <v/>
      </c>
      <c r="R856" t="str">
        <f t="shared" si="95"/>
        <v/>
      </c>
      <c r="S856" t="str">
        <f t="shared" si="96"/>
        <v/>
      </c>
      <c r="T856" t="str">
        <f>IF($N856="","",IF(Sync!$N856="",0,Sync!$N856))</f>
        <v/>
      </c>
      <c r="U856" t="str">
        <f>IF($N856="","",IF(Sync!$O856="",0,Sync!$O856))</f>
        <v/>
      </c>
      <c r="V856" t="str">
        <f>IF($N856="","",Sync!$L856)</f>
        <v/>
      </c>
      <c r="W856" t="str">
        <f>IF($N856="","",Sync!$P856)</f>
        <v/>
      </c>
      <c r="AA856" t="str">
        <f>IF($A856="","",IF(COUNTIF($A$6:$A856,$A856)=1,1,0))</f>
        <v/>
      </c>
      <c r="AB856">
        <f>SUM($AA$6:$AA856)</f>
        <v>3</v>
      </c>
      <c r="AC856" t="str">
        <f t="shared" si="97"/>
        <v/>
      </c>
    </row>
    <row r="857" spans="1:29" x14ac:dyDescent="0.2">
      <c r="A857" t="str">
        <f>IF(OR(Entry!$B860="",Entry!$E860="",$E857="نامعتبر"),"",Entry!$E860)</f>
        <v/>
      </c>
      <c r="B857" t="str">
        <f>IF($A857="","",LEFT($E857,4)&amp;MID($E857,6,2)&amp;RIGHT($E857,2)&amp;$F857&amp;"|"&amp;"1"&amp;RIGHT("00000"&amp;852,5))</f>
        <v/>
      </c>
      <c r="C857" t="str">
        <f t="shared" si="91"/>
        <v/>
      </c>
      <c r="D857" t="str">
        <f t="shared" si="92"/>
        <v/>
      </c>
      <c r="E857" t="str">
        <f>IF(Entry!$B860="","",IF(ISNUMBER(Entry!$B860),IF(AND(Entry!$B860&gt;=10000101,Entry!$B860&lt;=99991231),INT(Entry!$B860/10000)&amp;"/"&amp;RIGHT("00"&amp;INT(MOD(Entry!$B860,10000)/100),2)&amp;"/"&amp;RIGHT("00"&amp;MOD(Entry!$B860,100),2),"نامعتبر"),IF(LEN(Entry!$B860)=10,Entry!$B860,"نامعتبر")))</f>
        <v/>
      </c>
      <c r="F857" t="str">
        <f>IF(Entry!$B860="","",IF(Entry!$C860="","0000",IF(AND(ISNUMBER(Entry!$C860),Entry!$C860&gt;=0,Entry!$C860&lt;1),RIGHT("00"&amp;HOUR(Entry!$C860),2)&amp;RIGHT("00"&amp;MINUTE(Entry!$C860),2),IFERROR(RIGHT("00"&amp;VALUE(LEFT(Entry!$C860,FIND(":",Entry!$C860)-1)),2)&amp;RIGHT("00"&amp;VALUE(MID(Entry!$C860,FIND(":",Entry!$C860)+1,2)),2),"0000"))))</f>
        <v/>
      </c>
      <c r="G857" t="str">
        <f>IF($A857="","",Entry!$G860)</f>
        <v/>
      </c>
      <c r="H857" t="str">
        <f>IF($A857="","",IF(Entry!$H860="",0,Entry!$H860))</f>
        <v/>
      </c>
      <c r="I857" t="str">
        <f>IF($A857="","",IF(Entry!$I860="",0,Entry!$I860))</f>
        <v/>
      </c>
      <c r="J857" t="str">
        <f t="shared" si="93"/>
        <v/>
      </c>
      <c r="K857" t="str">
        <f>IF($A857="","",Entry!$D860)</f>
        <v/>
      </c>
      <c r="L857" t="str">
        <f>IF($A857="","",Entry!$L860)</f>
        <v/>
      </c>
      <c r="N857" t="str">
        <f>IF(OR(Sync!$M857="",$Q857="",$Q857="نامعتبر"),"",Sync!$M857)</f>
        <v/>
      </c>
      <c r="O857" t="str">
        <f t="shared" si="94"/>
        <v/>
      </c>
      <c r="P857" t="str">
        <f>IF($N857="","",LEFT($Q857,4)&amp;MID($Q857,6,2)&amp;RIGHT($Q857,2)&amp;IF(Sync!$K857="","0000",IF(AND(ISNUMBER(Sync!$K857),Sync!$K857&gt;=0,Sync!$K857&lt;1),RIGHT("00"&amp;HOUR(Sync!$K857),2)&amp;RIGHT("00"&amp;MINUTE(Sync!$K857),2),IFERROR(RIGHT("00"&amp;VALUE(LEFT(Sync!$K857,FIND(":",Sync!$K857)-1)),2)&amp;RIGHT("00"&amp;VALUE(MID(Sync!$K857,FIND(":",Sync!$K857)+1,2)),2),"0000")))&amp;"|"&amp;"2"&amp;RIGHT("00000"&amp;852,5))</f>
        <v/>
      </c>
      <c r="Q857" t="str">
        <f>IF(Sync!$J857="","",IF(ISNUMBER(Sync!$J857),IF(AND(Sync!$J857&gt;=10000101,Sync!$J857&lt;=99991231),INT(Sync!$J857/10000)&amp;"/"&amp;RIGHT("00"&amp;INT(MOD(Sync!$J857,10000)/100),2)&amp;"/"&amp;RIGHT("00"&amp;MOD(Sync!$J857,100),2),"نامعتبر"),IF(LEN(Sync!$J857)=10,Sync!$J857,"نامعتبر")))</f>
        <v/>
      </c>
      <c r="R857" t="str">
        <f t="shared" si="95"/>
        <v/>
      </c>
      <c r="S857" t="str">
        <f t="shared" si="96"/>
        <v/>
      </c>
      <c r="T857" t="str">
        <f>IF($N857="","",IF(Sync!$N857="",0,Sync!$N857))</f>
        <v/>
      </c>
      <c r="U857" t="str">
        <f>IF($N857="","",IF(Sync!$O857="",0,Sync!$O857))</f>
        <v/>
      </c>
      <c r="V857" t="str">
        <f>IF($N857="","",Sync!$L857)</f>
        <v/>
      </c>
      <c r="W857" t="str">
        <f>IF($N857="","",Sync!$P857)</f>
        <v/>
      </c>
      <c r="AA857" t="str">
        <f>IF($A857="","",IF(COUNTIF($A$6:$A857,$A857)=1,1,0))</f>
        <v/>
      </c>
      <c r="AB857">
        <f>SUM($AA$6:$AA857)</f>
        <v>3</v>
      </c>
      <c r="AC857" t="str">
        <f t="shared" si="97"/>
        <v/>
      </c>
    </row>
    <row r="858" spans="1:29" x14ac:dyDescent="0.2">
      <c r="A858" t="str">
        <f>IF(OR(Entry!$B861="",Entry!$E861="",$E858="نامعتبر"),"",Entry!$E861)</f>
        <v/>
      </c>
      <c r="B858" t="str">
        <f>IF($A858="","",LEFT($E858,4)&amp;MID($E858,6,2)&amp;RIGHT($E858,2)&amp;$F858&amp;"|"&amp;"1"&amp;RIGHT("00000"&amp;853,5))</f>
        <v/>
      </c>
      <c r="C858" t="str">
        <f t="shared" si="91"/>
        <v/>
      </c>
      <c r="D858" t="str">
        <f t="shared" si="92"/>
        <v/>
      </c>
      <c r="E858" t="str">
        <f>IF(Entry!$B861="","",IF(ISNUMBER(Entry!$B861),IF(AND(Entry!$B861&gt;=10000101,Entry!$B861&lt;=99991231),INT(Entry!$B861/10000)&amp;"/"&amp;RIGHT("00"&amp;INT(MOD(Entry!$B861,10000)/100),2)&amp;"/"&amp;RIGHT("00"&amp;MOD(Entry!$B861,100),2),"نامعتبر"),IF(LEN(Entry!$B861)=10,Entry!$B861,"نامعتبر")))</f>
        <v/>
      </c>
      <c r="F858" t="str">
        <f>IF(Entry!$B861="","",IF(Entry!$C861="","0000",IF(AND(ISNUMBER(Entry!$C861),Entry!$C861&gt;=0,Entry!$C861&lt;1),RIGHT("00"&amp;HOUR(Entry!$C861),2)&amp;RIGHT("00"&amp;MINUTE(Entry!$C861),2),IFERROR(RIGHT("00"&amp;VALUE(LEFT(Entry!$C861,FIND(":",Entry!$C861)-1)),2)&amp;RIGHT("00"&amp;VALUE(MID(Entry!$C861,FIND(":",Entry!$C861)+1,2)),2),"0000"))))</f>
        <v/>
      </c>
      <c r="G858" t="str">
        <f>IF($A858="","",Entry!$G861)</f>
        <v/>
      </c>
      <c r="H858" t="str">
        <f>IF($A858="","",IF(Entry!$H861="",0,Entry!$H861))</f>
        <v/>
      </c>
      <c r="I858" t="str">
        <f>IF($A858="","",IF(Entry!$I861="",0,Entry!$I861))</f>
        <v/>
      </c>
      <c r="J858" t="str">
        <f t="shared" si="93"/>
        <v/>
      </c>
      <c r="K858" t="str">
        <f>IF($A858="","",Entry!$D861)</f>
        <v/>
      </c>
      <c r="L858" t="str">
        <f>IF($A858="","",Entry!$L861)</f>
        <v/>
      </c>
      <c r="N858" t="str">
        <f>IF(OR(Sync!$M858="",$Q858="",$Q858="نامعتبر"),"",Sync!$M858)</f>
        <v/>
      </c>
      <c r="O858" t="str">
        <f t="shared" si="94"/>
        <v/>
      </c>
      <c r="P858" t="str">
        <f>IF($N858="","",LEFT($Q858,4)&amp;MID($Q858,6,2)&amp;RIGHT($Q858,2)&amp;IF(Sync!$K858="","0000",IF(AND(ISNUMBER(Sync!$K858),Sync!$K858&gt;=0,Sync!$K858&lt;1),RIGHT("00"&amp;HOUR(Sync!$K858),2)&amp;RIGHT("00"&amp;MINUTE(Sync!$K858),2),IFERROR(RIGHT("00"&amp;VALUE(LEFT(Sync!$K858,FIND(":",Sync!$K858)-1)),2)&amp;RIGHT("00"&amp;VALUE(MID(Sync!$K858,FIND(":",Sync!$K858)+1,2)),2),"0000")))&amp;"|"&amp;"2"&amp;RIGHT("00000"&amp;853,5))</f>
        <v/>
      </c>
      <c r="Q858" t="str">
        <f>IF(Sync!$J858="","",IF(ISNUMBER(Sync!$J858),IF(AND(Sync!$J858&gt;=10000101,Sync!$J858&lt;=99991231),INT(Sync!$J858/10000)&amp;"/"&amp;RIGHT("00"&amp;INT(MOD(Sync!$J858,10000)/100),2)&amp;"/"&amp;RIGHT("00"&amp;MOD(Sync!$J858,100),2),"نامعتبر"),IF(LEN(Sync!$J858)=10,Sync!$J858,"نامعتبر")))</f>
        <v/>
      </c>
      <c r="R858" t="str">
        <f t="shared" si="95"/>
        <v/>
      </c>
      <c r="S858" t="str">
        <f t="shared" si="96"/>
        <v/>
      </c>
      <c r="T858" t="str">
        <f>IF($N858="","",IF(Sync!$N858="",0,Sync!$N858))</f>
        <v/>
      </c>
      <c r="U858" t="str">
        <f>IF($N858="","",IF(Sync!$O858="",0,Sync!$O858))</f>
        <v/>
      </c>
      <c r="V858" t="str">
        <f>IF($N858="","",Sync!$L858)</f>
        <v/>
      </c>
      <c r="W858" t="str">
        <f>IF($N858="","",Sync!$P858)</f>
        <v/>
      </c>
      <c r="AA858" t="str">
        <f>IF($A858="","",IF(COUNTIF($A$6:$A858,$A858)=1,1,0))</f>
        <v/>
      </c>
      <c r="AB858">
        <f>SUM($AA$6:$AA858)</f>
        <v>3</v>
      </c>
      <c r="AC858" t="str">
        <f t="shared" si="97"/>
        <v/>
      </c>
    </row>
    <row r="859" spans="1:29" x14ac:dyDescent="0.2">
      <c r="A859" t="str">
        <f>IF(OR(Entry!$B862="",Entry!$E862="",$E859="نامعتبر"),"",Entry!$E862)</f>
        <v/>
      </c>
      <c r="B859" t="str">
        <f>IF($A859="","",LEFT($E859,4)&amp;MID($E859,6,2)&amp;RIGHT($E859,2)&amp;$F859&amp;"|"&amp;"1"&amp;RIGHT("00000"&amp;854,5))</f>
        <v/>
      </c>
      <c r="C859" t="str">
        <f t="shared" si="91"/>
        <v/>
      </c>
      <c r="D859" t="str">
        <f t="shared" si="92"/>
        <v/>
      </c>
      <c r="E859" t="str">
        <f>IF(Entry!$B862="","",IF(ISNUMBER(Entry!$B862),IF(AND(Entry!$B862&gt;=10000101,Entry!$B862&lt;=99991231),INT(Entry!$B862/10000)&amp;"/"&amp;RIGHT("00"&amp;INT(MOD(Entry!$B862,10000)/100),2)&amp;"/"&amp;RIGHT("00"&amp;MOD(Entry!$B862,100),2),"نامعتبر"),IF(LEN(Entry!$B862)=10,Entry!$B862,"نامعتبر")))</f>
        <v/>
      </c>
      <c r="F859" t="str">
        <f>IF(Entry!$B862="","",IF(Entry!$C862="","0000",IF(AND(ISNUMBER(Entry!$C862),Entry!$C862&gt;=0,Entry!$C862&lt;1),RIGHT("00"&amp;HOUR(Entry!$C862),2)&amp;RIGHT("00"&amp;MINUTE(Entry!$C862),2),IFERROR(RIGHT("00"&amp;VALUE(LEFT(Entry!$C862,FIND(":",Entry!$C862)-1)),2)&amp;RIGHT("00"&amp;VALUE(MID(Entry!$C862,FIND(":",Entry!$C862)+1,2)),2),"0000"))))</f>
        <v/>
      </c>
      <c r="G859" t="str">
        <f>IF($A859="","",Entry!$G862)</f>
        <v/>
      </c>
      <c r="H859" t="str">
        <f>IF($A859="","",IF(Entry!$H862="",0,Entry!$H862))</f>
        <v/>
      </c>
      <c r="I859" t="str">
        <f>IF($A859="","",IF(Entry!$I862="",0,Entry!$I862))</f>
        <v/>
      </c>
      <c r="J859" t="str">
        <f t="shared" si="93"/>
        <v/>
      </c>
      <c r="K859" t="str">
        <f>IF($A859="","",Entry!$D862)</f>
        <v/>
      </c>
      <c r="L859" t="str">
        <f>IF($A859="","",Entry!$L862)</f>
        <v/>
      </c>
      <c r="N859" t="str">
        <f>IF(OR(Sync!$M859="",$Q859="",$Q859="نامعتبر"),"",Sync!$M859)</f>
        <v/>
      </c>
      <c r="O859" t="str">
        <f t="shared" si="94"/>
        <v/>
      </c>
      <c r="P859" t="str">
        <f>IF($N859="","",LEFT($Q859,4)&amp;MID($Q859,6,2)&amp;RIGHT($Q859,2)&amp;IF(Sync!$K859="","0000",IF(AND(ISNUMBER(Sync!$K859),Sync!$K859&gt;=0,Sync!$K859&lt;1),RIGHT("00"&amp;HOUR(Sync!$K859),2)&amp;RIGHT("00"&amp;MINUTE(Sync!$K859),2),IFERROR(RIGHT("00"&amp;VALUE(LEFT(Sync!$K859,FIND(":",Sync!$K859)-1)),2)&amp;RIGHT("00"&amp;VALUE(MID(Sync!$K859,FIND(":",Sync!$K859)+1,2)),2),"0000")))&amp;"|"&amp;"2"&amp;RIGHT("00000"&amp;854,5))</f>
        <v/>
      </c>
      <c r="Q859" t="str">
        <f>IF(Sync!$J859="","",IF(ISNUMBER(Sync!$J859),IF(AND(Sync!$J859&gt;=10000101,Sync!$J859&lt;=99991231),INT(Sync!$J859/10000)&amp;"/"&amp;RIGHT("00"&amp;INT(MOD(Sync!$J859,10000)/100),2)&amp;"/"&amp;RIGHT("00"&amp;MOD(Sync!$J859,100),2),"نامعتبر"),IF(LEN(Sync!$J859)=10,Sync!$J859,"نامعتبر")))</f>
        <v/>
      </c>
      <c r="R859" t="str">
        <f t="shared" si="95"/>
        <v/>
      </c>
      <c r="S859" t="str">
        <f t="shared" si="96"/>
        <v/>
      </c>
      <c r="T859" t="str">
        <f>IF($N859="","",IF(Sync!$N859="",0,Sync!$N859))</f>
        <v/>
      </c>
      <c r="U859" t="str">
        <f>IF($N859="","",IF(Sync!$O859="",0,Sync!$O859))</f>
        <v/>
      </c>
      <c r="V859" t="str">
        <f>IF($N859="","",Sync!$L859)</f>
        <v/>
      </c>
      <c r="W859" t="str">
        <f>IF($N859="","",Sync!$P859)</f>
        <v/>
      </c>
      <c r="AA859" t="str">
        <f>IF($A859="","",IF(COUNTIF($A$6:$A859,$A859)=1,1,0))</f>
        <v/>
      </c>
      <c r="AB859">
        <f>SUM($AA$6:$AA859)</f>
        <v>3</v>
      </c>
      <c r="AC859" t="str">
        <f t="shared" si="97"/>
        <v/>
      </c>
    </row>
    <row r="860" spans="1:29" x14ac:dyDescent="0.2">
      <c r="A860" t="str">
        <f>IF(OR(Entry!$B863="",Entry!$E863="",$E860="نامعتبر"),"",Entry!$E863)</f>
        <v/>
      </c>
      <c r="B860" t="str">
        <f>IF($A860="","",LEFT($E860,4)&amp;MID($E860,6,2)&amp;RIGHT($E860,2)&amp;$F860&amp;"|"&amp;"1"&amp;RIGHT("00000"&amp;855,5))</f>
        <v/>
      </c>
      <c r="C860" t="str">
        <f t="shared" si="91"/>
        <v/>
      </c>
      <c r="D860" t="str">
        <f t="shared" si="92"/>
        <v/>
      </c>
      <c r="E860" t="str">
        <f>IF(Entry!$B863="","",IF(ISNUMBER(Entry!$B863),IF(AND(Entry!$B863&gt;=10000101,Entry!$B863&lt;=99991231),INT(Entry!$B863/10000)&amp;"/"&amp;RIGHT("00"&amp;INT(MOD(Entry!$B863,10000)/100),2)&amp;"/"&amp;RIGHT("00"&amp;MOD(Entry!$B863,100),2),"نامعتبر"),IF(LEN(Entry!$B863)=10,Entry!$B863,"نامعتبر")))</f>
        <v/>
      </c>
      <c r="F860" t="str">
        <f>IF(Entry!$B863="","",IF(Entry!$C863="","0000",IF(AND(ISNUMBER(Entry!$C863),Entry!$C863&gt;=0,Entry!$C863&lt;1),RIGHT("00"&amp;HOUR(Entry!$C863),2)&amp;RIGHT("00"&amp;MINUTE(Entry!$C863),2),IFERROR(RIGHT("00"&amp;VALUE(LEFT(Entry!$C863,FIND(":",Entry!$C863)-1)),2)&amp;RIGHT("00"&amp;VALUE(MID(Entry!$C863,FIND(":",Entry!$C863)+1,2)),2),"0000"))))</f>
        <v/>
      </c>
      <c r="G860" t="str">
        <f>IF($A860="","",Entry!$G863)</f>
        <v/>
      </c>
      <c r="H860" t="str">
        <f>IF($A860="","",IF(Entry!$H863="",0,Entry!$H863))</f>
        <v/>
      </c>
      <c r="I860" t="str">
        <f>IF($A860="","",IF(Entry!$I863="",0,Entry!$I863))</f>
        <v/>
      </c>
      <c r="J860" t="str">
        <f t="shared" si="93"/>
        <v/>
      </c>
      <c r="K860" t="str">
        <f>IF($A860="","",Entry!$D863)</f>
        <v/>
      </c>
      <c r="L860" t="str">
        <f>IF($A860="","",Entry!$L863)</f>
        <v/>
      </c>
      <c r="N860" t="str">
        <f>IF(OR(Sync!$M860="",$Q860="",$Q860="نامعتبر"),"",Sync!$M860)</f>
        <v/>
      </c>
      <c r="O860" t="str">
        <f t="shared" si="94"/>
        <v/>
      </c>
      <c r="P860" t="str">
        <f>IF($N860="","",LEFT($Q860,4)&amp;MID($Q860,6,2)&amp;RIGHT($Q860,2)&amp;IF(Sync!$K860="","0000",IF(AND(ISNUMBER(Sync!$K860),Sync!$K860&gt;=0,Sync!$K860&lt;1),RIGHT("00"&amp;HOUR(Sync!$K860),2)&amp;RIGHT("00"&amp;MINUTE(Sync!$K860),2),IFERROR(RIGHT("00"&amp;VALUE(LEFT(Sync!$K860,FIND(":",Sync!$K860)-1)),2)&amp;RIGHT("00"&amp;VALUE(MID(Sync!$K860,FIND(":",Sync!$K860)+1,2)),2),"0000")))&amp;"|"&amp;"2"&amp;RIGHT("00000"&amp;855,5))</f>
        <v/>
      </c>
      <c r="Q860" t="str">
        <f>IF(Sync!$J860="","",IF(ISNUMBER(Sync!$J860),IF(AND(Sync!$J860&gt;=10000101,Sync!$J860&lt;=99991231),INT(Sync!$J860/10000)&amp;"/"&amp;RIGHT("00"&amp;INT(MOD(Sync!$J860,10000)/100),2)&amp;"/"&amp;RIGHT("00"&amp;MOD(Sync!$J860,100),2),"نامعتبر"),IF(LEN(Sync!$J860)=10,Sync!$J860,"نامعتبر")))</f>
        <v/>
      </c>
      <c r="R860" t="str">
        <f t="shared" si="95"/>
        <v/>
      </c>
      <c r="S860" t="str">
        <f t="shared" si="96"/>
        <v/>
      </c>
      <c r="T860" t="str">
        <f>IF($N860="","",IF(Sync!$N860="",0,Sync!$N860))</f>
        <v/>
      </c>
      <c r="U860" t="str">
        <f>IF($N860="","",IF(Sync!$O860="",0,Sync!$O860))</f>
        <v/>
      </c>
      <c r="V860" t="str">
        <f>IF($N860="","",Sync!$L860)</f>
        <v/>
      </c>
      <c r="W860" t="str">
        <f>IF($N860="","",Sync!$P860)</f>
        <v/>
      </c>
      <c r="AA860" t="str">
        <f>IF($A860="","",IF(COUNTIF($A$6:$A860,$A860)=1,1,0))</f>
        <v/>
      </c>
      <c r="AB860">
        <f>SUM($AA$6:$AA860)</f>
        <v>3</v>
      </c>
      <c r="AC860" t="str">
        <f t="shared" si="97"/>
        <v/>
      </c>
    </row>
    <row r="861" spans="1:29" x14ac:dyDescent="0.2">
      <c r="A861" t="str">
        <f>IF(OR(Entry!$B864="",Entry!$E864="",$E861="نامعتبر"),"",Entry!$E864)</f>
        <v/>
      </c>
      <c r="B861" t="str">
        <f>IF($A861="","",LEFT($E861,4)&amp;MID($E861,6,2)&amp;RIGHT($E861,2)&amp;$F861&amp;"|"&amp;"1"&amp;RIGHT("00000"&amp;856,5))</f>
        <v/>
      </c>
      <c r="C861" t="str">
        <f t="shared" si="91"/>
        <v/>
      </c>
      <c r="D861" t="str">
        <f t="shared" si="92"/>
        <v/>
      </c>
      <c r="E861" t="str">
        <f>IF(Entry!$B864="","",IF(ISNUMBER(Entry!$B864),IF(AND(Entry!$B864&gt;=10000101,Entry!$B864&lt;=99991231),INT(Entry!$B864/10000)&amp;"/"&amp;RIGHT("00"&amp;INT(MOD(Entry!$B864,10000)/100),2)&amp;"/"&amp;RIGHT("00"&amp;MOD(Entry!$B864,100),2),"نامعتبر"),IF(LEN(Entry!$B864)=10,Entry!$B864,"نامعتبر")))</f>
        <v/>
      </c>
      <c r="F861" t="str">
        <f>IF(Entry!$B864="","",IF(Entry!$C864="","0000",IF(AND(ISNUMBER(Entry!$C864),Entry!$C864&gt;=0,Entry!$C864&lt;1),RIGHT("00"&amp;HOUR(Entry!$C864),2)&amp;RIGHT("00"&amp;MINUTE(Entry!$C864),2),IFERROR(RIGHT("00"&amp;VALUE(LEFT(Entry!$C864,FIND(":",Entry!$C864)-1)),2)&amp;RIGHT("00"&amp;VALUE(MID(Entry!$C864,FIND(":",Entry!$C864)+1,2)),2),"0000"))))</f>
        <v/>
      </c>
      <c r="G861" t="str">
        <f>IF($A861="","",Entry!$G864)</f>
        <v/>
      </c>
      <c r="H861" t="str">
        <f>IF($A861="","",IF(Entry!$H864="",0,Entry!$H864))</f>
        <v/>
      </c>
      <c r="I861" t="str">
        <f>IF($A861="","",IF(Entry!$I864="",0,Entry!$I864))</f>
        <v/>
      </c>
      <c r="J861" t="str">
        <f t="shared" si="93"/>
        <v/>
      </c>
      <c r="K861" t="str">
        <f>IF($A861="","",Entry!$D864)</f>
        <v/>
      </c>
      <c r="L861" t="str">
        <f>IF($A861="","",Entry!$L864)</f>
        <v/>
      </c>
      <c r="N861" t="str">
        <f>IF(OR(Sync!$M861="",$Q861="",$Q861="نامعتبر"),"",Sync!$M861)</f>
        <v/>
      </c>
      <c r="O861" t="str">
        <f t="shared" si="94"/>
        <v/>
      </c>
      <c r="P861" t="str">
        <f>IF($N861="","",LEFT($Q861,4)&amp;MID($Q861,6,2)&amp;RIGHT($Q861,2)&amp;IF(Sync!$K861="","0000",IF(AND(ISNUMBER(Sync!$K861),Sync!$K861&gt;=0,Sync!$K861&lt;1),RIGHT("00"&amp;HOUR(Sync!$K861),2)&amp;RIGHT("00"&amp;MINUTE(Sync!$K861),2),IFERROR(RIGHT("00"&amp;VALUE(LEFT(Sync!$K861,FIND(":",Sync!$K861)-1)),2)&amp;RIGHT("00"&amp;VALUE(MID(Sync!$K861,FIND(":",Sync!$K861)+1,2)),2),"0000")))&amp;"|"&amp;"2"&amp;RIGHT("00000"&amp;856,5))</f>
        <v/>
      </c>
      <c r="Q861" t="str">
        <f>IF(Sync!$J861="","",IF(ISNUMBER(Sync!$J861),IF(AND(Sync!$J861&gt;=10000101,Sync!$J861&lt;=99991231),INT(Sync!$J861/10000)&amp;"/"&amp;RIGHT("00"&amp;INT(MOD(Sync!$J861,10000)/100),2)&amp;"/"&amp;RIGHT("00"&amp;MOD(Sync!$J861,100),2),"نامعتبر"),IF(LEN(Sync!$J861)=10,Sync!$J861,"نامعتبر")))</f>
        <v/>
      </c>
      <c r="R861" t="str">
        <f t="shared" si="95"/>
        <v/>
      </c>
      <c r="S861" t="str">
        <f t="shared" si="96"/>
        <v/>
      </c>
      <c r="T861" t="str">
        <f>IF($N861="","",IF(Sync!$N861="",0,Sync!$N861))</f>
        <v/>
      </c>
      <c r="U861" t="str">
        <f>IF($N861="","",IF(Sync!$O861="",0,Sync!$O861))</f>
        <v/>
      </c>
      <c r="V861" t="str">
        <f>IF($N861="","",Sync!$L861)</f>
        <v/>
      </c>
      <c r="W861" t="str">
        <f>IF($N861="","",Sync!$P861)</f>
        <v/>
      </c>
      <c r="AA861" t="str">
        <f>IF($A861="","",IF(COUNTIF($A$6:$A861,$A861)=1,1,0))</f>
        <v/>
      </c>
      <c r="AB861">
        <f>SUM($AA$6:$AA861)</f>
        <v>3</v>
      </c>
      <c r="AC861" t="str">
        <f t="shared" si="97"/>
        <v/>
      </c>
    </row>
    <row r="862" spans="1:29" x14ac:dyDescent="0.2">
      <c r="A862" t="str">
        <f>IF(OR(Entry!$B865="",Entry!$E865="",$E862="نامعتبر"),"",Entry!$E865)</f>
        <v/>
      </c>
      <c r="B862" t="str">
        <f>IF($A862="","",LEFT($E862,4)&amp;MID($E862,6,2)&amp;RIGHT($E862,2)&amp;$F862&amp;"|"&amp;"1"&amp;RIGHT("00000"&amp;857,5))</f>
        <v/>
      </c>
      <c r="C862" t="str">
        <f t="shared" si="91"/>
        <v/>
      </c>
      <c r="D862" t="str">
        <f t="shared" si="92"/>
        <v/>
      </c>
      <c r="E862" t="str">
        <f>IF(Entry!$B865="","",IF(ISNUMBER(Entry!$B865),IF(AND(Entry!$B865&gt;=10000101,Entry!$B865&lt;=99991231),INT(Entry!$B865/10000)&amp;"/"&amp;RIGHT("00"&amp;INT(MOD(Entry!$B865,10000)/100),2)&amp;"/"&amp;RIGHT("00"&amp;MOD(Entry!$B865,100),2),"نامعتبر"),IF(LEN(Entry!$B865)=10,Entry!$B865,"نامعتبر")))</f>
        <v/>
      </c>
      <c r="F862" t="str">
        <f>IF(Entry!$B865="","",IF(Entry!$C865="","0000",IF(AND(ISNUMBER(Entry!$C865),Entry!$C865&gt;=0,Entry!$C865&lt;1),RIGHT("00"&amp;HOUR(Entry!$C865),2)&amp;RIGHT("00"&amp;MINUTE(Entry!$C865),2),IFERROR(RIGHT("00"&amp;VALUE(LEFT(Entry!$C865,FIND(":",Entry!$C865)-1)),2)&amp;RIGHT("00"&amp;VALUE(MID(Entry!$C865,FIND(":",Entry!$C865)+1,2)),2),"0000"))))</f>
        <v/>
      </c>
      <c r="G862" t="str">
        <f>IF($A862="","",Entry!$G865)</f>
        <v/>
      </c>
      <c r="H862" t="str">
        <f>IF($A862="","",IF(Entry!$H865="",0,Entry!$H865))</f>
        <v/>
      </c>
      <c r="I862" t="str">
        <f>IF($A862="","",IF(Entry!$I865="",0,Entry!$I865))</f>
        <v/>
      </c>
      <c r="J862" t="str">
        <f t="shared" si="93"/>
        <v/>
      </c>
      <c r="K862" t="str">
        <f>IF($A862="","",Entry!$D865)</f>
        <v/>
      </c>
      <c r="L862" t="str">
        <f>IF($A862="","",Entry!$L865)</f>
        <v/>
      </c>
      <c r="N862" t="str">
        <f>IF(OR(Sync!$M862="",$Q862="",$Q862="نامعتبر"),"",Sync!$M862)</f>
        <v/>
      </c>
      <c r="O862" t="str">
        <f t="shared" si="94"/>
        <v/>
      </c>
      <c r="P862" t="str">
        <f>IF($N862="","",LEFT($Q862,4)&amp;MID($Q862,6,2)&amp;RIGHT($Q862,2)&amp;IF(Sync!$K862="","0000",IF(AND(ISNUMBER(Sync!$K862),Sync!$K862&gt;=0,Sync!$K862&lt;1),RIGHT("00"&amp;HOUR(Sync!$K862),2)&amp;RIGHT("00"&amp;MINUTE(Sync!$K862),2),IFERROR(RIGHT("00"&amp;VALUE(LEFT(Sync!$K862,FIND(":",Sync!$K862)-1)),2)&amp;RIGHT("00"&amp;VALUE(MID(Sync!$K862,FIND(":",Sync!$K862)+1,2)),2),"0000")))&amp;"|"&amp;"2"&amp;RIGHT("00000"&amp;857,5))</f>
        <v/>
      </c>
      <c r="Q862" t="str">
        <f>IF(Sync!$J862="","",IF(ISNUMBER(Sync!$J862),IF(AND(Sync!$J862&gt;=10000101,Sync!$J862&lt;=99991231),INT(Sync!$J862/10000)&amp;"/"&amp;RIGHT("00"&amp;INT(MOD(Sync!$J862,10000)/100),2)&amp;"/"&amp;RIGHT("00"&amp;MOD(Sync!$J862,100),2),"نامعتبر"),IF(LEN(Sync!$J862)=10,Sync!$J862,"نامعتبر")))</f>
        <v/>
      </c>
      <c r="R862" t="str">
        <f t="shared" si="95"/>
        <v/>
      </c>
      <c r="S862" t="str">
        <f t="shared" si="96"/>
        <v/>
      </c>
      <c r="T862" t="str">
        <f>IF($N862="","",IF(Sync!$N862="",0,Sync!$N862))</f>
        <v/>
      </c>
      <c r="U862" t="str">
        <f>IF($N862="","",IF(Sync!$O862="",0,Sync!$O862))</f>
        <v/>
      </c>
      <c r="V862" t="str">
        <f>IF($N862="","",Sync!$L862)</f>
        <v/>
      </c>
      <c r="W862" t="str">
        <f>IF($N862="","",Sync!$P862)</f>
        <v/>
      </c>
      <c r="AA862" t="str">
        <f>IF($A862="","",IF(COUNTIF($A$6:$A862,$A862)=1,1,0))</f>
        <v/>
      </c>
      <c r="AB862">
        <f>SUM($AA$6:$AA862)</f>
        <v>3</v>
      </c>
      <c r="AC862" t="str">
        <f t="shared" si="97"/>
        <v/>
      </c>
    </row>
    <row r="863" spans="1:29" x14ac:dyDescent="0.2">
      <c r="A863" t="str">
        <f>IF(OR(Entry!$B866="",Entry!$E866="",$E863="نامعتبر"),"",Entry!$E866)</f>
        <v/>
      </c>
      <c r="B863" t="str">
        <f>IF($A863="","",LEFT($E863,4)&amp;MID($E863,6,2)&amp;RIGHT($E863,2)&amp;$F863&amp;"|"&amp;"1"&amp;RIGHT("00000"&amp;858,5))</f>
        <v/>
      </c>
      <c r="C863" t="str">
        <f t="shared" si="91"/>
        <v/>
      </c>
      <c r="D863" t="str">
        <f t="shared" si="92"/>
        <v/>
      </c>
      <c r="E863" t="str">
        <f>IF(Entry!$B866="","",IF(ISNUMBER(Entry!$B866),IF(AND(Entry!$B866&gt;=10000101,Entry!$B866&lt;=99991231),INT(Entry!$B866/10000)&amp;"/"&amp;RIGHT("00"&amp;INT(MOD(Entry!$B866,10000)/100),2)&amp;"/"&amp;RIGHT("00"&amp;MOD(Entry!$B866,100),2),"نامعتبر"),IF(LEN(Entry!$B866)=10,Entry!$B866,"نامعتبر")))</f>
        <v/>
      </c>
      <c r="F863" t="str">
        <f>IF(Entry!$B866="","",IF(Entry!$C866="","0000",IF(AND(ISNUMBER(Entry!$C866),Entry!$C866&gt;=0,Entry!$C866&lt;1),RIGHT("00"&amp;HOUR(Entry!$C866),2)&amp;RIGHT("00"&amp;MINUTE(Entry!$C866),2),IFERROR(RIGHT("00"&amp;VALUE(LEFT(Entry!$C866,FIND(":",Entry!$C866)-1)),2)&amp;RIGHT("00"&amp;VALUE(MID(Entry!$C866,FIND(":",Entry!$C866)+1,2)),2),"0000"))))</f>
        <v/>
      </c>
      <c r="G863" t="str">
        <f>IF($A863="","",Entry!$G866)</f>
        <v/>
      </c>
      <c r="H863" t="str">
        <f>IF($A863="","",IF(Entry!$H866="",0,Entry!$H866))</f>
        <v/>
      </c>
      <c r="I863" t="str">
        <f>IF($A863="","",IF(Entry!$I866="",0,Entry!$I866))</f>
        <v/>
      </c>
      <c r="J863" t="str">
        <f t="shared" si="93"/>
        <v/>
      </c>
      <c r="K863" t="str">
        <f>IF($A863="","",Entry!$D866)</f>
        <v/>
      </c>
      <c r="L863" t="str">
        <f>IF($A863="","",Entry!$L866)</f>
        <v/>
      </c>
      <c r="N863" t="str">
        <f>IF(OR(Sync!$M863="",$Q863="",$Q863="نامعتبر"),"",Sync!$M863)</f>
        <v/>
      </c>
      <c r="O863" t="str">
        <f t="shared" si="94"/>
        <v/>
      </c>
      <c r="P863" t="str">
        <f>IF($N863="","",LEFT($Q863,4)&amp;MID($Q863,6,2)&amp;RIGHT($Q863,2)&amp;IF(Sync!$K863="","0000",IF(AND(ISNUMBER(Sync!$K863),Sync!$K863&gt;=0,Sync!$K863&lt;1),RIGHT("00"&amp;HOUR(Sync!$K863),2)&amp;RIGHT("00"&amp;MINUTE(Sync!$K863),2),IFERROR(RIGHT("00"&amp;VALUE(LEFT(Sync!$K863,FIND(":",Sync!$K863)-1)),2)&amp;RIGHT("00"&amp;VALUE(MID(Sync!$K863,FIND(":",Sync!$K863)+1,2)),2),"0000")))&amp;"|"&amp;"2"&amp;RIGHT("00000"&amp;858,5))</f>
        <v/>
      </c>
      <c r="Q863" t="str">
        <f>IF(Sync!$J863="","",IF(ISNUMBER(Sync!$J863),IF(AND(Sync!$J863&gt;=10000101,Sync!$J863&lt;=99991231),INT(Sync!$J863/10000)&amp;"/"&amp;RIGHT("00"&amp;INT(MOD(Sync!$J863,10000)/100),2)&amp;"/"&amp;RIGHT("00"&amp;MOD(Sync!$J863,100),2),"نامعتبر"),IF(LEN(Sync!$J863)=10,Sync!$J863,"نامعتبر")))</f>
        <v/>
      </c>
      <c r="R863" t="str">
        <f t="shared" si="95"/>
        <v/>
      </c>
      <c r="S863" t="str">
        <f t="shared" si="96"/>
        <v/>
      </c>
      <c r="T863" t="str">
        <f>IF($N863="","",IF(Sync!$N863="",0,Sync!$N863))</f>
        <v/>
      </c>
      <c r="U863" t="str">
        <f>IF($N863="","",IF(Sync!$O863="",0,Sync!$O863))</f>
        <v/>
      </c>
      <c r="V863" t="str">
        <f>IF($N863="","",Sync!$L863)</f>
        <v/>
      </c>
      <c r="W863" t="str">
        <f>IF($N863="","",Sync!$P863)</f>
        <v/>
      </c>
      <c r="AA863" t="str">
        <f>IF($A863="","",IF(COUNTIF($A$6:$A863,$A863)=1,1,0))</f>
        <v/>
      </c>
      <c r="AB863">
        <f>SUM($AA$6:$AA863)</f>
        <v>3</v>
      </c>
      <c r="AC863" t="str">
        <f t="shared" si="97"/>
        <v/>
      </c>
    </row>
    <row r="864" spans="1:29" x14ac:dyDescent="0.2">
      <c r="A864" t="str">
        <f>IF(OR(Entry!$B867="",Entry!$E867="",$E864="نامعتبر"),"",Entry!$E867)</f>
        <v/>
      </c>
      <c r="B864" t="str">
        <f>IF($A864="","",LEFT($E864,4)&amp;MID($E864,6,2)&amp;RIGHT($E864,2)&amp;$F864&amp;"|"&amp;"1"&amp;RIGHT("00000"&amp;859,5))</f>
        <v/>
      </c>
      <c r="C864" t="str">
        <f t="shared" si="91"/>
        <v/>
      </c>
      <c r="D864" t="str">
        <f t="shared" si="92"/>
        <v/>
      </c>
      <c r="E864" t="str">
        <f>IF(Entry!$B867="","",IF(ISNUMBER(Entry!$B867),IF(AND(Entry!$B867&gt;=10000101,Entry!$B867&lt;=99991231),INT(Entry!$B867/10000)&amp;"/"&amp;RIGHT("00"&amp;INT(MOD(Entry!$B867,10000)/100),2)&amp;"/"&amp;RIGHT("00"&amp;MOD(Entry!$B867,100),2),"نامعتبر"),IF(LEN(Entry!$B867)=10,Entry!$B867,"نامعتبر")))</f>
        <v/>
      </c>
      <c r="F864" t="str">
        <f>IF(Entry!$B867="","",IF(Entry!$C867="","0000",IF(AND(ISNUMBER(Entry!$C867),Entry!$C867&gt;=0,Entry!$C867&lt;1),RIGHT("00"&amp;HOUR(Entry!$C867),2)&amp;RIGHT("00"&amp;MINUTE(Entry!$C867),2),IFERROR(RIGHT("00"&amp;VALUE(LEFT(Entry!$C867,FIND(":",Entry!$C867)-1)),2)&amp;RIGHT("00"&amp;VALUE(MID(Entry!$C867,FIND(":",Entry!$C867)+1,2)),2),"0000"))))</f>
        <v/>
      </c>
      <c r="G864" t="str">
        <f>IF($A864="","",Entry!$G867)</f>
        <v/>
      </c>
      <c r="H864" t="str">
        <f>IF($A864="","",IF(Entry!$H867="",0,Entry!$H867))</f>
        <v/>
      </c>
      <c r="I864" t="str">
        <f>IF($A864="","",IF(Entry!$I867="",0,Entry!$I867))</f>
        <v/>
      </c>
      <c r="J864" t="str">
        <f t="shared" si="93"/>
        <v/>
      </c>
      <c r="K864" t="str">
        <f>IF($A864="","",Entry!$D867)</f>
        <v/>
      </c>
      <c r="L864" t="str">
        <f>IF($A864="","",Entry!$L867)</f>
        <v/>
      </c>
      <c r="N864" t="str">
        <f>IF(OR(Sync!$M864="",$Q864="",$Q864="نامعتبر"),"",Sync!$M864)</f>
        <v/>
      </c>
      <c r="O864" t="str">
        <f t="shared" si="94"/>
        <v/>
      </c>
      <c r="P864" t="str">
        <f>IF($N864="","",LEFT($Q864,4)&amp;MID($Q864,6,2)&amp;RIGHT($Q864,2)&amp;IF(Sync!$K864="","0000",IF(AND(ISNUMBER(Sync!$K864),Sync!$K864&gt;=0,Sync!$K864&lt;1),RIGHT("00"&amp;HOUR(Sync!$K864),2)&amp;RIGHT("00"&amp;MINUTE(Sync!$K864),2),IFERROR(RIGHT("00"&amp;VALUE(LEFT(Sync!$K864,FIND(":",Sync!$K864)-1)),2)&amp;RIGHT("00"&amp;VALUE(MID(Sync!$K864,FIND(":",Sync!$K864)+1,2)),2),"0000")))&amp;"|"&amp;"2"&amp;RIGHT("00000"&amp;859,5))</f>
        <v/>
      </c>
      <c r="Q864" t="str">
        <f>IF(Sync!$J864="","",IF(ISNUMBER(Sync!$J864),IF(AND(Sync!$J864&gt;=10000101,Sync!$J864&lt;=99991231),INT(Sync!$J864/10000)&amp;"/"&amp;RIGHT("00"&amp;INT(MOD(Sync!$J864,10000)/100),2)&amp;"/"&amp;RIGHT("00"&amp;MOD(Sync!$J864,100),2),"نامعتبر"),IF(LEN(Sync!$J864)=10,Sync!$J864,"نامعتبر")))</f>
        <v/>
      </c>
      <c r="R864" t="str">
        <f t="shared" si="95"/>
        <v/>
      </c>
      <c r="S864" t="str">
        <f t="shared" si="96"/>
        <v/>
      </c>
      <c r="T864" t="str">
        <f>IF($N864="","",IF(Sync!$N864="",0,Sync!$N864))</f>
        <v/>
      </c>
      <c r="U864" t="str">
        <f>IF($N864="","",IF(Sync!$O864="",0,Sync!$O864))</f>
        <v/>
      </c>
      <c r="V864" t="str">
        <f>IF($N864="","",Sync!$L864)</f>
        <v/>
      </c>
      <c r="W864" t="str">
        <f>IF($N864="","",Sync!$P864)</f>
        <v/>
      </c>
      <c r="AA864" t="str">
        <f>IF($A864="","",IF(COUNTIF($A$6:$A864,$A864)=1,1,0))</f>
        <v/>
      </c>
      <c r="AB864">
        <f>SUM($AA$6:$AA864)</f>
        <v>3</v>
      </c>
      <c r="AC864" t="str">
        <f t="shared" si="97"/>
        <v/>
      </c>
    </row>
    <row r="865" spans="1:29" x14ac:dyDescent="0.2">
      <c r="A865" t="str">
        <f>IF(OR(Entry!$B868="",Entry!$E868="",$E865="نامعتبر"),"",Entry!$E868)</f>
        <v/>
      </c>
      <c r="B865" t="str">
        <f>IF($A865="","",LEFT($E865,4)&amp;MID($E865,6,2)&amp;RIGHT($E865,2)&amp;$F865&amp;"|"&amp;"1"&amp;RIGHT("00000"&amp;860,5))</f>
        <v/>
      </c>
      <c r="C865" t="str">
        <f t="shared" si="91"/>
        <v/>
      </c>
      <c r="D865" t="str">
        <f t="shared" si="92"/>
        <v/>
      </c>
      <c r="E865" t="str">
        <f>IF(Entry!$B868="","",IF(ISNUMBER(Entry!$B868),IF(AND(Entry!$B868&gt;=10000101,Entry!$B868&lt;=99991231),INT(Entry!$B868/10000)&amp;"/"&amp;RIGHT("00"&amp;INT(MOD(Entry!$B868,10000)/100),2)&amp;"/"&amp;RIGHT("00"&amp;MOD(Entry!$B868,100),2),"نامعتبر"),IF(LEN(Entry!$B868)=10,Entry!$B868,"نامعتبر")))</f>
        <v/>
      </c>
      <c r="F865" t="str">
        <f>IF(Entry!$B868="","",IF(Entry!$C868="","0000",IF(AND(ISNUMBER(Entry!$C868),Entry!$C868&gt;=0,Entry!$C868&lt;1),RIGHT("00"&amp;HOUR(Entry!$C868),2)&amp;RIGHT("00"&amp;MINUTE(Entry!$C868),2),IFERROR(RIGHT("00"&amp;VALUE(LEFT(Entry!$C868,FIND(":",Entry!$C868)-1)),2)&amp;RIGHT("00"&amp;VALUE(MID(Entry!$C868,FIND(":",Entry!$C868)+1,2)),2),"0000"))))</f>
        <v/>
      </c>
      <c r="G865" t="str">
        <f>IF($A865="","",Entry!$G868)</f>
        <v/>
      </c>
      <c r="H865" t="str">
        <f>IF($A865="","",IF(Entry!$H868="",0,Entry!$H868))</f>
        <v/>
      </c>
      <c r="I865" t="str">
        <f>IF($A865="","",IF(Entry!$I868="",0,Entry!$I868))</f>
        <v/>
      </c>
      <c r="J865" t="str">
        <f t="shared" si="93"/>
        <v/>
      </c>
      <c r="K865" t="str">
        <f>IF($A865="","",Entry!$D868)</f>
        <v/>
      </c>
      <c r="L865" t="str">
        <f>IF($A865="","",Entry!$L868)</f>
        <v/>
      </c>
      <c r="N865" t="str">
        <f>IF(OR(Sync!$M865="",$Q865="",$Q865="نامعتبر"),"",Sync!$M865)</f>
        <v/>
      </c>
      <c r="O865" t="str">
        <f t="shared" si="94"/>
        <v/>
      </c>
      <c r="P865" t="str">
        <f>IF($N865="","",LEFT($Q865,4)&amp;MID($Q865,6,2)&amp;RIGHT($Q865,2)&amp;IF(Sync!$K865="","0000",IF(AND(ISNUMBER(Sync!$K865),Sync!$K865&gt;=0,Sync!$K865&lt;1),RIGHT("00"&amp;HOUR(Sync!$K865),2)&amp;RIGHT("00"&amp;MINUTE(Sync!$K865),2),IFERROR(RIGHT("00"&amp;VALUE(LEFT(Sync!$K865,FIND(":",Sync!$K865)-1)),2)&amp;RIGHT("00"&amp;VALUE(MID(Sync!$K865,FIND(":",Sync!$K865)+1,2)),2),"0000")))&amp;"|"&amp;"2"&amp;RIGHT("00000"&amp;860,5))</f>
        <v/>
      </c>
      <c r="Q865" t="str">
        <f>IF(Sync!$J865="","",IF(ISNUMBER(Sync!$J865),IF(AND(Sync!$J865&gt;=10000101,Sync!$J865&lt;=99991231),INT(Sync!$J865/10000)&amp;"/"&amp;RIGHT("00"&amp;INT(MOD(Sync!$J865,10000)/100),2)&amp;"/"&amp;RIGHT("00"&amp;MOD(Sync!$J865,100),2),"نامعتبر"),IF(LEN(Sync!$J865)=10,Sync!$J865,"نامعتبر")))</f>
        <v/>
      </c>
      <c r="R865" t="str">
        <f t="shared" si="95"/>
        <v/>
      </c>
      <c r="S865" t="str">
        <f t="shared" si="96"/>
        <v/>
      </c>
      <c r="T865" t="str">
        <f>IF($N865="","",IF(Sync!$N865="",0,Sync!$N865))</f>
        <v/>
      </c>
      <c r="U865" t="str">
        <f>IF($N865="","",IF(Sync!$O865="",0,Sync!$O865))</f>
        <v/>
      </c>
      <c r="V865" t="str">
        <f>IF($N865="","",Sync!$L865)</f>
        <v/>
      </c>
      <c r="W865" t="str">
        <f>IF($N865="","",Sync!$P865)</f>
        <v/>
      </c>
      <c r="AA865" t="str">
        <f>IF($A865="","",IF(COUNTIF($A$6:$A865,$A865)=1,1,0))</f>
        <v/>
      </c>
      <c r="AB865">
        <f>SUM($AA$6:$AA865)</f>
        <v>3</v>
      </c>
      <c r="AC865" t="str">
        <f t="shared" si="97"/>
        <v/>
      </c>
    </row>
    <row r="866" spans="1:29" x14ac:dyDescent="0.2">
      <c r="A866" t="str">
        <f>IF(OR(Entry!$B869="",Entry!$E869="",$E866="نامعتبر"),"",Entry!$E869)</f>
        <v/>
      </c>
      <c r="B866" t="str">
        <f>IF($A866="","",LEFT($E866,4)&amp;MID($E866,6,2)&amp;RIGHT($E866,2)&amp;$F866&amp;"|"&amp;"1"&amp;RIGHT("00000"&amp;861,5))</f>
        <v/>
      </c>
      <c r="C866" t="str">
        <f t="shared" si="91"/>
        <v/>
      </c>
      <c r="D866" t="str">
        <f t="shared" si="92"/>
        <v/>
      </c>
      <c r="E866" t="str">
        <f>IF(Entry!$B869="","",IF(ISNUMBER(Entry!$B869),IF(AND(Entry!$B869&gt;=10000101,Entry!$B869&lt;=99991231),INT(Entry!$B869/10000)&amp;"/"&amp;RIGHT("00"&amp;INT(MOD(Entry!$B869,10000)/100),2)&amp;"/"&amp;RIGHT("00"&amp;MOD(Entry!$B869,100),2),"نامعتبر"),IF(LEN(Entry!$B869)=10,Entry!$B869,"نامعتبر")))</f>
        <v/>
      </c>
      <c r="F866" t="str">
        <f>IF(Entry!$B869="","",IF(Entry!$C869="","0000",IF(AND(ISNUMBER(Entry!$C869),Entry!$C869&gt;=0,Entry!$C869&lt;1),RIGHT("00"&amp;HOUR(Entry!$C869),2)&amp;RIGHT("00"&amp;MINUTE(Entry!$C869),2),IFERROR(RIGHT("00"&amp;VALUE(LEFT(Entry!$C869,FIND(":",Entry!$C869)-1)),2)&amp;RIGHT("00"&amp;VALUE(MID(Entry!$C869,FIND(":",Entry!$C869)+1,2)),2),"0000"))))</f>
        <v/>
      </c>
      <c r="G866" t="str">
        <f>IF($A866="","",Entry!$G869)</f>
        <v/>
      </c>
      <c r="H866" t="str">
        <f>IF($A866="","",IF(Entry!$H869="",0,Entry!$H869))</f>
        <v/>
      </c>
      <c r="I866" t="str">
        <f>IF($A866="","",IF(Entry!$I869="",0,Entry!$I869))</f>
        <v/>
      </c>
      <c r="J866" t="str">
        <f t="shared" si="93"/>
        <v/>
      </c>
      <c r="K866" t="str">
        <f>IF($A866="","",Entry!$D869)</f>
        <v/>
      </c>
      <c r="L866" t="str">
        <f>IF($A866="","",Entry!$L869)</f>
        <v/>
      </c>
      <c r="N866" t="str">
        <f>IF(OR(Sync!$M866="",$Q866="",$Q866="نامعتبر"),"",Sync!$M866)</f>
        <v/>
      </c>
      <c r="O866" t="str">
        <f t="shared" si="94"/>
        <v/>
      </c>
      <c r="P866" t="str">
        <f>IF($N866="","",LEFT($Q866,4)&amp;MID($Q866,6,2)&amp;RIGHT($Q866,2)&amp;IF(Sync!$K866="","0000",IF(AND(ISNUMBER(Sync!$K866),Sync!$K866&gt;=0,Sync!$K866&lt;1),RIGHT("00"&amp;HOUR(Sync!$K866),2)&amp;RIGHT("00"&amp;MINUTE(Sync!$K866),2),IFERROR(RIGHT("00"&amp;VALUE(LEFT(Sync!$K866,FIND(":",Sync!$K866)-1)),2)&amp;RIGHT("00"&amp;VALUE(MID(Sync!$K866,FIND(":",Sync!$K866)+1,2)),2),"0000")))&amp;"|"&amp;"2"&amp;RIGHT("00000"&amp;861,5))</f>
        <v/>
      </c>
      <c r="Q866" t="str">
        <f>IF(Sync!$J866="","",IF(ISNUMBER(Sync!$J866),IF(AND(Sync!$J866&gt;=10000101,Sync!$J866&lt;=99991231),INT(Sync!$J866/10000)&amp;"/"&amp;RIGHT("00"&amp;INT(MOD(Sync!$J866,10000)/100),2)&amp;"/"&amp;RIGHT("00"&amp;MOD(Sync!$J866,100),2),"نامعتبر"),IF(LEN(Sync!$J866)=10,Sync!$J866,"نامعتبر")))</f>
        <v/>
      </c>
      <c r="R866" t="str">
        <f t="shared" si="95"/>
        <v/>
      </c>
      <c r="S866" t="str">
        <f t="shared" si="96"/>
        <v/>
      </c>
      <c r="T866" t="str">
        <f>IF($N866="","",IF(Sync!$N866="",0,Sync!$N866))</f>
        <v/>
      </c>
      <c r="U866" t="str">
        <f>IF($N866="","",IF(Sync!$O866="",0,Sync!$O866))</f>
        <v/>
      </c>
      <c r="V866" t="str">
        <f>IF($N866="","",Sync!$L866)</f>
        <v/>
      </c>
      <c r="W866" t="str">
        <f>IF($N866="","",Sync!$P866)</f>
        <v/>
      </c>
      <c r="AA866" t="str">
        <f>IF($A866="","",IF(COUNTIF($A$6:$A866,$A866)=1,1,0))</f>
        <v/>
      </c>
      <c r="AB866">
        <f>SUM($AA$6:$AA866)</f>
        <v>3</v>
      </c>
      <c r="AC866" t="str">
        <f t="shared" si="97"/>
        <v/>
      </c>
    </row>
    <row r="867" spans="1:29" x14ac:dyDescent="0.2">
      <c r="A867" t="str">
        <f>IF(OR(Entry!$B870="",Entry!$E870="",$E867="نامعتبر"),"",Entry!$E870)</f>
        <v/>
      </c>
      <c r="B867" t="str">
        <f>IF($A867="","",LEFT($E867,4)&amp;MID($E867,6,2)&amp;RIGHT($E867,2)&amp;$F867&amp;"|"&amp;"1"&amp;RIGHT("00000"&amp;862,5))</f>
        <v/>
      </c>
      <c r="C867" t="str">
        <f t="shared" si="91"/>
        <v/>
      </c>
      <c r="D867" t="str">
        <f t="shared" si="92"/>
        <v/>
      </c>
      <c r="E867" t="str">
        <f>IF(Entry!$B870="","",IF(ISNUMBER(Entry!$B870),IF(AND(Entry!$B870&gt;=10000101,Entry!$B870&lt;=99991231),INT(Entry!$B870/10000)&amp;"/"&amp;RIGHT("00"&amp;INT(MOD(Entry!$B870,10000)/100),2)&amp;"/"&amp;RIGHT("00"&amp;MOD(Entry!$B870,100),2),"نامعتبر"),IF(LEN(Entry!$B870)=10,Entry!$B870,"نامعتبر")))</f>
        <v/>
      </c>
      <c r="F867" t="str">
        <f>IF(Entry!$B870="","",IF(Entry!$C870="","0000",IF(AND(ISNUMBER(Entry!$C870),Entry!$C870&gt;=0,Entry!$C870&lt;1),RIGHT("00"&amp;HOUR(Entry!$C870),2)&amp;RIGHT("00"&amp;MINUTE(Entry!$C870),2),IFERROR(RIGHT("00"&amp;VALUE(LEFT(Entry!$C870,FIND(":",Entry!$C870)-1)),2)&amp;RIGHT("00"&amp;VALUE(MID(Entry!$C870,FIND(":",Entry!$C870)+1,2)),2),"0000"))))</f>
        <v/>
      </c>
      <c r="G867" t="str">
        <f>IF($A867="","",Entry!$G870)</f>
        <v/>
      </c>
      <c r="H867" t="str">
        <f>IF($A867="","",IF(Entry!$H870="",0,Entry!$H870))</f>
        <v/>
      </c>
      <c r="I867" t="str">
        <f>IF($A867="","",IF(Entry!$I870="",0,Entry!$I870))</f>
        <v/>
      </c>
      <c r="J867" t="str">
        <f t="shared" si="93"/>
        <v/>
      </c>
      <c r="K867" t="str">
        <f>IF($A867="","",Entry!$D870)</f>
        <v/>
      </c>
      <c r="L867" t="str">
        <f>IF($A867="","",Entry!$L870)</f>
        <v/>
      </c>
      <c r="N867" t="str">
        <f>IF(OR(Sync!$M867="",$Q867="",$Q867="نامعتبر"),"",Sync!$M867)</f>
        <v/>
      </c>
      <c r="O867" t="str">
        <f t="shared" si="94"/>
        <v/>
      </c>
      <c r="P867" t="str">
        <f>IF($N867="","",LEFT($Q867,4)&amp;MID($Q867,6,2)&amp;RIGHT($Q867,2)&amp;IF(Sync!$K867="","0000",IF(AND(ISNUMBER(Sync!$K867),Sync!$K867&gt;=0,Sync!$K867&lt;1),RIGHT("00"&amp;HOUR(Sync!$K867),2)&amp;RIGHT("00"&amp;MINUTE(Sync!$K867),2),IFERROR(RIGHT("00"&amp;VALUE(LEFT(Sync!$K867,FIND(":",Sync!$K867)-1)),2)&amp;RIGHT("00"&amp;VALUE(MID(Sync!$K867,FIND(":",Sync!$K867)+1,2)),2),"0000")))&amp;"|"&amp;"2"&amp;RIGHT("00000"&amp;862,5))</f>
        <v/>
      </c>
      <c r="Q867" t="str">
        <f>IF(Sync!$J867="","",IF(ISNUMBER(Sync!$J867),IF(AND(Sync!$J867&gt;=10000101,Sync!$J867&lt;=99991231),INT(Sync!$J867/10000)&amp;"/"&amp;RIGHT("00"&amp;INT(MOD(Sync!$J867,10000)/100),2)&amp;"/"&amp;RIGHT("00"&amp;MOD(Sync!$J867,100),2),"نامعتبر"),IF(LEN(Sync!$J867)=10,Sync!$J867,"نامعتبر")))</f>
        <v/>
      </c>
      <c r="R867" t="str">
        <f t="shared" si="95"/>
        <v/>
      </c>
      <c r="S867" t="str">
        <f t="shared" si="96"/>
        <v/>
      </c>
      <c r="T867" t="str">
        <f>IF($N867="","",IF(Sync!$N867="",0,Sync!$N867))</f>
        <v/>
      </c>
      <c r="U867" t="str">
        <f>IF($N867="","",IF(Sync!$O867="",0,Sync!$O867))</f>
        <v/>
      </c>
      <c r="V867" t="str">
        <f>IF($N867="","",Sync!$L867)</f>
        <v/>
      </c>
      <c r="W867" t="str">
        <f>IF($N867="","",Sync!$P867)</f>
        <v/>
      </c>
      <c r="AA867" t="str">
        <f>IF($A867="","",IF(COUNTIF($A$6:$A867,$A867)=1,1,0))</f>
        <v/>
      </c>
      <c r="AB867">
        <f>SUM($AA$6:$AA867)</f>
        <v>3</v>
      </c>
      <c r="AC867" t="str">
        <f t="shared" si="97"/>
        <v/>
      </c>
    </row>
    <row r="868" spans="1:29" x14ac:dyDescent="0.2">
      <c r="A868" t="str">
        <f>IF(OR(Entry!$B871="",Entry!$E871="",$E868="نامعتبر"),"",Entry!$E871)</f>
        <v/>
      </c>
      <c r="B868" t="str">
        <f>IF($A868="","",LEFT($E868,4)&amp;MID($E868,6,2)&amp;RIGHT($E868,2)&amp;$F868&amp;"|"&amp;"1"&amp;RIGHT("00000"&amp;863,5))</f>
        <v/>
      </c>
      <c r="C868" t="str">
        <f t="shared" si="91"/>
        <v/>
      </c>
      <c r="D868" t="str">
        <f t="shared" si="92"/>
        <v/>
      </c>
      <c r="E868" t="str">
        <f>IF(Entry!$B871="","",IF(ISNUMBER(Entry!$B871),IF(AND(Entry!$B871&gt;=10000101,Entry!$B871&lt;=99991231),INT(Entry!$B871/10000)&amp;"/"&amp;RIGHT("00"&amp;INT(MOD(Entry!$B871,10000)/100),2)&amp;"/"&amp;RIGHT("00"&amp;MOD(Entry!$B871,100),2),"نامعتبر"),IF(LEN(Entry!$B871)=10,Entry!$B871,"نامعتبر")))</f>
        <v/>
      </c>
      <c r="F868" t="str">
        <f>IF(Entry!$B871="","",IF(Entry!$C871="","0000",IF(AND(ISNUMBER(Entry!$C871),Entry!$C871&gt;=0,Entry!$C871&lt;1),RIGHT("00"&amp;HOUR(Entry!$C871),2)&amp;RIGHT("00"&amp;MINUTE(Entry!$C871),2),IFERROR(RIGHT("00"&amp;VALUE(LEFT(Entry!$C871,FIND(":",Entry!$C871)-1)),2)&amp;RIGHT("00"&amp;VALUE(MID(Entry!$C871,FIND(":",Entry!$C871)+1,2)),2),"0000"))))</f>
        <v/>
      </c>
      <c r="G868" t="str">
        <f>IF($A868="","",Entry!$G871)</f>
        <v/>
      </c>
      <c r="H868" t="str">
        <f>IF($A868="","",IF(Entry!$H871="",0,Entry!$H871))</f>
        <v/>
      </c>
      <c r="I868" t="str">
        <f>IF($A868="","",IF(Entry!$I871="",0,Entry!$I871))</f>
        <v/>
      </c>
      <c r="J868" t="str">
        <f t="shared" si="93"/>
        <v/>
      </c>
      <c r="K868" t="str">
        <f>IF($A868="","",Entry!$D871)</f>
        <v/>
      </c>
      <c r="L868" t="str">
        <f>IF($A868="","",Entry!$L871)</f>
        <v/>
      </c>
      <c r="N868" t="str">
        <f>IF(OR(Sync!$M868="",$Q868="",$Q868="نامعتبر"),"",Sync!$M868)</f>
        <v/>
      </c>
      <c r="O868" t="str">
        <f t="shared" si="94"/>
        <v/>
      </c>
      <c r="P868" t="str">
        <f>IF($N868="","",LEFT($Q868,4)&amp;MID($Q868,6,2)&amp;RIGHT($Q868,2)&amp;IF(Sync!$K868="","0000",IF(AND(ISNUMBER(Sync!$K868),Sync!$K868&gt;=0,Sync!$K868&lt;1),RIGHT("00"&amp;HOUR(Sync!$K868),2)&amp;RIGHT("00"&amp;MINUTE(Sync!$K868),2),IFERROR(RIGHT("00"&amp;VALUE(LEFT(Sync!$K868,FIND(":",Sync!$K868)-1)),2)&amp;RIGHT("00"&amp;VALUE(MID(Sync!$K868,FIND(":",Sync!$K868)+1,2)),2),"0000")))&amp;"|"&amp;"2"&amp;RIGHT("00000"&amp;863,5))</f>
        <v/>
      </c>
      <c r="Q868" t="str">
        <f>IF(Sync!$J868="","",IF(ISNUMBER(Sync!$J868),IF(AND(Sync!$J868&gt;=10000101,Sync!$J868&lt;=99991231),INT(Sync!$J868/10000)&amp;"/"&amp;RIGHT("00"&amp;INT(MOD(Sync!$J868,10000)/100),2)&amp;"/"&amp;RIGHT("00"&amp;MOD(Sync!$J868,100),2),"نامعتبر"),IF(LEN(Sync!$J868)=10,Sync!$J868,"نامعتبر")))</f>
        <v/>
      </c>
      <c r="R868" t="str">
        <f t="shared" si="95"/>
        <v/>
      </c>
      <c r="S868" t="str">
        <f t="shared" si="96"/>
        <v/>
      </c>
      <c r="T868" t="str">
        <f>IF($N868="","",IF(Sync!$N868="",0,Sync!$N868))</f>
        <v/>
      </c>
      <c r="U868" t="str">
        <f>IF($N868="","",IF(Sync!$O868="",0,Sync!$O868))</f>
        <v/>
      </c>
      <c r="V868" t="str">
        <f>IF($N868="","",Sync!$L868)</f>
        <v/>
      </c>
      <c r="W868" t="str">
        <f>IF($N868="","",Sync!$P868)</f>
        <v/>
      </c>
      <c r="AA868" t="str">
        <f>IF($A868="","",IF(COUNTIF($A$6:$A868,$A868)=1,1,0))</f>
        <v/>
      </c>
      <c r="AB868">
        <f>SUM($AA$6:$AA868)</f>
        <v>3</v>
      </c>
      <c r="AC868" t="str">
        <f t="shared" si="97"/>
        <v/>
      </c>
    </row>
    <row r="869" spans="1:29" x14ac:dyDescent="0.2">
      <c r="A869" t="str">
        <f>IF(OR(Entry!$B872="",Entry!$E872="",$E869="نامعتبر"),"",Entry!$E872)</f>
        <v/>
      </c>
      <c r="B869" t="str">
        <f>IF($A869="","",LEFT($E869,4)&amp;MID($E869,6,2)&amp;RIGHT($E869,2)&amp;$F869&amp;"|"&amp;"1"&amp;RIGHT("00000"&amp;864,5))</f>
        <v/>
      </c>
      <c r="C869" t="str">
        <f t="shared" si="91"/>
        <v/>
      </c>
      <c r="D869" t="str">
        <f t="shared" si="92"/>
        <v/>
      </c>
      <c r="E869" t="str">
        <f>IF(Entry!$B872="","",IF(ISNUMBER(Entry!$B872),IF(AND(Entry!$B872&gt;=10000101,Entry!$B872&lt;=99991231),INT(Entry!$B872/10000)&amp;"/"&amp;RIGHT("00"&amp;INT(MOD(Entry!$B872,10000)/100),2)&amp;"/"&amp;RIGHT("00"&amp;MOD(Entry!$B872,100),2),"نامعتبر"),IF(LEN(Entry!$B872)=10,Entry!$B872,"نامعتبر")))</f>
        <v/>
      </c>
      <c r="F869" t="str">
        <f>IF(Entry!$B872="","",IF(Entry!$C872="","0000",IF(AND(ISNUMBER(Entry!$C872),Entry!$C872&gt;=0,Entry!$C872&lt;1),RIGHT("00"&amp;HOUR(Entry!$C872),2)&amp;RIGHT("00"&amp;MINUTE(Entry!$C872),2),IFERROR(RIGHT("00"&amp;VALUE(LEFT(Entry!$C872,FIND(":",Entry!$C872)-1)),2)&amp;RIGHT("00"&amp;VALUE(MID(Entry!$C872,FIND(":",Entry!$C872)+1,2)),2),"0000"))))</f>
        <v/>
      </c>
      <c r="G869" t="str">
        <f>IF($A869="","",Entry!$G872)</f>
        <v/>
      </c>
      <c r="H869" t="str">
        <f>IF($A869="","",IF(Entry!$H872="",0,Entry!$H872))</f>
        <v/>
      </c>
      <c r="I869" t="str">
        <f>IF($A869="","",IF(Entry!$I872="",0,Entry!$I872))</f>
        <v/>
      </c>
      <c r="J869" t="str">
        <f t="shared" si="93"/>
        <v/>
      </c>
      <c r="K869" t="str">
        <f>IF($A869="","",Entry!$D872)</f>
        <v/>
      </c>
      <c r="L869" t="str">
        <f>IF($A869="","",Entry!$L872)</f>
        <v/>
      </c>
      <c r="N869" t="str">
        <f>IF(OR(Sync!$M869="",$Q869="",$Q869="نامعتبر"),"",Sync!$M869)</f>
        <v/>
      </c>
      <c r="O869" t="str">
        <f t="shared" si="94"/>
        <v/>
      </c>
      <c r="P869" t="str">
        <f>IF($N869="","",LEFT($Q869,4)&amp;MID($Q869,6,2)&amp;RIGHT($Q869,2)&amp;IF(Sync!$K869="","0000",IF(AND(ISNUMBER(Sync!$K869),Sync!$K869&gt;=0,Sync!$K869&lt;1),RIGHT("00"&amp;HOUR(Sync!$K869),2)&amp;RIGHT("00"&amp;MINUTE(Sync!$K869),2),IFERROR(RIGHT("00"&amp;VALUE(LEFT(Sync!$K869,FIND(":",Sync!$K869)-1)),2)&amp;RIGHT("00"&amp;VALUE(MID(Sync!$K869,FIND(":",Sync!$K869)+1,2)),2),"0000")))&amp;"|"&amp;"2"&amp;RIGHT("00000"&amp;864,5))</f>
        <v/>
      </c>
      <c r="Q869" t="str">
        <f>IF(Sync!$J869="","",IF(ISNUMBER(Sync!$J869),IF(AND(Sync!$J869&gt;=10000101,Sync!$J869&lt;=99991231),INT(Sync!$J869/10000)&amp;"/"&amp;RIGHT("00"&amp;INT(MOD(Sync!$J869,10000)/100),2)&amp;"/"&amp;RIGHT("00"&amp;MOD(Sync!$J869,100),2),"نامعتبر"),IF(LEN(Sync!$J869)=10,Sync!$J869,"نامعتبر")))</f>
        <v/>
      </c>
      <c r="R869" t="str">
        <f t="shared" si="95"/>
        <v/>
      </c>
      <c r="S869" t="str">
        <f t="shared" si="96"/>
        <v/>
      </c>
      <c r="T869" t="str">
        <f>IF($N869="","",IF(Sync!$N869="",0,Sync!$N869))</f>
        <v/>
      </c>
      <c r="U869" t="str">
        <f>IF($N869="","",IF(Sync!$O869="",0,Sync!$O869))</f>
        <v/>
      </c>
      <c r="V869" t="str">
        <f>IF($N869="","",Sync!$L869)</f>
        <v/>
      </c>
      <c r="W869" t="str">
        <f>IF($N869="","",Sync!$P869)</f>
        <v/>
      </c>
      <c r="AA869" t="str">
        <f>IF($A869="","",IF(COUNTIF($A$6:$A869,$A869)=1,1,0))</f>
        <v/>
      </c>
      <c r="AB869">
        <f>SUM($AA$6:$AA869)</f>
        <v>3</v>
      </c>
      <c r="AC869" t="str">
        <f t="shared" si="97"/>
        <v/>
      </c>
    </row>
    <row r="870" spans="1:29" x14ac:dyDescent="0.2">
      <c r="A870" t="str">
        <f>IF(OR(Entry!$B873="",Entry!$E873="",$E870="نامعتبر"),"",Entry!$E873)</f>
        <v/>
      </c>
      <c r="B870" t="str">
        <f>IF($A870="","",LEFT($E870,4)&amp;MID($E870,6,2)&amp;RIGHT($E870,2)&amp;$F870&amp;"|"&amp;"1"&amp;RIGHT("00000"&amp;865,5))</f>
        <v/>
      </c>
      <c r="C870" t="str">
        <f t="shared" si="91"/>
        <v/>
      </c>
      <c r="D870" t="str">
        <f t="shared" si="92"/>
        <v/>
      </c>
      <c r="E870" t="str">
        <f>IF(Entry!$B873="","",IF(ISNUMBER(Entry!$B873),IF(AND(Entry!$B873&gt;=10000101,Entry!$B873&lt;=99991231),INT(Entry!$B873/10000)&amp;"/"&amp;RIGHT("00"&amp;INT(MOD(Entry!$B873,10000)/100),2)&amp;"/"&amp;RIGHT("00"&amp;MOD(Entry!$B873,100),2),"نامعتبر"),IF(LEN(Entry!$B873)=10,Entry!$B873,"نامعتبر")))</f>
        <v/>
      </c>
      <c r="F870" t="str">
        <f>IF(Entry!$B873="","",IF(Entry!$C873="","0000",IF(AND(ISNUMBER(Entry!$C873),Entry!$C873&gt;=0,Entry!$C873&lt;1),RIGHT("00"&amp;HOUR(Entry!$C873),2)&amp;RIGHT("00"&amp;MINUTE(Entry!$C873),2),IFERROR(RIGHT("00"&amp;VALUE(LEFT(Entry!$C873,FIND(":",Entry!$C873)-1)),2)&amp;RIGHT("00"&amp;VALUE(MID(Entry!$C873,FIND(":",Entry!$C873)+1,2)),2),"0000"))))</f>
        <v/>
      </c>
      <c r="G870" t="str">
        <f>IF($A870="","",Entry!$G873)</f>
        <v/>
      </c>
      <c r="H870" t="str">
        <f>IF($A870="","",IF(Entry!$H873="",0,Entry!$H873))</f>
        <v/>
      </c>
      <c r="I870" t="str">
        <f>IF($A870="","",IF(Entry!$I873="",0,Entry!$I873))</f>
        <v/>
      </c>
      <c r="J870" t="str">
        <f t="shared" si="93"/>
        <v/>
      </c>
      <c r="K870" t="str">
        <f>IF($A870="","",Entry!$D873)</f>
        <v/>
      </c>
      <c r="L870" t="str">
        <f>IF($A870="","",Entry!$L873)</f>
        <v/>
      </c>
      <c r="N870" t="str">
        <f>IF(OR(Sync!$M870="",$Q870="",$Q870="نامعتبر"),"",Sync!$M870)</f>
        <v/>
      </c>
      <c r="O870" t="str">
        <f t="shared" si="94"/>
        <v/>
      </c>
      <c r="P870" t="str">
        <f>IF($N870="","",LEFT($Q870,4)&amp;MID($Q870,6,2)&amp;RIGHT($Q870,2)&amp;IF(Sync!$K870="","0000",IF(AND(ISNUMBER(Sync!$K870),Sync!$K870&gt;=0,Sync!$K870&lt;1),RIGHT("00"&amp;HOUR(Sync!$K870),2)&amp;RIGHT("00"&amp;MINUTE(Sync!$K870),2),IFERROR(RIGHT("00"&amp;VALUE(LEFT(Sync!$K870,FIND(":",Sync!$K870)-1)),2)&amp;RIGHT("00"&amp;VALUE(MID(Sync!$K870,FIND(":",Sync!$K870)+1,2)),2),"0000")))&amp;"|"&amp;"2"&amp;RIGHT("00000"&amp;865,5))</f>
        <v/>
      </c>
      <c r="Q870" t="str">
        <f>IF(Sync!$J870="","",IF(ISNUMBER(Sync!$J870),IF(AND(Sync!$J870&gt;=10000101,Sync!$J870&lt;=99991231),INT(Sync!$J870/10000)&amp;"/"&amp;RIGHT("00"&amp;INT(MOD(Sync!$J870,10000)/100),2)&amp;"/"&amp;RIGHT("00"&amp;MOD(Sync!$J870,100),2),"نامعتبر"),IF(LEN(Sync!$J870)=10,Sync!$J870,"نامعتبر")))</f>
        <v/>
      </c>
      <c r="R870" t="str">
        <f t="shared" si="95"/>
        <v/>
      </c>
      <c r="S870" t="str">
        <f t="shared" si="96"/>
        <v/>
      </c>
      <c r="T870" t="str">
        <f>IF($N870="","",IF(Sync!$N870="",0,Sync!$N870))</f>
        <v/>
      </c>
      <c r="U870" t="str">
        <f>IF($N870="","",IF(Sync!$O870="",0,Sync!$O870))</f>
        <v/>
      </c>
      <c r="V870" t="str">
        <f>IF($N870="","",Sync!$L870)</f>
        <v/>
      </c>
      <c r="W870" t="str">
        <f>IF($N870="","",Sync!$P870)</f>
        <v/>
      </c>
      <c r="AA870" t="str">
        <f>IF($A870="","",IF(COUNTIF($A$6:$A870,$A870)=1,1,0))</f>
        <v/>
      </c>
      <c r="AB870">
        <f>SUM($AA$6:$AA870)</f>
        <v>3</v>
      </c>
      <c r="AC870" t="str">
        <f t="shared" si="97"/>
        <v/>
      </c>
    </row>
    <row r="871" spans="1:29" x14ac:dyDescent="0.2">
      <c r="A871" t="str">
        <f>IF(OR(Entry!$B874="",Entry!$E874="",$E871="نامعتبر"),"",Entry!$E874)</f>
        <v/>
      </c>
      <c r="B871" t="str">
        <f>IF($A871="","",LEFT($E871,4)&amp;MID($E871,6,2)&amp;RIGHT($E871,2)&amp;$F871&amp;"|"&amp;"1"&amp;RIGHT("00000"&amp;866,5))</f>
        <v/>
      </c>
      <c r="C871" t="str">
        <f t="shared" si="91"/>
        <v/>
      </c>
      <c r="D871" t="str">
        <f t="shared" si="92"/>
        <v/>
      </c>
      <c r="E871" t="str">
        <f>IF(Entry!$B874="","",IF(ISNUMBER(Entry!$B874),IF(AND(Entry!$B874&gt;=10000101,Entry!$B874&lt;=99991231),INT(Entry!$B874/10000)&amp;"/"&amp;RIGHT("00"&amp;INT(MOD(Entry!$B874,10000)/100),2)&amp;"/"&amp;RIGHT("00"&amp;MOD(Entry!$B874,100),2),"نامعتبر"),IF(LEN(Entry!$B874)=10,Entry!$B874,"نامعتبر")))</f>
        <v/>
      </c>
      <c r="F871" t="str">
        <f>IF(Entry!$B874="","",IF(Entry!$C874="","0000",IF(AND(ISNUMBER(Entry!$C874),Entry!$C874&gt;=0,Entry!$C874&lt;1),RIGHT("00"&amp;HOUR(Entry!$C874),2)&amp;RIGHT("00"&amp;MINUTE(Entry!$C874),2),IFERROR(RIGHT("00"&amp;VALUE(LEFT(Entry!$C874,FIND(":",Entry!$C874)-1)),2)&amp;RIGHT("00"&amp;VALUE(MID(Entry!$C874,FIND(":",Entry!$C874)+1,2)),2),"0000"))))</f>
        <v/>
      </c>
      <c r="G871" t="str">
        <f>IF($A871="","",Entry!$G874)</f>
        <v/>
      </c>
      <c r="H871" t="str">
        <f>IF($A871="","",IF(Entry!$H874="",0,Entry!$H874))</f>
        <v/>
      </c>
      <c r="I871" t="str">
        <f>IF($A871="","",IF(Entry!$I874="",0,Entry!$I874))</f>
        <v/>
      </c>
      <c r="J871" t="str">
        <f t="shared" si="93"/>
        <v/>
      </c>
      <c r="K871" t="str">
        <f>IF($A871="","",Entry!$D874)</f>
        <v/>
      </c>
      <c r="L871" t="str">
        <f>IF($A871="","",Entry!$L874)</f>
        <v/>
      </c>
      <c r="N871" t="str">
        <f>IF(OR(Sync!$M871="",$Q871="",$Q871="نامعتبر"),"",Sync!$M871)</f>
        <v/>
      </c>
      <c r="O871" t="str">
        <f t="shared" si="94"/>
        <v/>
      </c>
      <c r="P871" t="str">
        <f>IF($N871="","",LEFT($Q871,4)&amp;MID($Q871,6,2)&amp;RIGHT($Q871,2)&amp;IF(Sync!$K871="","0000",IF(AND(ISNUMBER(Sync!$K871),Sync!$K871&gt;=0,Sync!$K871&lt;1),RIGHT("00"&amp;HOUR(Sync!$K871),2)&amp;RIGHT("00"&amp;MINUTE(Sync!$K871),2),IFERROR(RIGHT("00"&amp;VALUE(LEFT(Sync!$K871,FIND(":",Sync!$K871)-1)),2)&amp;RIGHT("00"&amp;VALUE(MID(Sync!$K871,FIND(":",Sync!$K871)+1,2)),2),"0000")))&amp;"|"&amp;"2"&amp;RIGHT("00000"&amp;866,5))</f>
        <v/>
      </c>
      <c r="Q871" t="str">
        <f>IF(Sync!$J871="","",IF(ISNUMBER(Sync!$J871),IF(AND(Sync!$J871&gt;=10000101,Sync!$J871&lt;=99991231),INT(Sync!$J871/10000)&amp;"/"&amp;RIGHT("00"&amp;INT(MOD(Sync!$J871,10000)/100),2)&amp;"/"&amp;RIGHT("00"&amp;MOD(Sync!$J871,100),2),"نامعتبر"),IF(LEN(Sync!$J871)=10,Sync!$J871,"نامعتبر")))</f>
        <v/>
      </c>
      <c r="R871" t="str">
        <f t="shared" si="95"/>
        <v/>
      </c>
      <c r="S871" t="str">
        <f t="shared" si="96"/>
        <v/>
      </c>
      <c r="T871" t="str">
        <f>IF($N871="","",IF(Sync!$N871="",0,Sync!$N871))</f>
        <v/>
      </c>
      <c r="U871" t="str">
        <f>IF($N871="","",IF(Sync!$O871="",0,Sync!$O871))</f>
        <v/>
      </c>
      <c r="V871" t="str">
        <f>IF($N871="","",Sync!$L871)</f>
        <v/>
      </c>
      <c r="W871" t="str">
        <f>IF($N871="","",Sync!$P871)</f>
        <v/>
      </c>
      <c r="AA871" t="str">
        <f>IF($A871="","",IF(COUNTIF($A$6:$A871,$A871)=1,1,0))</f>
        <v/>
      </c>
      <c r="AB871">
        <f>SUM($AA$6:$AA871)</f>
        <v>3</v>
      </c>
      <c r="AC871" t="str">
        <f t="shared" si="97"/>
        <v/>
      </c>
    </row>
    <row r="872" spans="1:29" x14ac:dyDescent="0.2">
      <c r="A872" t="str">
        <f>IF(OR(Entry!$B875="",Entry!$E875="",$E872="نامعتبر"),"",Entry!$E875)</f>
        <v/>
      </c>
      <c r="B872" t="str">
        <f>IF($A872="","",LEFT($E872,4)&amp;MID($E872,6,2)&amp;RIGHT($E872,2)&amp;$F872&amp;"|"&amp;"1"&amp;RIGHT("00000"&amp;867,5))</f>
        <v/>
      </c>
      <c r="C872" t="str">
        <f t="shared" si="91"/>
        <v/>
      </c>
      <c r="D872" t="str">
        <f t="shared" si="92"/>
        <v/>
      </c>
      <c r="E872" t="str">
        <f>IF(Entry!$B875="","",IF(ISNUMBER(Entry!$B875),IF(AND(Entry!$B875&gt;=10000101,Entry!$B875&lt;=99991231),INT(Entry!$B875/10000)&amp;"/"&amp;RIGHT("00"&amp;INT(MOD(Entry!$B875,10000)/100),2)&amp;"/"&amp;RIGHT("00"&amp;MOD(Entry!$B875,100),2),"نامعتبر"),IF(LEN(Entry!$B875)=10,Entry!$B875,"نامعتبر")))</f>
        <v/>
      </c>
      <c r="F872" t="str">
        <f>IF(Entry!$B875="","",IF(Entry!$C875="","0000",IF(AND(ISNUMBER(Entry!$C875),Entry!$C875&gt;=0,Entry!$C875&lt;1),RIGHT("00"&amp;HOUR(Entry!$C875),2)&amp;RIGHT("00"&amp;MINUTE(Entry!$C875),2),IFERROR(RIGHT("00"&amp;VALUE(LEFT(Entry!$C875,FIND(":",Entry!$C875)-1)),2)&amp;RIGHT("00"&amp;VALUE(MID(Entry!$C875,FIND(":",Entry!$C875)+1,2)),2),"0000"))))</f>
        <v/>
      </c>
      <c r="G872" t="str">
        <f>IF($A872="","",Entry!$G875)</f>
        <v/>
      </c>
      <c r="H872" t="str">
        <f>IF($A872="","",IF(Entry!$H875="",0,Entry!$H875))</f>
        <v/>
      </c>
      <c r="I872" t="str">
        <f>IF($A872="","",IF(Entry!$I875="",0,Entry!$I875))</f>
        <v/>
      </c>
      <c r="J872" t="str">
        <f t="shared" si="93"/>
        <v/>
      </c>
      <c r="K872" t="str">
        <f>IF($A872="","",Entry!$D875)</f>
        <v/>
      </c>
      <c r="L872" t="str">
        <f>IF($A872="","",Entry!$L875)</f>
        <v/>
      </c>
      <c r="N872" t="str">
        <f>IF(OR(Sync!$M872="",$Q872="",$Q872="نامعتبر"),"",Sync!$M872)</f>
        <v/>
      </c>
      <c r="O872" t="str">
        <f t="shared" si="94"/>
        <v/>
      </c>
      <c r="P872" t="str">
        <f>IF($N872="","",LEFT($Q872,4)&amp;MID($Q872,6,2)&amp;RIGHT($Q872,2)&amp;IF(Sync!$K872="","0000",IF(AND(ISNUMBER(Sync!$K872),Sync!$K872&gt;=0,Sync!$K872&lt;1),RIGHT("00"&amp;HOUR(Sync!$K872),2)&amp;RIGHT("00"&amp;MINUTE(Sync!$K872),2),IFERROR(RIGHT("00"&amp;VALUE(LEFT(Sync!$K872,FIND(":",Sync!$K872)-1)),2)&amp;RIGHT("00"&amp;VALUE(MID(Sync!$K872,FIND(":",Sync!$K872)+1,2)),2),"0000")))&amp;"|"&amp;"2"&amp;RIGHT("00000"&amp;867,5))</f>
        <v/>
      </c>
      <c r="Q872" t="str">
        <f>IF(Sync!$J872="","",IF(ISNUMBER(Sync!$J872),IF(AND(Sync!$J872&gt;=10000101,Sync!$J872&lt;=99991231),INT(Sync!$J872/10000)&amp;"/"&amp;RIGHT("00"&amp;INT(MOD(Sync!$J872,10000)/100),2)&amp;"/"&amp;RIGHT("00"&amp;MOD(Sync!$J872,100),2),"نامعتبر"),IF(LEN(Sync!$J872)=10,Sync!$J872,"نامعتبر")))</f>
        <v/>
      </c>
      <c r="R872" t="str">
        <f t="shared" si="95"/>
        <v/>
      </c>
      <c r="S872" t="str">
        <f t="shared" si="96"/>
        <v/>
      </c>
      <c r="T872" t="str">
        <f>IF($N872="","",IF(Sync!$N872="",0,Sync!$N872))</f>
        <v/>
      </c>
      <c r="U872" t="str">
        <f>IF($N872="","",IF(Sync!$O872="",0,Sync!$O872))</f>
        <v/>
      </c>
      <c r="V872" t="str">
        <f>IF($N872="","",Sync!$L872)</f>
        <v/>
      </c>
      <c r="W872" t="str">
        <f>IF($N872="","",Sync!$P872)</f>
        <v/>
      </c>
      <c r="AA872" t="str">
        <f>IF($A872="","",IF(COUNTIF($A$6:$A872,$A872)=1,1,0))</f>
        <v/>
      </c>
      <c r="AB872">
        <f>SUM($AA$6:$AA872)</f>
        <v>3</v>
      </c>
      <c r="AC872" t="str">
        <f t="shared" si="97"/>
        <v/>
      </c>
    </row>
    <row r="873" spans="1:29" x14ac:dyDescent="0.2">
      <c r="A873" t="str">
        <f>IF(OR(Entry!$B876="",Entry!$E876="",$E873="نامعتبر"),"",Entry!$E876)</f>
        <v/>
      </c>
      <c r="B873" t="str">
        <f>IF($A873="","",LEFT($E873,4)&amp;MID($E873,6,2)&amp;RIGHT($E873,2)&amp;$F873&amp;"|"&amp;"1"&amp;RIGHT("00000"&amp;868,5))</f>
        <v/>
      </c>
      <c r="C873" t="str">
        <f t="shared" si="91"/>
        <v/>
      </c>
      <c r="D873" t="str">
        <f t="shared" si="92"/>
        <v/>
      </c>
      <c r="E873" t="str">
        <f>IF(Entry!$B876="","",IF(ISNUMBER(Entry!$B876),IF(AND(Entry!$B876&gt;=10000101,Entry!$B876&lt;=99991231),INT(Entry!$B876/10000)&amp;"/"&amp;RIGHT("00"&amp;INT(MOD(Entry!$B876,10000)/100),2)&amp;"/"&amp;RIGHT("00"&amp;MOD(Entry!$B876,100),2),"نامعتبر"),IF(LEN(Entry!$B876)=10,Entry!$B876,"نامعتبر")))</f>
        <v/>
      </c>
      <c r="F873" t="str">
        <f>IF(Entry!$B876="","",IF(Entry!$C876="","0000",IF(AND(ISNUMBER(Entry!$C876),Entry!$C876&gt;=0,Entry!$C876&lt;1),RIGHT("00"&amp;HOUR(Entry!$C876),2)&amp;RIGHT("00"&amp;MINUTE(Entry!$C876),2),IFERROR(RIGHT("00"&amp;VALUE(LEFT(Entry!$C876,FIND(":",Entry!$C876)-1)),2)&amp;RIGHT("00"&amp;VALUE(MID(Entry!$C876,FIND(":",Entry!$C876)+1,2)),2),"0000"))))</f>
        <v/>
      </c>
      <c r="G873" t="str">
        <f>IF($A873="","",Entry!$G876)</f>
        <v/>
      </c>
      <c r="H873" t="str">
        <f>IF($A873="","",IF(Entry!$H876="",0,Entry!$H876))</f>
        <v/>
      </c>
      <c r="I873" t="str">
        <f>IF($A873="","",IF(Entry!$I876="",0,Entry!$I876))</f>
        <v/>
      </c>
      <c r="J873" t="str">
        <f t="shared" si="93"/>
        <v/>
      </c>
      <c r="K873" t="str">
        <f>IF($A873="","",Entry!$D876)</f>
        <v/>
      </c>
      <c r="L873" t="str">
        <f>IF($A873="","",Entry!$L876)</f>
        <v/>
      </c>
      <c r="N873" t="str">
        <f>IF(OR(Sync!$M873="",$Q873="",$Q873="نامعتبر"),"",Sync!$M873)</f>
        <v/>
      </c>
      <c r="O873" t="str">
        <f t="shared" si="94"/>
        <v/>
      </c>
      <c r="P873" t="str">
        <f>IF($N873="","",LEFT($Q873,4)&amp;MID($Q873,6,2)&amp;RIGHT($Q873,2)&amp;IF(Sync!$K873="","0000",IF(AND(ISNUMBER(Sync!$K873),Sync!$K873&gt;=0,Sync!$K873&lt;1),RIGHT("00"&amp;HOUR(Sync!$K873),2)&amp;RIGHT("00"&amp;MINUTE(Sync!$K873),2),IFERROR(RIGHT("00"&amp;VALUE(LEFT(Sync!$K873,FIND(":",Sync!$K873)-1)),2)&amp;RIGHT("00"&amp;VALUE(MID(Sync!$K873,FIND(":",Sync!$K873)+1,2)),2),"0000")))&amp;"|"&amp;"2"&amp;RIGHT("00000"&amp;868,5))</f>
        <v/>
      </c>
      <c r="Q873" t="str">
        <f>IF(Sync!$J873="","",IF(ISNUMBER(Sync!$J873),IF(AND(Sync!$J873&gt;=10000101,Sync!$J873&lt;=99991231),INT(Sync!$J873/10000)&amp;"/"&amp;RIGHT("00"&amp;INT(MOD(Sync!$J873,10000)/100),2)&amp;"/"&amp;RIGHT("00"&amp;MOD(Sync!$J873,100),2),"نامعتبر"),IF(LEN(Sync!$J873)=10,Sync!$J873,"نامعتبر")))</f>
        <v/>
      </c>
      <c r="R873" t="str">
        <f t="shared" si="95"/>
        <v/>
      </c>
      <c r="S873" t="str">
        <f t="shared" si="96"/>
        <v/>
      </c>
      <c r="T873" t="str">
        <f>IF($N873="","",IF(Sync!$N873="",0,Sync!$N873))</f>
        <v/>
      </c>
      <c r="U873" t="str">
        <f>IF($N873="","",IF(Sync!$O873="",0,Sync!$O873))</f>
        <v/>
      </c>
      <c r="V873" t="str">
        <f>IF($N873="","",Sync!$L873)</f>
        <v/>
      </c>
      <c r="W873" t="str">
        <f>IF($N873="","",Sync!$P873)</f>
        <v/>
      </c>
      <c r="AA873" t="str">
        <f>IF($A873="","",IF(COUNTIF($A$6:$A873,$A873)=1,1,0))</f>
        <v/>
      </c>
      <c r="AB873">
        <f>SUM($AA$6:$AA873)</f>
        <v>3</v>
      </c>
      <c r="AC873" t="str">
        <f t="shared" si="97"/>
        <v/>
      </c>
    </row>
    <row r="874" spans="1:29" x14ac:dyDescent="0.2">
      <c r="A874" t="str">
        <f>IF(OR(Entry!$B877="",Entry!$E877="",$E874="نامعتبر"),"",Entry!$E877)</f>
        <v/>
      </c>
      <c r="B874" t="str">
        <f>IF($A874="","",LEFT($E874,4)&amp;MID($E874,6,2)&amp;RIGHT($E874,2)&amp;$F874&amp;"|"&amp;"1"&amp;RIGHT("00000"&amp;869,5))</f>
        <v/>
      </c>
      <c r="C874" t="str">
        <f t="shared" si="91"/>
        <v/>
      </c>
      <c r="D874" t="str">
        <f t="shared" si="92"/>
        <v/>
      </c>
      <c r="E874" t="str">
        <f>IF(Entry!$B877="","",IF(ISNUMBER(Entry!$B877),IF(AND(Entry!$B877&gt;=10000101,Entry!$B877&lt;=99991231),INT(Entry!$B877/10000)&amp;"/"&amp;RIGHT("00"&amp;INT(MOD(Entry!$B877,10000)/100),2)&amp;"/"&amp;RIGHT("00"&amp;MOD(Entry!$B877,100),2),"نامعتبر"),IF(LEN(Entry!$B877)=10,Entry!$B877,"نامعتبر")))</f>
        <v/>
      </c>
      <c r="F874" t="str">
        <f>IF(Entry!$B877="","",IF(Entry!$C877="","0000",IF(AND(ISNUMBER(Entry!$C877),Entry!$C877&gt;=0,Entry!$C877&lt;1),RIGHT("00"&amp;HOUR(Entry!$C877),2)&amp;RIGHT("00"&amp;MINUTE(Entry!$C877),2),IFERROR(RIGHT("00"&amp;VALUE(LEFT(Entry!$C877,FIND(":",Entry!$C877)-1)),2)&amp;RIGHT("00"&amp;VALUE(MID(Entry!$C877,FIND(":",Entry!$C877)+1,2)),2),"0000"))))</f>
        <v/>
      </c>
      <c r="G874" t="str">
        <f>IF($A874="","",Entry!$G877)</f>
        <v/>
      </c>
      <c r="H874" t="str">
        <f>IF($A874="","",IF(Entry!$H877="",0,Entry!$H877))</f>
        <v/>
      </c>
      <c r="I874" t="str">
        <f>IF($A874="","",IF(Entry!$I877="",0,Entry!$I877))</f>
        <v/>
      </c>
      <c r="J874" t="str">
        <f t="shared" si="93"/>
        <v/>
      </c>
      <c r="K874" t="str">
        <f>IF($A874="","",Entry!$D877)</f>
        <v/>
      </c>
      <c r="L874" t="str">
        <f>IF($A874="","",Entry!$L877)</f>
        <v/>
      </c>
      <c r="N874" t="str">
        <f>IF(OR(Sync!$M874="",$Q874="",$Q874="نامعتبر"),"",Sync!$M874)</f>
        <v/>
      </c>
      <c r="O874" t="str">
        <f t="shared" si="94"/>
        <v/>
      </c>
      <c r="P874" t="str">
        <f>IF($N874="","",LEFT($Q874,4)&amp;MID($Q874,6,2)&amp;RIGHT($Q874,2)&amp;IF(Sync!$K874="","0000",IF(AND(ISNUMBER(Sync!$K874),Sync!$K874&gt;=0,Sync!$K874&lt;1),RIGHT("00"&amp;HOUR(Sync!$K874),2)&amp;RIGHT("00"&amp;MINUTE(Sync!$K874),2),IFERROR(RIGHT("00"&amp;VALUE(LEFT(Sync!$K874,FIND(":",Sync!$K874)-1)),2)&amp;RIGHT("00"&amp;VALUE(MID(Sync!$K874,FIND(":",Sync!$K874)+1,2)),2),"0000")))&amp;"|"&amp;"2"&amp;RIGHT("00000"&amp;869,5))</f>
        <v/>
      </c>
      <c r="Q874" t="str">
        <f>IF(Sync!$J874="","",IF(ISNUMBER(Sync!$J874),IF(AND(Sync!$J874&gt;=10000101,Sync!$J874&lt;=99991231),INT(Sync!$J874/10000)&amp;"/"&amp;RIGHT("00"&amp;INT(MOD(Sync!$J874,10000)/100),2)&amp;"/"&amp;RIGHT("00"&amp;MOD(Sync!$J874,100),2),"نامعتبر"),IF(LEN(Sync!$J874)=10,Sync!$J874,"نامعتبر")))</f>
        <v/>
      </c>
      <c r="R874" t="str">
        <f t="shared" si="95"/>
        <v/>
      </c>
      <c r="S874" t="str">
        <f t="shared" si="96"/>
        <v/>
      </c>
      <c r="T874" t="str">
        <f>IF($N874="","",IF(Sync!$N874="",0,Sync!$N874))</f>
        <v/>
      </c>
      <c r="U874" t="str">
        <f>IF($N874="","",IF(Sync!$O874="",0,Sync!$O874))</f>
        <v/>
      </c>
      <c r="V874" t="str">
        <f>IF($N874="","",Sync!$L874)</f>
        <v/>
      </c>
      <c r="W874" t="str">
        <f>IF($N874="","",Sync!$P874)</f>
        <v/>
      </c>
      <c r="AA874" t="str">
        <f>IF($A874="","",IF(COUNTIF($A$6:$A874,$A874)=1,1,0))</f>
        <v/>
      </c>
      <c r="AB874">
        <f>SUM($AA$6:$AA874)</f>
        <v>3</v>
      </c>
      <c r="AC874" t="str">
        <f t="shared" si="97"/>
        <v/>
      </c>
    </row>
    <row r="875" spans="1:29" x14ac:dyDescent="0.2">
      <c r="A875" t="str">
        <f>IF(OR(Entry!$B878="",Entry!$E878="",$E875="نامعتبر"),"",Entry!$E878)</f>
        <v/>
      </c>
      <c r="B875" t="str">
        <f>IF($A875="","",LEFT($E875,4)&amp;MID($E875,6,2)&amp;RIGHT($E875,2)&amp;$F875&amp;"|"&amp;"1"&amp;RIGHT("00000"&amp;870,5))</f>
        <v/>
      </c>
      <c r="C875" t="str">
        <f t="shared" si="91"/>
        <v/>
      </c>
      <c r="D875" t="str">
        <f t="shared" si="92"/>
        <v/>
      </c>
      <c r="E875" t="str">
        <f>IF(Entry!$B878="","",IF(ISNUMBER(Entry!$B878),IF(AND(Entry!$B878&gt;=10000101,Entry!$B878&lt;=99991231),INT(Entry!$B878/10000)&amp;"/"&amp;RIGHT("00"&amp;INT(MOD(Entry!$B878,10000)/100),2)&amp;"/"&amp;RIGHT("00"&amp;MOD(Entry!$B878,100),2),"نامعتبر"),IF(LEN(Entry!$B878)=10,Entry!$B878,"نامعتبر")))</f>
        <v/>
      </c>
      <c r="F875" t="str">
        <f>IF(Entry!$B878="","",IF(Entry!$C878="","0000",IF(AND(ISNUMBER(Entry!$C878),Entry!$C878&gt;=0,Entry!$C878&lt;1),RIGHT("00"&amp;HOUR(Entry!$C878),2)&amp;RIGHT("00"&amp;MINUTE(Entry!$C878),2),IFERROR(RIGHT("00"&amp;VALUE(LEFT(Entry!$C878,FIND(":",Entry!$C878)-1)),2)&amp;RIGHT("00"&amp;VALUE(MID(Entry!$C878,FIND(":",Entry!$C878)+1,2)),2),"0000"))))</f>
        <v/>
      </c>
      <c r="G875" t="str">
        <f>IF($A875="","",Entry!$G878)</f>
        <v/>
      </c>
      <c r="H875" t="str">
        <f>IF($A875="","",IF(Entry!$H878="",0,Entry!$H878))</f>
        <v/>
      </c>
      <c r="I875" t="str">
        <f>IF($A875="","",IF(Entry!$I878="",0,Entry!$I878))</f>
        <v/>
      </c>
      <c r="J875" t="str">
        <f t="shared" si="93"/>
        <v/>
      </c>
      <c r="K875" t="str">
        <f>IF($A875="","",Entry!$D878)</f>
        <v/>
      </c>
      <c r="L875" t="str">
        <f>IF($A875="","",Entry!$L878)</f>
        <v/>
      </c>
      <c r="N875" t="str">
        <f>IF(OR(Sync!$M875="",$Q875="",$Q875="نامعتبر"),"",Sync!$M875)</f>
        <v/>
      </c>
      <c r="O875" t="str">
        <f t="shared" si="94"/>
        <v/>
      </c>
      <c r="P875" t="str">
        <f>IF($N875="","",LEFT($Q875,4)&amp;MID($Q875,6,2)&amp;RIGHT($Q875,2)&amp;IF(Sync!$K875="","0000",IF(AND(ISNUMBER(Sync!$K875),Sync!$K875&gt;=0,Sync!$K875&lt;1),RIGHT("00"&amp;HOUR(Sync!$K875),2)&amp;RIGHT("00"&amp;MINUTE(Sync!$K875),2),IFERROR(RIGHT("00"&amp;VALUE(LEFT(Sync!$K875,FIND(":",Sync!$K875)-1)),2)&amp;RIGHT("00"&amp;VALUE(MID(Sync!$K875,FIND(":",Sync!$K875)+1,2)),2),"0000")))&amp;"|"&amp;"2"&amp;RIGHT("00000"&amp;870,5))</f>
        <v/>
      </c>
      <c r="Q875" t="str">
        <f>IF(Sync!$J875="","",IF(ISNUMBER(Sync!$J875),IF(AND(Sync!$J875&gt;=10000101,Sync!$J875&lt;=99991231),INT(Sync!$J875/10000)&amp;"/"&amp;RIGHT("00"&amp;INT(MOD(Sync!$J875,10000)/100),2)&amp;"/"&amp;RIGHT("00"&amp;MOD(Sync!$J875,100),2),"نامعتبر"),IF(LEN(Sync!$J875)=10,Sync!$J875,"نامعتبر")))</f>
        <v/>
      </c>
      <c r="R875" t="str">
        <f t="shared" si="95"/>
        <v/>
      </c>
      <c r="S875" t="str">
        <f t="shared" si="96"/>
        <v/>
      </c>
      <c r="T875" t="str">
        <f>IF($N875="","",IF(Sync!$N875="",0,Sync!$N875))</f>
        <v/>
      </c>
      <c r="U875" t="str">
        <f>IF($N875="","",IF(Sync!$O875="",0,Sync!$O875))</f>
        <v/>
      </c>
      <c r="V875" t="str">
        <f>IF($N875="","",Sync!$L875)</f>
        <v/>
      </c>
      <c r="W875" t="str">
        <f>IF($N875="","",Sync!$P875)</f>
        <v/>
      </c>
      <c r="AA875" t="str">
        <f>IF($A875="","",IF(COUNTIF($A$6:$A875,$A875)=1,1,0))</f>
        <v/>
      </c>
      <c r="AB875">
        <f>SUM($AA$6:$AA875)</f>
        <v>3</v>
      </c>
      <c r="AC875" t="str">
        <f t="shared" si="97"/>
        <v/>
      </c>
    </row>
    <row r="876" spans="1:29" x14ac:dyDescent="0.2">
      <c r="A876" t="str">
        <f>IF(OR(Entry!$B879="",Entry!$E879="",$E876="نامعتبر"),"",Entry!$E879)</f>
        <v/>
      </c>
      <c r="B876" t="str">
        <f>IF($A876="","",LEFT($E876,4)&amp;MID($E876,6,2)&amp;RIGHT($E876,2)&amp;$F876&amp;"|"&amp;"1"&amp;RIGHT("00000"&amp;871,5))</f>
        <v/>
      </c>
      <c r="C876" t="str">
        <f t="shared" si="91"/>
        <v/>
      </c>
      <c r="D876" t="str">
        <f t="shared" si="92"/>
        <v/>
      </c>
      <c r="E876" t="str">
        <f>IF(Entry!$B879="","",IF(ISNUMBER(Entry!$B879),IF(AND(Entry!$B879&gt;=10000101,Entry!$B879&lt;=99991231),INT(Entry!$B879/10000)&amp;"/"&amp;RIGHT("00"&amp;INT(MOD(Entry!$B879,10000)/100),2)&amp;"/"&amp;RIGHT("00"&amp;MOD(Entry!$B879,100),2),"نامعتبر"),IF(LEN(Entry!$B879)=10,Entry!$B879,"نامعتبر")))</f>
        <v/>
      </c>
      <c r="F876" t="str">
        <f>IF(Entry!$B879="","",IF(Entry!$C879="","0000",IF(AND(ISNUMBER(Entry!$C879),Entry!$C879&gt;=0,Entry!$C879&lt;1),RIGHT("00"&amp;HOUR(Entry!$C879),2)&amp;RIGHT("00"&amp;MINUTE(Entry!$C879),2),IFERROR(RIGHT("00"&amp;VALUE(LEFT(Entry!$C879,FIND(":",Entry!$C879)-1)),2)&amp;RIGHT("00"&amp;VALUE(MID(Entry!$C879,FIND(":",Entry!$C879)+1,2)),2),"0000"))))</f>
        <v/>
      </c>
      <c r="G876" t="str">
        <f>IF($A876="","",Entry!$G879)</f>
        <v/>
      </c>
      <c r="H876" t="str">
        <f>IF($A876="","",IF(Entry!$H879="",0,Entry!$H879))</f>
        <v/>
      </c>
      <c r="I876" t="str">
        <f>IF($A876="","",IF(Entry!$I879="",0,Entry!$I879))</f>
        <v/>
      </c>
      <c r="J876" t="str">
        <f t="shared" si="93"/>
        <v/>
      </c>
      <c r="K876" t="str">
        <f>IF($A876="","",Entry!$D879)</f>
        <v/>
      </c>
      <c r="L876" t="str">
        <f>IF($A876="","",Entry!$L879)</f>
        <v/>
      </c>
      <c r="N876" t="str">
        <f>IF(OR(Sync!$M876="",$Q876="",$Q876="نامعتبر"),"",Sync!$M876)</f>
        <v/>
      </c>
      <c r="O876" t="str">
        <f t="shared" si="94"/>
        <v/>
      </c>
      <c r="P876" t="str">
        <f>IF($N876="","",LEFT($Q876,4)&amp;MID($Q876,6,2)&amp;RIGHT($Q876,2)&amp;IF(Sync!$K876="","0000",IF(AND(ISNUMBER(Sync!$K876),Sync!$K876&gt;=0,Sync!$K876&lt;1),RIGHT("00"&amp;HOUR(Sync!$K876),2)&amp;RIGHT("00"&amp;MINUTE(Sync!$K876),2),IFERROR(RIGHT("00"&amp;VALUE(LEFT(Sync!$K876,FIND(":",Sync!$K876)-1)),2)&amp;RIGHT("00"&amp;VALUE(MID(Sync!$K876,FIND(":",Sync!$K876)+1,2)),2),"0000")))&amp;"|"&amp;"2"&amp;RIGHT("00000"&amp;871,5))</f>
        <v/>
      </c>
      <c r="Q876" t="str">
        <f>IF(Sync!$J876="","",IF(ISNUMBER(Sync!$J876),IF(AND(Sync!$J876&gt;=10000101,Sync!$J876&lt;=99991231),INT(Sync!$J876/10000)&amp;"/"&amp;RIGHT("00"&amp;INT(MOD(Sync!$J876,10000)/100),2)&amp;"/"&amp;RIGHT("00"&amp;MOD(Sync!$J876,100),2),"نامعتبر"),IF(LEN(Sync!$J876)=10,Sync!$J876,"نامعتبر")))</f>
        <v/>
      </c>
      <c r="R876" t="str">
        <f t="shared" si="95"/>
        <v/>
      </c>
      <c r="S876" t="str">
        <f t="shared" si="96"/>
        <v/>
      </c>
      <c r="T876" t="str">
        <f>IF($N876="","",IF(Sync!$N876="",0,Sync!$N876))</f>
        <v/>
      </c>
      <c r="U876" t="str">
        <f>IF($N876="","",IF(Sync!$O876="",0,Sync!$O876))</f>
        <v/>
      </c>
      <c r="V876" t="str">
        <f>IF($N876="","",Sync!$L876)</f>
        <v/>
      </c>
      <c r="W876" t="str">
        <f>IF($N876="","",Sync!$P876)</f>
        <v/>
      </c>
      <c r="AA876" t="str">
        <f>IF($A876="","",IF(COUNTIF($A$6:$A876,$A876)=1,1,0))</f>
        <v/>
      </c>
      <c r="AB876">
        <f>SUM($AA$6:$AA876)</f>
        <v>3</v>
      </c>
      <c r="AC876" t="str">
        <f t="shared" si="97"/>
        <v/>
      </c>
    </row>
    <row r="877" spans="1:29" x14ac:dyDescent="0.2">
      <c r="A877" t="str">
        <f>IF(OR(Entry!$B880="",Entry!$E880="",$E877="نامعتبر"),"",Entry!$E880)</f>
        <v/>
      </c>
      <c r="B877" t="str">
        <f>IF($A877="","",LEFT($E877,4)&amp;MID($E877,6,2)&amp;RIGHT($E877,2)&amp;$F877&amp;"|"&amp;"1"&amp;RIGHT("00000"&amp;872,5))</f>
        <v/>
      </c>
      <c r="C877" t="str">
        <f t="shared" si="91"/>
        <v/>
      </c>
      <c r="D877" t="str">
        <f t="shared" si="92"/>
        <v/>
      </c>
      <c r="E877" t="str">
        <f>IF(Entry!$B880="","",IF(ISNUMBER(Entry!$B880),IF(AND(Entry!$B880&gt;=10000101,Entry!$B880&lt;=99991231),INT(Entry!$B880/10000)&amp;"/"&amp;RIGHT("00"&amp;INT(MOD(Entry!$B880,10000)/100),2)&amp;"/"&amp;RIGHT("00"&amp;MOD(Entry!$B880,100),2),"نامعتبر"),IF(LEN(Entry!$B880)=10,Entry!$B880,"نامعتبر")))</f>
        <v/>
      </c>
      <c r="F877" t="str">
        <f>IF(Entry!$B880="","",IF(Entry!$C880="","0000",IF(AND(ISNUMBER(Entry!$C880),Entry!$C880&gt;=0,Entry!$C880&lt;1),RIGHT("00"&amp;HOUR(Entry!$C880),2)&amp;RIGHT("00"&amp;MINUTE(Entry!$C880),2),IFERROR(RIGHT("00"&amp;VALUE(LEFT(Entry!$C880,FIND(":",Entry!$C880)-1)),2)&amp;RIGHT("00"&amp;VALUE(MID(Entry!$C880,FIND(":",Entry!$C880)+1,2)),2),"0000"))))</f>
        <v/>
      </c>
      <c r="G877" t="str">
        <f>IF($A877="","",Entry!$G880)</f>
        <v/>
      </c>
      <c r="H877" t="str">
        <f>IF($A877="","",IF(Entry!$H880="",0,Entry!$H880))</f>
        <v/>
      </c>
      <c r="I877" t="str">
        <f>IF($A877="","",IF(Entry!$I880="",0,Entry!$I880))</f>
        <v/>
      </c>
      <c r="J877" t="str">
        <f t="shared" si="93"/>
        <v/>
      </c>
      <c r="K877" t="str">
        <f>IF($A877="","",Entry!$D880)</f>
        <v/>
      </c>
      <c r="L877" t="str">
        <f>IF($A877="","",Entry!$L880)</f>
        <v/>
      </c>
      <c r="N877" t="str">
        <f>IF(OR(Sync!$M877="",$Q877="",$Q877="نامعتبر"),"",Sync!$M877)</f>
        <v/>
      </c>
      <c r="O877" t="str">
        <f t="shared" si="94"/>
        <v/>
      </c>
      <c r="P877" t="str">
        <f>IF($N877="","",LEFT($Q877,4)&amp;MID($Q877,6,2)&amp;RIGHT($Q877,2)&amp;IF(Sync!$K877="","0000",IF(AND(ISNUMBER(Sync!$K877),Sync!$K877&gt;=0,Sync!$K877&lt;1),RIGHT("00"&amp;HOUR(Sync!$K877),2)&amp;RIGHT("00"&amp;MINUTE(Sync!$K877),2),IFERROR(RIGHT("00"&amp;VALUE(LEFT(Sync!$K877,FIND(":",Sync!$K877)-1)),2)&amp;RIGHT("00"&amp;VALUE(MID(Sync!$K877,FIND(":",Sync!$K877)+1,2)),2),"0000")))&amp;"|"&amp;"2"&amp;RIGHT("00000"&amp;872,5))</f>
        <v/>
      </c>
      <c r="Q877" t="str">
        <f>IF(Sync!$J877="","",IF(ISNUMBER(Sync!$J877),IF(AND(Sync!$J877&gt;=10000101,Sync!$J877&lt;=99991231),INT(Sync!$J877/10000)&amp;"/"&amp;RIGHT("00"&amp;INT(MOD(Sync!$J877,10000)/100),2)&amp;"/"&amp;RIGHT("00"&amp;MOD(Sync!$J877,100),2),"نامعتبر"),IF(LEN(Sync!$J877)=10,Sync!$J877,"نامعتبر")))</f>
        <v/>
      </c>
      <c r="R877" t="str">
        <f t="shared" si="95"/>
        <v/>
      </c>
      <c r="S877" t="str">
        <f t="shared" si="96"/>
        <v/>
      </c>
      <c r="T877" t="str">
        <f>IF($N877="","",IF(Sync!$N877="",0,Sync!$N877))</f>
        <v/>
      </c>
      <c r="U877" t="str">
        <f>IF($N877="","",IF(Sync!$O877="",0,Sync!$O877))</f>
        <v/>
      </c>
      <c r="V877" t="str">
        <f>IF($N877="","",Sync!$L877)</f>
        <v/>
      </c>
      <c r="W877" t="str">
        <f>IF($N877="","",Sync!$P877)</f>
        <v/>
      </c>
      <c r="AA877" t="str">
        <f>IF($A877="","",IF(COUNTIF($A$6:$A877,$A877)=1,1,0))</f>
        <v/>
      </c>
      <c r="AB877">
        <f>SUM($AA$6:$AA877)</f>
        <v>3</v>
      </c>
      <c r="AC877" t="str">
        <f t="shared" si="97"/>
        <v/>
      </c>
    </row>
    <row r="878" spans="1:29" x14ac:dyDescent="0.2">
      <c r="A878" t="str">
        <f>IF(OR(Entry!$B881="",Entry!$E881="",$E878="نامعتبر"),"",Entry!$E881)</f>
        <v/>
      </c>
      <c r="B878" t="str">
        <f>IF($A878="","",LEFT($E878,4)&amp;MID($E878,6,2)&amp;RIGHT($E878,2)&amp;$F878&amp;"|"&amp;"1"&amp;RIGHT("00000"&amp;873,5))</f>
        <v/>
      </c>
      <c r="C878" t="str">
        <f t="shared" si="91"/>
        <v/>
      </c>
      <c r="D878" t="str">
        <f t="shared" si="92"/>
        <v/>
      </c>
      <c r="E878" t="str">
        <f>IF(Entry!$B881="","",IF(ISNUMBER(Entry!$B881),IF(AND(Entry!$B881&gt;=10000101,Entry!$B881&lt;=99991231),INT(Entry!$B881/10000)&amp;"/"&amp;RIGHT("00"&amp;INT(MOD(Entry!$B881,10000)/100),2)&amp;"/"&amp;RIGHT("00"&amp;MOD(Entry!$B881,100),2),"نامعتبر"),IF(LEN(Entry!$B881)=10,Entry!$B881,"نامعتبر")))</f>
        <v/>
      </c>
      <c r="F878" t="str">
        <f>IF(Entry!$B881="","",IF(Entry!$C881="","0000",IF(AND(ISNUMBER(Entry!$C881),Entry!$C881&gt;=0,Entry!$C881&lt;1),RIGHT("00"&amp;HOUR(Entry!$C881),2)&amp;RIGHT("00"&amp;MINUTE(Entry!$C881),2),IFERROR(RIGHT("00"&amp;VALUE(LEFT(Entry!$C881,FIND(":",Entry!$C881)-1)),2)&amp;RIGHT("00"&amp;VALUE(MID(Entry!$C881,FIND(":",Entry!$C881)+1,2)),2),"0000"))))</f>
        <v/>
      </c>
      <c r="G878" t="str">
        <f>IF($A878="","",Entry!$G881)</f>
        <v/>
      </c>
      <c r="H878" t="str">
        <f>IF($A878="","",IF(Entry!$H881="",0,Entry!$H881))</f>
        <v/>
      </c>
      <c r="I878" t="str">
        <f>IF($A878="","",IF(Entry!$I881="",0,Entry!$I881))</f>
        <v/>
      </c>
      <c r="J878" t="str">
        <f t="shared" si="93"/>
        <v/>
      </c>
      <c r="K878" t="str">
        <f>IF($A878="","",Entry!$D881)</f>
        <v/>
      </c>
      <c r="L878" t="str">
        <f>IF($A878="","",Entry!$L881)</f>
        <v/>
      </c>
      <c r="N878" t="str">
        <f>IF(OR(Sync!$M878="",$Q878="",$Q878="نامعتبر"),"",Sync!$M878)</f>
        <v/>
      </c>
      <c r="O878" t="str">
        <f t="shared" si="94"/>
        <v/>
      </c>
      <c r="P878" t="str">
        <f>IF($N878="","",LEFT($Q878,4)&amp;MID($Q878,6,2)&amp;RIGHT($Q878,2)&amp;IF(Sync!$K878="","0000",IF(AND(ISNUMBER(Sync!$K878),Sync!$K878&gt;=0,Sync!$K878&lt;1),RIGHT("00"&amp;HOUR(Sync!$K878),2)&amp;RIGHT("00"&amp;MINUTE(Sync!$K878),2),IFERROR(RIGHT("00"&amp;VALUE(LEFT(Sync!$K878,FIND(":",Sync!$K878)-1)),2)&amp;RIGHT("00"&amp;VALUE(MID(Sync!$K878,FIND(":",Sync!$K878)+1,2)),2),"0000")))&amp;"|"&amp;"2"&amp;RIGHT("00000"&amp;873,5))</f>
        <v/>
      </c>
      <c r="Q878" t="str">
        <f>IF(Sync!$J878="","",IF(ISNUMBER(Sync!$J878),IF(AND(Sync!$J878&gt;=10000101,Sync!$J878&lt;=99991231),INT(Sync!$J878/10000)&amp;"/"&amp;RIGHT("00"&amp;INT(MOD(Sync!$J878,10000)/100),2)&amp;"/"&amp;RIGHT("00"&amp;MOD(Sync!$J878,100),2),"نامعتبر"),IF(LEN(Sync!$J878)=10,Sync!$J878,"نامعتبر")))</f>
        <v/>
      </c>
      <c r="R878" t="str">
        <f t="shared" si="95"/>
        <v/>
      </c>
      <c r="S878" t="str">
        <f t="shared" si="96"/>
        <v/>
      </c>
      <c r="T878" t="str">
        <f>IF($N878="","",IF(Sync!$N878="",0,Sync!$N878))</f>
        <v/>
      </c>
      <c r="U878" t="str">
        <f>IF($N878="","",IF(Sync!$O878="",0,Sync!$O878))</f>
        <v/>
      </c>
      <c r="V878" t="str">
        <f>IF($N878="","",Sync!$L878)</f>
        <v/>
      </c>
      <c r="W878" t="str">
        <f>IF($N878="","",Sync!$P878)</f>
        <v/>
      </c>
      <c r="AA878" t="str">
        <f>IF($A878="","",IF(COUNTIF($A$6:$A878,$A878)=1,1,0))</f>
        <v/>
      </c>
      <c r="AB878">
        <f>SUM($AA$6:$AA878)</f>
        <v>3</v>
      </c>
      <c r="AC878" t="str">
        <f t="shared" si="97"/>
        <v/>
      </c>
    </row>
    <row r="879" spans="1:29" x14ac:dyDescent="0.2">
      <c r="A879" t="str">
        <f>IF(OR(Entry!$B882="",Entry!$E882="",$E879="نامعتبر"),"",Entry!$E882)</f>
        <v/>
      </c>
      <c r="B879" t="str">
        <f>IF($A879="","",LEFT($E879,4)&amp;MID($E879,6,2)&amp;RIGHT($E879,2)&amp;$F879&amp;"|"&amp;"1"&amp;RIGHT("00000"&amp;874,5))</f>
        <v/>
      </c>
      <c r="C879" t="str">
        <f t="shared" si="91"/>
        <v/>
      </c>
      <c r="D879" t="str">
        <f t="shared" si="92"/>
        <v/>
      </c>
      <c r="E879" t="str">
        <f>IF(Entry!$B882="","",IF(ISNUMBER(Entry!$B882),IF(AND(Entry!$B882&gt;=10000101,Entry!$B882&lt;=99991231),INT(Entry!$B882/10000)&amp;"/"&amp;RIGHT("00"&amp;INT(MOD(Entry!$B882,10000)/100),2)&amp;"/"&amp;RIGHT("00"&amp;MOD(Entry!$B882,100),2),"نامعتبر"),IF(LEN(Entry!$B882)=10,Entry!$B882,"نامعتبر")))</f>
        <v/>
      </c>
      <c r="F879" t="str">
        <f>IF(Entry!$B882="","",IF(Entry!$C882="","0000",IF(AND(ISNUMBER(Entry!$C882),Entry!$C882&gt;=0,Entry!$C882&lt;1),RIGHT("00"&amp;HOUR(Entry!$C882),2)&amp;RIGHT("00"&amp;MINUTE(Entry!$C882),2),IFERROR(RIGHT("00"&amp;VALUE(LEFT(Entry!$C882,FIND(":",Entry!$C882)-1)),2)&amp;RIGHT("00"&amp;VALUE(MID(Entry!$C882,FIND(":",Entry!$C882)+1,2)),2),"0000"))))</f>
        <v/>
      </c>
      <c r="G879" t="str">
        <f>IF($A879="","",Entry!$G882)</f>
        <v/>
      </c>
      <c r="H879" t="str">
        <f>IF($A879="","",IF(Entry!$H882="",0,Entry!$H882))</f>
        <v/>
      </c>
      <c r="I879" t="str">
        <f>IF($A879="","",IF(Entry!$I882="",0,Entry!$I882))</f>
        <v/>
      </c>
      <c r="J879" t="str">
        <f t="shared" si="93"/>
        <v/>
      </c>
      <c r="K879" t="str">
        <f>IF($A879="","",Entry!$D882)</f>
        <v/>
      </c>
      <c r="L879" t="str">
        <f>IF($A879="","",Entry!$L882)</f>
        <v/>
      </c>
      <c r="N879" t="str">
        <f>IF(OR(Sync!$M879="",$Q879="",$Q879="نامعتبر"),"",Sync!$M879)</f>
        <v/>
      </c>
      <c r="O879" t="str">
        <f t="shared" si="94"/>
        <v/>
      </c>
      <c r="P879" t="str">
        <f>IF($N879="","",LEFT($Q879,4)&amp;MID($Q879,6,2)&amp;RIGHT($Q879,2)&amp;IF(Sync!$K879="","0000",IF(AND(ISNUMBER(Sync!$K879),Sync!$K879&gt;=0,Sync!$K879&lt;1),RIGHT("00"&amp;HOUR(Sync!$K879),2)&amp;RIGHT("00"&amp;MINUTE(Sync!$K879),2),IFERROR(RIGHT("00"&amp;VALUE(LEFT(Sync!$K879,FIND(":",Sync!$K879)-1)),2)&amp;RIGHT("00"&amp;VALUE(MID(Sync!$K879,FIND(":",Sync!$K879)+1,2)),2),"0000")))&amp;"|"&amp;"2"&amp;RIGHT("00000"&amp;874,5))</f>
        <v/>
      </c>
      <c r="Q879" t="str">
        <f>IF(Sync!$J879="","",IF(ISNUMBER(Sync!$J879),IF(AND(Sync!$J879&gt;=10000101,Sync!$J879&lt;=99991231),INT(Sync!$J879/10000)&amp;"/"&amp;RIGHT("00"&amp;INT(MOD(Sync!$J879,10000)/100),2)&amp;"/"&amp;RIGHT("00"&amp;MOD(Sync!$J879,100),2),"نامعتبر"),IF(LEN(Sync!$J879)=10,Sync!$J879,"نامعتبر")))</f>
        <v/>
      </c>
      <c r="R879" t="str">
        <f t="shared" si="95"/>
        <v/>
      </c>
      <c r="S879" t="str">
        <f t="shared" si="96"/>
        <v/>
      </c>
      <c r="T879" t="str">
        <f>IF($N879="","",IF(Sync!$N879="",0,Sync!$N879))</f>
        <v/>
      </c>
      <c r="U879" t="str">
        <f>IF($N879="","",IF(Sync!$O879="",0,Sync!$O879))</f>
        <v/>
      </c>
      <c r="V879" t="str">
        <f>IF($N879="","",Sync!$L879)</f>
        <v/>
      </c>
      <c r="W879" t="str">
        <f>IF($N879="","",Sync!$P879)</f>
        <v/>
      </c>
      <c r="AA879" t="str">
        <f>IF($A879="","",IF(COUNTIF($A$6:$A879,$A879)=1,1,0))</f>
        <v/>
      </c>
      <c r="AB879">
        <f>SUM($AA$6:$AA879)</f>
        <v>3</v>
      </c>
      <c r="AC879" t="str">
        <f t="shared" si="97"/>
        <v/>
      </c>
    </row>
    <row r="880" spans="1:29" x14ac:dyDescent="0.2">
      <c r="A880" t="str">
        <f>IF(OR(Entry!$B883="",Entry!$E883="",$E880="نامعتبر"),"",Entry!$E883)</f>
        <v/>
      </c>
      <c r="B880" t="str">
        <f>IF($A880="","",LEFT($E880,4)&amp;MID($E880,6,2)&amp;RIGHT($E880,2)&amp;$F880&amp;"|"&amp;"1"&amp;RIGHT("00000"&amp;875,5))</f>
        <v/>
      </c>
      <c r="C880" t="str">
        <f t="shared" si="91"/>
        <v/>
      </c>
      <c r="D880" t="str">
        <f t="shared" si="92"/>
        <v/>
      </c>
      <c r="E880" t="str">
        <f>IF(Entry!$B883="","",IF(ISNUMBER(Entry!$B883),IF(AND(Entry!$B883&gt;=10000101,Entry!$B883&lt;=99991231),INT(Entry!$B883/10000)&amp;"/"&amp;RIGHT("00"&amp;INT(MOD(Entry!$B883,10000)/100),2)&amp;"/"&amp;RIGHT("00"&amp;MOD(Entry!$B883,100),2),"نامعتبر"),IF(LEN(Entry!$B883)=10,Entry!$B883,"نامعتبر")))</f>
        <v/>
      </c>
      <c r="F880" t="str">
        <f>IF(Entry!$B883="","",IF(Entry!$C883="","0000",IF(AND(ISNUMBER(Entry!$C883),Entry!$C883&gt;=0,Entry!$C883&lt;1),RIGHT("00"&amp;HOUR(Entry!$C883),2)&amp;RIGHT("00"&amp;MINUTE(Entry!$C883),2),IFERROR(RIGHT("00"&amp;VALUE(LEFT(Entry!$C883,FIND(":",Entry!$C883)-1)),2)&amp;RIGHT("00"&amp;VALUE(MID(Entry!$C883,FIND(":",Entry!$C883)+1,2)),2),"0000"))))</f>
        <v/>
      </c>
      <c r="G880" t="str">
        <f>IF($A880="","",Entry!$G883)</f>
        <v/>
      </c>
      <c r="H880" t="str">
        <f>IF($A880="","",IF(Entry!$H883="",0,Entry!$H883))</f>
        <v/>
      </c>
      <c r="I880" t="str">
        <f>IF($A880="","",IF(Entry!$I883="",0,Entry!$I883))</f>
        <v/>
      </c>
      <c r="J880" t="str">
        <f t="shared" si="93"/>
        <v/>
      </c>
      <c r="K880" t="str">
        <f>IF($A880="","",Entry!$D883)</f>
        <v/>
      </c>
      <c r="L880" t="str">
        <f>IF($A880="","",Entry!$L883)</f>
        <v/>
      </c>
      <c r="N880" t="str">
        <f>IF(OR(Sync!$M880="",$Q880="",$Q880="نامعتبر"),"",Sync!$M880)</f>
        <v/>
      </c>
      <c r="O880" t="str">
        <f t="shared" si="94"/>
        <v/>
      </c>
      <c r="P880" t="str">
        <f>IF($N880="","",LEFT($Q880,4)&amp;MID($Q880,6,2)&amp;RIGHT($Q880,2)&amp;IF(Sync!$K880="","0000",IF(AND(ISNUMBER(Sync!$K880),Sync!$K880&gt;=0,Sync!$K880&lt;1),RIGHT("00"&amp;HOUR(Sync!$K880),2)&amp;RIGHT("00"&amp;MINUTE(Sync!$K880),2),IFERROR(RIGHT("00"&amp;VALUE(LEFT(Sync!$K880,FIND(":",Sync!$K880)-1)),2)&amp;RIGHT("00"&amp;VALUE(MID(Sync!$K880,FIND(":",Sync!$K880)+1,2)),2),"0000")))&amp;"|"&amp;"2"&amp;RIGHT("00000"&amp;875,5))</f>
        <v/>
      </c>
      <c r="Q880" t="str">
        <f>IF(Sync!$J880="","",IF(ISNUMBER(Sync!$J880),IF(AND(Sync!$J880&gt;=10000101,Sync!$J880&lt;=99991231),INT(Sync!$J880/10000)&amp;"/"&amp;RIGHT("00"&amp;INT(MOD(Sync!$J880,10000)/100),2)&amp;"/"&amp;RIGHT("00"&amp;MOD(Sync!$J880,100),2),"نامعتبر"),IF(LEN(Sync!$J880)=10,Sync!$J880,"نامعتبر")))</f>
        <v/>
      </c>
      <c r="R880" t="str">
        <f t="shared" si="95"/>
        <v/>
      </c>
      <c r="S880" t="str">
        <f t="shared" si="96"/>
        <v/>
      </c>
      <c r="T880" t="str">
        <f>IF($N880="","",IF(Sync!$N880="",0,Sync!$N880))</f>
        <v/>
      </c>
      <c r="U880" t="str">
        <f>IF($N880="","",IF(Sync!$O880="",0,Sync!$O880))</f>
        <v/>
      </c>
      <c r="V880" t="str">
        <f>IF($N880="","",Sync!$L880)</f>
        <v/>
      </c>
      <c r="W880" t="str">
        <f>IF($N880="","",Sync!$P880)</f>
        <v/>
      </c>
      <c r="AA880" t="str">
        <f>IF($A880="","",IF(COUNTIF($A$6:$A880,$A880)=1,1,0))</f>
        <v/>
      </c>
      <c r="AB880">
        <f>SUM($AA$6:$AA880)</f>
        <v>3</v>
      </c>
      <c r="AC880" t="str">
        <f t="shared" si="97"/>
        <v/>
      </c>
    </row>
    <row r="881" spans="1:29" x14ac:dyDescent="0.2">
      <c r="A881" t="str">
        <f>IF(OR(Entry!$B884="",Entry!$E884="",$E881="نامعتبر"),"",Entry!$E884)</f>
        <v/>
      </c>
      <c r="B881" t="str">
        <f>IF($A881="","",LEFT($E881,4)&amp;MID($E881,6,2)&amp;RIGHT($E881,2)&amp;$F881&amp;"|"&amp;"1"&amp;RIGHT("00000"&amp;876,5))</f>
        <v/>
      </c>
      <c r="C881" t="str">
        <f t="shared" si="91"/>
        <v/>
      </c>
      <c r="D881" t="str">
        <f t="shared" si="92"/>
        <v/>
      </c>
      <c r="E881" t="str">
        <f>IF(Entry!$B884="","",IF(ISNUMBER(Entry!$B884),IF(AND(Entry!$B884&gt;=10000101,Entry!$B884&lt;=99991231),INT(Entry!$B884/10000)&amp;"/"&amp;RIGHT("00"&amp;INT(MOD(Entry!$B884,10000)/100),2)&amp;"/"&amp;RIGHT("00"&amp;MOD(Entry!$B884,100),2),"نامعتبر"),IF(LEN(Entry!$B884)=10,Entry!$B884,"نامعتبر")))</f>
        <v/>
      </c>
      <c r="F881" t="str">
        <f>IF(Entry!$B884="","",IF(Entry!$C884="","0000",IF(AND(ISNUMBER(Entry!$C884),Entry!$C884&gt;=0,Entry!$C884&lt;1),RIGHT("00"&amp;HOUR(Entry!$C884),2)&amp;RIGHT("00"&amp;MINUTE(Entry!$C884),2),IFERROR(RIGHT("00"&amp;VALUE(LEFT(Entry!$C884,FIND(":",Entry!$C884)-1)),2)&amp;RIGHT("00"&amp;VALUE(MID(Entry!$C884,FIND(":",Entry!$C884)+1,2)),2),"0000"))))</f>
        <v/>
      </c>
      <c r="G881" t="str">
        <f>IF($A881="","",Entry!$G884)</f>
        <v/>
      </c>
      <c r="H881" t="str">
        <f>IF($A881="","",IF(Entry!$H884="",0,Entry!$H884))</f>
        <v/>
      </c>
      <c r="I881" t="str">
        <f>IF($A881="","",IF(Entry!$I884="",0,Entry!$I884))</f>
        <v/>
      </c>
      <c r="J881" t="str">
        <f t="shared" si="93"/>
        <v/>
      </c>
      <c r="K881" t="str">
        <f>IF($A881="","",Entry!$D884)</f>
        <v/>
      </c>
      <c r="L881" t="str">
        <f>IF($A881="","",Entry!$L884)</f>
        <v/>
      </c>
      <c r="N881" t="str">
        <f>IF(OR(Sync!$M881="",$Q881="",$Q881="نامعتبر"),"",Sync!$M881)</f>
        <v/>
      </c>
      <c r="O881" t="str">
        <f t="shared" si="94"/>
        <v/>
      </c>
      <c r="P881" t="str">
        <f>IF($N881="","",LEFT($Q881,4)&amp;MID($Q881,6,2)&amp;RIGHT($Q881,2)&amp;IF(Sync!$K881="","0000",IF(AND(ISNUMBER(Sync!$K881),Sync!$K881&gt;=0,Sync!$K881&lt;1),RIGHT("00"&amp;HOUR(Sync!$K881),2)&amp;RIGHT("00"&amp;MINUTE(Sync!$K881),2),IFERROR(RIGHT("00"&amp;VALUE(LEFT(Sync!$K881,FIND(":",Sync!$K881)-1)),2)&amp;RIGHT("00"&amp;VALUE(MID(Sync!$K881,FIND(":",Sync!$K881)+1,2)),2),"0000")))&amp;"|"&amp;"2"&amp;RIGHT("00000"&amp;876,5))</f>
        <v/>
      </c>
      <c r="Q881" t="str">
        <f>IF(Sync!$J881="","",IF(ISNUMBER(Sync!$J881),IF(AND(Sync!$J881&gt;=10000101,Sync!$J881&lt;=99991231),INT(Sync!$J881/10000)&amp;"/"&amp;RIGHT("00"&amp;INT(MOD(Sync!$J881,10000)/100),2)&amp;"/"&amp;RIGHT("00"&amp;MOD(Sync!$J881,100),2),"نامعتبر"),IF(LEN(Sync!$J881)=10,Sync!$J881,"نامعتبر")))</f>
        <v/>
      </c>
      <c r="R881" t="str">
        <f t="shared" si="95"/>
        <v/>
      </c>
      <c r="S881" t="str">
        <f t="shared" si="96"/>
        <v/>
      </c>
      <c r="T881" t="str">
        <f>IF($N881="","",IF(Sync!$N881="",0,Sync!$N881))</f>
        <v/>
      </c>
      <c r="U881" t="str">
        <f>IF($N881="","",IF(Sync!$O881="",0,Sync!$O881))</f>
        <v/>
      </c>
      <c r="V881" t="str">
        <f>IF($N881="","",Sync!$L881)</f>
        <v/>
      </c>
      <c r="W881" t="str">
        <f>IF($N881="","",Sync!$P881)</f>
        <v/>
      </c>
      <c r="AA881" t="str">
        <f>IF($A881="","",IF(COUNTIF($A$6:$A881,$A881)=1,1,0))</f>
        <v/>
      </c>
      <c r="AB881">
        <f>SUM($AA$6:$AA881)</f>
        <v>3</v>
      </c>
      <c r="AC881" t="str">
        <f t="shared" si="97"/>
        <v/>
      </c>
    </row>
    <row r="882" spans="1:29" x14ac:dyDescent="0.2">
      <c r="A882" t="str">
        <f>IF(OR(Entry!$B885="",Entry!$E885="",$E882="نامعتبر"),"",Entry!$E885)</f>
        <v/>
      </c>
      <c r="B882" t="str">
        <f>IF($A882="","",LEFT($E882,4)&amp;MID($E882,6,2)&amp;RIGHT($E882,2)&amp;$F882&amp;"|"&amp;"1"&amp;RIGHT("00000"&amp;877,5))</f>
        <v/>
      </c>
      <c r="C882" t="str">
        <f t="shared" si="91"/>
        <v/>
      </c>
      <c r="D882" t="str">
        <f t="shared" si="92"/>
        <v/>
      </c>
      <c r="E882" t="str">
        <f>IF(Entry!$B885="","",IF(ISNUMBER(Entry!$B885),IF(AND(Entry!$B885&gt;=10000101,Entry!$B885&lt;=99991231),INT(Entry!$B885/10000)&amp;"/"&amp;RIGHT("00"&amp;INT(MOD(Entry!$B885,10000)/100),2)&amp;"/"&amp;RIGHT("00"&amp;MOD(Entry!$B885,100),2),"نامعتبر"),IF(LEN(Entry!$B885)=10,Entry!$B885,"نامعتبر")))</f>
        <v/>
      </c>
      <c r="F882" t="str">
        <f>IF(Entry!$B885="","",IF(Entry!$C885="","0000",IF(AND(ISNUMBER(Entry!$C885),Entry!$C885&gt;=0,Entry!$C885&lt;1),RIGHT("00"&amp;HOUR(Entry!$C885),2)&amp;RIGHT("00"&amp;MINUTE(Entry!$C885),2),IFERROR(RIGHT("00"&amp;VALUE(LEFT(Entry!$C885,FIND(":",Entry!$C885)-1)),2)&amp;RIGHT("00"&amp;VALUE(MID(Entry!$C885,FIND(":",Entry!$C885)+1,2)),2),"0000"))))</f>
        <v/>
      </c>
      <c r="G882" t="str">
        <f>IF($A882="","",Entry!$G885)</f>
        <v/>
      </c>
      <c r="H882" t="str">
        <f>IF($A882="","",IF(Entry!$H885="",0,Entry!$H885))</f>
        <v/>
      </c>
      <c r="I882" t="str">
        <f>IF($A882="","",IF(Entry!$I885="",0,Entry!$I885))</f>
        <v/>
      </c>
      <c r="J882" t="str">
        <f t="shared" si="93"/>
        <v/>
      </c>
      <c r="K882" t="str">
        <f>IF($A882="","",Entry!$D885)</f>
        <v/>
      </c>
      <c r="L882" t="str">
        <f>IF($A882="","",Entry!$L885)</f>
        <v/>
      </c>
      <c r="N882" t="str">
        <f>IF(OR(Sync!$M882="",$Q882="",$Q882="نامعتبر"),"",Sync!$M882)</f>
        <v/>
      </c>
      <c r="O882" t="str">
        <f t="shared" si="94"/>
        <v/>
      </c>
      <c r="P882" t="str">
        <f>IF($N882="","",LEFT($Q882,4)&amp;MID($Q882,6,2)&amp;RIGHT($Q882,2)&amp;IF(Sync!$K882="","0000",IF(AND(ISNUMBER(Sync!$K882),Sync!$K882&gt;=0,Sync!$K882&lt;1),RIGHT("00"&amp;HOUR(Sync!$K882),2)&amp;RIGHT("00"&amp;MINUTE(Sync!$K882),2),IFERROR(RIGHT("00"&amp;VALUE(LEFT(Sync!$K882,FIND(":",Sync!$K882)-1)),2)&amp;RIGHT("00"&amp;VALUE(MID(Sync!$K882,FIND(":",Sync!$K882)+1,2)),2),"0000")))&amp;"|"&amp;"2"&amp;RIGHT("00000"&amp;877,5))</f>
        <v/>
      </c>
      <c r="Q882" t="str">
        <f>IF(Sync!$J882="","",IF(ISNUMBER(Sync!$J882),IF(AND(Sync!$J882&gt;=10000101,Sync!$J882&lt;=99991231),INT(Sync!$J882/10000)&amp;"/"&amp;RIGHT("00"&amp;INT(MOD(Sync!$J882,10000)/100),2)&amp;"/"&amp;RIGHT("00"&amp;MOD(Sync!$J882,100),2),"نامعتبر"),IF(LEN(Sync!$J882)=10,Sync!$J882,"نامعتبر")))</f>
        <v/>
      </c>
      <c r="R882" t="str">
        <f t="shared" si="95"/>
        <v/>
      </c>
      <c r="S882" t="str">
        <f t="shared" si="96"/>
        <v/>
      </c>
      <c r="T882" t="str">
        <f>IF($N882="","",IF(Sync!$N882="",0,Sync!$N882))</f>
        <v/>
      </c>
      <c r="U882" t="str">
        <f>IF($N882="","",IF(Sync!$O882="",0,Sync!$O882))</f>
        <v/>
      </c>
      <c r="V882" t="str">
        <f>IF($N882="","",Sync!$L882)</f>
        <v/>
      </c>
      <c r="W882" t="str">
        <f>IF($N882="","",Sync!$P882)</f>
        <v/>
      </c>
      <c r="AA882" t="str">
        <f>IF($A882="","",IF(COUNTIF($A$6:$A882,$A882)=1,1,0))</f>
        <v/>
      </c>
      <c r="AB882">
        <f>SUM($AA$6:$AA882)</f>
        <v>3</v>
      </c>
      <c r="AC882" t="str">
        <f t="shared" si="97"/>
        <v/>
      </c>
    </row>
    <row r="883" spans="1:29" x14ac:dyDescent="0.2">
      <c r="A883" t="str">
        <f>IF(OR(Entry!$B886="",Entry!$E886="",$E883="نامعتبر"),"",Entry!$E886)</f>
        <v/>
      </c>
      <c r="B883" t="str">
        <f>IF($A883="","",LEFT($E883,4)&amp;MID($E883,6,2)&amp;RIGHT($E883,2)&amp;$F883&amp;"|"&amp;"1"&amp;RIGHT("00000"&amp;878,5))</f>
        <v/>
      </c>
      <c r="C883" t="str">
        <f t="shared" si="91"/>
        <v/>
      </c>
      <c r="D883" t="str">
        <f t="shared" si="92"/>
        <v/>
      </c>
      <c r="E883" t="str">
        <f>IF(Entry!$B886="","",IF(ISNUMBER(Entry!$B886),IF(AND(Entry!$B886&gt;=10000101,Entry!$B886&lt;=99991231),INT(Entry!$B886/10000)&amp;"/"&amp;RIGHT("00"&amp;INT(MOD(Entry!$B886,10000)/100),2)&amp;"/"&amp;RIGHT("00"&amp;MOD(Entry!$B886,100),2),"نامعتبر"),IF(LEN(Entry!$B886)=10,Entry!$B886,"نامعتبر")))</f>
        <v/>
      </c>
      <c r="F883" t="str">
        <f>IF(Entry!$B886="","",IF(Entry!$C886="","0000",IF(AND(ISNUMBER(Entry!$C886),Entry!$C886&gt;=0,Entry!$C886&lt;1),RIGHT("00"&amp;HOUR(Entry!$C886),2)&amp;RIGHT("00"&amp;MINUTE(Entry!$C886),2),IFERROR(RIGHT("00"&amp;VALUE(LEFT(Entry!$C886,FIND(":",Entry!$C886)-1)),2)&amp;RIGHT("00"&amp;VALUE(MID(Entry!$C886,FIND(":",Entry!$C886)+1,2)),2),"0000"))))</f>
        <v/>
      </c>
      <c r="G883" t="str">
        <f>IF($A883="","",Entry!$G886)</f>
        <v/>
      </c>
      <c r="H883" t="str">
        <f>IF($A883="","",IF(Entry!$H886="",0,Entry!$H886))</f>
        <v/>
      </c>
      <c r="I883" t="str">
        <f>IF($A883="","",IF(Entry!$I886="",0,Entry!$I886))</f>
        <v/>
      </c>
      <c r="J883" t="str">
        <f t="shared" si="93"/>
        <v/>
      </c>
      <c r="K883" t="str">
        <f>IF($A883="","",Entry!$D886)</f>
        <v/>
      </c>
      <c r="L883" t="str">
        <f>IF($A883="","",Entry!$L886)</f>
        <v/>
      </c>
      <c r="N883" t="str">
        <f>IF(OR(Sync!$M883="",$Q883="",$Q883="نامعتبر"),"",Sync!$M883)</f>
        <v/>
      </c>
      <c r="O883" t="str">
        <f t="shared" si="94"/>
        <v/>
      </c>
      <c r="P883" t="str">
        <f>IF($N883="","",LEFT($Q883,4)&amp;MID($Q883,6,2)&amp;RIGHT($Q883,2)&amp;IF(Sync!$K883="","0000",IF(AND(ISNUMBER(Sync!$K883),Sync!$K883&gt;=0,Sync!$K883&lt;1),RIGHT("00"&amp;HOUR(Sync!$K883),2)&amp;RIGHT("00"&amp;MINUTE(Sync!$K883),2),IFERROR(RIGHT("00"&amp;VALUE(LEFT(Sync!$K883,FIND(":",Sync!$K883)-1)),2)&amp;RIGHT("00"&amp;VALUE(MID(Sync!$K883,FIND(":",Sync!$K883)+1,2)),2),"0000")))&amp;"|"&amp;"2"&amp;RIGHT("00000"&amp;878,5))</f>
        <v/>
      </c>
      <c r="Q883" t="str">
        <f>IF(Sync!$J883="","",IF(ISNUMBER(Sync!$J883),IF(AND(Sync!$J883&gt;=10000101,Sync!$J883&lt;=99991231),INT(Sync!$J883/10000)&amp;"/"&amp;RIGHT("00"&amp;INT(MOD(Sync!$J883,10000)/100),2)&amp;"/"&amp;RIGHT("00"&amp;MOD(Sync!$J883,100),2),"نامعتبر"),IF(LEN(Sync!$J883)=10,Sync!$J883,"نامعتبر")))</f>
        <v/>
      </c>
      <c r="R883" t="str">
        <f t="shared" si="95"/>
        <v/>
      </c>
      <c r="S883" t="str">
        <f t="shared" si="96"/>
        <v/>
      </c>
      <c r="T883" t="str">
        <f>IF($N883="","",IF(Sync!$N883="",0,Sync!$N883))</f>
        <v/>
      </c>
      <c r="U883" t="str">
        <f>IF($N883="","",IF(Sync!$O883="",0,Sync!$O883))</f>
        <v/>
      </c>
      <c r="V883" t="str">
        <f>IF($N883="","",Sync!$L883)</f>
        <v/>
      </c>
      <c r="W883" t="str">
        <f>IF($N883="","",Sync!$P883)</f>
        <v/>
      </c>
      <c r="AA883" t="str">
        <f>IF($A883="","",IF(COUNTIF($A$6:$A883,$A883)=1,1,0))</f>
        <v/>
      </c>
      <c r="AB883">
        <f>SUM($AA$6:$AA883)</f>
        <v>3</v>
      </c>
      <c r="AC883" t="str">
        <f t="shared" si="97"/>
        <v/>
      </c>
    </row>
    <row r="884" spans="1:29" x14ac:dyDescent="0.2">
      <c r="A884" t="str">
        <f>IF(OR(Entry!$B887="",Entry!$E887="",$E884="نامعتبر"),"",Entry!$E887)</f>
        <v/>
      </c>
      <c r="B884" t="str">
        <f>IF($A884="","",LEFT($E884,4)&amp;MID($E884,6,2)&amp;RIGHT($E884,2)&amp;$F884&amp;"|"&amp;"1"&amp;RIGHT("00000"&amp;879,5))</f>
        <v/>
      </c>
      <c r="C884" t="str">
        <f t="shared" si="91"/>
        <v/>
      </c>
      <c r="D884" t="str">
        <f t="shared" si="92"/>
        <v/>
      </c>
      <c r="E884" t="str">
        <f>IF(Entry!$B887="","",IF(ISNUMBER(Entry!$B887),IF(AND(Entry!$B887&gt;=10000101,Entry!$B887&lt;=99991231),INT(Entry!$B887/10000)&amp;"/"&amp;RIGHT("00"&amp;INT(MOD(Entry!$B887,10000)/100),2)&amp;"/"&amp;RIGHT("00"&amp;MOD(Entry!$B887,100),2),"نامعتبر"),IF(LEN(Entry!$B887)=10,Entry!$B887,"نامعتبر")))</f>
        <v/>
      </c>
      <c r="F884" t="str">
        <f>IF(Entry!$B887="","",IF(Entry!$C887="","0000",IF(AND(ISNUMBER(Entry!$C887),Entry!$C887&gt;=0,Entry!$C887&lt;1),RIGHT("00"&amp;HOUR(Entry!$C887),2)&amp;RIGHT("00"&amp;MINUTE(Entry!$C887),2),IFERROR(RIGHT("00"&amp;VALUE(LEFT(Entry!$C887,FIND(":",Entry!$C887)-1)),2)&amp;RIGHT("00"&amp;VALUE(MID(Entry!$C887,FIND(":",Entry!$C887)+1,2)),2),"0000"))))</f>
        <v/>
      </c>
      <c r="G884" t="str">
        <f>IF($A884="","",Entry!$G887)</f>
        <v/>
      </c>
      <c r="H884" t="str">
        <f>IF($A884="","",IF(Entry!$H887="",0,Entry!$H887))</f>
        <v/>
      </c>
      <c r="I884" t="str">
        <f>IF($A884="","",IF(Entry!$I887="",0,Entry!$I887))</f>
        <v/>
      </c>
      <c r="J884" t="str">
        <f t="shared" si="93"/>
        <v/>
      </c>
      <c r="K884" t="str">
        <f>IF($A884="","",Entry!$D887)</f>
        <v/>
      </c>
      <c r="L884" t="str">
        <f>IF($A884="","",Entry!$L887)</f>
        <v/>
      </c>
      <c r="N884" t="str">
        <f>IF(OR(Sync!$M884="",$Q884="",$Q884="نامعتبر"),"",Sync!$M884)</f>
        <v/>
      </c>
      <c r="O884" t="str">
        <f t="shared" si="94"/>
        <v/>
      </c>
      <c r="P884" t="str">
        <f>IF($N884="","",LEFT($Q884,4)&amp;MID($Q884,6,2)&amp;RIGHT($Q884,2)&amp;IF(Sync!$K884="","0000",IF(AND(ISNUMBER(Sync!$K884),Sync!$K884&gt;=0,Sync!$K884&lt;1),RIGHT("00"&amp;HOUR(Sync!$K884),2)&amp;RIGHT("00"&amp;MINUTE(Sync!$K884),2),IFERROR(RIGHT("00"&amp;VALUE(LEFT(Sync!$K884,FIND(":",Sync!$K884)-1)),2)&amp;RIGHT("00"&amp;VALUE(MID(Sync!$K884,FIND(":",Sync!$K884)+1,2)),2),"0000")))&amp;"|"&amp;"2"&amp;RIGHT("00000"&amp;879,5))</f>
        <v/>
      </c>
      <c r="Q884" t="str">
        <f>IF(Sync!$J884="","",IF(ISNUMBER(Sync!$J884),IF(AND(Sync!$J884&gt;=10000101,Sync!$J884&lt;=99991231),INT(Sync!$J884/10000)&amp;"/"&amp;RIGHT("00"&amp;INT(MOD(Sync!$J884,10000)/100),2)&amp;"/"&amp;RIGHT("00"&amp;MOD(Sync!$J884,100),2),"نامعتبر"),IF(LEN(Sync!$J884)=10,Sync!$J884,"نامعتبر")))</f>
        <v/>
      </c>
      <c r="R884" t="str">
        <f t="shared" si="95"/>
        <v/>
      </c>
      <c r="S884" t="str">
        <f t="shared" si="96"/>
        <v/>
      </c>
      <c r="T884" t="str">
        <f>IF($N884="","",IF(Sync!$N884="",0,Sync!$N884))</f>
        <v/>
      </c>
      <c r="U884" t="str">
        <f>IF($N884="","",IF(Sync!$O884="",0,Sync!$O884))</f>
        <v/>
      </c>
      <c r="V884" t="str">
        <f>IF($N884="","",Sync!$L884)</f>
        <v/>
      </c>
      <c r="W884" t="str">
        <f>IF($N884="","",Sync!$P884)</f>
        <v/>
      </c>
      <c r="AA884" t="str">
        <f>IF($A884="","",IF(COUNTIF($A$6:$A884,$A884)=1,1,0))</f>
        <v/>
      </c>
      <c r="AB884">
        <f>SUM($AA$6:$AA884)</f>
        <v>3</v>
      </c>
      <c r="AC884" t="str">
        <f t="shared" si="97"/>
        <v/>
      </c>
    </row>
    <row r="885" spans="1:29" x14ac:dyDescent="0.2">
      <c r="A885" t="str">
        <f>IF(OR(Entry!$B888="",Entry!$E888="",$E885="نامعتبر"),"",Entry!$E888)</f>
        <v/>
      </c>
      <c r="B885" t="str">
        <f>IF($A885="","",LEFT($E885,4)&amp;MID($E885,6,2)&amp;RIGHT($E885,2)&amp;$F885&amp;"|"&amp;"1"&amp;RIGHT("00000"&amp;880,5))</f>
        <v/>
      </c>
      <c r="C885" t="str">
        <f t="shared" si="91"/>
        <v/>
      </c>
      <c r="D885" t="str">
        <f t="shared" si="92"/>
        <v/>
      </c>
      <c r="E885" t="str">
        <f>IF(Entry!$B888="","",IF(ISNUMBER(Entry!$B888),IF(AND(Entry!$B888&gt;=10000101,Entry!$B888&lt;=99991231),INT(Entry!$B888/10000)&amp;"/"&amp;RIGHT("00"&amp;INT(MOD(Entry!$B888,10000)/100),2)&amp;"/"&amp;RIGHT("00"&amp;MOD(Entry!$B888,100),2),"نامعتبر"),IF(LEN(Entry!$B888)=10,Entry!$B888,"نامعتبر")))</f>
        <v/>
      </c>
      <c r="F885" t="str">
        <f>IF(Entry!$B888="","",IF(Entry!$C888="","0000",IF(AND(ISNUMBER(Entry!$C888),Entry!$C888&gt;=0,Entry!$C888&lt;1),RIGHT("00"&amp;HOUR(Entry!$C888),2)&amp;RIGHT("00"&amp;MINUTE(Entry!$C888),2),IFERROR(RIGHT("00"&amp;VALUE(LEFT(Entry!$C888,FIND(":",Entry!$C888)-1)),2)&amp;RIGHT("00"&amp;VALUE(MID(Entry!$C888,FIND(":",Entry!$C888)+1,2)),2),"0000"))))</f>
        <v/>
      </c>
      <c r="G885" t="str">
        <f>IF($A885="","",Entry!$G888)</f>
        <v/>
      </c>
      <c r="H885" t="str">
        <f>IF($A885="","",IF(Entry!$H888="",0,Entry!$H888))</f>
        <v/>
      </c>
      <c r="I885" t="str">
        <f>IF($A885="","",IF(Entry!$I888="",0,Entry!$I888))</f>
        <v/>
      </c>
      <c r="J885" t="str">
        <f t="shared" si="93"/>
        <v/>
      </c>
      <c r="K885" t="str">
        <f>IF($A885="","",Entry!$D888)</f>
        <v/>
      </c>
      <c r="L885" t="str">
        <f>IF($A885="","",Entry!$L888)</f>
        <v/>
      </c>
      <c r="N885" t="str">
        <f>IF(OR(Sync!$M885="",$Q885="",$Q885="نامعتبر"),"",Sync!$M885)</f>
        <v/>
      </c>
      <c r="O885" t="str">
        <f t="shared" si="94"/>
        <v/>
      </c>
      <c r="P885" t="str">
        <f>IF($N885="","",LEFT($Q885,4)&amp;MID($Q885,6,2)&amp;RIGHT($Q885,2)&amp;IF(Sync!$K885="","0000",IF(AND(ISNUMBER(Sync!$K885),Sync!$K885&gt;=0,Sync!$K885&lt;1),RIGHT("00"&amp;HOUR(Sync!$K885),2)&amp;RIGHT("00"&amp;MINUTE(Sync!$K885),2),IFERROR(RIGHT("00"&amp;VALUE(LEFT(Sync!$K885,FIND(":",Sync!$K885)-1)),2)&amp;RIGHT("00"&amp;VALUE(MID(Sync!$K885,FIND(":",Sync!$K885)+1,2)),2),"0000")))&amp;"|"&amp;"2"&amp;RIGHT("00000"&amp;880,5))</f>
        <v/>
      </c>
      <c r="Q885" t="str">
        <f>IF(Sync!$J885="","",IF(ISNUMBER(Sync!$J885),IF(AND(Sync!$J885&gt;=10000101,Sync!$J885&lt;=99991231),INT(Sync!$J885/10000)&amp;"/"&amp;RIGHT("00"&amp;INT(MOD(Sync!$J885,10000)/100),2)&amp;"/"&amp;RIGHT("00"&amp;MOD(Sync!$J885,100),2),"نامعتبر"),IF(LEN(Sync!$J885)=10,Sync!$J885,"نامعتبر")))</f>
        <v/>
      </c>
      <c r="R885" t="str">
        <f t="shared" si="95"/>
        <v/>
      </c>
      <c r="S885" t="str">
        <f t="shared" si="96"/>
        <v/>
      </c>
      <c r="T885" t="str">
        <f>IF($N885="","",IF(Sync!$N885="",0,Sync!$N885))</f>
        <v/>
      </c>
      <c r="U885" t="str">
        <f>IF($N885="","",IF(Sync!$O885="",0,Sync!$O885))</f>
        <v/>
      </c>
      <c r="V885" t="str">
        <f>IF($N885="","",Sync!$L885)</f>
        <v/>
      </c>
      <c r="W885" t="str">
        <f>IF($N885="","",Sync!$P885)</f>
        <v/>
      </c>
      <c r="AA885" t="str">
        <f>IF($A885="","",IF(COUNTIF($A$6:$A885,$A885)=1,1,0))</f>
        <v/>
      </c>
      <c r="AB885">
        <f>SUM($AA$6:$AA885)</f>
        <v>3</v>
      </c>
      <c r="AC885" t="str">
        <f t="shared" si="97"/>
        <v/>
      </c>
    </row>
    <row r="886" spans="1:29" x14ac:dyDescent="0.2">
      <c r="A886" t="str">
        <f>IF(OR(Entry!$B889="",Entry!$E889="",$E886="نامعتبر"),"",Entry!$E889)</f>
        <v/>
      </c>
      <c r="B886" t="str">
        <f>IF($A886="","",LEFT($E886,4)&amp;MID($E886,6,2)&amp;RIGHT($E886,2)&amp;$F886&amp;"|"&amp;"1"&amp;RIGHT("00000"&amp;881,5))</f>
        <v/>
      </c>
      <c r="C886" t="str">
        <f t="shared" si="91"/>
        <v/>
      </c>
      <c r="D886" t="str">
        <f t="shared" si="92"/>
        <v/>
      </c>
      <c r="E886" t="str">
        <f>IF(Entry!$B889="","",IF(ISNUMBER(Entry!$B889),IF(AND(Entry!$B889&gt;=10000101,Entry!$B889&lt;=99991231),INT(Entry!$B889/10000)&amp;"/"&amp;RIGHT("00"&amp;INT(MOD(Entry!$B889,10000)/100),2)&amp;"/"&amp;RIGHT("00"&amp;MOD(Entry!$B889,100),2),"نامعتبر"),IF(LEN(Entry!$B889)=10,Entry!$B889,"نامعتبر")))</f>
        <v/>
      </c>
      <c r="F886" t="str">
        <f>IF(Entry!$B889="","",IF(Entry!$C889="","0000",IF(AND(ISNUMBER(Entry!$C889),Entry!$C889&gt;=0,Entry!$C889&lt;1),RIGHT("00"&amp;HOUR(Entry!$C889),2)&amp;RIGHT("00"&amp;MINUTE(Entry!$C889),2),IFERROR(RIGHT("00"&amp;VALUE(LEFT(Entry!$C889,FIND(":",Entry!$C889)-1)),2)&amp;RIGHT("00"&amp;VALUE(MID(Entry!$C889,FIND(":",Entry!$C889)+1,2)),2),"0000"))))</f>
        <v/>
      </c>
      <c r="G886" t="str">
        <f>IF($A886="","",Entry!$G889)</f>
        <v/>
      </c>
      <c r="H886" t="str">
        <f>IF($A886="","",IF(Entry!$H889="",0,Entry!$H889))</f>
        <v/>
      </c>
      <c r="I886" t="str">
        <f>IF($A886="","",IF(Entry!$I889="",0,Entry!$I889))</f>
        <v/>
      </c>
      <c r="J886" t="str">
        <f t="shared" si="93"/>
        <v/>
      </c>
      <c r="K886" t="str">
        <f>IF($A886="","",Entry!$D889)</f>
        <v/>
      </c>
      <c r="L886" t="str">
        <f>IF($A886="","",Entry!$L889)</f>
        <v/>
      </c>
      <c r="N886" t="str">
        <f>IF(OR(Sync!$M886="",$Q886="",$Q886="نامعتبر"),"",Sync!$M886)</f>
        <v/>
      </c>
      <c r="O886" t="str">
        <f t="shared" si="94"/>
        <v/>
      </c>
      <c r="P886" t="str">
        <f>IF($N886="","",LEFT($Q886,4)&amp;MID($Q886,6,2)&amp;RIGHT($Q886,2)&amp;IF(Sync!$K886="","0000",IF(AND(ISNUMBER(Sync!$K886),Sync!$K886&gt;=0,Sync!$K886&lt;1),RIGHT("00"&amp;HOUR(Sync!$K886),2)&amp;RIGHT("00"&amp;MINUTE(Sync!$K886),2),IFERROR(RIGHT("00"&amp;VALUE(LEFT(Sync!$K886,FIND(":",Sync!$K886)-1)),2)&amp;RIGHT("00"&amp;VALUE(MID(Sync!$K886,FIND(":",Sync!$K886)+1,2)),2),"0000")))&amp;"|"&amp;"2"&amp;RIGHT("00000"&amp;881,5))</f>
        <v/>
      </c>
      <c r="Q886" t="str">
        <f>IF(Sync!$J886="","",IF(ISNUMBER(Sync!$J886),IF(AND(Sync!$J886&gt;=10000101,Sync!$J886&lt;=99991231),INT(Sync!$J886/10000)&amp;"/"&amp;RIGHT("00"&amp;INT(MOD(Sync!$J886,10000)/100),2)&amp;"/"&amp;RIGHT("00"&amp;MOD(Sync!$J886,100),2),"نامعتبر"),IF(LEN(Sync!$J886)=10,Sync!$J886,"نامعتبر")))</f>
        <v/>
      </c>
      <c r="R886" t="str">
        <f t="shared" si="95"/>
        <v/>
      </c>
      <c r="S886" t="str">
        <f t="shared" si="96"/>
        <v/>
      </c>
      <c r="T886" t="str">
        <f>IF($N886="","",IF(Sync!$N886="",0,Sync!$N886))</f>
        <v/>
      </c>
      <c r="U886" t="str">
        <f>IF($N886="","",IF(Sync!$O886="",0,Sync!$O886))</f>
        <v/>
      </c>
      <c r="V886" t="str">
        <f>IF($N886="","",Sync!$L886)</f>
        <v/>
      </c>
      <c r="W886" t="str">
        <f>IF($N886="","",Sync!$P886)</f>
        <v/>
      </c>
      <c r="AA886" t="str">
        <f>IF($A886="","",IF(COUNTIF($A$6:$A886,$A886)=1,1,0))</f>
        <v/>
      </c>
      <c r="AB886">
        <f>SUM($AA$6:$AA886)</f>
        <v>3</v>
      </c>
      <c r="AC886" t="str">
        <f t="shared" si="97"/>
        <v/>
      </c>
    </row>
    <row r="887" spans="1:29" x14ac:dyDescent="0.2">
      <c r="A887" t="str">
        <f>IF(OR(Entry!$B890="",Entry!$E890="",$E887="نامعتبر"),"",Entry!$E890)</f>
        <v/>
      </c>
      <c r="B887" t="str">
        <f>IF($A887="","",LEFT($E887,4)&amp;MID($E887,6,2)&amp;RIGHT($E887,2)&amp;$F887&amp;"|"&amp;"1"&amp;RIGHT("00000"&amp;882,5))</f>
        <v/>
      </c>
      <c r="C887" t="str">
        <f t="shared" si="91"/>
        <v/>
      </c>
      <c r="D887" t="str">
        <f t="shared" si="92"/>
        <v/>
      </c>
      <c r="E887" t="str">
        <f>IF(Entry!$B890="","",IF(ISNUMBER(Entry!$B890),IF(AND(Entry!$B890&gt;=10000101,Entry!$B890&lt;=99991231),INT(Entry!$B890/10000)&amp;"/"&amp;RIGHT("00"&amp;INT(MOD(Entry!$B890,10000)/100),2)&amp;"/"&amp;RIGHT("00"&amp;MOD(Entry!$B890,100),2),"نامعتبر"),IF(LEN(Entry!$B890)=10,Entry!$B890,"نامعتبر")))</f>
        <v/>
      </c>
      <c r="F887" t="str">
        <f>IF(Entry!$B890="","",IF(Entry!$C890="","0000",IF(AND(ISNUMBER(Entry!$C890),Entry!$C890&gt;=0,Entry!$C890&lt;1),RIGHT("00"&amp;HOUR(Entry!$C890),2)&amp;RIGHT("00"&amp;MINUTE(Entry!$C890),2),IFERROR(RIGHT("00"&amp;VALUE(LEFT(Entry!$C890,FIND(":",Entry!$C890)-1)),2)&amp;RIGHT("00"&amp;VALUE(MID(Entry!$C890,FIND(":",Entry!$C890)+1,2)),2),"0000"))))</f>
        <v/>
      </c>
      <c r="G887" t="str">
        <f>IF($A887="","",Entry!$G890)</f>
        <v/>
      </c>
      <c r="H887" t="str">
        <f>IF($A887="","",IF(Entry!$H890="",0,Entry!$H890))</f>
        <v/>
      </c>
      <c r="I887" t="str">
        <f>IF($A887="","",IF(Entry!$I890="",0,Entry!$I890))</f>
        <v/>
      </c>
      <c r="J887" t="str">
        <f t="shared" si="93"/>
        <v/>
      </c>
      <c r="K887" t="str">
        <f>IF($A887="","",Entry!$D890)</f>
        <v/>
      </c>
      <c r="L887" t="str">
        <f>IF($A887="","",Entry!$L890)</f>
        <v/>
      </c>
      <c r="N887" t="str">
        <f>IF(OR(Sync!$M887="",$Q887="",$Q887="نامعتبر"),"",Sync!$M887)</f>
        <v/>
      </c>
      <c r="O887" t="str">
        <f t="shared" si="94"/>
        <v/>
      </c>
      <c r="P887" t="str">
        <f>IF($N887="","",LEFT($Q887,4)&amp;MID($Q887,6,2)&amp;RIGHT($Q887,2)&amp;IF(Sync!$K887="","0000",IF(AND(ISNUMBER(Sync!$K887),Sync!$K887&gt;=0,Sync!$K887&lt;1),RIGHT("00"&amp;HOUR(Sync!$K887),2)&amp;RIGHT("00"&amp;MINUTE(Sync!$K887),2),IFERROR(RIGHT("00"&amp;VALUE(LEFT(Sync!$K887,FIND(":",Sync!$K887)-1)),2)&amp;RIGHT("00"&amp;VALUE(MID(Sync!$K887,FIND(":",Sync!$K887)+1,2)),2),"0000")))&amp;"|"&amp;"2"&amp;RIGHT("00000"&amp;882,5))</f>
        <v/>
      </c>
      <c r="Q887" t="str">
        <f>IF(Sync!$J887="","",IF(ISNUMBER(Sync!$J887),IF(AND(Sync!$J887&gt;=10000101,Sync!$J887&lt;=99991231),INT(Sync!$J887/10000)&amp;"/"&amp;RIGHT("00"&amp;INT(MOD(Sync!$J887,10000)/100),2)&amp;"/"&amp;RIGHT("00"&amp;MOD(Sync!$J887,100),2),"نامعتبر"),IF(LEN(Sync!$J887)=10,Sync!$J887,"نامعتبر")))</f>
        <v/>
      </c>
      <c r="R887" t="str">
        <f t="shared" si="95"/>
        <v/>
      </c>
      <c r="S887" t="str">
        <f t="shared" si="96"/>
        <v/>
      </c>
      <c r="T887" t="str">
        <f>IF($N887="","",IF(Sync!$N887="",0,Sync!$N887))</f>
        <v/>
      </c>
      <c r="U887" t="str">
        <f>IF($N887="","",IF(Sync!$O887="",0,Sync!$O887))</f>
        <v/>
      </c>
      <c r="V887" t="str">
        <f>IF($N887="","",Sync!$L887)</f>
        <v/>
      </c>
      <c r="W887" t="str">
        <f>IF($N887="","",Sync!$P887)</f>
        <v/>
      </c>
      <c r="AA887" t="str">
        <f>IF($A887="","",IF(COUNTIF($A$6:$A887,$A887)=1,1,0))</f>
        <v/>
      </c>
      <c r="AB887">
        <f>SUM($AA$6:$AA887)</f>
        <v>3</v>
      </c>
      <c r="AC887" t="str">
        <f t="shared" si="97"/>
        <v/>
      </c>
    </row>
    <row r="888" spans="1:29" x14ac:dyDescent="0.2">
      <c r="A888" t="str">
        <f>IF(OR(Entry!$B891="",Entry!$E891="",$E888="نامعتبر"),"",Entry!$E891)</f>
        <v/>
      </c>
      <c r="B888" t="str">
        <f>IF($A888="","",LEFT($E888,4)&amp;MID($E888,6,2)&amp;RIGHT($E888,2)&amp;$F888&amp;"|"&amp;"1"&amp;RIGHT("00000"&amp;883,5))</f>
        <v/>
      </c>
      <c r="C888" t="str">
        <f t="shared" si="91"/>
        <v/>
      </c>
      <c r="D888" t="str">
        <f t="shared" si="92"/>
        <v/>
      </c>
      <c r="E888" t="str">
        <f>IF(Entry!$B891="","",IF(ISNUMBER(Entry!$B891),IF(AND(Entry!$B891&gt;=10000101,Entry!$B891&lt;=99991231),INT(Entry!$B891/10000)&amp;"/"&amp;RIGHT("00"&amp;INT(MOD(Entry!$B891,10000)/100),2)&amp;"/"&amp;RIGHT("00"&amp;MOD(Entry!$B891,100),2),"نامعتبر"),IF(LEN(Entry!$B891)=10,Entry!$B891,"نامعتبر")))</f>
        <v/>
      </c>
      <c r="F888" t="str">
        <f>IF(Entry!$B891="","",IF(Entry!$C891="","0000",IF(AND(ISNUMBER(Entry!$C891),Entry!$C891&gt;=0,Entry!$C891&lt;1),RIGHT("00"&amp;HOUR(Entry!$C891),2)&amp;RIGHT("00"&amp;MINUTE(Entry!$C891),2),IFERROR(RIGHT("00"&amp;VALUE(LEFT(Entry!$C891,FIND(":",Entry!$C891)-1)),2)&amp;RIGHT("00"&amp;VALUE(MID(Entry!$C891,FIND(":",Entry!$C891)+1,2)),2),"0000"))))</f>
        <v/>
      </c>
      <c r="G888" t="str">
        <f>IF($A888="","",Entry!$G891)</f>
        <v/>
      </c>
      <c r="H888" t="str">
        <f>IF($A888="","",IF(Entry!$H891="",0,Entry!$H891))</f>
        <v/>
      </c>
      <c r="I888" t="str">
        <f>IF($A888="","",IF(Entry!$I891="",0,Entry!$I891))</f>
        <v/>
      </c>
      <c r="J888" t="str">
        <f t="shared" si="93"/>
        <v/>
      </c>
      <c r="K888" t="str">
        <f>IF($A888="","",Entry!$D891)</f>
        <v/>
      </c>
      <c r="L888" t="str">
        <f>IF($A888="","",Entry!$L891)</f>
        <v/>
      </c>
      <c r="N888" t="str">
        <f>IF(OR(Sync!$M888="",$Q888="",$Q888="نامعتبر"),"",Sync!$M888)</f>
        <v/>
      </c>
      <c r="O888" t="str">
        <f t="shared" si="94"/>
        <v/>
      </c>
      <c r="P888" t="str">
        <f>IF($N888="","",LEFT($Q888,4)&amp;MID($Q888,6,2)&amp;RIGHT($Q888,2)&amp;IF(Sync!$K888="","0000",IF(AND(ISNUMBER(Sync!$K888),Sync!$K888&gt;=0,Sync!$K888&lt;1),RIGHT("00"&amp;HOUR(Sync!$K888),2)&amp;RIGHT("00"&amp;MINUTE(Sync!$K888),2),IFERROR(RIGHT("00"&amp;VALUE(LEFT(Sync!$K888,FIND(":",Sync!$K888)-1)),2)&amp;RIGHT("00"&amp;VALUE(MID(Sync!$K888,FIND(":",Sync!$K888)+1,2)),2),"0000")))&amp;"|"&amp;"2"&amp;RIGHT("00000"&amp;883,5))</f>
        <v/>
      </c>
      <c r="Q888" t="str">
        <f>IF(Sync!$J888="","",IF(ISNUMBER(Sync!$J888),IF(AND(Sync!$J888&gt;=10000101,Sync!$J888&lt;=99991231),INT(Sync!$J888/10000)&amp;"/"&amp;RIGHT("00"&amp;INT(MOD(Sync!$J888,10000)/100),2)&amp;"/"&amp;RIGHT("00"&amp;MOD(Sync!$J888,100),2),"نامعتبر"),IF(LEN(Sync!$J888)=10,Sync!$J888,"نامعتبر")))</f>
        <v/>
      </c>
      <c r="R888" t="str">
        <f t="shared" si="95"/>
        <v/>
      </c>
      <c r="S888" t="str">
        <f t="shared" si="96"/>
        <v/>
      </c>
      <c r="T888" t="str">
        <f>IF($N888="","",IF(Sync!$N888="",0,Sync!$N888))</f>
        <v/>
      </c>
      <c r="U888" t="str">
        <f>IF($N888="","",IF(Sync!$O888="",0,Sync!$O888))</f>
        <v/>
      </c>
      <c r="V888" t="str">
        <f>IF($N888="","",Sync!$L888)</f>
        <v/>
      </c>
      <c r="W888" t="str">
        <f>IF($N888="","",Sync!$P888)</f>
        <v/>
      </c>
      <c r="AA888" t="str">
        <f>IF($A888="","",IF(COUNTIF($A$6:$A888,$A888)=1,1,0))</f>
        <v/>
      </c>
      <c r="AB888">
        <f>SUM($AA$6:$AA888)</f>
        <v>3</v>
      </c>
      <c r="AC888" t="str">
        <f t="shared" si="97"/>
        <v/>
      </c>
    </row>
    <row r="889" spans="1:29" x14ac:dyDescent="0.2">
      <c r="A889" t="str">
        <f>IF(OR(Entry!$B892="",Entry!$E892="",$E889="نامعتبر"),"",Entry!$E892)</f>
        <v/>
      </c>
      <c r="B889" t="str">
        <f>IF($A889="","",LEFT($E889,4)&amp;MID($E889,6,2)&amp;RIGHT($E889,2)&amp;$F889&amp;"|"&amp;"1"&amp;RIGHT("00000"&amp;884,5))</f>
        <v/>
      </c>
      <c r="C889" t="str">
        <f t="shared" si="91"/>
        <v/>
      </c>
      <c r="D889" t="str">
        <f t="shared" si="92"/>
        <v/>
      </c>
      <c r="E889" t="str">
        <f>IF(Entry!$B892="","",IF(ISNUMBER(Entry!$B892),IF(AND(Entry!$B892&gt;=10000101,Entry!$B892&lt;=99991231),INT(Entry!$B892/10000)&amp;"/"&amp;RIGHT("00"&amp;INT(MOD(Entry!$B892,10000)/100),2)&amp;"/"&amp;RIGHT("00"&amp;MOD(Entry!$B892,100),2),"نامعتبر"),IF(LEN(Entry!$B892)=10,Entry!$B892,"نامعتبر")))</f>
        <v/>
      </c>
      <c r="F889" t="str">
        <f>IF(Entry!$B892="","",IF(Entry!$C892="","0000",IF(AND(ISNUMBER(Entry!$C892),Entry!$C892&gt;=0,Entry!$C892&lt;1),RIGHT("00"&amp;HOUR(Entry!$C892),2)&amp;RIGHT("00"&amp;MINUTE(Entry!$C892),2),IFERROR(RIGHT("00"&amp;VALUE(LEFT(Entry!$C892,FIND(":",Entry!$C892)-1)),2)&amp;RIGHT("00"&amp;VALUE(MID(Entry!$C892,FIND(":",Entry!$C892)+1,2)),2),"0000"))))</f>
        <v/>
      </c>
      <c r="G889" t="str">
        <f>IF($A889="","",Entry!$G892)</f>
        <v/>
      </c>
      <c r="H889" t="str">
        <f>IF($A889="","",IF(Entry!$H892="",0,Entry!$H892))</f>
        <v/>
      </c>
      <c r="I889" t="str">
        <f>IF($A889="","",IF(Entry!$I892="",0,Entry!$I892))</f>
        <v/>
      </c>
      <c r="J889" t="str">
        <f t="shared" si="93"/>
        <v/>
      </c>
      <c r="K889" t="str">
        <f>IF($A889="","",Entry!$D892)</f>
        <v/>
      </c>
      <c r="L889" t="str">
        <f>IF($A889="","",Entry!$L892)</f>
        <v/>
      </c>
      <c r="N889" t="str">
        <f>IF(OR(Sync!$M889="",$Q889="",$Q889="نامعتبر"),"",Sync!$M889)</f>
        <v/>
      </c>
      <c r="O889" t="str">
        <f t="shared" si="94"/>
        <v/>
      </c>
      <c r="P889" t="str">
        <f>IF($N889="","",LEFT($Q889,4)&amp;MID($Q889,6,2)&amp;RIGHT($Q889,2)&amp;IF(Sync!$K889="","0000",IF(AND(ISNUMBER(Sync!$K889),Sync!$K889&gt;=0,Sync!$K889&lt;1),RIGHT("00"&amp;HOUR(Sync!$K889),2)&amp;RIGHT("00"&amp;MINUTE(Sync!$K889),2),IFERROR(RIGHT("00"&amp;VALUE(LEFT(Sync!$K889,FIND(":",Sync!$K889)-1)),2)&amp;RIGHT("00"&amp;VALUE(MID(Sync!$K889,FIND(":",Sync!$K889)+1,2)),2),"0000")))&amp;"|"&amp;"2"&amp;RIGHT("00000"&amp;884,5))</f>
        <v/>
      </c>
      <c r="Q889" t="str">
        <f>IF(Sync!$J889="","",IF(ISNUMBER(Sync!$J889),IF(AND(Sync!$J889&gt;=10000101,Sync!$J889&lt;=99991231),INT(Sync!$J889/10000)&amp;"/"&amp;RIGHT("00"&amp;INT(MOD(Sync!$J889,10000)/100),2)&amp;"/"&amp;RIGHT("00"&amp;MOD(Sync!$J889,100),2),"نامعتبر"),IF(LEN(Sync!$J889)=10,Sync!$J889,"نامعتبر")))</f>
        <v/>
      </c>
      <c r="R889" t="str">
        <f t="shared" si="95"/>
        <v/>
      </c>
      <c r="S889" t="str">
        <f t="shared" si="96"/>
        <v/>
      </c>
      <c r="T889" t="str">
        <f>IF($N889="","",IF(Sync!$N889="",0,Sync!$N889))</f>
        <v/>
      </c>
      <c r="U889" t="str">
        <f>IF($N889="","",IF(Sync!$O889="",0,Sync!$O889))</f>
        <v/>
      </c>
      <c r="V889" t="str">
        <f>IF($N889="","",Sync!$L889)</f>
        <v/>
      </c>
      <c r="W889" t="str">
        <f>IF($N889="","",Sync!$P889)</f>
        <v/>
      </c>
      <c r="AA889" t="str">
        <f>IF($A889="","",IF(COUNTIF($A$6:$A889,$A889)=1,1,0))</f>
        <v/>
      </c>
      <c r="AB889">
        <f>SUM($AA$6:$AA889)</f>
        <v>3</v>
      </c>
      <c r="AC889" t="str">
        <f t="shared" si="97"/>
        <v/>
      </c>
    </row>
    <row r="890" spans="1:29" x14ac:dyDescent="0.2">
      <c r="A890" t="str">
        <f>IF(OR(Entry!$B893="",Entry!$E893="",$E890="نامعتبر"),"",Entry!$E893)</f>
        <v/>
      </c>
      <c r="B890" t="str">
        <f>IF($A890="","",LEFT($E890,4)&amp;MID($E890,6,2)&amp;RIGHT($E890,2)&amp;$F890&amp;"|"&amp;"1"&amp;RIGHT("00000"&amp;885,5))</f>
        <v/>
      </c>
      <c r="C890" t="str">
        <f t="shared" si="91"/>
        <v/>
      </c>
      <c r="D890" t="str">
        <f t="shared" si="92"/>
        <v/>
      </c>
      <c r="E890" t="str">
        <f>IF(Entry!$B893="","",IF(ISNUMBER(Entry!$B893),IF(AND(Entry!$B893&gt;=10000101,Entry!$B893&lt;=99991231),INT(Entry!$B893/10000)&amp;"/"&amp;RIGHT("00"&amp;INT(MOD(Entry!$B893,10000)/100),2)&amp;"/"&amp;RIGHT("00"&amp;MOD(Entry!$B893,100),2),"نامعتبر"),IF(LEN(Entry!$B893)=10,Entry!$B893,"نامعتبر")))</f>
        <v/>
      </c>
      <c r="F890" t="str">
        <f>IF(Entry!$B893="","",IF(Entry!$C893="","0000",IF(AND(ISNUMBER(Entry!$C893),Entry!$C893&gt;=0,Entry!$C893&lt;1),RIGHT("00"&amp;HOUR(Entry!$C893),2)&amp;RIGHT("00"&amp;MINUTE(Entry!$C893),2),IFERROR(RIGHT("00"&amp;VALUE(LEFT(Entry!$C893,FIND(":",Entry!$C893)-1)),2)&amp;RIGHT("00"&amp;VALUE(MID(Entry!$C893,FIND(":",Entry!$C893)+1,2)),2),"0000"))))</f>
        <v/>
      </c>
      <c r="G890" t="str">
        <f>IF($A890="","",Entry!$G893)</f>
        <v/>
      </c>
      <c r="H890" t="str">
        <f>IF($A890="","",IF(Entry!$H893="",0,Entry!$H893))</f>
        <v/>
      </c>
      <c r="I890" t="str">
        <f>IF($A890="","",IF(Entry!$I893="",0,Entry!$I893))</f>
        <v/>
      </c>
      <c r="J890" t="str">
        <f t="shared" si="93"/>
        <v/>
      </c>
      <c r="K890" t="str">
        <f>IF($A890="","",Entry!$D893)</f>
        <v/>
      </c>
      <c r="L890" t="str">
        <f>IF($A890="","",Entry!$L893)</f>
        <v/>
      </c>
      <c r="N890" t="str">
        <f>IF(OR(Sync!$M890="",$Q890="",$Q890="نامعتبر"),"",Sync!$M890)</f>
        <v/>
      </c>
      <c r="O890" t="str">
        <f t="shared" si="94"/>
        <v/>
      </c>
      <c r="P890" t="str">
        <f>IF($N890="","",LEFT($Q890,4)&amp;MID($Q890,6,2)&amp;RIGHT($Q890,2)&amp;IF(Sync!$K890="","0000",IF(AND(ISNUMBER(Sync!$K890),Sync!$K890&gt;=0,Sync!$K890&lt;1),RIGHT("00"&amp;HOUR(Sync!$K890),2)&amp;RIGHT("00"&amp;MINUTE(Sync!$K890),2),IFERROR(RIGHT("00"&amp;VALUE(LEFT(Sync!$K890,FIND(":",Sync!$K890)-1)),2)&amp;RIGHT("00"&amp;VALUE(MID(Sync!$K890,FIND(":",Sync!$K890)+1,2)),2),"0000")))&amp;"|"&amp;"2"&amp;RIGHT("00000"&amp;885,5))</f>
        <v/>
      </c>
      <c r="Q890" t="str">
        <f>IF(Sync!$J890="","",IF(ISNUMBER(Sync!$J890),IF(AND(Sync!$J890&gt;=10000101,Sync!$J890&lt;=99991231),INT(Sync!$J890/10000)&amp;"/"&amp;RIGHT("00"&amp;INT(MOD(Sync!$J890,10000)/100),2)&amp;"/"&amp;RIGHT("00"&amp;MOD(Sync!$J890,100),2),"نامعتبر"),IF(LEN(Sync!$J890)=10,Sync!$J890,"نامعتبر")))</f>
        <v/>
      </c>
      <c r="R890" t="str">
        <f t="shared" si="95"/>
        <v/>
      </c>
      <c r="S890" t="str">
        <f t="shared" si="96"/>
        <v/>
      </c>
      <c r="T890" t="str">
        <f>IF($N890="","",IF(Sync!$N890="",0,Sync!$N890))</f>
        <v/>
      </c>
      <c r="U890" t="str">
        <f>IF($N890="","",IF(Sync!$O890="",0,Sync!$O890))</f>
        <v/>
      </c>
      <c r="V890" t="str">
        <f>IF($N890="","",Sync!$L890)</f>
        <v/>
      </c>
      <c r="W890" t="str">
        <f>IF($N890="","",Sync!$P890)</f>
        <v/>
      </c>
      <c r="AA890" t="str">
        <f>IF($A890="","",IF(COUNTIF($A$6:$A890,$A890)=1,1,0))</f>
        <v/>
      </c>
      <c r="AB890">
        <f>SUM($AA$6:$AA890)</f>
        <v>3</v>
      </c>
      <c r="AC890" t="str">
        <f t="shared" si="97"/>
        <v/>
      </c>
    </row>
    <row r="891" spans="1:29" x14ac:dyDescent="0.2">
      <c r="A891" t="str">
        <f>IF(OR(Entry!$B894="",Entry!$E894="",$E891="نامعتبر"),"",Entry!$E894)</f>
        <v/>
      </c>
      <c r="B891" t="str">
        <f>IF($A891="","",LEFT($E891,4)&amp;MID($E891,6,2)&amp;RIGHT($E891,2)&amp;$F891&amp;"|"&amp;"1"&amp;RIGHT("00000"&amp;886,5))</f>
        <v/>
      </c>
      <c r="C891" t="str">
        <f t="shared" si="91"/>
        <v/>
      </c>
      <c r="D891" t="str">
        <f t="shared" si="92"/>
        <v/>
      </c>
      <c r="E891" t="str">
        <f>IF(Entry!$B894="","",IF(ISNUMBER(Entry!$B894),IF(AND(Entry!$B894&gt;=10000101,Entry!$B894&lt;=99991231),INT(Entry!$B894/10000)&amp;"/"&amp;RIGHT("00"&amp;INT(MOD(Entry!$B894,10000)/100),2)&amp;"/"&amp;RIGHT("00"&amp;MOD(Entry!$B894,100),2),"نامعتبر"),IF(LEN(Entry!$B894)=10,Entry!$B894,"نامعتبر")))</f>
        <v/>
      </c>
      <c r="F891" t="str">
        <f>IF(Entry!$B894="","",IF(Entry!$C894="","0000",IF(AND(ISNUMBER(Entry!$C894),Entry!$C894&gt;=0,Entry!$C894&lt;1),RIGHT("00"&amp;HOUR(Entry!$C894),2)&amp;RIGHT("00"&amp;MINUTE(Entry!$C894),2),IFERROR(RIGHT("00"&amp;VALUE(LEFT(Entry!$C894,FIND(":",Entry!$C894)-1)),2)&amp;RIGHT("00"&amp;VALUE(MID(Entry!$C894,FIND(":",Entry!$C894)+1,2)),2),"0000"))))</f>
        <v/>
      </c>
      <c r="G891" t="str">
        <f>IF($A891="","",Entry!$G894)</f>
        <v/>
      </c>
      <c r="H891" t="str">
        <f>IF($A891="","",IF(Entry!$H894="",0,Entry!$H894))</f>
        <v/>
      </c>
      <c r="I891" t="str">
        <f>IF($A891="","",IF(Entry!$I894="",0,Entry!$I894))</f>
        <v/>
      </c>
      <c r="J891" t="str">
        <f t="shared" si="93"/>
        <v/>
      </c>
      <c r="K891" t="str">
        <f>IF($A891="","",Entry!$D894)</f>
        <v/>
      </c>
      <c r="L891" t="str">
        <f>IF($A891="","",Entry!$L894)</f>
        <v/>
      </c>
      <c r="N891" t="str">
        <f>IF(OR(Sync!$M891="",$Q891="",$Q891="نامعتبر"),"",Sync!$M891)</f>
        <v/>
      </c>
      <c r="O891" t="str">
        <f t="shared" si="94"/>
        <v/>
      </c>
      <c r="P891" t="str">
        <f>IF($N891="","",LEFT($Q891,4)&amp;MID($Q891,6,2)&amp;RIGHT($Q891,2)&amp;IF(Sync!$K891="","0000",IF(AND(ISNUMBER(Sync!$K891),Sync!$K891&gt;=0,Sync!$K891&lt;1),RIGHT("00"&amp;HOUR(Sync!$K891),2)&amp;RIGHT("00"&amp;MINUTE(Sync!$K891),2),IFERROR(RIGHT("00"&amp;VALUE(LEFT(Sync!$K891,FIND(":",Sync!$K891)-1)),2)&amp;RIGHT("00"&amp;VALUE(MID(Sync!$K891,FIND(":",Sync!$K891)+1,2)),2),"0000")))&amp;"|"&amp;"2"&amp;RIGHT("00000"&amp;886,5))</f>
        <v/>
      </c>
      <c r="Q891" t="str">
        <f>IF(Sync!$J891="","",IF(ISNUMBER(Sync!$J891),IF(AND(Sync!$J891&gt;=10000101,Sync!$J891&lt;=99991231),INT(Sync!$J891/10000)&amp;"/"&amp;RIGHT("00"&amp;INT(MOD(Sync!$J891,10000)/100),2)&amp;"/"&amp;RIGHT("00"&amp;MOD(Sync!$J891,100),2),"نامعتبر"),IF(LEN(Sync!$J891)=10,Sync!$J891,"نامعتبر")))</f>
        <v/>
      </c>
      <c r="R891" t="str">
        <f t="shared" si="95"/>
        <v/>
      </c>
      <c r="S891" t="str">
        <f t="shared" si="96"/>
        <v/>
      </c>
      <c r="T891" t="str">
        <f>IF($N891="","",IF(Sync!$N891="",0,Sync!$N891))</f>
        <v/>
      </c>
      <c r="U891" t="str">
        <f>IF($N891="","",IF(Sync!$O891="",0,Sync!$O891))</f>
        <v/>
      </c>
      <c r="V891" t="str">
        <f>IF($N891="","",Sync!$L891)</f>
        <v/>
      </c>
      <c r="W891" t="str">
        <f>IF($N891="","",Sync!$P891)</f>
        <v/>
      </c>
      <c r="AA891" t="str">
        <f>IF($A891="","",IF(COUNTIF($A$6:$A891,$A891)=1,1,0))</f>
        <v/>
      </c>
      <c r="AB891">
        <f>SUM($AA$6:$AA891)</f>
        <v>3</v>
      </c>
      <c r="AC891" t="str">
        <f t="shared" si="97"/>
        <v/>
      </c>
    </row>
    <row r="892" spans="1:29" x14ac:dyDescent="0.2">
      <c r="A892" t="str">
        <f>IF(OR(Entry!$B895="",Entry!$E895="",$E892="نامعتبر"),"",Entry!$E895)</f>
        <v/>
      </c>
      <c r="B892" t="str">
        <f>IF($A892="","",LEFT($E892,4)&amp;MID($E892,6,2)&amp;RIGHT($E892,2)&amp;$F892&amp;"|"&amp;"1"&amp;RIGHT("00000"&amp;887,5))</f>
        <v/>
      </c>
      <c r="C892" t="str">
        <f t="shared" si="91"/>
        <v/>
      </c>
      <c r="D892" t="str">
        <f t="shared" si="92"/>
        <v/>
      </c>
      <c r="E892" t="str">
        <f>IF(Entry!$B895="","",IF(ISNUMBER(Entry!$B895),IF(AND(Entry!$B895&gt;=10000101,Entry!$B895&lt;=99991231),INT(Entry!$B895/10000)&amp;"/"&amp;RIGHT("00"&amp;INT(MOD(Entry!$B895,10000)/100),2)&amp;"/"&amp;RIGHT("00"&amp;MOD(Entry!$B895,100),2),"نامعتبر"),IF(LEN(Entry!$B895)=10,Entry!$B895,"نامعتبر")))</f>
        <v/>
      </c>
      <c r="F892" t="str">
        <f>IF(Entry!$B895="","",IF(Entry!$C895="","0000",IF(AND(ISNUMBER(Entry!$C895),Entry!$C895&gt;=0,Entry!$C895&lt;1),RIGHT("00"&amp;HOUR(Entry!$C895),2)&amp;RIGHT("00"&amp;MINUTE(Entry!$C895),2),IFERROR(RIGHT("00"&amp;VALUE(LEFT(Entry!$C895,FIND(":",Entry!$C895)-1)),2)&amp;RIGHT("00"&amp;VALUE(MID(Entry!$C895,FIND(":",Entry!$C895)+1,2)),2),"0000"))))</f>
        <v/>
      </c>
      <c r="G892" t="str">
        <f>IF($A892="","",Entry!$G895)</f>
        <v/>
      </c>
      <c r="H892" t="str">
        <f>IF($A892="","",IF(Entry!$H895="",0,Entry!$H895))</f>
        <v/>
      </c>
      <c r="I892" t="str">
        <f>IF($A892="","",IF(Entry!$I895="",0,Entry!$I895))</f>
        <v/>
      </c>
      <c r="J892" t="str">
        <f t="shared" si="93"/>
        <v/>
      </c>
      <c r="K892" t="str">
        <f>IF($A892="","",Entry!$D895)</f>
        <v/>
      </c>
      <c r="L892" t="str">
        <f>IF($A892="","",Entry!$L895)</f>
        <v/>
      </c>
      <c r="N892" t="str">
        <f>IF(OR(Sync!$M892="",$Q892="",$Q892="نامعتبر"),"",Sync!$M892)</f>
        <v/>
      </c>
      <c r="O892" t="str">
        <f t="shared" si="94"/>
        <v/>
      </c>
      <c r="P892" t="str">
        <f>IF($N892="","",LEFT($Q892,4)&amp;MID($Q892,6,2)&amp;RIGHT($Q892,2)&amp;IF(Sync!$K892="","0000",IF(AND(ISNUMBER(Sync!$K892),Sync!$K892&gt;=0,Sync!$K892&lt;1),RIGHT("00"&amp;HOUR(Sync!$K892),2)&amp;RIGHT("00"&amp;MINUTE(Sync!$K892),2),IFERROR(RIGHT("00"&amp;VALUE(LEFT(Sync!$K892,FIND(":",Sync!$K892)-1)),2)&amp;RIGHT("00"&amp;VALUE(MID(Sync!$K892,FIND(":",Sync!$K892)+1,2)),2),"0000")))&amp;"|"&amp;"2"&amp;RIGHT("00000"&amp;887,5))</f>
        <v/>
      </c>
      <c r="Q892" t="str">
        <f>IF(Sync!$J892="","",IF(ISNUMBER(Sync!$J892),IF(AND(Sync!$J892&gt;=10000101,Sync!$J892&lt;=99991231),INT(Sync!$J892/10000)&amp;"/"&amp;RIGHT("00"&amp;INT(MOD(Sync!$J892,10000)/100),2)&amp;"/"&amp;RIGHT("00"&amp;MOD(Sync!$J892,100),2),"نامعتبر"),IF(LEN(Sync!$J892)=10,Sync!$J892,"نامعتبر")))</f>
        <v/>
      </c>
      <c r="R892" t="str">
        <f t="shared" si="95"/>
        <v/>
      </c>
      <c r="S892" t="str">
        <f t="shared" si="96"/>
        <v/>
      </c>
      <c r="T892" t="str">
        <f>IF($N892="","",IF(Sync!$N892="",0,Sync!$N892))</f>
        <v/>
      </c>
      <c r="U892" t="str">
        <f>IF($N892="","",IF(Sync!$O892="",0,Sync!$O892))</f>
        <v/>
      </c>
      <c r="V892" t="str">
        <f>IF($N892="","",Sync!$L892)</f>
        <v/>
      </c>
      <c r="W892" t="str">
        <f>IF($N892="","",Sync!$P892)</f>
        <v/>
      </c>
      <c r="AA892" t="str">
        <f>IF($A892="","",IF(COUNTIF($A$6:$A892,$A892)=1,1,0))</f>
        <v/>
      </c>
      <c r="AB892">
        <f>SUM($AA$6:$AA892)</f>
        <v>3</v>
      </c>
      <c r="AC892" t="str">
        <f t="shared" si="97"/>
        <v/>
      </c>
    </row>
    <row r="893" spans="1:29" x14ac:dyDescent="0.2">
      <c r="A893" t="str">
        <f>IF(OR(Entry!$B896="",Entry!$E896="",$E893="نامعتبر"),"",Entry!$E896)</f>
        <v/>
      </c>
      <c r="B893" t="str">
        <f>IF($A893="","",LEFT($E893,4)&amp;MID($E893,6,2)&amp;RIGHT($E893,2)&amp;$F893&amp;"|"&amp;"1"&amp;RIGHT("00000"&amp;888,5))</f>
        <v/>
      </c>
      <c r="C893" t="str">
        <f t="shared" si="91"/>
        <v/>
      </c>
      <c r="D893" t="str">
        <f t="shared" si="92"/>
        <v/>
      </c>
      <c r="E893" t="str">
        <f>IF(Entry!$B896="","",IF(ISNUMBER(Entry!$B896),IF(AND(Entry!$B896&gt;=10000101,Entry!$B896&lt;=99991231),INT(Entry!$B896/10000)&amp;"/"&amp;RIGHT("00"&amp;INT(MOD(Entry!$B896,10000)/100),2)&amp;"/"&amp;RIGHT("00"&amp;MOD(Entry!$B896,100),2),"نامعتبر"),IF(LEN(Entry!$B896)=10,Entry!$B896,"نامعتبر")))</f>
        <v/>
      </c>
      <c r="F893" t="str">
        <f>IF(Entry!$B896="","",IF(Entry!$C896="","0000",IF(AND(ISNUMBER(Entry!$C896),Entry!$C896&gt;=0,Entry!$C896&lt;1),RIGHT("00"&amp;HOUR(Entry!$C896),2)&amp;RIGHT("00"&amp;MINUTE(Entry!$C896),2),IFERROR(RIGHT("00"&amp;VALUE(LEFT(Entry!$C896,FIND(":",Entry!$C896)-1)),2)&amp;RIGHT("00"&amp;VALUE(MID(Entry!$C896,FIND(":",Entry!$C896)+1,2)),2),"0000"))))</f>
        <v/>
      </c>
      <c r="G893" t="str">
        <f>IF($A893="","",Entry!$G896)</f>
        <v/>
      </c>
      <c r="H893" t="str">
        <f>IF($A893="","",IF(Entry!$H896="",0,Entry!$H896))</f>
        <v/>
      </c>
      <c r="I893" t="str">
        <f>IF($A893="","",IF(Entry!$I896="",0,Entry!$I896))</f>
        <v/>
      </c>
      <c r="J893" t="str">
        <f t="shared" si="93"/>
        <v/>
      </c>
      <c r="K893" t="str">
        <f>IF($A893="","",Entry!$D896)</f>
        <v/>
      </c>
      <c r="L893" t="str">
        <f>IF($A893="","",Entry!$L896)</f>
        <v/>
      </c>
      <c r="N893" t="str">
        <f>IF(OR(Sync!$M893="",$Q893="",$Q893="نامعتبر"),"",Sync!$M893)</f>
        <v/>
      </c>
      <c r="O893" t="str">
        <f t="shared" si="94"/>
        <v/>
      </c>
      <c r="P893" t="str">
        <f>IF($N893="","",LEFT($Q893,4)&amp;MID($Q893,6,2)&amp;RIGHT($Q893,2)&amp;IF(Sync!$K893="","0000",IF(AND(ISNUMBER(Sync!$K893),Sync!$K893&gt;=0,Sync!$K893&lt;1),RIGHT("00"&amp;HOUR(Sync!$K893),2)&amp;RIGHT("00"&amp;MINUTE(Sync!$K893),2),IFERROR(RIGHT("00"&amp;VALUE(LEFT(Sync!$K893,FIND(":",Sync!$K893)-1)),2)&amp;RIGHT("00"&amp;VALUE(MID(Sync!$K893,FIND(":",Sync!$K893)+1,2)),2),"0000")))&amp;"|"&amp;"2"&amp;RIGHT("00000"&amp;888,5))</f>
        <v/>
      </c>
      <c r="Q893" t="str">
        <f>IF(Sync!$J893="","",IF(ISNUMBER(Sync!$J893),IF(AND(Sync!$J893&gt;=10000101,Sync!$J893&lt;=99991231),INT(Sync!$J893/10000)&amp;"/"&amp;RIGHT("00"&amp;INT(MOD(Sync!$J893,10000)/100),2)&amp;"/"&amp;RIGHT("00"&amp;MOD(Sync!$J893,100),2),"نامعتبر"),IF(LEN(Sync!$J893)=10,Sync!$J893,"نامعتبر")))</f>
        <v/>
      </c>
      <c r="R893" t="str">
        <f t="shared" si="95"/>
        <v/>
      </c>
      <c r="S893" t="str">
        <f t="shared" si="96"/>
        <v/>
      </c>
      <c r="T893" t="str">
        <f>IF($N893="","",IF(Sync!$N893="",0,Sync!$N893))</f>
        <v/>
      </c>
      <c r="U893" t="str">
        <f>IF($N893="","",IF(Sync!$O893="",0,Sync!$O893))</f>
        <v/>
      </c>
      <c r="V893" t="str">
        <f>IF($N893="","",Sync!$L893)</f>
        <v/>
      </c>
      <c r="W893" t="str">
        <f>IF($N893="","",Sync!$P893)</f>
        <v/>
      </c>
      <c r="AA893" t="str">
        <f>IF($A893="","",IF(COUNTIF($A$6:$A893,$A893)=1,1,0))</f>
        <v/>
      </c>
      <c r="AB893">
        <f>SUM($AA$6:$AA893)</f>
        <v>3</v>
      </c>
      <c r="AC893" t="str">
        <f t="shared" si="97"/>
        <v/>
      </c>
    </row>
    <row r="894" spans="1:29" x14ac:dyDescent="0.2">
      <c r="A894" t="str">
        <f>IF(OR(Entry!$B897="",Entry!$E897="",$E894="نامعتبر"),"",Entry!$E897)</f>
        <v/>
      </c>
      <c r="B894" t="str">
        <f>IF($A894="","",LEFT($E894,4)&amp;MID($E894,6,2)&amp;RIGHT($E894,2)&amp;$F894&amp;"|"&amp;"1"&amp;RIGHT("00000"&amp;889,5))</f>
        <v/>
      </c>
      <c r="C894" t="str">
        <f t="shared" si="91"/>
        <v/>
      </c>
      <c r="D894" t="str">
        <f t="shared" si="92"/>
        <v/>
      </c>
      <c r="E894" t="str">
        <f>IF(Entry!$B897="","",IF(ISNUMBER(Entry!$B897),IF(AND(Entry!$B897&gt;=10000101,Entry!$B897&lt;=99991231),INT(Entry!$B897/10000)&amp;"/"&amp;RIGHT("00"&amp;INT(MOD(Entry!$B897,10000)/100),2)&amp;"/"&amp;RIGHT("00"&amp;MOD(Entry!$B897,100),2),"نامعتبر"),IF(LEN(Entry!$B897)=10,Entry!$B897,"نامعتبر")))</f>
        <v/>
      </c>
      <c r="F894" t="str">
        <f>IF(Entry!$B897="","",IF(Entry!$C897="","0000",IF(AND(ISNUMBER(Entry!$C897),Entry!$C897&gt;=0,Entry!$C897&lt;1),RIGHT("00"&amp;HOUR(Entry!$C897),2)&amp;RIGHT("00"&amp;MINUTE(Entry!$C897),2),IFERROR(RIGHT("00"&amp;VALUE(LEFT(Entry!$C897,FIND(":",Entry!$C897)-1)),2)&amp;RIGHT("00"&amp;VALUE(MID(Entry!$C897,FIND(":",Entry!$C897)+1,2)),2),"0000"))))</f>
        <v/>
      </c>
      <c r="G894" t="str">
        <f>IF($A894="","",Entry!$G897)</f>
        <v/>
      </c>
      <c r="H894" t="str">
        <f>IF($A894="","",IF(Entry!$H897="",0,Entry!$H897))</f>
        <v/>
      </c>
      <c r="I894" t="str">
        <f>IF($A894="","",IF(Entry!$I897="",0,Entry!$I897))</f>
        <v/>
      </c>
      <c r="J894" t="str">
        <f t="shared" si="93"/>
        <v/>
      </c>
      <c r="K894" t="str">
        <f>IF($A894="","",Entry!$D897)</f>
        <v/>
      </c>
      <c r="L894" t="str">
        <f>IF($A894="","",Entry!$L897)</f>
        <v/>
      </c>
      <c r="N894" t="str">
        <f>IF(OR(Sync!$M894="",$Q894="",$Q894="نامعتبر"),"",Sync!$M894)</f>
        <v/>
      </c>
      <c r="O894" t="str">
        <f t="shared" si="94"/>
        <v/>
      </c>
      <c r="P894" t="str">
        <f>IF($N894="","",LEFT($Q894,4)&amp;MID($Q894,6,2)&amp;RIGHT($Q894,2)&amp;IF(Sync!$K894="","0000",IF(AND(ISNUMBER(Sync!$K894),Sync!$K894&gt;=0,Sync!$K894&lt;1),RIGHT("00"&amp;HOUR(Sync!$K894),2)&amp;RIGHT("00"&amp;MINUTE(Sync!$K894),2),IFERROR(RIGHT("00"&amp;VALUE(LEFT(Sync!$K894,FIND(":",Sync!$K894)-1)),2)&amp;RIGHT("00"&amp;VALUE(MID(Sync!$K894,FIND(":",Sync!$K894)+1,2)),2),"0000")))&amp;"|"&amp;"2"&amp;RIGHT("00000"&amp;889,5))</f>
        <v/>
      </c>
      <c r="Q894" t="str">
        <f>IF(Sync!$J894="","",IF(ISNUMBER(Sync!$J894),IF(AND(Sync!$J894&gt;=10000101,Sync!$J894&lt;=99991231),INT(Sync!$J894/10000)&amp;"/"&amp;RIGHT("00"&amp;INT(MOD(Sync!$J894,10000)/100),2)&amp;"/"&amp;RIGHT("00"&amp;MOD(Sync!$J894,100),2),"نامعتبر"),IF(LEN(Sync!$J894)=10,Sync!$J894,"نامعتبر")))</f>
        <v/>
      </c>
      <c r="R894" t="str">
        <f t="shared" si="95"/>
        <v/>
      </c>
      <c r="S894" t="str">
        <f t="shared" si="96"/>
        <v/>
      </c>
      <c r="T894" t="str">
        <f>IF($N894="","",IF(Sync!$N894="",0,Sync!$N894))</f>
        <v/>
      </c>
      <c r="U894" t="str">
        <f>IF($N894="","",IF(Sync!$O894="",0,Sync!$O894))</f>
        <v/>
      </c>
      <c r="V894" t="str">
        <f>IF($N894="","",Sync!$L894)</f>
        <v/>
      </c>
      <c r="W894" t="str">
        <f>IF($N894="","",Sync!$P894)</f>
        <v/>
      </c>
      <c r="AA894" t="str">
        <f>IF($A894="","",IF(COUNTIF($A$6:$A894,$A894)=1,1,0))</f>
        <v/>
      </c>
      <c r="AB894">
        <f>SUM($AA$6:$AA894)</f>
        <v>3</v>
      </c>
      <c r="AC894" t="str">
        <f t="shared" si="97"/>
        <v/>
      </c>
    </row>
    <row r="895" spans="1:29" x14ac:dyDescent="0.2">
      <c r="A895" t="str">
        <f>IF(OR(Entry!$B898="",Entry!$E898="",$E895="نامعتبر"),"",Entry!$E898)</f>
        <v/>
      </c>
      <c r="B895" t="str">
        <f>IF($A895="","",LEFT($E895,4)&amp;MID($E895,6,2)&amp;RIGHT($E895,2)&amp;$F895&amp;"|"&amp;"1"&amp;RIGHT("00000"&amp;890,5))</f>
        <v/>
      </c>
      <c r="C895" t="str">
        <f t="shared" si="91"/>
        <v/>
      </c>
      <c r="D895" t="str">
        <f t="shared" si="92"/>
        <v/>
      </c>
      <c r="E895" t="str">
        <f>IF(Entry!$B898="","",IF(ISNUMBER(Entry!$B898),IF(AND(Entry!$B898&gt;=10000101,Entry!$B898&lt;=99991231),INT(Entry!$B898/10000)&amp;"/"&amp;RIGHT("00"&amp;INT(MOD(Entry!$B898,10000)/100),2)&amp;"/"&amp;RIGHT("00"&amp;MOD(Entry!$B898,100),2),"نامعتبر"),IF(LEN(Entry!$B898)=10,Entry!$B898,"نامعتبر")))</f>
        <v/>
      </c>
      <c r="F895" t="str">
        <f>IF(Entry!$B898="","",IF(Entry!$C898="","0000",IF(AND(ISNUMBER(Entry!$C898),Entry!$C898&gt;=0,Entry!$C898&lt;1),RIGHT("00"&amp;HOUR(Entry!$C898),2)&amp;RIGHT("00"&amp;MINUTE(Entry!$C898),2),IFERROR(RIGHT("00"&amp;VALUE(LEFT(Entry!$C898,FIND(":",Entry!$C898)-1)),2)&amp;RIGHT("00"&amp;VALUE(MID(Entry!$C898,FIND(":",Entry!$C898)+1,2)),2),"0000"))))</f>
        <v/>
      </c>
      <c r="G895" t="str">
        <f>IF($A895="","",Entry!$G898)</f>
        <v/>
      </c>
      <c r="H895" t="str">
        <f>IF($A895="","",IF(Entry!$H898="",0,Entry!$H898))</f>
        <v/>
      </c>
      <c r="I895" t="str">
        <f>IF($A895="","",IF(Entry!$I898="",0,Entry!$I898))</f>
        <v/>
      </c>
      <c r="J895" t="str">
        <f t="shared" si="93"/>
        <v/>
      </c>
      <c r="K895" t="str">
        <f>IF($A895="","",Entry!$D898)</f>
        <v/>
      </c>
      <c r="L895" t="str">
        <f>IF($A895="","",Entry!$L898)</f>
        <v/>
      </c>
      <c r="N895" t="str">
        <f>IF(OR(Sync!$M895="",$Q895="",$Q895="نامعتبر"),"",Sync!$M895)</f>
        <v/>
      </c>
      <c r="O895" t="str">
        <f t="shared" si="94"/>
        <v/>
      </c>
      <c r="P895" t="str">
        <f>IF($N895="","",LEFT($Q895,4)&amp;MID($Q895,6,2)&amp;RIGHT($Q895,2)&amp;IF(Sync!$K895="","0000",IF(AND(ISNUMBER(Sync!$K895),Sync!$K895&gt;=0,Sync!$K895&lt;1),RIGHT("00"&amp;HOUR(Sync!$K895),2)&amp;RIGHT("00"&amp;MINUTE(Sync!$K895),2),IFERROR(RIGHT("00"&amp;VALUE(LEFT(Sync!$K895,FIND(":",Sync!$K895)-1)),2)&amp;RIGHT("00"&amp;VALUE(MID(Sync!$K895,FIND(":",Sync!$K895)+1,2)),2),"0000")))&amp;"|"&amp;"2"&amp;RIGHT("00000"&amp;890,5))</f>
        <v/>
      </c>
      <c r="Q895" t="str">
        <f>IF(Sync!$J895="","",IF(ISNUMBER(Sync!$J895),IF(AND(Sync!$J895&gt;=10000101,Sync!$J895&lt;=99991231),INT(Sync!$J895/10000)&amp;"/"&amp;RIGHT("00"&amp;INT(MOD(Sync!$J895,10000)/100),2)&amp;"/"&amp;RIGHT("00"&amp;MOD(Sync!$J895,100),2),"نامعتبر"),IF(LEN(Sync!$J895)=10,Sync!$J895,"نامعتبر")))</f>
        <v/>
      </c>
      <c r="R895" t="str">
        <f t="shared" si="95"/>
        <v/>
      </c>
      <c r="S895" t="str">
        <f t="shared" si="96"/>
        <v/>
      </c>
      <c r="T895" t="str">
        <f>IF($N895="","",IF(Sync!$N895="",0,Sync!$N895))</f>
        <v/>
      </c>
      <c r="U895" t="str">
        <f>IF($N895="","",IF(Sync!$O895="",0,Sync!$O895))</f>
        <v/>
      </c>
      <c r="V895" t="str">
        <f>IF($N895="","",Sync!$L895)</f>
        <v/>
      </c>
      <c r="W895" t="str">
        <f>IF($N895="","",Sync!$P895)</f>
        <v/>
      </c>
      <c r="AA895" t="str">
        <f>IF($A895="","",IF(COUNTIF($A$6:$A895,$A895)=1,1,0))</f>
        <v/>
      </c>
      <c r="AB895">
        <f>SUM($AA$6:$AA895)</f>
        <v>3</v>
      </c>
      <c r="AC895" t="str">
        <f t="shared" si="97"/>
        <v/>
      </c>
    </row>
    <row r="896" spans="1:29" x14ac:dyDescent="0.2">
      <c r="A896" t="str">
        <f>IF(OR(Entry!$B899="",Entry!$E899="",$E896="نامعتبر"),"",Entry!$E899)</f>
        <v/>
      </c>
      <c r="B896" t="str">
        <f>IF($A896="","",LEFT($E896,4)&amp;MID($E896,6,2)&amp;RIGHT($E896,2)&amp;$F896&amp;"|"&amp;"1"&amp;RIGHT("00000"&amp;891,5))</f>
        <v/>
      </c>
      <c r="C896" t="str">
        <f t="shared" si="91"/>
        <v/>
      </c>
      <c r="D896" t="str">
        <f t="shared" si="92"/>
        <v/>
      </c>
      <c r="E896" t="str">
        <f>IF(Entry!$B899="","",IF(ISNUMBER(Entry!$B899),IF(AND(Entry!$B899&gt;=10000101,Entry!$B899&lt;=99991231),INT(Entry!$B899/10000)&amp;"/"&amp;RIGHT("00"&amp;INT(MOD(Entry!$B899,10000)/100),2)&amp;"/"&amp;RIGHT("00"&amp;MOD(Entry!$B899,100),2),"نامعتبر"),IF(LEN(Entry!$B899)=10,Entry!$B899,"نامعتبر")))</f>
        <v/>
      </c>
      <c r="F896" t="str">
        <f>IF(Entry!$B899="","",IF(Entry!$C899="","0000",IF(AND(ISNUMBER(Entry!$C899),Entry!$C899&gt;=0,Entry!$C899&lt;1),RIGHT("00"&amp;HOUR(Entry!$C899),2)&amp;RIGHT("00"&amp;MINUTE(Entry!$C899),2),IFERROR(RIGHT("00"&amp;VALUE(LEFT(Entry!$C899,FIND(":",Entry!$C899)-1)),2)&amp;RIGHT("00"&amp;VALUE(MID(Entry!$C899,FIND(":",Entry!$C899)+1,2)),2),"0000"))))</f>
        <v/>
      </c>
      <c r="G896" t="str">
        <f>IF($A896="","",Entry!$G899)</f>
        <v/>
      </c>
      <c r="H896" t="str">
        <f>IF($A896="","",IF(Entry!$H899="",0,Entry!$H899))</f>
        <v/>
      </c>
      <c r="I896" t="str">
        <f>IF($A896="","",IF(Entry!$I899="",0,Entry!$I899))</f>
        <v/>
      </c>
      <c r="J896" t="str">
        <f t="shared" si="93"/>
        <v/>
      </c>
      <c r="K896" t="str">
        <f>IF($A896="","",Entry!$D899)</f>
        <v/>
      </c>
      <c r="L896" t="str">
        <f>IF($A896="","",Entry!$L899)</f>
        <v/>
      </c>
      <c r="N896" t="str">
        <f>IF(OR(Sync!$M896="",$Q896="",$Q896="نامعتبر"),"",Sync!$M896)</f>
        <v/>
      </c>
      <c r="O896" t="str">
        <f t="shared" si="94"/>
        <v/>
      </c>
      <c r="P896" t="str">
        <f>IF($N896="","",LEFT($Q896,4)&amp;MID($Q896,6,2)&amp;RIGHT($Q896,2)&amp;IF(Sync!$K896="","0000",IF(AND(ISNUMBER(Sync!$K896),Sync!$K896&gt;=0,Sync!$K896&lt;1),RIGHT("00"&amp;HOUR(Sync!$K896),2)&amp;RIGHT("00"&amp;MINUTE(Sync!$K896),2),IFERROR(RIGHT("00"&amp;VALUE(LEFT(Sync!$K896,FIND(":",Sync!$K896)-1)),2)&amp;RIGHT("00"&amp;VALUE(MID(Sync!$K896,FIND(":",Sync!$K896)+1,2)),2),"0000")))&amp;"|"&amp;"2"&amp;RIGHT("00000"&amp;891,5))</f>
        <v/>
      </c>
      <c r="Q896" t="str">
        <f>IF(Sync!$J896="","",IF(ISNUMBER(Sync!$J896),IF(AND(Sync!$J896&gt;=10000101,Sync!$J896&lt;=99991231),INT(Sync!$J896/10000)&amp;"/"&amp;RIGHT("00"&amp;INT(MOD(Sync!$J896,10000)/100),2)&amp;"/"&amp;RIGHT("00"&amp;MOD(Sync!$J896,100),2),"نامعتبر"),IF(LEN(Sync!$J896)=10,Sync!$J896,"نامعتبر")))</f>
        <v/>
      </c>
      <c r="R896" t="str">
        <f t="shared" si="95"/>
        <v/>
      </c>
      <c r="S896" t="str">
        <f t="shared" si="96"/>
        <v/>
      </c>
      <c r="T896" t="str">
        <f>IF($N896="","",IF(Sync!$N896="",0,Sync!$N896))</f>
        <v/>
      </c>
      <c r="U896" t="str">
        <f>IF($N896="","",IF(Sync!$O896="",0,Sync!$O896))</f>
        <v/>
      </c>
      <c r="V896" t="str">
        <f>IF($N896="","",Sync!$L896)</f>
        <v/>
      </c>
      <c r="W896" t="str">
        <f>IF($N896="","",Sync!$P896)</f>
        <v/>
      </c>
      <c r="AA896" t="str">
        <f>IF($A896="","",IF(COUNTIF($A$6:$A896,$A896)=1,1,0))</f>
        <v/>
      </c>
      <c r="AB896">
        <f>SUM($AA$6:$AA896)</f>
        <v>3</v>
      </c>
      <c r="AC896" t="str">
        <f t="shared" si="97"/>
        <v/>
      </c>
    </row>
    <row r="897" spans="1:29" x14ac:dyDescent="0.2">
      <c r="A897" t="str">
        <f>IF(OR(Entry!$B900="",Entry!$E900="",$E897="نامعتبر"),"",Entry!$E900)</f>
        <v/>
      </c>
      <c r="B897" t="str">
        <f>IF($A897="","",LEFT($E897,4)&amp;MID($E897,6,2)&amp;RIGHT($E897,2)&amp;$F897&amp;"|"&amp;"1"&amp;RIGHT("00000"&amp;892,5))</f>
        <v/>
      </c>
      <c r="C897" t="str">
        <f t="shared" si="91"/>
        <v/>
      </c>
      <c r="D897" t="str">
        <f t="shared" si="92"/>
        <v/>
      </c>
      <c r="E897" t="str">
        <f>IF(Entry!$B900="","",IF(ISNUMBER(Entry!$B900),IF(AND(Entry!$B900&gt;=10000101,Entry!$B900&lt;=99991231),INT(Entry!$B900/10000)&amp;"/"&amp;RIGHT("00"&amp;INT(MOD(Entry!$B900,10000)/100),2)&amp;"/"&amp;RIGHT("00"&amp;MOD(Entry!$B900,100),2),"نامعتبر"),IF(LEN(Entry!$B900)=10,Entry!$B900,"نامعتبر")))</f>
        <v/>
      </c>
      <c r="F897" t="str">
        <f>IF(Entry!$B900="","",IF(Entry!$C900="","0000",IF(AND(ISNUMBER(Entry!$C900),Entry!$C900&gt;=0,Entry!$C900&lt;1),RIGHT("00"&amp;HOUR(Entry!$C900),2)&amp;RIGHT("00"&amp;MINUTE(Entry!$C900),2),IFERROR(RIGHT("00"&amp;VALUE(LEFT(Entry!$C900,FIND(":",Entry!$C900)-1)),2)&amp;RIGHT("00"&amp;VALUE(MID(Entry!$C900,FIND(":",Entry!$C900)+1,2)),2),"0000"))))</f>
        <v/>
      </c>
      <c r="G897" t="str">
        <f>IF($A897="","",Entry!$G900)</f>
        <v/>
      </c>
      <c r="H897" t="str">
        <f>IF($A897="","",IF(Entry!$H900="",0,Entry!$H900))</f>
        <v/>
      </c>
      <c r="I897" t="str">
        <f>IF($A897="","",IF(Entry!$I900="",0,Entry!$I900))</f>
        <v/>
      </c>
      <c r="J897" t="str">
        <f t="shared" si="93"/>
        <v/>
      </c>
      <c r="K897" t="str">
        <f>IF($A897="","",Entry!$D900)</f>
        <v/>
      </c>
      <c r="L897" t="str">
        <f>IF($A897="","",Entry!$L900)</f>
        <v/>
      </c>
      <c r="N897" t="str">
        <f>IF(OR(Sync!$M897="",$Q897="",$Q897="نامعتبر"),"",Sync!$M897)</f>
        <v/>
      </c>
      <c r="O897" t="str">
        <f t="shared" si="94"/>
        <v/>
      </c>
      <c r="P897" t="str">
        <f>IF($N897="","",LEFT($Q897,4)&amp;MID($Q897,6,2)&amp;RIGHT($Q897,2)&amp;IF(Sync!$K897="","0000",IF(AND(ISNUMBER(Sync!$K897),Sync!$K897&gt;=0,Sync!$K897&lt;1),RIGHT("00"&amp;HOUR(Sync!$K897),2)&amp;RIGHT("00"&amp;MINUTE(Sync!$K897),2),IFERROR(RIGHT("00"&amp;VALUE(LEFT(Sync!$K897,FIND(":",Sync!$K897)-1)),2)&amp;RIGHT("00"&amp;VALUE(MID(Sync!$K897,FIND(":",Sync!$K897)+1,2)),2),"0000")))&amp;"|"&amp;"2"&amp;RIGHT("00000"&amp;892,5))</f>
        <v/>
      </c>
      <c r="Q897" t="str">
        <f>IF(Sync!$J897="","",IF(ISNUMBER(Sync!$J897),IF(AND(Sync!$J897&gt;=10000101,Sync!$J897&lt;=99991231),INT(Sync!$J897/10000)&amp;"/"&amp;RIGHT("00"&amp;INT(MOD(Sync!$J897,10000)/100),2)&amp;"/"&amp;RIGHT("00"&amp;MOD(Sync!$J897,100),2),"نامعتبر"),IF(LEN(Sync!$J897)=10,Sync!$J897,"نامعتبر")))</f>
        <v/>
      </c>
      <c r="R897" t="str">
        <f t="shared" si="95"/>
        <v/>
      </c>
      <c r="S897" t="str">
        <f t="shared" si="96"/>
        <v/>
      </c>
      <c r="T897" t="str">
        <f>IF($N897="","",IF(Sync!$N897="",0,Sync!$N897))</f>
        <v/>
      </c>
      <c r="U897" t="str">
        <f>IF($N897="","",IF(Sync!$O897="",0,Sync!$O897))</f>
        <v/>
      </c>
      <c r="V897" t="str">
        <f>IF($N897="","",Sync!$L897)</f>
        <v/>
      </c>
      <c r="W897" t="str">
        <f>IF($N897="","",Sync!$P897)</f>
        <v/>
      </c>
      <c r="AA897" t="str">
        <f>IF($A897="","",IF(COUNTIF($A$6:$A897,$A897)=1,1,0))</f>
        <v/>
      </c>
      <c r="AB897">
        <f>SUM($AA$6:$AA897)</f>
        <v>3</v>
      </c>
      <c r="AC897" t="str">
        <f t="shared" si="97"/>
        <v/>
      </c>
    </row>
    <row r="898" spans="1:29" x14ac:dyDescent="0.2">
      <c r="A898" t="str">
        <f>IF(OR(Entry!$B901="",Entry!$E901="",$E898="نامعتبر"),"",Entry!$E901)</f>
        <v/>
      </c>
      <c r="B898" t="str">
        <f>IF($A898="","",LEFT($E898,4)&amp;MID($E898,6,2)&amp;RIGHT($E898,2)&amp;$F898&amp;"|"&amp;"1"&amp;RIGHT("00000"&amp;893,5))</f>
        <v/>
      </c>
      <c r="C898" t="str">
        <f t="shared" si="91"/>
        <v/>
      </c>
      <c r="D898" t="str">
        <f t="shared" si="92"/>
        <v/>
      </c>
      <c r="E898" t="str">
        <f>IF(Entry!$B901="","",IF(ISNUMBER(Entry!$B901),IF(AND(Entry!$B901&gt;=10000101,Entry!$B901&lt;=99991231),INT(Entry!$B901/10000)&amp;"/"&amp;RIGHT("00"&amp;INT(MOD(Entry!$B901,10000)/100),2)&amp;"/"&amp;RIGHT("00"&amp;MOD(Entry!$B901,100),2),"نامعتبر"),IF(LEN(Entry!$B901)=10,Entry!$B901,"نامعتبر")))</f>
        <v/>
      </c>
      <c r="F898" t="str">
        <f>IF(Entry!$B901="","",IF(Entry!$C901="","0000",IF(AND(ISNUMBER(Entry!$C901),Entry!$C901&gt;=0,Entry!$C901&lt;1),RIGHT("00"&amp;HOUR(Entry!$C901),2)&amp;RIGHT("00"&amp;MINUTE(Entry!$C901),2),IFERROR(RIGHT("00"&amp;VALUE(LEFT(Entry!$C901,FIND(":",Entry!$C901)-1)),2)&amp;RIGHT("00"&amp;VALUE(MID(Entry!$C901,FIND(":",Entry!$C901)+1,2)),2),"0000"))))</f>
        <v/>
      </c>
      <c r="G898" t="str">
        <f>IF($A898="","",Entry!$G901)</f>
        <v/>
      </c>
      <c r="H898" t="str">
        <f>IF($A898="","",IF(Entry!$H901="",0,Entry!$H901))</f>
        <v/>
      </c>
      <c r="I898" t="str">
        <f>IF($A898="","",IF(Entry!$I901="",0,Entry!$I901))</f>
        <v/>
      </c>
      <c r="J898" t="str">
        <f t="shared" si="93"/>
        <v/>
      </c>
      <c r="K898" t="str">
        <f>IF($A898="","",Entry!$D901)</f>
        <v/>
      </c>
      <c r="L898" t="str">
        <f>IF($A898="","",Entry!$L901)</f>
        <v/>
      </c>
      <c r="N898" t="str">
        <f>IF(OR(Sync!$M898="",$Q898="",$Q898="نامعتبر"),"",Sync!$M898)</f>
        <v/>
      </c>
      <c r="O898" t="str">
        <f t="shared" si="94"/>
        <v/>
      </c>
      <c r="P898" t="str">
        <f>IF($N898="","",LEFT($Q898,4)&amp;MID($Q898,6,2)&amp;RIGHT($Q898,2)&amp;IF(Sync!$K898="","0000",IF(AND(ISNUMBER(Sync!$K898),Sync!$K898&gt;=0,Sync!$K898&lt;1),RIGHT("00"&amp;HOUR(Sync!$K898),2)&amp;RIGHT("00"&amp;MINUTE(Sync!$K898),2),IFERROR(RIGHT("00"&amp;VALUE(LEFT(Sync!$K898,FIND(":",Sync!$K898)-1)),2)&amp;RIGHT("00"&amp;VALUE(MID(Sync!$K898,FIND(":",Sync!$K898)+1,2)),2),"0000")))&amp;"|"&amp;"2"&amp;RIGHT("00000"&amp;893,5))</f>
        <v/>
      </c>
      <c r="Q898" t="str">
        <f>IF(Sync!$J898="","",IF(ISNUMBER(Sync!$J898),IF(AND(Sync!$J898&gt;=10000101,Sync!$J898&lt;=99991231),INT(Sync!$J898/10000)&amp;"/"&amp;RIGHT("00"&amp;INT(MOD(Sync!$J898,10000)/100),2)&amp;"/"&amp;RIGHT("00"&amp;MOD(Sync!$J898,100),2),"نامعتبر"),IF(LEN(Sync!$J898)=10,Sync!$J898,"نامعتبر")))</f>
        <v/>
      </c>
      <c r="R898" t="str">
        <f t="shared" si="95"/>
        <v/>
      </c>
      <c r="S898" t="str">
        <f t="shared" si="96"/>
        <v/>
      </c>
      <c r="T898" t="str">
        <f>IF($N898="","",IF(Sync!$N898="",0,Sync!$N898))</f>
        <v/>
      </c>
      <c r="U898" t="str">
        <f>IF($N898="","",IF(Sync!$O898="",0,Sync!$O898))</f>
        <v/>
      </c>
      <c r="V898" t="str">
        <f>IF($N898="","",Sync!$L898)</f>
        <v/>
      </c>
      <c r="W898" t="str">
        <f>IF($N898="","",Sync!$P898)</f>
        <v/>
      </c>
      <c r="AA898" t="str">
        <f>IF($A898="","",IF(COUNTIF($A$6:$A898,$A898)=1,1,0))</f>
        <v/>
      </c>
      <c r="AB898">
        <f>SUM($AA$6:$AA898)</f>
        <v>3</v>
      </c>
      <c r="AC898" t="str">
        <f t="shared" si="97"/>
        <v/>
      </c>
    </row>
    <row r="899" spans="1:29" x14ac:dyDescent="0.2">
      <c r="A899" t="str">
        <f>IF(OR(Entry!$B902="",Entry!$E902="",$E899="نامعتبر"),"",Entry!$E902)</f>
        <v/>
      </c>
      <c r="B899" t="str">
        <f>IF($A899="","",LEFT($E899,4)&amp;MID($E899,6,2)&amp;RIGHT($E899,2)&amp;$F899&amp;"|"&amp;"1"&amp;RIGHT("00000"&amp;894,5))</f>
        <v/>
      </c>
      <c r="C899" t="str">
        <f t="shared" si="91"/>
        <v/>
      </c>
      <c r="D899" t="str">
        <f t="shared" si="92"/>
        <v/>
      </c>
      <c r="E899" t="str">
        <f>IF(Entry!$B902="","",IF(ISNUMBER(Entry!$B902),IF(AND(Entry!$B902&gt;=10000101,Entry!$B902&lt;=99991231),INT(Entry!$B902/10000)&amp;"/"&amp;RIGHT("00"&amp;INT(MOD(Entry!$B902,10000)/100),2)&amp;"/"&amp;RIGHT("00"&amp;MOD(Entry!$B902,100),2),"نامعتبر"),IF(LEN(Entry!$B902)=10,Entry!$B902,"نامعتبر")))</f>
        <v/>
      </c>
      <c r="F899" t="str">
        <f>IF(Entry!$B902="","",IF(Entry!$C902="","0000",IF(AND(ISNUMBER(Entry!$C902),Entry!$C902&gt;=0,Entry!$C902&lt;1),RIGHT("00"&amp;HOUR(Entry!$C902),2)&amp;RIGHT("00"&amp;MINUTE(Entry!$C902),2),IFERROR(RIGHT("00"&amp;VALUE(LEFT(Entry!$C902,FIND(":",Entry!$C902)-1)),2)&amp;RIGHT("00"&amp;VALUE(MID(Entry!$C902,FIND(":",Entry!$C902)+1,2)),2),"0000"))))</f>
        <v/>
      </c>
      <c r="G899" t="str">
        <f>IF($A899="","",Entry!$G902)</f>
        <v/>
      </c>
      <c r="H899" t="str">
        <f>IF($A899="","",IF(Entry!$H902="",0,Entry!$H902))</f>
        <v/>
      </c>
      <c r="I899" t="str">
        <f>IF($A899="","",IF(Entry!$I902="",0,Entry!$I902))</f>
        <v/>
      </c>
      <c r="J899" t="str">
        <f t="shared" si="93"/>
        <v/>
      </c>
      <c r="K899" t="str">
        <f>IF($A899="","",Entry!$D902)</f>
        <v/>
      </c>
      <c r="L899" t="str">
        <f>IF($A899="","",Entry!$L902)</f>
        <v/>
      </c>
      <c r="N899" t="str">
        <f>IF(OR(Sync!$M899="",$Q899="",$Q899="نامعتبر"),"",Sync!$M899)</f>
        <v/>
      </c>
      <c r="O899" t="str">
        <f t="shared" si="94"/>
        <v/>
      </c>
      <c r="P899" t="str">
        <f>IF($N899="","",LEFT($Q899,4)&amp;MID($Q899,6,2)&amp;RIGHT($Q899,2)&amp;IF(Sync!$K899="","0000",IF(AND(ISNUMBER(Sync!$K899),Sync!$K899&gt;=0,Sync!$K899&lt;1),RIGHT("00"&amp;HOUR(Sync!$K899),2)&amp;RIGHT("00"&amp;MINUTE(Sync!$K899),2),IFERROR(RIGHT("00"&amp;VALUE(LEFT(Sync!$K899,FIND(":",Sync!$K899)-1)),2)&amp;RIGHT("00"&amp;VALUE(MID(Sync!$K899,FIND(":",Sync!$K899)+1,2)),2),"0000")))&amp;"|"&amp;"2"&amp;RIGHT("00000"&amp;894,5))</f>
        <v/>
      </c>
      <c r="Q899" t="str">
        <f>IF(Sync!$J899="","",IF(ISNUMBER(Sync!$J899),IF(AND(Sync!$J899&gt;=10000101,Sync!$J899&lt;=99991231),INT(Sync!$J899/10000)&amp;"/"&amp;RIGHT("00"&amp;INT(MOD(Sync!$J899,10000)/100),2)&amp;"/"&amp;RIGHT("00"&amp;MOD(Sync!$J899,100),2),"نامعتبر"),IF(LEN(Sync!$J899)=10,Sync!$J899,"نامعتبر")))</f>
        <v/>
      </c>
      <c r="R899" t="str">
        <f t="shared" si="95"/>
        <v/>
      </c>
      <c r="S899" t="str">
        <f t="shared" si="96"/>
        <v/>
      </c>
      <c r="T899" t="str">
        <f>IF($N899="","",IF(Sync!$N899="",0,Sync!$N899))</f>
        <v/>
      </c>
      <c r="U899" t="str">
        <f>IF($N899="","",IF(Sync!$O899="",0,Sync!$O899))</f>
        <v/>
      </c>
      <c r="V899" t="str">
        <f>IF($N899="","",Sync!$L899)</f>
        <v/>
      </c>
      <c r="W899" t="str">
        <f>IF($N899="","",Sync!$P899)</f>
        <v/>
      </c>
      <c r="AA899" t="str">
        <f>IF($A899="","",IF(COUNTIF($A$6:$A899,$A899)=1,1,0))</f>
        <v/>
      </c>
      <c r="AB899">
        <f>SUM($AA$6:$AA899)</f>
        <v>3</v>
      </c>
      <c r="AC899" t="str">
        <f t="shared" si="97"/>
        <v/>
      </c>
    </row>
    <row r="900" spans="1:29" x14ac:dyDescent="0.2">
      <c r="A900" t="str">
        <f>IF(OR(Entry!$B903="",Entry!$E903="",$E900="نامعتبر"),"",Entry!$E903)</f>
        <v/>
      </c>
      <c r="B900" t="str">
        <f>IF($A900="","",LEFT($E900,4)&amp;MID($E900,6,2)&amp;RIGHT($E900,2)&amp;$F900&amp;"|"&amp;"1"&amp;RIGHT("00000"&amp;895,5))</f>
        <v/>
      </c>
      <c r="C900" t="str">
        <f t="shared" si="91"/>
        <v/>
      </c>
      <c r="D900" t="str">
        <f t="shared" si="92"/>
        <v/>
      </c>
      <c r="E900" t="str">
        <f>IF(Entry!$B903="","",IF(ISNUMBER(Entry!$B903),IF(AND(Entry!$B903&gt;=10000101,Entry!$B903&lt;=99991231),INT(Entry!$B903/10000)&amp;"/"&amp;RIGHT("00"&amp;INT(MOD(Entry!$B903,10000)/100),2)&amp;"/"&amp;RIGHT("00"&amp;MOD(Entry!$B903,100),2),"نامعتبر"),IF(LEN(Entry!$B903)=10,Entry!$B903,"نامعتبر")))</f>
        <v/>
      </c>
      <c r="F900" t="str">
        <f>IF(Entry!$B903="","",IF(Entry!$C903="","0000",IF(AND(ISNUMBER(Entry!$C903),Entry!$C903&gt;=0,Entry!$C903&lt;1),RIGHT("00"&amp;HOUR(Entry!$C903),2)&amp;RIGHT("00"&amp;MINUTE(Entry!$C903),2),IFERROR(RIGHT("00"&amp;VALUE(LEFT(Entry!$C903,FIND(":",Entry!$C903)-1)),2)&amp;RIGHT("00"&amp;VALUE(MID(Entry!$C903,FIND(":",Entry!$C903)+1,2)),2),"0000"))))</f>
        <v/>
      </c>
      <c r="G900" t="str">
        <f>IF($A900="","",Entry!$G903)</f>
        <v/>
      </c>
      <c r="H900" t="str">
        <f>IF($A900="","",IF(Entry!$H903="",0,Entry!$H903))</f>
        <v/>
      </c>
      <c r="I900" t="str">
        <f>IF($A900="","",IF(Entry!$I903="",0,Entry!$I903))</f>
        <v/>
      </c>
      <c r="J900" t="str">
        <f t="shared" si="93"/>
        <v/>
      </c>
      <c r="K900" t="str">
        <f>IF($A900="","",Entry!$D903)</f>
        <v/>
      </c>
      <c r="L900" t="str">
        <f>IF($A900="","",Entry!$L903)</f>
        <v/>
      </c>
      <c r="N900" t="str">
        <f>IF(OR(Sync!$M900="",$Q900="",$Q900="نامعتبر"),"",Sync!$M900)</f>
        <v/>
      </c>
      <c r="O900" t="str">
        <f t="shared" si="94"/>
        <v/>
      </c>
      <c r="P900" t="str">
        <f>IF($N900="","",LEFT($Q900,4)&amp;MID($Q900,6,2)&amp;RIGHT($Q900,2)&amp;IF(Sync!$K900="","0000",IF(AND(ISNUMBER(Sync!$K900),Sync!$K900&gt;=0,Sync!$K900&lt;1),RIGHT("00"&amp;HOUR(Sync!$K900),2)&amp;RIGHT("00"&amp;MINUTE(Sync!$K900),2),IFERROR(RIGHT("00"&amp;VALUE(LEFT(Sync!$K900,FIND(":",Sync!$K900)-1)),2)&amp;RIGHT("00"&amp;VALUE(MID(Sync!$K900,FIND(":",Sync!$K900)+1,2)),2),"0000")))&amp;"|"&amp;"2"&amp;RIGHT("00000"&amp;895,5))</f>
        <v/>
      </c>
      <c r="Q900" t="str">
        <f>IF(Sync!$J900="","",IF(ISNUMBER(Sync!$J900),IF(AND(Sync!$J900&gt;=10000101,Sync!$J900&lt;=99991231),INT(Sync!$J900/10000)&amp;"/"&amp;RIGHT("00"&amp;INT(MOD(Sync!$J900,10000)/100),2)&amp;"/"&amp;RIGHT("00"&amp;MOD(Sync!$J900,100),2),"نامعتبر"),IF(LEN(Sync!$J900)=10,Sync!$J900,"نامعتبر")))</f>
        <v/>
      </c>
      <c r="R900" t="str">
        <f t="shared" si="95"/>
        <v/>
      </c>
      <c r="S900" t="str">
        <f t="shared" si="96"/>
        <v/>
      </c>
      <c r="T900" t="str">
        <f>IF($N900="","",IF(Sync!$N900="",0,Sync!$N900))</f>
        <v/>
      </c>
      <c r="U900" t="str">
        <f>IF($N900="","",IF(Sync!$O900="",0,Sync!$O900))</f>
        <v/>
      </c>
      <c r="V900" t="str">
        <f>IF($N900="","",Sync!$L900)</f>
        <v/>
      </c>
      <c r="W900" t="str">
        <f>IF($N900="","",Sync!$P900)</f>
        <v/>
      </c>
      <c r="AA900" t="str">
        <f>IF($A900="","",IF(COUNTIF($A$6:$A900,$A900)=1,1,0))</f>
        <v/>
      </c>
      <c r="AB900">
        <f>SUM($AA$6:$AA900)</f>
        <v>3</v>
      </c>
      <c r="AC900" t="str">
        <f t="shared" si="97"/>
        <v/>
      </c>
    </row>
    <row r="901" spans="1:29" x14ac:dyDescent="0.2">
      <c r="A901" t="str">
        <f>IF(OR(Entry!$B904="",Entry!$E904="",$E901="نامعتبر"),"",Entry!$E904)</f>
        <v/>
      </c>
      <c r="B901" t="str">
        <f>IF($A901="","",LEFT($E901,4)&amp;MID($E901,6,2)&amp;RIGHT($E901,2)&amp;$F901&amp;"|"&amp;"1"&amp;RIGHT("00000"&amp;896,5))</f>
        <v/>
      </c>
      <c r="C901" t="str">
        <f t="shared" si="91"/>
        <v/>
      </c>
      <c r="D901" t="str">
        <f t="shared" si="92"/>
        <v/>
      </c>
      <c r="E901" t="str">
        <f>IF(Entry!$B904="","",IF(ISNUMBER(Entry!$B904),IF(AND(Entry!$B904&gt;=10000101,Entry!$B904&lt;=99991231),INT(Entry!$B904/10000)&amp;"/"&amp;RIGHT("00"&amp;INT(MOD(Entry!$B904,10000)/100),2)&amp;"/"&amp;RIGHT("00"&amp;MOD(Entry!$B904,100),2),"نامعتبر"),IF(LEN(Entry!$B904)=10,Entry!$B904,"نامعتبر")))</f>
        <v/>
      </c>
      <c r="F901" t="str">
        <f>IF(Entry!$B904="","",IF(Entry!$C904="","0000",IF(AND(ISNUMBER(Entry!$C904),Entry!$C904&gt;=0,Entry!$C904&lt;1),RIGHT("00"&amp;HOUR(Entry!$C904),2)&amp;RIGHT("00"&amp;MINUTE(Entry!$C904),2),IFERROR(RIGHT("00"&amp;VALUE(LEFT(Entry!$C904,FIND(":",Entry!$C904)-1)),2)&amp;RIGHT("00"&amp;VALUE(MID(Entry!$C904,FIND(":",Entry!$C904)+1,2)),2),"0000"))))</f>
        <v/>
      </c>
      <c r="G901" t="str">
        <f>IF($A901="","",Entry!$G904)</f>
        <v/>
      </c>
      <c r="H901" t="str">
        <f>IF($A901="","",IF(Entry!$H904="",0,Entry!$H904))</f>
        <v/>
      </c>
      <c r="I901" t="str">
        <f>IF($A901="","",IF(Entry!$I904="",0,Entry!$I904))</f>
        <v/>
      </c>
      <c r="J901" t="str">
        <f t="shared" si="93"/>
        <v/>
      </c>
      <c r="K901" t="str">
        <f>IF($A901="","",Entry!$D904)</f>
        <v/>
      </c>
      <c r="L901" t="str">
        <f>IF($A901="","",Entry!$L904)</f>
        <v/>
      </c>
      <c r="N901" t="str">
        <f>IF(OR(Sync!$M901="",$Q901="",$Q901="نامعتبر"),"",Sync!$M901)</f>
        <v/>
      </c>
      <c r="O901" t="str">
        <f t="shared" si="94"/>
        <v/>
      </c>
      <c r="P901" t="str">
        <f>IF($N901="","",LEFT($Q901,4)&amp;MID($Q901,6,2)&amp;RIGHT($Q901,2)&amp;IF(Sync!$K901="","0000",IF(AND(ISNUMBER(Sync!$K901),Sync!$K901&gt;=0,Sync!$K901&lt;1),RIGHT("00"&amp;HOUR(Sync!$K901),2)&amp;RIGHT("00"&amp;MINUTE(Sync!$K901),2),IFERROR(RIGHT("00"&amp;VALUE(LEFT(Sync!$K901,FIND(":",Sync!$K901)-1)),2)&amp;RIGHT("00"&amp;VALUE(MID(Sync!$K901,FIND(":",Sync!$K901)+1,2)),2),"0000")))&amp;"|"&amp;"2"&amp;RIGHT("00000"&amp;896,5))</f>
        <v/>
      </c>
      <c r="Q901" t="str">
        <f>IF(Sync!$J901="","",IF(ISNUMBER(Sync!$J901),IF(AND(Sync!$J901&gt;=10000101,Sync!$J901&lt;=99991231),INT(Sync!$J901/10000)&amp;"/"&amp;RIGHT("00"&amp;INT(MOD(Sync!$J901,10000)/100),2)&amp;"/"&amp;RIGHT("00"&amp;MOD(Sync!$J901,100),2),"نامعتبر"),IF(LEN(Sync!$J901)=10,Sync!$J901,"نامعتبر")))</f>
        <v/>
      </c>
      <c r="R901" t="str">
        <f t="shared" si="95"/>
        <v/>
      </c>
      <c r="S901" t="str">
        <f t="shared" si="96"/>
        <v/>
      </c>
      <c r="T901" t="str">
        <f>IF($N901="","",IF(Sync!$N901="",0,Sync!$N901))</f>
        <v/>
      </c>
      <c r="U901" t="str">
        <f>IF($N901="","",IF(Sync!$O901="",0,Sync!$O901))</f>
        <v/>
      </c>
      <c r="V901" t="str">
        <f>IF($N901="","",Sync!$L901)</f>
        <v/>
      </c>
      <c r="W901" t="str">
        <f>IF($N901="","",Sync!$P901)</f>
        <v/>
      </c>
      <c r="AA901" t="str">
        <f>IF($A901="","",IF(COUNTIF($A$6:$A901,$A901)=1,1,0))</f>
        <v/>
      </c>
      <c r="AB901">
        <f>SUM($AA$6:$AA901)</f>
        <v>3</v>
      </c>
      <c r="AC901" t="str">
        <f t="shared" si="97"/>
        <v/>
      </c>
    </row>
    <row r="902" spans="1:29" x14ac:dyDescent="0.2">
      <c r="A902" t="str">
        <f>IF(OR(Entry!$B905="",Entry!$E905="",$E902="نامعتبر"),"",Entry!$E905)</f>
        <v/>
      </c>
      <c r="B902" t="str">
        <f>IF($A902="","",LEFT($E902,4)&amp;MID($E902,6,2)&amp;RIGHT($E902,2)&amp;$F902&amp;"|"&amp;"1"&amp;RIGHT("00000"&amp;897,5))</f>
        <v/>
      </c>
      <c r="C902" t="str">
        <f t="shared" ref="C902:C965" si="98">IF($B902="","",COUNTIFS($A$6:$A$1005,$A902,$B$6:$B$1005,"&lt;"&amp;$B902)+COUNTIFS($N$6:$N$2005,$A902,$P$6:$P$2005,"&lt;"&amp;$B902)+1)</f>
        <v/>
      </c>
      <c r="D902" t="str">
        <f t="shared" ref="D902:D965" si="99">IF($C902="","",$A902&amp;"|"&amp;RIGHT("000000"&amp;$C902,6))</f>
        <v/>
      </c>
      <c r="E902" t="str">
        <f>IF(Entry!$B905="","",IF(ISNUMBER(Entry!$B905),IF(AND(Entry!$B905&gt;=10000101,Entry!$B905&lt;=99991231),INT(Entry!$B905/10000)&amp;"/"&amp;RIGHT("00"&amp;INT(MOD(Entry!$B905,10000)/100),2)&amp;"/"&amp;RIGHT("00"&amp;MOD(Entry!$B905,100),2),"نامعتبر"),IF(LEN(Entry!$B905)=10,Entry!$B905,"نامعتبر")))</f>
        <v/>
      </c>
      <c r="F902" t="str">
        <f>IF(Entry!$B905="","",IF(Entry!$C905="","0000",IF(AND(ISNUMBER(Entry!$C905),Entry!$C905&gt;=0,Entry!$C905&lt;1),RIGHT("00"&amp;HOUR(Entry!$C905),2)&amp;RIGHT("00"&amp;MINUTE(Entry!$C905),2),IFERROR(RIGHT("00"&amp;VALUE(LEFT(Entry!$C905,FIND(":",Entry!$C905)-1)),2)&amp;RIGHT("00"&amp;VALUE(MID(Entry!$C905,FIND(":",Entry!$C905)+1,2)),2),"0000"))))</f>
        <v/>
      </c>
      <c r="G902" t="str">
        <f>IF($A902="","",Entry!$G905)</f>
        <v/>
      </c>
      <c r="H902" t="str">
        <f>IF($A902="","",IF(Entry!$H905="",0,Entry!$H905))</f>
        <v/>
      </c>
      <c r="I902" t="str">
        <f>IF($A902="","",IF(Entry!$I905="",0,Entry!$I905))</f>
        <v/>
      </c>
      <c r="J902" t="str">
        <f t="shared" ref="J902:J965" si="100">IF($A902="","",ROUND($H902*$I902,0))</f>
        <v/>
      </c>
      <c r="K902" t="str">
        <f>IF($A902="","",Entry!$D905)</f>
        <v/>
      </c>
      <c r="L902" t="str">
        <f>IF($A902="","",Entry!$L905)</f>
        <v/>
      </c>
      <c r="N902" t="str">
        <f>IF(OR(Sync!$M902="",$Q902="",$Q902="نامعتبر"),"",Sync!$M902)</f>
        <v/>
      </c>
      <c r="O902" t="str">
        <f t="shared" ref="O902:O965" si="101">IF($N902="","",$Q902)</f>
        <v/>
      </c>
      <c r="P902" t="str">
        <f>IF($N902="","",LEFT($Q902,4)&amp;MID($Q902,6,2)&amp;RIGHT($Q902,2)&amp;IF(Sync!$K902="","0000",IF(AND(ISNUMBER(Sync!$K902),Sync!$K902&gt;=0,Sync!$K902&lt;1),RIGHT("00"&amp;HOUR(Sync!$K902),2)&amp;RIGHT("00"&amp;MINUTE(Sync!$K902),2),IFERROR(RIGHT("00"&amp;VALUE(LEFT(Sync!$K902,FIND(":",Sync!$K902)-1)),2)&amp;RIGHT("00"&amp;VALUE(MID(Sync!$K902,FIND(":",Sync!$K902)+1,2)),2),"0000")))&amp;"|"&amp;"2"&amp;RIGHT("00000"&amp;897,5))</f>
        <v/>
      </c>
      <c r="Q902" t="str">
        <f>IF(Sync!$J902="","",IF(ISNUMBER(Sync!$J902),IF(AND(Sync!$J902&gt;=10000101,Sync!$J902&lt;=99991231),INT(Sync!$J902/10000)&amp;"/"&amp;RIGHT("00"&amp;INT(MOD(Sync!$J902,10000)/100),2)&amp;"/"&amp;RIGHT("00"&amp;MOD(Sync!$J902,100),2),"نامعتبر"),IF(LEN(Sync!$J902)=10,Sync!$J902,"نامعتبر")))</f>
        <v/>
      </c>
      <c r="R902" t="str">
        <f t="shared" ref="R902:R965" si="102">IF($P902="","",COUNTIFS($N$6:$N$2005,$N902,$P$6:$P$2005,"&lt;"&amp;$P902)+COUNTIFS($A$6:$A$1005,$N902,$B$6:$B$1005,"&lt;"&amp;$P902)+1)</f>
        <v/>
      </c>
      <c r="S902" t="str">
        <f t="shared" ref="S902:S965" si="103">IF($N902="","",$N902&amp;"|"&amp;RIGHT("000000"&amp;$R902,6))</f>
        <v/>
      </c>
      <c r="T902" t="str">
        <f>IF($N902="","",IF(Sync!$N902="",0,Sync!$N902))</f>
        <v/>
      </c>
      <c r="U902" t="str">
        <f>IF($N902="","",IF(Sync!$O902="",0,Sync!$O902))</f>
        <v/>
      </c>
      <c r="V902" t="str">
        <f>IF($N902="","",Sync!$L902)</f>
        <v/>
      </c>
      <c r="W902" t="str">
        <f>IF($N902="","",Sync!$P902)</f>
        <v/>
      </c>
      <c r="AA902" t="str">
        <f>IF($A902="","",IF(COUNTIF($A$6:$A902,$A902)=1,1,0))</f>
        <v/>
      </c>
      <c r="AB902">
        <f>SUM($AA$6:$AA902)</f>
        <v>3</v>
      </c>
      <c r="AC902" t="str">
        <f t="shared" ref="AC902:AC965" si="104">IFERROR(INDEX($A$6:$A$1005,MATCH(ROW()-5,$AB$6:$AB$1005,0)),"")</f>
        <v/>
      </c>
    </row>
    <row r="903" spans="1:29" x14ac:dyDescent="0.2">
      <c r="A903" t="str">
        <f>IF(OR(Entry!$B906="",Entry!$E906="",$E903="نامعتبر"),"",Entry!$E906)</f>
        <v/>
      </c>
      <c r="B903" t="str">
        <f>IF($A903="","",LEFT($E903,4)&amp;MID($E903,6,2)&amp;RIGHT($E903,2)&amp;$F903&amp;"|"&amp;"1"&amp;RIGHT("00000"&amp;898,5))</f>
        <v/>
      </c>
      <c r="C903" t="str">
        <f t="shared" si="98"/>
        <v/>
      </c>
      <c r="D903" t="str">
        <f t="shared" si="99"/>
        <v/>
      </c>
      <c r="E903" t="str">
        <f>IF(Entry!$B906="","",IF(ISNUMBER(Entry!$B906),IF(AND(Entry!$B906&gt;=10000101,Entry!$B906&lt;=99991231),INT(Entry!$B906/10000)&amp;"/"&amp;RIGHT("00"&amp;INT(MOD(Entry!$B906,10000)/100),2)&amp;"/"&amp;RIGHT("00"&amp;MOD(Entry!$B906,100),2),"نامعتبر"),IF(LEN(Entry!$B906)=10,Entry!$B906,"نامعتبر")))</f>
        <v/>
      </c>
      <c r="F903" t="str">
        <f>IF(Entry!$B906="","",IF(Entry!$C906="","0000",IF(AND(ISNUMBER(Entry!$C906),Entry!$C906&gt;=0,Entry!$C906&lt;1),RIGHT("00"&amp;HOUR(Entry!$C906),2)&amp;RIGHT("00"&amp;MINUTE(Entry!$C906),2),IFERROR(RIGHT("00"&amp;VALUE(LEFT(Entry!$C906,FIND(":",Entry!$C906)-1)),2)&amp;RIGHT("00"&amp;VALUE(MID(Entry!$C906,FIND(":",Entry!$C906)+1,2)),2),"0000"))))</f>
        <v/>
      </c>
      <c r="G903" t="str">
        <f>IF($A903="","",Entry!$G906)</f>
        <v/>
      </c>
      <c r="H903" t="str">
        <f>IF($A903="","",IF(Entry!$H906="",0,Entry!$H906))</f>
        <v/>
      </c>
      <c r="I903" t="str">
        <f>IF($A903="","",IF(Entry!$I906="",0,Entry!$I906))</f>
        <v/>
      </c>
      <c r="J903" t="str">
        <f t="shared" si="100"/>
        <v/>
      </c>
      <c r="K903" t="str">
        <f>IF($A903="","",Entry!$D906)</f>
        <v/>
      </c>
      <c r="L903" t="str">
        <f>IF($A903="","",Entry!$L906)</f>
        <v/>
      </c>
      <c r="N903" t="str">
        <f>IF(OR(Sync!$M903="",$Q903="",$Q903="نامعتبر"),"",Sync!$M903)</f>
        <v/>
      </c>
      <c r="O903" t="str">
        <f t="shared" si="101"/>
        <v/>
      </c>
      <c r="P903" t="str">
        <f>IF($N903="","",LEFT($Q903,4)&amp;MID($Q903,6,2)&amp;RIGHT($Q903,2)&amp;IF(Sync!$K903="","0000",IF(AND(ISNUMBER(Sync!$K903),Sync!$K903&gt;=0,Sync!$K903&lt;1),RIGHT("00"&amp;HOUR(Sync!$K903),2)&amp;RIGHT("00"&amp;MINUTE(Sync!$K903),2),IFERROR(RIGHT("00"&amp;VALUE(LEFT(Sync!$K903,FIND(":",Sync!$K903)-1)),2)&amp;RIGHT("00"&amp;VALUE(MID(Sync!$K903,FIND(":",Sync!$K903)+1,2)),2),"0000")))&amp;"|"&amp;"2"&amp;RIGHT("00000"&amp;898,5))</f>
        <v/>
      </c>
      <c r="Q903" t="str">
        <f>IF(Sync!$J903="","",IF(ISNUMBER(Sync!$J903),IF(AND(Sync!$J903&gt;=10000101,Sync!$J903&lt;=99991231),INT(Sync!$J903/10000)&amp;"/"&amp;RIGHT("00"&amp;INT(MOD(Sync!$J903,10000)/100),2)&amp;"/"&amp;RIGHT("00"&amp;MOD(Sync!$J903,100),2),"نامعتبر"),IF(LEN(Sync!$J903)=10,Sync!$J903,"نامعتبر")))</f>
        <v/>
      </c>
      <c r="R903" t="str">
        <f t="shared" si="102"/>
        <v/>
      </c>
      <c r="S903" t="str">
        <f t="shared" si="103"/>
        <v/>
      </c>
      <c r="T903" t="str">
        <f>IF($N903="","",IF(Sync!$N903="",0,Sync!$N903))</f>
        <v/>
      </c>
      <c r="U903" t="str">
        <f>IF($N903="","",IF(Sync!$O903="",0,Sync!$O903))</f>
        <v/>
      </c>
      <c r="V903" t="str">
        <f>IF($N903="","",Sync!$L903)</f>
        <v/>
      </c>
      <c r="W903" t="str">
        <f>IF($N903="","",Sync!$P903)</f>
        <v/>
      </c>
      <c r="AA903" t="str">
        <f>IF($A903="","",IF(COUNTIF($A$6:$A903,$A903)=1,1,0))</f>
        <v/>
      </c>
      <c r="AB903">
        <f>SUM($AA$6:$AA903)</f>
        <v>3</v>
      </c>
      <c r="AC903" t="str">
        <f t="shared" si="104"/>
        <v/>
      </c>
    </row>
    <row r="904" spans="1:29" x14ac:dyDescent="0.2">
      <c r="A904" t="str">
        <f>IF(OR(Entry!$B907="",Entry!$E907="",$E904="نامعتبر"),"",Entry!$E907)</f>
        <v/>
      </c>
      <c r="B904" t="str">
        <f>IF($A904="","",LEFT($E904,4)&amp;MID($E904,6,2)&amp;RIGHT($E904,2)&amp;$F904&amp;"|"&amp;"1"&amp;RIGHT("00000"&amp;899,5))</f>
        <v/>
      </c>
      <c r="C904" t="str">
        <f t="shared" si="98"/>
        <v/>
      </c>
      <c r="D904" t="str">
        <f t="shared" si="99"/>
        <v/>
      </c>
      <c r="E904" t="str">
        <f>IF(Entry!$B907="","",IF(ISNUMBER(Entry!$B907),IF(AND(Entry!$B907&gt;=10000101,Entry!$B907&lt;=99991231),INT(Entry!$B907/10000)&amp;"/"&amp;RIGHT("00"&amp;INT(MOD(Entry!$B907,10000)/100),2)&amp;"/"&amp;RIGHT("00"&amp;MOD(Entry!$B907,100),2),"نامعتبر"),IF(LEN(Entry!$B907)=10,Entry!$B907,"نامعتبر")))</f>
        <v/>
      </c>
      <c r="F904" t="str">
        <f>IF(Entry!$B907="","",IF(Entry!$C907="","0000",IF(AND(ISNUMBER(Entry!$C907),Entry!$C907&gt;=0,Entry!$C907&lt;1),RIGHT("00"&amp;HOUR(Entry!$C907),2)&amp;RIGHT("00"&amp;MINUTE(Entry!$C907),2),IFERROR(RIGHT("00"&amp;VALUE(LEFT(Entry!$C907,FIND(":",Entry!$C907)-1)),2)&amp;RIGHT("00"&amp;VALUE(MID(Entry!$C907,FIND(":",Entry!$C907)+1,2)),2),"0000"))))</f>
        <v/>
      </c>
      <c r="G904" t="str">
        <f>IF($A904="","",Entry!$G907)</f>
        <v/>
      </c>
      <c r="H904" t="str">
        <f>IF($A904="","",IF(Entry!$H907="",0,Entry!$H907))</f>
        <v/>
      </c>
      <c r="I904" t="str">
        <f>IF($A904="","",IF(Entry!$I907="",0,Entry!$I907))</f>
        <v/>
      </c>
      <c r="J904" t="str">
        <f t="shared" si="100"/>
        <v/>
      </c>
      <c r="K904" t="str">
        <f>IF($A904="","",Entry!$D907)</f>
        <v/>
      </c>
      <c r="L904" t="str">
        <f>IF($A904="","",Entry!$L907)</f>
        <v/>
      </c>
      <c r="N904" t="str">
        <f>IF(OR(Sync!$M904="",$Q904="",$Q904="نامعتبر"),"",Sync!$M904)</f>
        <v/>
      </c>
      <c r="O904" t="str">
        <f t="shared" si="101"/>
        <v/>
      </c>
      <c r="P904" t="str">
        <f>IF($N904="","",LEFT($Q904,4)&amp;MID($Q904,6,2)&amp;RIGHT($Q904,2)&amp;IF(Sync!$K904="","0000",IF(AND(ISNUMBER(Sync!$K904),Sync!$K904&gt;=0,Sync!$K904&lt;1),RIGHT("00"&amp;HOUR(Sync!$K904),2)&amp;RIGHT("00"&amp;MINUTE(Sync!$K904),2),IFERROR(RIGHT("00"&amp;VALUE(LEFT(Sync!$K904,FIND(":",Sync!$K904)-1)),2)&amp;RIGHT("00"&amp;VALUE(MID(Sync!$K904,FIND(":",Sync!$K904)+1,2)),2),"0000")))&amp;"|"&amp;"2"&amp;RIGHT("00000"&amp;899,5))</f>
        <v/>
      </c>
      <c r="Q904" t="str">
        <f>IF(Sync!$J904="","",IF(ISNUMBER(Sync!$J904),IF(AND(Sync!$J904&gt;=10000101,Sync!$J904&lt;=99991231),INT(Sync!$J904/10000)&amp;"/"&amp;RIGHT("00"&amp;INT(MOD(Sync!$J904,10000)/100),2)&amp;"/"&amp;RIGHT("00"&amp;MOD(Sync!$J904,100),2),"نامعتبر"),IF(LEN(Sync!$J904)=10,Sync!$J904,"نامعتبر")))</f>
        <v/>
      </c>
      <c r="R904" t="str">
        <f t="shared" si="102"/>
        <v/>
      </c>
      <c r="S904" t="str">
        <f t="shared" si="103"/>
        <v/>
      </c>
      <c r="T904" t="str">
        <f>IF($N904="","",IF(Sync!$N904="",0,Sync!$N904))</f>
        <v/>
      </c>
      <c r="U904" t="str">
        <f>IF($N904="","",IF(Sync!$O904="",0,Sync!$O904))</f>
        <v/>
      </c>
      <c r="V904" t="str">
        <f>IF($N904="","",Sync!$L904)</f>
        <v/>
      </c>
      <c r="W904" t="str">
        <f>IF($N904="","",Sync!$P904)</f>
        <v/>
      </c>
      <c r="AA904" t="str">
        <f>IF($A904="","",IF(COUNTIF($A$6:$A904,$A904)=1,1,0))</f>
        <v/>
      </c>
      <c r="AB904">
        <f>SUM($AA$6:$AA904)</f>
        <v>3</v>
      </c>
      <c r="AC904" t="str">
        <f t="shared" si="104"/>
        <v/>
      </c>
    </row>
    <row r="905" spans="1:29" x14ac:dyDescent="0.2">
      <c r="A905" t="str">
        <f>IF(OR(Entry!$B908="",Entry!$E908="",$E905="نامعتبر"),"",Entry!$E908)</f>
        <v/>
      </c>
      <c r="B905" t="str">
        <f>IF($A905="","",LEFT($E905,4)&amp;MID($E905,6,2)&amp;RIGHT($E905,2)&amp;$F905&amp;"|"&amp;"1"&amp;RIGHT("00000"&amp;900,5))</f>
        <v/>
      </c>
      <c r="C905" t="str">
        <f t="shared" si="98"/>
        <v/>
      </c>
      <c r="D905" t="str">
        <f t="shared" si="99"/>
        <v/>
      </c>
      <c r="E905" t="str">
        <f>IF(Entry!$B908="","",IF(ISNUMBER(Entry!$B908),IF(AND(Entry!$B908&gt;=10000101,Entry!$B908&lt;=99991231),INT(Entry!$B908/10000)&amp;"/"&amp;RIGHT("00"&amp;INT(MOD(Entry!$B908,10000)/100),2)&amp;"/"&amp;RIGHT("00"&amp;MOD(Entry!$B908,100),2),"نامعتبر"),IF(LEN(Entry!$B908)=10,Entry!$B908,"نامعتبر")))</f>
        <v/>
      </c>
      <c r="F905" t="str">
        <f>IF(Entry!$B908="","",IF(Entry!$C908="","0000",IF(AND(ISNUMBER(Entry!$C908),Entry!$C908&gt;=0,Entry!$C908&lt;1),RIGHT("00"&amp;HOUR(Entry!$C908),2)&amp;RIGHT("00"&amp;MINUTE(Entry!$C908),2),IFERROR(RIGHT("00"&amp;VALUE(LEFT(Entry!$C908,FIND(":",Entry!$C908)-1)),2)&amp;RIGHT("00"&amp;VALUE(MID(Entry!$C908,FIND(":",Entry!$C908)+1,2)),2),"0000"))))</f>
        <v/>
      </c>
      <c r="G905" t="str">
        <f>IF($A905="","",Entry!$G908)</f>
        <v/>
      </c>
      <c r="H905" t="str">
        <f>IF($A905="","",IF(Entry!$H908="",0,Entry!$H908))</f>
        <v/>
      </c>
      <c r="I905" t="str">
        <f>IF($A905="","",IF(Entry!$I908="",0,Entry!$I908))</f>
        <v/>
      </c>
      <c r="J905" t="str">
        <f t="shared" si="100"/>
        <v/>
      </c>
      <c r="K905" t="str">
        <f>IF($A905="","",Entry!$D908)</f>
        <v/>
      </c>
      <c r="L905" t="str">
        <f>IF($A905="","",Entry!$L908)</f>
        <v/>
      </c>
      <c r="N905" t="str">
        <f>IF(OR(Sync!$M905="",$Q905="",$Q905="نامعتبر"),"",Sync!$M905)</f>
        <v/>
      </c>
      <c r="O905" t="str">
        <f t="shared" si="101"/>
        <v/>
      </c>
      <c r="P905" t="str">
        <f>IF($N905="","",LEFT($Q905,4)&amp;MID($Q905,6,2)&amp;RIGHT($Q905,2)&amp;IF(Sync!$K905="","0000",IF(AND(ISNUMBER(Sync!$K905),Sync!$K905&gt;=0,Sync!$K905&lt;1),RIGHT("00"&amp;HOUR(Sync!$K905),2)&amp;RIGHT("00"&amp;MINUTE(Sync!$K905),2),IFERROR(RIGHT("00"&amp;VALUE(LEFT(Sync!$K905,FIND(":",Sync!$K905)-1)),2)&amp;RIGHT("00"&amp;VALUE(MID(Sync!$K905,FIND(":",Sync!$K905)+1,2)),2),"0000")))&amp;"|"&amp;"2"&amp;RIGHT("00000"&amp;900,5))</f>
        <v/>
      </c>
      <c r="Q905" t="str">
        <f>IF(Sync!$J905="","",IF(ISNUMBER(Sync!$J905),IF(AND(Sync!$J905&gt;=10000101,Sync!$J905&lt;=99991231),INT(Sync!$J905/10000)&amp;"/"&amp;RIGHT("00"&amp;INT(MOD(Sync!$J905,10000)/100),2)&amp;"/"&amp;RIGHT("00"&amp;MOD(Sync!$J905,100),2),"نامعتبر"),IF(LEN(Sync!$J905)=10,Sync!$J905,"نامعتبر")))</f>
        <v/>
      </c>
      <c r="R905" t="str">
        <f t="shared" si="102"/>
        <v/>
      </c>
      <c r="S905" t="str">
        <f t="shared" si="103"/>
        <v/>
      </c>
      <c r="T905" t="str">
        <f>IF($N905="","",IF(Sync!$N905="",0,Sync!$N905))</f>
        <v/>
      </c>
      <c r="U905" t="str">
        <f>IF($N905="","",IF(Sync!$O905="",0,Sync!$O905))</f>
        <v/>
      </c>
      <c r="V905" t="str">
        <f>IF($N905="","",Sync!$L905)</f>
        <v/>
      </c>
      <c r="W905" t="str">
        <f>IF($N905="","",Sync!$P905)</f>
        <v/>
      </c>
      <c r="AA905" t="str">
        <f>IF($A905="","",IF(COUNTIF($A$6:$A905,$A905)=1,1,0))</f>
        <v/>
      </c>
      <c r="AB905">
        <f>SUM($AA$6:$AA905)</f>
        <v>3</v>
      </c>
      <c r="AC905" t="str">
        <f t="shared" si="104"/>
        <v/>
      </c>
    </row>
    <row r="906" spans="1:29" x14ac:dyDescent="0.2">
      <c r="A906" t="str">
        <f>IF(OR(Entry!$B909="",Entry!$E909="",$E906="نامعتبر"),"",Entry!$E909)</f>
        <v/>
      </c>
      <c r="B906" t="str">
        <f>IF($A906="","",LEFT($E906,4)&amp;MID($E906,6,2)&amp;RIGHT($E906,2)&amp;$F906&amp;"|"&amp;"1"&amp;RIGHT("00000"&amp;901,5))</f>
        <v/>
      </c>
      <c r="C906" t="str">
        <f t="shared" si="98"/>
        <v/>
      </c>
      <c r="D906" t="str">
        <f t="shared" si="99"/>
        <v/>
      </c>
      <c r="E906" t="str">
        <f>IF(Entry!$B909="","",IF(ISNUMBER(Entry!$B909),IF(AND(Entry!$B909&gt;=10000101,Entry!$B909&lt;=99991231),INT(Entry!$B909/10000)&amp;"/"&amp;RIGHT("00"&amp;INT(MOD(Entry!$B909,10000)/100),2)&amp;"/"&amp;RIGHT("00"&amp;MOD(Entry!$B909,100),2),"نامعتبر"),IF(LEN(Entry!$B909)=10,Entry!$B909,"نامعتبر")))</f>
        <v/>
      </c>
      <c r="F906" t="str">
        <f>IF(Entry!$B909="","",IF(Entry!$C909="","0000",IF(AND(ISNUMBER(Entry!$C909),Entry!$C909&gt;=0,Entry!$C909&lt;1),RIGHT("00"&amp;HOUR(Entry!$C909),2)&amp;RIGHT("00"&amp;MINUTE(Entry!$C909),2),IFERROR(RIGHT("00"&amp;VALUE(LEFT(Entry!$C909,FIND(":",Entry!$C909)-1)),2)&amp;RIGHT("00"&amp;VALUE(MID(Entry!$C909,FIND(":",Entry!$C909)+1,2)),2),"0000"))))</f>
        <v/>
      </c>
      <c r="G906" t="str">
        <f>IF($A906="","",Entry!$G909)</f>
        <v/>
      </c>
      <c r="H906" t="str">
        <f>IF($A906="","",IF(Entry!$H909="",0,Entry!$H909))</f>
        <v/>
      </c>
      <c r="I906" t="str">
        <f>IF($A906="","",IF(Entry!$I909="",0,Entry!$I909))</f>
        <v/>
      </c>
      <c r="J906" t="str">
        <f t="shared" si="100"/>
        <v/>
      </c>
      <c r="K906" t="str">
        <f>IF($A906="","",Entry!$D909)</f>
        <v/>
      </c>
      <c r="L906" t="str">
        <f>IF($A906="","",Entry!$L909)</f>
        <v/>
      </c>
      <c r="N906" t="str">
        <f>IF(OR(Sync!$M906="",$Q906="",$Q906="نامعتبر"),"",Sync!$M906)</f>
        <v/>
      </c>
      <c r="O906" t="str">
        <f t="shared" si="101"/>
        <v/>
      </c>
      <c r="P906" t="str">
        <f>IF($N906="","",LEFT($Q906,4)&amp;MID($Q906,6,2)&amp;RIGHT($Q906,2)&amp;IF(Sync!$K906="","0000",IF(AND(ISNUMBER(Sync!$K906),Sync!$K906&gt;=0,Sync!$K906&lt;1),RIGHT("00"&amp;HOUR(Sync!$K906),2)&amp;RIGHT("00"&amp;MINUTE(Sync!$K906),2),IFERROR(RIGHT("00"&amp;VALUE(LEFT(Sync!$K906,FIND(":",Sync!$K906)-1)),2)&amp;RIGHT("00"&amp;VALUE(MID(Sync!$K906,FIND(":",Sync!$K906)+1,2)),2),"0000")))&amp;"|"&amp;"2"&amp;RIGHT("00000"&amp;901,5))</f>
        <v/>
      </c>
      <c r="Q906" t="str">
        <f>IF(Sync!$J906="","",IF(ISNUMBER(Sync!$J906),IF(AND(Sync!$J906&gt;=10000101,Sync!$J906&lt;=99991231),INT(Sync!$J906/10000)&amp;"/"&amp;RIGHT("00"&amp;INT(MOD(Sync!$J906,10000)/100),2)&amp;"/"&amp;RIGHT("00"&amp;MOD(Sync!$J906,100),2),"نامعتبر"),IF(LEN(Sync!$J906)=10,Sync!$J906,"نامعتبر")))</f>
        <v/>
      </c>
      <c r="R906" t="str">
        <f t="shared" si="102"/>
        <v/>
      </c>
      <c r="S906" t="str">
        <f t="shared" si="103"/>
        <v/>
      </c>
      <c r="T906" t="str">
        <f>IF($N906="","",IF(Sync!$N906="",0,Sync!$N906))</f>
        <v/>
      </c>
      <c r="U906" t="str">
        <f>IF($N906="","",IF(Sync!$O906="",0,Sync!$O906))</f>
        <v/>
      </c>
      <c r="V906" t="str">
        <f>IF($N906="","",Sync!$L906)</f>
        <v/>
      </c>
      <c r="W906" t="str">
        <f>IF($N906="","",Sync!$P906)</f>
        <v/>
      </c>
      <c r="AA906" t="str">
        <f>IF($A906="","",IF(COUNTIF($A$6:$A906,$A906)=1,1,0))</f>
        <v/>
      </c>
      <c r="AB906">
        <f>SUM($AA$6:$AA906)</f>
        <v>3</v>
      </c>
      <c r="AC906" t="str">
        <f t="shared" si="104"/>
        <v/>
      </c>
    </row>
    <row r="907" spans="1:29" x14ac:dyDescent="0.2">
      <c r="A907" t="str">
        <f>IF(OR(Entry!$B910="",Entry!$E910="",$E907="نامعتبر"),"",Entry!$E910)</f>
        <v/>
      </c>
      <c r="B907" t="str">
        <f>IF($A907="","",LEFT($E907,4)&amp;MID($E907,6,2)&amp;RIGHT($E907,2)&amp;$F907&amp;"|"&amp;"1"&amp;RIGHT("00000"&amp;902,5))</f>
        <v/>
      </c>
      <c r="C907" t="str">
        <f t="shared" si="98"/>
        <v/>
      </c>
      <c r="D907" t="str">
        <f t="shared" si="99"/>
        <v/>
      </c>
      <c r="E907" t="str">
        <f>IF(Entry!$B910="","",IF(ISNUMBER(Entry!$B910),IF(AND(Entry!$B910&gt;=10000101,Entry!$B910&lt;=99991231),INT(Entry!$B910/10000)&amp;"/"&amp;RIGHT("00"&amp;INT(MOD(Entry!$B910,10000)/100),2)&amp;"/"&amp;RIGHT("00"&amp;MOD(Entry!$B910,100),2),"نامعتبر"),IF(LEN(Entry!$B910)=10,Entry!$B910,"نامعتبر")))</f>
        <v/>
      </c>
      <c r="F907" t="str">
        <f>IF(Entry!$B910="","",IF(Entry!$C910="","0000",IF(AND(ISNUMBER(Entry!$C910),Entry!$C910&gt;=0,Entry!$C910&lt;1),RIGHT("00"&amp;HOUR(Entry!$C910),2)&amp;RIGHT("00"&amp;MINUTE(Entry!$C910),2),IFERROR(RIGHT("00"&amp;VALUE(LEFT(Entry!$C910,FIND(":",Entry!$C910)-1)),2)&amp;RIGHT("00"&amp;VALUE(MID(Entry!$C910,FIND(":",Entry!$C910)+1,2)),2),"0000"))))</f>
        <v/>
      </c>
      <c r="G907" t="str">
        <f>IF($A907="","",Entry!$G910)</f>
        <v/>
      </c>
      <c r="H907" t="str">
        <f>IF($A907="","",IF(Entry!$H910="",0,Entry!$H910))</f>
        <v/>
      </c>
      <c r="I907" t="str">
        <f>IF($A907="","",IF(Entry!$I910="",0,Entry!$I910))</f>
        <v/>
      </c>
      <c r="J907" t="str">
        <f t="shared" si="100"/>
        <v/>
      </c>
      <c r="K907" t="str">
        <f>IF($A907="","",Entry!$D910)</f>
        <v/>
      </c>
      <c r="L907" t="str">
        <f>IF($A907="","",Entry!$L910)</f>
        <v/>
      </c>
      <c r="N907" t="str">
        <f>IF(OR(Sync!$M907="",$Q907="",$Q907="نامعتبر"),"",Sync!$M907)</f>
        <v/>
      </c>
      <c r="O907" t="str">
        <f t="shared" si="101"/>
        <v/>
      </c>
      <c r="P907" t="str">
        <f>IF($N907="","",LEFT($Q907,4)&amp;MID($Q907,6,2)&amp;RIGHT($Q907,2)&amp;IF(Sync!$K907="","0000",IF(AND(ISNUMBER(Sync!$K907),Sync!$K907&gt;=0,Sync!$K907&lt;1),RIGHT("00"&amp;HOUR(Sync!$K907),2)&amp;RIGHT("00"&amp;MINUTE(Sync!$K907),2),IFERROR(RIGHT("00"&amp;VALUE(LEFT(Sync!$K907,FIND(":",Sync!$K907)-1)),2)&amp;RIGHT("00"&amp;VALUE(MID(Sync!$K907,FIND(":",Sync!$K907)+1,2)),2),"0000")))&amp;"|"&amp;"2"&amp;RIGHT("00000"&amp;902,5))</f>
        <v/>
      </c>
      <c r="Q907" t="str">
        <f>IF(Sync!$J907="","",IF(ISNUMBER(Sync!$J907),IF(AND(Sync!$J907&gt;=10000101,Sync!$J907&lt;=99991231),INT(Sync!$J907/10000)&amp;"/"&amp;RIGHT("00"&amp;INT(MOD(Sync!$J907,10000)/100),2)&amp;"/"&amp;RIGHT("00"&amp;MOD(Sync!$J907,100),2),"نامعتبر"),IF(LEN(Sync!$J907)=10,Sync!$J907,"نامعتبر")))</f>
        <v/>
      </c>
      <c r="R907" t="str">
        <f t="shared" si="102"/>
        <v/>
      </c>
      <c r="S907" t="str">
        <f t="shared" si="103"/>
        <v/>
      </c>
      <c r="T907" t="str">
        <f>IF($N907="","",IF(Sync!$N907="",0,Sync!$N907))</f>
        <v/>
      </c>
      <c r="U907" t="str">
        <f>IF($N907="","",IF(Sync!$O907="",0,Sync!$O907))</f>
        <v/>
      </c>
      <c r="V907" t="str">
        <f>IF($N907="","",Sync!$L907)</f>
        <v/>
      </c>
      <c r="W907" t="str">
        <f>IF($N907="","",Sync!$P907)</f>
        <v/>
      </c>
      <c r="AA907" t="str">
        <f>IF($A907="","",IF(COUNTIF($A$6:$A907,$A907)=1,1,0))</f>
        <v/>
      </c>
      <c r="AB907">
        <f>SUM($AA$6:$AA907)</f>
        <v>3</v>
      </c>
      <c r="AC907" t="str">
        <f t="shared" si="104"/>
        <v/>
      </c>
    </row>
    <row r="908" spans="1:29" x14ac:dyDescent="0.2">
      <c r="A908" t="str">
        <f>IF(OR(Entry!$B911="",Entry!$E911="",$E908="نامعتبر"),"",Entry!$E911)</f>
        <v/>
      </c>
      <c r="B908" t="str">
        <f>IF($A908="","",LEFT($E908,4)&amp;MID($E908,6,2)&amp;RIGHT($E908,2)&amp;$F908&amp;"|"&amp;"1"&amp;RIGHT("00000"&amp;903,5))</f>
        <v/>
      </c>
      <c r="C908" t="str">
        <f t="shared" si="98"/>
        <v/>
      </c>
      <c r="D908" t="str">
        <f t="shared" si="99"/>
        <v/>
      </c>
      <c r="E908" t="str">
        <f>IF(Entry!$B911="","",IF(ISNUMBER(Entry!$B911),IF(AND(Entry!$B911&gt;=10000101,Entry!$B911&lt;=99991231),INT(Entry!$B911/10000)&amp;"/"&amp;RIGHT("00"&amp;INT(MOD(Entry!$B911,10000)/100),2)&amp;"/"&amp;RIGHT("00"&amp;MOD(Entry!$B911,100),2),"نامعتبر"),IF(LEN(Entry!$B911)=10,Entry!$B911,"نامعتبر")))</f>
        <v/>
      </c>
      <c r="F908" t="str">
        <f>IF(Entry!$B911="","",IF(Entry!$C911="","0000",IF(AND(ISNUMBER(Entry!$C911),Entry!$C911&gt;=0,Entry!$C911&lt;1),RIGHT("00"&amp;HOUR(Entry!$C911),2)&amp;RIGHT("00"&amp;MINUTE(Entry!$C911),2),IFERROR(RIGHT("00"&amp;VALUE(LEFT(Entry!$C911,FIND(":",Entry!$C911)-1)),2)&amp;RIGHT("00"&amp;VALUE(MID(Entry!$C911,FIND(":",Entry!$C911)+1,2)),2),"0000"))))</f>
        <v/>
      </c>
      <c r="G908" t="str">
        <f>IF($A908="","",Entry!$G911)</f>
        <v/>
      </c>
      <c r="H908" t="str">
        <f>IF($A908="","",IF(Entry!$H911="",0,Entry!$H911))</f>
        <v/>
      </c>
      <c r="I908" t="str">
        <f>IF($A908="","",IF(Entry!$I911="",0,Entry!$I911))</f>
        <v/>
      </c>
      <c r="J908" t="str">
        <f t="shared" si="100"/>
        <v/>
      </c>
      <c r="K908" t="str">
        <f>IF($A908="","",Entry!$D911)</f>
        <v/>
      </c>
      <c r="L908" t="str">
        <f>IF($A908="","",Entry!$L911)</f>
        <v/>
      </c>
      <c r="N908" t="str">
        <f>IF(OR(Sync!$M908="",$Q908="",$Q908="نامعتبر"),"",Sync!$M908)</f>
        <v/>
      </c>
      <c r="O908" t="str">
        <f t="shared" si="101"/>
        <v/>
      </c>
      <c r="P908" t="str">
        <f>IF($N908="","",LEFT($Q908,4)&amp;MID($Q908,6,2)&amp;RIGHT($Q908,2)&amp;IF(Sync!$K908="","0000",IF(AND(ISNUMBER(Sync!$K908),Sync!$K908&gt;=0,Sync!$K908&lt;1),RIGHT("00"&amp;HOUR(Sync!$K908),2)&amp;RIGHT("00"&amp;MINUTE(Sync!$K908),2),IFERROR(RIGHT("00"&amp;VALUE(LEFT(Sync!$K908,FIND(":",Sync!$K908)-1)),2)&amp;RIGHT("00"&amp;VALUE(MID(Sync!$K908,FIND(":",Sync!$K908)+1,2)),2),"0000")))&amp;"|"&amp;"2"&amp;RIGHT("00000"&amp;903,5))</f>
        <v/>
      </c>
      <c r="Q908" t="str">
        <f>IF(Sync!$J908="","",IF(ISNUMBER(Sync!$J908),IF(AND(Sync!$J908&gt;=10000101,Sync!$J908&lt;=99991231),INT(Sync!$J908/10000)&amp;"/"&amp;RIGHT("00"&amp;INT(MOD(Sync!$J908,10000)/100),2)&amp;"/"&amp;RIGHT("00"&amp;MOD(Sync!$J908,100),2),"نامعتبر"),IF(LEN(Sync!$J908)=10,Sync!$J908,"نامعتبر")))</f>
        <v/>
      </c>
      <c r="R908" t="str">
        <f t="shared" si="102"/>
        <v/>
      </c>
      <c r="S908" t="str">
        <f t="shared" si="103"/>
        <v/>
      </c>
      <c r="T908" t="str">
        <f>IF($N908="","",IF(Sync!$N908="",0,Sync!$N908))</f>
        <v/>
      </c>
      <c r="U908" t="str">
        <f>IF($N908="","",IF(Sync!$O908="",0,Sync!$O908))</f>
        <v/>
      </c>
      <c r="V908" t="str">
        <f>IF($N908="","",Sync!$L908)</f>
        <v/>
      </c>
      <c r="W908" t="str">
        <f>IF($N908="","",Sync!$P908)</f>
        <v/>
      </c>
      <c r="AA908" t="str">
        <f>IF($A908="","",IF(COUNTIF($A$6:$A908,$A908)=1,1,0))</f>
        <v/>
      </c>
      <c r="AB908">
        <f>SUM($AA$6:$AA908)</f>
        <v>3</v>
      </c>
      <c r="AC908" t="str">
        <f t="shared" si="104"/>
        <v/>
      </c>
    </row>
    <row r="909" spans="1:29" x14ac:dyDescent="0.2">
      <c r="A909" t="str">
        <f>IF(OR(Entry!$B912="",Entry!$E912="",$E909="نامعتبر"),"",Entry!$E912)</f>
        <v/>
      </c>
      <c r="B909" t="str">
        <f>IF($A909="","",LEFT($E909,4)&amp;MID($E909,6,2)&amp;RIGHT($E909,2)&amp;$F909&amp;"|"&amp;"1"&amp;RIGHT("00000"&amp;904,5))</f>
        <v/>
      </c>
      <c r="C909" t="str">
        <f t="shared" si="98"/>
        <v/>
      </c>
      <c r="D909" t="str">
        <f t="shared" si="99"/>
        <v/>
      </c>
      <c r="E909" t="str">
        <f>IF(Entry!$B912="","",IF(ISNUMBER(Entry!$B912),IF(AND(Entry!$B912&gt;=10000101,Entry!$B912&lt;=99991231),INT(Entry!$B912/10000)&amp;"/"&amp;RIGHT("00"&amp;INT(MOD(Entry!$B912,10000)/100),2)&amp;"/"&amp;RIGHT("00"&amp;MOD(Entry!$B912,100),2),"نامعتبر"),IF(LEN(Entry!$B912)=10,Entry!$B912,"نامعتبر")))</f>
        <v/>
      </c>
      <c r="F909" t="str">
        <f>IF(Entry!$B912="","",IF(Entry!$C912="","0000",IF(AND(ISNUMBER(Entry!$C912),Entry!$C912&gt;=0,Entry!$C912&lt;1),RIGHT("00"&amp;HOUR(Entry!$C912),2)&amp;RIGHT("00"&amp;MINUTE(Entry!$C912),2),IFERROR(RIGHT("00"&amp;VALUE(LEFT(Entry!$C912,FIND(":",Entry!$C912)-1)),2)&amp;RIGHT("00"&amp;VALUE(MID(Entry!$C912,FIND(":",Entry!$C912)+1,2)),2),"0000"))))</f>
        <v/>
      </c>
      <c r="G909" t="str">
        <f>IF($A909="","",Entry!$G912)</f>
        <v/>
      </c>
      <c r="H909" t="str">
        <f>IF($A909="","",IF(Entry!$H912="",0,Entry!$H912))</f>
        <v/>
      </c>
      <c r="I909" t="str">
        <f>IF($A909="","",IF(Entry!$I912="",0,Entry!$I912))</f>
        <v/>
      </c>
      <c r="J909" t="str">
        <f t="shared" si="100"/>
        <v/>
      </c>
      <c r="K909" t="str">
        <f>IF($A909="","",Entry!$D912)</f>
        <v/>
      </c>
      <c r="L909" t="str">
        <f>IF($A909="","",Entry!$L912)</f>
        <v/>
      </c>
      <c r="N909" t="str">
        <f>IF(OR(Sync!$M909="",$Q909="",$Q909="نامعتبر"),"",Sync!$M909)</f>
        <v/>
      </c>
      <c r="O909" t="str">
        <f t="shared" si="101"/>
        <v/>
      </c>
      <c r="P909" t="str">
        <f>IF($N909="","",LEFT($Q909,4)&amp;MID($Q909,6,2)&amp;RIGHT($Q909,2)&amp;IF(Sync!$K909="","0000",IF(AND(ISNUMBER(Sync!$K909),Sync!$K909&gt;=0,Sync!$K909&lt;1),RIGHT("00"&amp;HOUR(Sync!$K909),2)&amp;RIGHT("00"&amp;MINUTE(Sync!$K909),2),IFERROR(RIGHT("00"&amp;VALUE(LEFT(Sync!$K909,FIND(":",Sync!$K909)-1)),2)&amp;RIGHT("00"&amp;VALUE(MID(Sync!$K909,FIND(":",Sync!$K909)+1,2)),2),"0000")))&amp;"|"&amp;"2"&amp;RIGHT("00000"&amp;904,5))</f>
        <v/>
      </c>
      <c r="Q909" t="str">
        <f>IF(Sync!$J909="","",IF(ISNUMBER(Sync!$J909),IF(AND(Sync!$J909&gt;=10000101,Sync!$J909&lt;=99991231),INT(Sync!$J909/10000)&amp;"/"&amp;RIGHT("00"&amp;INT(MOD(Sync!$J909,10000)/100),2)&amp;"/"&amp;RIGHT("00"&amp;MOD(Sync!$J909,100),2),"نامعتبر"),IF(LEN(Sync!$J909)=10,Sync!$J909,"نامعتبر")))</f>
        <v/>
      </c>
      <c r="R909" t="str">
        <f t="shared" si="102"/>
        <v/>
      </c>
      <c r="S909" t="str">
        <f t="shared" si="103"/>
        <v/>
      </c>
      <c r="T909" t="str">
        <f>IF($N909="","",IF(Sync!$N909="",0,Sync!$N909))</f>
        <v/>
      </c>
      <c r="U909" t="str">
        <f>IF($N909="","",IF(Sync!$O909="",0,Sync!$O909))</f>
        <v/>
      </c>
      <c r="V909" t="str">
        <f>IF($N909="","",Sync!$L909)</f>
        <v/>
      </c>
      <c r="W909" t="str">
        <f>IF($N909="","",Sync!$P909)</f>
        <v/>
      </c>
      <c r="AA909" t="str">
        <f>IF($A909="","",IF(COUNTIF($A$6:$A909,$A909)=1,1,0))</f>
        <v/>
      </c>
      <c r="AB909">
        <f>SUM($AA$6:$AA909)</f>
        <v>3</v>
      </c>
      <c r="AC909" t="str">
        <f t="shared" si="104"/>
        <v/>
      </c>
    </row>
    <row r="910" spans="1:29" x14ac:dyDescent="0.2">
      <c r="A910" t="str">
        <f>IF(OR(Entry!$B913="",Entry!$E913="",$E910="نامعتبر"),"",Entry!$E913)</f>
        <v/>
      </c>
      <c r="B910" t="str">
        <f>IF($A910="","",LEFT($E910,4)&amp;MID($E910,6,2)&amp;RIGHT($E910,2)&amp;$F910&amp;"|"&amp;"1"&amp;RIGHT("00000"&amp;905,5))</f>
        <v/>
      </c>
      <c r="C910" t="str">
        <f t="shared" si="98"/>
        <v/>
      </c>
      <c r="D910" t="str">
        <f t="shared" si="99"/>
        <v/>
      </c>
      <c r="E910" t="str">
        <f>IF(Entry!$B913="","",IF(ISNUMBER(Entry!$B913),IF(AND(Entry!$B913&gt;=10000101,Entry!$B913&lt;=99991231),INT(Entry!$B913/10000)&amp;"/"&amp;RIGHT("00"&amp;INT(MOD(Entry!$B913,10000)/100),2)&amp;"/"&amp;RIGHT("00"&amp;MOD(Entry!$B913,100),2),"نامعتبر"),IF(LEN(Entry!$B913)=10,Entry!$B913,"نامعتبر")))</f>
        <v/>
      </c>
      <c r="F910" t="str">
        <f>IF(Entry!$B913="","",IF(Entry!$C913="","0000",IF(AND(ISNUMBER(Entry!$C913),Entry!$C913&gt;=0,Entry!$C913&lt;1),RIGHT("00"&amp;HOUR(Entry!$C913),2)&amp;RIGHT("00"&amp;MINUTE(Entry!$C913),2),IFERROR(RIGHT("00"&amp;VALUE(LEFT(Entry!$C913,FIND(":",Entry!$C913)-1)),2)&amp;RIGHT("00"&amp;VALUE(MID(Entry!$C913,FIND(":",Entry!$C913)+1,2)),2),"0000"))))</f>
        <v/>
      </c>
      <c r="G910" t="str">
        <f>IF($A910="","",Entry!$G913)</f>
        <v/>
      </c>
      <c r="H910" t="str">
        <f>IF($A910="","",IF(Entry!$H913="",0,Entry!$H913))</f>
        <v/>
      </c>
      <c r="I910" t="str">
        <f>IF($A910="","",IF(Entry!$I913="",0,Entry!$I913))</f>
        <v/>
      </c>
      <c r="J910" t="str">
        <f t="shared" si="100"/>
        <v/>
      </c>
      <c r="K910" t="str">
        <f>IF($A910="","",Entry!$D913)</f>
        <v/>
      </c>
      <c r="L910" t="str">
        <f>IF($A910="","",Entry!$L913)</f>
        <v/>
      </c>
      <c r="N910" t="str">
        <f>IF(OR(Sync!$M910="",$Q910="",$Q910="نامعتبر"),"",Sync!$M910)</f>
        <v/>
      </c>
      <c r="O910" t="str">
        <f t="shared" si="101"/>
        <v/>
      </c>
      <c r="P910" t="str">
        <f>IF($N910="","",LEFT($Q910,4)&amp;MID($Q910,6,2)&amp;RIGHT($Q910,2)&amp;IF(Sync!$K910="","0000",IF(AND(ISNUMBER(Sync!$K910),Sync!$K910&gt;=0,Sync!$K910&lt;1),RIGHT("00"&amp;HOUR(Sync!$K910),2)&amp;RIGHT("00"&amp;MINUTE(Sync!$K910),2),IFERROR(RIGHT("00"&amp;VALUE(LEFT(Sync!$K910,FIND(":",Sync!$K910)-1)),2)&amp;RIGHT("00"&amp;VALUE(MID(Sync!$K910,FIND(":",Sync!$K910)+1,2)),2),"0000")))&amp;"|"&amp;"2"&amp;RIGHT("00000"&amp;905,5))</f>
        <v/>
      </c>
      <c r="Q910" t="str">
        <f>IF(Sync!$J910="","",IF(ISNUMBER(Sync!$J910),IF(AND(Sync!$J910&gt;=10000101,Sync!$J910&lt;=99991231),INT(Sync!$J910/10000)&amp;"/"&amp;RIGHT("00"&amp;INT(MOD(Sync!$J910,10000)/100),2)&amp;"/"&amp;RIGHT("00"&amp;MOD(Sync!$J910,100),2),"نامعتبر"),IF(LEN(Sync!$J910)=10,Sync!$J910,"نامعتبر")))</f>
        <v/>
      </c>
      <c r="R910" t="str">
        <f t="shared" si="102"/>
        <v/>
      </c>
      <c r="S910" t="str">
        <f t="shared" si="103"/>
        <v/>
      </c>
      <c r="T910" t="str">
        <f>IF($N910="","",IF(Sync!$N910="",0,Sync!$N910))</f>
        <v/>
      </c>
      <c r="U910" t="str">
        <f>IF($N910="","",IF(Sync!$O910="",0,Sync!$O910))</f>
        <v/>
      </c>
      <c r="V910" t="str">
        <f>IF($N910="","",Sync!$L910)</f>
        <v/>
      </c>
      <c r="W910" t="str">
        <f>IF($N910="","",Sync!$P910)</f>
        <v/>
      </c>
      <c r="AA910" t="str">
        <f>IF($A910="","",IF(COUNTIF($A$6:$A910,$A910)=1,1,0))</f>
        <v/>
      </c>
      <c r="AB910">
        <f>SUM($AA$6:$AA910)</f>
        <v>3</v>
      </c>
      <c r="AC910" t="str">
        <f t="shared" si="104"/>
        <v/>
      </c>
    </row>
    <row r="911" spans="1:29" x14ac:dyDescent="0.2">
      <c r="A911" t="str">
        <f>IF(OR(Entry!$B914="",Entry!$E914="",$E911="نامعتبر"),"",Entry!$E914)</f>
        <v/>
      </c>
      <c r="B911" t="str">
        <f>IF($A911="","",LEFT($E911,4)&amp;MID($E911,6,2)&amp;RIGHT($E911,2)&amp;$F911&amp;"|"&amp;"1"&amp;RIGHT("00000"&amp;906,5))</f>
        <v/>
      </c>
      <c r="C911" t="str">
        <f t="shared" si="98"/>
        <v/>
      </c>
      <c r="D911" t="str">
        <f t="shared" si="99"/>
        <v/>
      </c>
      <c r="E911" t="str">
        <f>IF(Entry!$B914="","",IF(ISNUMBER(Entry!$B914),IF(AND(Entry!$B914&gt;=10000101,Entry!$B914&lt;=99991231),INT(Entry!$B914/10000)&amp;"/"&amp;RIGHT("00"&amp;INT(MOD(Entry!$B914,10000)/100),2)&amp;"/"&amp;RIGHT("00"&amp;MOD(Entry!$B914,100),2),"نامعتبر"),IF(LEN(Entry!$B914)=10,Entry!$B914,"نامعتبر")))</f>
        <v/>
      </c>
      <c r="F911" t="str">
        <f>IF(Entry!$B914="","",IF(Entry!$C914="","0000",IF(AND(ISNUMBER(Entry!$C914),Entry!$C914&gt;=0,Entry!$C914&lt;1),RIGHT("00"&amp;HOUR(Entry!$C914),2)&amp;RIGHT("00"&amp;MINUTE(Entry!$C914),2),IFERROR(RIGHT("00"&amp;VALUE(LEFT(Entry!$C914,FIND(":",Entry!$C914)-1)),2)&amp;RIGHT("00"&amp;VALUE(MID(Entry!$C914,FIND(":",Entry!$C914)+1,2)),2),"0000"))))</f>
        <v/>
      </c>
      <c r="G911" t="str">
        <f>IF($A911="","",Entry!$G914)</f>
        <v/>
      </c>
      <c r="H911" t="str">
        <f>IF($A911="","",IF(Entry!$H914="",0,Entry!$H914))</f>
        <v/>
      </c>
      <c r="I911" t="str">
        <f>IF($A911="","",IF(Entry!$I914="",0,Entry!$I914))</f>
        <v/>
      </c>
      <c r="J911" t="str">
        <f t="shared" si="100"/>
        <v/>
      </c>
      <c r="K911" t="str">
        <f>IF($A911="","",Entry!$D914)</f>
        <v/>
      </c>
      <c r="L911" t="str">
        <f>IF($A911="","",Entry!$L914)</f>
        <v/>
      </c>
      <c r="N911" t="str">
        <f>IF(OR(Sync!$M911="",$Q911="",$Q911="نامعتبر"),"",Sync!$M911)</f>
        <v/>
      </c>
      <c r="O911" t="str">
        <f t="shared" si="101"/>
        <v/>
      </c>
      <c r="P911" t="str">
        <f>IF($N911="","",LEFT($Q911,4)&amp;MID($Q911,6,2)&amp;RIGHT($Q911,2)&amp;IF(Sync!$K911="","0000",IF(AND(ISNUMBER(Sync!$K911),Sync!$K911&gt;=0,Sync!$K911&lt;1),RIGHT("00"&amp;HOUR(Sync!$K911),2)&amp;RIGHT("00"&amp;MINUTE(Sync!$K911),2),IFERROR(RIGHT("00"&amp;VALUE(LEFT(Sync!$K911,FIND(":",Sync!$K911)-1)),2)&amp;RIGHT("00"&amp;VALUE(MID(Sync!$K911,FIND(":",Sync!$K911)+1,2)),2),"0000")))&amp;"|"&amp;"2"&amp;RIGHT("00000"&amp;906,5))</f>
        <v/>
      </c>
      <c r="Q911" t="str">
        <f>IF(Sync!$J911="","",IF(ISNUMBER(Sync!$J911),IF(AND(Sync!$J911&gt;=10000101,Sync!$J911&lt;=99991231),INT(Sync!$J911/10000)&amp;"/"&amp;RIGHT("00"&amp;INT(MOD(Sync!$J911,10000)/100),2)&amp;"/"&amp;RIGHT("00"&amp;MOD(Sync!$J911,100),2),"نامعتبر"),IF(LEN(Sync!$J911)=10,Sync!$J911,"نامعتبر")))</f>
        <v/>
      </c>
      <c r="R911" t="str">
        <f t="shared" si="102"/>
        <v/>
      </c>
      <c r="S911" t="str">
        <f t="shared" si="103"/>
        <v/>
      </c>
      <c r="T911" t="str">
        <f>IF($N911="","",IF(Sync!$N911="",0,Sync!$N911))</f>
        <v/>
      </c>
      <c r="U911" t="str">
        <f>IF($N911="","",IF(Sync!$O911="",0,Sync!$O911))</f>
        <v/>
      </c>
      <c r="V911" t="str">
        <f>IF($N911="","",Sync!$L911)</f>
        <v/>
      </c>
      <c r="W911" t="str">
        <f>IF($N911="","",Sync!$P911)</f>
        <v/>
      </c>
      <c r="AA911" t="str">
        <f>IF($A911="","",IF(COUNTIF($A$6:$A911,$A911)=1,1,0))</f>
        <v/>
      </c>
      <c r="AB911">
        <f>SUM($AA$6:$AA911)</f>
        <v>3</v>
      </c>
      <c r="AC911" t="str">
        <f t="shared" si="104"/>
        <v/>
      </c>
    </row>
    <row r="912" spans="1:29" x14ac:dyDescent="0.2">
      <c r="A912" t="str">
        <f>IF(OR(Entry!$B915="",Entry!$E915="",$E912="نامعتبر"),"",Entry!$E915)</f>
        <v/>
      </c>
      <c r="B912" t="str">
        <f>IF($A912="","",LEFT($E912,4)&amp;MID($E912,6,2)&amp;RIGHT($E912,2)&amp;$F912&amp;"|"&amp;"1"&amp;RIGHT("00000"&amp;907,5))</f>
        <v/>
      </c>
      <c r="C912" t="str">
        <f t="shared" si="98"/>
        <v/>
      </c>
      <c r="D912" t="str">
        <f t="shared" si="99"/>
        <v/>
      </c>
      <c r="E912" t="str">
        <f>IF(Entry!$B915="","",IF(ISNUMBER(Entry!$B915),IF(AND(Entry!$B915&gt;=10000101,Entry!$B915&lt;=99991231),INT(Entry!$B915/10000)&amp;"/"&amp;RIGHT("00"&amp;INT(MOD(Entry!$B915,10000)/100),2)&amp;"/"&amp;RIGHT("00"&amp;MOD(Entry!$B915,100),2),"نامعتبر"),IF(LEN(Entry!$B915)=10,Entry!$B915,"نامعتبر")))</f>
        <v/>
      </c>
      <c r="F912" t="str">
        <f>IF(Entry!$B915="","",IF(Entry!$C915="","0000",IF(AND(ISNUMBER(Entry!$C915),Entry!$C915&gt;=0,Entry!$C915&lt;1),RIGHT("00"&amp;HOUR(Entry!$C915),2)&amp;RIGHT("00"&amp;MINUTE(Entry!$C915),2),IFERROR(RIGHT("00"&amp;VALUE(LEFT(Entry!$C915,FIND(":",Entry!$C915)-1)),2)&amp;RIGHT("00"&amp;VALUE(MID(Entry!$C915,FIND(":",Entry!$C915)+1,2)),2),"0000"))))</f>
        <v/>
      </c>
      <c r="G912" t="str">
        <f>IF($A912="","",Entry!$G915)</f>
        <v/>
      </c>
      <c r="H912" t="str">
        <f>IF($A912="","",IF(Entry!$H915="",0,Entry!$H915))</f>
        <v/>
      </c>
      <c r="I912" t="str">
        <f>IF($A912="","",IF(Entry!$I915="",0,Entry!$I915))</f>
        <v/>
      </c>
      <c r="J912" t="str">
        <f t="shared" si="100"/>
        <v/>
      </c>
      <c r="K912" t="str">
        <f>IF($A912="","",Entry!$D915)</f>
        <v/>
      </c>
      <c r="L912" t="str">
        <f>IF($A912="","",Entry!$L915)</f>
        <v/>
      </c>
      <c r="N912" t="str">
        <f>IF(OR(Sync!$M912="",$Q912="",$Q912="نامعتبر"),"",Sync!$M912)</f>
        <v/>
      </c>
      <c r="O912" t="str">
        <f t="shared" si="101"/>
        <v/>
      </c>
      <c r="P912" t="str">
        <f>IF($N912="","",LEFT($Q912,4)&amp;MID($Q912,6,2)&amp;RIGHT($Q912,2)&amp;IF(Sync!$K912="","0000",IF(AND(ISNUMBER(Sync!$K912),Sync!$K912&gt;=0,Sync!$K912&lt;1),RIGHT("00"&amp;HOUR(Sync!$K912),2)&amp;RIGHT("00"&amp;MINUTE(Sync!$K912),2),IFERROR(RIGHT("00"&amp;VALUE(LEFT(Sync!$K912,FIND(":",Sync!$K912)-1)),2)&amp;RIGHT("00"&amp;VALUE(MID(Sync!$K912,FIND(":",Sync!$K912)+1,2)),2),"0000")))&amp;"|"&amp;"2"&amp;RIGHT("00000"&amp;907,5))</f>
        <v/>
      </c>
      <c r="Q912" t="str">
        <f>IF(Sync!$J912="","",IF(ISNUMBER(Sync!$J912),IF(AND(Sync!$J912&gt;=10000101,Sync!$J912&lt;=99991231),INT(Sync!$J912/10000)&amp;"/"&amp;RIGHT("00"&amp;INT(MOD(Sync!$J912,10000)/100),2)&amp;"/"&amp;RIGHT("00"&amp;MOD(Sync!$J912,100),2),"نامعتبر"),IF(LEN(Sync!$J912)=10,Sync!$J912,"نامعتبر")))</f>
        <v/>
      </c>
      <c r="R912" t="str">
        <f t="shared" si="102"/>
        <v/>
      </c>
      <c r="S912" t="str">
        <f t="shared" si="103"/>
        <v/>
      </c>
      <c r="T912" t="str">
        <f>IF($N912="","",IF(Sync!$N912="",0,Sync!$N912))</f>
        <v/>
      </c>
      <c r="U912" t="str">
        <f>IF($N912="","",IF(Sync!$O912="",0,Sync!$O912))</f>
        <v/>
      </c>
      <c r="V912" t="str">
        <f>IF($N912="","",Sync!$L912)</f>
        <v/>
      </c>
      <c r="W912" t="str">
        <f>IF($N912="","",Sync!$P912)</f>
        <v/>
      </c>
      <c r="AA912" t="str">
        <f>IF($A912="","",IF(COUNTIF($A$6:$A912,$A912)=1,1,0))</f>
        <v/>
      </c>
      <c r="AB912">
        <f>SUM($AA$6:$AA912)</f>
        <v>3</v>
      </c>
      <c r="AC912" t="str">
        <f t="shared" si="104"/>
        <v/>
      </c>
    </row>
    <row r="913" spans="1:29" x14ac:dyDescent="0.2">
      <c r="A913" t="str">
        <f>IF(OR(Entry!$B916="",Entry!$E916="",$E913="نامعتبر"),"",Entry!$E916)</f>
        <v/>
      </c>
      <c r="B913" t="str">
        <f>IF($A913="","",LEFT($E913,4)&amp;MID($E913,6,2)&amp;RIGHT($E913,2)&amp;$F913&amp;"|"&amp;"1"&amp;RIGHT("00000"&amp;908,5))</f>
        <v/>
      </c>
      <c r="C913" t="str">
        <f t="shared" si="98"/>
        <v/>
      </c>
      <c r="D913" t="str">
        <f t="shared" si="99"/>
        <v/>
      </c>
      <c r="E913" t="str">
        <f>IF(Entry!$B916="","",IF(ISNUMBER(Entry!$B916),IF(AND(Entry!$B916&gt;=10000101,Entry!$B916&lt;=99991231),INT(Entry!$B916/10000)&amp;"/"&amp;RIGHT("00"&amp;INT(MOD(Entry!$B916,10000)/100),2)&amp;"/"&amp;RIGHT("00"&amp;MOD(Entry!$B916,100),2),"نامعتبر"),IF(LEN(Entry!$B916)=10,Entry!$B916,"نامعتبر")))</f>
        <v/>
      </c>
      <c r="F913" t="str">
        <f>IF(Entry!$B916="","",IF(Entry!$C916="","0000",IF(AND(ISNUMBER(Entry!$C916),Entry!$C916&gt;=0,Entry!$C916&lt;1),RIGHT("00"&amp;HOUR(Entry!$C916),2)&amp;RIGHT("00"&amp;MINUTE(Entry!$C916),2),IFERROR(RIGHT("00"&amp;VALUE(LEFT(Entry!$C916,FIND(":",Entry!$C916)-1)),2)&amp;RIGHT("00"&amp;VALUE(MID(Entry!$C916,FIND(":",Entry!$C916)+1,2)),2),"0000"))))</f>
        <v/>
      </c>
      <c r="G913" t="str">
        <f>IF($A913="","",Entry!$G916)</f>
        <v/>
      </c>
      <c r="H913" t="str">
        <f>IF($A913="","",IF(Entry!$H916="",0,Entry!$H916))</f>
        <v/>
      </c>
      <c r="I913" t="str">
        <f>IF($A913="","",IF(Entry!$I916="",0,Entry!$I916))</f>
        <v/>
      </c>
      <c r="J913" t="str">
        <f t="shared" si="100"/>
        <v/>
      </c>
      <c r="K913" t="str">
        <f>IF($A913="","",Entry!$D916)</f>
        <v/>
      </c>
      <c r="L913" t="str">
        <f>IF($A913="","",Entry!$L916)</f>
        <v/>
      </c>
      <c r="N913" t="str">
        <f>IF(OR(Sync!$M913="",$Q913="",$Q913="نامعتبر"),"",Sync!$M913)</f>
        <v/>
      </c>
      <c r="O913" t="str">
        <f t="shared" si="101"/>
        <v/>
      </c>
      <c r="P913" t="str">
        <f>IF($N913="","",LEFT($Q913,4)&amp;MID($Q913,6,2)&amp;RIGHT($Q913,2)&amp;IF(Sync!$K913="","0000",IF(AND(ISNUMBER(Sync!$K913),Sync!$K913&gt;=0,Sync!$K913&lt;1),RIGHT("00"&amp;HOUR(Sync!$K913),2)&amp;RIGHT("00"&amp;MINUTE(Sync!$K913),2),IFERROR(RIGHT("00"&amp;VALUE(LEFT(Sync!$K913,FIND(":",Sync!$K913)-1)),2)&amp;RIGHT("00"&amp;VALUE(MID(Sync!$K913,FIND(":",Sync!$K913)+1,2)),2),"0000")))&amp;"|"&amp;"2"&amp;RIGHT("00000"&amp;908,5))</f>
        <v/>
      </c>
      <c r="Q913" t="str">
        <f>IF(Sync!$J913="","",IF(ISNUMBER(Sync!$J913),IF(AND(Sync!$J913&gt;=10000101,Sync!$J913&lt;=99991231),INT(Sync!$J913/10000)&amp;"/"&amp;RIGHT("00"&amp;INT(MOD(Sync!$J913,10000)/100),2)&amp;"/"&amp;RIGHT("00"&amp;MOD(Sync!$J913,100),2),"نامعتبر"),IF(LEN(Sync!$J913)=10,Sync!$J913,"نامعتبر")))</f>
        <v/>
      </c>
      <c r="R913" t="str">
        <f t="shared" si="102"/>
        <v/>
      </c>
      <c r="S913" t="str">
        <f t="shared" si="103"/>
        <v/>
      </c>
      <c r="T913" t="str">
        <f>IF($N913="","",IF(Sync!$N913="",0,Sync!$N913))</f>
        <v/>
      </c>
      <c r="U913" t="str">
        <f>IF($N913="","",IF(Sync!$O913="",0,Sync!$O913))</f>
        <v/>
      </c>
      <c r="V913" t="str">
        <f>IF($N913="","",Sync!$L913)</f>
        <v/>
      </c>
      <c r="W913" t="str">
        <f>IF($N913="","",Sync!$P913)</f>
        <v/>
      </c>
      <c r="AA913" t="str">
        <f>IF($A913="","",IF(COUNTIF($A$6:$A913,$A913)=1,1,0))</f>
        <v/>
      </c>
      <c r="AB913">
        <f>SUM($AA$6:$AA913)</f>
        <v>3</v>
      </c>
      <c r="AC913" t="str">
        <f t="shared" si="104"/>
        <v/>
      </c>
    </row>
    <row r="914" spans="1:29" x14ac:dyDescent="0.2">
      <c r="A914" t="str">
        <f>IF(OR(Entry!$B917="",Entry!$E917="",$E914="نامعتبر"),"",Entry!$E917)</f>
        <v/>
      </c>
      <c r="B914" t="str">
        <f>IF($A914="","",LEFT($E914,4)&amp;MID($E914,6,2)&amp;RIGHT($E914,2)&amp;$F914&amp;"|"&amp;"1"&amp;RIGHT("00000"&amp;909,5))</f>
        <v/>
      </c>
      <c r="C914" t="str">
        <f t="shared" si="98"/>
        <v/>
      </c>
      <c r="D914" t="str">
        <f t="shared" si="99"/>
        <v/>
      </c>
      <c r="E914" t="str">
        <f>IF(Entry!$B917="","",IF(ISNUMBER(Entry!$B917),IF(AND(Entry!$B917&gt;=10000101,Entry!$B917&lt;=99991231),INT(Entry!$B917/10000)&amp;"/"&amp;RIGHT("00"&amp;INT(MOD(Entry!$B917,10000)/100),2)&amp;"/"&amp;RIGHT("00"&amp;MOD(Entry!$B917,100),2),"نامعتبر"),IF(LEN(Entry!$B917)=10,Entry!$B917,"نامعتبر")))</f>
        <v/>
      </c>
      <c r="F914" t="str">
        <f>IF(Entry!$B917="","",IF(Entry!$C917="","0000",IF(AND(ISNUMBER(Entry!$C917),Entry!$C917&gt;=0,Entry!$C917&lt;1),RIGHT("00"&amp;HOUR(Entry!$C917),2)&amp;RIGHT("00"&amp;MINUTE(Entry!$C917),2),IFERROR(RIGHT("00"&amp;VALUE(LEFT(Entry!$C917,FIND(":",Entry!$C917)-1)),2)&amp;RIGHT("00"&amp;VALUE(MID(Entry!$C917,FIND(":",Entry!$C917)+1,2)),2),"0000"))))</f>
        <v/>
      </c>
      <c r="G914" t="str">
        <f>IF($A914="","",Entry!$G917)</f>
        <v/>
      </c>
      <c r="H914" t="str">
        <f>IF($A914="","",IF(Entry!$H917="",0,Entry!$H917))</f>
        <v/>
      </c>
      <c r="I914" t="str">
        <f>IF($A914="","",IF(Entry!$I917="",0,Entry!$I917))</f>
        <v/>
      </c>
      <c r="J914" t="str">
        <f t="shared" si="100"/>
        <v/>
      </c>
      <c r="K914" t="str">
        <f>IF($A914="","",Entry!$D917)</f>
        <v/>
      </c>
      <c r="L914" t="str">
        <f>IF($A914="","",Entry!$L917)</f>
        <v/>
      </c>
      <c r="N914" t="str">
        <f>IF(OR(Sync!$M914="",$Q914="",$Q914="نامعتبر"),"",Sync!$M914)</f>
        <v/>
      </c>
      <c r="O914" t="str">
        <f t="shared" si="101"/>
        <v/>
      </c>
      <c r="P914" t="str">
        <f>IF($N914="","",LEFT($Q914,4)&amp;MID($Q914,6,2)&amp;RIGHT($Q914,2)&amp;IF(Sync!$K914="","0000",IF(AND(ISNUMBER(Sync!$K914),Sync!$K914&gt;=0,Sync!$K914&lt;1),RIGHT("00"&amp;HOUR(Sync!$K914),2)&amp;RIGHT("00"&amp;MINUTE(Sync!$K914),2),IFERROR(RIGHT("00"&amp;VALUE(LEFT(Sync!$K914,FIND(":",Sync!$K914)-1)),2)&amp;RIGHT("00"&amp;VALUE(MID(Sync!$K914,FIND(":",Sync!$K914)+1,2)),2),"0000")))&amp;"|"&amp;"2"&amp;RIGHT("00000"&amp;909,5))</f>
        <v/>
      </c>
      <c r="Q914" t="str">
        <f>IF(Sync!$J914="","",IF(ISNUMBER(Sync!$J914),IF(AND(Sync!$J914&gt;=10000101,Sync!$J914&lt;=99991231),INT(Sync!$J914/10000)&amp;"/"&amp;RIGHT("00"&amp;INT(MOD(Sync!$J914,10000)/100),2)&amp;"/"&amp;RIGHT("00"&amp;MOD(Sync!$J914,100),2),"نامعتبر"),IF(LEN(Sync!$J914)=10,Sync!$J914,"نامعتبر")))</f>
        <v/>
      </c>
      <c r="R914" t="str">
        <f t="shared" si="102"/>
        <v/>
      </c>
      <c r="S914" t="str">
        <f t="shared" si="103"/>
        <v/>
      </c>
      <c r="T914" t="str">
        <f>IF($N914="","",IF(Sync!$N914="",0,Sync!$N914))</f>
        <v/>
      </c>
      <c r="U914" t="str">
        <f>IF($N914="","",IF(Sync!$O914="",0,Sync!$O914))</f>
        <v/>
      </c>
      <c r="V914" t="str">
        <f>IF($N914="","",Sync!$L914)</f>
        <v/>
      </c>
      <c r="W914" t="str">
        <f>IF($N914="","",Sync!$P914)</f>
        <v/>
      </c>
      <c r="AA914" t="str">
        <f>IF($A914="","",IF(COUNTIF($A$6:$A914,$A914)=1,1,0))</f>
        <v/>
      </c>
      <c r="AB914">
        <f>SUM($AA$6:$AA914)</f>
        <v>3</v>
      </c>
      <c r="AC914" t="str">
        <f t="shared" si="104"/>
        <v/>
      </c>
    </row>
    <row r="915" spans="1:29" x14ac:dyDescent="0.2">
      <c r="A915" t="str">
        <f>IF(OR(Entry!$B918="",Entry!$E918="",$E915="نامعتبر"),"",Entry!$E918)</f>
        <v/>
      </c>
      <c r="B915" t="str">
        <f>IF($A915="","",LEFT($E915,4)&amp;MID($E915,6,2)&amp;RIGHT($E915,2)&amp;$F915&amp;"|"&amp;"1"&amp;RIGHT("00000"&amp;910,5))</f>
        <v/>
      </c>
      <c r="C915" t="str">
        <f t="shared" si="98"/>
        <v/>
      </c>
      <c r="D915" t="str">
        <f t="shared" si="99"/>
        <v/>
      </c>
      <c r="E915" t="str">
        <f>IF(Entry!$B918="","",IF(ISNUMBER(Entry!$B918),IF(AND(Entry!$B918&gt;=10000101,Entry!$B918&lt;=99991231),INT(Entry!$B918/10000)&amp;"/"&amp;RIGHT("00"&amp;INT(MOD(Entry!$B918,10000)/100),2)&amp;"/"&amp;RIGHT("00"&amp;MOD(Entry!$B918,100),2),"نامعتبر"),IF(LEN(Entry!$B918)=10,Entry!$B918,"نامعتبر")))</f>
        <v/>
      </c>
      <c r="F915" t="str">
        <f>IF(Entry!$B918="","",IF(Entry!$C918="","0000",IF(AND(ISNUMBER(Entry!$C918),Entry!$C918&gt;=0,Entry!$C918&lt;1),RIGHT("00"&amp;HOUR(Entry!$C918),2)&amp;RIGHT("00"&amp;MINUTE(Entry!$C918),2),IFERROR(RIGHT("00"&amp;VALUE(LEFT(Entry!$C918,FIND(":",Entry!$C918)-1)),2)&amp;RIGHT("00"&amp;VALUE(MID(Entry!$C918,FIND(":",Entry!$C918)+1,2)),2),"0000"))))</f>
        <v/>
      </c>
      <c r="G915" t="str">
        <f>IF($A915="","",Entry!$G918)</f>
        <v/>
      </c>
      <c r="H915" t="str">
        <f>IF($A915="","",IF(Entry!$H918="",0,Entry!$H918))</f>
        <v/>
      </c>
      <c r="I915" t="str">
        <f>IF($A915="","",IF(Entry!$I918="",0,Entry!$I918))</f>
        <v/>
      </c>
      <c r="J915" t="str">
        <f t="shared" si="100"/>
        <v/>
      </c>
      <c r="K915" t="str">
        <f>IF($A915="","",Entry!$D918)</f>
        <v/>
      </c>
      <c r="L915" t="str">
        <f>IF($A915="","",Entry!$L918)</f>
        <v/>
      </c>
      <c r="N915" t="str">
        <f>IF(OR(Sync!$M915="",$Q915="",$Q915="نامعتبر"),"",Sync!$M915)</f>
        <v/>
      </c>
      <c r="O915" t="str">
        <f t="shared" si="101"/>
        <v/>
      </c>
      <c r="P915" t="str">
        <f>IF($N915="","",LEFT($Q915,4)&amp;MID($Q915,6,2)&amp;RIGHT($Q915,2)&amp;IF(Sync!$K915="","0000",IF(AND(ISNUMBER(Sync!$K915),Sync!$K915&gt;=0,Sync!$K915&lt;1),RIGHT("00"&amp;HOUR(Sync!$K915),2)&amp;RIGHT("00"&amp;MINUTE(Sync!$K915),2),IFERROR(RIGHT("00"&amp;VALUE(LEFT(Sync!$K915,FIND(":",Sync!$K915)-1)),2)&amp;RIGHT("00"&amp;VALUE(MID(Sync!$K915,FIND(":",Sync!$K915)+1,2)),2),"0000")))&amp;"|"&amp;"2"&amp;RIGHT("00000"&amp;910,5))</f>
        <v/>
      </c>
      <c r="Q915" t="str">
        <f>IF(Sync!$J915="","",IF(ISNUMBER(Sync!$J915),IF(AND(Sync!$J915&gt;=10000101,Sync!$J915&lt;=99991231),INT(Sync!$J915/10000)&amp;"/"&amp;RIGHT("00"&amp;INT(MOD(Sync!$J915,10000)/100),2)&amp;"/"&amp;RIGHT("00"&amp;MOD(Sync!$J915,100),2),"نامعتبر"),IF(LEN(Sync!$J915)=10,Sync!$J915,"نامعتبر")))</f>
        <v/>
      </c>
      <c r="R915" t="str">
        <f t="shared" si="102"/>
        <v/>
      </c>
      <c r="S915" t="str">
        <f t="shared" si="103"/>
        <v/>
      </c>
      <c r="T915" t="str">
        <f>IF($N915="","",IF(Sync!$N915="",0,Sync!$N915))</f>
        <v/>
      </c>
      <c r="U915" t="str">
        <f>IF($N915="","",IF(Sync!$O915="",0,Sync!$O915))</f>
        <v/>
      </c>
      <c r="V915" t="str">
        <f>IF($N915="","",Sync!$L915)</f>
        <v/>
      </c>
      <c r="W915" t="str">
        <f>IF($N915="","",Sync!$P915)</f>
        <v/>
      </c>
      <c r="AA915" t="str">
        <f>IF($A915="","",IF(COUNTIF($A$6:$A915,$A915)=1,1,0))</f>
        <v/>
      </c>
      <c r="AB915">
        <f>SUM($AA$6:$AA915)</f>
        <v>3</v>
      </c>
      <c r="AC915" t="str">
        <f t="shared" si="104"/>
        <v/>
      </c>
    </row>
    <row r="916" spans="1:29" x14ac:dyDescent="0.2">
      <c r="A916" t="str">
        <f>IF(OR(Entry!$B919="",Entry!$E919="",$E916="نامعتبر"),"",Entry!$E919)</f>
        <v/>
      </c>
      <c r="B916" t="str">
        <f>IF($A916="","",LEFT($E916,4)&amp;MID($E916,6,2)&amp;RIGHT($E916,2)&amp;$F916&amp;"|"&amp;"1"&amp;RIGHT("00000"&amp;911,5))</f>
        <v/>
      </c>
      <c r="C916" t="str">
        <f t="shared" si="98"/>
        <v/>
      </c>
      <c r="D916" t="str">
        <f t="shared" si="99"/>
        <v/>
      </c>
      <c r="E916" t="str">
        <f>IF(Entry!$B919="","",IF(ISNUMBER(Entry!$B919),IF(AND(Entry!$B919&gt;=10000101,Entry!$B919&lt;=99991231),INT(Entry!$B919/10000)&amp;"/"&amp;RIGHT("00"&amp;INT(MOD(Entry!$B919,10000)/100),2)&amp;"/"&amp;RIGHT("00"&amp;MOD(Entry!$B919,100),2),"نامعتبر"),IF(LEN(Entry!$B919)=10,Entry!$B919,"نامعتبر")))</f>
        <v/>
      </c>
      <c r="F916" t="str">
        <f>IF(Entry!$B919="","",IF(Entry!$C919="","0000",IF(AND(ISNUMBER(Entry!$C919),Entry!$C919&gt;=0,Entry!$C919&lt;1),RIGHT("00"&amp;HOUR(Entry!$C919),2)&amp;RIGHT("00"&amp;MINUTE(Entry!$C919),2),IFERROR(RIGHT("00"&amp;VALUE(LEFT(Entry!$C919,FIND(":",Entry!$C919)-1)),2)&amp;RIGHT("00"&amp;VALUE(MID(Entry!$C919,FIND(":",Entry!$C919)+1,2)),2),"0000"))))</f>
        <v/>
      </c>
      <c r="G916" t="str">
        <f>IF($A916="","",Entry!$G919)</f>
        <v/>
      </c>
      <c r="H916" t="str">
        <f>IF($A916="","",IF(Entry!$H919="",0,Entry!$H919))</f>
        <v/>
      </c>
      <c r="I916" t="str">
        <f>IF($A916="","",IF(Entry!$I919="",0,Entry!$I919))</f>
        <v/>
      </c>
      <c r="J916" t="str">
        <f t="shared" si="100"/>
        <v/>
      </c>
      <c r="K916" t="str">
        <f>IF($A916="","",Entry!$D919)</f>
        <v/>
      </c>
      <c r="L916" t="str">
        <f>IF($A916="","",Entry!$L919)</f>
        <v/>
      </c>
      <c r="N916" t="str">
        <f>IF(OR(Sync!$M916="",$Q916="",$Q916="نامعتبر"),"",Sync!$M916)</f>
        <v/>
      </c>
      <c r="O916" t="str">
        <f t="shared" si="101"/>
        <v/>
      </c>
      <c r="P916" t="str">
        <f>IF($N916="","",LEFT($Q916,4)&amp;MID($Q916,6,2)&amp;RIGHT($Q916,2)&amp;IF(Sync!$K916="","0000",IF(AND(ISNUMBER(Sync!$K916),Sync!$K916&gt;=0,Sync!$K916&lt;1),RIGHT("00"&amp;HOUR(Sync!$K916),2)&amp;RIGHT("00"&amp;MINUTE(Sync!$K916),2),IFERROR(RIGHT("00"&amp;VALUE(LEFT(Sync!$K916,FIND(":",Sync!$K916)-1)),2)&amp;RIGHT("00"&amp;VALUE(MID(Sync!$K916,FIND(":",Sync!$K916)+1,2)),2),"0000")))&amp;"|"&amp;"2"&amp;RIGHT("00000"&amp;911,5))</f>
        <v/>
      </c>
      <c r="Q916" t="str">
        <f>IF(Sync!$J916="","",IF(ISNUMBER(Sync!$J916),IF(AND(Sync!$J916&gt;=10000101,Sync!$J916&lt;=99991231),INT(Sync!$J916/10000)&amp;"/"&amp;RIGHT("00"&amp;INT(MOD(Sync!$J916,10000)/100),2)&amp;"/"&amp;RIGHT("00"&amp;MOD(Sync!$J916,100),2),"نامعتبر"),IF(LEN(Sync!$J916)=10,Sync!$J916,"نامعتبر")))</f>
        <v/>
      </c>
      <c r="R916" t="str">
        <f t="shared" si="102"/>
        <v/>
      </c>
      <c r="S916" t="str">
        <f t="shared" si="103"/>
        <v/>
      </c>
      <c r="T916" t="str">
        <f>IF($N916="","",IF(Sync!$N916="",0,Sync!$N916))</f>
        <v/>
      </c>
      <c r="U916" t="str">
        <f>IF($N916="","",IF(Sync!$O916="",0,Sync!$O916))</f>
        <v/>
      </c>
      <c r="V916" t="str">
        <f>IF($N916="","",Sync!$L916)</f>
        <v/>
      </c>
      <c r="W916" t="str">
        <f>IF($N916="","",Sync!$P916)</f>
        <v/>
      </c>
      <c r="AA916" t="str">
        <f>IF($A916="","",IF(COUNTIF($A$6:$A916,$A916)=1,1,0))</f>
        <v/>
      </c>
      <c r="AB916">
        <f>SUM($AA$6:$AA916)</f>
        <v>3</v>
      </c>
      <c r="AC916" t="str">
        <f t="shared" si="104"/>
        <v/>
      </c>
    </row>
    <row r="917" spans="1:29" x14ac:dyDescent="0.2">
      <c r="A917" t="str">
        <f>IF(OR(Entry!$B920="",Entry!$E920="",$E917="نامعتبر"),"",Entry!$E920)</f>
        <v/>
      </c>
      <c r="B917" t="str">
        <f>IF($A917="","",LEFT($E917,4)&amp;MID($E917,6,2)&amp;RIGHT($E917,2)&amp;$F917&amp;"|"&amp;"1"&amp;RIGHT("00000"&amp;912,5))</f>
        <v/>
      </c>
      <c r="C917" t="str">
        <f t="shared" si="98"/>
        <v/>
      </c>
      <c r="D917" t="str">
        <f t="shared" si="99"/>
        <v/>
      </c>
      <c r="E917" t="str">
        <f>IF(Entry!$B920="","",IF(ISNUMBER(Entry!$B920),IF(AND(Entry!$B920&gt;=10000101,Entry!$B920&lt;=99991231),INT(Entry!$B920/10000)&amp;"/"&amp;RIGHT("00"&amp;INT(MOD(Entry!$B920,10000)/100),2)&amp;"/"&amp;RIGHT("00"&amp;MOD(Entry!$B920,100),2),"نامعتبر"),IF(LEN(Entry!$B920)=10,Entry!$B920,"نامعتبر")))</f>
        <v/>
      </c>
      <c r="F917" t="str">
        <f>IF(Entry!$B920="","",IF(Entry!$C920="","0000",IF(AND(ISNUMBER(Entry!$C920),Entry!$C920&gt;=0,Entry!$C920&lt;1),RIGHT("00"&amp;HOUR(Entry!$C920),2)&amp;RIGHT("00"&amp;MINUTE(Entry!$C920),2),IFERROR(RIGHT("00"&amp;VALUE(LEFT(Entry!$C920,FIND(":",Entry!$C920)-1)),2)&amp;RIGHT("00"&amp;VALUE(MID(Entry!$C920,FIND(":",Entry!$C920)+1,2)),2),"0000"))))</f>
        <v/>
      </c>
      <c r="G917" t="str">
        <f>IF($A917="","",Entry!$G920)</f>
        <v/>
      </c>
      <c r="H917" t="str">
        <f>IF($A917="","",IF(Entry!$H920="",0,Entry!$H920))</f>
        <v/>
      </c>
      <c r="I917" t="str">
        <f>IF($A917="","",IF(Entry!$I920="",0,Entry!$I920))</f>
        <v/>
      </c>
      <c r="J917" t="str">
        <f t="shared" si="100"/>
        <v/>
      </c>
      <c r="K917" t="str">
        <f>IF($A917="","",Entry!$D920)</f>
        <v/>
      </c>
      <c r="L917" t="str">
        <f>IF($A917="","",Entry!$L920)</f>
        <v/>
      </c>
      <c r="N917" t="str">
        <f>IF(OR(Sync!$M917="",$Q917="",$Q917="نامعتبر"),"",Sync!$M917)</f>
        <v/>
      </c>
      <c r="O917" t="str">
        <f t="shared" si="101"/>
        <v/>
      </c>
      <c r="P917" t="str">
        <f>IF($N917="","",LEFT($Q917,4)&amp;MID($Q917,6,2)&amp;RIGHT($Q917,2)&amp;IF(Sync!$K917="","0000",IF(AND(ISNUMBER(Sync!$K917),Sync!$K917&gt;=0,Sync!$K917&lt;1),RIGHT("00"&amp;HOUR(Sync!$K917),2)&amp;RIGHT("00"&amp;MINUTE(Sync!$K917),2),IFERROR(RIGHT("00"&amp;VALUE(LEFT(Sync!$K917,FIND(":",Sync!$K917)-1)),2)&amp;RIGHT("00"&amp;VALUE(MID(Sync!$K917,FIND(":",Sync!$K917)+1,2)),2),"0000")))&amp;"|"&amp;"2"&amp;RIGHT("00000"&amp;912,5))</f>
        <v/>
      </c>
      <c r="Q917" t="str">
        <f>IF(Sync!$J917="","",IF(ISNUMBER(Sync!$J917),IF(AND(Sync!$J917&gt;=10000101,Sync!$J917&lt;=99991231),INT(Sync!$J917/10000)&amp;"/"&amp;RIGHT("00"&amp;INT(MOD(Sync!$J917,10000)/100),2)&amp;"/"&amp;RIGHT("00"&amp;MOD(Sync!$J917,100),2),"نامعتبر"),IF(LEN(Sync!$J917)=10,Sync!$J917,"نامعتبر")))</f>
        <v/>
      </c>
      <c r="R917" t="str">
        <f t="shared" si="102"/>
        <v/>
      </c>
      <c r="S917" t="str">
        <f t="shared" si="103"/>
        <v/>
      </c>
      <c r="T917" t="str">
        <f>IF($N917="","",IF(Sync!$N917="",0,Sync!$N917))</f>
        <v/>
      </c>
      <c r="U917" t="str">
        <f>IF($N917="","",IF(Sync!$O917="",0,Sync!$O917))</f>
        <v/>
      </c>
      <c r="V917" t="str">
        <f>IF($N917="","",Sync!$L917)</f>
        <v/>
      </c>
      <c r="W917" t="str">
        <f>IF($N917="","",Sync!$P917)</f>
        <v/>
      </c>
      <c r="AA917" t="str">
        <f>IF($A917="","",IF(COUNTIF($A$6:$A917,$A917)=1,1,0))</f>
        <v/>
      </c>
      <c r="AB917">
        <f>SUM($AA$6:$AA917)</f>
        <v>3</v>
      </c>
      <c r="AC917" t="str">
        <f t="shared" si="104"/>
        <v/>
      </c>
    </row>
    <row r="918" spans="1:29" x14ac:dyDescent="0.2">
      <c r="A918" t="str">
        <f>IF(OR(Entry!$B921="",Entry!$E921="",$E918="نامعتبر"),"",Entry!$E921)</f>
        <v/>
      </c>
      <c r="B918" t="str">
        <f>IF($A918="","",LEFT($E918,4)&amp;MID($E918,6,2)&amp;RIGHT($E918,2)&amp;$F918&amp;"|"&amp;"1"&amp;RIGHT("00000"&amp;913,5))</f>
        <v/>
      </c>
      <c r="C918" t="str">
        <f t="shared" si="98"/>
        <v/>
      </c>
      <c r="D918" t="str">
        <f t="shared" si="99"/>
        <v/>
      </c>
      <c r="E918" t="str">
        <f>IF(Entry!$B921="","",IF(ISNUMBER(Entry!$B921),IF(AND(Entry!$B921&gt;=10000101,Entry!$B921&lt;=99991231),INT(Entry!$B921/10000)&amp;"/"&amp;RIGHT("00"&amp;INT(MOD(Entry!$B921,10000)/100),2)&amp;"/"&amp;RIGHT("00"&amp;MOD(Entry!$B921,100),2),"نامعتبر"),IF(LEN(Entry!$B921)=10,Entry!$B921,"نامعتبر")))</f>
        <v/>
      </c>
      <c r="F918" t="str">
        <f>IF(Entry!$B921="","",IF(Entry!$C921="","0000",IF(AND(ISNUMBER(Entry!$C921),Entry!$C921&gt;=0,Entry!$C921&lt;1),RIGHT("00"&amp;HOUR(Entry!$C921),2)&amp;RIGHT("00"&amp;MINUTE(Entry!$C921),2),IFERROR(RIGHT("00"&amp;VALUE(LEFT(Entry!$C921,FIND(":",Entry!$C921)-1)),2)&amp;RIGHT("00"&amp;VALUE(MID(Entry!$C921,FIND(":",Entry!$C921)+1,2)),2),"0000"))))</f>
        <v/>
      </c>
      <c r="G918" t="str">
        <f>IF($A918="","",Entry!$G921)</f>
        <v/>
      </c>
      <c r="H918" t="str">
        <f>IF($A918="","",IF(Entry!$H921="",0,Entry!$H921))</f>
        <v/>
      </c>
      <c r="I918" t="str">
        <f>IF($A918="","",IF(Entry!$I921="",0,Entry!$I921))</f>
        <v/>
      </c>
      <c r="J918" t="str">
        <f t="shared" si="100"/>
        <v/>
      </c>
      <c r="K918" t="str">
        <f>IF($A918="","",Entry!$D921)</f>
        <v/>
      </c>
      <c r="L918" t="str">
        <f>IF($A918="","",Entry!$L921)</f>
        <v/>
      </c>
      <c r="N918" t="str">
        <f>IF(OR(Sync!$M918="",$Q918="",$Q918="نامعتبر"),"",Sync!$M918)</f>
        <v/>
      </c>
      <c r="O918" t="str">
        <f t="shared" si="101"/>
        <v/>
      </c>
      <c r="P918" t="str">
        <f>IF($N918="","",LEFT($Q918,4)&amp;MID($Q918,6,2)&amp;RIGHT($Q918,2)&amp;IF(Sync!$K918="","0000",IF(AND(ISNUMBER(Sync!$K918),Sync!$K918&gt;=0,Sync!$K918&lt;1),RIGHT("00"&amp;HOUR(Sync!$K918),2)&amp;RIGHT("00"&amp;MINUTE(Sync!$K918),2),IFERROR(RIGHT("00"&amp;VALUE(LEFT(Sync!$K918,FIND(":",Sync!$K918)-1)),2)&amp;RIGHT("00"&amp;VALUE(MID(Sync!$K918,FIND(":",Sync!$K918)+1,2)),2),"0000")))&amp;"|"&amp;"2"&amp;RIGHT("00000"&amp;913,5))</f>
        <v/>
      </c>
      <c r="Q918" t="str">
        <f>IF(Sync!$J918="","",IF(ISNUMBER(Sync!$J918),IF(AND(Sync!$J918&gt;=10000101,Sync!$J918&lt;=99991231),INT(Sync!$J918/10000)&amp;"/"&amp;RIGHT("00"&amp;INT(MOD(Sync!$J918,10000)/100),2)&amp;"/"&amp;RIGHT("00"&amp;MOD(Sync!$J918,100),2),"نامعتبر"),IF(LEN(Sync!$J918)=10,Sync!$J918,"نامعتبر")))</f>
        <v/>
      </c>
      <c r="R918" t="str">
        <f t="shared" si="102"/>
        <v/>
      </c>
      <c r="S918" t="str">
        <f t="shared" si="103"/>
        <v/>
      </c>
      <c r="T918" t="str">
        <f>IF($N918="","",IF(Sync!$N918="",0,Sync!$N918))</f>
        <v/>
      </c>
      <c r="U918" t="str">
        <f>IF($N918="","",IF(Sync!$O918="",0,Sync!$O918))</f>
        <v/>
      </c>
      <c r="V918" t="str">
        <f>IF($N918="","",Sync!$L918)</f>
        <v/>
      </c>
      <c r="W918" t="str">
        <f>IF($N918="","",Sync!$P918)</f>
        <v/>
      </c>
      <c r="AA918" t="str">
        <f>IF($A918="","",IF(COUNTIF($A$6:$A918,$A918)=1,1,0))</f>
        <v/>
      </c>
      <c r="AB918">
        <f>SUM($AA$6:$AA918)</f>
        <v>3</v>
      </c>
      <c r="AC918" t="str">
        <f t="shared" si="104"/>
        <v/>
      </c>
    </row>
    <row r="919" spans="1:29" x14ac:dyDescent="0.2">
      <c r="A919" t="str">
        <f>IF(OR(Entry!$B922="",Entry!$E922="",$E919="نامعتبر"),"",Entry!$E922)</f>
        <v/>
      </c>
      <c r="B919" t="str">
        <f>IF($A919="","",LEFT($E919,4)&amp;MID($E919,6,2)&amp;RIGHT($E919,2)&amp;$F919&amp;"|"&amp;"1"&amp;RIGHT("00000"&amp;914,5))</f>
        <v/>
      </c>
      <c r="C919" t="str">
        <f t="shared" si="98"/>
        <v/>
      </c>
      <c r="D919" t="str">
        <f t="shared" si="99"/>
        <v/>
      </c>
      <c r="E919" t="str">
        <f>IF(Entry!$B922="","",IF(ISNUMBER(Entry!$B922),IF(AND(Entry!$B922&gt;=10000101,Entry!$B922&lt;=99991231),INT(Entry!$B922/10000)&amp;"/"&amp;RIGHT("00"&amp;INT(MOD(Entry!$B922,10000)/100),2)&amp;"/"&amp;RIGHT("00"&amp;MOD(Entry!$B922,100),2),"نامعتبر"),IF(LEN(Entry!$B922)=10,Entry!$B922,"نامعتبر")))</f>
        <v/>
      </c>
      <c r="F919" t="str">
        <f>IF(Entry!$B922="","",IF(Entry!$C922="","0000",IF(AND(ISNUMBER(Entry!$C922),Entry!$C922&gt;=0,Entry!$C922&lt;1),RIGHT("00"&amp;HOUR(Entry!$C922),2)&amp;RIGHT("00"&amp;MINUTE(Entry!$C922),2),IFERROR(RIGHT("00"&amp;VALUE(LEFT(Entry!$C922,FIND(":",Entry!$C922)-1)),2)&amp;RIGHT("00"&amp;VALUE(MID(Entry!$C922,FIND(":",Entry!$C922)+1,2)),2),"0000"))))</f>
        <v/>
      </c>
      <c r="G919" t="str">
        <f>IF($A919="","",Entry!$G922)</f>
        <v/>
      </c>
      <c r="H919" t="str">
        <f>IF($A919="","",IF(Entry!$H922="",0,Entry!$H922))</f>
        <v/>
      </c>
      <c r="I919" t="str">
        <f>IF($A919="","",IF(Entry!$I922="",0,Entry!$I922))</f>
        <v/>
      </c>
      <c r="J919" t="str">
        <f t="shared" si="100"/>
        <v/>
      </c>
      <c r="K919" t="str">
        <f>IF($A919="","",Entry!$D922)</f>
        <v/>
      </c>
      <c r="L919" t="str">
        <f>IF($A919="","",Entry!$L922)</f>
        <v/>
      </c>
      <c r="N919" t="str">
        <f>IF(OR(Sync!$M919="",$Q919="",$Q919="نامعتبر"),"",Sync!$M919)</f>
        <v/>
      </c>
      <c r="O919" t="str">
        <f t="shared" si="101"/>
        <v/>
      </c>
      <c r="P919" t="str">
        <f>IF($N919="","",LEFT($Q919,4)&amp;MID($Q919,6,2)&amp;RIGHT($Q919,2)&amp;IF(Sync!$K919="","0000",IF(AND(ISNUMBER(Sync!$K919),Sync!$K919&gt;=0,Sync!$K919&lt;1),RIGHT("00"&amp;HOUR(Sync!$K919),2)&amp;RIGHT("00"&amp;MINUTE(Sync!$K919),2),IFERROR(RIGHT("00"&amp;VALUE(LEFT(Sync!$K919,FIND(":",Sync!$K919)-1)),2)&amp;RIGHT("00"&amp;VALUE(MID(Sync!$K919,FIND(":",Sync!$K919)+1,2)),2),"0000")))&amp;"|"&amp;"2"&amp;RIGHT("00000"&amp;914,5))</f>
        <v/>
      </c>
      <c r="Q919" t="str">
        <f>IF(Sync!$J919="","",IF(ISNUMBER(Sync!$J919),IF(AND(Sync!$J919&gt;=10000101,Sync!$J919&lt;=99991231),INT(Sync!$J919/10000)&amp;"/"&amp;RIGHT("00"&amp;INT(MOD(Sync!$J919,10000)/100),2)&amp;"/"&amp;RIGHT("00"&amp;MOD(Sync!$J919,100),2),"نامعتبر"),IF(LEN(Sync!$J919)=10,Sync!$J919,"نامعتبر")))</f>
        <v/>
      </c>
      <c r="R919" t="str">
        <f t="shared" si="102"/>
        <v/>
      </c>
      <c r="S919" t="str">
        <f t="shared" si="103"/>
        <v/>
      </c>
      <c r="T919" t="str">
        <f>IF($N919="","",IF(Sync!$N919="",0,Sync!$N919))</f>
        <v/>
      </c>
      <c r="U919" t="str">
        <f>IF($N919="","",IF(Sync!$O919="",0,Sync!$O919))</f>
        <v/>
      </c>
      <c r="V919" t="str">
        <f>IF($N919="","",Sync!$L919)</f>
        <v/>
      </c>
      <c r="W919" t="str">
        <f>IF($N919="","",Sync!$P919)</f>
        <v/>
      </c>
      <c r="AA919" t="str">
        <f>IF($A919="","",IF(COUNTIF($A$6:$A919,$A919)=1,1,0))</f>
        <v/>
      </c>
      <c r="AB919">
        <f>SUM($AA$6:$AA919)</f>
        <v>3</v>
      </c>
      <c r="AC919" t="str">
        <f t="shared" si="104"/>
        <v/>
      </c>
    </row>
    <row r="920" spans="1:29" x14ac:dyDescent="0.2">
      <c r="A920" t="str">
        <f>IF(OR(Entry!$B923="",Entry!$E923="",$E920="نامعتبر"),"",Entry!$E923)</f>
        <v/>
      </c>
      <c r="B920" t="str">
        <f>IF($A920="","",LEFT($E920,4)&amp;MID($E920,6,2)&amp;RIGHT($E920,2)&amp;$F920&amp;"|"&amp;"1"&amp;RIGHT("00000"&amp;915,5))</f>
        <v/>
      </c>
      <c r="C920" t="str">
        <f t="shared" si="98"/>
        <v/>
      </c>
      <c r="D920" t="str">
        <f t="shared" si="99"/>
        <v/>
      </c>
      <c r="E920" t="str">
        <f>IF(Entry!$B923="","",IF(ISNUMBER(Entry!$B923),IF(AND(Entry!$B923&gt;=10000101,Entry!$B923&lt;=99991231),INT(Entry!$B923/10000)&amp;"/"&amp;RIGHT("00"&amp;INT(MOD(Entry!$B923,10000)/100),2)&amp;"/"&amp;RIGHT("00"&amp;MOD(Entry!$B923,100),2),"نامعتبر"),IF(LEN(Entry!$B923)=10,Entry!$B923,"نامعتبر")))</f>
        <v/>
      </c>
      <c r="F920" t="str">
        <f>IF(Entry!$B923="","",IF(Entry!$C923="","0000",IF(AND(ISNUMBER(Entry!$C923),Entry!$C923&gt;=0,Entry!$C923&lt;1),RIGHT("00"&amp;HOUR(Entry!$C923),2)&amp;RIGHT("00"&amp;MINUTE(Entry!$C923),2),IFERROR(RIGHT("00"&amp;VALUE(LEFT(Entry!$C923,FIND(":",Entry!$C923)-1)),2)&amp;RIGHT("00"&amp;VALUE(MID(Entry!$C923,FIND(":",Entry!$C923)+1,2)),2),"0000"))))</f>
        <v/>
      </c>
      <c r="G920" t="str">
        <f>IF($A920="","",Entry!$G923)</f>
        <v/>
      </c>
      <c r="H920" t="str">
        <f>IF($A920="","",IF(Entry!$H923="",0,Entry!$H923))</f>
        <v/>
      </c>
      <c r="I920" t="str">
        <f>IF($A920="","",IF(Entry!$I923="",0,Entry!$I923))</f>
        <v/>
      </c>
      <c r="J920" t="str">
        <f t="shared" si="100"/>
        <v/>
      </c>
      <c r="K920" t="str">
        <f>IF($A920="","",Entry!$D923)</f>
        <v/>
      </c>
      <c r="L920" t="str">
        <f>IF($A920="","",Entry!$L923)</f>
        <v/>
      </c>
      <c r="N920" t="str">
        <f>IF(OR(Sync!$M920="",$Q920="",$Q920="نامعتبر"),"",Sync!$M920)</f>
        <v/>
      </c>
      <c r="O920" t="str">
        <f t="shared" si="101"/>
        <v/>
      </c>
      <c r="P920" t="str">
        <f>IF($N920="","",LEFT($Q920,4)&amp;MID($Q920,6,2)&amp;RIGHT($Q920,2)&amp;IF(Sync!$K920="","0000",IF(AND(ISNUMBER(Sync!$K920),Sync!$K920&gt;=0,Sync!$K920&lt;1),RIGHT("00"&amp;HOUR(Sync!$K920),2)&amp;RIGHT("00"&amp;MINUTE(Sync!$K920),2),IFERROR(RIGHT("00"&amp;VALUE(LEFT(Sync!$K920,FIND(":",Sync!$K920)-1)),2)&amp;RIGHT("00"&amp;VALUE(MID(Sync!$K920,FIND(":",Sync!$K920)+1,2)),2),"0000")))&amp;"|"&amp;"2"&amp;RIGHT("00000"&amp;915,5))</f>
        <v/>
      </c>
      <c r="Q920" t="str">
        <f>IF(Sync!$J920="","",IF(ISNUMBER(Sync!$J920),IF(AND(Sync!$J920&gt;=10000101,Sync!$J920&lt;=99991231),INT(Sync!$J920/10000)&amp;"/"&amp;RIGHT("00"&amp;INT(MOD(Sync!$J920,10000)/100),2)&amp;"/"&amp;RIGHT("00"&amp;MOD(Sync!$J920,100),2),"نامعتبر"),IF(LEN(Sync!$J920)=10,Sync!$J920,"نامعتبر")))</f>
        <v/>
      </c>
      <c r="R920" t="str">
        <f t="shared" si="102"/>
        <v/>
      </c>
      <c r="S920" t="str">
        <f t="shared" si="103"/>
        <v/>
      </c>
      <c r="T920" t="str">
        <f>IF($N920="","",IF(Sync!$N920="",0,Sync!$N920))</f>
        <v/>
      </c>
      <c r="U920" t="str">
        <f>IF($N920="","",IF(Sync!$O920="",0,Sync!$O920))</f>
        <v/>
      </c>
      <c r="V920" t="str">
        <f>IF($N920="","",Sync!$L920)</f>
        <v/>
      </c>
      <c r="W920" t="str">
        <f>IF($N920="","",Sync!$P920)</f>
        <v/>
      </c>
      <c r="AA920" t="str">
        <f>IF($A920="","",IF(COUNTIF($A$6:$A920,$A920)=1,1,0))</f>
        <v/>
      </c>
      <c r="AB920">
        <f>SUM($AA$6:$AA920)</f>
        <v>3</v>
      </c>
      <c r="AC920" t="str">
        <f t="shared" si="104"/>
        <v/>
      </c>
    </row>
    <row r="921" spans="1:29" x14ac:dyDescent="0.2">
      <c r="A921" t="str">
        <f>IF(OR(Entry!$B924="",Entry!$E924="",$E921="نامعتبر"),"",Entry!$E924)</f>
        <v/>
      </c>
      <c r="B921" t="str">
        <f>IF($A921="","",LEFT($E921,4)&amp;MID($E921,6,2)&amp;RIGHT($E921,2)&amp;$F921&amp;"|"&amp;"1"&amp;RIGHT("00000"&amp;916,5))</f>
        <v/>
      </c>
      <c r="C921" t="str">
        <f t="shared" si="98"/>
        <v/>
      </c>
      <c r="D921" t="str">
        <f t="shared" si="99"/>
        <v/>
      </c>
      <c r="E921" t="str">
        <f>IF(Entry!$B924="","",IF(ISNUMBER(Entry!$B924),IF(AND(Entry!$B924&gt;=10000101,Entry!$B924&lt;=99991231),INT(Entry!$B924/10000)&amp;"/"&amp;RIGHT("00"&amp;INT(MOD(Entry!$B924,10000)/100),2)&amp;"/"&amp;RIGHT("00"&amp;MOD(Entry!$B924,100),2),"نامعتبر"),IF(LEN(Entry!$B924)=10,Entry!$B924,"نامعتبر")))</f>
        <v/>
      </c>
      <c r="F921" t="str">
        <f>IF(Entry!$B924="","",IF(Entry!$C924="","0000",IF(AND(ISNUMBER(Entry!$C924),Entry!$C924&gt;=0,Entry!$C924&lt;1),RIGHT("00"&amp;HOUR(Entry!$C924),2)&amp;RIGHT("00"&amp;MINUTE(Entry!$C924),2),IFERROR(RIGHT("00"&amp;VALUE(LEFT(Entry!$C924,FIND(":",Entry!$C924)-1)),2)&amp;RIGHT("00"&amp;VALUE(MID(Entry!$C924,FIND(":",Entry!$C924)+1,2)),2),"0000"))))</f>
        <v/>
      </c>
      <c r="G921" t="str">
        <f>IF($A921="","",Entry!$G924)</f>
        <v/>
      </c>
      <c r="H921" t="str">
        <f>IF($A921="","",IF(Entry!$H924="",0,Entry!$H924))</f>
        <v/>
      </c>
      <c r="I921" t="str">
        <f>IF($A921="","",IF(Entry!$I924="",0,Entry!$I924))</f>
        <v/>
      </c>
      <c r="J921" t="str">
        <f t="shared" si="100"/>
        <v/>
      </c>
      <c r="K921" t="str">
        <f>IF($A921="","",Entry!$D924)</f>
        <v/>
      </c>
      <c r="L921" t="str">
        <f>IF($A921="","",Entry!$L924)</f>
        <v/>
      </c>
      <c r="N921" t="str">
        <f>IF(OR(Sync!$M921="",$Q921="",$Q921="نامعتبر"),"",Sync!$M921)</f>
        <v/>
      </c>
      <c r="O921" t="str">
        <f t="shared" si="101"/>
        <v/>
      </c>
      <c r="P921" t="str">
        <f>IF($N921="","",LEFT($Q921,4)&amp;MID($Q921,6,2)&amp;RIGHT($Q921,2)&amp;IF(Sync!$K921="","0000",IF(AND(ISNUMBER(Sync!$K921),Sync!$K921&gt;=0,Sync!$K921&lt;1),RIGHT("00"&amp;HOUR(Sync!$K921),2)&amp;RIGHT("00"&amp;MINUTE(Sync!$K921),2),IFERROR(RIGHT("00"&amp;VALUE(LEFT(Sync!$K921,FIND(":",Sync!$K921)-1)),2)&amp;RIGHT("00"&amp;VALUE(MID(Sync!$K921,FIND(":",Sync!$K921)+1,2)),2),"0000")))&amp;"|"&amp;"2"&amp;RIGHT("00000"&amp;916,5))</f>
        <v/>
      </c>
      <c r="Q921" t="str">
        <f>IF(Sync!$J921="","",IF(ISNUMBER(Sync!$J921),IF(AND(Sync!$J921&gt;=10000101,Sync!$J921&lt;=99991231),INT(Sync!$J921/10000)&amp;"/"&amp;RIGHT("00"&amp;INT(MOD(Sync!$J921,10000)/100),2)&amp;"/"&amp;RIGHT("00"&amp;MOD(Sync!$J921,100),2),"نامعتبر"),IF(LEN(Sync!$J921)=10,Sync!$J921,"نامعتبر")))</f>
        <v/>
      </c>
      <c r="R921" t="str">
        <f t="shared" si="102"/>
        <v/>
      </c>
      <c r="S921" t="str">
        <f t="shared" si="103"/>
        <v/>
      </c>
      <c r="T921" t="str">
        <f>IF($N921="","",IF(Sync!$N921="",0,Sync!$N921))</f>
        <v/>
      </c>
      <c r="U921" t="str">
        <f>IF($N921="","",IF(Sync!$O921="",0,Sync!$O921))</f>
        <v/>
      </c>
      <c r="V921" t="str">
        <f>IF($N921="","",Sync!$L921)</f>
        <v/>
      </c>
      <c r="W921" t="str">
        <f>IF($N921="","",Sync!$P921)</f>
        <v/>
      </c>
      <c r="AA921" t="str">
        <f>IF($A921="","",IF(COUNTIF($A$6:$A921,$A921)=1,1,0))</f>
        <v/>
      </c>
      <c r="AB921">
        <f>SUM($AA$6:$AA921)</f>
        <v>3</v>
      </c>
      <c r="AC921" t="str">
        <f t="shared" si="104"/>
        <v/>
      </c>
    </row>
    <row r="922" spans="1:29" x14ac:dyDescent="0.2">
      <c r="A922" t="str">
        <f>IF(OR(Entry!$B925="",Entry!$E925="",$E922="نامعتبر"),"",Entry!$E925)</f>
        <v/>
      </c>
      <c r="B922" t="str">
        <f>IF($A922="","",LEFT($E922,4)&amp;MID($E922,6,2)&amp;RIGHT($E922,2)&amp;$F922&amp;"|"&amp;"1"&amp;RIGHT("00000"&amp;917,5))</f>
        <v/>
      </c>
      <c r="C922" t="str">
        <f t="shared" si="98"/>
        <v/>
      </c>
      <c r="D922" t="str">
        <f t="shared" si="99"/>
        <v/>
      </c>
      <c r="E922" t="str">
        <f>IF(Entry!$B925="","",IF(ISNUMBER(Entry!$B925),IF(AND(Entry!$B925&gt;=10000101,Entry!$B925&lt;=99991231),INT(Entry!$B925/10000)&amp;"/"&amp;RIGHT("00"&amp;INT(MOD(Entry!$B925,10000)/100),2)&amp;"/"&amp;RIGHT("00"&amp;MOD(Entry!$B925,100),2),"نامعتبر"),IF(LEN(Entry!$B925)=10,Entry!$B925,"نامعتبر")))</f>
        <v/>
      </c>
      <c r="F922" t="str">
        <f>IF(Entry!$B925="","",IF(Entry!$C925="","0000",IF(AND(ISNUMBER(Entry!$C925),Entry!$C925&gt;=0,Entry!$C925&lt;1),RIGHT("00"&amp;HOUR(Entry!$C925),2)&amp;RIGHT("00"&amp;MINUTE(Entry!$C925),2),IFERROR(RIGHT("00"&amp;VALUE(LEFT(Entry!$C925,FIND(":",Entry!$C925)-1)),2)&amp;RIGHT("00"&amp;VALUE(MID(Entry!$C925,FIND(":",Entry!$C925)+1,2)),2),"0000"))))</f>
        <v/>
      </c>
      <c r="G922" t="str">
        <f>IF($A922="","",Entry!$G925)</f>
        <v/>
      </c>
      <c r="H922" t="str">
        <f>IF($A922="","",IF(Entry!$H925="",0,Entry!$H925))</f>
        <v/>
      </c>
      <c r="I922" t="str">
        <f>IF($A922="","",IF(Entry!$I925="",0,Entry!$I925))</f>
        <v/>
      </c>
      <c r="J922" t="str">
        <f t="shared" si="100"/>
        <v/>
      </c>
      <c r="K922" t="str">
        <f>IF($A922="","",Entry!$D925)</f>
        <v/>
      </c>
      <c r="L922" t="str">
        <f>IF($A922="","",Entry!$L925)</f>
        <v/>
      </c>
      <c r="N922" t="str">
        <f>IF(OR(Sync!$M922="",$Q922="",$Q922="نامعتبر"),"",Sync!$M922)</f>
        <v/>
      </c>
      <c r="O922" t="str">
        <f t="shared" si="101"/>
        <v/>
      </c>
      <c r="P922" t="str">
        <f>IF($N922="","",LEFT($Q922,4)&amp;MID($Q922,6,2)&amp;RIGHT($Q922,2)&amp;IF(Sync!$K922="","0000",IF(AND(ISNUMBER(Sync!$K922),Sync!$K922&gt;=0,Sync!$K922&lt;1),RIGHT("00"&amp;HOUR(Sync!$K922),2)&amp;RIGHT("00"&amp;MINUTE(Sync!$K922),2),IFERROR(RIGHT("00"&amp;VALUE(LEFT(Sync!$K922,FIND(":",Sync!$K922)-1)),2)&amp;RIGHT("00"&amp;VALUE(MID(Sync!$K922,FIND(":",Sync!$K922)+1,2)),2),"0000")))&amp;"|"&amp;"2"&amp;RIGHT("00000"&amp;917,5))</f>
        <v/>
      </c>
      <c r="Q922" t="str">
        <f>IF(Sync!$J922="","",IF(ISNUMBER(Sync!$J922),IF(AND(Sync!$J922&gt;=10000101,Sync!$J922&lt;=99991231),INT(Sync!$J922/10000)&amp;"/"&amp;RIGHT("00"&amp;INT(MOD(Sync!$J922,10000)/100),2)&amp;"/"&amp;RIGHT("00"&amp;MOD(Sync!$J922,100),2),"نامعتبر"),IF(LEN(Sync!$J922)=10,Sync!$J922,"نامعتبر")))</f>
        <v/>
      </c>
      <c r="R922" t="str">
        <f t="shared" si="102"/>
        <v/>
      </c>
      <c r="S922" t="str">
        <f t="shared" si="103"/>
        <v/>
      </c>
      <c r="T922" t="str">
        <f>IF($N922="","",IF(Sync!$N922="",0,Sync!$N922))</f>
        <v/>
      </c>
      <c r="U922" t="str">
        <f>IF($N922="","",IF(Sync!$O922="",0,Sync!$O922))</f>
        <v/>
      </c>
      <c r="V922" t="str">
        <f>IF($N922="","",Sync!$L922)</f>
        <v/>
      </c>
      <c r="W922" t="str">
        <f>IF($N922="","",Sync!$P922)</f>
        <v/>
      </c>
      <c r="AA922" t="str">
        <f>IF($A922="","",IF(COUNTIF($A$6:$A922,$A922)=1,1,0))</f>
        <v/>
      </c>
      <c r="AB922">
        <f>SUM($AA$6:$AA922)</f>
        <v>3</v>
      </c>
      <c r="AC922" t="str">
        <f t="shared" si="104"/>
        <v/>
      </c>
    </row>
    <row r="923" spans="1:29" x14ac:dyDescent="0.2">
      <c r="A923" t="str">
        <f>IF(OR(Entry!$B926="",Entry!$E926="",$E923="نامعتبر"),"",Entry!$E926)</f>
        <v/>
      </c>
      <c r="B923" t="str">
        <f>IF($A923="","",LEFT($E923,4)&amp;MID($E923,6,2)&amp;RIGHT($E923,2)&amp;$F923&amp;"|"&amp;"1"&amp;RIGHT("00000"&amp;918,5))</f>
        <v/>
      </c>
      <c r="C923" t="str">
        <f t="shared" si="98"/>
        <v/>
      </c>
      <c r="D923" t="str">
        <f t="shared" si="99"/>
        <v/>
      </c>
      <c r="E923" t="str">
        <f>IF(Entry!$B926="","",IF(ISNUMBER(Entry!$B926),IF(AND(Entry!$B926&gt;=10000101,Entry!$B926&lt;=99991231),INT(Entry!$B926/10000)&amp;"/"&amp;RIGHT("00"&amp;INT(MOD(Entry!$B926,10000)/100),2)&amp;"/"&amp;RIGHT("00"&amp;MOD(Entry!$B926,100),2),"نامعتبر"),IF(LEN(Entry!$B926)=10,Entry!$B926,"نامعتبر")))</f>
        <v/>
      </c>
      <c r="F923" t="str">
        <f>IF(Entry!$B926="","",IF(Entry!$C926="","0000",IF(AND(ISNUMBER(Entry!$C926),Entry!$C926&gt;=0,Entry!$C926&lt;1),RIGHT("00"&amp;HOUR(Entry!$C926),2)&amp;RIGHT("00"&amp;MINUTE(Entry!$C926),2),IFERROR(RIGHT("00"&amp;VALUE(LEFT(Entry!$C926,FIND(":",Entry!$C926)-1)),2)&amp;RIGHT("00"&amp;VALUE(MID(Entry!$C926,FIND(":",Entry!$C926)+1,2)),2),"0000"))))</f>
        <v/>
      </c>
      <c r="G923" t="str">
        <f>IF($A923="","",Entry!$G926)</f>
        <v/>
      </c>
      <c r="H923" t="str">
        <f>IF($A923="","",IF(Entry!$H926="",0,Entry!$H926))</f>
        <v/>
      </c>
      <c r="I923" t="str">
        <f>IF($A923="","",IF(Entry!$I926="",0,Entry!$I926))</f>
        <v/>
      </c>
      <c r="J923" t="str">
        <f t="shared" si="100"/>
        <v/>
      </c>
      <c r="K923" t="str">
        <f>IF($A923="","",Entry!$D926)</f>
        <v/>
      </c>
      <c r="L923" t="str">
        <f>IF($A923="","",Entry!$L926)</f>
        <v/>
      </c>
      <c r="N923" t="str">
        <f>IF(OR(Sync!$M923="",$Q923="",$Q923="نامعتبر"),"",Sync!$M923)</f>
        <v/>
      </c>
      <c r="O923" t="str">
        <f t="shared" si="101"/>
        <v/>
      </c>
      <c r="P923" t="str">
        <f>IF($N923="","",LEFT($Q923,4)&amp;MID($Q923,6,2)&amp;RIGHT($Q923,2)&amp;IF(Sync!$K923="","0000",IF(AND(ISNUMBER(Sync!$K923),Sync!$K923&gt;=0,Sync!$K923&lt;1),RIGHT("00"&amp;HOUR(Sync!$K923),2)&amp;RIGHT("00"&amp;MINUTE(Sync!$K923),2),IFERROR(RIGHT("00"&amp;VALUE(LEFT(Sync!$K923,FIND(":",Sync!$K923)-1)),2)&amp;RIGHT("00"&amp;VALUE(MID(Sync!$K923,FIND(":",Sync!$K923)+1,2)),2),"0000")))&amp;"|"&amp;"2"&amp;RIGHT("00000"&amp;918,5))</f>
        <v/>
      </c>
      <c r="Q923" t="str">
        <f>IF(Sync!$J923="","",IF(ISNUMBER(Sync!$J923),IF(AND(Sync!$J923&gt;=10000101,Sync!$J923&lt;=99991231),INT(Sync!$J923/10000)&amp;"/"&amp;RIGHT("00"&amp;INT(MOD(Sync!$J923,10000)/100),2)&amp;"/"&amp;RIGHT("00"&amp;MOD(Sync!$J923,100),2),"نامعتبر"),IF(LEN(Sync!$J923)=10,Sync!$J923,"نامعتبر")))</f>
        <v/>
      </c>
      <c r="R923" t="str">
        <f t="shared" si="102"/>
        <v/>
      </c>
      <c r="S923" t="str">
        <f t="shared" si="103"/>
        <v/>
      </c>
      <c r="T923" t="str">
        <f>IF($N923="","",IF(Sync!$N923="",0,Sync!$N923))</f>
        <v/>
      </c>
      <c r="U923" t="str">
        <f>IF($N923="","",IF(Sync!$O923="",0,Sync!$O923))</f>
        <v/>
      </c>
      <c r="V923" t="str">
        <f>IF($N923="","",Sync!$L923)</f>
        <v/>
      </c>
      <c r="W923" t="str">
        <f>IF($N923="","",Sync!$P923)</f>
        <v/>
      </c>
      <c r="AA923" t="str">
        <f>IF($A923="","",IF(COUNTIF($A$6:$A923,$A923)=1,1,0))</f>
        <v/>
      </c>
      <c r="AB923">
        <f>SUM($AA$6:$AA923)</f>
        <v>3</v>
      </c>
      <c r="AC923" t="str">
        <f t="shared" si="104"/>
        <v/>
      </c>
    </row>
    <row r="924" spans="1:29" x14ac:dyDescent="0.2">
      <c r="A924" t="str">
        <f>IF(OR(Entry!$B927="",Entry!$E927="",$E924="نامعتبر"),"",Entry!$E927)</f>
        <v/>
      </c>
      <c r="B924" t="str">
        <f>IF($A924="","",LEFT($E924,4)&amp;MID($E924,6,2)&amp;RIGHT($E924,2)&amp;$F924&amp;"|"&amp;"1"&amp;RIGHT("00000"&amp;919,5))</f>
        <v/>
      </c>
      <c r="C924" t="str">
        <f t="shared" si="98"/>
        <v/>
      </c>
      <c r="D924" t="str">
        <f t="shared" si="99"/>
        <v/>
      </c>
      <c r="E924" t="str">
        <f>IF(Entry!$B927="","",IF(ISNUMBER(Entry!$B927),IF(AND(Entry!$B927&gt;=10000101,Entry!$B927&lt;=99991231),INT(Entry!$B927/10000)&amp;"/"&amp;RIGHT("00"&amp;INT(MOD(Entry!$B927,10000)/100),2)&amp;"/"&amp;RIGHT("00"&amp;MOD(Entry!$B927,100),2),"نامعتبر"),IF(LEN(Entry!$B927)=10,Entry!$B927,"نامعتبر")))</f>
        <v/>
      </c>
      <c r="F924" t="str">
        <f>IF(Entry!$B927="","",IF(Entry!$C927="","0000",IF(AND(ISNUMBER(Entry!$C927),Entry!$C927&gt;=0,Entry!$C927&lt;1),RIGHT("00"&amp;HOUR(Entry!$C927),2)&amp;RIGHT("00"&amp;MINUTE(Entry!$C927),2),IFERROR(RIGHT("00"&amp;VALUE(LEFT(Entry!$C927,FIND(":",Entry!$C927)-1)),2)&amp;RIGHT("00"&amp;VALUE(MID(Entry!$C927,FIND(":",Entry!$C927)+1,2)),2),"0000"))))</f>
        <v/>
      </c>
      <c r="G924" t="str">
        <f>IF($A924="","",Entry!$G927)</f>
        <v/>
      </c>
      <c r="H924" t="str">
        <f>IF($A924="","",IF(Entry!$H927="",0,Entry!$H927))</f>
        <v/>
      </c>
      <c r="I924" t="str">
        <f>IF($A924="","",IF(Entry!$I927="",0,Entry!$I927))</f>
        <v/>
      </c>
      <c r="J924" t="str">
        <f t="shared" si="100"/>
        <v/>
      </c>
      <c r="K924" t="str">
        <f>IF($A924="","",Entry!$D927)</f>
        <v/>
      </c>
      <c r="L924" t="str">
        <f>IF($A924="","",Entry!$L927)</f>
        <v/>
      </c>
      <c r="N924" t="str">
        <f>IF(OR(Sync!$M924="",$Q924="",$Q924="نامعتبر"),"",Sync!$M924)</f>
        <v/>
      </c>
      <c r="O924" t="str">
        <f t="shared" si="101"/>
        <v/>
      </c>
      <c r="P924" t="str">
        <f>IF($N924="","",LEFT($Q924,4)&amp;MID($Q924,6,2)&amp;RIGHT($Q924,2)&amp;IF(Sync!$K924="","0000",IF(AND(ISNUMBER(Sync!$K924),Sync!$K924&gt;=0,Sync!$K924&lt;1),RIGHT("00"&amp;HOUR(Sync!$K924),2)&amp;RIGHT("00"&amp;MINUTE(Sync!$K924),2),IFERROR(RIGHT("00"&amp;VALUE(LEFT(Sync!$K924,FIND(":",Sync!$K924)-1)),2)&amp;RIGHT("00"&amp;VALUE(MID(Sync!$K924,FIND(":",Sync!$K924)+1,2)),2),"0000")))&amp;"|"&amp;"2"&amp;RIGHT("00000"&amp;919,5))</f>
        <v/>
      </c>
      <c r="Q924" t="str">
        <f>IF(Sync!$J924="","",IF(ISNUMBER(Sync!$J924),IF(AND(Sync!$J924&gt;=10000101,Sync!$J924&lt;=99991231),INT(Sync!$J924/10000)&amp;"/"&amp;RIGHT("00"&amp;INT(MOD(Sync!$J924,10000)/100),2)&amp;"/"&amp;RIGHT("00"&amp;MOD(Sync!$J924,100),2),"نامعتبر"),IF(LEN(Sync!$J924)=10,Sync!$J924,"نامعتبر")))</f>
        <v/>
      </c>
      <c r="R924" t="str">
        <f t="shared" si="102"/>
        <v/>
      </c>
      <c r="S924" t="str">
        <f t="shared" si="103"/>
        <v/>
      </c>
      <c r="T924" t="str">
        <f>IF($N924="","",IF(Sync!$N924="",0,Sync!$N924))</f>
        <v/>
      </c>
      <c r="U924" t="str">
        <f>IF($N924="","",IF(Sync!$O924="",0,Sync!$O924))</f>
        <v/>
      </c>
      <c r="V924" t="str">
        <f>IF($N924="","",Sync!$L924)</f>
        <v/>
      </c>
      <c r="W924" t="str">
        <f>IF($N924="","",Sync!$P924)</f>
        <v/>
      </c>
      <c r="AA924" t="str">
        <f>IF($A924="","",IF(COUNTIF($A$6:$A924,$A924)=1,1,0))</f>
        <v/>
      </c>
      <c r="AB924">
        <f>SUM($AA$6:$AA924)</f>
        <v>3</v>
      </c>
      <c r="AC924" t="str">
        <f t="shared" si="104"/>
        <v/>
      </c>
    </row>
    <row r="925" spans="1:29" x14ac:dyDescent="0.2">
      <c r="A925" t="str">
        <f>IF(OR(Entry!$B928="",Entry!$E928="",$E925="نامعتبر"),"",Entry!$E928)</f>
        <v/>
      </c>
      <c r="B925" t="str">
        <f>IF($A925="","",LEFT($E925,4)&amp;MID($E925,6,2)&amp;RIGHT($E925,2)&amp;$F925&amp;"|"&amp;"1"&amp;RIGHT("00000"&amp;920,5))</f>
        <v/>
      </c>
      <c r="C925" t="str">
        <f t="shared" si="98"/>
        <v/>
      </c>
      <c r="D925" t="str">
        <f t="shared" si="99"/>
        <v/>
      </c>
      <c r="E925" t="str">
        <f>IF(Entry!$B928="","",IF(ISNUMBER(Entry!$B928),IF(AND(Entry!$B928&gt;=10000101,Entry!$B928&lt;=99991231),INT(Entry!$B928/10000)&amp;"/"&amp;RIGHT("00"&amp;INT(MOD(Entry!$B928,10000)/100),2)&amp;"/"&amp;RIGHT("00"&amp;MOD(Entry!$B928,100),2),"نامعتبر"),IF(LEN(Entry!$B928)=10,Entry!$B928,"نامعتبر")))</f>
        <v/>
      </c>
      <c r="F925" t="str">
        <f>IF(Entry!$B928="","",IF(Entry!$C928="","0000",IF(AND(ISNUMBER(Entry!$C928),Entry!$C928&gt;=0,Entry!$C928&lt;1),RIGHT("00"&amp;HOUR(Entry!$C928),2)&amp;RIGHT("00"&amp;MINUTE(Entry!$C928),2),IFERROR(RIGHT("00"&amp;VALUE(LEFT(Entry!$C928,FIND(":",Entry!$C928)-1)),2)&amp;RIGHT("00"&amp;VALUE(MID(Entry!$C928,FIND(":",Entry!$C928)+1,2)),2),"0000"))))</f>
        <v/>
      </c>
      <c r="G925" t="str">
        <f>IF($A925="","",Entry!$G928)</f>
        <v/>
      </c>
      <c r="H925" t="str">
        <f>IF($A925="","",IF(Entry!$H928="",0,Entry!$H928))</f>
        <v/>
      </c>
      <c r="I925" t="str">
        <f>IF($A925="","",IF(Entry!$I928="",0,Entry!$I928))</f>
        <v/>
      </c>
      <c r="J925" t="str">
        <f t="shared" si="100"/>
        <v/>
      </c>
      <c r="K925" t="str">
        <f>IF($A925="","",Entry!$D928)</f>
        <v/>
      </c>
      <c r="L925" t="str">
        <f>IF($A925="","",Entry!$L928)</f>
        <v/>
      </c>
      <c r="N925" t="str">
        <f>IF(OR(Sync!$M925="",$Q925="",$Q925="نامعتبر"),"",Sync!$M925)</f>
        <v/>
      </c>
      <c r="O925" t="str">
        <f t="shared" si="101"/>
        <v/>
      </c>
      <c r="P925" t="str">
        <f>IF($N925="","",LEFT($Q925,4)&amp;MID($Q925,6,2)&amp;RIGHT($Q925,2)&amp;IF(Sync!$K925="","0000",IF(AND(ISNUMBER(Sync!$K925),Sync!$K925&gt;=0,Sync!$K925&lt;1),RIGHT("00"&amp;HOUR(Sync!$K925),2)&amp;RIGHT("00"&amp;MINUTE(Sync!$K925),2),IFERROR(RIGHT("00"&amp;VALUE(LEFT(Sync!$K925,FIND(":",Sync!$K925)-1)),2)&amp;RIGHT("00"&amp;VALUE(MID(Sync!$K925,FIND(":",Sync!$K925)+1,2)),2),"0000")))&amp;"|"&amp;"2"&amp;RIGHT("00000"&amp;920,5))</f>
        <v/>
      </c>
      <c r="Q925" t="str">
        <f>IF(Sync!$J925="","",IF(ISNUMBER(Sync!$J925),IF(AND(Sync!$J925&gt;=10000101,Sync!$J925&lt;=99991231),INT(Sync!$J925/10000)&amp;"/"&amp;RIGHT("00"&amp;INT(MOD(Sync!$J925,10000)/100),2)&amp;"/"&amp;RIGHT("00"&amp;MOD(Sync!$J925,100),2),"نامعتبر"),IF(LEN(Sync!$J925)=10,Sync!$J925,"نامعتبر")))</f>
        <v/>
      </c>
      <c r="R925" t="str">
        <f t="shared" si="102"/>
        <v/>
      </c>
      <c r="S925" t="str">
        <f t="shared" si="103"/>
        <v/>
      </c>
      <c r="T925" t="str">
        <f>IF($N925="","",IF(Sync!$N925="",0,Sync!$N925))</f>
        <v/>
      </c>
      <c r="U925" t="str">
        <f>IF($N925="","",IF(Sync!$O925="",0,Sync!$O925))</f>
        <v/>
      </c>
      <c r="V925" t="str">
        <f>IF($N925="","",Sync!$L925)</f>
        <v/>
      </c>
      <c r="W925" t="str">
        <f>IF($N925="","",Sync!$P925)</f>
        <v/>
      </c>
      <c r="AA925" t="str">
        <f>IF($A925="","",IF(COUNTIF($A$6:$A925,$A925)=1,1,0))</f>
        <v/>
      </c>
      <c r="AB925">
        <f>SUM($AA$6:$AA925)</f>
        <v>3</v>
      </c>
      <c r="AC925" t="str">
        <f t="shared" si="104"/>
        <v/>
      </c>
    </row>
    <row r="926" spans="1:29" x14ac:dyDescent="0.2">
      <c r="A926" t="str">
        <f>IF(OR(Entry!$B929="",Entry!$E929="",$E926="نامعتبر"),"",Entry!$E929)</f>
        <v/>
      </c>
      <c r="B926" t="str">
        <f>IF($A926="","",LEFT($E926,4)&amp;MID($E926,6,2)&amp;RIGHT($E926,2)&amp;$F926&amp;"|"&amp;"1"&amp;RIGHT("00000"&amp;921,5))</f>
        <v/>
      </c>
      <c r="C926" t="str">
        <f t="shared" si="98"/>
        <v/>
      </c>
      <c r="D926" t="str">
        <f t="shared" si="99"/>
        <v/>
      </c>
      <c r="E926" t="str">
        <f>IF(Entry!$B929="","",IF(ISNUMBER(Entry!$B929),IF(AND(Entry!$B929&gt;=10000101,Entry!$B929&lt;=99991231),INT(Entry!$B929/10000)&amp;"/"&amp;RIGHT("00"&amp;INT(MOD(Entry!$B929,10000)/100),2)&amp;"/"&amp;RIGHT("00"&amp;MOD(Entry!$B929,100),2),"نامعتبر"),IF(LEN(Entry!$B929)=10,Entry!$B929,"نامعتبر")))</f>
        <v/>
      </c>
      <c r="F926" t="str">
        <f>IF(Entry!$B929="","",IF(Entry!$C929="","0000",IF(AND(ISNUMBER(Entry!$C929),Entry!$C929&gt;=0,Entry!$C929&lt;1),RIGHT("00"&amp;HOUR(Entry!$C929),2)&amp;RIGHT("00"&amp;MINUTE(Entry!$C929),2),IFERROR(RIGHT("00"&amp;VALUE(LEFT(Entry!$C929,FIND(":",Entry!$C929)-1)),2)&amp;RIGHT("00"&amp;VALUE(MID(Entry!$C929,FIND(":",Entry!$C929)+1,2)),2),"0000"))))</f>
        <v/>
      </c>
      <c r="G926" t="str">
        <f>IF($A926="","",Entry!$G929)</f>
        <v/>
      </c>
      <c r="H926" t="str">
        <f>IF($A926="","",IF(Entry!$H929="",0,Entry!$H929))</f>
        <v/>
      </c>
      <c r="I926" t="str">
        <f>IF($A926="","",IF(Entry!$I929="",0,Entry!$I929))</f>
        <v/>
      </c>
      <c r="J926" t="str">
        <f t="shared" si="100"/>
        <v/>
      </c>
      <c r="K926" t="str">
        <f>IF($A926="","",Entry!$D929)</f>
        <v/>
      </c>
      <c r="L926" t="str">
        <f>IF($A926="","",Entry!$L929)</f>
        <v/>
      </c>
      <c r="N926" t="str">
        <f>IF(OR(Sync!$M926="",$Q926="",$Q926="نامعتبر"),"",Sync!$M926)</f>
        <v/>
      </c>
      <c r="O926" t="str">
        <f t="shared" si="101"/>
        <v/>
      </c>
      <c r="P926" t="str">
        <f>IF($N926="","",LEFT($Q926,4)&amp;MID($Q926,6,2)&amp;RIGHT($Q926,2)&amp;IF(Sync!$K926="","0000",IF(AND(ISNUMBER(Sync!$K926),Sync!$K926&gt;=0,Sync!$K926&lt;1),RIGHT("00"&amp;HOUR(Sync!$K926),2)&amp;RIGHT("00"&amp;MINUTE(Sync!$K926),2),IFERROR(RIGHT("00"&amp;VALUE(LEFT(Sync!$K926,FIND(":",Sync!$K926)-1)),2)&amp;RIGHT("00"&amp;VALUE(MID(Sync!$K926,FIND(":",Sync!$K926)+1,2)),2),"0000")))&amp;"|"&amp;"2"&amp;RIGHT("00000"&amp;921,5))</f>
        <v/>
      </c>
      <c r="Q926" t="str">
        <f>IF(Sync!$J926="","",IF(ISNUMBER(Sync!$J926),IF(AND(Sync!$J926&gt;=10000101,Sync!$J926&lt;=99991231),INT(Sync!$J926/10000)&amp;"/"&amp;RIGHT("00"&amp;INT(MOD(Sync!$J926,10000)/100),2)&amp;"/"&amp;RIGHT("00"&amp;MOD(Sync!$J926,100),2),"نامعتبر"),IF(LEN(Sync!$J926)=10,Sync!$J926,"نامعتبر")))</f>
        <v/>
      </c>
      <c r="R926" t="str">
        <f t="shared" si="102"/>
        <v/>
      </c>
      <c r="S926" t="str">
        <f t="shared" si="103"/>
        <v/>
      </c>
      <c r="T926" t="str">
        <f>IF($N926="","",IF(Sync!$N926="",0,Sync!$N926))</f>
        <v/>
      </c>
      <c r="U926" t="str">
        <f>IF($N926="","",IF(Sync!$O926="",0,Sync!$O926))</f>
        <v/>
      </c>
      <c r="V926" t="str">
        <f>IF($N926="","",Sync!$L926)</f>
        <v/>
      </c>
      <c r="W926" t="str">
        <f>IF($N926="","",Sync!$P926)</f>
        <v/>
      </c>
      <c r="AA926" t="str">
        <f>IF($A926="","",IF(COUNTIF($A$6:$A926,$A926)=1,1,0))</f>
        <v/>
      </c>
      <c r="AB926">
        <f>SUM($AA$6:$AA926)</f>
        <v>3</v>
      </c>
      <c r="AC926" t="str">
        <f t="shared" si="104"/>
        <v/>
      </c>
    </row>
    <row r="927" spans="1:29" x14ac:dyDescent="0.2">
      <c r="A927" t="str">
        <f>IF(OR(Entry!$B930="",Entry!$E930="",$E927="نامعتبر"),"",Entry!$E930)</f>
        <v/>
      </c>
      <c r="B927" t="str">
        <f>IF($A927="","",LEFT($E927,4)&amp;MID($E927,6,2)&amp;RIGHT($E927,2)&amp;$F927&amp;"|"&amp;"1"&amp;RIGHT("00000"&amp;922,5))</f>
        <v/>
      </c>
      <c r="C927" t="str">
        <f t="shared" si="98"/>
        <v/>
      </c>
      <c r="D927" t="str">
        <f t="shared" si="99"/>
        <v/>
      </c>
      <c r="E927" t="str">
        <f>IF(Entry!$B930="","",IF(ISNUMBER(Entry!$B930),IF(AND(Entry!$B930&gt;=10000101,Entry!$B930&lt;=99991231),INT(Entry!$B930/10000)&amp;"/"&amp;RIGHT("00"&amp;INT(MOD(Entry!$B930,10000)/100),2)&amp;"/"&amp;RIGHT("00"&amp;MOD(Entry!$B930,100),2),"نامعتبر"),IF(LEN(Entry!$B930)=10,Entry!$B930,"نامعتبر")))</f>
        <v/>
      </c>
      <c r="F927" t="str">
        <f>IF(Entry!$B930="","",IF(Entry!$C930="","0000",IF(AND(ISNUMBER(Entry!$C930),Entry!$C930&gt;=0,Entry!$C930&lt;1),RIGHT("00"&amp;HOUR(Entry!$C930),2)&amp;RIGHT("00"&amp;MINUTE(Entry!$C930),2),IFERROR(RIGHT("00"&amp;VALUE(LEFT(Entry!$C930,FIND(":",Entry!$C930)-1)),2)&amp;RIGHT("00"&amp;VALUE(MID(Entry!$C930,FIND(":",Entry!$C930)+1,2)),2),"0000"))))</f>
        <v/>
      </c>
      <c r="G927" t="str">
        <f>IF($A927="","",Entry!$G930)</f>
        <v/>
      </c>
      <c r="H927" t="str">
        <f>IF($A927="","",IF(Entry!$H930="",0,Entry!$H930))</f>
        <v/>
      </c>
      <c r="I927" t="str">
        <f>IF($A927="","",IF(Entry!$I930="",0,Entry!$I930))</f>
        <v/>
      </c>
      <c r="J927" t="str">
        <f t="shared" si="100"/>
        <v/>
      </c>
      <c r="K927" t="str">
        <f>IF($A927="","",Entry!$D930)</f>
        <v/>
      </c>
      <c r="L927" t="str">
        <f>IF($A927="","",Entry!$L930)</f>
        <v/>
      </c>
      <c r="N927" t="str">
        <f>IF(OR(Sync!$M927="",$Q927="",$Q927="نامعتبر"),"",Sync!$M927)</f>
        <v/>
      </c>
      <c r="O927" t="str">
        <f t="shared" si="101"/>
        <v/>
      </c>
      <c r="P927" t="str">
        <f>IF($N927="","",LEFT($Q927,4)&amp;MID($Q927,6,2)&amp;RIGHT($Q927,2)&amp;IF(Sync!$K927="","0000",IF(AND(ISNUMBER(Sync!$K927),Sync!$K927&gt;=0,Sync!$K927&lt;1),RIGHT("00"&amp;HOUR(Sync!$K927),2)&amp;RIGHT("00"&amp;MINUTE(Sync!$K927),2),IFERROR(RIGHT("00"&amp;VALUE(LEFT(Sync!$K927,FIND(":",Sync!$K927)-1)),2)&amp;RIGHT("00"&amp;VALUE(MID(Sync!$K927,FIND(":",Sync!$K927)+1,2)),2),"0000")))&amp;"|"&amp;"2"&amp;RIGHT("00000"&amp;922,5))</f>
        <v/>
      </c>
      <c r="Q927" t="str">
        <f>IF(Sync!$J927="","",IF(ISNUMBER(Sync!$J927),IF(AND(Sync!$J927&gt;=10000101,Sync!$J927&lt;=99991231),INT(Sync!$J927/10000)&amp;"/"&amp;RIGHT("00"&amp;INT(MOD(Sync!$J927,10000)/100),2)&amp;"/"&amp;RIGHT("00"&amp;MOD(Sync!$J927,100),2),"نامعتبر"),IF(LEN(Sync!$J927)=10,Sync!$J927,"نامعتبر")))</f>
        <v/>
      </c>
      <c r="R927" t="str">
        <f t="shared" si="102"/>
        <v/>
      </c>
      <c r="S927" t="str">
        <f t="shared" si="103"/>
        <v/>
      </c>
      <c r="T927" t="str">
        <f>IF($N927="","",IF(Sync!$N927="",0,Sync!$N927))</f>
        <v/>
      </c>
      <c r="U927" t="str">
        <f>IF($N927="","",IF(Sync!$O927="",0,Sync!$O927))</f>
        <v/>
      </c>
      <c r="V927" t="str">
        <f>IF($N927="","",Sync!$L927)</f>
        <v/>
      </c>
      <c r="W927" t="str">
        <f>IF($N927="","",Sync!$P927)</f>
        <v/>
      </c>
      <c r="AA927" t="str">
        <f>IF($A927="","",IF(COUNTIF($A$6:$A927,$A927)=1,1,0))</f>
        <v/>
      </c>
      <c r="AB927">
        <f>SUM($AA$6:$AA927)</f>
        <v>3</v>
      </c>
      <c r="AC927" t="str">
        <f t="shared" si="104"/>
        <v/>
      </c>
    </row>
    <row r="928" spans="1:29" x14ac:dyDescent="0.2">
      <c r="A928" t="str">
        <f>IF(OR(Entry!$B931="",Entry!$E931="",$E928="نامعتبر"),"",Entry!$E931)</f>
        <v/>
      </c>
      <c r="B928" t="str">
        <f>IF($A928="","",LEFT($E928,4)&amp;MID($E928,6,2)&amp;RIGHT($E928,2)&amp;$F928&amp;"|"&amp;"1"&amp;RIGHT("00000"&amp;923,5))</f>
        <v/>
      </c>
      <c r="C928" t="str">
        <f t="shared" si="98"/>
        <v/>
      </c>
      <c r="D928" t="str">
        <f t="shared" si="99"/>
        <v/>
      </c>
      <c r="E928" t="str">
        <f>IF(Entry!$B931="","",IF(ISNUMBER(Entry!$B931),IF(AND(Entry!$B931&gt;=10000101,Entry!$B931&lt;=99991231),INT(Entry!$B931/10000)&amp;"/"&amp;RIGHT("00"&amp;INT(MOD(Entry!$B931,10000)/100),2)&amp;"/"&amp;RIGHT("00"&amp;MOD(Entry!$B931,100),2),"نامعتبر"),IF(LEN(Entry!$B931)=10,Entry!$B931,"نامعتبر")))</f>
        <v/>
      </c>
      <c r="F928" t="str">
        <f>IF(Entry!$B931="","",IF(Entry!$C931="","0000",IF(AND(ISNUMBER(Entry!$C931),Entry!$C931&gt;=0,Entry!$C931&lt;1),RIGHT("00"&amp;HOUR(Entry!$C931),2)&amp;RIGHT("00"&amp;MINUTE(Entry!$C931),2),IFERROR(RIGHT("00"&amp;VALUE(LEFT(Entry!$C931,FIND(":",Entry!$C931)-1)),2)&amp;RIGHT("00"&amp;VALUE(MID(Entry!$C931,FIND(":",Entry!$C931)+1,2)),2),"0000"))))</f>
        <v/>
      </c>
      <c r="G928" t="str">
        <f>IF($A928="","",Entry!$G931)</f>
        <v/>
      </c>
      <c r="H928" t="str">
        <f>IF($A928="","",IF(Entry!$H931="",0,Entry!$H931))</f>
        <v/>
      </c>
      <c r="I928" t="str">
        <f>IF($A928="","",IF(Entry!$I931="",0,Entry!$I931))</f>
        <v/>
      </c>
      <c r="J928" t="str">
        <f t="shared" si="100"/>
        <v/>
      </c>
      <c r="K928" t="str">
        <f>IF($A928="","",Entry!$D931)</f>
        <v/>
      </c>
      <c r="L928" t="str">
        <f>IF($A928="","",Entry!$L931)</f>
        <v/>
      </c>
      <c r="N928" t="str">
        <f>IF(OR(Sync!$M928="",$Q928="",$Q928="نامعتبر"),"",Sync!$M928)</f>
        <v/>
      </c>
      <c r="O928" t="str">
        <f t="shared" si="101"/>
        <v/>
      </c>
      <c r="P928" t="str">
        <f>IF($N928="","",LEFT($Q928,4)&amp;MID($Q928,6,2)&amp;RIGHT($Q928,2)&amp;IF(Sync!$K928="","0000",IF(AND(ISNUMBER(Sync!$K928),Sync!$K928&gt;=0,Sync!$K928&lt;1),RIGHT("00"&amp;HOUR(Sync!$K928),2)&amp;RIGHT("00"&amp;MINUTE(Sync!$K928),2),IFERROR(RIGHT("00"&amp;VALUE(LEFT(Sync!$K928,FIND(":",Sync!$K928)-1)),2)&amp;RIGHT("00"&amp;VALUE(MID(Sync!$K928,FIND(":",Sync!$K928)+1,2)),2),"0000")))&amp;"|"&amp;"2"&amp;RIGHT("00000"&amp;923,5))</f>
        <v/>
      </c>
      <c r="Q928" t="str">
        <f>IF(Sync!$J928="","",IF(ISNUMBER(Sync!$J928),IF(AND(Sync!$J928&gt;=10000101,Sync!$J928&lt;=99991231),INT(Sync!$J928/10000)&amp;"/"&amp;RIGHT("00"&amp;INT(MOD(Sync!$J928,10000)/100),2)&amp;"/"&amp;RIGHT("00"&amp;MOD(Sync!$J928,100),2),"نامعتبر"),IF(LEN(Sync!$J928)=10,Sync!$J928,"نامعتبر")))</f>
        <v/>
      </c>
      <c r="R928" t="str">
        <f t="shared" si="102"/>
        <v/>
      </c>
      <c r="S928" t="str">
        <f t="shared" si="103"/>
        <v/>
      </c>
      <c r="T928" t="str">
        <f>IF($N928="","",IF(Sync!$N928="",0,Sync!$N928))</f>
        <v/>
      </c>
      <c r="U928" t="str">
        <f>IF($N928="","",IF(Sync!$O928="",0,Sync!$O928))</f>
        <v/>
      </c>
      <c r="V928" t="str">
        <f>IF($N928="","",Sync!$L928)</f>
        <v/>
      </c>
      <c r="W928" t="str">
        <f>IF($N928="","",Sync!$P928)</f>
        <v/>
      </c>
      <c r="AA928" t="str">
        <f>IF($A928="","",IF(COUNTIF($A$6:$A928,$A928)=1,1,0))</f>
        <v/>
      </c>
      <c r="AB928">
        <f>SUM($AA$6:$AA928)</f>
        <v>3</v>
      </c>
      <c r="AC928" t="str">
        <f t="shared" si="104"/>
        <v/>
      </c>
    </row>
    <row r="929" spans="1:29" x14ac:dyDescent="0.2">
      <c r="A929" t="str">
        <f>IF(OR(Entry!$B932="",Entry!$E932="",$E929="نامعتبر"),"",Entry!$E932)</f>
        <v/>
      </c>
      <c r="B929" t="str">
        <f>IF($A929="","",LEFT($E929,4)&amp;MID($E929,6,2)&amp;RIGHT($E929,2)&amp;$F929&amp;"|"&amp;"1"&amp;RIGHT("00000"&amp;924,5))</f>
        <v/>
      </c>
      <c r="C929" t="str">
        <f t="shared" si="98"/>
        <v/>
      </c>
      <c r="D929" t="str">
        <f t="shared" si="99"/>
        <v/>
      </c>
      <c r="E929" t="str">
        <f>IF(Entry!$B932="","",IF(ISNUMBER(Entry!$B932),IF(AND(Entry!$B932&gt;=10000101,Entry!$B932&lt;=99991231),INT(Entry!$B932/10000)&amp;"/"&amp;RIGHT("00"&amp;INT(MOD(Entry!$B932,10000)/100),2)&amp;"/"&amp;RIGHT("00"&amp;MOD(Entry!$B932,100),2),"نامعتبر"),IF(LEN(Entry!$B932)=10,Entry!$B932,"نامعتبر")))</f>
        <v/>
      </c>
      <c r="F929" t="str">
        <f>IF(Entry!$B932="","",IF(Entry!$C932="","0000",IF(AND(ISNUMBER(Entry!$C932),Entry!$C932&gt;=0,Entry!$C932&lt;1),RIGHT("00"&amp;HOUR(Entry!$C932),2)&amp;RIGHT("00"&amp;MINUTE(Entry!$C932),2),IFERROR(RIGHT("00"&amp;VALUE(LEFT(Entry!$C932,FIND(":",Entry!$C932)-1)),2)&amp;RIGHT("00"&amp;VALUE(MID(Entry!$C932,FIND(":",Entry!$C932)+1,2)),2),"0000"))))</f>
        <v/>
      </c>
      <c r="G929" t="str">
        <f>IF($A929="","",Entry!$G932)</f>
        <v/>
      </c>
      <c r="H929" t="str">
        <f>IF($A929="","",IF(Entry!$H932="",0,Entry!$H932))</f>
        <v/>
      </c>
      <c r="I929" t="str">
        <f>IF($A929="","",IF(Entry!$I932="",0,Entry!$I932))</f>
        <v/>
      </c>
      <c r="J929" t="str">
        <f t="shared" si="100"/>
        <v/>
      </c>
      <c r="K929" t="str">
        <f>IF($A929="","",Entry!$D932)</f>
        <v/>
      </c>
      <c r="L929" t="str">
        <f>IF($A929="","",Entry!$L932)</f>
        <v/>
      </c>
      <c r="N929" t="str">
        <f>IF(OR(Sync!$M929="",$Q929="",$Q929="نامعتبر"),"",Sync!$M929)</f>
        <v/>
      </c>
      <c r="O929" t="str">
        <f t="shared" si="101"/>
        <v/>
      </c>
      <c r="P929" t="str">
        <f>IF($N929="","",LEFT($Q929,4)&amp;MID($Q929,6,2)&amp;RIGHT($Q929,2)&amp;IF(Sync!$K929="","0000",IF(AND(ISNUMBER(Sync!$K929),Sync!$K929&gt;=0,Sync!$K929&lt;1),RIGHT("00"&amp;HOUR(Sync!$K929),2)&amp;RIGHT("00"&amp;MINUTE(Sync!$K929),2),IFERROR(RIGHT("00"&amp;VALUE(LEFT(Sync!$K929,FIND(":",Sync!$K929)-1)),2)&amp;RIGHT("00"&amp;VALUE(MID(Sync!$K929,FIND(":",Sync!$K929)+1,2)),2),"0000")))&amp;"|"&amp;"2"&amp;RIGHT("00000"&amp;924,5))</f>
        <v/>
      </c>
      <c r="Q929" t="str">
        <f>IF(Sync!$J929="","",IF(ISNUMBER(Sync!$J929),IF(AND(Sync!$J929&gt;=10000101,Sync!$J929&lt;=99991231),INT(Sync!$J929/10000)&amp;"/"&amp;RIGHT("00"&amp;INT(MOD(Sync!$J929,10000)/100),2)&amp;"/"&amp;RIGHT("00"&amp;MOD(Sync!$J929,100),2),"نامعتبر"),IF(LEN(Sync!$J929)=10,Sync!$J929,"نامعتبر")))</f>
        <v/>
      </c>
      <c r="R929" t="str">
        <f t="shared" si="102"/>
        <v/>
      </c>
      <c r="S929" t="str">
        <f t="shared" si="103"/>
        <v/>
      </c>
      <c r="T929" t="str">
        <f>IF($N929="","",IF(Sync!$N929="",0,Sync!$N929))</f>
        <v/>
      </c>
      <c r="U929" t="str">
        <f>IF($N929="","",IF(Sync!$O929="",0,Sync!$O929))</f>
        <v/>
      </c>
      <c r="V929" t="str">
        <f>IF($N929="","",Sync!$L929)</f>
        <v/>
      </c>
      <c r="W929" t="str">
        <f>IF($N929="","",Sync!$P929)</f>
        <v/>
      </c>
      <c r="AA929" t="str">
        <f>IF($A929="","",IF(COUNTIF($A$6:$A929,$A929)=1,1,0))</f>
        <v/>
      </c>
      <c r="AB929">
        <f>SUM($AA$6:$AA929)</f>
        <v>3</v>
      </c>
      <c r="AC929" t="str">
        <f t="shared" si="104"/>
        <v/>
      </c>
    </row>
    <row r="930" spans="1:29" x14ac:dyDescent="0.2">
      <c r="A930" t="str">
        <f>IF(OR(Entry!$B933="",Entry!$E933="",$E930="نامعتبر"),"",Entry!$E933)</f>
        <v/>
      </c>
      <c r="B930" t="str">
        <f>IF($A930="","",LEFT($E930,4)&amp;MID($E930,6,2)&amp;RIGHT($E930,2)&amp;$F930&amp;"|"&amp;"1"&amp;RIGHT("00000"&amp;925,5))</f>
        <v/>
      </c>
      <c r="C930" t="str">
        <f t="shared" si="98"/>
        <v/>
      </c>
      <c r="D930" t="str">
        <f t="shared" si="99"/>
        <v/>
      </c>
      <c r="E930" t="str">
        <f>IF(Entry!$B933="","",IF(ISNUMBER(Entry!$B933),IF(AND(Entry!$B933&gt;=10000101,Entry!$B933&lt;=99991231),INT(Entry!$B933/10000)&amp;"/"&amp;RIGHT("00"&amp;INT(MOD(Entry!$B933,10000)/100),2)&amp;"/"&amp;RIGHT("00"&amp;MOD(Entry!$B933,100),2),"نامعتبر"),IF(LEN(Entry!$B933)=10,Entry!$B933,"نامعتبر")))</f>
        <v/>
      </c>
      <c r="F930" t="str">
        <f>IF(Entry!$B933="","",IF(Entry!$C933="","0000",IF(AND(ISNUMBER(Entry!$C933),Entry!$C933&gt;=0,Entry!$C933&lt;1),RIGHT("00"&amp;HOUR(Entry!$C933),2)&amp;RIGHT("00"&amp;MINUTE(Entry!$C933),2),IFERROR(RIGHT("00"&amp;VALUE(LEFT(Entry!$C933,FIND(":",Entry!$C933)-1)),2)&amp;RIGHT("00"&amp;VALUE(MID(Entry!$C933,FIND(":",Entry!$C933)+1,2)),2),"0000"))))</f>
        <v/>
      </c>
      <c r="G930" t="str">
        <f>IF($A930="","",Entry!$G933)</f>
        <v/>
      </c>
      <c r="H930" t="str">
        <f>IF($A930="","",IF(Entry!$H933="",0,Entry!$H933))</f>
        <v/>
      </c>
      <c r="I930" t="str">
        <f>IF($A930="","",IF(Entry!$I933="",0,Entry!$I933))</f>
        <v/>
      </c>
      <c r="J930" t="str">
        <f t="shared" si="100"/>
        <v/>
      </c>
      <c r="K930" t="str">
        <f>IF($A930="","",Entry!$D933)</f>
        <v/>
      </c>
      <c r="L930" t="str">
        <f>IF($A930="","",Entry!$L933)</f>
        <v/>
      </c>
      <c r="N930" t="str">
        <f>IF(OR(Sync!$M930="",$Q930="",$Q930="نامعتبر"),"",Sync!$M930)</f>
        <v/>
      </c>
      <c r="O930" t="str">
        <f t="shared" si="101"/>
        <v/>
      </c>
      <c r="P930" t="str">
        <f>IF($N930="","",LEFT($Q930,4)&amp;MID($Q930,6,2)&amp;RIGHT($Q930,2)&amp;IF(Sync!$K930="","0000",IF(AND(ISNUMBER(Sync!$K930),Sync!$K930&gt;=0,Sync!$K930&lt;1),RIGHT("00"&amp;HOUR(Sync!$K930),2)&amp;RIGHT("00"&amp;MINUTE(Sync!$K930),2),IFERROR(RIGHT("00"&amp;VALUE(LEFT(Sync!$K930,FIND(":",Sync!$K930)-1)),2)&amp;RIGHT("00"&amp;VALUE(MID(Sync!$K930,FIND(":",Sync!$K930)+1,2)),2),"0000")))&amp;"|"&amp;"2"&amp;RIGHT("00000"&amp;925,5))</f>
        <v/>
      </c>
      <c r="Q930" t="str">
        <f>IF(Sync!$J930="","",IF(ISNUMBER(Sync!$J930),IF(AND(Sync!$J930&gt;=10000101,Sync!$J930&lt;=99991231),INT(Sync!$J930/10000)&amp;"/"&amp;RIGHT("00"&amp;INT(MOD(Sync!$J930,10000)/100),2)&amp;"/"&amp;RIGHT("00"&amp;MOD(Sync!$J930,100),2),"نامعتبر"),IF(LEN(Sync!$J930)=10,Sync!$J930,"نامعتبر")))</f>
        <v/>
      </c>
      <c r="R930" t="str">
        <f t="shared" si="102"/>
        <v/>
      </c>
      <c r="S930" t="str">
        <f t="shared" si="103"/>
        <v/>
      </c>
      <c r="T930" t="str">
        <f>IF($N930="","",IF(Sync!$N930="",0,Sync!$N930))</f>
        <v/>
      </c>
      <c r="U930" t="str">
        <f>IF($N930="","",IF(Sync!$O930="",0,Sync!$O930))</f>
        <v/>
      </c>
      <c r="V930" t="str">
        <f>IF($N930="","",Sync!$L930)</f>
        <v/>
      </c>
      <c r="W930" t="str">
        <f>IF($N930="","",Sync!$P930)</f>
        <v/>
      </c>
      <c r="AA930" t="str">
        <f>IF($A930="","",IF(COUNTIF($A$6:$A930,$A930)=1,1,0))</f>
        <v/>
      </c>
      <c r="AB930">
        <f>SUM($AA$6:$AA930)</f>
        <v>3</v>
      </c>
      <c r="AC930" t="str">
        <f t="shared" si="104"/>
        <v/>
      </c>
    </row>
    <row r="931" spans="1:29" x14ac:dyDescent="0.2">
      <c r="A931" t="str">
        <f>IF(OR(Entry!$B934="",Entry!$E934="",$E931="نامعتبر"),"",Entry!$E934)</f>
        <v/>
      </c>
      <c r="B931" t="str">
        <f>IF($A931="","",LEFT($E931,4)&amp;MID($E931,6,2)&amp;RIGHT($E931,2)&amp;$F931&amp;"|"&amp;"1"&amp;RIGHT("00000"&amp;926,5))</f>
        <v/>
      </c>
      <c r="C931" t="str">
        <f t="shared" si="98"/>
        <v/>
      </c>
      <c r="D931" t="str">
        <f t="shared" si="99"/>
        <v/>
      </c>
      <c r="E931" t="str">
        <f>IF(Entry!$B934="","",IF(ISNUMBER(Entry!$B934),IF(AND(Entry!$B934&gt;=10000101,Entry!$B934&lt;=99991231),INT(Entry!$B934/10000)&amp;"/"&amp;RIGHT("00"&amp;INT(MOD(Entry!$B934,10000)/100),2)&amp;"/"&amp;RIGHT("00"&amp;MOD(Entry!$B934,100),2),"نامعتبر"),IF(LEN(Entry!$B934)=10,Entry!$B934,"نامعتبر")))</f>
        <v/>
      </c>
      <c r="F931" t="str">
        <f>IF(Entry!$B934="","",IF(Entry!$C934="","0000",IF(AND(ISNUMBER(Entry!$C934),Entry!$C934&gt;=0,Entry!$C934&lt;1),RIGHT("00"&amp;HOUR(Entry!$C934),2)&amp;RIGHT("00"&amp;MINUTE(Entry!$C934),2),IFERROR(RIGHT("00"&amp;VALUE(LEFT(Entry!$C934,FIND(":",Entry!$C934)-1)),2)&amp;RIGHT("00"&amp;VALUE(MID(Entry!$C934,FIND(":",Entry!$C934)+1,2)),2),"0000"))))</f>
        <v/>
      </c>
      <c r="G931" t="str">
        <f>IF($A931="","",Entry!$G934)</f>
        <v/>
      </c>
      <c r="H931" t="str">
        <f>IF($A931="","",IF(Entry!$H934="",0,Entry!$H934))</f>
        <v/>
      </c>
      <c r="I931" t="str">
        <f>IF($A931="","",IF(Entry!$I934="",0,Entry!$I934))</f>
        <v/>
      </c>
      <c r="J931" t="str">
        <f t="shared" si="100"/>
        <v/>
      </c>
      <c r="K931" t="str">
        <f>IF($A931="","",Entry!$D934)</f>
        <v/>
      </c>
      <c r="L931" t="str">
        <f>IF($A931="","",Entry!$L934)</f>
        <v/>
      </c>
      <c r="N931" t="str">
        <f>IF(OR(Sync!$M931="",$Q931="",$Q931="نامعتبر"),"",Sync!$M931)</f>
        <v/>
      </c>
      <c r="O931" t="str">
        <f t="shared" si="101"/>
        <v/>
      </c>
      <c r="P931" t="str">
        <f>IF($N931="","",LEFT($Q931,4)&amp;MID($Q931,6,2)&amp;RIGHT($Q931,2)&amp;IF(Sync!$K931="","0000",IF(AND(ISNUMBER(Sync!$K931),Sync!$K931&gt;=0,Sync!$K931&lt;1),RIGHT("00"&amp;HOUR(Sync!$K931),2)&amp;RIGHT("00"&amp;MINUTE(Sync!$K931),2),IFERROR(RIGHT("00"&amp;VALUE(LEFT(Sync!$K931,FIND(":",Sync!$K931)-1)),2)&amp;RIGHT("00"&amp;VALUE(MID(Sync!$K931,FIND(":",Sync!$K931)+1,2)),2),"0000")))&amp;"|"&amp;"2"&amp;RIGHT("00000"&amp;926,5))</f>
        <v/>
      </c>
      <c r="Q931" t="str">
        <f>IF(Sync!$J931="","",IF(ISNUMBER(Sync!$J931),IF(AND(Sync!$J931&gt;=10000101,Sync!$J931&lt;=99991231),INT(Sync!$J931/10000)&amp;"/"&amp;RIGHT("00"&amp;INT(MOD(Sync!$J931,10000)/100),2)&amp;"/"&amp;RIGHT("00"&amp;MOD(Sync!$J931,100),2),"نامعتبر"),IF(LEN(Sync!$J931)=10,Sync!$J931,"نامعتبر")))</f>
        <v/>
      </c>
      <c r="R931" t="str">
        <f t="shared" si="102"/>
        <v/>
      </c>
      <c r="S931" t="str">
        <f t="shared" si="103"/>
        <v/>
      </c>
      <c r="T931" t="str">
        <f>IF($N931="","",IF(Sync!$N931="",0,Sync!$N931))</f>
        <v/>
      </c>
      <c r="U931" t="str">
        <f>IF($N931="","",IF(Sync!$O931="",0,Sync!$O931))</f>
        <v/>
      </c>
      <c r="V931" t="str">
        <f>IF($N931="","",Sync!$L931)</f>
        <v/>
      </c>
      <c r="W931" t="str">
        <f>IF($N931="","",Sync!$P931)</f>
        <v/>
      </c>
      <c r="AA931" t="str">
        <f>IF($A931="","",IF(COUNTIF($A$6:$A931,$A931)=1,1,0))</f>
        <v/>
      </c>
      <c r="AB931">
        <f>SUM($AA$6:$AA931)</f>
        <v>3</v>
      </c>
      <c r="AC931" t="str">
        <f t="shared" si="104"/>
        <v/>
      </c>
    </row>
    <row r="932" spans="1:29" x14ac:dyDescent="0.2">
      <c r="A932" t="str">
        <f>IF(OR(Entry!$B935="",Entry!$E935="",$E932="نامعتبر"),"",Entry!$E935)</f>
        <v/>
      </c>
      <c r="B932" t="str">
        <f>IF($A932="","",LEFT($E932,4)&amp;MID($E932,6,2)&amp;RIGHT($E932,2)&amp;$F932&amp;"|"&amp;"1"&amp;RIGHT("00000"&amp;927,5))</f>
        <v/>
      </c>
      <c r="C932" t="str">
        <f t="shared" si="98"/>
        <v/>
      </c>
      <c r="D932" t="str">
        <f t="shared" si="99"/>
        <v/>
      </c>
      <c r="E932" t="str">
        <f>IF(Entry!$B935="","",IF(ISNUMBER(Entry!$B935),IF(AND(Entry!$B935&gt;=10000101,Entry!$B935&lt;=99991231),INT(Entry!$B935/10000)&amp;"/"&amp;RIGHT("00"&amp;INT(MOD(Entry!$B935,10000)/100),2)&amp;"/"&amp;RIGHT("00"&amp;MOD(Entry!$B935,100),2),"نامعتبر"),IF(LEN(Entry!$B935)=10,Entry!$B935,"نامعتبر")))</f>
        <v/>
      </c>
      <c r="F932" t="str">
        <f>IF(Entry!$B935="","",IF(Entry!$C935="","0000",IF(AND(ISNUMBER(Entry!$C935),Entry!$C935&gt;=0,Entry!$C935&lt;1),RIGHT("00"&amp;HOUR(Entry!$C935),2)&amp;RIGHT("00"&amp;MINUTE(Entry!$C935),2),IFERROR(RIGHT("00"&amp;VALUE(LEFT(Entry!$C935,FIND(":",Entry!$C935)-1)),2)&amp;RIGHT("00"&amp;VALUE(MID(Entry!$C935,FIND(":",Entry!$C935)+1,2)),2),"0000"))))</f>
        <v/>
      </c>
      <c r="G932" t="str">
        <f>IF($A932="","",Entry!$G935)</f>
        <v/>
      </c>
      <c r="H932" t="str">
        <f>IF($A932="","",IF(Entry!$H935="",0,Entry!$H935))</f>
        <v/>
      </c>
      <c r="I932" t="str">
        <f>IF($A932="","",IF(Entry!$I935="",0,Entry!$I935))</f>
        <v/>
      </c>
      <c r="J932" t="str">
        <f t="shared" si="100"/>
        <v/>
      </c>
      <c r="K932" t="str">
        <f>IF($A932="","",Entry!$D935)</f>
        <v/>
      </c>
      <c r="L932" t="str">
        <f>IF($A932="","",Entry!$L935)</f>
        <v/>
      </c>
      <c r="N932" t="str">
        <f>IF(OR(Sync!$M932="",$Q932="",$Q932="نامعتبر"),"",Sync!$M932)</f>
        <v/>
      </c>
      <c r="O932" t="str">
        <f t="shared" si="101"/>
        <v/>
      </c>
      <c r="P932" t="str">
        <f>IF($N932="","",LEFT($Q932,4)&amp;MID($Q932,6,2)&amp;RIGHT($Q932,2)&amp;IF(Sync!$K932="","0000",IF(AND(ISNUMBER(Sync!$K932),Sync!$K932&gt;=0,Sync!$K932&lt;1),RIGHT("00"&amp;HOUR(Sync!$K932),2)&amp;RIGHT("00"&amp;MINUTE(Sync!$K932),2),IFERROR(RIGHT("00"&amp;VALUE(LEFT(Sync!$K932,FIND(":",Sync!$K932)-1)),2)&amp;RIGHT("00"&amp;VALUE(MID(Sync!$K932,FIND(":",Sync!$K932)+1,2)),2),"0000")))&amp;"|"&amp;"2"&amp;RIGHT("00000"&amp;927,5))</f>
        <v/>
      </c>
      <c r="Q932" t="str">
        <f>IF(Sync!$J932="","",IF(ISNUMBER(Sync!$J932),IF(AND(Sync!$J932&gt;=10000101,Sync!$J932&lt;=99991231),INT(Sync!$J932/10000)&amp;"/"&amp;RIGHT("00"&amp;INT(MOD(Sync!$J932,10000)/100),2)&amp;"/"&amp;RIGHT("00"&amp;MOD(Sync!$J932,100),2),"نامعتبر"),IF(LEN(Sync!$J932)=10,Sync!$J932,"نامعتبر")))</f>
        <v/>
      </c>
      <c r="R932" t="str">
        <f t="shared" si="102"/>
        <v/>
      </c>
      <c r="S932" t="str">
        <f t="shared" si="103"/>
        <v/>
      </c>
      <c r="T932" t="str">
        <f>IF($N932="","",IF(Sync!$N932="",0,Sync!$N932))</f>
        <v/>
      </c>
      <c r="U932" t="str">
        <f>IF($N932="","",IF(Sync!$O932="",0,Sync!$O932))</f>
        <v/>
      </c>
      <c r="V932" t="str">
        <f>IF($N932="","",Sync!$L932)</f>
        <v/>
      </c>
      <c r="W932" t="str">
        <f>IF($N932="","",Sync!$P932)</f>
        <v/>
      </c>
      <c r="AA932" t="str">
        <f>IF($A932="","",IF(COUNTIF($A$6:$A932,$A932)=1,1,0))</f>
        <v/>
      </c>
      <c r="AB932">
        <f>SUM($AA$6:$AA932)</f>
        <v>3</v>
      </c>
      <c r="AC932" t="str">
        <f t="shared" si="104"/>
        <v/>
      </c>
    </row>
    <row r="933" spans="1:29" x14ac:dyDescent="0.2">
      <c r="A933" t="str">
        <f>IF(OR(Entry!$B936="",Entry!$E936="",$E933="نامعتبر"),"",Entry!$E936)</f>
        <v/>
      </c>
      <c r="B933" t="str">
        <f>IF($A933="","",LEFT($E933,4)&amp;MID($E933,6,2)&amp;RIGHT($E933,2)&amp;$F933&amp;"|"&amp;"1"&amp;RIGHT("00000"&amp;928,5))</f>
        <v/>
      </c>
      <c r="C933" t="str">
        <f t="shared" si="98"/>
        <v/>
      </c>
      <c r="D933" t="str">
        <f t="shared" si="99"/>
        <v/>
      </c>
      <c r="E933" t="str">
        <f>IF(Entry!$B936="","",IF(ISNUMBER(Entry!$B936),IF(AND(Entry!$B936&gt;=10000101,Entry!$B936&lt;=99991231),INT(Entry!$B936/10000)&amp;"/"&amp;RIGHT("00"&amp;INT(MOD(Entry!$B936,10000)/100),2)&amp;"/"&amp;RIGHT("00"&amp;MOD(Entry!$B936,100),2),"نامعتبر"),IF(LEN(Entry!$B936)=10,Entry!$B936,"نامعتبر")))</f>
        <v/>
      </c>
      <c r="F933" t="str">
        <f>IF(Entry!$B936="","",IF(Entry!$C936="","0000",IF(AND(ISNUMBER(Entry!$C936),Entry!$C936&gt;=0,Entry!$C936&lt;1),RIGHT("00"&amp;HOUR(Entry!$C936),2)&amp;RIGHT("00"&amp;MINUTE(Entry!$C936),2),IFERROR(RIGHT("00"&amp;VALUE(LEFT(Entry!$C936,FIND(":",Entry!$C936)-1)),2)&amp;RIGHT("00"&amp;VALUE(MID(Entry!$C936,FIND(":",Entry!$C936)+1,2)),2),"0000"))))</f>
        <v/>
      </c>
      <c r="G933" t="str">
        <f>IF($A933="","",Entry!$G936)</f>
        <v/>
      </c>
      <c r="H933" t="str">
        <f>IF($A933="","",IF(Entry!$H936="",0,Entry!$H936))</f>
        <v/>
      </c>
      <c r="I933" t="str">
        <f>IF($A933="","",IF(Entry!$I936="",0,Entry!$I936))</f>
        <v/>
      </c>
      <c r="J933" t="str">
        <f t="shared" si="100"/>
        <v/>
      </c>
      <c r="K933" t="str">
        <f>IF($A933="","",Entry!$D936)</f>
        <v/>
      </c>
      <c r="L933" t="str">
        <f>IF($A933="","",Entry!$L936)</f>
        <v/>
      </c>
      <c r="N933" t="str">
        <f>IF(OR(Sync!$M933="",$Q933="",$Q933="نامعتبر"),"",Sync!$M933)</f>
        <v/>
      </c>
      <c r="O933" t="str">
        <f t="shared" si="101"/>
        <v/>
      </c>
      <c r="P933" t="str">
        <f>IF($N933="","",LEFT($Q933,4)&amp;MID($Q933,6,2)&amp;RIGHT($Q933,2)&amp;IF(Sync!$K933="","0000",IF(AND(ISNUMBER(Sync!$K933),Sync!$K933&gt;=0,Sync!$K933&lt;1),RIGHT("00"&amp;HOUR(Sync!$K933),2)&amp;RIGHT("00"&amp;MINUTE(Sync!$K933),2),IFERROR(RIGHT("00"&amp;VALUE(LEFT(Sync!$K933,FIND(":",Sync!$K933)-1)),2)&amp;RIGHT("00"&amp;VALUE(MID(Sync!$K933,FIND(":",Sync!$K933)+1,2)),2),"0000")))&amp;"|"&amp;"2"&amp;RIGHT("00000"&amp;928,5))</f>
        <v/>
      </c>
      <c r="Q933" t="str">
        <f>IF(Sync!$J933="","",IF(ISNUMBER(Sync!$J933),IF(AND(Sync!$J933&gt;=10000101,Sync!$J933&lt;=99991231),INT(Sync!$J933/10000)&amp;"/"&amp;RIGHT("00"&amp;INT(MOD(Sync!$J933,10000)/100),2)&amp;"/"&amp;RIGHT("00"&amp;MOD(Sync!$J933,100),2),"نامعتبر"),IF(LEN(Sync!$J933)=10,Sync!$J933,"نامعتبر")))</f>
        <v/>
      </c>
      <c r="R933" t="str">
        <f t="shared" si="102"/>
        <v/>
      </c>
      <c r="S933" t="str">
        <f t="shared" si="103"/>
        <v/>
      </c>
      <c r="T933" t="str">
        <f>IF($N933="","",IF(Sync!$N933="",0,Sync!$N933))</f>
        <v/>
      </c>
      <c r="U933" t="str">
        <f>IF($N933="","",IF(Sync!$O933="",0,Sync!$O933))</f>
        <v/>
      </c>
      <c r="V933" t="str">
        <f>IF($N933="","",Sync!$L933)</f>
        <v/>
      </c>
      <c r="W933" t="str">
        <f>IF($N933="","",Sync!$P933)</f>
        <v/>
      </c>
      <c r="AA933" t="str">
        <f>IF($A933="","",IF(COUNTIF($A$6:$A933,$A933)=1,1,0))</f>
        <v/>
      </c>
      <c r="AB933">
        <f>SUM($AA$6:$AA933)</f>
        <v>3</v>
      </c>
      <c r="AC933" t="str">
        <f t="shared" si="104"/>
        <v/>
      </c>
    </row>
    <row r="934" spans="1:29" x14ac:dyDescent="0.2">
      <c r="A934" t="str">
        <f>IF(OR(Entry!$B937="",Entry!$E937="",$E934="نامعتبر"),"",Entry!$E937)</f>
        <v/>
      </c>
      <c r="B934" t="str">
        <f>IF($A934="","",LEFT($E934,4)&amp;MID($E934,6,2)&amp;RIGHT($E934,2)&amp;$F934&amp;"|"&amp;"1"&amp;RIGHT("00000"&amp;929,5))</f>
        <v/>
      </c>
      <c r="C934" t="str">
        <f t="shared" si="98"/>
        <v/>
      </c>
      <c r="D934" t="str">
        <f t="shared" si="99"/>
        <v/>
      </c>
      <c r="E934" t="str">
        <f>IF(Entry!$B937="","",IF(ISNUMBER(Entry!$B937),IF(AND(Entry!$B937&gt;=10000101,Entry!$B937&lt;=99991231),INT(Entry!$B937/10000)&amp;"/"&amp;RIGHT("00"&amp;INT(MOD(Entry!$B937,10000)/100),2)&amp;"/"&amp;RIGHT("00"&amp;MOD(Entry!$B937,100),2),"نامعتبر"),IF(LEN(Entry!$B937)=10,Entry!$B937,"نامعتبر")))</f>
        <v/>
      </c>
      <c r="F934" t="str">
        <f>IF(Entry!$B937="","",IF(Entry!$C937="","0000",IF(AND(ISNUMBER(Entry!$C937),Entry!$C937&gt;=0,Entry!$C937&lt;1),RIGHT("00"&amp;HOUR(Entry!$C937),2)&amp;RIGHT("00"&amp;MINUTE(Entry!$C937),2),IFERROR(RIGHT("00"&amp;VALUE(LEFT(Entry!$C937,FIND(":",Entry!$C937)-1)),2)&amp;RIGHT("00"&amp;VALUE(MID(Entry!$C937,FIND(":",Entry!$C937)+1,2)),2),"0000"))))</f>
        <v/>
      </c>
      <c r="G934" t="str">
        <f>IF($A934="","",Entry!$G937)</f>
        <v/>
      </c>
      <c r="H934" t="str">
        <f>IF($A934="","",IF(Entry!$H937="",0,Entry!$H937))</f>
        <v/>
      </c>
      <c r="I934" t="str">
        <f>IF($A934="","",IF(Entry!$I937="",0,Entry!$I937))</f>
        <v/>
      </c>
      <c r="J934" t="str">
        <f t="shared" si="100"/>
        <v/>
      </c>
      <c r="K934" t="str">
        <f>IF($A934="","",Entry!$D937)</f>
        <v/>
      </c>
      <c r="L934" t="str">
        <f>IF($A934="","",Entry!$L937)</f>
        <v/>
      </c>
      <c r="N934" t="str">
        <f>IF(OR(Sync!$M934="",$Q934="",$Q934="نامعتبر"),"",Sync!$M934)</f>
        <v/>
      </c>
      <c r="O934" t="str">
        <f t="shared" si="101"/>
        <v/>
      </c>
      <c r="P934" t="str">
        <f>IF($N934="","",LEFT($Q934,4)&amp;MID($Q934,6,2)&amp;RIGHT($Q934,2)&amp;IF(Sync!$K934="","0000",IF(AND(ISNUMBER(Sync!$K934),Sync!$K934&gt;=0,Sync!$K934&lt;1),RIGHT("00"&amp;HOUR(Sync!$K934),2)&amp;RIGHT("00"&amp;MINUTE(Sync!$K934),2),IFERROR(RIGHT("00"&amp;VALUE(LEFT(Sync!$K934,FIND(":",Sync!$K934)-1)),2)&amp;RIGHT("00"&amp;VALUE(MID(Sync!$K934,FIND(":",Sync!$K934)+1,2)),2),"0000")))&amp;"|"&amp;"2"&amp;RIGHT("00000"&amp;929,5))</f>
        <v/>
      </c>
      <c r="Q934" t="str">
        <f>IF(Sync!$J934="","",IF(ISNUMBER(Sync!$J934),IF(AND(Sync!$J934&gt;=10000101,Sync!$J934&lt;=99991231),INT(Sync!$J934/10000)&amp;"/"&amp;RIGHT("00"&amp;INT(MOD(Sync!$J934,10000)/100),2)&amp;"/"&amp;RIGHT("00"&amp;MOD(Sync!$J934,100),2),"نامعتبر"),IF(LEN(Sync!$J934)=10,Sync!$J934,"نامعتبر")))</f>
        <v/>
      </c>
      <c r="R934" t="str">
        <f t="shared" si="102"/>
        <v/>
      </c>
      <c r="S934" t="str">
        <f t="shared" si="103"/>
        <v/>
      </c>
      <c r="T934" t="str">
        <f>IF($N934="","",IF(Sync!$N934="",0,Sync!$N934))</f>
        <v/>
      </c>
      <c r="U934" t="str">
        <f>IF($N934="","",IF(Sync!$O934="",0,Sync!$O934))</f>
        <v/>
      </c>
      <c r="V934" t="str">
        <f>IF($N934="","",Sync!$L934)</f>
        <v/>
      </c>
      <c r="W934" t="str">
        <f>IF($N934="","",Sync!$P934)</f>
        <v/>
      </c>
      <c r="AA934" t="str">
        <f>IF($A934="","",IF(COUNTIF($A$6:$A934,$A934)=1,1,0))</f>
        <v/>
      </c>
      <c r="AB934">
        <f>SUM($AA$6:$AA934)</f>
        <v>3</v>
      </c>
      <c r="AC934" t="str">
        <f t="shared" si="104"/>
        <v/>
      </c>
    </row>
    <row r="935" spans="1:29" x14ac:dyDescent="0.2">
      <c r="A935" t="str">
        <f>IF(OR(Entry!$B938="",Entry!$E938="",$E935="نامعتبر"),"",Entry!$E938)</f>
        <v/>
      </c>
      <c r="B935" t="str">
        <f>IF($A935="","",LEFT($E935,4)&amp;MID($E935,6,2)&amp;RIGHT($E935,2)&amp;$F935&amp;"|"&amp;"1"&amp;RIGHT("00000"&amp;930,5))</f>
        <v/>
      </c>
      <c r="C935" t="str">
        <f t="shared" si="98"/>
        <v/>
      </c>
      <c r="D935" t="str">
        <f t="shared" si="99"/>
        <v/>
      </c>
      <c r="E935" t="str">
        <f>IF(Entry!$B938="","",IF(ISNUMBER(Entry!$B938),IF(AND(Entry!$B938&gt;=10000101,Entry!$B938&lt;=99991231),INT(Entry!$B938/10000)&amp;"/"&amp;RIGHT("00"&amp;INT(MOD(Entry!$B938,10000)/100),2)&amp;"/"&amp;RIGHT("00"&amp;MOD(Entry!$B938,100),2),"نامعتبر"),IF(LEN(Entry!$B938)=10,Entry!$B938,"نامعتبر")))</f>
        <v/>
      </c>
      <c r="F935" t="str">
        <f>IF(Entry!$B938="","",IF(Entry!$C938="","0000",IF(AND(ISNUMBER(Entry!$C938),Entry!$C938&gt;=0,Entry!$C938&lt;1),RIGHT("00"&amp;HOUR(Entry!$C938),2)&amp;RIGHT("00"&amp;MINUTE(Entry!$C938),2),IFERROR(RIGHT("00"&amp;VALUE(LEFT(Entry!$C938,FIND(":",Entry!$C938)-1)),2)&amp;RIGHT("00"&amp;VALUE(MID(Entry!$C938,FIND(":",Entry!$C938)+1,2)),2),"0000"))))</f>
        <v/>
      </c>
      <c r="G935" t="str">
        <f>IF($A935="","",Entry!$G938)</f>
        <v/>
      </c>
      <c r="H935" t="str">
        <f>IF($A935="","",IF(Entry!$H938="",0,Entry!$H938))</f>
        <v/>
      </c>
      <c r="I935" t="str">
        <f>IF($A935="","",IF(Entry!$I938="",0,Entry!$I938))</f>
        <v/>
      </c>
      <c r="J935" t="str">
        <f t="shared" si="100"/>
        <v/>
      </c>
      <c r="K935" t="str">
        <f>IF($A935="","",Entry!$D938)</f>
        <v/>
      </c>
      <c r="L935" t="str">
        <f>IF($A935="","",Entry!$L938)</f>
        <v/>
      </c>
      <c r="N935" t="str">
        <f>IF(OR(Sync!$M935="",$Q935="",$Q935="نامعتبر"),"",Sync!$M935)</f>
        <v/>
      </c>
      <c r="O935" t="str">
        <f t="shared" si="101"/>
        <v/>
      </c>
      <c r="P935" t="str">
        <f>IF($N935="","",LEFT($Q935,4)&amp;MID($Q935,6,2)&amp;RIGHT($Q935,2)&amp;IF(Sync!$K935="","0000",IF(AND(ISNUMBER(Sync!$K935),Sync!$K935&gt;=0,Sync!$K935&lt;1),RIGHT("00"&amp;HOUR(Sync!$K935),2)&amp;RIGHT("00"&amp;MINUTE(Sync!$K935),2),IFERROR(RIGHT("00"&amp;VALUE(LEFT(Sync!$K935,FIND(":",Sync!$K935)-1)),2)&amp;RIGHT("00"&amp;VALUE(MID(Sync!$K935,FIND(":",Sync!$K935)+1,2)),2),"0000")))&amp;"|"&amp;"2"&amp;RIGHT("00000"&amp;930,5))</f>
        <v/>
      </c>
      <c r="Q935" t="str">
        <f>IF(Sync!$J935="","",IF(ISNUMBER(Sync!$J935),IF(AND(Sync!$J935&gt;=10000101,Sync!$J935&lt;=99991231),INT(Sync!$J935/10000)&amp;"/"&amp;RIGHT("00"&amp;INT(MOD(Sync!$J935,10000)/100),2)&amp;"/"&amp;RIGHT("00"&amp;MOD(Sync!$J935,100),2),"نامعتبر"),IF(LEN(Sync!$J935)=10,Sync!$J935,"نامعتبر")))</f>
        <v/>
      </c>
      <c r="R935" t="str">
        <f t="shared" si="102"/>
        <v/>
      </c>
      <c r="S935" t="str">
        <f t="shared" si="103"/>
        <v/>
      </c>
      <c r="T935" t="str">
        <f>IF($N935="","",IF(Sync!$N935="",0,Sync!$N935))</f>
        <v/>
      </c>
      <c r="U935" t="str">
        <f>IF($N935="","",IF(Sync!$O935="",0,Sync!$O935))</f>
        <v/>
      </c>
      <c r="V935" t="str">
        <f>IF($N935="","",Sync!$L935)</f>
        <v/>
      </c>
      <c r="W935" t="str">
        <f>IF($N935="","",Sync!$P935)</f>
        <v/>
      </c>
      <c r="AA935" t="str">
        <f>IF($A935="","",IF(COUNTIF($A$6:$A935,$A935)=1,1,0))</f>
        <v/>
      </c>
      <c r="AB935">
        <f>SUM($AA$6:$AA935)</f>
        <v>3</v>
      </c>
      <c r="AC935" t="str">
        <f t="shared" si="104"/>
        <v/>
      </c>
    </row>
    <row r="936" spans="1:29" x14ac:dyDescent="0.2">
      <c r="A936" t="str">
        <f>IF(OR(Entry!$B939="",Entry!$E939="",$E936="نامعتبر"),"",Entry!$E939)</f>
        <v/>
      </c>
      <c r="B936" t="str">
        <f>IF($A936="","",LEFT($E936,4)&amp;MID($E936,6,2)&amp;RIGHT($E936,2)&amp;$F936&amp;"|"&amp;"1"&amp;RIGHT("00000"&amp;931,5))</f>
        <v/>
      </c>
      <c r="C936" t="str">
        <f t="shared" si="98"/>
        <v/>
      </c>
      <c r="D936" t="str">
        <f t="shared" si="99"/>
        <v/>
      </c>
      <c r="E936" t="str">
        <f>IF(Entry!$B939="","",IF(ISNUMBER(Entry!$B939),IF(AND(Entry!$B939&gt;=10000101,Entry!$B939&lt;=99991231),INT(Entry!$B939/10000)&amp;"/"&amp;RIGHT("00"&amp;INT(MOD(Entry!$B939,10000)/100),2)&amp;"/"&amp;RIGHT("00"&amp;MOD(Entry!$B939,100),2),"نامعتبر"),IF(LEN(Entry!$B939)=10,Entry!$B939,"نامعتبر")))</f>
        <v/>
      </c>
      <c r="F936" t="str">
        <f>IF(Entry!$B939="","",IF(Entry!$C939="","0000",IF(AND(ISNUMBER(Entry!$C939),Entry!$C939&gt;=0,Entry!$C939&lt;1),RIGHT("00"&amp;HOUR(Entry!$C939),2)&amp;RIGHT("00"&amp;MINUTE(Entry!$C939),2),IFERROR(RIGHT("00"&amp;VALUE(LEFT(Entry!$C939,FIND(":",Entry!$C939)-1)),2)&amp;RIGHT("00"&amp;VALUE(MID(Entry!$C939,FIND(":",Entry!$C939)+1,2)),2),"0000"))))</f>
        <v/>
      </c>
      <c r="G936" t="str">
        <f>IF($A936="","",Entry!$G939)</f>
        <v/>
      </c>
      <c r="H936" t="str">
        <f>IF($A936="","",IF(Entry!$H939="",0,Entry!$H939))</f>
        <v/>
      </c>
      <c r="I936" t="str">
        <f>IF($A936="","",IF(Entry!$I939="",0,Entry!$I939))</f>
        <v/>
      </c>
      <c r="J936" t="str">
        <f t="shared" si="100"/>
        <v/>
      </c>
      <c r="K936" t="str">
        <f>IF($A936="","",Entry!$D939)</f>
        <v/>
      </c>
      <c r="L936" t="str">
        <f>IF($A936="","",Entry!$L939)</f>
        <v/>
      </c>
      <c r="N936" t="str">
        <f>IF(OR(Sync!$M936="",$Q936="",$Q936="نامعتبر"),"",Sync!$M936)</f>
        <v/>
      </c>
      <c r="O936" t="str">
        <f t="shared" si="101"/>
        <v/>
      </c>
      <c r="P936" t="str">
        <f>IF($N936="","",LEFT($Q936,4)&amp;MID($Q936,6,2)&amp;RIGHT($Q936,2)&amp;IF(Sync!$K936="","0000",IF(AND(ISNUMBER(Sync!$K936),Sync!$K936&gt;=0,Sync!$K936&lt;1),RIGHT("00"&amp;HOUR(Sync!$K936),2)&amp;RIGHT("00"&amp;MINUTE(Sync!$K936),2),IFERROR(RIGHT("00"&amp;VALUE(LEFT(Sync!$K936,FIND(":",Sync!$K936)-1)),2)&amp;RIGHT("00"&amp;VALUE(MID(Sync!$K936,FIND(":",Sync!$K936)+1,2)),2),"0000")))&amp;"|"&amp;"2"&amp;RIGHT("00000"&amp;931,5))</f>
        <v/>
      </c>
      <c r="Q936" t="str">
        <f>IF(Sync!$J936="","",IF(ISNUMBER(Sync!$J936),IF(AND(Sync!$J936&gt;=10000101,Sync!$J936&lt;=99991231),INT(Sync!$J936/10000)&amp;"/"&amp;RIGHT("00"&amp;INT(MOD(Sync!$J936,10000)/100),2)&amp;"/"&amp;RIGHT("00"&amp;MOD(Sync!$J936,100),2),"نامعتبر"),IF(LEN(Sync!$J936)=10,Sync!$J936,"نامعتبر")))</f>
        <v/>
      </c>
      <c r="R936" t="str">
        <f t="shared" si="102"/>
        <v/>
      </c>
      <c r="S936" t="str">
        <f t="shared" si="103"/>
        <v/>
      </c>
      <c r="T936" t="str">
        <f>IF($N936="","",IF(Sync!$N936="",0,Sync!$N936))</f>
        <v/>
      </c>
      <c r="U936" t="str">
        <f>IF($N936="","",IF(Sync!$O936="",0,Sync!$O936))</f>
        <v/>
      </c>
      <c r="V936" t="str">
        <f>IF($N936="","",Sync!$L936)</f>
        <v/>
      </c>
      <c r="W936" t="str">
        <f>IF($N936="","",Sync!$P936)</f>
        <v/>
      </c>
      <c r="AA936" t="str">
        <f>IF($A936="","",IF(COUNTIF($A$6:$A936,$A936)=1,1,0))</f>
        <v/>
      </c>
      <c r="AB936">
        <f>SUM($AA$6:$AA936)</f>
        <v>3</v>
      </c>
      <c r="AC936" t="str">
        <f t="shared" si="104"/>
        <v/>
      </c>
    </row>
    <row r="937" spans="1:29" x14ac:dyDescent="0.2">
      <c r="A937" t="str">
        <f>IF(OR(Entry!$B940="",Entry!$E940="",$E937="نامعتبر"),"",Entry!$E940)</f>
        <v/>
      </c>
      <c r="B937" t="str">
        <f>IF($A937="","",LEFT($E937,4)&amp;MID($E937,6,2)&amp;RIGHT($E937,2)&amp;$F937&amp;"|"&amp;"1"&amp;RIGHT("00000"&amp;932,5))</f>
        <v/>
      </c>
      <c r="C937" t="str">
        <f t="shared" si="98"/>
        <v/>
      </c>
      <c r="D937" t="str">
        <f t="shared" si="99"/>
        <v/>
      </c>
      <c r="E937" t="str">
        <f>IF(Entry!$B940="","",IF(ISNUMBER(Entry!$B940),IF(AND(Entry!$B940&gt;=10000101,Entry!$B940&lt;=99991231),INT(Entry!$B940/10000)&amp;"/"&amp;RIGHT("00"&amp;INT(MOD(Entry!$B940,10000)/100),2)&amp;"/"&amp;RIGHT("00"&amp;MOD(Entry!$B940,100),2),"نامعتبر"),IF(LEN(Entry!$B940)=10,Entry!$B940,"نامعتبر")))</f>
        <v/>
      </c>
      <c r="F937" t="str">
        <f>IF(Entry!$B940="","",IF(Entry!$C940="","0000",IF(AND(ISNUMBER(Entry!$C940),Entry!$C940&gt;=0,Entry!$C940&lt;1),RIGHT("00"&amp;HOUR(Entry!$C940),2)&amp;RIGHT("00"&amp;MINUTE(Entry!$C940),2),IFERROR(RIGHT("00"&amp;VALUE(LEFT(Entry!$C940,FIND(":",Entry!$C940)-1)),2)&amp;RIGHT("00"&amp;VALUE(MID(Entry!$C940,FIND(":",Entry!$C940)+1,2)),2),"0000"))))</f>
        <v/>
      </c>
      <c r="G937" t="str">
        <f>IF($A937="","",Entry!$G940)</f>
        <v/>
      </c>
      <c r="H937" t="str">
        <f>IF($A937="","",IF(Entry!$H940="",0,Entry!$H940))</f>
        <v/>
      </c>
      <c r="I937" t="str">
        <f>IF($A937="","",IF(Entry!$I940="",0,Entry!$I940))</f>
        <v/>
      </c>
      <c r="J937" t="str">
        <f t="shared" si="100"/>
        <v/>
      </c>
      <c r="K937" t="str">
        <f>IF($A937="","",Entry!$D940)</f>
        <v/>
      </c>
      <c r="L937" t="str">
        <f>IF($A937="","",Entry!$L940)</f>
        <v/>
      </c>
      <c r="N937" t="str">
        <f>IF(OR(Sync!$M937="",$Q937="",$Q937="نامعتبر"),"",Sync!$M937)</f>
        <v/>
      </c>
      <c r="O937" t="str">
        <f t="shared" si="101"/>
        <v/>
      </c>
      <c r="P937" t="str">
        <f>IF($N937="","",LEFT($Q937,4)&amp;MID($Q937,6,2)&amp;RIGHT($Q937,2)&amp;IF(Sync!$K937="","0000",IF(AND(ISNUMBER(Sync!$K937),Sync!$K937&gt;=0,Sync!$K937&lt;1),RIGHT("00"&amp;HOUR(Sync!$K937),2)&amp;RIGHT("00"&amp;MINUTE(Sync!$K937),2),IFERROR(RIGHT("00"&amp;VALUE(LEFT(Sync!$K937,FIND(":",Sync!$K937)-1)),2)&amp;RIGHT("00"&amp;VALUE(MID(Sync!$K937,FIND(":",Sync!$K937)+1,2)),2),"0000")))&amp;"|"&amp;"2"&amp;RIGHT("00000"&amp;932,5))</f>
        <v/>
      </c>
      <c r="Q937" t="str">
        <f>IF(Sync!$J937="","",IF(ISNUMBER(Sync!$J937),IF(AND(Sync!$J937&gt;=10000101,Sync!$J937&lt;=99991231),INT(Sync!$J937/10000)&amp;"/"&amp;RIGHT("00"&amp;INT(MOD(Sync!$J937,10000)/100),2)&amp;"/"&amp;RIGHT("00"&amp;MOD(Sync!$J937,100),2),"نامعتبر"),IF(LEN(Sync!$J937)=10,Sync!$J937,"نامعتبر")))</f>
        <v/>
      </c>
      <c r="R937" t="str">
        <f t="shared" si="102"/>
        <v/>
      </c>
      <c r="S937" t="str">
        <f t="shared" si="103"/>
        <v/>
      </c>
      <c r="T937" t="str">
        <f>IF($N937="","",IF(Sync!$N937="",0,Sync!$N937))</f>
        <v/>
      </c>
      <c r="U937" t="str">
        <f>IF($N937="","",IF(Sync!$O937="",0,Sync!$O937))</f>
        <v/>
      </c>
      <c r="V937" t="str">
        <f>IF($N937="","",Sync!$L937)</f>
        <v/>
      </c>
      <c r="W937" t="str">
        <f>IF($N937="","",Sync!$P937)</f>
        <v/>
      </c>
      <c r="AA937" t="str">
        <f>IF($A937="","",IF(COUNTIF($A$6:$A937,$A937)=1,1,0))</f>
        <v/>
      </c>
      <c r="AB937">
        <f>SUM($AA$6:$AA937)</f>
        <v>3</v>
      </c>
      <c r="AC937" t="str">
        <f t="shared" si="104"/>
        <v/>
      </c>
    </row>
    <row r="938" spans="1:29" x14ac:dyDescent="0.2">
      <c r="A938" t="str">
        <f>IF(OR(Entry!$B941="",Entry!$E941="",$E938="نامعتبر"),"",Entry!$E941)</f>
        <v/>
      </c>
      <c r="B938" t="str">
        <f>IF($A938="","",LEFT($E938,4)&amp;MID($E938,6,2)&amp;RIGHT($E938,2)&amp;$F938&amp;"|"&amp;"1"&amp;RIGHT("00000"&amp;933,5))</f>
        <v/>
      </c>
      <c r="C938" t="str">
        <f t="shared" si="98"/>
        <v/>
      </c>
      <c r="D938" t="str">
        <f t="shared" si="99"/>
        <v/>
      </c>
      <c r="E938" t="str">
        <f>IF(Entry!$B941="","",IF(ISNUMBER(Entry!$B941),IF(AND(Entry!$B941&gt;=10000101,Entry!$B941&lt;=99991231),INT(Entry!$B941/10000)&amp;"/"&amp;RIGHT("00"&amp;INT(MOD(Entry!$B941,10000)/100),2)&amp;"/"&amp;RIGHT("00"&amp;MOD(Entry!$B941,100),2),"نامعتبر"),IF(LEN(Entry!$B941)=10,Entry!$B941,"نامعتبر")))</f>
        <v/>
      </c>
      <c r="F938" t="str">
        <f>IF(Entry!$B941="","",IF(Entry!$C941="","0000",IF(AND(ISNUMBER(Entry!$C941),Entry!$C941&gt;=0,Entry!$C941&lt;1),RIGHT("00"&amp;HOUR(Entry!$C941),2)&amp;RIGHT("00"&amp;MINUTE(Entry!$C941),2),IFERROR(RIGHT("00"&amp;VALUE(LEFT(Entry!$C941,FIND(":",Entry!$C941)-1)),2)&amp;RIGHT("00"&amp;VALUE(MID(Entry!$C941,FIND(":",Entry!$C941)+1,2)),2),"0000"))))</f>
        <v/>
      </c>
      <c r="G938" t="str">
        <f>IF($A938="","",Entry!$G941)</f>
        <v/>
      </c>
      <c r="H938" t="str">
        <f>IF($A938="","",IF(Entry!$H941="",0,Entry!$H941))</f>
        <v/>
      </c>
      <c r="I938" t="str">
        <f>IF($A938="","",IF(Entry!$I941="",0,Entry!$I941))</f>
        <v/>
      </c>
      <c r="J938" t="str">
        <f t="shared" si="100"/>
        <v/>
      </c>
      <c r="K938" t="str">
        <f>IF($A938="","",Entry!$D941)</f>
        <v/>
      </c>
      <c r="L938" t="str">
        <f>IF($A938="","",Entry!$L941)</f>
        <v/>
      </c>
      <c r="N938" t="str">
        <f>IF(OR(Sync!$M938="",$Q938="",$Q938="نامعتبر"),"",Sync!$M938)</f>
        <v/>
      </c>
      <c r="O938" t="str">
        <f t="shared" si="101"/>
        <v/>
      </c>
      <c r="P938" t="str">
        <f>IF($N938="","",LEFT($Q938,4)&amp;MID($Q938,6,2)&amp;RIGHT($Q938,2)&amp;IF(Sync!$K938="","0000",IF(AND(ISNUMBER(Sync!$K938),Sync!$K938&gt;=0,Sync!$K938&lt;1),RIGHT("00"&amp;HOUR(Sync!$K938),2)&amp;RIGHT("00"&amp;MINUTE(Sync!$K938),2),IFERROR(RIGHT("00"&amp;VALUE(LEFT(Sync!$K938,FIND(":",Sync!$K938)-1)),2)&amp;RIGHT("00"&amp;VALUE(MID(Sync!$K938,FIND(":",Sync!$K938)+1,2)),2),"0000")))&amp;"|"&amp;"2"&amp;RIGHT("00000"&amp;933,5))</f>
        <v/>
      </c>
      <c r="Q938" t="str">
        <f>IF(Sync!$J938="","",IF(ISNUMBER(Sync!$J938),IF(AND(Sync!$J938&gt;=10000101,Sync!$J938&lt;=99991231),INT(Sync!$J938/10000)&amp;"/"&amp;RIGHT("00"&amp;INT(MOD(Sync!$J938,10000)/100),2)&amp;"/"&amp;RIGHT("00"&amp;MOD(Sync!$J938,100),2),"نامعتبر"),IF(LEN(Sync!$J938)=10,Sync!$J938,"نامعتبر")))</f>
        <v/>
      </c>
      <c r="R938" t="str">
        <f t="shared" si="102"/>
        <v/>
      </c>
      <c r="S938" t="str">
        <f t="shared" si="103"/>
        <v/>
      </c>
      <c r="T938" t="str">
        <f>IF($N938="","",IF(Sync!$N938="",0,Sync!$N938))</f>
        <v/>
      </c>
      <c r="U938" t="str">
        <f>IF($N938="","",IF(Sync!$O938="",0,Sync!$O938))</f>
        <v/>
      </c>
      <c r="V938" t="str">
        <f>IF($N938="","",Sync!$L938)</f>
        <v/>
      </c>
      <c r="W938" t="str">
        <f>IF($N938="","",Sync!$P938)</f>
        <v/>
      </c>
      <c r="AA938" t="str">
        <f>IF($A938="","",IF(COUNTIF($A$6:$A938,$A938)=1,1,0))</f>
        <v/>
      </c>
      <c r="AB938">
        <f>SUM($AA$6:$AA938)</f>
        <v>3</v>
      </c>
      <c r="AC938" t="str">
        <f t="shared" si="104"/>
        <v/>
      </c>
    </row>
    <row r="939" spans="1:29" x14ac:dyDescent="0.2">
      <c r="A939" t="str">
        <f>IF(OR(Entry!$B942="",Entry!$E942="",$E939="نامعتبر"),"",Entry!$E942)</f>
        <v/>
      </c>
      <c r="B939" t="str">
        <f>IF($A939="","",LEFT($E939,4)&amp;MID($E939,6,2)&amp;RIGHT($E939,2)&amp;$F939&amp;"|"&amp;"1"&amp;RIGHT("00000"&amp;934,5))</f>
        <v/>
      </c>
      <c r="C939" t="str">
        <f t="shared" si="98"/>
        <v/>
      </c>
      <c r="D939" t="str">
        <f t="shared" si="99"/>
        <v/>
      </c>
      <c r="E939" t="str">
        <f>IF(Entry!$B942="","",IF(ISNUMBER(Entry!$B942),IF(AND(Entry!$B942&gt;=10000101,Entry!$B942&lt;=99991231),INT(Entry!$B942/10000)&amp;"/"&amp;RIGHT("00"&amp;INT(MOD(Entry!$B942,10000)/100),2)&amp;"/"&amp;RIGHT("00"&amp;MOD(Entry!$B942,100),2),"نامعتبر"),IF(LEN(Entry!$B942)=10,Entry!$B942,"نامعتبر")))</f>
        <v/>
      </c>
      <c r="F939" t="str">
        <f>IF(Entry!$B942="","",IF(Entry!$C942="","0000",IF(AND(ISNUMBER(Entry!$C942),Entry!$C942&gt;=0,Entry!$C942&lt;1),RIGHT("00"&amp;HOUR(Entry!$C942),2)&amp;RIGHT("00"&amp;MINUTE(Entry!$C942),2),IFERROR(RIGHT("00"&amp;VALUE(LEFT(Entry!$C942,FIND(":",Entry!$C942)-1)),2)&amp;RIGHT("00"&amp;VALUE(MID(Entry!$C942,FIND(":",Entry!$C942)+1,2)),2),"0000"))))</f>
        <v/>
      </c>
      <c r="G939" t="str">
        <f>IF($A939="","",Entry!$G942)</f>
        <v/>
      </c>
      <c r="H939" t="str">
        <f>IF($A939="","",IF(Entry!$H942="",0,Entry!$H942))</f>
        <v/>
      </c>
      <c r="I939" t="str">
        <f>IF($A939="","",IF(Entry!$I942="",0,Entry!$I942))</f>
        <v/>
      </c>
      <c r="J939" t="str">
        <f t="shared" si="100"/>
        <v/>
      </c>
      <c r="K939" t="str">
        <f>IF($A939="","",Entry!$D942)</f>
        <v/>
      </c>
      <c r="L939" t="str">
        <f>IF($A939="","",Entry!$L942)</f>
        <v/>
      </c>
      <c r="N939" t="str">
        <f>IF(OR(Sync!$M939="",$Q939="",$Q939="نامعتبر"),"",Sync!$M939)</f>
        <v/>
      </c>
      <c r="O939" t="str">
        <f t="shared" si="101"/>
        <v/>
      </c>
      <c r="P939" t="str">
        <f>IF($N939="","",LEFT($Q939,4)&amp;MID($Q939,6,2)&amp;RIGHT($Q939,2)&amp;IF(Sync!$K939="","0000",IF(AND(ISNUMBER(Sync!$K939),Sync!$K939&gt;=0,Sync!$K939&lt;1),RIGHT("00"&amp;HOUR(Sync!$K939),2)&amp;RIGHT("00"&amp;MINUTE(Sync!$K939),2),IFERROR(RIGHT("00"&amp;VALUE(LEFT(Sync!$K939,FIND(":",Sync!$K939)-1)),2)&amp;RIGHT("00"&amp;VALUE(MID(Sync!$K939,FIND(":",Sync!$K939)+1,2)),2),"0000")))&amp;"|"&amp;"2"&amp;RIGHT("00000"&amp;934,5))</f>
        <v/>
      </c>
      <c r="Q939" t="str">
        <f>IF(Sync!$J939="","",IF(ISNUMBER(Sync!$J939),IF(AND(Sync!$J939&gt;=10000101,Sync!$J939&lt;=99991231),INT(Sync!$J939/10000)&amp;"/"&amp;RIGHT("00"&amp;INT(MOD(Sync!$J939,10000)/100),2)&amp;"/"&amp;RIGHT("00"&amp;MOD(Sync!$J939,100),2),"نامعتبر"),IF(LEN(Sync!$J939)=10,Sync!$J939,"نامعتبر")))</f>
        <v/>
      </c>
      <c r="R939" t="str">
        <f t="shared" si="102"/>
        <v/>
      </c>
      <c r="S939" t="str">
        <f t="shared" si="103"/>
        <v/>
      </c>
      <c r="T939" t="str">
        <f>IF($N939="","",IF(Sync!$N939="",0,Sync!$N939))</f>
        <v/>
      </c>
      <c r="U939" t="str">
        <f>IF($N939="","",IF(Sync!$O939="",0,Sync!$O939))</f>
        <v/>
      </c>
      <c r="V939" t="str">
        <f>IF($N939="","",Sync!$L939)</f>
        <v/>
      </c>
      <c r="W939" t="str">
        <f>IF($N939="","",Sync!$P939)</f>
        <v/>
      </c>
      <c r="AA939" t="str">
        <f>IF($A939="","",IF(COUNTIF($A$6:$A939,$A939)=1,1,0))</f>
        <v/>
      </c>
      <c r="AB939">
        <f>SUM($AA$6:$AA939)</f>
        <v>3</v>
      </c>
      <c r="AC939" t="str">
        <f t="shared" si="104"/>
        <v/>
      </c>
    </row>
    <row r="940" spans="1:29" x14ac:dyDescent="0.2">
      <c r="A940" t="str">
        <f>IF(OR(Entry!$B943="",Entry!$E943="",$E940="نامعتبر"),"",Entry!$E943)</f>
        <v/>
      </c>
      <c r="B940" t="str">
        <f>IF($A940="","",LEFT($E940,4)&amp;MID($E940,6,2)&amp;RIGHT($E940,2)&amp;$F940&amp;"|"&amp;"1"&amp;RIGHT("00000"&amp;935,5))</f>
        <v/>
      </c>
      <c r="C940" t="str">
        <f t="shared" si="98"/>
        <v/>
      </c>
      <c r="D940" t="str">
        <f t="shared" si="99"/>
        <v/>
      </c>
      <c r="E940" t="str">
        <f>IF(Entry!$B943="","",IF(ISNUMBER(Entry!$B943),IF(AND(Entry!$B943&gt;=10000101,Entry!$B943&lt;=99991231),INT(Entry!$B943/10000)&amp;"/"&amp;RIGHT("00"&amp;INT(MOD(Entry!$B943,10000)/100),2)&amp;"/"&amp;RIGHT("00"&amp;MOD(Entry!$B943,100),2),"نامعتبر"),IF(LEN(Entry!$B943)=10,Entry!$B943,"نامعتبر")))</f>
        <v/>
      </c>
      <c r="F940" t="str">
        <f>IF(Entry!$B943="","",IF(Entry!$C943="","0000",IF(AND(ISNUMBER(Entry!$C943),Entry!$C943&gt;=0,Entry!$C943&lt;1),RIGHT("00"&amp;HOUR(Entry!$C943),2)&amp;RIGHT("00"&amp;MINUTE(Entry!$C943),2),IFERROR(RIGHT("00"&amp;VALUE(LEFT(Entry!$C943,FIND(":",Entry!$C943)-1)),2)&amp;RIGHT("00"&amp;VALUE(MID(Entry!$C943,FIND(":",Entry!$C943)+1,2)),2),"0000"))))</f>
        <v/>
      </c>
      <c r="G940" t="str">
        <f>IF($A940="","",Entry!$G943)</f>
        <v/>
      </c>
      <c r="H940" t="str">
        <f>IF($A940="","",IF(Entry!$H943="",0,Entry!$H943))</f>
        <v/>
      </c>
      <c r="I940" t="str">
        <f>IF($A940="","",IF(Entry!$I943="",0,Entry!$I943))</f>
        <v/>
      </c>
      <c r="J940" t="str">
        <f t="shared" si="100"/>
        <v/>
      </c>
      <c r="K940" t="str">
        <f>IF($A940="","",Entry!$D943)</f>
        <v/>
      </c>
      <c r="L940" t="str">
        <f>IF($A940="","",Entry!$L943)</f>
        <v/>
      </c>
      <c r="N940" t="str">
        <f>IF(OR(Sync!$M940="",$Q940="",$Q940="نامعتبر"),"",Sync!$M940)</f>
        <v/>
      </c>
      <c r="O940" t="str">
        <f t="shared" si="101"/>
        <v/>
      </c>
      <c r="P940" t="str">
        <f>IF($N940="","",LEFT($Q940,4)&amp;MID($Q940,6,2)&amp;RIGHT($Q940,2)&amp;IF(Sync!$K940="","0000",IF(AND(ISNUMBER(Sync!$K940),Sync!$K940&gt;=0,Sync!$K940&lt;1),RIGHT("00"&amp;HOUR(Sync!$K940),2)&amp;RIGHT("00"&amp;MINUTE(Sync!$K940),2),IFERROR(RIGHT("00"&amp;VALUE(LEFT(Sync!$K940,FIND(":",Sync!$K940)-1)),2)&amp;RIGHT("00"&amp;VALUE(MID(Sync!$K940,FIND(":",Sync!$K940)+1,2)),2),"0000")))&amp;"|"&amp;"2"&amp;RIGHT("00000"&amp;935,5))</f>
        <v/>
      </c>
      <c r="Q940" t="str">
        <f>IF(Sync!$J940="","",IF(ISNUMBER(Sync!$J940),IF(AND(Sync!$J940&gt;=10000101,Sync!$J940&lt;=99991231),INT(Sync!$J940/10000)&amp;"/"&amp;RIGHT("00"&amp;INT(MOD(Sync!$J940,10000)/100),2)&amp;"/"&amp;RIGHT("00"&amp;MOD(Sync!$J940,100),2),"نامعتبر"),IF(LEN(Sync!$J940)=10,Sync!$J940,"نامعتبر")))</f>
        <v/>
      </c>
      <c r="R940" t="str">
        <f t="shared" si="102"/>
        <v/>
      </c>
      <c r="S940" t="str">
        <f t="shared" si="103"/>
        <v/>
      </c>
      <c r="T940" t="str">
        <f>IF($N940="","",IF(Sync!$N940="",0,Sync!$N940))</f>
        <v/>
      </c>
      <c r="U940" t="str">
        <f>IF($N940="","",IF(Sync!$O940="",0,Sync!$O940))</f>
        <v/>
      </c>
      <c r="V940" t="str">
        <f>IF($N940="","",Sync!$L940)</f>
        <v/>
      </c>
      <c r="W940" t="str">
        <f>IF($N940="","",Sync!$P940)</f>
        <v/>
      </c>
      <c r="AA940" t="str">
        <f>IF($A940="","",IF(COUNTIF($A$6:$A940,$A940)=1,1,0))</f>
        <v/>
      </c>
      <c r="AB940">
        <f>SUM($AA$6:$AA940)</f>
        <v>3</v>
      </c>
      <c r="AC940" t="str">
        <f t="shared" si="104"/>
        <v/>
      </c>
    </row>
    <row r="941" spans="1:29" x14ac:dyDescent="0.2">
      <c r="A941" t="str">
        <f>IF(OR(Entry!$B944="",Entry!$E944="",$E941="نامعتبر"),"",Entry!$E944)</f>
        <v/>
      </c>
      <c r="B941" t="str">
        <f>IF($A941="","",LEFT($E941,4)&amp;MID($E941,6,2)&amp;RIGHT($E941,2)&amp;$F941&amp;"|"&amp;"1"&amp;RIGHT("00000"&amp;936,5))</f>
        <v/>
      </c>
      <c r="C941" t="str">
        <f t="shared" si="98"/>
        <v/>
      </c>
      <c r="D941" t="str">
        <f t="shared" si="99"/>
        <v/>
      </c>
      <c r="E941" t="str">
        <f>IF(Entry!$B944="","",IF(ISNUMBER(Entry!$B944),IF(AND(Entry!$B944&gt;=10000101,Entry!$B944&lt;=99991231),INT(Entry!$B944/10000)&amp;"/"&amp;RIGHT("00"&amp;INT(MOD(Entry!$B944,10000)/100),2)&amp;"/"&amp;RIGHT("00"&amp;MOD(Entry!$B944,100),2),"نامعتبر"),IF(LEN(Entry!$B944)=10,Entry!$B944,"نامعتبر")))</f>
        <v/>
      </c>
      <c r="F941" t="str">
        <f>IF(Entry!$B944="","",IF(Entry!$C944="","0000",IF(AND(ISNUMBER(Entry!$C944),Entry!$C944&gt;=0,Entry!$C944&lt;1),RIGHT("00"&amp;HOUR(Entry!$C944),2)&amp;RIGHT("00"&amp;MINUTE(Entry!$C944),2),IFERROR(RIGHT("00"&amp;VALUE(LEFT(Entry!$C944,FIND(":",Entry!$C944)-1)),2)&amp;RIGHT("00"&amp;VALUE(MID(Entry!$C944,FIND(":",Entry!$C944)+1,2)),2),"0000"))))</f>
        <v/>
      </c>
      <c r="G941" t="str">
        <f>IF($A941="","",Entry!$G944)</f>
        <v/>
      </c>
      <c r="H941" t="str">
        <f>IF($A941="","",IF(Entry!$H944="",0,Entry!$H944))</f>
        <v/>
      </c>
      <c r="I941" t="str">
        <f>IF($A941="","",IF(Entry!$I944="",0,Entry!$I944))</f>
        <v/>
      </c>
      <c r="J941" t="str">
        <f t="shared" si="100"/>
        <v/>
      </c>
      <c r="K941" t="str">
        <f>IF($A941="","",Entry!$D944)</f>
        <v/>
      </c>
      <c r="L941" t="str">
        <f>IF($A941="","",Entry!$L944)</f>
        <v/>
      </c>
      <c r="N941" t="str">
        <f>IF(OR(Sync!$M941="",$Q941="",$Q941="نامعتبر"),"",Sync!$M941)</f>
        <v/>
      </c>
      <c r="O941" t="str">
        <f t="shared" si="101"/>
        <v/>
      </c>
      <c r="P941" t="str">
        <f>IF($N941="","",LEFT($Q941,4)&amp;MID($Q941,6,2)&amp;RIGHT($Q941,2)&amp;IF(Sync!$K941="","0000",IF(AND(ISNUMBER(Sync!$K941),Sync!$K941&gt;=0,Sync!$K941&lt;1),RIGHT("00"&amp;HOUR(Sync!$K941),2)&amp;RIGHT("00"&amp;MINUTE(Sync!$K941),2),IFERROR(RIGHT("00"&amp;VALUE(LEFT(Sync!$K941,FIND(":",Sync!$K941)-1)),2)&amp;RIGHT("00"&amp;VALUE(MID(Sync!$K941,FIND(":",Sync!$K941)+1,2)),2),"0000")))&amp;"|"&amp;"2"&amp;RIGHT("00000"&amp;936,5))</f>
        <v/>
      </c>
      <c r="Q941" t="str">
        <f>IF(Sync!$J941="","",IF(ISNUMBER(Sync!$J941),IF(AND(Sync!$J941&gt;=10000101,Sync!$J941&lt;=99991231),INT(Sync!$J941/10000)&amp;"/"&amp;RIGHT("00"&amp;INT(MOD(Sync!$J941,10000)/100),2)&amp;"/"&amp;RIGHT("00"&amp;MOD(Sync!$J941,100),2),"نامعتبر"),IF(LEN(Sync!$J941)=10,Sync!$J941,"نامعتبر")))</f>
        <v/>
      </c>
      <c r="R941" t="str">
        <f t="shared" si="102"/>
        <v/>
      </c>
      <c r="S941" t="str">
        <f t="shared" si="103"/>
        <v/>
      </c>
      <c r="T941" t="str">
        <f>IF($N941="","",IF(Sync!$N941="",0,Sync!$N941))</f>
        <v/>
      </c>
      <c r="U941" t="str">
        <f>IF($N941="","",IF(Sync!$O941="",0,Sync!$O941))</f>
        <v/>
      </c>
      <c r="V941" t="str">
        <f>IF($N941="","",Sync!$L941)</f>
        <v/>
      </c>
      <c r="W941" t="str">
        <f>IF($N941="","",Sync!$P941)</f>
        <v/>
      </c>
      <c r="AA941" t="str">
        <f>IF($A941="","",IF(COUNTIF($A$6:$A941,$A941)=1,1,0))</f>
        <v/>
      </c>
      <c r="AB941">
        <f>SUM($AA$6:$AA941)</f>
        <v>3</v>
      </c>
      <c r="AC941" t="str">
        <f t="shared" si="104"/>
        <v/>
      </c>
    </row>
    <row r="942" spans="1:29" x14ac:dyDescent="0.2">
      <c r="A942" t="str">
        <f>IF(OR(Entry!$B945="",Entry!$E945="",$E942="نامعتبر"),"",Entry!$E945)</f>
        <v/>
      </c>
      <c r="B942" t="str">
        <f>IF($A942="","",LEFT($E942,4)&amp;MID($E942,6,2)&amp;RIGHT($E942,2)&amp;$F942&amp;"|"&amp;"1"&amp;RIGHT("00000"&amp;937,5))</f>
        <v/>
      </c>
      <c r="C942" t="str">
        <f t="shared" si="98"/>
        <v/>
      </c>
      <c r="D942" t="str">
        <f t="shared" si="99"/>
        <v/>
      </c>
      <c r="E942" t="str">
        <f>IF(Entry!$B945="","",IF(ISNUMBER(Entry!$B945),IF(AND(Entry!$B945&gt;=10000101,Entry!$B945&lt;=99991231),INT(Entry!$B945/10000)&amp;"/"&amp;RIGHT("00"&amp;INT(MOD(Entry!$B945,10000)/100),2)&amp;"/"&amp;RIGHT("00"&amp;MOD(Entry!$B945,100),2),"نامعتبر"),IF(LEN(Entry!$B945)=10,Entry!$B945,"نامعتبر")))</f>
        <v/>
      </c>
      <c r="F942" t="str">
        <f>IF(Entry!$B945="","",IF(Entry!$C945="","0000",IF(AND(ISNUMBER(Entry!$C945),Entry!$C945&gt;=0,Entry!$C945&lt;1),RIGHT("00"&amp;HOUR(Entry!$C945),2)&amp;RIGHT("00"&amp;MINUTE(Entry!$C945),2),IFERROR(RIGHT("00"&amp;VALUE(LEFT(Entry!$C945,FIND(":",Entry!$C945)-1)),2)&amp;RIGHT("00"&amp;VALUE(MID(Entry!$C945,FIND(":",Entry!$C945)+1,2)),2),"0000"))))</f>
        <v/>
      </c>
      <c r="G942" t="str">
        <f>IF($A942="","",Entry!$G945)</f>
        <v/>
      </c>
      <c r="H942" t="str">
        <f>IF($A942="","",IF(Entry!$H945="",0,Entry!$H945))</f>
        <v/>
      </c>
      <c r="I942" t="str">
        <f>IF($A942="","",IF(Entry!$I945="",0,Entry!$I945))</f>
        <v/>
      </c>
      <c r="J942" t="str">
        <f t="shared" si="100"/>
        <v/>
      </c>
      <c r="K942" t="str">
        <f>IF($A942="","",Entry!$D945)</f>
        <v/>
      </c>
      <c r="L942" t="str">
        <f>IF($A942="","",Entry!$L945)</f>
        <v/>
      </c>
      <c r="N942" t="str">
        <f>IF(OR(Sync!$M942="",$Q942="",$Q942="نامعتبر"),"",Sync!$M942)</f>
        <v/>
      </c>
      <c r="O942" t="str">
        <f t="shared" si="101"/>
        <v/>
      </c>
      <c r="P942" t="str">
        <f>IF($N942="","",LEFT($Q942,4)&amp;MID($Q942,6,2)&amp;RIGHT($Q942,2)&amp;IF(Sync!$K942="","0000",IF(AND(ISNUMBER(Sync!$K942),Sync!$K942&gt;=0,Sync!$K942&lt;1),RIGHT("00"&amp;HOUR(Sync!$K942),2)&amp;RIGHT("00"&amp;MINUTE(Sync!$K942),2),IFERROR(RIGHT("00"&amp;VALUE(LEFT(Sync!$K942,FIND(":",Sync!$K942)-1)),2)&amp;RIGHT("00"&amp;VALUE(MID(Sync!$K942,FIND(":",Sync!$K942)+1,2)),2),"0000")))&amp;"|"&amp;"2"&amp;RIGHT("00000"&amp;937,5))</f>
        <v/>
      </c>
      <c r="Q942" t="str">
        <f>IF(Sync!$J942="","",IF(ISNUMBER(Sync!$J942),IF(AND(Sync!$J942&gt;=10000101,Sync!$J942&lt;=99991231),INT(Sync!$J942/10000)&amp;"/"&amp;RIGHT("00"&amp;INT(MOD(Sync!$J942,10000)/100),2)&amp;"/"&amp;RIGHT("00"&amp;MOD(Sync!$J942,100),2),"نامعتبر"),IF(LEN(Sync!$J942)=10,Sync!$J942,"نامعتبر")))</f>
        <v/>
      </c>
      <c r="R942" t="str">
        <f t="shared" si="102"/>
        <v/>
      </c>
      <c r="S942" t="str">
        <f t="shared" si="103"/>
        <v/>
      </c>
      <c r="T942" t="str">
        <f>IF($N942="","",IF(Sync!$N942="",0,Sync!$N942))</f>
        <v/>
      </c>
      <c r="U942" t="str">
        <f>IF($N942="","",IF(Sync!$O942="",0,Sync!$O942))</f>
        <v/>
      </c>
      <c r="V942" t="str">
        <f>IF($N942="","",Sync!$L942)</f>
        <v/>
      </c>
      <c r="W942" t="str">
        <f>IF($N942="","",Sync!$P942)</f>
        <v/>
      </c>
      <c r="AA942" t="str">
        <f>IF($A942="","",IF(COUNTIF($A$6:$A942,$A942)=1,1,0))</f>
        <v/>
      </c>
      <c r="AB942">
        <f>SUM($AA$6:$AA942)</f>
        <v>3</v>
      </c>
      <c r="AC942" t="str">
        <f t="shared" si="104"/>
        <v/>
      </c>
    </row>
    <row r="943" spans="1:29" x14ac:dyDescent="0.2">
      <c r="A943" t="str">
        <f>IF(OR(Entry!$B946="",Entry!$E946="",$E943="نامعتبر"),"",Entry!$E946)</f>
        <v/>
      </c>
      <c r="B943" t="str">
        <f>IF($A943="","",LEFT($E943,4)&amp;MID($E943,6,2)&amp;RIGHT($E943,2)&amp;$F943&amp;"|"&amp;"1"&amp;RIGHT("00000"&amp;938,5))</f>
        <v/>
      </c>
      <c r="C943" t="str">
        <f t="shared" si="98"/>
        <v/>
      </c>
      <c r="D943" t="str">
        <f t="shared" si="99"/>
        <v/>
      </c>
      <c r="E943" t="str">
        <f>IF(Entry!$B946="","",IF(ISNUMBER(Entry!$B946),IF(AND(Entry!$B946&gt;=10000101,Entry!$B946&lt;=99991231),INT(Entry!$B946/10000)&amp;"/"&amp;RIGHT("00"&amp;INT(MOD(Entry!$B946,10000)/100),2)&amp;"/"&amp;RIGHT("00"&amp;MOD(Entry!$B946,100),2),"نامعتبر"),IF(LEN(Entry!$B946)=10,Entry!$B946,"نامعتبر")))</f>
        <v/>
      </c>
      <c r="F943" t="str">
        <f>IF(Entry!$B946="","",IF(Entry!$C946="","0000",IF(AND(ISNUMBER(Entry!$C946),Entry!$C946&gt;=0,Entry!$C946&lt;1),RIGHT("00"&amp;HOUR(Entry!$C946),2)&amp;RIGHT("00"&amp;MINUTE(Entry!$C946),2),IFERROR(RIGHT("00"&amp;VALUE(LEFT(Entry!$C946,FIND(":",Entry!$C946)-1)),2)&amp;RIGHT("00"&amp;VALUE(MID(Entry!$C946,FIND(":",Entry!$C946)+1,2)),2),"0000"))))</f>
        <v/>
      </c>
      <c r="G943" t="str">
        <f>IF($A943="","",Entry!$G946)</f>
        <v/>
      </c>
      <c r="H943" t="str">
        <f>IF($A943="","",IF(Entry!$H946="",0,Entry!$H946))</f>
        <v/>
      </c>
      <c r="I943" t="str">
        <f>IF($A943="","",IF(Entry!$I946="",0,Entry!$I946))</f>
        <v/>
      </c>
      <c r="J943" t="str">
        <f t="shared" si="100"/>
        <v/>
      </c>
      <c r="K943" t="str">
        <f>IF($A943="","",Entry!$D946)</f>
        <v/>
      </c>
      <c r="L943" t="str">
        <f>IF($A943="","",Entry!$L946)</f>
        <v/>
      </c>
      <c r="N943" t="str">
        <f>IF(OR(Sync!$M943="",$Q943="",$Q943="نامعتبر"),"",Sync!$M943)</f>
        <v/>
      </c>
      <c r="O943" t="str">
        <f t="shared" si="101"/>
        <v/>
      </c>
      <c r="P943" t="str">
        <f>IF($N943="","",LEFT($Q943,4)&amp;MID($Q943,6,2)&amp;RIGHT($Q943,2)&amp;IF(Sync!$K943="","0000",IF(AND(ISNUMBER(Sync!$K943),Sync!$K943&gt;=0,Sync!$K943&lt;1),RIGHT("00"&amp;HOUR(Sync!$K943),2)&amp;RIGHT("00"&amp;MINUTE(Sync!$K943),2),IFERROR(RIGHT("00"&amp;VALUE(LEFT(Sync!$K943,FIND(":",Sync!$K943)-1)),2)&amp;RIGHT("00"&amp;VALUE(MID(Sync!$K943,FIND(":",Sync!$K943)+1,2)),2),"0000")))&amp;"|"&amp;"2"&amp;RIGHT("00000"&amp;938,5))</f>
        <v/>
      </c>
      <c r="Q943" t="str">
        <f>IF(Sync!$J943="","",IF(ISNUMBER(Sync!$J943),IF(AND(Sync!$J943&gt;=10000101,Sync!$J943&lt;=99991231),INT(Sync!$J943/10000)&amp;"/"&amp;RIGHT("00"&amp;INT(MOD(Sync!$J943,10000)/100),2)&amp;"/"&amp;RIGHT("00"&amp;MOD(Sync!$J943,100),2),"نامعتبر"),IF(LEN(Sync!$J943)=10,Sync!$J943,"نامعتبر")))</f>
        <v/>
      </c>
      <c r="R943" t="str">
        <f t="shared" si="102"/>
        <v/>
      </c>
      <c r="S943" t="str">
        <f t="shared" si="103"/>
        <v/>
      </c>
      <c r="T943" t="str">
        <f>IF($N943="","",IF(Sync!$N943="",0,Sync!$N943))</f>
        <v/>
      </c>
      <c r="U943" t="str">
        <f>IF($N943="","",IF(Sync!$O943="",0,Sync!$O943))</f>
        <v/>
      </c>
      <c r="V943" t="str">
        <f>IF($N943="","",Sync!$L943)</f>
        <v/>
      </c>
      <c r="W943" t="str">
        <f>IF($N943="","",Sync!$P943)</f>
        <v/>
      </c>
      <c r="AA943" t="str">
        <f>IF($A943="","",IF(COUNTIF($A$6:$A943,$A943)=1,1,0))</f>
        <v/>
      </c>
      <c r="AB943">
        <f>SUM($AA$6:$AA943)</f>
        <v>3</v>
      </c>
      <c r="AC943" t="str">
        <f t="shared" si="104"/>
        <v/>
      </c>
    </row>
    <row r="944" spans="1:29" x14ac:dyDescent="0.2">
      <c r="A944" t="str">
        <f>IF(OR(Entry!$B947="",Entry!$E947="",$E944="نامعتبر"),"",Entry!$E947)</f>
        <v/>
      </c>
      <c r="B944" t="str">
        <f>IF($A944="","",LEFT($E944,4)&amp;MID($E944,6,2)&amp;RIGHT($E944,2)&amp;$F944&amp;"|"&amp;"1"&amp;RIGHT("00000"&amp;939,5))</f>
        <v/>
      </c>
      <c r="C944" t="str">
        <f t="shared" si="98"/>
        <v/>
      </c>
      <c r="D944" t="str">
        <f t="shared" si="99"/>
        <v/>
      </c>
      <c r="E944" t="str">
        <f>IF(Entry!$B947="","",IF(ISNUMBER(Entry!$B947),IF(AND(Entry!$B947&gt;=10000101,Entry!$B947&lt;=99991231),INT(Entry!$B947/10000)&amp;"/"&amp;RIGHT("00"&amp;INT(MOD(Entry!$B947,10000)/100),2)&amp;"/"&amp;RIGHT("00"&amp;MOD(Entry!$B947,100),2),"نامعتبر"),IF(LEN(Entry!$B947)=10,Entry!$B947,"نامعتبر")))</f>
        <v/>
      </c>
      <c r="F944" t="str">
        <f>IF(Entry!$B947="","",IF(Entry!$C947="","0000",IF(AND(ISNUMBER(Entry!$C947),Entry!$C947&gt;=0,Entry!$C947&lt;1),RIGHT("00"&amp;HOUR(Entry!$C947),2)&amp;RIGHT("00"&amp;MINUTE(Entry!$C947),2),IFERROR(RIGHT("00"&amp;VALUE(LEFT(Entry!$C947,FIND(":",Entry!$C947)-1)),2)&amp;RIGHT("00"&amp;VALUE(MID(Entry!$C947,FIND(":",Entry!$C947)+1,2)),2),"0000"))))</f>
        <v/>
      </c>
      <c r="G944" t="str">
        <f>IF($A944="","",Entry!$G947)</f>
        <v/>
      </c>
      <c r="H944" t="str">
        <f>IF($A944="","",IF(Entry!$H947="",0,Entry!$H947))</f>
        <v/>
      </c>
      <c r="I944" t="str">
        <f>IF($A944="","",IF(Entry!$I947="",0,Entry!$I947))</f>
        <v/>
      </c>
      <c r="J944" t="str">
        <f t="shared" si="100"/>
        <v/>
      </c>
      <c r="K944" t="str">
        <f>IF($A944="","",Entry!$D947)</f>
        <v/>
      </c>
      <c r="L944" t="str">
        <f>IF($A944="","",Entry!$L947)</f>
        <v/>
      </c>
      <c r="N944" t="str">
        <f>IF(OR(Sync!$M944="",$Q944="",$Q944="نامعتبر"),"",Sync!$M944)</f>
        <v/>
      </c>
      <c r="O944" t="str">
        <f t="shared" si="101"/>
        <v/>
      </c>
      <c r="P944" t="str">
        <f>IF($N944="","",LEFT($Q944,4)&amp;MID($Q944,6,2)&amp;RIGHT($Q944,2)&amp;IF(Sync!$K944="","0000",IF(AND(ISNUMBER(Sync!$K944),Sync!$K944&gt;=0,Sync!$K944&lt;1),RIGHT("00"&amp;HOUR(Sync!$K944),2)&amp;RIGHT("00"&amp;MINUTE(Sync!$K944),2),IFERROR(RIGHT("00"&amp;VALUE(LEFT(Sync!$K944,FIND(":",Sync!$K944)-1)),2)&amp;RIGHT("00"&amp;VALUE(MID(Sync!$K944,FIND(":",Sync!$K944)+1,2)),2),"0000")))&amp;"|"&amp;"2"&amp;RIGHT("00000"&amp;939,5))</f>
        <v/>
      </c>
      <c r="Q944" t="str">
        <f>IF(Sync!$J944="","",IF(ISNUMBER(Sync!$J944),IF(AND(Sync!$J944&gt;=10000101,Sync!$J944&lt;=99991231),INT(Sync!$J944/10000)&amp;"/"&amp;RIGHT("00"&amp;INT(MOD(Sync!$J944,10000)/100),2)&amp;"/"&amp;RIGHT("00"&amp;MOD(Sync!$J944,100),2),"نامعتبر"),IF(LEN(Sync!$J944)=10,Sync!$J944,"نامعتبر")))</f>
        <v/>
      </c>
      <c r="R944" t="str">
        <f t="shared" si="102"/>
        <v/>
      </c>
      <c r="S944" t="str">
        <f t="shared" si="103"/>
        <v/>
      </c>
      <c r="T944" t="str">
        <f>IF($N944="","",IF(Sync!$N944="",0,Sync!$N944))</f>
        <v/>
      </c>
      <c r="U944" t="str">
        <f>IF($N944="","",IF(Sync!$O944="",0,Sync!$O944))</f>
        <v/>
      </c>
      <c r="V944" t="str">
        <f>IF($N944="","",Sync!$L944)</f>
        <v/>
      </c>
      <c r="W944" t="str">
        <f>IF($N944="","",Sync!$P944)</f>
        <v/>
      </c>
      <c r="AA944" t="str">
        <f>IF($A944="","",IF(COUNTIF($A$6:$A944,$A944)=1,1,0))</f>
        <v/>
      </c>
      <c r="AB944">
        <f>SUM($AA$6:$AA944)</f>
        <v>3</v>
      </c>
      <c r="AC944" t="str">
        <f t="shared" si="104"/>
        <v/>
      </c>
    </row>
    <row r="945" spans="1:29" x14ac:dyDescent="0.2">
      <c r="A945" t="str">
        <f>IF(OR(Entry!$B948="",Entry!$E948="",$E945="نامعتبر"),"",Entry!$E948)</f>
        <v/>
      </c>
      <c r="B945" t="str">
        <f>IF($A945="","",LEFT($E945,4)&amp;MID($E945,6,2)&amp;RIGHT($E945,2)&amp;$F945&amp;"|"&amp;"1"&amp;RIGHT("00000"&amp;940,5))</f>
        <v/>
      </c>
      <c r="C945" t="str">
        <f t="shared" si="98"/>
        <v/>
      </c>
      <c r="D945" t="str">
        <f t="shared" si="99"/>
        <v/>
      </c>
      <c r="E945" t="str">
        <f>IF(Entry!$B948="","",IF(ISNUMBER(Entry!$B948),IF(AND(Entry!$B948&gt;=10000101,Entry!$B948&lt;=99991231),INT(Entry!$B948/10000)&amp;"/"&amp;RIGHT("00"&amp;INT(MOD(Entry!$B948,10000)/100),2)&amp;"/"&amp;RIGHT("00"&amp;MOD(Entry!$B948,100),2),"نامعتبر"),IF(LEN(Entry!$B948)=10,Entry!$B948,"نامعتبر")))</f>
        <v/>
      </c>
      <c r="F945" t="str">
        <f>IF(Entry!$B948="","",IF(Entry!$C948="","0000",IF(AND(ISNUMBER(Entry!$C948),Entry!$C948&gt;=0,Entry!$C948&lt;1),RIGHT("00"&amp;HOUR(Entry!$C948),2)&amp;RIGHT("00"&amp;MINUTE(Entry!$C948),2),IFERROR(RIGHT("00"&amp;VALUE(LEFT(Entry!$C948,FIND(":",Entry!$C948)-1)),2)&amp;RIGHT("00"&amp;VALUE(MID(Entry!$C948,FIND(":",Entry!$C948)+1,2)),2),"0000"))))</f>
        <v/>
      </c>
      <c r="G945" t="str">
        <f>IF($A945="","",Entry!$G948)</f>
        <v/>
      </c>
      <c r="H945" t="str">
        <f>IF($A945="","",IF(Entry!$H948="",0,Entry!$H948))</f>
        <v/>
      </c>
      <c r="I945" t="str">
        <f>IF($A945="","",IF(Entry!$I948="",0,Entry!$I948))</f>
        <v/>
      </c>
      <c r="J945" t="str">
        <f t="shared" si="100"/>
        <v/>
      </c>
      <c r="K945" t="str">
        <f>IF($A945="","",Entry!$D948)</f>
        <v/>
      </c>
      <c r="L945" t="str">
        <f>IF($A945="","",Entry!$L948)</f>
        <v/>
      </c>
      <c r="N945" t="str">
        <f>IF(OR(Sync!$M945="",$Q945="",$Q945="نامعتبر"),"",Sync!$M945)</f>
        <v/>
      </c>
      <c r="O945" t="str">
        <f t="shared" si="101"/>
        <v/>
      </c>
      <c r="P945" t="str">
        <f>IF($N945="","",LEFT($Q945,4)&amp;MID($Q945,6,2)&amp;RIGHT($Q945,2)&amp;IF(Sync!$K945="","0000",IF(AND(ISNUMBER(Sync!$K945),Sync!$K945&gt;=0,Sync!$K945&lt;1),RIGHT("00"&amp;HOUR(Sync!$K945),2)&amp;RIGHT("00"&amp;MINUTE(Sync!$K945),2),IFERROR(RIGHT("00"&amp;VALUE(LEFT(Sync!$K945,FIND(":",Sync!$K945)-1)),2)&amp;RIGHT("00"&amp;VALUE(MID(Sync!$K945,FIND(":",Sync!$K945)+1,2)),2),"0000")))&amp;"|"&amp;"2"&amp;RIGHT("00000"&amp;940,5))</f>
        <v/>
      </c>
      <c r="Q945" t="str">
        <f>IF(Sync!$J945="","",IF(ISNUMBER(Sync!$J945),IF(AND(Sync!$J945&gt;=10000101,Sync!$J945&lt;=99991231),INT(Sync!$J945/10000)&amp;"/"&amp;RIGHT("00"&amp;INT(MOD(Sync!$J945,10000)/100),2)&amp;"/"&amp;RIGHT("00"&amp;MOD(Sync!$J945,100),2),"نامعتبر"),IF(LEN(Sync!$J945)=10,Sync!$J945,"نامعتبر")))</f>
        <v/>
      </c>
      <c r="R945" t="str">
        <f t="shared" si="102"/>
        <v/>
      </c>
      <c r="S945" t="str">
        <f t="shared" si="103"/>
        <v/>
      </c>
      <c r="T945" t="str">
        <f>IF($N945="","",IF(Sync!$N945="",0,Sync!$N945))</f>
        <v/>
      </c>
      <c r="U945" t="str">
        <f>IF($N945="","",IF(Sync!$O945="",0,Sync!$O945))</f>
        <v/>
      </c>
      <c r="V945" t="str">
        <f>IF($N945="","",Sync!$L945)</f>
        <v/>
      </c>
      <c r="W945" t="str">
        <f>IF($N945="","",Sync!$P945)</f>
        <v/>
      </c>
      <c r="AA945" t="str">
        <f>IF($A945="","",IF(COUNTIF($A$6:$A945,$A945)=1,1,0))</f>
        <v/>
      </c>
      <c r="AB945">
        <f>SUM($AA$6:$AA945)</f>
        <v>3</v>
      </c>
      <c r="AC945" t="str">
        <f t="shared" si="104"/>
        <v/>
      </c>
    </row>
    <row r="946" spans="1:29" x14ac:dyDescent="0.2">
      <c r="A946" t="str">
        <f>IF(OR(Entry!$B949="",Entry!$E949="",$E946="نامعتبر"),"",Entry!$E949)</f>
        <v/>
      </c>
      <c r="B946" t="str">
        <f>IF($A946="","",LEFT($E946,4)&amp;MID($E946,6,2)&amp;RIGHT($E946,2)&amp;$F946&amp;"|"&amp;"1"&amp;RIGHT("00000"&amp;941,5))</f>
        <v/>
      </c>
      <c r="C946" t="str">
        <f t="shared" si="98"/>
        <v/>
      </c>
      <c r="D946" t="str">
        <f t="shared" si="99"/>
        <v/>
      </c>
      <c r="E946" t="str">
        <f>IF(Entry!$B949="","",IF(ISNUMBER(Entry!$B949),IF(AND(Entry!$B949&gt;=10000101,Entry!$B949&lt;=99991231),INT(Entry!$B949/10000)&amp;"/"&amp;RIGHT("00"&amp;INT(MOD(Entry!$B949,10000)/100),2)&amp;"/"&amp;RIGHT("00"&amp;MOD(Entry!$B949,100),2),"نامعتبر"),IF(LEN(Entry!$B949)=10,Entry!$B949,"نامعتبر")))</f>
        <v/>
      </c>
      <c r="F946" t="str">
        <f>IF(Entry!$B949="","",IF(Entry!$C949="","0000",IF(AND(ISNUMBER(Entry!$C949),Entry!$C949&gt;=0,Entry!$C949&lt;1),RIGHT("00"&amp;HOUR(Entry!$C949),2)&amp;RIGHT("00"&amp;MINUTE(Entry!$C949),2),IFERROR(RIGHT("00"&amp;VALUE(LEFT(Entry!$C949,FIND(":",Entry!$C949)-1)),2)&amp;RIGHT("00"&amp;VALUE(MID(Entry!$C949,FIND(":",Entry!$C949)+1,2)),2),"0000"))))</f>
        <v/>
      </c>
      <c r="G946" t="str">
        <f>IF($A946="","",Entry!$G949)</f>
        <v/>
      </c>
      <c r="H946" t="str">
        <f>IF($A946="","",IF(Entry!$H949="",0,Entry!$H949))</f>
        <v/>
      </c>
      <c r="I946" t="str">
        <f>IF($A946="","",IF(Entry!$I949="",0,Entry!$I949))</f>
        <v/>
      </c>
      <c r="J946" t="str">
        <f t="shared" si="100"/>
        <v/>
      </c>
      <c r="K946" t="str">
        <f>IF($A946="","",Entry!$D949)</f>
        <v/>
      </c>
      <c r="L946" t="str">
        <f>IF($A946="","",Entry!$L949)</f>
        <v/>
      </c>
      <c r="N946" t="str">
        <f>IF(OR(Sync!$M946="",$Q946="",$Q946="نامعتبر"),"",Sync!$M946)</f>
        <v/>
      </c>
      <c r="O946" t="str">
        <f t="shared" si="101"/>
        <v/>
      </c>
      <c r="P946" t="str">
        <f>IF($N946="","",LEFT($Q946,4)&amp;MID($Q946,6,2)&amp;RIGHT($Q946,2)&amp;IF(Sync!$K946="","0000",IF(AND(ISNUMBER(Sync!$K946),Sync!$K946&gt;=0,Sync!$K946&lt;1),RIGHT("00"&amp;HOUR(Sync!$K946),2)&amp;RIGHT("00"&amp;MINUTE(Sync!$K946),2),IFERROR(RIGHT("00"&amp;VALUE(LEFT(Sync!$K946,FIND(":",Sync!$K946)-1)),2)&amp;RIGHT("00"&amp;VALUE(MID(Sync!$K946,FIND(":",Sync!$K946)+1,2)),2),"0000")))&amp;"|"&amp;"2"&amp;RIGHT("00000"&amp;941,5))</f>
        <v/>
      </c>
      <c r="Q946" t="str">
        <f>IF(Sync!$J946="","",IF(ISNUMBER(Sync!$J946),IF(AND(Sync!$J946&gt;=10000101,Sync!$J946&lt;=99991231),INT(Sync!$J946/10000)&amp;"/"&amp;RIGHT("00"&amp;INT(MOD(Sync!$J946,10000)/100),2)&amp;"/"&amp;RIGHT("00"&amp;MOD(Sync!$J946,100),2),"نامعتبر"),IF(LEN(Sync!$J946)=10,Sync!$J946,"نامعتبر")))</f>
        <v/>
      </c>
      <c r="R946" t="str">
        <f t="shared" si="102"/>
        <v/>
      </c>
      <c r="S946" t="str">
        <f t="shared" si="103"/>
        <v/>
      </c>
      <c r="T946" t="str">
        <f>IF($N946="","",IF(Sync!$N946="",0,Sync!$N946))</f>
        <v/>
      </c>
      <c r="U946" t="str">
        <f>IF($N946="","",IF(Sync!$O946="",0,Sync!$O946))</f>
        <v/>
      </c>
      <c r="V946" t="str">
        <f>IF($N946="","",Sync!$L946)</f>
        <v/>
      </c>
      <c r="W946" t="str">
        <f>IF($N946="","",Sync!$P946)</f>
        <v/>
      </c>
      <c r="AA946" t="str">
        <f>IF($A946="","",IF(COUNTIF($A$6:$A946,$A946)=1,1,0))</f>
        <v/>
      </c>
      <c r="AB946">
        <f>SUM($AA$6:$AA946)</f>
        <v>3</v>
      </c>
      <c r="AC946" t="str">
        <f t="shared" si="104"/>
        <v/>
      </c>
    </row>
    <row r="947" spans="1:29" x14ac:dyDescent="0.2">
      <c r="A947" t="str">
        <f>IF(OR(Entry!$B950="",Entry!$E950="",$E947="نامعتبر"),"",Entry!$E950)</f>
        <v/>
      </c>
      <c r="B947" t="str">
        <f>IF($A947="","",LEFT($E947,4)&amp;MID($E947,6,2)&amp;RIGHT($E947,2)&amp;$F947&amp;"|"&amp;"1"&amp;RIGHT("00000"&amp;942,5))</f>
        <v/>
      </c>
      <c r="C947" t="str">
        <f t="shared" si="98"/>
        <v/>
      </c>
      <c r="D947" t="str">
        <f t="shared" si="99"/>
        <v/>
      </c>
      <c r="E947" t="str">
        <f>IF(Entry!$B950="","",IF(ISNUMBER(Entry!$B950),IF(AND(Entry!$B950&gt;=10000101,Entry!$B950&lt;=99991231),INT(Entry!$B950/10000)&amp;"/"&amp;RIGHT("00"&amp;INT(MOD(Entry!$B950,10000)/100),2)&amp;"/"&amp;RIGHT("00"&amp;MOD(Entry!$B950,100),2),"نامعتبر"),IF(LEN(Entry!$B950)=10,Entry!$B950,"نامعتبر")))</f>
        <v/>
      </c>
      <c r="F947" t="str">
        <f>IF(Entry!$B950="","",IF(Entry!$C950="","0000",IF(AND(ISNUMBER(Entry!$C950),Entry!$C950&gt;=0,Entry!$C950&lt;1),RIGHT("00"&amp;HOUR(Entry!$C950),2)&amp;RIGHT("00"&amp;MINUTE(Entry!$C950),2),IFERROR(RIGHT("00"&amp;VALUE(LEFT(Entry!$C950,FIND(":",Entry!$C950)-1)),2)&amp;RIGHT("00"&amp;VALUE(MID(Entry!$C950,FIND(":",Entry!$C950)+1,2)),2),"0000"))))</f>
        <v/>
      </c>
      <c r="G947" t="str">
        <f>IF($A947="","",Entry!$G950)</f>
        <v/>
      </c>
      <c r="H947" t="str">
        <f>IF($A947="","",IF(Entry!$H950="",0,Entry!$H950))</f>
        <v/>
      </c>
      <c r="I947" t="str">
        <f>IF($A947="","",IF(Entry!$I950="",0,Entry!$I950))</f>
        <v/>
      </c>
      <c r="J947" t="str">
        <f t="shared" si="100"/>
        <v/>
      </c>
      <c r="K947" t="str">
        <f>IF($A947="","",Entry!$D950)</f>
        <v/>
      </c>
      <c r="L947" t="str">
        <f>IF($A947="","",Entry!$L950)</f>
        <v/>
      </c>
      <c r="N947" t="str">
        <f>IF(OR(Sync!$M947="",$Q947="",$Q947="نامعتبر"),"",Sync!$M947)</f>
        <v/>
      </c>
      <c r="O947" t="str">
        <f t="shared" si="101"/>
        <v/>
      </c>
      <c r="P947" t="str">
        <f>IF($N947="","",LEFT($Q947,4)&amp;MID($Q947,6,2)&amp;RIGHT($Q947,2)&amp;IF(Sync!$K947="","0000",IF(AND(ISNUMBER(Sync!$K947),Sync!$K947&gt;=0,Sync!$K947&lt;1),RIGHT("00"&amp;HOUR(Sync!$K947),2)&amp;RIGHT("00"&amp;MINUTE(Sync!$K947),2),IFERROR(RIGHT("00"&amp;VALUE(LEFT(Sync!$K947,FIND(":",Sync!$K947)-1)),2)&amp;RIGHT("00"&amp;VALUE(MID(Sync!$K947,FIND(":",Sync!$K947)+1,2)),2),"0000")))&amp;"|"&amp;"2"&amp;RIGHT("00000"&amp;942,5))</f>
        <v/>
      </c>
      <c r="Q947" t="str">
        <f>IF(Sync!$J947="","",IF(ISNUMBER(Sync!$J947),IF(AND(Sync!$J947&gt;=10000101,Sync!$J947&lt;=99991231),INT(Sync!$J947/10000)&amp;"/"&amp;RIGHT("00"&amp;INT(MOD(Sync!$J947,10000)/100),2)&amp;"/"&amp;RIGHT("00"&amp;MOD(Sync!$J947,100),2),"نامعتبر"),IF(LEN(Sync!$J947)=10,Sync!$J947,"نامعتبر")))</f>
        <v/>
      </c>
      <c r="R947" t="str">
        <f t="shared" si="102"/>
        <v/>
      </c>
      <c r="S947" t="str">
        <f t="shared" si="103"/>
        <v/>
      </c>
      <c r="T947" t="str">
        <f>IF($N947="","",IF(Sync!$N947="",0,Sync!$N947))</f>
        <v/>
      </c>
      <c r="U947" t="str">
        <f>IF($N947="","",IF(Sync!$O947="",0,Sync!$O947))</f>
        <v/>
      </c>
      <c r="V947" t="str">
        <f>IF($N947="","",Sync!$L947)</f>
        <v/>
      </c>
      <c r="W947" t="str">
        <f>IF($N947="","",Sync!$P947)</f>
        <v/>
      </c>
      <c r="AA947" t="str">
        <f>IF($A947="","",IF(COUNTIF($A$6:$A947,$A947)=1,1,0))</f>
        <v/>
      </c>
      <c r="AB947">
        <f>SUM($AA$6:$AA947)</f>
        <v>3</v>
      </c>
      <c r="AC947" t="str">
        <f t="shared" si="104"/>
        <v/>
      </c>
    </row>
    <row r="948" spans="1:29" x14ac:dyDescent="0.2">
      <c r="A948" t="str">
        <f>IF(OR(Entry!$B951="",Entry!$E951="",$E948="نامعتبر"),"",Entry!$E951)</f>
        <v/>
      </c>
      <c r="B948" t="str">
        <f>IF($A948="","",LEFT($E948,4)&amp;MID($E948,6,2)&amp;RIGHT($E948,2)&amp;$F948&amp;"|"&amp;"1"&amp;RIGHT("00000"&amp;943,5))</f>
        <v/>
      </c>
      <c r="C948" t="str">
        <f t="shared" si="98"/>
        <v/>
      </c>
      <c r="D948" t="str">
        <f t="shared" si="99"/>
        <v/>
      </c>
      <c r="E948" t="str">
        <f>IF(Entry!$B951="","",IF(ISNUMBER(Entry!$B951),IF(AND(Entry!$B951&gt;=10000101,Entry!$B951&lt;=99991231),INT(Entry!$B951/10000)&amp;"/"&amp;RIGHT("00"&amp;INT(MOD(Entry!$B951,10000)/100),2)&amp;"/"&amp;RIGHT("00"&amp;MOD(Entry!$B951,100),2),"نامعتبر"),IF(LEN(Entry!$B951)=10,Entry!$B951,"نامعتبر")))</f>
        <v/>
      </c>
      <c r="F948" t="str">
        <f>IF(Entry!$B951="","",IF(Entry!$C951="","0000",IF(AND(ISNUMBER(Entry!$C951),Entry!$C951&gt;=0,Entry!$C951&lt;1),RIGHT("00"&amp;HOUR(Entry!$C951),2)&amp;RIGHT("00"&amp;MINUTE(Entry!$C951),2),IFERROR(RIGHT("00"&amp;VALUE(LEFT(Entry!$C951,FIND(":",Entry!$C951)-1)),2)&amp;RIGHT("00"&amp;VALUE(MID(Entry!$C951,FIND(":",Entry!$C951)+1,2)),2),"0000"))))</f>
        <v/>
      </c>
      <c r="G948" t="str">
        <f>IF($A948="","",Entry!$G951)</f>
        <v/>
      </c>
      <c r="H948" t="str">
        <f>IF($A948="","",IF(Entry!$H951="",0,Entry!$H951))</f>
        <v/>
      </c>
      <c r="I948" t="str">
        <f>IF($A948="","",IF(Entry!$I951="",0,Entry!$I951))</f>
        <v/>
      </c>
      <c r="J948" t="str">
        <f t="shared" si="100"/>
        <v/>
      </c>
      <c r="K948" t="str">
        <f>IF($A948="","",Entry!$D951)</f>
        <v/>
      </c>
      <c r="L948" t="str">
        <f>IF($A948="","",Entry!$L951)</f>
        <v/>
      </c>
      <c r="N948" t="str">
        <f>IF(OR(Sync!$M948="",$Q948="",$Q948="نامعتبر"),"",Sync!$M948)</f>
        <v/>
      </c>
      <c r="O948" t="str">
        <f t="shared" si="101"/>
        <v/>
      </c>
      <c r="P948" t="str">
        <f>IF($N948="","",LEFT($Q948,4)&amp;MID($Q948,6,2)&amp;RIGHT($Q948,2)&amp;IF(Sync!$K948="","0000",IF(AND(ISNUMBER(Sync!$K948),Sync!$K948&gt;=0,Sync!$K948&lt;1),RIGHT("00"&amp;HOUR(Sync!$K948),2)&amp;RIGHT("00"&amp;MINUTE(Sync!$K948),2),IFERROR(RIGHT("00"&amp;VALUE(LEFT(Sync!$K948,FIND(":",Sync!$K948)-1)),2)&amp;RIGHT("00"&amp;VALUE(MID(Sync!$K948,FIND(":",Sync!$K948)+1,2)),2),"0000")))&amp;"|"&amp;"2"&amp;RIGHT("00000"&amp;943,5))</f>
        <v/>
      </c>
      <c r="Q948" t="str">
        <f>IF(Sync!$J948="","",IF(ISNUMBER(Sync!$J948),IF(AND(Sync!$J948&gt;=10000101,Sync!$J948&lt;=99991231),INT(Sync!$J948/10000)&amp;"/"&amp;RIGHT("00"&amp;INT(MOD(Sync!$J948,10000)/100),2)&amp;"/"&amp;RIGHT("00"&amp;MOD(Sync!$J948,100),2),"نامعتبر"),IF(LEN(Sync!$J948)=10,Sync!$J948,"نامعتبر")))</f>
        <v/>
      </c>
      <c r="R948" t="str">
        <f t="shared" si="102"/>
        <v/>
      </c>
      <c r="S948" t="str">
        <f t="shared" si="103"/>
        <v/>
      </c>
      <c r="T948" t="str">
        <f>IF($N948="","",IF(Sync!$N948="",0,Sync!$N948))</f>
        <v/>
      </c>
      <c r="U948" t="str">
        <f>IF($N948="","",IF(Sync!$O948="",0,Sync!$O948))</f>
        <v/>
      </c>
      <c r="V948" t="str">
        <f>IF($N948="","",Sync!$L948)</f>
        <v/>
      </c>
      <c r="W948" t="str">
        <f>IF($N948="","",Sync!$P948)</f>
        <v/>
      </c>
      <c r="AA948" t="str">
        <f>IF($A948="","",IF(COUNTIF($A$6:$A948,$A948)=1,1,0))</f>
        <v/>
      </c>
      <c r="AB948">
        <f>SUM($AA$6:$AA948)</f>
        <v>3</v>
      </c>
      <c r="AC948" t="str">
        <f t="shared" si="104"/>
        <v/>
      </c>
    </row>
    <row r="949" spans="1:29" x14ac:dyDescent="0.2">
      <c r="A949" t="str">
        <f>IF(OR(Entry!$B952="",Entry!$E952="",$E949="نامعتبر"),"",Entry!$E952)</f>
        <v/>
      </c>
      <c r="B949" t="str">
        <f>IF($A949="","",LEFT($E949,4)&amp;MID($E949,6,2)&amp;RIGHT($E949,2)&amp;$F949&amp;"|"&amp;"1"&amp;RIGHT("00000"&amp;944,5))</f>
        <v/>
      </c>
      <c r="C949" t="str">
        <f t="shared" si="98"/>
        <v/>
      </c>
      <c r="D949" t="str">
        <f t="shared" si="99"/>
        <v/>
      </c>
      <c r="E949" t="str">
        <f>IF(Entry!$B952="","",IF(ISNUMBER(Entry!$B952),IF(AND(Entry!$B952&gt;=10000101,Entry!$B952&lt;=99991231),INT(Entry!$B952/10000)&amp;"/"&amp;RIGHT("00"&amp;INT(MOD(Entry!$B952,10000)/100),2)&amp;"/"&amp;RIGHT("00"&amp;MOD(Entry!$B952,100),2),"نامعتبر"),IF(LEN(Entry!$B952)=10,Entry!$B952,"نامعتبر")))</f>
        <v/>
      </c>
      <c r="F949" t="str">
        <f>IF(Entry!$B952="","",IF(Entry!$C952="","0000",IF(AND(ISNUMBER(Entry!$C952),Entry!$C952&gt;=0,Entry!$C952&lt;1),RIGHT("00"&amp;HOUR(Entry!$C952),2)&amp;RIGHT("00"&amp;MINUTE(Entry!$C952),2),IFERROR(RIGHT("00"&amp;VALUE(LEFT(Entry!$C952,FIND(":",Entry!$C952)-1)),2)&amp;RIGHT("00"&amp;VALUE(MID(Entry!$C952,FIND(":",Entry!$C952)+1,2)),2),"0000"))))</f>
        <v/>
      </c>
      <c r="G949" t="str">
        <f>IF($A949="","",Entry!$G952)</f>
        <v/>
      </c>
      <c r="H949" t="str">
        <f>IF($A949="","",IF(Entry!$H952="",0,Entry!$H952))</f>
        <v/>
      </c>
      <c r="I949" t="str">
        <f>IF($A949="","",IF(Entry!$I952="",0,Entry!$I952))</f>
        <v/>
      </c>
      <c r="J949" t="str">
        <f t="shared" si="100"/>
        <v/>
      </c>
      <c r="K949" t="str">
        <f>IF($A949="","",Entry!$D952)</f>
        <v/>
      </c>
      <c r="L949" t="str">
        <f>IF($A949="","",Entry!$L952)</f>
        <v/>
      </c>
      <c r="N949" t="str">
        <f>IF(OR(Sync!$M949="",$Q949="",$Q949="نامعتبر"),"",Sync!$M949)</f>
        <v/>
      </c>
      <c r="O949" t="str">
        <f t="shared" si="101"/>
        <v/>
      </c>
      <c r="P949" t="str">
        <f>IF($N949="","",LEFT($Q949,4)&amp;MID($Q949,6,2)&amp;RIGHT($Q949,2)&amp;IF(Sync!$K949="","0000",IF(AND(ISNUMBER(Sync!$K949),Sync!$K949&gt;=0,Sync!$K949&lt;1),RIGHT("00"&amp;HOUR(Sync!$K949),2)&amp;RIGHT("00"&amp;MINUTE(Sync!$K949),2),IFERROR(RIGHT("00"&amp;VALUE(LEFT(Sync!$K949,FIND(":",Sync!$K949)-1)),2)&amp;RIGHT("00"&amp;VALUE(MID(Sync!$K949,FIND(":",Sync!$K949)+1,2)),2),"0000")))&amp;"|"&amp;"2"&amp;RIGHT("00000"&amp;944,5))</f>
        <v/>
      </c>
      <c r="Q949" t="str">
        <f>IF(Sync!$J949="","",IF(ISNUMBER(Sync!$J949),IF(AND(Sync!$J949&gt;=10000101,Sync!$J949&lt;=99991231),INT(Sync!$J949/10000)&amp;"/"&amp;RIGHT("00"&amp;INT(MOD(Sync!$J949,10000)/100),2)&amp;"/"&amp;RIGHT("00"&amp;MOD(Sync!$J949,100),2),"نامعتبر"),IF(LEN(Sync!$J949)=10,Sync!$J949,"نامعتبر")))</f>
        <v/>
      </c>
      <c r="R949" t="str">
        <f t="shared" si="102"/>
        <v/>
      </c>
      <c r="S949" t="str">
        <f t="shared" si="103"/>
        <v/>
      </c>
      <c r="T949" t="str">
        <f>IF($N949="","",IF(Sync!$N949="",0,Sync!$N949))</f>
        <v/>
      </c>
      <c r="U949" t="str">
        <f>IF($N949="","",IF(Sync!$O949="",0,Sync!$O949))</f>
        <v/>
      </c>
      <c r="V949" t="str">
        <f>IF($N949="","",Sync!$L949)</f>
        <v/>
      </c>
      <c r="W949" t="str">
        <f>IF($N949="","",Sync!$P949)</f>
        <v/>
      </c>
      <c r="AA949" t="str">
        <f>IF($A949="","",IF(COUNTIF($A$6:$A949,$A949)=1,1,0))</f>
        <v/>
      </c>
      <c r="AB949">
        <f>SUM($AA$6:$AA949)</f>
        <v>3</v>
      </c>
      <c r="AC949" t="str">
        <f t="shared" si="104"/>
        <v/>
      </c>
    </row>
    <row r="950" spans="1:29" x14ac:dyDescent="0.2">
      <c r="A950" t="str">
        <f>IF(OR(Entry!$B953="",Entry!$E953="",$E950="نامعتبر"),"",Entry!$E953)</f>
        <v/>
      </c>
      <c r="B950" t="str">
        <f>IF($A950="","",LEFT($E950,4)&amp;MID($E950,6,2)&amp;RIGHT($E950,2)&amp;$F950&amp;"|"&amp;"1"&amp;RIGHT("00000"&amp;945,5))</f>
        <v/>
      </c>
      <c r="C950" t="str">
        <f t="shared" si="98"/>
        <v/>
      </c>
      <c r="D950" t="str">
        <f t="shared" si="99"/>
        <v/>
      </c>
      <c r="E950" t="str">
        <f>IF(Entry!$B953="","",IF(ISNUMBER(Entry!$B953),IF(AND(Entry!$B953&gt;=10000101,Entry!$B953&lt;=99991231),INT(Entry!$B953/10000)&amp;"/"&amp;RIGHT("00"&amp;INT(MOD(Entry!$B953,10000)/100),2)&amp;"/"&amp;RIGHT("00"&amp;MOD(Entry!$B953,100),2),"نامعتبر"),IF(LEN(Entry!$B953)=10,Entry!$B953,"نامعتبر")))</f>
        <v/>
      </c>
      <c r="F950" t="str">
        <f>IF(Entry!$B953="","",IF(Entry!$C953="","0000",IF(AND(ISNUMBER(Entry!$C953),Entry!$C953&gt;=0,Entry!$C953&lt;1),RIGHT("00"&amp;HOUR(Entry!$C953),2)&amp;RIGHT("00"&amp;MINUTE(Entry!$C953),2),IFERROR(RIGHT("00"&amp;VALUE(LEFT(Entry!$C953,FIND(":",Entry!$C953)-1)),2)&amp;RIGHT("00"&amp;VALUE(MID(Entry!$C953,FIND(":",Entry!$C953)+1,2)),2),"0000"))))</f>
        <v/>
      </c>
      <c r="G950" t="str">
        <f>IF($A950="","",Entry!$G953)</f>
        <v/>
      </c>
      <c r="H950" t="str">
        <f>IF($A950="","",IF(Entry!$H953="",0,Entry!$H953))</f>
        <v/>
      </c>
      <c r="I950" t="str">
        <f>IF($A950="","",IF(Entry!$I953="",0,Entry!$I953))</f>
        <v/>
      </c>
      <c r="J950" t="str">
        <f t="shared" si="100"/>
        <v/>
      </c>
      <c r="K950" t="str">
        <f>IF($A950="","",Entry!$D953)</f>
        <v/>
      </c>
      <c r="L950" t="str">
        <f>IF($A950="","",Entry!$L953)</f>
        <v/>
      </c>
      <c r="N950" t="str">
        <f>IF(OR(Sync!$M950="",$Q950="",$Q950="نامعتبر"),"",Sync!$M950)</f>
        <v/>
      </c>
      <c r="O950" t="str">
        <f t="shared" si="101"/>
        <v/>
      </c>
      <c r="P950" t="str">
        <f>IF($N950="","",LEFT($Q950,4)&amp;MID($Q950,6,2)&amp;RIGHT($Q950,2)&amp;IF(Sync!$K950="","0000",IF(AND(ISNUMBER(Sync!$K950),Sync!$K950&gt;=0,Sync!$K950&lt;1),RIGHT("00"&amp;HOUR(Sync!$K950),2)&amp;RIGHT("00"&amp;MINUTE(Sync!$K950),2),IFERROR(RIGHT("00"&amp;VALUE(LEFT(Sync!$K950,FIND(":",Sync!$K950)-1)),2)&amp;RIGHT("00"&amp;VALUE(MID(Sync!$K950,FIND(":",Sync!$K950)+1,2)),2),"0000")))&amp;"|"&amp;"2"&amp;RIGHT("00000"&amp;945,5))</f>
        <v/>
      </c>
      <c r="Q950" t="str">
        <f>IF(Sync!$J950="","",IF(ISNUMBER(Sync!$J950),IF(AND(Sync!$J950&gt;=10000101,Sync!$J950&lt;=99991231),INT(Sync!$J950/10000)&amp;"/"&amp;RIGHT("00"&amp;INT(MOD(Sync!$J950,10000)/100),2)&amp;"/"&amp;RIGHT("00"&amp;MOD(Sync!$J950,100),2),"نامعتبر"),IF(LEN(Sync!$J950)=10,Sync!$J950,"نامعتبر")))</f>
        <v/>
      </c>
      <c r="R950" t="str">
        <f t="shared" si="102"/>
        <v/>
      </c>
      <c r="S950" t="str">
        <f t="shared" si="103"/>
        <v/>
      </c>
      <c r="T950" t="str">
        <f>IF($N950="","",IF(Sync!$N950="",0,Sync!$N950))</f>
        <v/>
      </c>
      <c r="U950" t="str">
        <f>IF($N950="","",IF(Sync!$O950="",0,Sync!$O950))</f>
        <v/>
      </c>
      <c r="V950" t="str">
        <f>IF($N950="","",Sync!$L950)</f>
        <v/>
      </c>
      <c r="W950" t="str">
        <f>IF($N950="","",Sync!$P950)</f>
        <v/>
      </c>
      <c r="AA950" t="str">
        <f>IF($A950="","",IF(COUNTIF($A$6:$A950,$A950)=1,1,0))</f>
        <v/>
      </c>
      <c r="AB950">
        <f>SUM($AA$6:$AA950)</f>
        <v>3</v>
      </c>
      <c r="AC950" t="str">
        <f t="shared" si="104"/>
        <v/>
      </c>
    </row>
    <row r="951" spans="1:29" x14ac:dyDescent="0.2">
      <c r="A951" t="str">
        <f>IF(OR(Entry!$B954="",Entry!$E954="",$E951="نامعتبر"),"",Entry!$E954)</f>
        <v/>
      </c>
      <c r="B951" t="str">
        <f>IF($A951="","",LEFT($E951,4)&amp;MID($E951,6,2)&amp;RIGHT($E951,2)&amp;$F951&amp;"|"&amp;"1"&amp;RIGHT("00000"&amp;946,5))</f>
        <v/>
      </c>
      <c r="C951" t="str">
        <f t="shared" si="98"/>
        <v/>
      </c>
      <c r="D951" t="str">
        <f t="shared" si="99"/>
        <v/>
      </c>
      <c r="E951" t="str">
        <f>IF(Entry!$B954="","",IF(ISNUMBER(Entry!$B954),IF(AND(Entry!$B954&gt;=10000101,Entry!$B954&lt;=99991231),INT(Entry!$B954/10000)&amp;"/"&amp;RIGHT("00"&amp;INT(MOD(Entry!$B954,10000)/100),2)&amp;"/"&amp;RIGHT("00"&amp;MOD(Entry!$B954,100),2),"نامعتبر"),IF(LEN(Entry!$B954)=10,Entry!$B954,"نامعتبر")))</f>
        <v/>
      </c>
      <c r="F951" t="str">
        <f>IF(Entry!$B954="","",IF(Entry!$C954="","0000",IF(AND(ISNUMBER(Entry!$C954),Entry!$C954&gt;=0,Entry!$C954&lt;1),RIGHT("00"&amp;HOUR(Entry!$C954),2)&amp;RIGHT("00"&amp;MINUTE(Entry!$C954),2),IFERROR(RIGHT("00"&amp;VALUE(LEFT(Entry!$C954,FIND(":",Entry!$C954)-1)),2)&amp;RIGHT("00"&amp;VALUE(MID(Entry!$C954,FIND(":",Entry!$C954)+1,2)),2),"0000"))))</f>
        <v/>
      </c>
      <c r="G951" t="str">
        <f>IF($A951="","",Entry!$G954)</f>
        <v/>
      </c>
      <c r="H951" t="str">
        <f>IF($A951="","",IF(Entry!$H954="",0,Entry!$H954))</f>
        <v/>
      </c>
      <c r="I951" t="str">
        <f>IF($A951="","",IF(Entry!$I954="",0,Entry!$I954))</f>
        <v/>
      </c>
      <c r="J951" t="str">
        <f t="shared" si="100"/>
        <v/>
      </c>
      <c r="K951" t="str">
        <f>IF($A951="","",Entry!$D954)</f>
        <v/>
      </c>
      <c r="L951" t="str">
        <f>IF($A951="","",Entry!$L954)</f>
        <v/>
      </c>
      <c r="N951" t="str">
        <f>IF(OR(Sync!$M951="",$Q951="",$Q951="نامعتبر"),"",Sync!$M951)</f>
        <v/>
      </c>
      <c r="O951" t="str">
        <f t="shared" si="101"/>
        <v/>
      </c>
      <c r="P951" t="str">
        <f>IF($N951="","",LEFT($Q951,4)&amp;MID($Q951,6,2)&amp;RIGHT($Q951,2)&amp;IF(Sync!$K951="","0000",IF(AND(ISNUMBER(Sync!$K951),Sync!$K951&gt;=0,Sync!$K951&lt;1),RIGHT("00"&amp;HOUR(Sync!$K951),2)&amp;RIGHT("00"&amp;MINUTE(Sync!$K951),2),IFERROR(RIGHT("00"&amp;VALUE(LEFT(Sync!$K951,FIND(":",Sync!$K951)-1)),2)&amp;RIGHT("00"&amp;VALUE(MID(Sync!$K951,FIND(":",Sync!$K951)+1,2)),2),"0000")))&amp;"|"&amp;"2"&amp;RIGHT("00000"&amp;946,5))</f>
        <v/>
      </c>
      <c r="Q951" t="str">
        <f>IF(Sync!$J951="","",IF(ISNUMBER(Sync!$J951),IF(AND(Sync!$J951&gt;=10000101,Sync!$J951&lt;=99991231),INT(Sync!$J951/10000)&amp;"/"&amp;RIGHT("00"&amp;INT(MOD(Sync!$J951,10000)/100),2)&amp;"/"&amp;RIGHT("00"&amp;MOD(Sync!$J951,100),2),"نامعتبر"),IF(LEN(Sync!$J951)=10,Sync!$J951,"نامعتبر")))</f>
        <v/>
      </c>
      <c r="R951" t="str">
        <f t="shared" si="102"/>
        <v/>
      </c>
      <c r="S951" t="str">
        <f t="shared" si="103"/>
        <v/>
      </c>
      <c r="T951" t="str">
        <f>IF($N951="","",IF(Sync!$N951="",0,Sync!$N951))</f>
        <v/>
      </c>
      <c r="U951" t="str">
        <f>IF($N951="","",IF(Sync!$O951="",0,Sync!$O951))</f>
        <v/>
      </c>
      <c r="V951" t="str">
        <f>IF($N951="","",Sync!$L951)</f>
        <v/>
      </c>
      <c r="W951" t="str">
        <f>IF($N951="","",Sync!$P951)</f>
        <v/>
      </c>
      <c r="AA951" t="str">
        <f>IF($A951="","",IF(COUNTIF($A$6:$A951,$A951)=1,1,0))</f>
        <v/>
      </c>
      <c r="AB951">
        <f>SUM($AA$6:$AA951)</f>
        <v>3</v>
      </c>
      <c r="AC951" t="str">
        <f t="shared" si="104"/>
        <v/>
      </c>
    </row>
    <row r="952" spans="1:29" x14ac:dyDescent="0.2">
      <c r="A952" t="str">
        <f>IF(OR(Entry!$B955="",Entry!$E955="",$E952="نامعتبر"),"",Entry!$E955)</f>
        <v/>
      </c>
      <c r="B952" t="str">
        <f>IF($A952="","",LEFT($E952,4)&amp;MID($E952,6,2)&amp;RIGHT($E952,2)&amp;$F952&amp;"|"&amp;"1"&amp;RIGHT("00000"&amp;947,5))</f>
        <v/>
      </c>
      <c r="C952" t="str">
        <f t="shared" si="98"/>
        <v/>
      </c>
      <c r="D952" t="str">
        <f t="shared" si="99"/>
        <v/>
      </c>
      <c r="E952" t="str">
        <f>IF(Entry!$B955="","",IF(ISNUMBER(Entry!$B955),IF(AND(Entry!$B955&gt;=10000101,Entry!$B955&lt;=99991231),INT(Entry!$B955/10000)&amp;"/"&amp;RIGHT("00"&amp;INT(MOD(Entry!$B955,10000)/100),2)&amp;"/"&amp;RIGHT("00"&amp;MOD(Entry!$B955,100),2),"نامعتبر"),IF(LEN(Entry!$B955)=10,Entry!$B955,"نامعتبر")))</f>
        <v/>
      </c>
      <c r="F952" t="str">
        <f>IF(Entry!$B955="","",IF(Entry!$C955="","0000",IF(AND(ISNUMBER(Entry!$C955),Entry!$C955&gt;=0,Entry!$C955&lt;1),RIGHT("00"&amp;HOUR(Entry!$C955),2)&amp;RIGHT("00"&amp;MINUTE(Entry!$C955),2),IFERROR(RIGHT("00"&amp;VALUE(LEFT(Entry!$C955,FIND(":",Entry!$C955)-1)),2)&amp;RIGHT("00"&amp;VALUE(MID(Entry!$C955,FIND(":",Entry!$C955)+1,2)),2),"0000"))))</f>
        <v/>
      </c>
      <c r="G952" t="str">
        <f>IF($A952="","",Entry!$G955)</f>
        <v/>
      </c>
      <c r="H952" t="str">
        <f>IF($A952="","",IF(Entry!$H955="",0,Entry!$H955))</f>
        <v/>
      </c>
      <c r="I952" t="str">
        <f>IF($A952="","",IF(Entry!$I955="",0,Entry!$I955))</f>
        <v/>
      </c>
      <c r="J952" t="str">
        <f t="shared" si="100"/>
        <v/>
      </c>
      <c r="K952" t="str">
        <f>IF($A952="","",Entry!$D955)</f>
        <v/>
      </c>
      <c r="L952" t="str">
        <f>IF($A952="","",Entry!$L955)</f>
        <v/>
      </c>
      <c r="N952" t="str">
        <f>IF(OR(Sync!$M952="",$Q952="",$Q952="نامعتبر"),"",Sync!$M952)</f>
        <v/>
      </c>
      <c r="O952" t="str">
        <f t="shared" si="101"/>
        <v/>
      </c>
      <c r="P952" t="str">
        <f>IF($N952="","",LEFT($Q952,4)&amp;MID($Q952,6,2)&amp;RIGHT($Q952,2)&amp;IF(Sync!$K952="","0000",IF(AND(ISNUMBER(Sync!$K952),Sync!$K952&gt;=0,Sync!$K952&lt;1),RIGHT("00"&amp;HOUR(Sync!$K952),2)&amp;RIGHT("00"&amp;MINUTE(Sync!$K952),2),IFERROR(RIGHT("00"&amp;VALUE(LEFT(Sync!$K952,FIND(":",Sync!$K952)-1)),2)&amp;RIGHT("00"&amp;VALUE(MID(Sync!$K952,FIND(":",Sync!$K952)+1,2)),2),"0000")))&amp;"|"&amp;"2"&amp;RIGHT("00000"&amp;947,5))</f>
        <v/>
      </c>
      <c r="Q952" t="str">
        <f>IF(Sync!$J952="","",IF(ISNUMBER(Sync!$J952),IF(AND(Sync!$J952&gt;=10000101,Sync!$J952&lt;=99991231),INT(Sync!$J952/10000)&amp;"/"&amp;RIGHT("00"&amp;INT(MOD(Sync!$J952,10000)/100),2)&amp;"/"&amp;RIGHT("00"&amp;MOD(Sync!$J952,100),2),"نامعتبر"),IF(LEN(Sync!$J952)=10,Sync!$J952,"نامعتبر")))</f>
        <v/>
      </c>
      <c r="R952" t="str">
        <f t="shared" si="102"/>
        <v/>
      </c>
      <c r="S952" t="str">
        <f t="shared" si="103"/>
        <v/>
      </c>
      <c r="T952" t="str">
        <f>IF($N952="","",IF(Sync!$N952="",0,Sync!$N952))</f>
        <v/>
      </c>
      <c r="U952" t="str">
        <f>IF($N952="","",IF(Sync!$O952="",0,Sync!$O952))</f>
        <v/>
      </c>
      <c r="V952" t="str">
        <f>IF($N952="","",Sync!$L952)</f>
        <v/>
      </c>
      <c r="W952" t="str">
        <f>IF($N952="","",Sync!$P952)</f>
        <v/>
      </c>
      <c r="AA952" t="str">
        <f>IF($A952="","",IF(COUNTIF($A$6:$A952,$A952)=1,1,0))</f>
        <v/>
      </c>
      <c r="AB952">
        <f>SUM($AA$6:$AA952)</f>
        <v>3</v>
      </c>
      <c r="AC952" t="str">
        <f t="shared" si="104"/>
        <v/>
      </c>
    </row>
    <row r="953" spans="1:29" x14ac:dyDescent="0.2">
      <c r="A953" t="str">
        <f>IF(OR(Entry!$B956="",Entry!$E956="",$E953="نامعتبر"),"",Entry!$E956)</f>
        <v/>
      </c>
      <c r="B953" t="str">
        <f>IF($A953="","",LEFT($E953,4)&amp;MID($E953,6,2)&amp;RIGHT($E953,2)&amp;$F953&amp;"|"&amp;"1"&amp;RIGHT("00000"&amp;948,5))</f>
        <v/>
      </c>
      <c r="C953" t="str">
        <f t="shared" si="98"/>
        <v/>
      </c>
      <c r="D953" t="str">
        <f t="shared" si="99"/>
        <v/>
      </c>
      <c r="E953" t="str">
        <f>IF(Entry!$B956="","",IF(ISNUMBER(Entry!$B956),IF(AND(Entry!$B956&gt;=10000101,Entry!$B956&lt;=99991231),INT(Entry!$B956/10000)&amp;"/"&amp;RIGHT("00"&amp;INT(MOD(Entry!$B956,10000)/100),2)&amp;"/"&amp;RIGHT("00"&amp;MOD(Entry!$B956,100),2),"نامعتبر"),IF(LEN(Entry!$B956)=10,Entry!$B956,"نامعتبر")))</f>
        <v/>
      </c>
      <c r="F953" t="str">
        <f>IF(Entry!$B956="","",IF(Entry!$C956="","0000",IF(AND(ISNUMBER(Entry!$C956),Entry!$C956&gt;=0,Entry!$C956&lt;1),RIGHT("00"&amp;HOUR(Entry!$C956),2)&amp;RIGHT("00"&amp;MINUTE(Entry!$C956),2),IFERROR(RIGHT("00"&amp;VALUE(LEFT(Entry!$C956,FIND(":",Entry!$C956)-1)),2)&amp;RIGHT("00"&amp;VALUE(MID(Entry!$C956,FIND(":",Entry!$C956)+1,2)),2),"0000"))))</f>
        <v/>
      </c>
      <c r="G953" t="str">
        <f>IF($A953="","",Entry!$G956)</f>
        <v/>
      </c>
      <c r="H953" t="str">
        <f>IF($A953="","",IF(Entry!$H956="",0,Entry!$H956))</f>
        <v/>
      </c>
      <c r="I953" t="str">
        <f>IF($A953="","",IF(Entry!$I956="",0,Entry!$I956))</f>
        <v/>
      </c>
      <c r="J953" t="str">
        <f t="shared" si="100"/>
        <v/>
      </c>
      <c r="K953" t="str">
        <f>IF($A953="","",Entry!$D956)</f>
        <v/>
      </c>
      <c r="L953" t="str">
        <f>IF($A953="","",Entry!$L956)</f>
        <v/>
      </c>
      <c r="N953" t="str">
        <f>IF(OR(Sync!$M953="",$Q953="",$Q953="نامعتبر"),"",Sync!$M953)</f>
        <v/>
      </c>
      <c r="O953" t="str">
        <f t="shared" si="101"/>
        <v/>
      </c>
      <c r="P953" t="str">
        <f>IF($N953="","",LEFT($Q953,4)&amp;MID($Q953,6,2)&amp;RIGHT($Q953,2)&amp;IF(Sync!$K953="","0000",IF(AND(ISNUMBER(Sync!$K953),Sync!$K953&gt;=0,Sync!$K953&lt;1),RIGHT("00"&amp;HOUR(Sync!$K953),2)&amp;RIGHT("00"&amp;MINUTE(Sync!$K953),2),IFERROR(RIGHT("00"&amp;VALUE(LEFT(Sync!$K953,FIND(":",Sync!$K953)-1)),2)&amp;RIGHT("00"&amp;VALUE(MID(Sync!$K953,FIND(":",Sync!$K953)+1,2)),2),"0000")))&amp;"|"&amp;"2"&amp;RIGHT("00000"&amp;948,5))</f>
        <v/>
      </c>
      <c r="Q953" t="str">
        <f>IF(Sync!$J953="","",IF(ISNUMBER(Sync!$J953),IF(AND(Sync!$J953&gt;=10000101,Sync!$J953&lt;=99991231),INT(Sync!$J953/10000)&amp;"/"&amp;RIGHT("00"&amp;INT(MOD(Sync!$J953,10000)/100),2)&amp;"/"&amp;RIGHT("00"&amp;MOD(Sync!$J953,100),2),"نامعتبر"),IF(LEN(Sync!$J953)=10,Sync!$J953,"نامعتبر")))</f>
        <v/>
      </c>
      <c r="R953" t="str">
        <f t="shared" si="102"/>
        <v/>
      </c>
      <c r="S953" t="str">
        <f t="shared" si="103"/>
        <v/>
      </c>
      <c r="T953" t="str">
        <f>IF($N953="","",IF(Sync!$N953="",0,Sync!$N953))</f>
        <v/>
      </c>
      <c r="U953" t="str">
        <f>IF($N953="","",IF(Sync!$O953="",0,Sync!$O953))</f>
        <v/>
      </c>
      <c r="V953" t="str">
        <f>IF($N953="","",Sync!$L953)</f>
        <v/>
      </c>
      <c r="W953" t="str">
        <f>IF($N953="","",Sync!$P953)</f>
        <v/>
      </c>
      <c r="AA953" t="str">
        <f>IF($A953="","",IF(COUNTIF($A$6:$A953,$A953)=1,1,0))</f>
        <v/>
      </c>
      <c r="AB953">
        <f>SUM($AA$6:$AA953)</f>
        <v>3</v>
      </c>
      <c r="AC953" t="str">
        <f t="shared" si="104"/>
        <v/>
      </c>
    </row>
    <row r="954" spans="1:29" x14ac:dyDescent="0.2">
      <c r="A954" t="str">
        <f>IF(OR(Entry!$B957="",Entry!$E957="",$E954="نامعتبر"),"",Entry!$E957)</f>
        <v/>
      </c>
      <c r="B954" t="str">
        <f>IF($A954="","",LEFT($E954,4)&amp;MID($E954,6,2)&amp;RIGHT($E954,2)&amp;$F954&amp;"|"&amp;"1"&amp;RIGHT("00000"&amp;949,5))</f>
        <v/>
      </c>
      <c r="C954" t="str">
        <f t="shared" si="98"/>
        <v/>
      </c>
      <c r="D954" t="str">
        <f t="shared" si="99"/>
        <v/>
      </c>
      <c r="E954" t="str">
        <f>IF(Entry!$B957="","",IF(ISNUMBER(Entry!$B957),IF(AND(Entry!$B957&gt;=10000101,Entry!$B957&lt;=99991231),INT(Entry!$B957/10000)&amp;"/"&amp;RIGHT("00"&amp;INT(MOD(Entry!$B957,10000)/100),2)&amp;"/"&amp;RIGHT("00"&amp;MOD(Entry!$B957,100),2),"نامعتبر"),IF(LEN(Entry!$B957)=10,Entry!$B957,"نامعتبر")))</f>
        <v/>
      </c>
      <c r="F954" t="str">
        <f>IF(Entry!$B957="","",IF(Entry!$C957="","0000",IF(AND(ISNUMBER(Entry!$C957),Entry!$C957&gt;=0,Entry!$C957&lt;1),RIGHT("00"&amp;HOUR(Entry!$C957),2)&amp;RIGHT("00"&amp;MINUTE(Entry!$C957),2),IFERROR(RIGHT("00"&amp;VALUE(LEFT(Entry!$C957,FIND(":",Entry!$C957)-1)),2)&amp;RIGHT("00"&amp;VALUE(MID(Entry!$C957,FIND(":",Entry!$C957)+1,2)),2),"0000"))))</f>
        <v/>
      </c>
      <c r="G954" t="str">
        <f>IF($A954="","",Entry!$G957)</f>
        <v/>
      </c>
      <c r="H954" t="str">
        <f>IF($A954="","",IF(Entry!$H957="",0,Entry!$H957))</f>
        <v/>
      </c>
      <c r="I954" t="str">
        <f>IF($A954="","",IF(Entry!$I957="",0,Entry!$I957))</f>
        <v/>
      </c>
      <c r="J954" t="str">
        <f t="shared" si="100"/>
        <v/>
      </c>
      <c r="K954" t="str">
        <f>IF($A954="","",Entry!$D957)</f>
        <v/>
      </c>
      <c r="L954" t="str">
        <f>IF($A954="","",Entry!$L957)</f>
        <v/>
      </c>
      <c r="N954" t="str">
        <f>IF(OR(Sync!$M954="",$Q954="",$Q954="نامعتبر"),"",Sync!$M954)</f>
        <v/>
      </c>
      <c r="O954" t="str">
        <f t="shared" si="101"/>
        <v/>
      </c>
      <c r="P954" t="str">
        <f>IF($N954="","",LEFT($Q954,4)&amp;MID($Q954,6,2)&amp;RIGHT($Q954,2)&amp;IF(Sync!$K954="","0000",IF(AND(ISNUMBER(Sync!$K954),Sync!$K954&gt;=0,Sync!$K954&lt;1),RIGHT("00"&amp;HOUR(Sync!$K954),2)&amp;RIGHT("00"&amp;MINUTE(Sync!$K954),2),IFERROR(RIGHT("00"&amp;VALUE(LEFT(Sync!$K954,FIND(":",Sync!$K954)-1)),2)&amp;RIGHT("00"&amp;VALUE(MID(Sync!$K954,FIND(":",Sync!$K954)+1,2)),2),"0000")))&amp;"|"&amp;"2"&amp;RIGHT("00000"&amp;949,5))</f>
        <v/>
      </c>
      <c r="Q954" t="str">
        <f>IF(Sync!$J954="","",IF(ISNUMBER(Sync!$J954),IF(AND(Sync!$J954&gt;=10000101,Sync!$J954&lt;=99991231),INT(Sync!$J954/10000)&amp;"/"&amp;RIGHT("00"&amp;INT(MOD(Sync!$J954,10000)/100),2)&amp;"/"&amp;RIGHT("00"&amp;MOD(Sync!$J954,100),2),"نامعتبر"),IF(LEN(Sync!$J954)=10,Sync!$J954,"نامعتبر")))</f>
        <v/>
      </c>
      <c r="R954" t="str">
        <f t="shared" si="102"/>
        <v/>
      </c>
      <c r="S954" t="str">
        <f t="shared" si="103"/>
        <v/>
      </c>
      <c r="T954" t="str">
        <f>IF($N954="","",IF(Sync!$N954="",0,Sync!$N954))</f>
        <v/>
      </c>
      <c r="U954" t="str">
        <f>IF($N954="","",IF(Sync!$O954="",0,Sync!$O954))</f>
        <v/>
      </c>
      <c r="V954" t="str">
        <f>IF($N954="","",Sync!$L954)</f>
        <v/>
      </c>
      <c r="W954" t="str">
        <f>IF($N954="","",Sync!$P954)</f>
        <v/>
      </c>
      <c r="AA954" t="str">
        <f>IF($A954="","",IF(COUNTIF($A$6:$A954,$A954)=1,1,0))</f>
        <v/>
      </c>
      <c r="AB954">
        <f>SUM($AA$6:$AA954)</f>
        <v>3</v>
      </c>
      <c r="AC954" t="str">
        <f t="shared" si="104"/>
        <v/>
      </c>
    </row>
    <row r="955" spans="1:29" x14ac:dyDescent="0.2">
      <c r="A955" t="str">
        <f>IF(OR(Entry!$B958="",Entry!$E958="",$E955="نامعتبر"),"",Entry!$E958)</f>
        <v/>
      </c>
      <c r="B955" t="str">
        <f>IF($A955="","",LEFT($E955,4)&amp;MID($E955,6,2)&amp;RIGHT($E955,2)&amp;$F955&amp;"|"&amp;"1"&amp;RIGHT("00000"&amp;950,5))</f>
        <v/>
      </c>
      <c r="C955" t="str">
        <f t="shared" si="98"/>
        <v/>
      </c>
      <c r="D955" t="str">
        <f t="shared" si="99"/>
        <v/>
      </c>
      <c r="E955" t="str">
        <f>IF(Entry!$B958="","",IF(ISNUMBER(Entry!$B958),IF(AND(Entry!$B958&gt;=10000101,Entry!$B958&lt;=99991231),INT(Entry!$B958/10000)&amp;"/"&amp;RIGHT("00"&amp;INT(MOD(Entry!$B958,10000)/100),2)&amp;"/"&amp;RIGHT("00"&amp;MOD(Entry!$B958,100),2),"نامعتبر"),IF(LEN(Entry!$B958)=10,Entry!$B958,"نامعتبر")))</f>
        <v/>
      </c>
      <c r="F955" t="str">
        <f>IF(Entry!$B958="","",IF(Entry!$C958="","0000",IF(AND(ISNUMBER(Entry!$C958),Entry!$C958&gt;=0,Entry!$C958&lt;1),RIGHT("00"&amp;HOUR(Entry!$C958),2)&amp;RIGHT("00"&amp;MINUTE(Entry!$C958),2),IFERROR(RIGHT("00"&amp;VALUE(LEFT(Entry!$C958,FIND(":",Entry!$C958)-1)),2)&amp;RIGHT("00"&amp;VALUE(MID(Entry!$C958,FIND(":",Entry!$C958)+1,2)),2),"0000"))))</f>
        <v/>
      </c>
      <c r="G955" t="str">
        <f>IF($A955="","",Entry!$G958)</f>
        <v/>
      </c>
      <c r="H955" t="str">
        <f>IF($A955="","",IF(Entry!$H958="",0,Entry!$H958))</f>
        <v/>
      </c>
      <c r="I955" t="str">
        <f>IF($A955="","",IF(Entry!$I958="",0,Entry!$I958))</f>
        <v/>
      </c>
      <c r="J955" t="str">
        <f t="shared" si="100"/>
        <v/>
      </c>
      <c r="K955" t="str">
        <f>IF($A955="","",Entry!$D958)</f>
        <v/>
      </c>
      <c r="L955" t="str">
        <f>IF($A955="","",Entry!$L958)</f>
        <v/>
      </c>
      <c r="N955" t="str">
        <f>IF(OR(Sync!$M955="",$Q955="",$Q955="نامعتبر"),"",Sync!$M955)</f>
        <v/>
      </c>
      <c r="O955" t="str">
        <f t="shared" si="101"/>
        <v/>
      </c>
      <c r="P955" t="str">
        <f>IF($N955="","",LEFT($Q955,4)&amp;MID($Q955,6,2)&amp;RIGHT($Q955,2)&amp;IF(Sync!$K955="","0000",IF(AND(ISNUMBER(Sync!$K955),Sync!$K955&gt;=0,Sync!$K955&lt;1),RIGHT("00"&amp;HOUR(Sync!$K955),2)&amp;RIGHT("00"&amp;MINUTE(Sync!$K955),2),IFERROR(RIGHT("00"&amp;VALUE(LEFT(Sync!$K955,FIND(":",Sync!$K955)-1)),2)&amp;RIGHT("00"&amp;VALUE(MID(Sync!$K955,FIND(":",Sync!$K955)+1,2)),2),"0000")))&amp;"|"&amp;"2"&amp;RIGHT("00000"&amp;950,5))</f>
        <v/>
      </c>
      <c r="Q955" t="str">
        <f>IF(Sync!$J955="","",IF(ISNUMBER(Sync!$J955),IF(AND(Sync!$J955&gt;=10000101,Sync!$J955&lt;=99991231),INT(Sync!$J955/10000)&amp;"/"&amp;RIGHT("00"&amp;INT(MOD(Sync!$J955,10000)/100),2)&amp;"/"&amp;RIGHT("00"&amp;MOD(Sync!$J955,100),2),"نامعتبر"),IF(LEN(Sync!$J955)=10,Sync!$J955,"نامعتبر")))</f>
        <v/>
      </c>
      <c r="R955" t="str">
        <f t="shared" si="102"/>
        <v/>
      </c>
      <c r="S955" t="str">
        <f t="shared" si="103"/>
        <v/>
      </c>
      <c r="T955" t="str">
        <f>IF($N955="","",IF(Sync!$N955="",0,Sync!$N955))</f>
        <v/>
      </c>
      <c r="U955" t="str">
        <f>IF($N955="","",IF(Sync!$O955="",0,Sync!$O955))</f>
        <v/>
      </c>
      <c r="V955" t="str">
        <f>IF($N955="","",Sync!$L955)</f>
        <v/>
      </c>
      <c r="W955" t="str">
        <f>IF($N955="","",Sync!$P955)</f>
        <v/>
      </c>
      <c r="AA955" t="str">
        <f>IF($A955="","",IF(COUNTIF($A$6:$A955,$A955)=1,1,0))</f>
        <v/>
      </c>
      <c r="AB955">
        <f>SUM($AA$6:$AA955)</f>
        <v>3</v>
      </c>
      <c r="AC955" t="str">
        <f t="shared" si="104"/>
        <v/>
      </c>
    </row>
    <row r="956" spans="1:29" x14ac:dyDescent="0.2">
      <c r="A956" t="str">
        <f>IF(OR(Entry!$B959="",Entry!$E959="",$E956="نامعتبر"),"",Entry!$E959)</f>
        <v/>
      </c>
      <c r="B956" t="str">
        <f>IF($A956="","",LEFT($E956,4)&amp;MID($E956,6,2)&amp;RIGHT($E956,2)&amp;$F956&amp;"|"&amp;"1"&amp;RIGHT("00000"&amp;951,5))</f>
        <v/>
      </c>
      <c r="C956" t="str">
        <f t="shared" si="98"/>
        <v/>
      </c>
      <c r="D956" t="str">
        <f t="shared" si="99"/>
        <v/>
      </c>
      <c r="E956" t="str">
        <f>IF(Entry!$B959="","",IF(ISNUMBER(Entry!$B959),IF(AND(Entry!$B959&gt;=10000101,Entry!$B959&lt;=99991231),INT(Entry!$B959/10000)&amp;"/"&amp;RIGHT("00"&amp;INT(MOD(Entry!$B959,10000)/100),2)&amp;"/"&amp;RIGHT("00"&amp;MOD(Entry!$B959,100),2),"نامعتبر"),IF(LEN(Entry!$B959)=10,Entry!$B959,"نامعتبر")))</f>
        <v/>
      </c>
      <c r="F956" t="str">
        <f>IF(Entry!$B959="","",IF(Entry!$C959="","0000",IF(AND(ISNUMBER(Entry!$C959),Entry!$C959&gt;=0,Entry!$C959&lt;1),RIGHT("00"&amp;HOUR(Entry!$C959),2)&amp;RIGHT("00"&amp;MINUTE(Entry!$C959),2),IFERROR(RIGHT("00"&amp;VALUE(LEFT(Entry!$C959,FIND(":",Entry!$C959)-1)),2)&amp;RIGHT("00"&amp;VALUE(MID(Entry!$C959,FIND(":",Entry!$C959)+1,2)),2),"0000"))))</f>
        <v/>
      </c>
      <c r="G956" t="str">
        <f>IF($A956="","",Entry!$G959)</f>
        <v/>
      </c>
      <c r="H956" t="str">
        <f>IF($A956="","",IF(Entry!$H959="",0,Entry!$H959))</f>
        <v/>
      </c>
      <c r="I956" t="str">
        <f>IF($A956="","",IF(Entry!$I959="",0,Entry!$I959))</f>
        <v/>
      </c>
      <c r="J956" t="str">
        <f t="shared" si="100"/>
        <v/>
      </c>
      <c r="K956" t="str">
        <f>IF($A956="","",Entry!$D959)</f>
        <v/>
      </c>
      <c r="L956" t="str">
        <f>IF($A956="","",Entry!$L959)</f>
        <v/>
      </c>
      <c r="N956" t="str">
        <f>IF(OR(Sync!$M956="",$Q956="",$Q956="نامعتبر"),"",Sync!$M956)</f>
        <v/>
      </c>
      <c r="O956" t="str">
        <f t="shared" si="101"/>
        <v/>
      </c>
      <c r="P956" t="str">
        <f>IF($N956="","",LEFT($Q956,4)&amp;MID($Q956,6,2)&amp;RIGHT($Q956,2)&amp;IF(Sync!$K956="","0000",IF(AND(ISNUMBER(Sync!$K956),Sync!$K956&gt;=0,Sync!$K956&lt;1),RIGHT("00"&amp;HOUR(Sync!$K956),2)&amp;RIGHT("00"&amp;MINUTE(Sync!$K956),2),IFERROR(RIGHT("00"&amp;VALUE(LEFT(Sync!$K956,FIND(":",Sync!$K956)-1)),2)&amp;RIGHT("00"&amp;VALUE(MID(Sync!$K956,FIND(":",Sync!$K956)+1,2)),2),"0000")))&amp;"|"&amp;"2"&amp;RIGHT("00000"&amp;951,5))</f>
        <v/>
      </c>
      <c r="Q956" t="str">
        <f>IF(Sync!$J956="","",IF(ISNUMBER(Sync!$J956),IF(AND(Sync!$J956&gt;=10000101,Sync!$J956&lt;=99991231),INT(Sync!$J956/10000)&amp;"/"&amp;RIGHT("00"&amp;INT(MOD(Sync!$J956,10000)/100),2)&amp;"/"&amp;RIGHT("00"&amp;MOD(Sync!$J956,100),2),"نامعتبر"),IF(LEN(Sync!$J956)=10,Sync!$J956,"نامعتبر")))</f>
        <v/>
      </c>
      <c r="R956" t="str">
        <f t="shared" si="102"/>
        <v/>
      </c>
      <c r="S956" t="str">
        <f t="shared" si="103"/>
        <v/>
      </c>
      <c r="T956" t="str">
        <f>IF($N956="","",IF(Sync!$N956="",0,Sync!$N956))</f>
        <v/>
      </c>
      <c r="U956" t="str">
        <f>IF($N956="","",IF(Sync!$O956="",0,Sync!$O956))</f>
        <v/>
      </c>
      <c r="V956" t="str">
        <f>IF($N956="","",Sync!$L956)</f>
        <v/>
      </c>
      <c r="W956" t="str">
        <f>IF($N956="","",Sync!$P956)</f>
        <v/>
      </c>
      <c r="AA956" t="str">
        <f>IF($A956="","",IF(COUNTIF($A$6:$A956,$A956)=1,1,0))</f>
        <v/>
      </c>
      <c r="AB956">
        <f>SUM($AA$6:$AA956)</f>
        <v>3</v>
      </c>
      <c r="AC956" t="str">
        <f t="shared" si="104"/>
        <v/>
      </c>
    </row>
    <row r="957" spans="1:29" x14ac:dyDescent="0.2">
      <c r="A957" t="str">
        <f>IF(OR(Entry!$B960="",Entry!$E960="",$E957="نامعتبر"),"",Entry!$E960)</f>
        <v/>
      </c>
      <c r="B957" t="str">
        <f>IF($A957="","",LEFT($E957,4)&amp;MID($E957,6,2)&amp;RIGHT($E957,2)&amp;$F957&amp;"|"&amp;"1"&amp;RIGHT("00000"&amp;952,5))</f>
        <v/>
      </c>
      <c r="C957" t="str">
        <f t="shared" si="98"/>
        <v/>
      </c>
      <c r="D957" t="str">
        <f t="shared" si="99"/>
        <v/>
      </c>
      <c r="E957" t="str">
        <f>IF(Entry!$B960="","",IF(ISNUMBER(Entry!$B960),IF(AND(Entry!$B960&gt;=10000101,Entry!$B960&lt;=99991231),INT(Entry!$B960/10000)&amp;"/"&amp;RIGHT("00"&amp;INT(MOD(Entry!$B960,10000)/100),2)&amp;"/"&amp;RIGHT("00"&amp;MOD(Entry!$B960,100),2),"نامعتبر"),IF(LEN(Entry!$B960)=10,Entry!$B960,"نامعتبر")))</f>
        <v/>
      </c>
      <c r="F957" t="str">
        <f>IF(Entry!$B960="","",IF(Entry!$C960="","0000",IF(AND(ISNUMBER(Entry!$C960),Entry!$C960&gt;=0,Entry!$C960&lt;1),RIGHT("00"&amp;HOUR(Entry!$C960),2)&amp;RIGHT("00"&amp;MINUTE(Entry!$C960),2),IFERROR(RIGHT("00"&amp;VALUE(LEFT(Entry!$C960,FIND(":",Entry!$C960)-1)),2)&amp;RIGHT("00"&amp;VALUE(MID(Entry!$C960,FIND(":",Entry!$C960)+1,2)),2),"0000"))))</f>
        <v/>
      </c>
      <c r="G957" t="str">
        <f>IF($A957="","",Entry!$G960)</f>
        <v/>
      </c>
      <c r="H957" t="str">
        <f>IF($A957="","",IF(Entry!$H960="",0,Entry!$H960))</f>
        <v/>
      </c>
      <c r="I957" t="str">
        <f>IF($A957="","",IF(Entry!$I960="",0,Entry!$I960))</f>
        <v/>
      </c>
      <c r="J957" t="str">
        <f t="shared" si="100"/>
        <v/>
      </c>
      <c r="K957" t="str">
        <f>IF($A957="","",Entry!$D960)</f>
        <v/>
      </c>
      <c r="L957" t="str">
        <f>IF($A957="","",Entry!$L960)</f>
        <v/>
      </c>
      <c r="N957" t="str">
        <f>IF(OR(Sync!$M957="",$Q957="",$Q957="نامعتبر"),"",Sync!$M957)</f>
        <v/>
      </c>
      <c r="O957" t="str">
        <f t="shared" si="101"/>
        <v/>
      </c>
      <c r="P957" t="str">
        <f>IF($N957="","",LEFT($Q957,4)&amp;MID($Q957,6,2)&amp;RIGHT($Q957,2)&amp;IF(Sync!$K957="","0000",IF(AND(ISNUMBER(Sync!$K957),Sync!$K957&gt;=0,Sync!$K957&lt;1),RIGHT("00"&amp;HOUR(Sync!$K957),2)&amp;RIGHT("00"&amp;MINUTE(Sync!$K957),2),IFERROR(RIGHT("00"&amp;VALUE(LEFT(Sync!$K957,FIND(":",Sync!$K957)-1)),2)&amp;RIGHT("00"&amp;VALUE(MID(Sync!$K957,FIND(":",Sync!$K957)+1,2)),2),"0000")))&amp;"|"&amp;"2"&amp;RIGHT("00000"&amp;952,5))</f>
        <v/>
      </c>
      <c r="Q957" t="str">
        <f>IF(Sync!$J957="","",IF(ISNUMBER(Sync!$J957),IF(AND(Sync!$J957&gt;=10000101,Sync!$J957&lt;=99991231),INT(Sync!$J957/10000)&amp;"/"&amp;RIGHT("00"&amp;INT(MOD(Sync!$J957,10000)/100),2)&amp;"/"&amp;RIGHT("00"&amp;MOD(Sync!$J957,100),2),"نامعتبر"),IF(LEN(Sync!$J957)=10,Sync!$J957,"نامعتبر")))</f>
        <v/>
      </c>
      <c r="R957" t="str">
        <f t="shared" si="102"/>
        <v/>
      </c>
      <c r="S957" t="str">
        <f t="shared" si="103"/>
        <v/>
      </c>
      <c r="T957" t="str">
        <f>IF($N957="","",IF(Sync!$N957="",0,Sync!$N957))</f>
        <v/>
      </c>
      <c r="U957" t="str">
        <f>IF($N957="","",IF(Sync!$O957="",0,Sync!$O957))</f>
        <v/>
      </c>
      <c r="V957" t="str">
        <f>IF($N957="","",Sync!$L957)</f>
        <v/>
      </c>
      <c r="W957" t="str">
        <f>IF($N957="","",Sync!$P957)</f>
        <v/>
      </c>
      <c r="AA957" t="str">
        <f>IF($A957="","",IF(COUNTIF($A$6:$A957,$A957)=1,1,0))</f>
        <v/>
      </c>
      <c r="AB957">
        <f>SUM($AA$6:$AA957)</f>
        <v>3</v>
      </c>
      <c r="AC957" t="str">
        <f t="shared" si="104"/>
        <v/>
      </c>
    </row>
    <row r="958" spans="1:29" x14ac:dyDescent="0.2">
      <c r="A958" t="str">
        <f>IF(OR(Entry!$B961="",Entry!$E961="",$E958="نامعتبر"),"",Entry!$E961)</f>
        <v/>
      </c>
      <c r="B958" t="str">
        <f>IF($A958="","",LEFT($E958,4)&amp;MID($E958,6,2)&amp;RIGHT($E958,2)&amp;$F958&amp;"|"&amp;"1"&amp;RIGHT("00000"&amp;953,5))</f>
        <v/>
      </c>
      <c r="C958" t="str">
        <f t="shared" si="98"/>
        <v/>
      </c>
      <c r="D958" t="str">
        <f t="shared" si="99"/>
        <v/>
      </c>
      <c r="E958" t="str">
        <f>IF(Entry!$B961="","",IF(ISNUMBER(Entry!$B961),IF(AND(Entry!$B961&gt;=10000101,Entry!$B961&lt;=99991231),INT(Entry!$B961/10000)&amp;"/"&amp;RIGHT("00"&amp;INT(MOD(Entry!$B961,10000)/100),2)&amp;"/"&amp;RIGHT("00"&amp;MOD(Entry!$B961,100),2),"نامعتبر"),IF(LEN(Entry!$B961)=10,Entry!$B961,"نامعتبر")))</f>
        <v/>
      </c>
      <c r="F958" t="str">
        <f>IF(Entry!$B961="","",IF(Entry!$C961="","0000",IF(AND(ISNUMBER(Entry!$C961),Entry!$C961&gt;=0,Entry!$C961&lt;1),RIGHT("00"&amp;HOUR(Entry!$C961),2)&amp;RIGHT("00"&amp;MINUTE(Entry!$C961),2),IFERROR(RIGHT("00"&amp;VALUE(LEFT(Entry!$C961,FIND(":",Entry!$C961)-1)),2)&amp;RIGHT("00"&amp;VALUE(MID(Entry!$C961,FIND(":",Entry!$C961)+1,2)),2),"0000"))))</f>
        <v/>
      </c>
      <c r="G958" t="str">
        <f>IF($A958="","",Entry!$G961)</f>
        <v/>
      </c>
      <c r="H958" t="str">
        <f>IF($A958="","",IF(Entry!$H961="",0,Entry!$H961))</f>
        <v/>
      </c>
      <c r="I958" t="str">
        <f>IF($A958="","",IF(Entry!$I961="",0,Entry!$I961))</f>
        <v/>
      </c>
      <c r="J958" t="str">
        <f t="shared" si="100"/>
        <v/>
      </c>
      <c r="K958" t="str">
        <f>IF($A958="","",Entry!$D961)</f>
        <v/>
      </c>
      <c r="L958" t="str">
        <f>IF($A958="","",Entry!$L961)</f>
        <v/>
      </c>
      <c r="N958" t="str">
        <f>IF(OR(Sync!$M958="",$Q958="",$Q958="نامعتبر"),"",Sync!$M958)</f>
        <v/>
      </c>
      <c r="O958" t="str">
        <f t="shared" si="101"/>
        <v/>
      </c>
      <c r="P958" t="str">
        <f>IF($N958="","",LEFT($Q958,4)&amp;MID($Q958,6,2)&amp;RIGHT($Q958,2)&amp;IF(Sync!$K958="","0000",IF(AND(ISNUMBER(Sync!$K958),Sync!$K958&gt;=0,Sync!$K958&lt;1),RIGHT("00"&amp;HOUR(Sync!$K958),2)&amp;RIGHT("00"&amp;MINUTE(Sync!$K958),2),IFERROR(RIGHT("00"&amp;VALUE(LEFT(Sync!$K958,FIND(":",Sync!$K958)-1)),2)&amp;RIGHT("00"&amp;VALUE(MID(Sync!$K958,FIND(":",Sync!$K958)+1,2)),2),"0000")))&amp;"|"&amp;"2"&amp;RIGHT("00000"&amp;953,5))</f>
        <v/>
      </c>
      <c r="Q958" t="str">
        <f>IF(Sync!$J958="","",IF(ISNUMBER(Sync!$J958),IF(AND(Sync!$J958&gt;=10000101,Sync!$J958&lt;=99991231),INT(Sync!$J958/10000)&amp;"/"&amp;RIGHT("00"&amp;INT(MOD(Sync!$J958,10000)/100),2)&amp;"/"&amp;RIGHT("00"&amp;MOD(Sync!$J958,100),2),"نامعتبر"),IF(LEN(Sync!$J958)=10,Sync!$J958,"نامعتبر")))</f>
        <v/>
      </c>
      <c r="R958" t="str">
        <f t="shared" si="102"/>
        <v/>
      </c>
      <c r="S958" t="str">
        <f t="shared" si="103"/>
        <v/>
      </c>
      <c r="T958" t="str">
        <f>IF($N958="","",IF(Sync!$N958="",0,Sync!$N958))</f>
        <v/>
      </c>
      <c r="U958" t="str">
        <f>IF($N958="","",IF(Sync!$O958="",0,Sync!$O958))</f>
        <v/>
      </c>
      <c r="V958" t="str">
        <f>IF($N958="","",Sync!$L958)</f>
        <v/>
      </c>
      <c r="W958" t="str">
        <f>IF($N958="","",Sync!$P958)</f>
        <v/>
      </c>
      <c r="AA958" t="str">
        <f>IF($A958="","",IF(COUNTIF($A$6:$A958,$A958)=1,1,0))</f>
        <v/>
      </c>
      <c r="AB958">
        <f>SUM($AA$6:$AA958)</f>
        <v>3</v>
      </c>
      <c r="AC958" t="str">
        <f t="shared" si="104"/>
        <v/>
      </c>
    </row>
    <row r="959" spans="1:29" x14ac:dyDescent="0.2">
      <c r="A959" t="str">
        <f>IF(OR(Entry!$B962="",Entry!$E962="",$E959="نامعتبر"),"",Entry!$E962)</f>
        <v/>
      </c>
      <c r="B959" t="str">
        <f>IF($A959="","",LEFT($E959,4)&amp;MID($E959,6,2)&amp;RIGHT($E959,2)&amp;$F959&amp;"|"&amp;"1"&amp;RIGHT("00000"&amp;954,5))</f>
        <v/>
      </c>
      <c r="C959" t="str">
        <f t="shared" si="98"/>
        <v/>
      </c>
      <c r="D959" t="str">
        <f t="shared" si="99"/>
        <v/>
      </c>
      <c r="E959" t="str">
        <f>IF(Entry!$B962="","",IF(ISNUMBER(Entry!$B962),IF(AND(Entry!$B962&gt;=10000101,Entry!$B962&lt;=99991231),INT(Entry!$B962/10000)&amp;"/"&amp;RIGHT("00"&amp;INT(MOD(Entry!$B962,10000)/100),2)&amp;"/"&amp;RIGHT("00"&amp;MOD(Entry!$B962,100),2),"نامعتبر"),IF(LEN(Entry!$B962)=10,Entry!$B962,"نامعتبر")))</f>
        <v/>
      </c>
      <c r="F959" t="str">
        <f>IF(Entry!$B962="","",IF(Entry!$C962="","0000",IF(AND(ISNUMBER(Entry!$C962),Entry!$C962&gt;=0,Entry!$C962&lt;1),RIGHT("00"&amp;HOUR(Entry!$C962),2)&amp;RIGHT("00"&amp;MINUTE(Entry!$C962),2),IFERROR(RIGHT("00"&amp;VALUE(LEFT(Entry!$C962,FIND(":",Entry!$C962)-1)),2)&amp;RIGHT("00"&amp;VALUE(MID(Entry!$C962,FIND(":",Entry!$C962)+1,2)),2),"0000"))))</f>
        <v/>
      </c>
      <c r="G959" t="str">
        <f>IF($A959="","",Entry!$G962)</f>
        <v/>
      </c>
      <c r="H959" t="str">
        <f>IF($A959="","",IF(Entry!$H962="",0,Entry!$H962))</f>
        <v/>
      </c>
      <c r="I959" t="str">
        <f>IF($A959="","",IF(Entry!$I962="",0,Entry!$I962))</f>
        <v/>
      </c>
      <c r="J959" t="str">
        <f t="shared" si="100"/>
        <v/>
      </c>
      <c r="K959" t="str">
        <f>IF($A959="","",Entry!$D962)</f>
        <v/>
      </c>
      <c r="L959" t="str">
        <f>IF($A959="","",Entry!$L962)</f>
        <v/>
      </c>
      <c r="N959" t="str">
        <f>IF(OR(Sync!$M959="",$Q959="",$Q959="نامعتبر"),"",Sync!$M959)</f>
        <v/>
      </c>
      <c r="O959" t="str">
        <f t="shared" si="101"/>
        <v/>
      </c>
      <c r="P959" t="str">
        <f>IF($N959="","",LEFT($Q959,4)&amp;MID($Q959,6,2)&amp;RIGHT($Q959,2)&amp;IF(Sync!$K959="","0000",IF(AND(ISNUMBER(Sync!$K959),Sync!$K959&gt;=0,Sync!$K959&lt;1),RIGHT("00"&amp;HOUR(Sync!$K959),2)&amp;RIGHT("00"&amp;MINUTE(Sync!$K959),2),IFERROR(RIGHT("00"&amp;VALUE(LEFT(Sync!$K959,FIND(":",Sync!$K959)-1)),2)&amp;RIGHT("00"&amp;VALUE(MID(Sync!$K959,FIND(":",Sync!$K959)+1,2)),2),"0000")))&amp;"|"&amp;"2"&amp;RIGHT("00000"&amp;954,5))</f>
        <v/>
      </c>
      <c r="Q959" t="str">
        <f>IF(Sync!$J959="","",IF(ISNUMBER(Sync!$J959),IF(AND(Sync!$J959&gt;=10000101,Sync!$J959&lt;=99991231),INT(Sync!$J959/10000)&amp;"/"&amp;RIGHT("00"&amp;INT(MOD(Sync!$J959,10000)/100),2)&amp;"/"&amp;RIGHT("00"&amp;MOD(Sync!$J959,100),2),"نامعتبر"),IF(LEN(Sync!$J959)=10,Sync!$J959,"نامعتبر")))</f>
        <v/>
      </c>
      <c r="R959" t="str">
        <f t="shared" si="102"/>
        <v/>
      </c>
      <c r="S959" t="str">
        <f t="shared" si="103"/>
        <v/>
      </c>
      <c r="T959" t="str">
        <f>IF($N959="","",IF(Sync!$N959="",0,Sync!$N959))</f>
        <v/>
      </c>
      <c r="U959" t="str">
        <f>IF($N959="","",IF(Sync!$O959="",0,Sync!$O959))</f>
        <v/>
      </c>
      <c r="V959" t="str">
        <f>IF($N959="","",Sync!$L959)</f>
        <v/>
      </c>
      <c r="W959" t="str">
        <f>IF($N959="","",Sync!$P959)</f>
        <v/>
      </c>
      <c r="AA959" t="str">
        <f>IF($A959="","",IF(COUNTIF($A$6:$A959,$A959)=1,1,0))</f>
        <v/>
      </c>
      <c r="AB959">
        <f>SUM($AA$6:$AA959)</f>
        <v>3</v>
      </c>
      <c r="AC959" t="str">
        <f t="shared" si="104"/>
        <v/>
      </c>
    </row>
    <row r="960" spans="1:29" x14ac:dyDescent="0.2">
      <c r="A960" t="str">
        <f>IF(OR(Entry!$B963="",Entry!$E963="",$E960="نامعتبر"),"",Entry!$E963)</f>
        <v/>
      </c>
      <c r="B960" t="str">
        <f>IF($A960="","",LEFT($E960,4)&amp;MID($E960,6,2)&amp;RIGHT($E960,2)&amp;$F960&amp;"|"&amp;"1"&amp;RIGHT("00000"&amp;955,5))</f>
        <v/>
      </c>
      <c r="C960" t="str">
        <f t="shared" si="98"/>
        <v/>
      </c>
      <c r="D960" t="str">
        <f t="shared" si="99"/>
        <v/>
      </c>
      <c r="E960" t="str">
        <f>IF(Entry!$B963="","",IF(ISNUMBER(Entry!$B963),IF(AND(Entry!$B963&gt;=10000101,Entry!$B963&lt;=99991231),INT(Entry!$B963/10000)&amp;"/"&amp;RIGHT("00"&amp;INT(MOD(Entry!$B963,10000)/100),2)&amp;"/"&amp;RIGHT("00"&amp;MOD(Entry!$B963,100),2),"نامعتبر"),IF(LEN(Entry!$B963)=10,Entry!$B963,"نامعتبر")))</f>
        <v/>
      </c>
      <c r="F960" t="str">
        <f>IF(Entry!$B963="","",IF(Entry!$C963="","0000",IF(AND(ISNUMBER(Entry!$C963),Entry!$C963&gt;=0,Entry!$C963&lt;1),RIGHT("00"&amp;HOUR(Entry!$C963),2)&amp;RIGHT("00"&amp;MINUTE(Entry!$C963),2),IFERROR(RIGHT("00"&amp;VALUE(LEFT(Entry!$C963,FIND(":",Entry!$C963)-1)),2)&amp;RIGHT("00"&amp;VALUE(MID(Entry!$C963,FIND(":",Entry!$C963)+1,2)),2),"0000"))))</f>
        <v/>
      </c>
      <c r="G960" t="str">
        <f>IF($A960="","",Entry!$G963)</f>
        <v/>
      </c>
      <c r="H960" t="str">
        <f>IF($A960="","",IF(Entry!$H963="",0,Entry!$H963))</f>
        <v/>
      </c>
      <c r="I960" t="str">
        <f>IF($A960="","",IF(Entry!$I963="",0,Entry!$I963))</f>
        <v/>
      </c>
      <c r="J960" t="str">
        <f t="shared" si="100"/>
        <v/>
      </c>
      <c r="K960" t="str">
        <f>IF($A960="","",Entry!$D963)</f>
        <v/>
      </c>
      <c r="L960" t="str">
        <f>IF($A960="","",Entry!$L963)</f>
        <v/>
      </c>
      <c r="N960" t="str">
        <f>IF(OR(Sync!$M960="",$Q960="",$Q960="نامعتبر"),"",Sync!$M960)</f>
        <v/>
      </c>
      <c r="O960" t="str">
        <f t="shared" si="101"/>
        <v/>
      </c>
      <c r="P960" t="str">
        <f>IF($N960="","",LEFT($Q960,4)&amp;MID($Q960,6,2)&amp;RIGHT($Q960,2)&amp;IF(Sync!$K960="","0000",IF(AND(ISNUMBER(Sync!$K960),Sync!$K960&gt;=0,Sync!$K960&lt;1),RIGHT("00"&amp;HOUR(Sync!$K960),2)&amp;RIGHT("00"&amp;MINUTE(Sync!$K960),2),IFERROR(RIGHT("00"&amp;VALUE(LEFT(Sync!$K960,FIND(":",Sync!$K960)-1)),2)&amp;RIGHT("00"&amp;VALUE(MID(Sync!$K960,FIND(":",Sync!$K960)+1,2)),2),"0000")))&amp;"|"&amp;"2"&amp;RIGHT("00000"&amp;955,5))</f>
        <v/>
      </c>
      <c r="Q960" t="str">
        <f>IF(Sync!$J960="","",IF(ISNUMBER(Sync!$J960),IF(AND(Sync!$J960&gt;=10000101,Sync!$J960&lt;=99991231),INT(Sync!$J960/10000)&amp;"/"&amp;RIGHT("00"&amp;INT(MOD(Sync!$J960,10000)/100),2)&amp;"/"&amp;RIGHT("00"&amp;MOD(Sync!$J960,100),2),"نامعتبر"),IF(LEN(Sync!$J960)=10,Sync!$J960,"نامعتبر")))</f>
        <v/>
      </c>
      <c r="R960" t="str">
        <f t="shared" si="102"/>
        <v/>
      </c>
      <c r="S960" t="str">
        <f t="shared" si="103"/>
        <v/>
      </c>
      <c r="T960" t="str">
        <f>IF($N960="","",IF(Sync!$N960="",0,Sync!$N960))</f>
        <v/>
      </c>
      <c r="U960" t="str">
        <f>IF($N960="","",IF(Sync!$O960="",0,Sync!$O960))</f>
        <v/>
      </c>
      <c r="V960" t="str">
        <f>IF($N960="","",Sync!$L960)</f>
        <v/>
      </c>
      <c r="W960" t="str">
        <f>IF($N960="","",Sync!$P960)</f>
        <v/>
      </c>
      <c r="AA960" t="str">
        <f>IF($A960="","",IF(COUNTIF($A$6:$A960,$A960)=1,1,0))</f>
        <v/>
      </c>
      <c r="AB960">
        <f>SUM($AA$6:$AA960)</f>
        <v>3</v>
      </c>
      <c r="AC960" t="str">
        <f t="shared" si="104"/>
        <v/>
      </c>
    </row>
    <row r="961" spans="1:29" x14ac:dyDescent="0.2">
      <c r="A961" t="str">
        <f>IF(OR(Entry!$B964="",Entry!$E964="",$E961="نامعتبر"),"",Entry!$E964)</f>
        <v/>
      </c>
      <c r="B961" t="str">
        <f>IF($A961="","",LEFT($E961,4)&amp;MID($E961,6,2)&amp;RIGHT($E961,2)&amp;$F961&amp;"|"&amp;"1"&amp;RIGHT("00000"&amp;956,5))</f>
        <v/>
      </c>
      <c r="C961" t="str">
        <f t="shared" si="98"/>
        <v/>
      </c>
      <c r="D961" t="str">
        <f t="shared" si="99"/>
        <v/>
      </c>
      <c r="E961" t="str">
        <f>IF(Entry!$B964="","",IF(ISNUMBER(Entry!$B964),IF(AND(Entry!$B964&gt;=10000101,Entry!$B964&lt;=99991231),INT(Entry!$B964/10000)&amp;"/"&amp;RIGHT("00"&amp;INT(MOD(Entry!$B964,10000)/100),2)&amp;"/"&amp;RIGHT("00"&amp;MOD(Entry!$B964,100),2),"نامعتبر"),IF(LEN(Entry!$B964)=10,Entry!$B964,"نامعتبر")))</f>
        <v/>
      </c>
      <c r="F961" t="str">
        <f>IF(Entry!$B964="","",IF(Entry!$C964="","0000",IF(AND(ISNUMBER(Entry!$C964),Entry!$C964&gt;=0,Entry!$C964&lt;1),RIGHT("00"&amp;HOUR(Entry!$C964),2)&amp;RIGHT("00"&amp;MINUTE(Entry!$C964),2),IFERROR(RIGHT("00"&amp;VALUE(LEFT(Entry!$C964,FIND(":",Entry!$C964)-1)),2)&amp;RIGHT("00"&amp;VALUE(MID(Entry!$C964,FIND(":",Entry!$C964)+1,2)),2),"0000"))))</f>
        <v/>
      </c>
      <c r="G961" t="str">
        <f>IF($A961="","",Entry!$G964)</f>
        <v/>
      </c>
      <c r="H961" t="str">
        <f>IF($A961="","",IF(Entry!$H964="",0,Entry!$H964))</f>
        <v/>
      </c>
      <c r="I961" t="str">
        <f>IF($A961="","",IF(Entry!$I964="",0,Entry!$I964))</f>
        <v/>
      </c>
      <c r="J961" t="str">
        <f t="shared" si="100"/>
        <v/>
      </c>
      <c r="K961" t="str">
        <f>IF($A961="","",Entry!$D964)</f>
        <v/>
      </c>
      <c r="L961" t="str">
        <f>IF($A961="","",Entry!$L964)</f>
        <v/>
      </c>
      <c r="N961" t="str">
        <f>IF(OR(Sync!$M961="",$Q961="",$Q961="نامعتبر"),"",Sync!$M961)</f>
        <v/>
      </c>
      <c r="O961" t="str">
        <f t="shared" si="101"/>
        <v/>
      </c>
      <c r="P961" t="str">
        <f>IF($N961="","",LEFT($Q961,4)&amp;MID($Q961,6,2)&amp;RIGHT($Q961,2)&amp;IF(Sync!$K961="","0000",IF(AND(ISNUMBER(Sync!$K961),Sync!$K961&gt;=0,Sync!$K961&lt;1),RIGHT("00"&amp;HOUR(Sync!$K961),2)&amp;RIGHT("00"&amp;MINUTE(Sync!$K961),2),IFERROR(RIGHT("00"&amp;VALUE(LEFT(Sync!$K961,FIND(":",Sync!$K961)-1)),2)&amp;RIGHT("00"&amp;VALUE(MID(Sync!$K961,FIND(":",Sync!$K961)+1,2)),2),"0000")))&amp;"|"&amp;"2"&amp;RIGHT("00000"&amp;956,5))</f>
        <v/>
      </c>
      <c r="Q961" t="str">
        <f>IF(Sync!$J961="","",IF(ISNUMBER(Sync!$J961),IF(AND(Sync!$J961&gt;=10000101,Sync!$J961&lt;=99991231),INT(Sync!$J961/10000)&amp;"/"&amp;RIGHT("00"&amp;INT(MOD(Sync!$J961,10000)/100),2)&amp;"/"&amp;RIGHT("00"&amp;MOD(Sync!$J961,100),2),"نامعتبر"),IF(LEN(Sync!$J961)=10,Sync!$J961,"نامعتبر")))</f>
        <v/>
      </c>
      <c r="R961" t="str">
        <f t="shared" si="102"/>
        <v/>
      </c>
      <c r="S961" t="str">
        <f t="shared" si="103"/>
        <v/>
      </c>
      <c r="T961" t="str">
        <f>IF($N961="","",IF(Sync!$N961="",0,Sync!$N961))</f>
        <v/>
      </c>
      <c r="U961" t="str">
        <f>IF($N961="","",IF(Sync!$O961="",0,Sync!$O961))</f>
        <v/>
      </c>
      <c r="V961" t="str">
        <f>IF($N961="","",Sync!$L961)</f>
        <v/>
      </c>
      <c r="W961" t="str">
        <f>IF($N961="","",Sync!$P961)</f>
        <v/>
      </c>
      <c r="AA961" t="str">
        <f>IF($A961="","",IF(COUNTIF($A$6:$A961,$A961)=1,1,0))</f>
        <v/>
      </c>
      <c r="AB961">
        <f>SUM($AA$6:$AA961)</f>
        <v>3</v>
      </c>
      <c r="AC961" t="str">
        <f t="shared" si="104"/>
        <v/>
      </c>
    </row>
    <row r="962" spans="1:29" x14ac:dyDescent="0.2">
      <c r="A962" t="str">
        <f>IF(OR(Entry!$B965="",Entry!$E965="",$E962="نامعتبر"),"",Entry!$E965)</f>
        <v/>
      </c>
      <c r="B962" t="str">
        <f>IF($A962="","",LEFT($E962,4)&amp;MID($E962,6,2)&amp;RIGHT($E962,2)&amp;$F962&amp;"|"&amp;"1"&amp;RIGHT("00000"&amp;957,5))</f>
        <v/>
      </c>
      <c r="C962" t="str">
        <f t="shared" si="98"/>
        <v/>
      </c>
      <c r="D962" t="str">
        <f t="shared" si="99"/>
        <v/>
      </c>
      <c r="E962" t="str">
        <f>IF(Entry!$B965="","",IF(ISNUMBER(Entry!$B965),IF(AND(Entry!$B965&gt;=10000101,Entry!$B965&lt;=99991231),INT(Entry!$B965/10000)&amp;"/"&amp;RIGHT("00"&amp;INT(MOD(Entry!$B965,10000)/100),2)&amp;"/"&amp;RIGHT("00"&amp;MOD(Entry!$B965,100),2),"نامعتبر"),IF(LEN(Entry!$B965)=10,Entry!$B965,"نامعتبر")))</f>
        <v/>
      </c>
      <c r="F962" t="str">
        <f>IF(Entry!$B965="","",IF(Entry!$C965="","0000",IF(AND(ISNUMBER(Entry!$C965),Entry!$C965&gt;=0,Entry!$C965&lt;1),RIGHT("00"&amp;HOUR(Entry!$C965),2)&amp;RIGHT("00"&amp;MINUTE(Entry!$C965),2),IFERROR(RIGHT("00"&amp;VALUE(LEFT(Entry!$C965,FIND(":",Entry!$C965)-1)),2)&amp;RIGHT("00"&amp;VALUE(MID(Entry!$C965,FIND(":",Entry!$C965)+1,2)),2),"0000"))))</f>
        <v/>
      </c>
      <c r="G962" t="str">
        <f>IF($A962="","",Entry!$G965)</f>
        <v/>
      </c>
      <c r="H962" t="str">
        <f>IF($A962="","",IF(Entry!$H965="",0,Entry!$H965))</f>
        <v/>
      </c>
      <c r="I962" t="str">
        <f>IF($A962="","",IF(Entry!$I965="",0,Entry!$I965))</f>
        <v/>
      </c>
      <c r="J962" t="str">
        <f t="shared" si="100"/>
        <v/>
      </c>
      <c r="K962" t="str">
        <f>IF($A962="","",Entry!$D965)</f>
        <v/>
      </c>
      <c r="L962" t="str">
        <f>IF($A962="","",Entry!$L965)</f>
        <v/>
      </c>
      <c r="N962" t="str">
        <f>IF(OR(Sync!$M962="",$Q962="",$Q962="نامعتبر"),"",Sync!$M962)</f>
        <v/>
      </c>
      <c r="O962" t="str">
        <f t="shared" si="101"/>
        <v/>
      </c>
      <c r="P962" t="str">
        <f>IF($N962="","",LEFT($Q962,4)&amp;MID($Q962,6,2)&amp;RIGHT($Q962,2)&amp;IF(Sync!$K962="","0000",IF(AND(ISNUMBER(Sync!$K962),Sync!$K962&gt;=0,Sync!$K962&lt;1),RIGHT("00"&amp;HOUR(Sync!$K962),2)&amp;RIGHT("00"&amp;MINUTE(Sync!$K962),2),IFERROR(RIGHT("00"&amp;VALUE(LEFT(Sync!$K962,FIND(":",Sync!$K962)-1)),2)&amp;RIGHT("00"&amp;VALUE(MID(Sync!$K962,FIND(":",Sync!$K962)+1,2)),2),"0000")))&amp;"|"&amp;"2"&amp;RIGHT("00000"&amp;957,5))</f>
        <v/>
      </c>
      <c r="Q962" t="str">
        <f>IF(Sync!$J962="","",IF(ISNUMBER(Sync!$J962),IF(AND(Sync!$J962&gt;=10000101,Sync!$J962&lt;=99991231),INT(Sync!$J962/10000)&amp;"/"&amp;RIGHT("00"&amp;INT(MOD(Sync!$J962,10000)/100),2)&amp;"/"&amp;RIGHT("00"&amp;MOD(Sync!$J962,100),2),"نامعتبر"),IF(LEN(Sync!$J962)=10,Sync!$J962,"نامعتبر")))</f>
        <v/>
      </c>
      <c r="R962" t="str">
        <f t="shared" si="102"/>
        <v/>
      </c>
      <c r="S962" t="str">
        <f t="shared" si="103"/>
        <v/>
      </c>
      <c r="T962" t="str">
        <f>IF($N962="","",IF(Sync!$N962="",0,Sync!$N962))</f>
        <v/>
      </c>
      <c r="U962" t="str">
        <f>IF($N962="","",IF(Sync!$O962="",0,Sync!$O962))</f>
        <v/>
      </c>
      <c r="V962" t="str">
        <f>IF($N962="","",Sync!$L962)</f>
        <v/>
      </c>
      <c r="W962" t="str">
        <f>IF($N962="","",Sync!$P962)</f>
        <v/>
      </c>
      <c r="AA962" t="str">
        <f>IF($A962="","",IF(COUNTIF($A$6:$A962,$A962)=1,1,0))</f>
        <v/>
      </c>
      <c r="AB962">
        <f>SUM($AA$6:$AA962)</f>
        <v>3</v>
      </c>
      <c r="AC962" t="str">
        <f t="shared" si="104"/>
        <v/>
      </c>
    </row>
    <row r="963" spans="1:29" x14ac:dyDescent="0.2">
      <c r="A963" t="str">
        <f>IF(OR(Entry!$B966="",Entry!$E966="",$E963="نامعتبر"),"",Entry!$E966)</f>
        <v/>
      </c>
      <c r="B963" t="str">
        <f>IF($A963="","",LEFT($E963,4)&amp;MID($E963,6,2)&amp;RIGHT($E963,2)&amp;$F963&amp;"|"&amp;"1"&amp;RIGHT("00000"&amp;958,5))</f>
        <v/>
      </c>
      <c r="C963" t="str">
        <f t="shared" si="98"/>
        <v/>
      </c>
      <c r="D963" t="str">
        <f t="shared" si="99"/>
        <v/>
      </c>
      <c r="E963" t="str">
        <f>IF(Entry!$B966="","",IF(ISNUMBER(Entry!$B966),IF(AND(Entry!$B966&gt;=10000101,Entry!$B966&lt;=99991231),INT(Entry!$B966/10000)&amp;"/"&amp;RIGHT("00"&amp;INT(MOD(Entry!$B966,10000)/100),2)&amp;"/"&amp;RIGHT("00"&amp;MOD(Entry!$B966,100),2),"نامعتبر"),IF(LEN(Entry!$B966)=10,Entry!$B966,"نامعتبر")))</f>
        <v/>
      </c>
      <c r="F963" t="str">
        <f>IF(Entry!$B966="","",IF(Entry!$C966="","0000",IF(AND(ISNUMBER(Entry!$C966),Entry!$C966&gt;=0,Entry!$C966&lt;1),RIGHT("00"&amp;HOUR(Entry!$C966),2)&amp;RIGHT("00"&amp;MINUTE(Entry!$C966),2),IFERROR(RIGHT("00"&amp;VALUE(LEFT(Entry!$C966,FIND(":",Entry!$C966)-1)),2)&amp;RIGHT("00"&amp;VALUE(MID(Entry!$C966,FIND(":",Entry!$C966)+1,2)),2),"0000"))))</f>
        <v/>
      </c>
      <c r="G963" t="str">
        <f>IF($A963="","",Entry!$G966)</f>
        <v/>
      </c>
      <c r="H963" t="str">
        <f>IF($A963="","",IF(Entry!$H966="",0,Entry!$H966))</f>
        <v/>
      </c>
      <c r="I963" t="str">
        <f>IF($A963="","",IF(Entry!$I966="",0,Entry!$I966))</f>
        <v/>
      </c>
      <c r="J963" t="str">
        <f t="shared" si="100"/>
        <v/>
      </c>
      <c r="K963" t="str">
        <f>IF($A963="","",Entry!$D966)</f>
        <v/>
      </c>
      <c r="L963" t="str">
        <f>IF($A963="","",Entry!$L966)</f>
        <v/>
      </c>
      <c r="N963" t="str">
        <f>IF(OR(Sync!$M963="",$Q963="",$Q963="نامعتبر"),"",Sync!$M963)</f>
        <v/>
      </c>
      <c r="O963" t="str">
        <f t="shared" si="101"/>
        <v/>
      </c>
      <c r="P963" t="str">
        <f>IF($N963="","",LEFT($Q963,4)&amp;MID($Q963,6,2)&amp;RIGHT($Q963,2)&amp;IF(Sync!$K963="","0000",IF(AND(ISNUMBER(Sync!$K963),Sync!$K963&gt;=0,Sync!$K963&lt;1),RIGHT("00"&amp;HOUR(Sync!$K963),2)&amp;RIGHT("00"&amp;MINUTE(Sync!$K963),2),IFERROR(RIGHT("00"&amp;VALUE(LEFT(Sync!$K963,FIND(":",Sync!$K963)-1)),2)&amp;RIGHT("00"&amp;VALUE(MID(Sync!$K963,FIND(":",Sync!$K963)+1,2)),2),"0000")))&amp;"|"&amp;"2"&amp;RIGHT("00000"&amp;958,5))</f>
        <v/>
      </c>
      <c r="Q963" t="str">
        <f>IF(Sync!$J963="","",IF(ISNUMBER(Sync!$J963),IF(AND(Sync!$J963&gt;=10000101,Sync!$J963&lt;=99991231),INT(Sync!$J963/10000)&amp;"/"&amp;RIGHT("00"&amp;INT(MOD(Sync!$J963,10000)/100),2)&amp;"/"&amp;RIGHT("00"&amp;MOD(Sync!$J963,100),2),"نامعتبر"),IF(LEN(Sync!$J963)=10,Sync!$J963,"نامعتبر")))</f>
        <v/>
      </c>
      <c r="R963" t="str">
        <f t="shared" si="102"/>
        <v/>
      </c>
      <c r="S963" t="str">
        <f t="shared" si="103"/>
        <v/>
      </c>
      <c r="T963" t="str">
        <f>IF($N963="","",IF(Sync!$N963="",0,Sync!$N963))</f>
        <v/>
      </c>
      <c r="U963" t="str">
        <f>IF($N963="","",IF(Sync!$O963="",0,Sync!$O963))</f>
        <v/>
      </c>
      <c r="V963" t="str">
        <f>IF($N963="","",Sync!$L963)</f>
        <v/>
      </c>
      <c r="W963" t="str">
        <f>IF($N963="","",Sync!$P963)</f>
        <v/>
      </c>
      <c r="AA963" t="str">
        <f>IF($A963="","",IF(COUNTIF($A$6:$A963,$A963)=1,1,0))</f>
        <v/>
      </c>
      <c r="AB963">
        <f>SUM($AA$6:$AA963)</f>
        <v>3</v>
      </c>
      <c r="AC963" t="str">
        <f t="shared" si="104"/>
        <v/>
      </c>
    </row>
    <row r="964" spans="1:29" x14ac:dyDescent="0.2">
      <c r="A964" t="str">
        <f>IF(OR(Entry!$B967="",Entry!$E967="",$E964="نامعتبر"),"",Entry!$E967)</f>
        <v/>
      </c>
      <c r="B964" t="str">
        <f>IF($A964="","",LEFT($E964,4)&amp;MID($E964,6,2)&amp;RIGHT($E964,2)&amp;$F964&amp;"|"&amp;"1"&amp;RIGHT("00000"&amp;959,5))</f>
        <v/>
      </c>
      <c r="C964" t="str">
        <f t="shared" si="98"/>
        <v/>
      </c>
      <c r="D964" t="str">
        <f t="shared" si="99"/>
        <v/>
      </c>
      <c r="E964" t="str">
        <f>IF(Entry!$B967="","",IF(ISNUMBER(Entry!$B967),IF(AND(Entry!$B967&gt;=10000101,Entry!$B967&lt;=99991231),INT(Entry!$B967/10000)&amp;"/"&amp;RIGHT("00"&amp;INT(MOD(Entry!$B967,10000)/100),2)&amp;"/"&amp;RIGHT("00"&amp;MOD(Entry!$B967,100),2),"نامعتبر"),IF(LEN(Entry!$B967)=10,Entry!$B967,"نامعتبر")))</f>
        <v/>
      </c>
      <c r="F964" t="str">
        <f>IF(Entry!$B967="","",IF(Entry!$C967="","0000",IF(AND(ISNUMBER(Entry!$C967),Entry!$C967&gt;=0,Entry!$C967&lt;1),RIGHT("00"&amp;HOUR(Entry!$C967),2)&amp;RIGHT("00"&amp;MINUTE(Entry!$C967),2),IFERROR(RIGHT("00"&amp;VALUE(LEFT(Entry!$C967,FIND(":",Entry!$C967)-1)),2)&amp;RIGHT("00"&amp;VALUE(MID(Entry!$C967,FIND(":",Entry!$C967)+1,2)),2),"0000"))))</f>
        <v/>
      </c>
      <c r="G964" t="str">
        <f>IF($A964="","",Entry!$G967)</f>
        <v/>
      </c>
      <c r="H964" t="str">
        <f>IF($A964="","",IF(Entry!$H967="",0,Entry!$H967))</f>
        <v/>
      </c>
      <c r="I964" t="str">
        <f>IF($A964="","",IF(Entry!$I967="",0,Entry!$I967))</f>
        <v/>
      </c>
      <c r="J964" t="str">
        <f t="shared" si="100"/>
        <v/>
      </c>
      <c r="K964" t="str">
        <f>IF($A964="","",Entry!$D967)</f>
        <v/>
      </c>
      <c r="L964" t="str">
        <f>IF($A964="","",Entry!$L967)</f>
        <v/>
      </c>
      <c r="N964" t="str">
        <f>IF(OR(Sync!$M964="",$Q964="",$Q964="نامعتبر"),"",Sync!$M964)</f>
        <v/>
      </c>
      <c r="O964" t="str">
        <f t="shared" si="101"/>
        <v/>
      </c>
      <c r="P964" t="str">
        <f>IF($N964="","",LEFT($Q964,4)&amp;MID($Q964,6,2)&amp;RIGHT($Q964,2)&amp;IF(Sync!$K964="","0000",IF(AND(ISNUMBER(Sync!$K964),Sync!$K964&gt;=0,Sync!$K964&lt;1),RIGHT("00"&amp;HOUR(Sync!$K964),2)&amp;RIGHT("00"&amp;MINUTE(Sync!$K964),2),IFERROR(RIGHT("00"&amp;VALUE(LEFT(Sync!$K964,FIND(":",Sync!$K964)-1)),2)&amp;RIGHT("00"&amp;VALUE(MID(Sync!$K964,FIND(":",Sync!$K964)+1,2)),2),"0000")))&amp;"|"&amp;"2"&amp;RIGHT("00000"&amp;959,5))</f>
        <v/>
      </c>
      <c r="Q964" t="str">
        <f>IF(Sync!$J964="","",IF(ISNUMBER(Sync!$J964),IF(AND(Sync!$J964&gt;=10000101,Sync!$J964&lt;=99991231),INT(Sync!$J964/10000)&amp;"/"&amp;RIGHT("00"&amp;INT(MOD(Sync!$J964,10000)/100),2)&amp;"/"&amp;RIGHT("00"&amp;MOD(Sync!$J964,100),2),"نامعتبر"),IF(LEN(Sync!$J964)=10,Sync!$J964,"نامعتبر")))</f>
        <v/>
      </c>
      <c r="R964" t="str">
        <f t="shared" si="102"/>
        <v/>
      </c>
      <c r="S964" t="str">
        <f t="shared" si="103"/>
        <v/>
      </c>
      <c r="T964" t="str">
        <f>IF($N964="","",IF(Sync!$N964="",0,Sync!$N964))</f>
        <v/>
      </c>
      <c r="U964" t="str">
        <f>IF($N964="","",IF(Sync!$O964="",0,Sync!$O964))</f>
        <v/>
      </c>
      <c r="V964" t="str">
        <f>IF($N964="","",Sync!$L964)</f>
        <v/>
      </c>
      <c r="W964" t="str">
        <f>IF($N964="","",Sync!$P964)</f>
        <v/>
      </c>
      <c r="AA964" t="str">
        <f>IF($A964="","",IF(COUNTIF($A$6:$A964,$A964)=1,1,0))</f>
        <v/>
      </c>
      <c r="AB964">
        <f>SUM($AA$6:$AA964)</f>
        <v>3</v>
      </c>
      <c r="AC964" t="str">
        <f t="shared" si="104"/>
        <v/>
      </c>
    </row>
    <row r="965" spans="1:29" x14ac:dyDescent="0.2">
      <c r="A965" t="str">
        <f>IF(OR(Entry!$B968="",Entry!$E968="",$E965="نامعتبر"),"",Entry!$E968)</f>
        <v/>
      </c>
      <c r="B965" t="str">
        <f>IF($A965="","",LEFT($E965,4)&amp;MID($E965,6,2)&amp;RIGHT($E965,2)&amp;$F965&amp;"|"&amp;"1"&amp;RIGHT("00000"&amp;960,5))</f>
        <v/>
      </c>
      <c r="C965" t="str">
        <f t="shared" si="98"/>
        <v/>
      </c>
      <c r="D965" t="str">
        <f t="shared" si="99"/>
        <v/>
      </c>
      <c r="E965" t="str">
        <f>IF(Entry!$B968="","",IF(ISNUMBER(Entry!$B968),IF(AND(Entry!$B968&gt;=10000101,Entry!$B968&lt;=99991231),INT(Entry!$B968/10000)&amp;"/"&amp;RIGHT("00"&amp;INT(MOD(Entry!$B968,10000)/100),2)&amp;"/"&amp;RIGHT("00"&amp;MOD(Entry!$B968,100),2),"نامعتبر"),IF(LEN(Entry!$B968)=10,Entry!$B968,"نامعتبر")))</f>
        <v/>
      </c>
      <c r="F965" t="str">
        <f>IF(Entry!$B968="","",IF(Entry!$C968="","0000",IF(AND(ISNUMBER(Entry!$C968),Entry!$C968&gt;=0,Entry!$C968&lt;1),RIGHT("00"&amp;HOUR(Entry!$C968),2)&amp;RIGHT("00"&amp;MINUTE(Entry!$C968),2),IFERROR(RIGHT("00"&amp;VALUE(LEFT(Entry!$C968,FIND(":",Entry!$C968)-1)),2)&amp;RIGHT("00"&amp;VALUE(MID(Entry!$C968,FIND(":",Entry!$C968)+1,2)),2),"0000"))))</f>
        <v/>
      </c>
      <c r="G965" t="str">
        <f>IF($A965="","",Entry!$G968)</f>
        <v/>
      </c>
      <c r="H965" t="str">
        <f>IF($A965="","",IF(Entry!$H968="",0,Entry!$H968))</f>
        <v/>
      </c>
      <c r="I965" t="str">
        <f>IF($A965="","",IF(Entry!$I968="",0,Entry!$I968))</f>
        <v/>
      </c>
      <c r="J965" t="str">
        <f t="shared" si="100"/>
        <v/>
      </c>
      <c r="K965" t="str">
        <f>IF($A965="","",Entry!$D968)</f>
        <v/>
      </c>
      <c r="L965" t="str">
        <f>IF($A965="","",Entry!$L968)</f>
        <v/>
      </c>
      <c r="N965" t="str">
        <f>IF(OR(Sync!$M965="",$Q965="",$Q965="نامعتبر"),"",Sync!$M965)</f>
        <v/>
      </c>
      <c r="O965" t="str">
        <f t="shared" si="101"/>
        <v/>
      </c>
      <c r="P965" t="str">
        <f>IF($N965="","",LEFT($Q965,4)&amp;MID($Q965,6,2)&amp;RIGHT($Q965,2)&amp;IF(Sync!$K965="","0000",IF(AND(ISNUMBER(Sync!$K965),Sync!$K965&gt;=0,Sync!$K965&lt;1),RIGHT("00"&amp;HOUR(Sync!$K965),2)&amp;RIGHT("00"&amp;MINUTE(Sync!$K965),2),IFERROR(RIGHT("00"&amp;VALUE(LEFT(Sync!$K965,FIND(":",Sync!$K965)-1)),2)&amp;RIGHT("00"&amp;VALUE(MID(Sync!$K965,FIND(":",Sync!$K965)+1,2)),2),"0000")))&amp;"|"&amp;"2"&amp;RIGHT("00000"&amp;960,5))</f>
        <v/>
      </c>
      <c r="Q965" t="str">
        <f>IF(Sync!$J965="","",IF(ISNUMBER(Sync!$J965),IF(AND(Sync!$J965&gt;=10000101,Sync!$J965&lt;=99991231),INT(Sync!$J965/10000)&amp;"/"&amp;RIGHT("00"&amp;INT(MOD(Sync!$J965,10000)/100),2)&amp;"/"&amp;RIGHT("00"&amp;MOD(Sync!$J965,100),2),"نامعتبر"),IF(LEN(Sync!$J965)=10,Sync!$J965,"نامعتبر")))</f>
        <v/>
      </c>
      <c r="R965" t="str">
        <f t="shared" si="102"/>
        <v/>
      </c>
      <c r="S965" t="str">
        <f t="shared" si="103"/>
        <v/>
      </c>
      <c r="T965" t="str">
        <f>IF($N965="","",IF(Sync!$N965="",0,Sync!$N965))</f>
        <v/>
      </c>
      <c r="U965" t="str">
        <f>IF($N965="","",IF(Sync!$O965="",0,Sync!$O965))</f>
        <v/>
      </c>
      <c r="V965" t="str">
        <f>IF($N965="","",Sync!$L965)</f>
        <v/>
      </c>
      <c r="W965" t="str">
        <f>IF($N965="","",Sync!$P965)</f>
        <v/>
      </c>
      <c r="AA965" t="str">
        <f>IF($A965="","",IF(COUNTIF($A$6:$A965,$A965)=1,1,0))</f>
        <v/>
      </c>
      <c r="AB965">
        <f>SUM($AA$6:$AA965)</f>
        <v>3</v>
      </c>
      <c r="AC965" t="str">
        <f t="shared" si="104"/>
        <v/>
      </c>
    </row>
    <row r="966" spans="1:29" x14ac:dyDescent="0.2">
      <c r="A966" t="str">
        <f>IF(OR(Entry!$B969="",Entry!$E969="",$E966="نامعتبر"),"",Entry!$E969)</f>
        <v/>
      </c>
      <c r="B966" t="str">
        <f>IF($A966="","",LEFT($E966,4)&amp;MID($E966,6,2)&amp;RIGHT($E966,2)&amp;$F966&amp;"|"&amp;"1"&amp;RIGHT("00000"&amp;961,5))</f>
        <v/>
      </c>
      <c r="C966" t="str">
        <f t="shared" ref="C966:C1005" si="105">IF($B966="","",COUNTIFS($A$6:$A$1005,$A966,$B$6:$B$1005,"&lt;"&amp;$B966)+COUNTIFS($N$6:$N$2005,$A966,$P$6:$P$2005,"&lt;"&amp;$B966)+1)</f>
        <v/>
      </c>
      <c r="D966" t="str">
        <f t="shared" ref="D966:D1005" si="106">IF($C966="","",$A966&amp;"|"&amp;RIGHT("000000"&amp;$C966,6))</f>
        <v/>
      </c>
      <c r="E966" t="str">
        <f>IF(Entry!$B969="","",IF(ISNUMBER(Entry!$B969),IF(AND(Entry!$B969&gt;=10000101,Entry!$B969&lt;=99991231),INT(Entry!$B969/10000)&amp;"/"&amp;RIGHT("00"&amp;INT(MOD(Entry!$B969,10000)/100),2)&amp;"/"&amp;RIGHT("00"&amp;MOD(Entry!$B969,100),2),"نامعتبر"),IF(LEN(Entry!$B969)=10,Entry!$B969,"نامعتبر")))</f>
        <v/>
      </c>
      <c r="F966" t="str">
        <f>IF(Entry!$B969="","",IF(Entry!$C969="","0000",IF(AND(ISNUMBER(Entry!$C969),Entry!$C969&gt;=0,Entry!$C969&lt;1),RIGHT("00"&amp;HOUR(Entry!$C969),2)&amp;RIGHT("00"&amp;MINUTE(Entry!$C969),2),IFERROR(RIGHT("00"&amp;VALUE(LEFT(Entry!$C969,FIND(":",Entry!$C969)-1)),2)&amp;RIGHT("00"&amp;VALUE(MID(Entry!$C969,FIND(":",Entry!$C969)+1,2)),2),"0000"))))</f>
        <v/>
      </c>
      <c r="G966" t="str">
        <f>IF($A966="","",Entry!$G969)</f>
        <v/>
      </c>
      <c r="H966" t="str">
        <f>IF($A966="","",IF(Entry!$H969="",0,Entry!$H969))</f>
        <v/>
      </c>
      <c r="I966" t="str">
        <f>IF($A966="","",IF(Entry!$I969="",0,Entry!$I969))</f>
        <v/>
      </c>
      <c r="J966" t="str">
        <f t="shared" ref="J966:J1005" si="107">IF($A966="","",ROUND($H966*$I966,0))</f>
        <v/>
      </c>
      <c r="K966" t="str">
        <f>IF($A966="","",Entry!$D969)</f>
        <v/>
      </c>
      <c r="L966" t="str">
        <f>IF($A966="","",Entry!$L969)</f>
        <v/>
      </c>
      <c r="N966" t="str">
        <f>IF(OR(Sync!$M966="",$Q966="",$Q966="نامعتبر"),"",Sync!$M966)</f>
        <v/>
      </c>
      <c r="O966" t="str">
        <f t="shared" ref="O966:O1029" si="108">IF($N966="","",$Q966)</f>
        <v/>
      </c>
      <c r="P966" t="str">
        <f>IF($N966="","",LEFT($Q966,4)&amp;MID($Q966,6,2)&amp;RIGHT($Q966,2)&amp;IF(Sync!$K966="","0000",IF(AND(ISNUMBER(Sync!$K966),Sync!$K966&gt;=0,Sync!$K966&lt;1),RIGHT("00"&amp;HOUR(Sync!$K966),2)&amp;RIGHT("00"&amp;MINUTE(Sync!$K966),2),IFERROR(RIGHT("00"&amp;VALUE(LEFT(Sync!$K966,FIND(":",Sync!$K966)-1)),2)&amp;RIGHT("00"&amp;VALUE(MID(Sync!$K966,FIND(":",Sync!$K966)+1,2)),2),"0000")))&amp;"|"&amp;"2"&amp;RIGHT("00000"&amp;961,5))</f>
        <v/>
      </c>
      <c r="Q966" t="str">
        <f>IF(Sync!$J966="","",IF(ISNUMBER(Sync!$J966),IF(AND(Sync!$J966&gt;=10000101,Sync!$J966&lt;=99991231),INT(Sync!$J966/10000)&amp;"/"&amp;RIGHT("00"&amp;INT(MOD(Sync!$J966,10000)/100),2)&amp;"/"&amp;RIGHT("00"&amp;MOD(Sync!$J966,100),2),"نامعتبر"),IF(LEN(Sync!$J966)=10,Sync!$J966,"نامعتبر")))</f>
        <v/>
      </c>
      <c r="R966" t="str">
        <f t="shared" ref="R966:R1029" si="109">IF($P966="","",COUNTIFS($N$6:$N$2005,$N966,$P$6:$P$2005,"&lt;"&amp;$P966)+COUNTIFS($A$6:$A$1005,$N966,$B$6:$B$1005,"&lt;"&amp;$P966)+1)</f>
        <v/>
      </c>
      <c r="S966" t="str">
        <f t="shared" ref="S966:S1029" si="110">IF($N966="","",$N966&amp;"|"&amp;RIGHT("000000"&amp;$R966,6))</f>
        <v/>
      </c>
      <c r="T966" t="str">
        <f>IF($N966="","",IF(Sync!$N966="",0,Sync!$N966))</f>
        <v/>
      </c>
      <c r="U966" t="str">
        <f>IF($N966="","",IF(Sync!$O966="",0,Sync!$O966))</f>
        <v/>
      </c>
      <c r="V966" t="str">
        <f>IF($N966="","",Sync!$L966)</f>
        <v/>
      </c>
      <c r="W966" t="str">
        <f>IF($N966="","",Sync!$P966)</f>
        <v/>
      </c>
      <c r="AA966" t="str">
        <f>IF($A966="","",IF(COUNTIF($A$6:$A966,$A966)=1,1,0))</f>
        <v/>
      </c>
      <c r="AB966">
        <f>SUM($AA$6:$AA966)</f>
        <v>3</v>
      </c>
      <c r="AC966" t="str">
        <f t="shared" ref="AC966:AC1005" si="111">IFERROR(INDEX($A$6:$A$1005,MATCH(ROW()-5,$AB$6:$AB$1005,0)),"")</f>
        <v/>
      </c>
    </row>
    <row r="967" spans="1:29" x14ac:dyDescent="0.2">
      <c r="A967" t="str">
        <f>IF(OR(Entry!$B970="",Entry!$E970="",$E967="نامعتبر"),"",Entry!$E970)</f>
        <v/>
      </c>
      <c r="B967" t="str">
        <f>IF($A967="","",LEFT($E967,4)&amp;MID($E967,6,2)&amp;RIGHT($E967,2)&amp;$F967&amp;"|"&amp;"1"&amp;RIGHT("00000"&amp;962,5))</f>
        <v/>
      </c>
      <c r="C967" t="str">
        <f t="shared" si="105"/>
        <v/>
      </c>
      <c r="D967" t="str">
        <f t="shared" si="106"/>
        <v/>
      </c>
      <c r="E967" t="str">
        <f>IF(Entry!$B970="","",IF(ISNUMBER(Entry!$B970),IF(AND(Entry!$B970&gt;=10000101,Entry!$B970&lt;=99991231),INT(Entry!$B970/10000)&amp;"/"&amp;RIGHT("00"&amp;INT(MOD(Entry!$B970,10000)/100),2)&amp;"/"&amp;RIGHT("00"&amp;MOD(Entry!$B970,100),2),"نامعتبر"),IF(LEN(Entry!$B970)=10,Entry!$B970,"نامعتبر")))</f>
        <v/>
      </c>
      <c r="F967" t="str">
        <f>IF(Entry!$B970="","",IF(Entry!$C970="","0000",IF(AND(ISNUMBER(Entry!$C970),Entry!$C970&gt;=0,Entry!$C970&lt;1),RIGHT("00"&amp;HOUR(Entry!$C970),2)&amp;RIGHT("00"&amp;MINUTE(Entry!$C970),2),IFERROR(RIGHT("00"&amp;VALUE(LEFT(Entry!$C970,FIND(":",Entry!$C970)-1)),2)&amp;RIGHT("00"&amp;VALUE(MID(Entry!$C970,FIND(":",Entry!$C970)+1,2)),2),"0000"))))</f>
        <v/>
      </c>
      <c r="G967" t="str">
        <f>IF($A967="","",Entry!$G970)</f>
        <v/>
      </c>
      <c r="H967" t="str">
        <f>IF($A967="","",IF(Entry!$H970="",0,Entry!$H970))</f>
        <v/>
      </c>
      <c r="I967" t="str">
        <f>IF($A967="","",IF(Entry!$I970="",0,Entry!$I970))</f>
        <v/>
      </c>
      <c r="J967" t="str">
        <f t="shared" si="107"/>
        <v/>
      </c>
      <c r="K967" t="str">
        <f>IF($A967="","",Entry!$D970)</f>
        <v/>
      </c>
      <c r="L967" t="str">
        <f>IF($A967="","",Entry!$L970)</f>
        <v/>
      </c>
      <c r="N967" t="str">
        <f>IF(OR(Sync!$M967="",$Q967="",$Q967="نامعتبر"),"",Sync!$M967)</f>
        <v/>
      </c>
      <c r="O967" t="str">
        <f t="shared" si="108"/>
        <v/>
      </c>
      <c r="P967" t="str">
        <f>IF($N967="","",LEFT($Q967,4)&amp;MID($Q967,6,2)&amp;RIGHT($Q967,2)&amp;IF(Sync!$K967="","0000",IF(AND(ISNUMBER(Sync!$K967),Sync!$K967&gt;=0,Sync!$K967&lt;1),RIGHT("00"&amp;HOUR(Sync!$K967),2)&amp;RIGHT("00"&amp;MINUTE(Sync!$K967),2),IFERROR(RIGHT("00"&amp;VALUE(LEFT(Sync!$K967,FIND(":",Sync!$K967)-1)),2)&amp;RIGHT("00"&amp;VALUE(MID(Sync!$K967,FIND(":",Sync!$K967)+1,2)),2),"0000")))&amp;"|"&amp;"2"&amp;RIGHT("00000"&amp;962,5))</f>
        <v/>
      </c>
      <c r="Q967" t="str">
        <f>IF(Sync!$J967="","",IF(ISNUMBER(Sync!$J967),IF(AND(Sync!$J967&gt;=10000101,Sync!$J967&lt;=99991231),INT(Sync!$J967/10000)&amp;"/"&amp;RIGHT("00"&amp;INT(MOD(Sync!$J967,10000)/100),2)&amp;"/"&amp;RIGHT("00"&amp;MOD(Sync!$J967,100),2),"نامعتبر"),IF(LEN(Sync!$J967)=10,Sync!$J967,"نامعتبر")))</f>
        <v/>
      </c>
      <c r="R967" t="str">
        <f t="shared" si="109"/>
        <v/>
      </c>
      <c r="S967" t="str">
        <f t="shared" si="110"/>
        <v/>
      </c>
      <c r="T967" t="str">
        <f>IF($N967="","",IF(Sync!$N967="",0,Sync!$N967))</f>
        <v/>
      </c>
      <c r="U967" t="str">
        <f>IF($N967="","",IF(Sync!$O967="",0,Sync!$O967))</f>
        <v/>
      </c>
      <c r="V967" t="str">
        <f>IF($N967="","",Sync!$L967)</f>
        <v/>
      </c>
      <c r="W967" t="str">
        <f>IF($N967="","",Sync!$P967)</f>
        <v/>
      </c>
      <c r="AA967" t="str">
        <f>IF($A967="","",IF(COUNTIF($A$6:$A967,$A967)=1,1,0))</f>
        <v/>
      </c>
      <c r="AB967">
        <f>SUM($AA$6:$AA967)</f>
        <v>3</v>
      </c>
      <c r="AC967" t="str">
        <f t="shared" si="111"/>
        <v/>
      </c>
    </row>
    <row r="968" spans="1:29" x14ac:dyDescent="0.2">
      <c r="A968" t="str">
        <f>IF(OR(Entry!$B971="",Entry!$E971="",$E968="نامعتبر"),"",Entry!$E971)</f>
        <v/>
      </c>
      <c r="B968" t="str">
        <f>IF($A968="","",LEFT($E968,4)&amp;MID($E968,6,2)&amp;RIGHT($E968,2)&amp;$F968&amp;"|"&amp;"1"&amp;RIGHT("00000"&amp;963,5))</f>
        <v/>
      </c>
      <c r="C968" t="str">
        <f t="shared" si="105"/>
        <v/>
      </c>
      <c r="D968" t="str">
        <f t="shared" si="106"/>
        <v/>
      </c>
      <c r="E968" t="str">
        <f>IF(Entry!$B971="","",IF(ISNUMBER(Entry!$B971),IF(AND(Entry!$B971&gt;=10000101,Entry!$B971&lt;=99991231),INT(Entry!$B971/10000)&amp;"/"&amp;RIGHT("00"&amp;INT(MOD(Entry!$B971,10000)/100),2)&amp;"/"&amp;RIGHT("00"&amp;MOD(Entry!$B971,100),2),"نامعتبر"),IF(LEN(Entry!$B971)=10,Entry!$B971,"نامعتبر")))</f>
        <v/>
      </c>
      <c r="F968" t="str">
        <f>IF(Entry!$B971="","",IF(Entry!$C971="","0000",IF(AND(ISNUMBER(Entry!$C971),Entry!$C971&gt;=0,Entry!$C971&lt;1),RIGHT("00"&amp;HOUR(Entry!$C971),2)&amp;RIGHT("00"&amp;MINUTE(Entry!$C971),2),IFERROR(RIGHT("00"&amp;VALUE(LEFT(Entry!$C971,FIND(":",Entry!$C971)-1)),2)&amp;RIGHT("00"&amp;VALUE(MID(Entry!$C971,FIND(":",Entry!$C971)+1,2)),2),"0000"))))</f>
        <v/>
      </c>
      <c r="G968" t="str">
        <f>IF($A968="","",Entry!$G971)</f>
        <v/>
      </c>
      <c r="H968" t="str">
        <f>IF($A968="","",IF(Entry!$H971="",0,Entry!$H971))</f>
        <v/>
      </c>
      <c r="I968" t="str">
        <f>IF($A968="","",IF(Entry!$I971="",0,Entry!$I971))</f>
        <v/>
      </c>
      <c r="J968" t="str">
        <f t="shared" si="107"/>
        <v/>
      </c>
      <c r="K968" t="str">
        <f>IF($A968="","",Entry!$D971)</f>
        <v/>
      </c>
      <c r="L968" t="str">
        <f>IF($A968="","",Entry!$L971)</f>
        <v/>
      </c>
      <c r="N968" t="str">
        <f>IF(OR(Sync!$M968="",$Q968="",$Q968="نامعتبر"),"",Sync!$M968)</f>
        <v/>
      </c>
      <c r="O968" t="str">
        <f t="shared" si="108"/>
        <v/>
      </c>
      <c r="P968" t="str">
        <f>IF($N968="","",LEFT($Q968,4)&amp;MID($Q968,6,2)&amp;RIGHT($Q968,2)&amp;IF(Sync!$K968="","0000",IF(AND(ISNUMBER(Sync!$K968),Sync!$K968&gt;=0,Sync!$K968&lt;1),RIGHT("00"&amp;HOUR(Sync!$K968),2)&amp;RIGHT("00"&amp;MINUTE(Sync!$K968),2),IFERROR(RIGHT("00"&amp;VALUE(LEFT(Sync!$K968,FIND(":",Sync!$K968)-1)),2)&amp;RIGHT("00"&amp;VALUE(MID(Sync!$K968,FIND(":",Sync!$K968)+1,2)),2),"0000")))&amp;"|"&amp;"2"&amp;RIGHT("00000"&amp;963,5))</f>
        <v/>
      </c>
      <c r="Q968" t="str">
        <f>IF(Sync!$J968="","",IF(ISNUMBER(Sync!$J968),IF(AND(Sync!$J968&gt;=10000101,Sync!$J968&lt;=99991231),INT(Sync!$J968/10000)&amp;"/"&amp;RIGHT("00"&amp;INT(MOD(Sync!$J968,10000)/100),2)&amp;"/"&amp;RIGHT("00"&amp;MOD(Sync!$J968,100),2),"نامعتبر"),IF(LEN(Sync!$J968)=10,Sync!$J968,"نامعتبر")))</f>
        <v/>
      </c>
      <c r="R968" t="str">
        <f t="shared" si="109"/>
        <v/>
      </c>
      <c r="S968" t="str">
        <f t="shared" si="110"/>
        <v/>
      </c>
      <c r="T968" t="str">
        <f>IF($N968="","",IF(Sync!$N968="",0,Sync!$N968))</f>
        <v/>
      </c>
      <c r="U968" t="str">
        <f>IF($N968="","",IF(Sync!$O968="",0,Sync!$O968))</f>
        <v/>
      </c>
      <c r="V968" t="str">
        <f>IF($N968="","",Sync!$L968)</f>
        <v/>
      </c>
      <c r="W968" t="str">
        <f>IF($N968="","",Sync!$P968)</f>
        <v/>
      </c>
      <c r="AA968" t="str">
        <f>IF($A968="","",IF(COUNTIF($A$6:$A968,$A968)=1,1,0))</f>
        <v/>
      </c>
      <c r="AB968">
        <f>SUM($AA$6:$AA968)</f>
        <v>3</v>
      </c>
      <c r="AC968" t="str">
        <f t="shared" si="111"/>
        <v/>
      </c>
    </row>
    <row r="969" spans="1:29" x14ac:dyDescent="0.2">
      <c r="A969" t="str">
        <f>IF(OR(Entry!$B972="",Entry!$E972="",$E969="نامعتبر"),"",Entry!$E972)</f>
        <v/>
      </c>
      <c r="B969" t="str">
        <f>IF($A969="","",LEFT($E969,4)&amp;MID($E969,6,2)&amp;RIGHT($E969,2)&amp;$F969&amp;"|"&amp;"1"&amp;RIGHT("00000"&amp;964,5))</f>
        <v/>
      </c>
      <c r="C969" t="str">
        <f t="shared" si="105"/>
        <v/>
      </c>
      <c r="D969" t="str">
        <f t="shared" si="106"/>
        <v/>
      </c>
      <c r="E969" t="str">
        <f>IF(Entry!$B972="","",IF(ISNUMBER(Entry!$B972),IF(AND(Entry!$B972&gt;=10000101,Entry!$B972&lt;=99991231),INT(Entry!$B972/10000)&amp;"/"&amp;RIGHT("00"&amp;INT(MOD(Entry!$B972,10000)/100),2)&amp;"/"&amp;RIGHT("00"&amp;MOD(Entry!$B972,100),2),"نامعتبر"),IF(LEN(Entry!$B972)=10,Entry!$B972,"نامعتبر")))</f>
        <v/>
      </c>
      <c r="F969" t="str">
        <f>IF(Entry!$B972="","",IF(Entry!$C972="","0000",IF(AND(ISNUMBER(Entry!$C972),Entry!$C972&gt;=0,Entry!$C972&lt;1),RIGHT("00"&amp;HOUR(Entry!$C972),2)&amp;RIGHT("00"&amp;MINUTE(Entry!$C972),2),IFERROR(RIGHT("00"&amp;VALUE(LEFT(Entry!$C972,FIND(":",Entry!$C972)-1)),2)&amp;RIGHT("00"&amp;VALUE(MID(Entry!$C972,FIND(":",Entry!$C972)+1,2)),2),"0000"))))</f>
        <v/>
      </c>
      <c r="G969" t="str">
        <f>IF($A969="","",Entry!$G972)</f>
        <v/>
      </c>
      <c r="H969" t="str">
        <f>IF($A969="","",IF(Entry!$H972="",0,Entry!$H972))</f>
        <v/>
      </c>
      <c r="I969" t="str">
        <f>IF($A969="","",IF(Entry!$I972="",0,Entry!$I972))</f>
        <v/>
      </c>
      <c r="J969" t="str">
        <f t="shared" si="107"/>
        <v/>
      </c>
      <c r="K969" t="str">
        <f>IF($A969="","",Entry!$D972)</f>
        <v/>
      </c>
      <c r="L969" t="str">
        <f>IF($A969="","",Entry!$L972)</f>
        <v/>
      </c>
      <c r="N969" t="str">
        <f>IF(OR(Sync!$M969="",$Q969="",$Q969="نامعتبر"),"",Sync!$M969)</f>
        <v/>
      </c>
      <c r="O969" t="str">
        <f t="shared" si="108"/>
        <v/>
      </c>
      <c r="P969" t="str">
        <f>IF($N969="","",LEFT($Q969,4)&amp;MID($Q969,6,2)&amp;RIGHT($Q969,2)&amp;IF(Sync!$K969="","0000",IF(AND(ISNUMBER(Sync!$K969),Sync!$K969&gt;=0,Sync!$K969&lt;1),RIGHT("00"&amp;HOUR(Sync!$K969),2)&amp;RIGHT("00"&amp;MINUTE(Sync!$K969),2),IFERROR(RIGHT("00"&amp;VALUE(LEFT(Sync!$K969,FIND(":",Sync!$K969)-1)),2)&amp;RIGHT("00"&amp;VALUE(MID(Sync!$K969,FIND(":",Sync!$K969)+1,2)),2),"0000")))&amp;"|"&amp;"2"&amp;RIGHT("00000"&amp;964,5))</f>
        <v/>
      </c>
      <c r="Q969" t="str">
        <f>IF(Sync!$J969="","",IF(ISNUMBER(Sync!$J969),IF(AND(Sync!$J969&gt;=10000101,Sync!$J969&lt;=99991231),INT(Sync!$J969/10000)&amp;"/"&amp;RIGHT("00"&amp;INT(MOD(Sync!$J969,10000)/100),2)&amp;"/"&amp;RIGHT("00"&amp;MOD(Sync!$J969,100),2),"نامعتبر"),IF(LEN(Sync!$J969)=10,Sync!$J969,"نامعتبر")))</f>
        <v/>
      </c>
      <c r="R969" t="str">
        <f t="shared" si="109"/>
        <v/>
      </c>
      <c r="S969" t="str">
        <f t="shared" si="110"/>
        <v/>
      </c>
      <c r="T969" t="str">
        <f>IF($N969="","",IF(Sync!$N969="",0,Sync!$N969))</f>
        <v/>
      </c>
      <c r="U969" t="str">
        <f>IF($N969="","",IF(Sync!$O969="",0,Sync!$O969))</f>
        <v/>
      </c>
      <c r="V969" t="str">
        <f>IF($N969="","",Sync!$L969)</f>
        <v/>
      </c>
      <c r="W969" t="str">
        <f>IF($N969="","",Sync!$P969)</f>
        <v/>
      </c>
      <c r="AA969" t="str">
        <f>IF($A969="","",IF(COUNTIF($A$6:$A969,$A969)=1,1,0))</f>
        <v/>
      </c>
      <c r="AB969">
        <f>SUM($AA$6:$AA969)</f>
        <v>3</v>
      </c>
      <c r="AC969" t="str">
        <f t="shared" si="111"/>
        <v/>
      </c>
    </row>
    <row r="970" spans="1:29" x14ac:dyDescent="0.2">
      <c r="A970" t="str">
        <f>IF(OR(Entry!$B973="",Entry!$E973="",$E970="نامعتبر"),"",Entry!$E973)</f>
        <v/>
      </c>
      <c r="B970" t="str">
        <f>IF($A970="","",LEFT($E970,4)&amp;MID($E970,6,2)&amp;RIGHT($E970,2)&amp;$F970&amp;"|"&amp;"1"&amp;RIGHT("00000"&amp;965,5))</f>
        <v/>
      </c>
      <c r="C970" t="str">
        <f t="shared" si="105"/>
        <v/>
      </c>
      <c r="D970" t="str">
        <f t="shared" si="106"/>
        <v/>
      </c>
      <c r="E970" t="str">
        <f>IF(Entry!$B973="","",IF(ISNUMBER(Entry!$B973),IF(AND(Entry!$B973&gt;=10000101,Entry!$B973&lt;=99991231),INT(Entry!$B973/10000)&amp;"/"&amp;RIGHT("00"&amp;INT(MOD(Entry!$B973,10000)/100),2)&amp;"/"&amp;RIGHT("00"&amp;MOD(Entry!$B973,100),2),"نامعتبر"),IF(LEN(Entry!$B973)=10,Entry!$B973,"نامعتبر")))</f>
        <v/>
      </c>
      <c r="F970" t="str">
        <f>IF(Entry!$B973="","",IF(Entry!$C973="","0000",IF(AND(ISNUMBER(Entry!$C973),Entry!$C973&gt;=0,Entry!$C973&lt;1),RIGHT("00"&amp;HOUR(Entry!$C973),2)&amp;RIGHT("00"&amp;MINUTE(Entry!$C973),2),IFERROR(RIGHT("00"&amp;VALUE(LEFT(Entry!$C973,FIND(":",Entry!$C973)-1)),2)&amp;RIGHT("00"&amp;VALUE(MID(Entry!$C973,FIND(":",Entry!$C973)+1,2)),2),"0000"))))</f>
        <v/>
      </c>
      <c r="G970" t="str">
        <f>IF($A970="","",Entry!$G973)</f>
        <v/>
      </c>
      <c r="H970" t="str">
        <f>IF($A970="","",IF(Entry!$H973="",0,Entry!$H973))</f>
        <v/>
      </c>
      <c r="I970" t="str">
        <f>IF($A970="","",IF(Entry!$I973="",0,Entry!$I973))</f>
        <v/>
      </c>
      <c r="J970" t="str">
        <f t="shared" si="107"/>
        <v/>
      </c>
      <c r="K970" t="str">
        <f>IF($A970="","",Entry!$D973)</f>
        <v/>
      </c>
      <c r="L970" t="str">
        <f>IF($A970="","",Entry!$L973)</f>
        <v/>
      </c>
      <c r="N970" t="str">
        <f>IF(OR(Sync!$M970="",$Q970="",$Q970="نامعتبر"),"",Sync!$M970)</f>
        <v/>
      </c>
      <c r="O970" t="str">
        <f t="shared" si="108"/>
        <v/>
      </c>
      <c r="P970" t="str">
        <f>IF($N970="","",LEFT($Q970,4)&amp;MID($Q970,6,2)&amp;RIGHT($Q970,2)&amp;IF(Sync!$K970="","0000",IF(AND(ISNUMBER(Sync!$K970),Sync!$K970&gt;=0,Sync!$K970&lt;1),RIGHT("00"&amp;HOUR(Sync!$K970),2)&amp;RIGHT("00"&amp;MINUTE(Sync!$K970),2),IFERROR(RIGHT("00"&amp;VALUE(LEFT(Sync!$K970,FIND(":",Sync!$K970)-1)),2)&amp;RIGHT("00"&amp;VALUE(MID(Sync!$K970,FIND(":",Sync!$K970)+1,2)),2),"0000")))&amp;"|"&amp;"2"&amp;RIGHT("00000"&amp;965,5))</f>
        <v/>
      </c>
      <c r="Q970" t="str">
        <f>IF(Sync!$J970="","",IF(ISNUMBER(Sync!$J970),IF(AND(Sync!$J970&gt;=10000101,Sync!$J970&lt;=99991231),INT(Sync!$J970/10000)&amp;"/"&amp;RIGHT("00"&amp;INT(MOD(Sync!$J970,10000)/100),2)&amp;"/"&amp;RIGHT("00"&amp;MOD(Sync!$J970,100),2),"نامعتبر"),IF(LEN(Sync!$J970)=10,Sync!$J970,"نامعتبر")))</f>
        <v/>
      </c>
      <c r="R970" t="str">
        <f t="shared" si="109"/>
        <v/>
      </c>
      <c r="S970" t="str">
        <f t="shared" si="110"/>
        <v/>
      </c>
      <c r="T970" t="str">
        <f>IF($N970="","",IF(Sync!$N970="",0,Sync!$N970))</f>
        <v/>
      </c>
      <c r="U970" t="str">
        <f>IF($N970="","",IF(Sync!$O970="",0,Sync!$O970))</f>
        <v/>
      </c>
      <c r="V970" t="str">
        <f>IF($N970="","",Sync!$L970)</f>
        <v/>
      </c>
      <c r="W970" t="str">
        <f>IF($N970="","",Sync!$P970)</f>
        <v/>
      </c>
      <c r="AA970" t="str">
        <f>IF($A970="","",IF(COUNTIF($A$6:$A970,$A970)=1,1,0))</f>
        <v/>
      </c>
      <c r="AB970">
        <f>SUM($AA$6:$AA970)</f>
        <v>3</v>
      </c>
      <c r="AC970" t="str">
        <f t="shared" si="111"/>
        <v/>
      </c>
    </row>
    <row r="971" spans="1:29" x14ac:dyDescent="0.2">
      <c r="A971" t="str">
        <f>IF(OR(Entry!$B974="",Entry!$E974="",$E971="نامعتبر"),"",Entry!$E974)</f>
        <v/>
      </c>
      <c r="B971" t="str">
        <f>IF($A971="","",LEFT($E971,4)&amp;MID($E971,6,2)&amp;RIGHT($E971,2)&amp;$F971&amp;"|"&amp;"1"&amp;RIGHT("00000"&amp;966,5))</f>
        <v/>
      </c>
      <c r="C971" t="str">
        <f t="shared" si="105"/>
        <v/>
      </c>
      <c r="D971" t="str">
        <f t="shared" si="106"/>
        <v/>
      </c>
      <c r="E971" t="str">
        <f>IF(Entry!$B974="","",IF(ISNUMBER(Entry!$B974),IF(AND(Entry!$B974&gt;=10000101,Entry!$B974&lt;=99991231),INT(Entry!$B974/10000)&amp;"/"&amp;RIGHT("00"&amp;INT(MOD(Entry!$B974,10000)/100),2)&amp;"/"&amp;RIGHT("00"&amp;MOD(Entry!$B974,100),2),"نامعتبر"),IF(LEN(Entry!$B974)=10,Entry!$B974,"نامعتبر")))</f>
        <v/>
      </c>
      <c r="F971" t="str">
        <f>IF(Entry!$B974="","",IF(Entry!$C974="","0000",IF(AND(ISNUMBER(Entry!$C974),Entry!$C974&gt;=0,Entry!$C974&lt;1),RIGHT("00"&amp;HOUR(Entry!$C974),2)&amp;RIGHT("00"&amp;MINUTE(Entry!$C974),2),IFERROR(RIGHT("00"&amp;VALUE(LEFT(Entry!$C974,FIND(":",Entry!$C974)-1)),2)&amp;RIGHT("00"&amp;VALUE(MID(Entry!$C974,FIND(":",Entry!$C974)+1,2)),2),"0000"))))</f>
        <v/>
      </c>
      <c r="G971" t="str">
        <f>IF($A971="","",Entry!$G974)</f>
        <v/>
      </c>
      <c r="H971" t="str">
        <f>IF($A971="","",IF(Entry!$H974="",0,Entry!$H974))</f>
        <v/>
      </c>
      <c r="I971" t="str">
        <f>IF($A971="","",IF(Entry!$I974="",0,Entry!$I974))</f>
        <v/>
      </c>
      <c r="J971" t="str">
        <f t="shared" si="107"/>
        <v/>
      </c>
      <c r="K971" t="str">
        <f>IF($A971="","",Entry!$D974)</f>
        <v/>
      </c>
      <c r="L971" t="str">
        <f>IF($A971="","",Entry!$L974)</f>
        <v/>
      </c>
      <c r="N971" t="str">
        <f>IF(OR(Sync!$M971="",$Q971="",$Q971="نامعتبر"),"",Sync!$M971)</f>
        <v/>
      </c>
      <c r="O971" t="str">
        <f t="shared" si="108"/>
        <v/>
      </c>
      <c r="P971" t="str">
        <f>IF($N971="","",LEFT($Q971,4)&amp;MID($Q971,6,2)&amp;RIGHT($Q971,2)&amp;IF(Sync!$K971="","0000",IF(AND(ISNUMBER(Sync!$K971),Sync!$K971&gt;=0,Sync!$K971&lt;1),RIGHT("00"&amp;HOUR(Sync!$K971),2)&amp;RIGHT("00"&amp;MINUTE(Sync!$K971),2),IFERROR(RIGHT("00"&amp;VALUE(LEFT(Sync!$K971,FIND(":",Sync!$K971)-1)),2)&amp;RIGHT("00"&amp;VALUE(MID(Sync!$K971,FIND(":",Sync!$K971)+1,2)),2),"0000")))&amp;"|"&amp;"2"&amp;RIGHT("00000"&amp;966,5))</f>
        <v/>
      </c>
      <c r="Q971" t="str">
        <f>IF(Sync!$J971="","",IF(ISNUMBER(Sync!$J971),IF(AND(Sync!$J971&gt;=10000101,Sync!$J971&lt;=99991231),INT(Sync!$J971/10000)&amp;"/"&amp;RIGHT("00"&amp;INT(MOD(Sync!$J971,10000)/100),2)&amp;"/"&amp;RIGHT("00"&amp;MOD(Sync!$J971,100),2),"نامعتبر"),IF(LEN(Sync!$J971)=10,Sync!$J971,"نامعتبر")))</f>
        <v/>
      </c>
      <c r="R971" t="str">
        <f t="shared" si="109"/>
        <v/>
      </c>
      <c r="S971" t="str">
        <f t="shared" si="110"/>
        <v/>
      </c>
      <c r="T971" t="str">
        <f>IF($N971="","",IF(Sync!$N971="",0,Sync!$N971))</f>
        <v/>
      </c>
      <c r="U971" t="str">
        <f>IF($N971="","",IF(Sync!$O971="",0,Sync!$O971))</f>
        <v/>
      </c>
      <c r="V971" t="str">
        <f>IF($N971="","",Sync!$L971)</f>
        <v/>
      </c>
      <c r="W971" t="str">
        <f>IF($N971="","",Sync!$P971)</f>
        <v/>
      </c>
      <c r="AA971" t="str">
        <f>IF($A971="","",IF(COUNTIF($A$6:$A971,$A971)=1,1,0))</f>
        <v/>
      </c>
      <c r="AB971">
        <f>SUM($AA$6:$AA971)</f>
        <v>3</v>
      </c>
      <c r="AC971" t="str">
        <f t="shared" si="111"/>
        <v/>
      </c>
    </row>
    <row r="972" spans="1:29" x14ac:dyDescent="0.2">
      <c r="A972" t="str">
        <f>IF(OR(Entry!$B975="",Entry!$E975="",$E972="نامعتبر"),"",Entry!$E975)</f>
        <v/>
      </c>
      <c r="B972" t="str">
        <f>IF($A972="","",LEFT($E972,4)&amp;MID($E972,6,2)&amp;RIGHT($E972,2)&amp;$F972&amp;"|"&amp;"1"&amp;RIGHT("00000"&amp;967,5))</f>
        <v/>
      </c>
      <c r="C972" t="str">
        <f t="shared" si="105"/>
        <v/>
      </c>
      <c r="D972" t="str">
        <f t="shared" si="106"/>
        <v/>
      </c>
      <c r="E972" t="str">
        <f>IF(Entry!$B975="","",IF(ISNUMBER(Entry!$B975),IF(AND(Entry!$B975&gt;=10000101,Entry!$B975&lt;=99991231),INT(Entry!$B975/10000)&amp;"/"&amp;RIGHT("00"&amp;INT(MOD(Entry!$B975,10000)/100),2)&amp;"/"&amp;RIGHT("00"&amp;MOD(Entry!$B975,100),2),"نامعتبر"),IF(LEN(Entry!$B975)=10,Entry!$B975,"نامعتبر")))</f>
        <v/>
      </c>
      <c r="F972" t="str">
        <f>IF(Entry!$B975="","",IF(Entry!$C975="","0000",IF(AND(ISNUMBER(Entry!$C975),Entry!$C975&gt;=0,Entry!$C975&lt;1),RIGHT("00"&amp;HOUR(Entry!$C975),2)&amp;RIGHT("00"&amp;MINUTE(Entry!$C975),2),IFERROR(RIGHT("00"&amp;VALUE(LEFT(Entry!$C975,FIND(":",Entry!$C975)-1)),2)&amp;RIGHT("00"&amp;VALUE(MID(Entry!$C975,FIND(":",Entry!$C975)+1,2)),2),"0000"))))</f>
        <v/>
      </c>
      <c r="G972" t="str">
        <f>IF($A972="","",Entry!$G975)</f>
        <v/>
      </c>
      <c r="H972" t="str">
        <f>IF($A972="","",IF(Entry!$H975="",0,Entry!$H975))</f>
        <v/>
      </c>
      <c r="I972" t="str">
        <f>IF($A972="","",IF(Entry!$I975="",0,Entry!$I975))</f>
        <v/>
      </c>
      <c r="J972" t="str">
        <f t="shared" si="107"/>
        <v/>
      </c>
      <c r="K972" t="str">
        <f>IF($A972="","",Entry!$D975)</f>
        <v/>
      </c>
      <c r="L972" t="str">
        <f>IF($A972="","",Entry!$L975)</f>
        <v/>
      </c>
      <c r="N972" t="str">
        <f>IF(OR(Sync!$M972="",$Q972="",$Q972="نامعتبر"),"",Sync!$M972)</f>
        <v/>
      </c>
      <c r="O972" t="str">
        <f t="shared" si="108"/>
        <v/>
      </c>
      <c r="P972" t="str">
        <f>IF($N972="","",LEFT($Q972,4)&amp;MID($Q972,6,2)&amp;RIGHT($Q972,2)&amp;IF(Sync!$K972="","0000",IF(AND(ISNUMBER(Sync!$K972),Sync!$K972&gt;=0,Sync!$K972&lt;1),RIGHT("00"&amp;HOUR(Sync!$K972),2)&amp;RIGHT("00"&amp;MINUTE(Sync!$K972),2),IFERROR(RIGHT("00"&amp;VALUE(LEFT(Sync!$K972,FIND(":",Sync!$K972)-1)),2)&amp;RIGHT("00"&amp;VALUE(MID(Sync!$K972,FIND(":",Sync!$K972)+1,2)),2),"0000")))&amp;"|"&amp;"2"&amp;RIGHT("00000"&amp;967,5))</f>
        <v/>
      </c>
      <c r="Q972" t="str">
        <f>IF(Sync!$J972="","",IF(ISNUMBER(Sync!$J972),IF(AND(Sync!$J972&gt;=10000101,Sync!$J972&lt;=99991231),INT(Sync!$J972/10000)&amp;"/"&amp;RIGHT("00"&amp;INT(MOD(Sync!$J972,10000)/100),2)&amp;"/"&amp;RIGHT("00"&amp;MOD(Sync!$J972,100),2),"نامعتبر"),IF(LEN(Sync!$J972)=10,Sync!$J972,"نامعتبر")))</f>
        <v/>
      </c>
      <c r="R972" t="str">
        <f t="shared" si="109"/>
        <v/>
      </c>
      <c r="S972" t="str">
        <f t="shared" si="110"/>
        <v/>
      </c>
      <c r="T972" t="str">
        <f>IF($N972="","",IF(Sync!$N972="",0,Sync!$N972))</f>
        <v/>
      </c>
      <c r="U972" t="str">
        <f>IF($N972="","",IF(Sync!$O972="",0,Sync!$O972))</f>
        <v/>
      </c>
      <c r="V972" t="str">
        <f>IF($N972="","",Sync!$L972)</f>
        <v/>
      </c>
      <c r="W972" t="str">
        <f>IF($N972="","",Sync!$P972)</f>
        <v/>
      </c>
      <c r="AA972" t="str">
        <f>IF($A972="","",IF(COUNTIF($A$6:$A972,$A972)=1,1,0))</f>
        <v/>
      </c>
      <c r="AB972">
        <f>SUM($AA$6:$AA972)</f>
        <v>3</v>
      </c>
      <c r="AC972" t="str">
        <f t="shared" si="111"/>
        <v/>
      </c>
    </row>
    <row r="973" spans="1:29" x14ac:dyDescent="0.2">
      <c r="A973" t="str">
        <f>IF(OR(Entry!$B976="",Entry!$E976="",$E973="نامعتبر"),"",Entry!$E976)</f>
        <v/>
      </c>
      <c r="B973" t="str">
        <f>IF($A973="","",LEFT($E973,4)&amp;MID($E973,6,2)&amp;RIGHT($E973,2)&amp;$F973&amp;"|"&amp;"1"&amp;RIGHT("00000"&amp;968,5))</f>
        <v/>
      </c>
      <c r="C973" t="str">
        <f t="shared" si="105"/>
        <v/>
      </c>
      <c r="D973" t="str">
        <f t="shared" si="106"/>
        <v/>
      </c>
      <c r="E973" t="str">
        <f>IF(Entry!$B976="","",IF(ISNUMBER(Entry!$B976),IF(AND(Entry!$B976&gt;=10000101,Entry!$B976&lt;=99991231),INT(Entry!$B976/10000)&amp;"/"&amp;RIGHT("00"&amp;INT(MOD(Entry!$B976,10000)/100),2)&amp;"/"&amp;RIGHT("00"&amp;MOD(Entry!$B976,100),2),"نامعتبر"),IF(LEN(Entry!$B976)=10,Entry!$B976,"نامعتبر")))</f>
        <v/>
      </c>
      <c r="F973" t="str">
        <f>IF(Entry!$B976="","",IF(Entry!$C976="","0000",IF(AND(ISNUMBER(Entry!$C976),Entry!$C976&gt;=0,Entry!$C976&lt;1),RIGHT("00"&amp;HOUR(Entry!$C976),2)&amp;RIGHT("00"&amp;MINUTE(Entry!$C976),2),IFERROR(RIGHT("00"&amp;VALUE(LEFT(Entry!$C976,FIND(":",Entry!$C976)-1)),2)&amp;RIGHT("00"&amp;VALUE(MID(Entry!$C976,FIND(":",Entry!$C976)+1,2)),2),"0000"))))</f>
        <v/>
      </c>
      <c r="G973" t="str">
        <f>IF($A973="","",Entry!$G976)</f>
        <v/>
      </c>
      <c r="H973" t="str">
        <f>IF($A973="","",IF(Entry!$H976="",0,Entry!$H976))</f>
        <v/>
      </c>
      <c r="I973" t="str">
        <f>IF($A973="","",IF(Entry!$I976="",0,Entry!$I976))</f>
        <v/>
      </c>
      <c r="J973" t="str">
        <f t="shared" si="107"/>
        <v/>
      </c>
      <c r="K973" t="str">
        <f>IF($A973="","",Entry!$D976)</f>
        <v/>
      </c>
      <c r="L973" t="str">
        <f>IF($A973="","",Entry!$L976)</f>
        <v/>
      </c>
      <c r="N973" t="str">
        <f>IF(OR(Sync!$M973="",$Q973="",$Q973="نامعتبر"),"",Sync!$M973)</f>
        <v/>
      </c>
      <c r="O973" t="str">
        <f t="shared" si="108"/>
        <v/>
      </c>
      <c r="P973" t="str">
        <f>IF($N973="","",LEFT($Q973,4)&amp;MID($Q973,6,2)&amp;RIGHT($Q973,2)&amp;IF(Sync!$K973="","0000",IF(AND(ISNUMBER(Sync!$K973),Sync!$K973&gt;=0,Sync!$K973&lt;1),RIGHT("00"&amp;HOUR(Sync!$K973),2)&amp;RIGHT("00"&amp;MINUTE(Sync!$K973),2),IFERROR(RIGHT("00"&amp;VALUE(LEFT(Sync!$K973,FIND(":",Sync!$K973)-1)),2)&amp;RIGHT("00"&amp;VALUE(MID(Sync!$K973,FIND(":",Sync!$K973)+1,2)),2),"0000")))&amp;"|"&amp;"2"&amp;RIGHT("00000"&amp;968,5))</f>
        <v/>
      </c>
      <c r="Q973" t="str">
        <f>IF(Sync!$J973="","",IF(ISNUMBER(Sync!$J973),IF(AND(Sync!$J973&gt;=10000101,Sync!$J973&lt;=99991231),INT(Sync!$J973/10000)&amp;"/"&amp;RIGHT("00"&amp;INT(MOD(Sync!$J973,10000)/100),2)&amp;"/"&amp;RIGHT("00"&amp;MOD(Sync!$J973,100),2),"نامعتبر"),IF(LEN(Sync!$J973)=10,Sync!$J973,"نامعتبر")))</f>
        <v/>
      </c>
      <c r="R973" t="str">
        <f t="shared" si="109"/>
        <v/>
      </c>
      <c r="S973" t="str">
        <f t="shared" si="110"/>
        <v/>
      </c>
      <c r="T973" t="str">
        <f>IF($N973="","",IF(Sync!$N973="",0,Sync!$N973))</f>
        <v/>
      </c>
      <c r="U973" t="str">
        <f>IF($N973="","",IF(Sync!$O973="",0,Sync!$O973))</f>
        <v/>
      </c>
      <c r="V973" t="str">
        <f>IF($N973="","",Sync!$L973)</f>
        <v/>
      </c>
      <c r="W973" t="str">
        <f>IF($N973="","",Sync!$P973)</f>
        <v/>
      </c>
      <c r="AA973" t="str">
        <f>IF($A973="","",IF(COUNTIF($A$6:$A973,$A973)=1,1,0))</f>
        <v/>
      </c>
      <c r="AB973">
        <f>SUM($AA$6:$AA973)</f>
        <v>3</v>
      </c>
      <c r="AC973" t="str">
        <f t="shared" si="111"/>
        <v/>
      </c>
    </row>
    <row r="974" spans="1:29" x14ac:dyDescent="0.2">
      <c r="A974" t="str">
        <f>IF(OR(Entry!$B977="",Entry!$E977="",$E974="نامعتبر"),"",Entry!$E977)</f>
        <v/>
      </c>
      <c r="B974" t="str">
        <f>IF($A974="","",LEFT($E974,4)&amp;MID($E974,6,2)&amp;RIGHT($E974,2)&amp;$F974&amp;"|"&amp;"1"&amp;RIGHT("00000"&amp;969,5))</f>
        <v/>
      </c>
      <c r="C974" t="str">
        <f t="shared" si="105"/>
        <v/>
      </c>
      <c r="D974" t="str">
        <f t="shared" si="106"/>
        <v/>
      </c>
      <c r="E974" t="str">
        <f>IF(Entry!$B977="","",IF(ISNUMBER(Entry!$B977),IF(AND(Entry!$B977&gt;=10000101,Entry!$B977&lt;=99991231),INT(Entry!$B977/10000)&amp;"/"&amp;RIGHT("00"&amp;INT(MOD(Entry!$B977,10000)/100),2)&amp;"/"&amp;RIGHT("00"&amp;MOD(Entry!$B977,100),2),"نامعتبر"),IF(LEN(Entry!$B977)=10,Entry!$B977,"نامعتبر")))</f>
        <v/>
      </c>
      <c r="F974" t="str">
        <f>IF(Entry!$B977="","",IF(Entry!$C977="","0000",IF(AND(ISNUMBER(Entry!$C977),Entry!$C977&gt;=0,Entry!$C977&lt;1),RIGHT("00"&amp;HOUR(Entry!$C977),2)&amp;RIGHT("00"&amp;MINUTE(Entry!$C977),2),IFERROR(RIGHT("00"&amp;VALUE(LEFT(Entry!$C977,FIND(":",Entry!$C977)-1)),2)&amp;RIGHT("00"&amp;VALUE(MID(Entry!$C977,FIND(":",Entry!$C977)+1,2)),2),"0000"))))</f>
        <v/>
      </c>
      <c r="G974" t="str">
        <f>IF($A974="","",Entry!$G977)</f>
        <v/>
      </c>
      <c r="H974" t="str">
        <f>IF($A974="","",IF(Entry!$H977="",0,Entry!$H977))</f>
        <v/>
      </c>
      <c r="I974" t="str">
        <f>IF($A974="","",IF(Entry!$I977="",0,Entry!$I977))</f>
        <v/>
      </c>
      <c r="J974" t="str">
        <f t="shared" si="107"/>
        <v/>
      </c>
      <c r="K974" t="str">
        <f>IF($A974="","",Entry!$D977)</f>
        <v/>
      </c>
      <c r="L974" t="str">
        <f>IF($A974="","",Entry!$L977)</f>
        <v/>
      </c>
      <c r="N974" t="str">
        <f>IF(OR(Sync!$M974="",$Q974="",$Q974="نامعتبر"),"",Sync!$M974)</f>
        <v/>
      </c>
      <c r="O974" t="str">
        <f t="shared" si="108"/>
        <v/>
      </c>
      <c r="P974" t="str">
        <f>IF($N974="","",LEFT($Q974,4)&amp;MID($Q974,6,2)&amp;RIGHT($Q974,2)&amp;IF(Sync!$K974="","0000",IF(AND(ISNUMBER(Sync!$K974),Sync!$K974&gt;=0,Sync!$K974&lt;1),RIGHT("00"&amp;HOUR(Sync!$K974),2)&amp;RIGHT("00"&amp;MINUTE(Sync!$K974),2),IFERROR(RIGHT("00"&amp;VALUE(LEFT(Sync!$K974,FIND(":",Sync!$K974)-1)),2)&amp;RIGHT("00"&amp;VALUE(MID(Sync!$K974,FIND(":",Sync!$K974)+1,2)),2),"0000")))&amp;"|"&amp;"2"&amp;RIGHT("00000"&amp;969,5))</f>
        <v/>
      </c>
      <c r="Q974" t="str">
        <f>IF(Sync!$J974="","",IF(ISNUMBER(Sync!$J974),IF(AND(Sync!$J974&gt;=10000101,Sync!$J974&lt;=99991231),INT(Sync!$J974/10000)&amp;"/"&amp;RIGHT("00"&amp;INT(MOD(Sync!$J974,10000)/100),2)&amp;"/"&amp;RIGHT("00"&amp;MOD(Sync!$J974,100),2),"نامعتبر"),IF(LEN(Sync!$J974)=10,Sync!$J974,"نامعتبر")))</f>
        <v/>
      </c>
      <c r="R974" t="str">
        <f t="shared" si="109"/>
        <v/>
      </c>
      <c r="S974" t="str">
        <f t="shared" si="110"/>
        <v/>
      </c>
      <c r="T974" t="str">
        <f>IF($N974="","",IF(Sync!$N974="",0,Sync!$N974))</f>
        <v/>
      </c>
      <c r="U974" t="str">
        <f>IF($N974="","",IF(Sync!$O974="",0,Sync!$O974))</f>
        <v/>
      </c>
      <c r="V974" t="str">
        <f>IF($N974="","",Sync!$L974)</f>
        <v/>
      </c>
      <c r="W974" t="str">
        <f>IF($N974="","",Sync!$P974)</f>
        <v/>
      </c>
      <c r="AA974" t="str">
        <f>IF($A974="","",IF(COUNTIF($A$6:$A974,$A974)=1,1,0))</f>
        <v/>
      </c>
      <c r="AB974">
        <f>SUM($AA$6:$AA974)</f>
        <v>3</v>
      </c>
      <c r="AC974" t="str">
        <f t="shared" si="111"/>
        <v/>
      </c>
    </row>
    <row r="975" spans="1:29" x14ac:dyDescent="0.2">
      <c r="A975" t="str">
        <f>IF(OR(Entry!$B978="",Entry!$E978="",$E975="نامعتبر"),"",Entry!$E978)</f>
        <v/>
      </c>
      <c r="B975" t="str">
        <f>IF($A975="","",LEFT($E975,4)&amp;MID($E975,6,2)&amp;RIGHT($E975,2)&amp;$F975&amp;"|"&amp;"1"&amp;RIGHT("00000"&amp;970,5))</f>
        <v/>
      </c>
      <c r="C975" t="str">
        <f t="shared" si="105"/>
        <v/>
      </c>
      <c r="D975" t="str">
        <f t="shared" si="106"/>
        <v/>
      </c>
      <c r="E975" t="str">
        <f>IF(Entry!$B978="","",IF(ISNUMBER(Entry!$B978),IF(AND(Entry!$B978&gt;=10000101,Entry!$B978&lt;=99991231),INT(Entry!$B978/10000)&amp;"/"&amp;RIGHT("00"&amp;INT(MOD(Entry!$B978,10000)/100),2)&amp;"/"&amp;RIGHT("00"&amp;MOD(Entry!$B978,100),2),"نامعتبر"),IF(LEN(Entry!$B978)=10,Entry!$B978,"نامعتبر")))</f>
        <v/>
      </c>
      <c r="F975" t="str">
        <f>IF(Entry!$B978="","",IF(Entry!$C978="","0000",IF(AND(ISNUMBER(Entry!$C978),Entry!$C978&gt;=0,Entry!$C978&lt;1),RIGHT("00"&amp;HOUR(Entry!$C978),2)&amp;RIGHT("00"&amp;MINUTE(Entry!$C978),2),IFERROR(RIGHT("00"&amp;VALUE(LEFT(Entry!$C978,FIND(":",Entry!$C978)-1)),2)&amp;RIGHT("00"&amp;VALUE(MID(Entry!$C978,FIND(":",Entry!$C978)+1,2)),2),"0000"))))</f>
        <v/>
      </c>
      <c r="G975" t="str">
        <f>IF($A975="","",Entry!$G978)</f>
        <v/>
      </c>
      <c r="H975" t="str">
        <f>IF($A975="","",IF(Entry!$H978="",0,Entry!$H978))</f>
        <v/>
      </c>
      <c r="I975" t="str">
        <f>IF($A975="","",IF(Entry!$I978="",0,Entry!$I978))</f>
        <v/>
      </c>
      <c r="J975" t="str">
        <f t="shared" si="107"/>
        <v/>
      </c>
      <c r="K975" t="str">
        <f>IF($A975="","",Entry!$D978)</f>
        <v/>
      </c>
      <c r="L975" t="str">
        <f>IF($A975="","",Entry!$L978)</f>
        <v/>
      </c>
      <c r="N975" t="str">
        <f>IF(OR(Sync!$M975="",$Q975="",$Q975="نامعتبر"),"",Sync!$M975)</f>
        <v/>
      </c>
      <c r="O975" t="str">
        <f t="shared" si="108"/>
        <v/>
      </c>
      <c r="P975" t="str">
        <f>IF($N975="","",LEFT($Q975,4)&amp;MID($Q975,6,2)&amp;RIGHT($Q975,2)&amp;IF(Sync!$K975="","0000",IF(AND(ISNUMBER(Sync!$K975),Sync!$K975&gt;=0,Sync!$K975&lt;1),RIGHT("00"&amp;HOUR(Sync!$K975),2)&amp;RIGHT("00"&amp;MINUTE(Sync!$K975),2),IFERROR(RIGHT("00"&amp;VALUE(LEFT(Sync!$K975,FIND(":",Sync!$K975)-1)),2)&amp;RIGHT("00"&amp;VALUE(MID(Sync!$K975,FIND(":",Sync!$K975)+1,2)),2),"0000")))&amp;"|"&amp;"2"&amp;RIGHT("00000"&amp;970,5))</f>
        <v/>
      </c>
      <c r="Q975" t="str">
        <f>IF(Sync!$J975="","",IF(ISNUMBER(Sync!$J975),IF(AND(Sync!$J975&gt;=10000101,Sync!$J975&lt;=99991231),INT(Sync!$J975/10000)&amp;"/"&amp;RIGHT("00"&amp;INT(MOD(Sync!$J975,10000)/100),2)&amp;"/"&amp;RIGHT("00"&amp;MOD(Sync!$J975,100),2),"نامعتبر"),IF(LEN(Sync!$J975)=10,Sync!$J975,"نامعتبر")))</f>
        <v/>
      </c>
      <c r="R975" t="str">
        <f t="shared" si="109"/>
        <v/>
      </c>
      <c r="S975" t="str">
        <f t="shared" si="110"/>
        <v/>
      </c>
      <c r="T975" t="str">
        <f>IF($N975="","",IF(Sync!$N975="",0,Sync!$N975))</f>
        <v/>
      </c>
      <c r="U975" t="str">
        <f>IF($N975="","",IF(Sync!$O975="",0,Sync!$O975))</f>
        <v/>
      </c>
      <c r="V975" t="str">
        <f>IF($N975="","",Sync!$L975)</f>
        <v/>
      </c>
      <c r="W975" t="str">
        <f>IF($N975="","",Sync!$P975)</f>
        <v/>
      </c>
      <c r="AA975" t="str">
        <f>IF($A975="","",IF(COUNTIF($A$6:$A975,$A975)=1,1,0))</f>
        <v/>
      </c>
      <c r="AB975">
        <f>SUM($AA$6:$AA975)</f>
        <v>3</v>
      </c>
      <c r="AC975" t="str">
        <f t="shared" si="111"/>
        <v/>
      </c>
    </row>
    <row r="976" spans="1:29" x14ac:dyDescent="0.2">
      <c r="A976" t="str">
        <f>IF(OR(Entry!$B979="",Entry!$E979="",$E976="نامعتبر"),"",Entry!$E979)</f>
        <v/>
      </c>
      <c r="B976" t="str">
        <f>IF($A976="","",LEFT($E976,4)&amp;MID($E976,6,2)&amp;RIGHT($E976,2)&amp;$F976&amp;"|"&amp;"1"&amp;RIGHT("00000"&amp;971,5))</f>
        <v/>
      </c>
      <c r="C976" t="str">
        <f t="shared" si="105"/>
        <v/>
      </c>
      <c r="D976" t="str">
        <f t="shared" si="106"/>
        <v/>
      </c>
      <c r="E976" t="str">
        <f>IF(Entry!$B979="","",IF(ISNUMBER(Entry!$B979),IF(AND(Entry!$B979&gt;=10000101,Entry!$B979&lt;=99991231),INT(Entry!$B979/10000)&amp;"/"&amp;RIGHT("00"&amp;INT(MOD(Entry!$B979,10000)/100),2)&amp;"/"&amp;RIGHT("00"&amp;MOD(Entry!$B979,100),2),"نامعتبر"),IF(LEN(Entry!$B979)=10,Entry!$B979,"نامعتبر")))</f>
        <v/>
      </c>
      <c r="F976" t="str">
        <f>IF(Entry!$B979="","",IF(Entry!$C979="","0000",IF(AND(ISNUMBER(Entry!$C979),Entry!$C979&gt;=0,Entry!$C979&lt;1),RIGHT("00"&amp;HOUR(Entry!$C979),2)&amp;RIGHT("00"&amp;MINUTE(Entry!$C979),2),IFERROR(RIGHT("00"&amp;VALUE(LEFT(Entry!$C979,FIND(":",Entry!$C979)-1)),2)&amp;RIGHT("00"&amp;VALUE(MID(Entry!$C979,FIND(":",Entry!$C979)+1,2)),2),"0000"))))</f>
        <v/>
      </c>
      <c r="G976" t="str">
        <f>IF($A976="","",Entry!$G979)</f>
        <v/>
      </c>
      <c r="H976" t="str">
        <f>IF($A976="","",IF(Entry!$H979="",0,Entry!$H979))</f>
        <v/>
      </c>
      <c r="I976" t="str">
        <f>IF($A976="","",IF(Entry!$I979="",0,Entry!$I979))</f>
        <v/>
      </c>
      <c r="J976" t="str">
        <f t="shared" si="107"/>
        <v/>
      </c>
      <c r="K976" t="str">
        <f>IF($A976="","",Entry!$D979)</f>
        <v/>
      </c>
      <c r="L976" t="str">
        <f>IF($A976="","",Entry!$L979)</f>
        <v/>
      </c>
      <c r="N976" t="str">
        <f>IF(OR(Sync!$M976="",$Q976="",$Q976="نامعتبر"),"",Sync!$M976)</f>
        <v/>
      </c>
      <c r="O976" t="str">
        <f t="shared" si="108"/>
        <v/>
      </c>
      <c r="P976" t="str">
        <f>IF($N976="","",LEFT($Q976,4)&amp;MID($Q976,6,2)&amp;RIGHT($Q976,2)&amp;IF(Sync!$K976="","0000",IF(AND(ISNUMBER(Sync!$K976),Sync!$K976&gt;=0,Sync!$K976&lt;1),RIGHT("00"&amp;HOUR(Sync!$K976),2)&amp;RIGHT("00"&amp;MINUTE(Sync!$K976),2),IFERROR(RIGHT("00"&amp;VALUE(LEFT(Sync!$K976,FIND(":",Sync!$K976)-1)),2)&amp;RIGHT("00"&amp;VALUE(MID(Sync!$K976,FIND(":",Sync!$K976)+1,2)),2),"0000")))&amp;"|"&amp;"2"&amp;RIGHT("00000"&amp;971,5))</f>
        <v/>
      </c>
      <c r="Q976" t="str">
        <f>IF(Sync!$J976="","",IF(ISNUMBER(Sync!$J976),IF(AND(Sync!$J976&gt;=10000101,Sync!$J976&lt;=99991231),INT(Sync!$J976/10000)&amp;"/"&amp;RIGHT("00"&amp;INT(MOD(Sync!$J976,10000)/100),2)&amp;"/"&amp;RIGHT("00"&amp;MOD(Sync!$J976,100),2),"نامعتبر"),IF(LEN(Sync!$J976)=10,Sync!$J976,"نامعتبر")))</f>
        <v/>
      </c>
      <c r="R976" t="str">
        <f t="shared" si="109"/>
        <v/>
      </c>
      <c r="S976" t="str">
        <f t="shared" si="110"/>
        <v/>
      </c>
      <c r="T976" t="str">
        <f>IF($N976="","",IF(Sync!$N976="",0,Sync!$N976))</f>
        <v/>
      </c>
      <c r="U976" t="str">
        <f>IF($N976="","",IF(Sync!$O976="",0,Sync!$O976))</f>
        <v/>
      </c>
      <c r="V976" t="str">
        <f>IF($N976="","",Sync!$L976)</f>
        <v/>
      </c>
      <c r="W976" t="str">
        <f>IF($N976="","",Sync!$P976)</f>
        <v/>
      </c>
      <c r="AA976" t="str">
        <f>IF($A976="","",IF(COUNTIF($A$6:$A976,$A976)=1,1,0))</f>
        <v/>
      </c>
      <c r="AB976">
        <f>SUM($AA$6:$AA976)</f>
        <v>3</v>
      </c>
      <c r="AC976" t="str">
        <f t="shared" si="111"/>
        <v/>
      </c>
    </row>
    <row r="977" spans="1:29" x14ac:dyDescent="0.2">
      <c r="A977" t="str">
        <f>IF(OR(Entry!$B980="",Entry!$E980="",$E977="نامعتبر"),"",Entry!$E980)</f>
        <v/>
      </c>
      <c r="B977" t="str">
        <f>IF($A977="","",LEFT($E977,4)&amp;MID($E977,6,2)&amp;RIGHT($E977,2)&amp;$F977&amp;"|"&amp;"1"&amp;RIGHT("00000"&amp;972,5))</f>
        <v/>
      </c>
      <c r="C977" t="str">
        <f t="shared" si="105"/>
        <v/>
      </c>
      <c r="D977" t="str">
        <f t="shared" si="106"/>
        <v/>
      </c>
      <c r="E977" t="str">
        <f>IF(Entry!$B980="","",IF(ISNUMBER(Entry!$B980),IF(AND(Entry!$B980&gt;=10000101,Entry!$B980&lt;=99991231),INT(Entry!$B980/10000)&amp;"/"&amp;RIGHT("00"&amp;INT(MOD(Entry!$B980,10000)/100),2)&amp;"/"&amp;RIGHT("00"&amp;MOD(Entry!$B980,100),2),"نامعتبر"),IF(LEN(Entry!$B980)=10,Entry!$B980,"نامعتبر")))</f>
        <v/>
      </c>
      <c r="F977" t="str">
        <f>IF(Entry!$B980="","",IF(Entry!$C980="","0000",IF(AND(ISNUMBER(Entry!$C980),Entry!$C980&gt;=0,Entry!$C980&lt;1),RIGHT("00"&amp;HOUR(Entry!$C980),2)&amp;RIGHT("00"&amp;MINUTE(Entry!$C980),2),IFERROR(RIGHT("00"&amp;VALUE(LEFT(Entry!$C980,FIND(":",Entry!$C980)-1)),2)&amp;RIGHT("00"&amp;VALUE(MID(Entry!$C980,FIND(":",Entry!$C980)+1,2)),2),"0000"))))</f>
        <v/>
      </c>
      <c r="G977" t="str">
        <f>IF($A977="","",Entry!$G980)</f>
        <v/>
      </c>
      <c r="H977" t="str">
        <f>IF($A977="","",IF(Entry!$H980="",0,Entry!$H980))</f>
        <v/>
      </c>
      <c r="I977" t="str">
        <f>IF($A977="","",IF(Entry!$I980="",0,Entry!$I980))</f>
        <v/>
      </c>
      <c r="J977" t="str">
        <f t="shared" si="107"/>
        <v/>
      </c>
      <c r="K977" t="str">
        <f>IF($A977="","",Entry!$D980)</f>
        <v/>
      </c>
      <c r="L977" t="str">
        <f>IF($A977="","",Entry!$L980)</f>
        <v/>
      </c>
      <c r="N977" t="str">
        <f>IF(OR(Sync!$M977="",$Q977="",$Q977="نامعتبر"),"",Sync!$M977)</f>
        <v/>
      </c>
      <c r="O977" t="str">
        <f t="shared" si="108"/>
        <v/>
      </c>
      <c r="P977" t="str">
        <f>IF($N977="","",LEFT($Q977,4)&amp;MID($Q977,6,2)&amp;RIGHT($Q977,2)&amp;IF(Sync!$K977="","0000",IF(AND(ISNUMBER(Sync!$K977),Sync!$K977&gt;=0,Sync!$K977&lt;1),RIGHT("00"&amp;HOUR(Sync!$K977),2)&amp;RIGHT("00"&amp;MINUTE(Sync!$K977),2),IFERROR(RIGHT("00"&amp;VALUE(LEFT(Sync!$K977,FIND(":",Sync!$K977)-1)),2)&amp;RIGHT("00"&amp;VALUE(MID(Sync!$K977,FIND(":",Sync!$K977)+1,2)),2),"0000")))&amp;"|"&amp;"2"&amp;RIGHT("00000"&amp;972,5))</f>
        <v/>
      </c>
      <c r="Q977" t="str">
        <f>IF(Sync!$J977="","",IF(ISNUMBER(Sync!$J977),IF(AND(Sync!$J977&gt;=10000101,Sync!$J977&lt;=99991231),INT(Sync!$J977/10000)&amp;"/"&amp;RIGHT("00"&amp;INT(MOD(Sync!$J977,10000)/100),2)&amp;"/"&amp;RIGHT("00"&amp;MOD(Sync!$J977,100),2),"نامعتبر"),IF(LEN(Sync!$J977)=10,Sync!$J977,"نامعتبر")))</f>
        <v/>
      </c>
      <c r="R977" t="str">
        <f t="shared" si="109"/>
        <v/>
      </c>
      <c r="S977" t="str">
        <f t="shared" si="110"/>
        <v/>
      </c>
      <c r="T977" t="str">
        <f>IF($N977="","",IF(Sync!$N977="",0,Sync!$N977))</f>
        <v/>
      </c>
      <c r="U977" t="str">
        <f>IF($N977="","",IF(Sync!$O977="",0,Sync!$O977))</f>
        <v/>
      </c>
      <c r="V977" t="str">
        <f>IF($N977="","",Sync!$L977)</f>
        <v/>
      </c>
      <c r="W977" t="str">
        <f>IF($N977="","",Sync!$P977)</f>
        <v/>
      </c>
      <c r="AA977" t="str">
        <f>IF($A977="","",IF(COUNTIF($A$6:$A977,$A977)=1,1,0))</f>
        <v/>
      </c>
      <c r="AB977">
        <f>SUM($AA$6:$AA977)</f>
        <v>3</v>
      </c>
      <c r="AC977" t="str">
        <f t="shared" si="111"/>
        <v/>
      </c>
    </row>
    <row r="978" spans="1:29" x14ac:dyDescent="0.2">
      <c r="A978" t="str">
        <f>IF(OR(Entry!$B981="",Entry!$E981="",$E978="نامعتبر"),"",Entry!$E981)</f>
        <v/>
      </c>
      <c r="B978" t="str">
        <f>IF($A978="","",LEFT($E978,4)&amp;MID($E978,6,2)&amp;RIGHT($E978,2)&amp;$F978&amp;"|"&amp;"1"&amp;RIGHT("00000"&amp;973,5))</f>
        <v/>
      </c>
      <c r="C978" t="str">
        <f t="shared" si="105"/>
        <v/>
      </c>
      <c r="D978" t="str">
        <f t="shared" si="106"/>
        <v/>
      </c>
      <c r="E978" t="str">
        <f>IF(Entry!$B981="","",IF(ISNUMBER(Entry!$B981),IF(AND(Entry!$B981&gt;=10000101,Entry!$B981&lt;=99991231),INT(Entry!$B981/10000)&amp;"/"&amp;RIGHT("00"&amp;INT(MOD(Entry!$B981,10000)/100),2)&amp;"/"&amp;RIGHT("00"&amp;MOD(Entry!$B981,100),2),"نامعتبر"),IF(LEN(Entry!$B981)=10,Entry!$B981,"نامعتبر")))</f>
        <v/>
      </c>
      <c r="F978" t="str">
        <f>IF(Entry!$B981="","",IF(Entry!$C981="","0000",IF(AND(ISNUMBER(Entry!$C981),Entry!$C981&gt;=0,Entry!$C981&lt;1),RIGHT("00"&amp;HOUR(Entry!$C981),2)&amp;RIGHT("00"&amp;MINUTE(Entry!$C981),2),IFERROR(RIGHT("00"&amp;VALUE(LEFT(Entry!$C981,FIND(":",Entry!$C981)-1)),2)&amp;RIGHT("00"&amp;VALUE(MID(Entry!$C981,FIND(":",Entry!$C981)+1,2)),2),"0000"))))</f>
        <v/>
      </c>
      <c r="G978" t="str">
        <f>IF($A978="","",Entry!$G981)</f>
        <v/>
      </c>
      <c r="H978" t="str">
        <f>IF($A978="","",IF(Entry!$H981="",0,Entry!$H981))</f>
        <v/>
      </c>
      <c r="I978" t="str">
        <f>IF($A978="","",IF(Entry!$I981="",0,Entry!$I981))</f>
        <v/>
      </c>
      <c r="J978" t="str">
        <f t="shared" si="107"/>
        <v/>
      </c>
      <c r="K978" t="str">
        <f>IF($A978="","",Entry!$D981)</f>
        <v/>
      </c>
      <c r="L978" t="str">
        <f>IF($A978="","",Entry!$L981)</f>
        <v/>
      </c>
      <c r="N978" t="str">
        <f>IF(OR(Sync!$M978="",$Q978="",$Q978="نامعتبر"),"",Sync!$M978)</f>
        <v/>
      </c>
      <c r="O978" t="str">
        <f t="shared" si="108"/>
        <v/>
      </c>
      <c r="P978" t="str">
        <f>IF($N978="","",LEFT($Q978,4)&amp;MID($Q978,6,2)&amp;RIGHT($Q978,2)&amp;IF(Sync!$K978="","0000",IF(AND(ISNUMBER(Sync!$K978),Sync!$K978&gt;=0,Sync!$K978&lt;1),RIGHT("00"&amp;HOUR(Sync!$K978),2)&amp;RIGHT("00"&amp;MINUTE(Sync!$K978),2),IFERROR(RIGHT("00"&amp;VALUE(LEFT(Sync!$K978,FIND(":",Sync!$K978)-1)),2)&amp;RIGHT("00"&amp;VALUE(MID(Sync!$K978,FIND(":",Sync!$K978)+1,2)),2),"0000")))&amp;"|"&amp;"2"&amp;RIGHT("00000"&amp;973,5))</f>
        <v/>
      </c>
      <c r="Q978" t="str">
        <f>IF(Sync!$J978="","",IF(ISNUMBER(Sync!$J978),IF(AND(Sync!$J978&gt;=10000101,Sync!$J978&lt;=99991231),INT(Sync!$J978/10000)&amp;"/"&amp;RIGHT("00"&amp;INT(MOD(Sync!$J978,10000)/100),2)&amp;"/"&amp;RIGHT("00"&amp;MOD(Sync!$J978,100),2),"نامعتبر"),IF(LEN(Sync!$J978)=10,Sync!$J978,"نامعتبر")))</f>
        <v/>
      </c>
      <c r="R978" t="str">
        <f t="shared" si="109"/>
        <v/>
      </c>
      <c r="S978" t="str">
        <f t="shared" si="110"/>
        <v/>
      </c>
      <c r="T978" t="str">
        <f>IF($N978="","",IF(Sync!$N978="",0,Sync!$N978))</f>
        <v/>
      </c>
      <c r="U978" t="str">
        <f>IF($N978="","",IF(Sync!$O978="",0,Sync!$O978))</f>
        <v/>
      </c>
      <c r="V978" t="str">
        <f>IF($N978="","",Sync!$L978)</f>
        <v/>
      </c>
      <c r="W978" t="str">
        <f>IF($N978="","",Sync!$P978)</f>
        <v/>
      </c>
      <c r="AA978" t="str">
        <f>IF($A978="","",IF(COUNTIF($A$6:$A978,$A978)=1,1,0))</f>
        <v/>
      </c>
      <c r="AB978">
        <f>SUM($AA$6:$AA978)</f>
        <v>3</v>
      </c>
      <c r="AC978" t="str">
        <f t="shared" si="111"/>
        <v/>
      </c>
    </row>
    <row r="979" spans="1:29" x14ac:dyDescent="0.2">
      <c r="A979" t="str">
        <f>IF(OR(Entry!$B982="",Entry!$E982="",$E979="نامعتبر"),"",Entry!$E982)</f>
        <v/>
      </c>
      <c r="B979" t="str">
        <f>IF($A979="","",LEFT($E979,4)&amp;MID($E979,6,2)&amp;RIGHT($E979,2)&amp;$F979&amp;"|"&amp;"1"&amp;RIGHT("00000"&amp;974,5))</f>
        <v/>
      </c>
      <c r="C979" t="str">
        <f t="shared" si="105"/>
        <v/>
      </c>
      <c r="D979" t="str">
        <f t="shared" si="106"/>
        <v/>
      </c>
      <c r="E979" t="str">
        <f>IF(Entry!$B982="","",IF(ISNUMBER(Entry!$B982),IF(AND(Entry!$B982&gt;=10000101,Entry!$B982&lt;=99991231),INT(Entry!$B982/10000)&amp;"/"&amp;RIGHT("00"&amp;INT(MOD(Entry!$B982,10000)/100),2)&amp;"/"&amp;RIGHT("00"&amp;MOD(Entry!$B982,100),2),"نامعتبر"),IF(LEN(Entry!$B982)=10,Entry!$B982,"نامعتبر")))</f>
        <v/>
      </c>
      <c r="F979" t="str">
        <f>IF(Entry!$B982="","",IF(Entry!$C982="","0000",IF(AND(ISNUMBER(Entry!$C982),Entry!$C982&gt;=0,Entry!$C982&lt;1),RIGHT("00"&amp;HOUR(Entry!$C982),2)&amp;RIGHT("00"&amp;MINUTE(Entry!$C982),2),IFERROR(RIGHT("00"&amp;VALUE(LEFT(Entry!$C982,FIND(":",Entry!$C982)-1)),2)&amp;RIGHT("00"&amp;VALUE(MID(Entry!$C982,FIND(":",Entry!$C982)+1,2)),2),"0000"))))</f>
        <v/>
      </c>
      <c r="G979" t="str">
        <f>IF($A979="","",Entry!$G982)</f>
        <v/>
      </c>
      <c r="H979" t="str">
        <f>IF($A979="","",IF(Entry!$H982="",0,Entry!$H982))</f>
        <v/>
      </c>
      <c r="I979" t="str">
        <f>IF($A979="","",IF(Entry!$I982="",0,Entry!$I982))</f>
        <v/>
      </c>
      <c r="J979" t="str">
        <f t="shared" si="107"/>
        <v/>
      </c>
      <c r="K979" t="str">
        <f>IF($A979="","",Entry!$D982)</f>
        <v/>
      </c>
      <c r="L979" t="str">
        <f>IF($A979="","",Entry!$L982)</f>
        <v/>
      </c>
      <c r="N979" t="str">
        <f>IF(OR(Sync!$M979="",$Q979="",$Q979="نامعتبر"),"",Sync!$M979)</f>
        <v/>
      </c>
      <c r="O979" t="str">
        <f t="shared" si="108"/>
        <v/>
      </c>
      <c r="P979" t="str">
        <f>IF($N979="","",LEFT($Q979,4)&amp;MID($Q979,6,2)&amp;RIGHT($Q979,2)&amp;IF(Sync!$K979="","0000",IF(AND(ISNUMBER(Sync!$K979),Sync!$K979&gt;=0,Sync!$K979&lt;1),RIGHT("00"&amp;HOUR(Sync!$K979),2)&amp;RIGHT("00"&amp;MINUTE(Sync!$K979),2),IFERROR(RIGHT("00"&amp;VALUE(LEFT(Sync!$K979,FIND(":",Sync!$K979)-1)),2)&amp;RIGHT("00"&amp;VALUE(MID(Sync!$K979,FIND(":",Sync!$K979)+1,2)),2),"0000")))&amp;"|"&amp;"2"&amp;RIGHT("00000"&amp;974,5))</f>
        <v/>
      </c>
      <c r="Q979" t="str">
        <f>IF(Sync!$J979="","",IF(ISNUMBER(Sync!$J979),IF(AND(Sync!$J979&gt;=10000101,Sync!$J979&lt;=99991231),INT(Sync!$J979/10000)&amp;"/"&amp;RIGHT("00"&amp;INT(MOD(Sync!$J979,10000)/100),2)&amp;"/"&amp;RIGHT("00"&amp;MOD(Sync!$J979,100),2),"نامعتبر"),IF(LEN(Sync!$J979)=10,Sync!$J979,"نامعتبر")))</f>
        <v/>
      </c>
      <c r="R979" t="str">
        <f t="shared" si="109"/>
        <v/>
      </c>
      <c r="S979" t="str">
        <f t="shared" si="110"/>
        <v/>
      </c>
      <c r="T979" t="str">
        <f>IF($N979="","",IF(Sync!$N979="",0,Sync!$N979))</f>
        <v/>
      </c>
      <c r="U979" t="str">
        <f>IF($N979="","",IF(Sync!$O979="",0,Sync!$O979))</f>
        <v/>
      </c>
      <c r="V979" t="str">
        <f>IF($N979="","",Sync!$L979)</f>
        <v/>
      </c>
      <c r="W979" t="str">
        <f>IF($N979="","",Sync!$P979)</f>
        <v/>
      </c>
      <c r="AA979" t="str">
        <f>IF($A979="","",IF(COUNTIF($A$6:$A979,$A979)=1,1,0))</f>
        <v/>
      </c>
      <c r="AB979">
        <f>SUM($AA$6:$AA979)</f>
        <v>3</v>
      </c>
      <c r="AC979" t="str">
        <f t="shared" si="111"/>
        <v/>
      </c>
    </row>
    <row r="980" spans="1:29" x14ac:dyDescent="0.2">
      <c r="A980" t="str">
        <f>IF(OR(Entry!$B983="",Entry!$E983="",$E980="نامعتبر"),"",Entry!$E983)</f>
        <v/>
      </c>
      <c r="B980" t="str">
        <f>IF($A980="","",LEFT($E980,4)&amp;MID($E980,6,2)&amp;RIGHT($E980,2)&amp;$F980&amp;"|"&amp;"1"&amp;RIGHT("00000"&amp;975,5))</f>
        <v/>
      </c>
      <c r="C980" t="str">
        <f t="shared" si="105"/>
        <v/>
      </c>
      <c r="D980" t="str">
        <f t="shared" si="106"/>
        <v/>
      </c>
      <c r="E980" t="str">
        <f>IF(Entry!$B983="","",IF(ISNUMBER(Entry!$B983),IF(AND(Entry!$B983&gt;=10000101,Entry!$B983&lt;=99991231),INT(Entry!$B983/10000)&amp;"/"&amp;RIGHT("00"&amp;INT(MOD(Entry!$B983,10000)/100),2)&amp;"/"&amp;RIGHT("00"&amp;MOD(Entry!$B983,100),2),"نامعتبر"),IF(LEN(Entry!$B983)=10,Entry!$B983,"نامعتبر")))</f>
        <v/>
      </c>
      <c r="F980" t="str">
        <f>IF(Entry!$B983="","",IF(Entry!$C983="","0000",IF(AND(ISNUMBER(Entry!$C983),Entry!$C983&gt;=0,Entry!$C983&lt;1),RIGHT("00"&amp;HOUR(Entry!$C983),2)&amp;RIGHT("00"&amp;MINUTE(Entry!$C983),2),IFERROR(RIGHT("00"&amp;VALUE(LEFT(Entry!$C983,FIND(":",Entry!$C983)-1)),2)&amp;RIGHT("00"&amp;VALUE(MID(Entry!$C983,FIND(":",Entry!$C983)+1,2)),2),"0000"))))</f>
        <v/>
      </c>
      <c r="G980" t="str">
        <f>IF($A980="","",Entry!$G983)</f>
        <v/>
      </c>
      <c r="H980" t="str">
        <f>IF($A980="","",IF(Entry!$H983="",0,Entry!$H983))</f>
        <v/>
      </c>
      <c r="I980" t="str">
        <f>IF($A980="","",IF(Entry!$I983="",0,Entry!$I983))</f>
        <v/>
      </c>
      <c r="J980" t="str">
        <f t="shared" si="107"/>
        <v/>
      </c>
      <c r="K980" t="str">
        <f>IF($A980="","",Entry!$D983)</f>
        <v/>
      </c>
      <c r="L980" t="str">
        <f>IF($A980="","",Entry!$L983)</f>
        <v/>
      </c>
      <c r="N980" t="str">
        <f>IF(OR(Sync!$M980="",$Q980="",$Q980="نامعتبر"),"",Sync!$M980)</f>
        <v/>
      </c>
      <c r="O980" t="str">
        <f t="shared" si="108"/>
        <v/>
      </c>
      <c r="P980" t="str">
        <f>IF($N980="","",LEFT($Q980,4)&amp;MID($Q980,6,2)&amp;RIGHT($Q980,2)&amp;IF(Sync!$K980="","0000",IF(AND(ISNUMBER(Sync!$K980),Sync!$K980&gt;=0,Sync!$K980&lt;1),RIGHT("00"&amp;HOUR(Sync!$K980),2)&amp;RIGHT("00"&amp;MINUTE(Sync!$K980),2),IFERROR(RIGHT("00"&amp;VALUE(LEFT(Sync!$K980,FIND(":",Sync!$K980)-1)),2)&amp;RIGHT("00"&amp;VALUE(MID(Sync!$K980,FIND(":",Sync!$K980)+1,2)),2),"0000")))&amp;"|"&amp;"2"&amp;RIGHT("00000"&amp;975,5))</f>
        <v/>
      </c>
      <c r="Q980" t="str">
        <f>IF(Sync!$J980="","",IF(ISNUMBER(Sync!$J980),IF(AND(Sync!$J980&gt;=10000101,Sync!$J980&lt;=99991231),INT(Sync!$J980/10000)&amp;"/"&amp;RIGHT("00"&amp;INT(MOD(Sync!$J980,10000)/100),2)&amp;"/"&amp;RIGHT("00"&amp;MOD(Sync!$J980,100),2),"نامعتبر"),IF(LEN(Sync!$J980)=10,Sync!$J980,"نامعتبر")))</f>
        <v/>
      </c>
      <c r="R980" t="str">
        <f t="shared" si="109"/>
        <v/>
      </c>
      <c r="S980" t="str">
        <f t="shared" si="110"/>
        <v/>
      </c>
      <c r="T980" t="str">
        <f>IF($N980="","",IF(Sync!$N980="",0,Sync!$N980))</f>
        <v/>
      </c>
      <c r="U980" t="str">
        <f>IF($N980="","",IF(Sync!$O980="",0,Sync!$O980))</f>
        <v/>
      </c>
      <c r="V980" t="str">
        <f>IF($N980="","",Sync!$L980)</f>
        <v/>
      </c>
      <c r="W980" t="str">
        <f>IF($N980="","",Sync!$P980)</f>
        <v/>
      </c>
      <c r="AA980" t="str">
        <f>IF($A980="","",IF(COUNTIF($A$6:$A980,$A980)=1,1,0))</f>
        <v/>
      </c>
      <c r="AB980">
        <f>SUM($AA$6:$AA980)</f>
        <v>3</v>
      </c>
      <c r="AC980" t="str">
        <f t="shared" si="111"/>
        <v/>
      </c>
    </row>
    <row r="981" spans="1:29" x14ac:dyDescent="0.2">
      <c r="A981" t="str">
        <f>IF(OR(Entry!$B984="",Entry!$E984="",$E981="نامعتبر"),"",Entry!$E984)</f>
        <v/>
      </c>
      <c r="B981" t="str">
        <f>IF($A981="","",LEFT($E981,4)&amp;MID($E981,6,2)&amp;RIGHT($E981,2)&amp;$F981&amp;"|"&amp;"1"&amp;RIGHT("00000"&amp;976,5))</f>
        <v/>
      </c>
      <c r="C981" t="str">
        <f t="shared" si="105"/>
        <v/>
      </c>
      <c r="D981" t="str">
        <f t="shared" si="106"/>
        <v/>
      </c>
      <c r="E981" t="str">
        <f>IF(Entry!$B984="","",IF(ISNUMBER(Entry!$B984),IF(AND(Entry!$B984&gt;=10000101,Entry!$B984&lt;=99991231),INT(Entry!$B984/10000)&amp;"/"&amp;RIGHT("00"&amp;INT(MOD(Entry!$B984,10000)/100),2)&amp;"/"&amp;RIGHT("00"&amp;MOD(Entry!$B984,100),2),"نامعتبر"),IF(LEN(Entry!$B984)=10,Entry!$B984,"نامعتبر")))</f>
        <v/>
      </c>
      <c r="F981" t="str">
        <f>IF(Entry!$B984="","",IF(Entry!$C984="","0000",IF(AND(ISNUMBER(Entry!$C984),Entry!$C984&gt;=0,Entry!$C984&lt;1),RIGHT("00"&amp;HOUR(Entry!$C984),2)&amp;RIGHT("00"&amp;MINUTE(Entry!$C984),2),IFERROR(RIGHT("00"&amp;VALUE(LEFT(Entry!$C984,FIND(":",Entry!$C984)-1)),2)&amp;RIGHT("00"&amp;VALUE(MID(Entry!$C984,FIND(":",Entry!$C984)+1,2)),2),"0000"))))</f>
        <v/>
      </c>
      <c r="G981" t="str">
        <f>IF($A981="","",Entry!$G984)</f>
        <v/>
      </c>
      <c r="H981" t="str">
        <f>IF($A981="","",IF(Entry!$H984="",0,Entry!$H984))</f>
        <v/>
      </c>
      <c r="I981" t="str">
        <f>IF($A981="","",IF(Entry!$I984="",0,Entry!$I984))</f>
        <v/>
      </c>
      <c r="J981" t="str">
        <f t="shared" si="107"/>
        <v/>
      </c>
      <c r="K981" t="str">
        <f>IF($A981="","",Entry!$D984)</f>
        <v/>
      </c>
      <c r="L981" t="str">
        <f>IF($A981="","",Entry!$L984)</f>
        <v/>
      </c>
      <c r="N981" t="str">
        <f>IF(OR(Sync!$M981="",$Q981="",$Q981="نامعتبر"),"",Sync!$M981)</f>
        <v/>
      </c>
      <c r="O981" t="str">
        <f t="shared" si="108"/>
        <v/>
      </c>
      <c r="P981" t="str">
        <f>IF($N981="","",LEFT($Q981,4)&amp;MID($Q981,6,2)&amp;RIGHT($Q981,2)&amp;IF(Sync!$K981="","0000",IF(AND(ISNUMBER(Sync!$K981),Sync!$K981&gt;=0,Sync!$K981&lt;1),RIGHT("00"&amp;HOUR(Sync!$K981),2)&amp;RIGHT("00"&amp;MINUTE(Sync!$K981),2),IFERROR(RIGHT("00"&amp;VALUE(LEFT(Sync!$K981,FIND(":",Sync!$K981)-1)),2)&amp;RIGHT("00"&amp;VALUE(MID(Sync!$K981,FIND(":",Sync!$K981)+1,2)),2),"0000")))&amp;"|"&amp;"2"&amp;RIGHT("00000"&amp;976,5))</f>
        <v/>
      </c>
      <c r="Q981" t="str">
        <f>IF(Sync!$J981="","",IF(ISNUMBER(Sync!$J981),IF(AND(Sync!$J981&gt;=10000101,Sync!$J981&lt;=99991231),INT(Sync!$J981/10000)&amp;"/"&amp;RIGHT("00"&amp;INT(MOD(Sync!$J981,10000)/100),2)&amp;"/"&amp;RIGHT("00"&amp;MOD(Sync!$J981,100),2),"نامعتبر"),IF(LEN(Sync!$J981)=10,Sync!$J981,"نامعتبر")))</f>
        <v/>
      </c>
      <c r="R981" t="str">
        <f t="shared" si="109"/>
        <v/>
      </c>
      <c r="S981" t="str">
        <f t="shared" si="110"/>
        <v/>
      </c>
      <c r="T981" t="str">
        <f>IF($N981="","",IF(Sync!$N981="",0,Sync!$N981))</f>
        <v/>
      </c>
      <c r="U981" t="str">
        <f>IF($N981="","",IF(Sync!$O981="",0,Sync!$O981))</f>
        <v/>
      </c>
      <c r="V981" t="str">
        <f>IF($N981="","",Sync!$L981)</f>
        <v/>
      </c>
      <c r="W981" t="str">
        <f>IF($N981="","",Sync!$P981)</f>
        <v/>
      </c>
      <c r="AA981" t="str">
        <f>IF($A981="","",IF(COUNTIF($A$6:$A981,$A981)=1,1,0))</f>
        <v/>
      </c>
      <c r="AB981">
        <f>SUM($AA$6:$AA981)</f>
        <v>3</v>
      </c>
      <c r="AC981" t="str">
        <f t="shared" si="111"/>
        <v/>
      </c>
    </row>
    <row r="982" spans="1:29" x14ac:dyDescent="0.2">
      <c r="A982" t="str">
        <f>IF(OR(Entry!$B985="",Entry!$E985="",$E982="نامعتبر"),"",Entry!$E985)</f>
        <v/>
      </c>
      <c r="B982" t="str">
        <f>IF($A982="","",LEFT($E982,4)&amp;MID($E982,6,2)&amp;RIGHT($E982,2)&amp;$F982&amp;"|"&amp;"1"&amp;RIGHT("00000"&amp;977,5))</f>
        <v/>
      </c>
      <c r="C982" t="str">
        <f t="shared" si="105"/>
        <v/>
      </c>
      <c r="D982" t="str">
        <f t="shared" si="106"/>
        <v/>
      </c>
      <c r="E982" t="str">
        <f>IF(Entry!$B985="","",IF(ISNUMBER(Entry!$B985),IF(AND(Entry!$B985&gt;=10000101,Entry!$B985&lt;=99991231),INT(Entry!$B985/10000)&amp;"/"&amp;RIGHT("00"&amp;INT(MOD(Entry!$B985,10000)/100),2)&amp;"/"&amp;RIGHT("00"&amp;MOD(Entry!$B985,100),2),"نامعتبر"),IF(LEN(Entry!$B985)=10,Entry!$B985,"نامعتبر")))</f>
        <v/>
      </c>
      <c r="F982" t="str">
        <f>IF(Entry!$B985="","",IF(Entry!$C985="","0000",IF(AND(ISNUMBER(Entry!$C985),Entry!$C985&gt;=0,Entry!$C985&lt;1),RIGHT("00"&amp;HOUR(Entry!$C985),2)&amp;RIGHT("00"&amp;MINUTE(Entry!$C985),2),IFERROR(RIGHT("00"&amp;VALUE(LEFT(Entry!$C985,FIND(":",Entry!$C985)-1)),2)&amp;RIGHT("00"&amp;VALUE(MID(Entry!$C985,FIND(":",Entry!$C985)+1,2)),2),"0000"))))</f>
        <v/>
      </c>
      <c r="G982" t="str">
        <f>IF($A982="","",Entry!$G985)</f>
        <v/>
      </c>
      <c r="H982" t="str">
        <f>IF($A982="","",IF(Entry!$H985="",0,Entry!$H985))</f>
        <v/>
      </c>
      <c r="I982" t="str">
        <f>IF($A982="","",IF(Entry!$I985="",0,Entry!$I985))</f>
        <v/>
      </c>
      <c r="J982" t="str">
        <f t="shared" si="107"/>
        <v/>
      </c>
      <c r="K982" t="str">
        <f>IF($A982="","",Entry!$D985)</f>
        <v/>
      </c>
      <c r="L982" t="str">
        <f>IF($A982="","",Entry!$L985)</f>
        <v/>
      </c>
      <c r="N982" t="str">
        <f>IF(OR(Sync!$M982="",$Q982="",$Q982="نامعتبر"),"",Sync!$M982)</f>
        <v/>
      </c>
      <c r="O982" t="str">
        <f t="shared" si="108"/>
        <v/>
      </c>
      <c r="P982" t="str">
        <f>IF($N982="","",LEFT($Q982,4)&amp;MID($Q982,6,2)&amp;RIGHT($Q982,2)&amp;IF(Sync!$K982="","0000",IF(AND(ISNUMBER(Sync!$K982),Sync!$K982&gt;=0,Sync!$K982&lt;1),RIGHT("00"&amp;HOUR(Sync!$K982),2)&amp;RIGHT("00"&amp;MINUTE(Sync!$K982),2),IFERROR(RIGHT("00"&amp;VALUE(LEFT(Sync!$K982,FIND(":",Sync!$K982)-1)),2)&amp;RIGHT("00"&amp;VALUE(MID(Sync!$K982,FIND(":",Sync!$K982)+1,2)),2),"0000")))&amp;"|"&amp;"2"&amp;RIGHT("00000"&amp;977,5))</f>
        <v/>
      </c>
      <c r="Q982" t="str">
        <f>IF(Sync!$J982="","",IF(ISNUMBER(Sync!$J982),IF(AND(Sync!$J982&gt;=10000101,Sync!$J982&lt;=99991231),INT(Sync!$J982/10000)&amp;"/"&amp;RIGHT("00"&amp;INT(MOD(Sync!$J982,10000)/100),2)&amp;"/"&amp;RIGHT("00"&amp;MOD(Sync!$J982,100),2),"نامعتبر"),IF(LEN(Sync!$J982)=10,Sync!$J982,"نامعتبر")))</f>
        <v/>
      </c>
      <c r="R982" t="str">
        <f t="shared" si="109"/>
        <v/>
      </c>
      <c r="S982" t="str">
        <f t="shared" si="110"/>
        <v/>
      </c>
      <c r="T982" t="str">
        <f>IF($N982="","",IF(Sync!$N982="",0,Sync!$N982))</f>
        <v/>
      </c>
      <c r="U982" t="str">
        <f>IF($N982="","",IF(Sync!$O982="",0,Sync!$O982))</f>
        <v/>
      </c>
      <c r="V982" t="str">
        <f>IF($N982="","",Sync!$L982)</f>
        <v/>
      </c>
      <c r="W982" t="str">
        <f>IF($N982="","",Sync!$P982)</f>
        <v/>
      </c>
      <c r="AA982" t="str">
        <f>IF($A982="","",IF(COUNTIF($A$6:$A982,$A982)=1,1,0))</f>
        <v/>
      </c>
      <c r="AB982">
        <f>SUM($AA$6:$AA982)</f>
        <v>3</v>
      </c>
      <c r="AC982" t="str">
        <f t="shared" si="111"/>
        <v/>
      </c>
    </row>
    <row r="983" spans="1:29" x14ac:dyDescent="0.2">
      <c r="A983" t="str">
        <f>IF(OR(Entry!$B986="",Entry!$E986="",$E983="نامعتبر"),"",Entry!$E986)</f>
        <v/>
      </c>
      <c r="B983" t="str">
        <f>IF($A983="","",LEFT($E983,4)&amp;MID($E983,6,2)&amp;RIGHT($E983,2)&amp;$F983&amp;"|"&amp;"1"&amp;RIGHT("00000"&amp;978,5))</f>
        <v/>
      </c>
      <c r="C983" t="str">
        <f t="shared" si="105"/>
        <v/>
      </c>
      <c r="D983" t="str">
        <f t="shared" si="106"/>
        <v/>
      </c>
      <c r="E983" t="str">
        <f>IF(Entry!$B986="","",IF(ISNUMBER(Entry!$B986),IF(AND(Entry!$B986&gt;=10000101,Entry!$B986&lt;=99991231),INT(Entry!$B986/10000)&amp;"/"&amp;RIGHT("00"&amp;INT(MOD(Entry!$B986,10000)/100),2)&amp;"/"&amp;RIGHT("00"&amp;MOD(Entry!$B986,100),2),"نامعتبر"),IF(LEN(Entry!$B986)=10,Entry!$B986,"نامعتبر")))</f>
        <v/>
      </c>
      <c r="F983" t="str">
        <f>IF(Entry!$B986="","",IF(Entry!$C986="","0000",IF(AND(ISNUMBER(Entry!$C986),Entry!$C986&gt;=0,Entry!$C986&lt;1),RIGHT("00"&amp;HOUR(Entry!$C986),2)&amp;RIGHT("00"&amp;MINUTE(Entry!$C986),2),IFERROR(RIGHT("00"&amp;VALUE(LEFT(Entry!$C986,FIND(":",Entry!$C986)-1)),2)&amp;RIGHT("00"&amp;VALUE(MID(Entry!$C986,FIND(":",Entry!$C986)+1,2)),2),"0000"))))</f>
        <v/>
      </c>
      <c r="G983" t="str">
        <f>IF($A983="","",Entry!$G986)</f>
        <v/>
      </c>
      <c r="H983" t="str">
        <f>IF($A983="","",IF(Entry!$H986="",0,Entry!$H986))</f>
        <v/>
      </c>
      <c r="I983" t="str">
        <f>IF($A983="","",IF(Entry!$I986="",0,Entry!$I986))</f>
        <v/>
      </c>
      <c r="J983" t="str">
        <f t="shared" si="107"/>
        <v/>
      </c>
      <c r="K983" t="str">
        <f>IF($A983="","",Entry!$D986)</f>
        <v/>
      </c>
      <c r="L983" t="str">
        <f>IF($A983="","",Entry!$L986)</f>
        <v/>
      </c>
      <c r="N983" t="str">
        <f>IF(OR(Sync!$M983="",$Q983="",$Q983="نامعتبر"),"",Sync!$M983)</f>
        <v/>
      </c>
      <c r="O983" t="str">
        <f t="shared" si="108"/>
        <v/>
      </c>
      <c r="P983" t="str">
        <f>IF($N983="","",LEFT($Q983,4)&amp;MID($Q983,6,2)&amp;RIGHT($Q983,2)&amp;IF(Sync!$K983="","0000",IF(AND(ISNUMBER(Sync!$K983),Sync!$K983&gt;=0,Sync!$K983&lt;1),RIGHT("00"&amp;HOUR(Sync!$K983),2)&amp;RIGHT("00"&amp;MINUTE(Sync!$K983),2),IFERROR(RIGHT("00"&amp;VALUE(LEFT(Sync!$K983,FIND(":",Sync!$K983)-1)),2)&amp;RIGHT("00"&amp;VALUE(MID(Sync!$K983,FIND(":",Sync!$K983)+1,2)),2),"0000")))&amp;"|"&amp;"2"&amp;RIGHT("00000"&amp;978,5))</f>
        <v/>
      </c>
      <c r="Q983" t="str">
        <f>IF(Sync!$J983="","",IF(ISNUMBER(Sync!$J983),IF(AND(Sync!$J983&gt;=10000101,Sync!$J983&lt;=99991231),INT(Sync!$J983/10000)&amp;"/"&amp;RIGHT("00"&amp;INT(MOD(Sync!$J983,10000)/100),2)&amp;"/"&amp;RIGHT("00"&amp;MOD(Sync!$J983,100),2),"نامعتبر"),IF(LEN(Sync!$J983)=10,Sync!$J983,"نامعتبر")))</f>
        <v/>
      </c>
      <c r="R983" t="str">
        <f t="shared" si="109"/>
        <v/>
      </c>
      <c r="S983" t="str">
        <f t="shared" si="110"/>
        <v/>
      </c>
      <c r="T983" t="str">
        <f>IF($N983="","",IF(Sync!$N983="",0,Sync!$N983))</f>
        <v/>
      </c>
      <c r="U983" t="str">
        <f>IF($N983="","",IF(Sync!$O983="",0,Sync!$O983))</f>
        <v/>
      </c>
      <c r="V983" t="str">
        <f>IF($N983="","",Sync!$L983)</f>
        <v/>
      </c>
      <c r="W983" t="str">
        <f>IF($N983="","",Sync!$P983)</f>
        <v/>
      </c>
      <c r="AA983" t="str">
        <f>IF($A983="","",IF(COUNTIF($A$6:$A983,$A983)=1,1,0))</f>
        <v/>
      </c>
      <c r="AB983">
        <f>SUM($AA$6:$AA983)</f>
        <v>3</v>
      </c>
      <c r="AC983" t="str">
        <f t="shared" si="111"/>
        <v/>
      </c>
    </row>
    <row r="984" spans="1:29" x14ac:dyDescent="0.2">
      <c r="A984" t="str">
        <f>IF(OR(Entry!$B987="",Entry!$E987="",$E984="نامعتبر"),"",Entry!$E987)</f>
        <v/>
      </c>
      <c r="B984" t="str">
        <f>IF($A984="","",LEFT($E984,4)&amp;MID($E984,6,2)&amp;RIGHT($E984,2)&amp;$F984&amp;"|"&amp;"1"&amp;RIGHT("00000"&amp;979,5))</f>
        <v/>
      </c>
      <c r="C984" t="str">
        <f t="shared" si="105"/>
        <v/>
      </c>
      <c r="D984" t="str">
        <f t="shared" si="106"/>
        <v/>
      </c>
      <c r="E984" t="str">
        <f>IF(Entry!$B987="","",IF(ISNUMBER(Entry!$B987),IF(AND(Entry!$B987&gt;=10000101,Entry!$B987&lt;=99991231),INT(Entry!$B987/10000)&amp;"/"&amp;RIGHT("00"&amp;INT(MOD(Entry!$B987,10000)/100),2)&amp;"/"&amp;RIGHT("00"&amp;MOD(Entry!$B987,100),2),"نامعتبر"),IF(LEN(Entry!$B987)=10,Entry!$B987,"نامعتبر")))</f>
        <v/>
      </c>
      <c r="F984" t="str">
        <f>IF(Entry!$B987="","",IF(Entry!$C987="","0000",IF(AND(ISNUMBER(Entry!$C987),Entry!$C987&gt;=0,Entry!$C987&lt;1),RIGHT("00"&amp;HOUR(Entry!$C987),2)&amp;RIGHT("00"&amp;MINUTE(Entry!$C987),2),IFERROR(RIGHT("00"&amp;VALUE(LEFT(Entry!$C987,FIND(":",Entry!$C987)-1)),2)&amp;RIGHT("00"&amp;VALUE(MID(Entry!$C987,FIND(":",Entry!$C987)+1,2)),2),"0000"))))</f>
        <v/>
      </c>
      <c r="G984" t="str">
        <f>IF($A984="","",Entry!$G987)</f>
        <v/>
      </c>
      <c r="H984" t="str">
        <f>IF($A984="","",IF(Entry!$H987="",0,Entry!$H987))</f>
        <v/>
      </c>
      <c r="I984" t="str">
        <f>IF($A984="","",IF(Entry!$I987="",0,Entry!$I987))</f>
        <v/>
      </c>
      <c r="J984" t="str">
        <f t="shared" si="107"/>
        <v/>
      </c>
      <c r="K984" t="str">
        <f>IF($A984="","",Entry!$D987)</f>
        <v/>
      </c>
      <c r="L984" t="str">
        <f>IF($A984="","",Entry!$L987)</f>
        <v/>
      </c>
      <c r="N984" t="str">
        <f>IF(OR(Sync!$M984="",$Q984="",$Q984="نامعتبر"),"",Sync!$M984)</f>
        <v/>
      </c>
      <c r="O984" t="str">
        <f t="shared" si="108"/>
        <v/>
      </c>
      <c r="P984" t="str">
        <f>IF($N984="","",LEFT($Q984,4)&amp;MID($Q984,6,2)&amp;RIGHT($Q984,2)&amp;IF(Sync!$K984="","0000",IF(AND(ISNUMBER(Sync!$K984),Sync!$K984&gt;=0,Sync!$K984&lt;1),RIGHT("00"&amp;HOUR(Sync!$K984),2)&amp;RIGHT("00"&amp;MINUTE(Sync!$K984),2),IFERROR(RIGHT("00"&amp;VALUE(LEFT(Sync!$K984,FIND(":",Sync!$K984)-1)),2)&amp;RIGHT("00"&amp;VALUE(MID(Sync!$K984,FIND(":",Sync!$K984)+1,2)),2),"0000")))&amp;"|"&amp;"2"&amp;RIGHT("00000"&amp;979,5))</f>
        <v/>
      </c>
      <c r="Q984" t="str">
        <f>IF(Sync!$J984="","",IF(ISNUMBER(Sync!$J984),IF(AND(Sync!$J984&gt;=10000101,Sync!$J984&lt;=99991231),INT(Sync!$J984/10000)&amp;"/"&amp;RIGHT("00"&amp;INT(MOD(Sync!$J984,10000)/100),2)&amp;"/"&amp;RIGHT("00"&amp;MOD(Sync!$J984,100),2),"نامعتبر"),IF(LEN(Sync!$J984)=10,Sync!$J984,"نامعتبر")))</f>
        <v/>
      </c>
      <c r="R984" t="str">
        <f t="shared" si="109"/>
        <v/>
      </c>
      <c r="S984" t="str">
        <f t="shared" si="110"/>
        <v/>
      </c>
      <c r="T984" t="str">
        <f>IF($N984="","",IF(Sync!$N984="",0,Sync!$N984))</f>
        <v/>
      </c>
      <c r="U984" t="str">
        <f>IF($N984="","",IF(Sync!$O984="",0,Sync!$O984))</f>
        <v/>
      </c>
      <c r="V984" t="str">
        <f>IF($N984="","",Sync!$L984)</f>
        <v/>
      </c>
      <c r="W984" t="str">
        <f>IF($N984="","",Sync!$P984)</f>
        <v/>
      </c>
      <c r="AA984" t="str">
        <f>IF($A984="","",IF(COUNTIF($A$6:$A984,$A984)=1,1,0))</f>
        <v/>
      </c>
      <c r="AB984">
        <f>SUM($AA$6:$AA984)</f>
        <v>3</v>
      </c>
      <c r="AC984" t="str">
        <f t="shared" si="111"/>
        <v/>
      </c>
    </row>
    <row r="985" spans="1:29" x14ac:dyDescent="0.2">
      <c r="A985" t="str">
        <f>IF(OR(Entry!$B988="",Entry!$E988="",$E985="نامعتبر"),"",Entry!$E988)</f>
        <v/>
      </c>
      <c r="B985" t="str">
        <f>IF($A985="","",LEFT($E985,4)&amp;MID($E985,6,2)&amp;RIGHT($E985,2)&amp;$F985&amp;"|"&amp;"1"&amp;RIGHT("00000"&amp;980,5))</f>
        <v/>
      </c>
      <c r="C985" t="str">
        <f t="shared" si="105"/>
        <v/>
      </c>
      <c r="D985" t="str">
        <f t="shared" si="106"/>
        <v/>
      </c>
      <c r="E985" t="str">
        <f>IF(Entry!$B988="","",IF(ISNUMBER(Entry!$B988),IF(AND(Entry!$B988&gt;=10000101,Entry!$B988&lt;=99991231),INT(Entry!$B988/10000)&amp;"/"&amp;RIGHT("00"&amp;INT(MOD(Entry!$B988,10000)/100),2)&amp;"/"&amp;RIGHT("00"&amp;MOD(Entry!$B988,100),2),"نامعتبر"),IF(LEN(Entry!$B988)=10,Entry!$B988,"نامعتبر")))</f>
        <v/>
      </c>
      <c r="F985" t="str">
        <f>IF(Entry!$B988="","",IF(Entry!$C988="","0000",IF(AND(ISNUMBER(Entry!$C988),Entry!$C988&gt;=0,Entry!$C988&lt;1),RIGHT("00"&amp;HOUR(Entry!$C988),2)&amp;RIGHT("00"&amp;MINUTE(Entry!$C988),2),IFERROR(RIGHT("00"&amp;VALUE(LEFT(Entry!$C988,FIND(":",Entry!$C988)-1)),2)&amp;RIGHT("00"&amp;VALUE(MID(Entry!$C988,FIND(":",Entry!$C988)+1,2)),2),"0000"))))</f>
        <v/>
      </c>
      <c r="G985" t="str">
        <f>IF($A985="","",Entry!$G988)</f>
        <v/>
      </c>
      <c r="H985" t="str">
        <f>IF($A985="","",IF(Entry!$H988="",0,Entry!$H988))</f>
        <v/>
      </c>
      <c r="I985" t="str">
        <f>IF($A985="","",IF(Entry!$I988="",0,Entry!$I988))</f>
        <v/>
      </c>
      <c r="J985" t="str">
        <f t="shared" si="107"/>
        <v/>
      </c>
      <c r="K985" t="str">
        <f>IF($A985="","",Entry!$D988)</f>
        <v/>
      </c>
      <c r="L985" t="str">
        <f>IF($A985="","",Entry!$L988)</f>
        <v/>
      </c>
      <c r="N985" t="str">
        <f>IF(OR(Sync!$M985="",$Q985="",$Q985="نامعتبر"),"",Sync!$M985)</f>
        <v/>
      </c>
      <c r="O985" t="str">
        <f t="shared" si="108"/>
        <v/>
      </c>
      <c r="P985" t="str">
        <f>IF($N985="","",LEFT($Q985,4)&amp;MID($Q985,6,2)&amp;RIGHT($Q985,2)&amp;IF(Sync!$K985="","0000",IF(AND(ISNUMBER(Sync!$K985),Sync!$K985&gt;=0,Sync!$K985&lt;1),RIGHT("00"&amp;HOUR(Sync!$K985),2)&amp;RIGHT("00"&amp;MINUTE(Sync!$K985),2),IFERROR(RIGHT("00"&amp;VALUE(LEFT(Sync!$K985,FIND(":",Sync!$K985)-1)),2)&amp;RIGHT("00"&amp;VALUE(MID(Sync!$K985,FIND(":",Sync!$K985)+1,2)),2),"0000")))&amp;"|"&amp;"2"&amp;RIGHT("00000"&amp;980,5))</f>
        <v/>
      </c>
      <c r="Q985" t="str">
        <f>IF(Sync!$J985="","",IF(ISNUMBER(Sync!$J985),IF(AND(Sync!$J985&gt;=10000101,Sync!$J985&lt;=99991231),INT(Sync!$J985/10000)&amp;"/"&amp;RIGHT("00"&amp;INT(MOD(Sync!$J985,10000)/100),2)&amp;"/"&amp;RIGHT("00"&amp;MOD(Sync!$J985,100),2),"نامعتبر"),IF(LEN(Sync!$J985)=10,Sync!$J985,"نامعتبر")))</f>
        <v/>
      </c>
      <c r="R985" t="str">
        <f t="shared" si="109"/>
        <v/>
      </c>
      <c r="S985" t="str">
        <f t="shared" si="110"/>
        <v/>
      </c>
      <c r="T985" t="str">
        <f>IF($N985="","",IF(Sync!$N985="",0,Sync!$N985))</f>
        <v/>
      </c>
      <c r="U985" t="str">
        <f>IF($N985="","",IF(Sync!$O985="",0,Sync!$O985))</f>
        <v/>
      </c>
      <c r="V985" t="str">
        <f>IF($N985="","",Sync!$L985)</f>
        <v/>
      </c>
      <c r="W985" t="str">
        <f>IF($N985="","",Sync!$P985)</f>
        <v/>
      </c>
      <c r="AA985" t="str">
        <f>IF($A985="","",IF(COUNTIF($A$6:$A985,$A985)=1,1,0))</f>
        <v/>
      </c>
      <c r="AB985">
        <f>SUM($AA$6:$AA985)</f>
        <v>3</v>
      </c>
      <c r="AC985" t="str">
        <f t="shared" si="111"/>
        <v/>
      </c>
    </row>
    <row r="986" spans="1:29" x14ac:dyDescent="0.2">
      <c r="A986" t="str">
        <f>IF(OR(Entry!$B989="",Entry!$E989="",$E986="نامعتبر"),"",Entry!$E989)</f>
        <v/>
      </c>
      <c r="B986" t="str">
        <f>IF($A986="","",LEFT($E986,4)&amp;MID($E986,6,2)&amp;RIGHT($E986,2)&amp;$F986&amp;"|"&amp;"1"&amp;RIGHT("00000"&amp;981,5))</f>
        <v/>
      </c>
      <c r="C986" t="str">
        <f t="shared" si="105"/>
        <v/>
      </c>
      <c r="D986" t="str">
        <f t="shared" si="106"/>
        <v/>
      </c>
      <c r="E986" t="str">
        <f>IF(Entry!$B989="","",IF(ISNUMBER(Entry!$B989),IF(AND(Entry!$B989&gt;=10000101,Entry!$B989&lt;=99991231),INT(Entry!$B989/10000)&amp;"/"&amp;RIGHT("00"&amp;INT(MOD(Entry!$B989,10000)/100),2)&amp;"/"&amp;RIGHT("00"&amp;MOD(Entry!$B989,100),2),"نامعتبر"),IF(LEN(Entry!$B989)=10,Entry!$B989,"نامعتبر")))</f>
        <v/>
      </c>
      <c r="F986" t="str">
        <f>IF(Entry!$B989="","",IF(Entry!$C989="","0000",IF(AND(ISNUMBER(Entry!$C989),Entry!$C989&gt;=0,Entry!$C989&lt;1),RIGHT("00"&amp;HOUR(Entry!$C989),2)&amp;RIGHT("00"&amp;MINUTE(Entry!$C989),2),IFERROR(RIGHT("00"&amp;VALUE(LEFT(Entry!$C989,FIND(":",Entry!$C989)-1)),2)&amp;RIGHT("00"&amp;VALUE(MID(Entry!$C989,FIND(":",Entry!$C989)+1,2)),2),"0000"))))</f>
        <v/>
      </c>
      <c r="G986" t="str">
        <f>IF($A986="","",Entry!$G989)</f>
        <v/>
      </c>
      <c r="H986" t="str">
        <f>IF($A986="","",IF(Entry!$H989="",0,Entry!$H989))</f>
        <v/>
      </c>
      <c r="I986" t="str">
        <f>IF($A986="","",IF(Entry!$I989="",0,Entry!$I989))</f>
        <v/>
      </c>
      <c r="J986" t="str">
        <f t="shared" si="107"/>
        <v/>
      </c>
      <c r="K986" t="str">
        <f>IF($A986="","",Entry!$D989)</f>
        <v/>
      </c>
      <c r="L986" t="str">
        <f>IF($A986="","",Entry!$L989)</f>
        <v/>
      </c>
      <c r="N986" t="str">
        <f>IF(OR(Sync!$M986="",$Q986="",$Q986="نامعتبر"),"",Sync!$M986)</f>
        <v/>
      </c>
      <c r="O986" t="str">
        <f t="shared" si="108"/>
        <v/>
      </c>
      <c r="P986" t="str">
        <f>IF($N986="","",LEFT($Q986,4)&amp;MID($Q986,6,2)&amp;RIGHT($Q986,2)&amp;IF(Sync!$K986="","0000",IF(AND(ISNUMBER(Sync!$K986),Sync!$K986&gt;=0,Sync!$K986&lt;1),RIGHT("00"&amp;HOUR(Sync!$K986),2)&amp;RIGHT("00"&amp;MINUTE(Sync!$K986),2),IFERROR(RIGHT("00"&amp;VALUE(LEFT(Sync!$K986,FIND(":",Sync!$K986)-1)),2)&amp;RIGHT("00"&amp;VALUE(MID(Sync!$K986,FIND(":",Sync!$K986)+1,2)),2),"0000")))&amp;"|"&amp;"2"&amp;RIGHT("00000"&amp;981,5))</f>
        <v/>
      </c>
      <c r="Q986" t="str">
        <f>IF(Sync!$J986="","",IF(ISNUMBER(Sync!$J986),IF(AND(Sync!$J986&gt;=10000101,Sync!$J986&lt;=99991231),INT(Sync!$J986/10000)&amp;"/"&amp;RIGHT("00"&amp;INT(MOD(Sync!$J986,10000)/100),2)&amp;"/"&amp;RIGHT("00"&amp;MOD(Sync!$J986,100),2),"نامعتبر"),IF(LEN(Sync!$J986)=10,Sync!$J986,"نامعتبر")))</f>
        <v/>
      </c>
      <c r="R986" t="str">
        <f t="shared" si="109"/>
        <v/>
      </c>
      <c r="S986" t="str">
        <f t="shared" si="110"/>
        <v/>
      </c>
      <c r="T986" t="str">
        <f>IF($N986="","",IF(Sync!$N986="",0,Sync!$N986))</f>
        <v/>
      </c>
      <c r="U986" t="str">
        <f>IF($N986="","",IF(Sync!$O986="",0,Sync!$O986))</f>
        <v/>
      </c>
      <c r="V986" t="str">
        <f>IF($N986="","",Sync!$L986)</f>
        <v/>
      </c>
      <c r="W986" t="str">
        <f>IF($N986="","",Sync!$P986)</f>
        <v/>
      </c>
      <c r="AA986" t="str">
        <f>IF($A986="","",IF(COUNTIF($A$6:$A986,$A986)=1,1,0))</f>
        <v/>
      </c>
      <c r="AB986">
        <f>SUM($AA$6:$AA986)</f>
        <v>3</v>
      </c>
      <c r="AC986" t="str">
        <f t="shared" si="111"/>
        <v/>
      </c>
    </row>
    <row r="987" spans="1:29" x14ac:dyDescent="0.2">
      <c r="A987" t="str">
        <f>IF(OR(Entry!$B990="",Entry!$E990="",$E987="نامعتبر"),"",Entry!$E990)</f>
        <v/>
      </c>
      <c r="B987" t="str">
        <f>IF($A987="","",LEFT($E987,4)&amp;MID($E987,6,2)&amp;RIGHT($E987,2)&amp;$F987&amp;"|"&amp;"1"&amp;RIGHT("00000"&amp;982,5))</f>
        <v/>
      </c>
      <c r="C987" t="str">
        <f t="shared" si="105"/>
        <v/>
      </c>
      <c r="D987" t="str">
        <f t="shared" si="106"/>
        <v/>
      </c>
      <c r="E987" t="str">
        <f>IF(Entry!$B990="","",IF(ISNUMBER(Entry!$B990),IF(AND(Entry!$B990&gt;=10000101,Entry!$B990&lt;=99991231),INT(Entry!$B990/10000)&amp;"/"&amp;RIGHT("00"&amp;INT(MOD(Entry!$B990,10000)/100),2)&amp;"/"&amp;RIGHT("00"&amp;MOD(Entry!$B990,100),2),"نامعتبر"),IF(LEN(Entry!$B990)=10,Entry!$B990,"نامعتبر")))</f>
        <v/>
      </c>
      <c r="F987" t="str">
        <f>IF(Entry!$B990="","",IF(Entry!$C990="","0000",IF(AND(ISNUMBER(Entry!$C990),Entry!$C990&gt;=0,Entry!$C990&lt;1),RIGHT("00"&amp;HOUR(Entry!$C990),2)&amp;RIGHT("00"&amp;MINUTE(Entry!$C990),2),IFERROR(RIGHT("00"&amp;VALUE(LEFT(Entry!$C990,FIND(":",Entry!$C990)-1)),2)&amp;RIGHT("00"&amp;VALUE(MID(Entry!$C990,FIND(":",Entry!$C990)+1,2)),2),"0000"))))</f>
        <v/>
      </c>
      <c r="G987" t="str">
        <f>IF($A987="","",Entry!$G990)</f>
        <v/>
      </c>
      <c r="H987" t="str">
        <f>IF($A987="","",IF(Entry!$H990="",0,Entry!$H990))</f>
        <v/>
      </c>
      <c r="I987" t="str">
        <f>IF($A987="","",IF(Entry!$I990="",0,Entry!$I990))</f>
        <v/>
      </c>
      <c r="J987" t="str">
        <f t="shared" si="107"/>
        <v/>
      </c>
      <c r="K987" t="str">
        <f>IF($A987="","",Entry!$D990)</f>
        <v/>
      </c>
      <c r="L987" t="str">
        <f>IF($A987="","",Entry!$L990)</f>
        <v/>
      </c>
      <c r="N987" t="str">
        <f>IF(OR(Sync!$M987="",$Q987="",$Q987="نامعتبر"),"",Sync!$M987)</f>
        <v/>
      </c>
      <c r="O987" t="str">
        <f t="shared" si="108"/>
        <v/>
      </c>
      <c r="P987" t="str">
        <f>IF($N987="","",LEFT($Q987,4)&amp;MID($Q987,6,2)&amp;RIGHT($Q987,2)&amp;IF(Sync!$K987="","0000",IF(AND(ISNUMBER(Sync!$K987),Sync!$K987&gt;=0,Sync!$K987&lt;1),RIGHT("00"&amp;HOUR(Sync!$K987),2)&amp;RIGHT("00"&amp;MINUTE(Sync!$K987),2),IFERROR(RIGHT("00"&amp;VALUE(LEFT(Sync!$K987,FIND(":",Sync!$K987)-1)),2)&amp;RIGHT("00"&amp;VALUE(MID(Sync!$K987,FIND(":",Sync!$K987)+1,2)),2),"0000")))&amp;"|"&amp;"2"&amp;RIGHT("00000"&amp;982,5))</f>
        <v/>
      </c>
      <c r="Q987" t="str">
        <f>IF(Sync!$J987="","",IF(ISNUMBER(Sync!$J987),IF(AND(Sync!$J987&gt;=10000101,Sync!$J987&lt;=99991231),INT(Sync!$J987/10000)&amp;"/"&amp;RIGHT("00"&amp;INT(MOD(Sync!$J987,10000)/100),2)&amp;"/"&amp;RIGHT("00"&amp;MOD(Sync!$J987,100),2),"نامعتبر"),IF(LEN(Sync!$J987)=10,Sync!$J987,"نامعتبر")))</f>
        <v/>
      </c>
      <c r="R987" t="str">
        <f t="shared" si="109"/>
        <v/>
      </c>
      <c r="S987" t="str">
        <f t="shared" si="110"/>
        <v/>
      </c>
      <c r="T987" t="str">
        <f>IF($N987="","",IF(Sync!$N987="",0,Sync!$N987))</f>
        <v/>
      </c>
      <c r="U987" t="str">
        <f>IF($N987="","",IF(Sync!$O987="",0,Sync!$O987))</f>
        <v/>
      </c>
      <c r="V987" t="str">
        <f>IF($N987="","",Sync!$L987)</f>
        <v/>
      </c>
      <c r="W987" t="str">
        <f>IF($N987="","",Sync!$P987)</f>
        <v/>
      </c>
      <c r="AA987" t="str">
        <f>IF($A987="","",IF(COUNTIF($A$6:$A987,$A987)=1,1,0))</f>
        <v/>
      </c>
      <c r="AB987">
        <f>SUM($AA$6:$AA987)</f>
        <v>3</v>
      </c>
      <c r="AC987" t="str">
        <f t="shared" si="111"/>
        <v/>
      </c>
    </row>
    <row r="988" spans="1:29" x14ac:dyDescent="0.2">
      <c r="A988" t="str">
        <f>IF(OR(Entry!$B991="",Entry!$E991="",$E988="نامعتبر"),"",Entry!$E991)</f>
        <v/>
      </c>
      <c r="B988" t="str">
        <f>IF($A988="","",LEFT($E988,4)&amp;MID($E988,6,2)&amp;RIGHT($E988,2)&amp;$F988&amp;"|"&amp;"1"&amp;RIGHT("00000"&amp;983,5))</f>
        <v/>
      </c>
      <c r="C988" t="str">
        <f t="shared" si="105"/>
        <v/>
      </c>
      <c r="D988" t="str">
        <f t="shared" si="106"/>
        <v/>
      </c>
      <c r="E988" t="str">
        <f>IF(Entry!$B991="","",IF(ISNUMBER(Entry!$B991),IF(AND(Entry!$B991&gt;=10000101,Entry!$B991&lt;=99991231),INT(Entry!$B991/10000)&amp;"/"&amp;RIGHT("00"&amp;INT(MOD(Entry!$B991,10000)/100),2)&amp;"/"&amp;RIGHT("00"&amp;MOD(Entry!$B991,100),2),"نامعتبر"),IF(LEN(Entry!$B991)=10,Entry!$B991,"نامعتبر")))</f>
        <v/>
      </c>
      <c r="F988" t="str">
        <f>IF(Entry!$B991="","",IF(Entry!$C991="","0000",IF(AND(ISNUMBER(Entry!$C991),Entry!$C991&gt;=0,Entry!$C991&lt;1),RIGHT("00"&amp;HOUR(Entry!$C991),2)&amp;RIGHT("00"&amp;MINUTE(Entry!$C991),2),IFERROR(RIGHT("00"&amp;VALUE(LEFT(Entry!$C991,FIND(":",Entry!$C991)-1)),2)&amp;RIGHT("00"&amp;VALUE(MID(Entry!$C991,FIND(":",Entry!$C991)+1,2)),2),"0000"))))</f>
        <v/>
      </c>
      <c r="G988" t="str">
        <f>IF($A988="","",Entry!$G991)</f>
        <v/>
      </c>
      <c r="H988" t="str">
        <f>IF($A988="","",IF(Entry!$H991="",0,Entry!$H991))</f>
        <v/>
      </c>
      <c r="I988" t="str">
        <f>IF($A988="","",IF(Entry!$I991="",0,Entry!$I991))</f>
        <v/>
      </c>
      <c r="J988" t="str">
        <f t="shared" si="107"/>
        <v/>
      </c>
      <c r="K988" t="str">
        <f>IF($A988="","",Entry!$D991)</f>
        <v/>
      </c>
      <c r="L988" t="str">
        <f>IF($A988="","",Entry!$L991)</f>
        <v/>
      </c>
      <c r="N988" t="str">
        <f>IF(OR(Sync!$M988="",$Q988="",$Q988="نامعتبر"),"",Sync!$M988)</f>
        <v/>
      </c>
      <c r="O988" t="str">
        <f t="shared" si="108"/>
        <v/>
      </c>
      <c r="P988" t="str">
        <f>IF($N988="","",LEFT($Q988,4)&amp;MID($Q988,6,2)&amp;RIGHT($Q988,2)&amp;IF(Sync!$K988="","0000",IF(AND(ISNUMBER(Sync!$K988),Sync!$K988&gt;=0,Sync!$K988&lt;1),RIGHT("00"&amp;HOUR(Sync!$K988),2)&amp;RIGHT("00"&amp;MINUTE(Sync!$K988),2),IFERROR(RIGHT("00"&amp;VALUE(LEFT(Sync!$K988,FIND(":",Sync!$K988)-1)),2)&amp;RIGHT("00"&amp;VALUE(MID(Sync!$K988,FIND(":",Sync!$K988)+1,2)),2),"0000")))&amp;"|"&amp;"2"&amp;RIGHT("00000"&amp;983,5))</f>
        <v/>
      </c>
      <c r="Q988" t="str">
        <f>IF(Sync!$J988="","",IF(ISNUMBER(Sync!$J988),IF(AND(Sync!$J988&gt;=10000101,Sync!$J988&lt;=99991231),INT(Sync!$J988/10000)&amp;"/"&amp;RIGHT("00"&amp;INT(MOD(Sync!$J988,10000)/100),2)&amp;"/"&amp;RIGHT("00"&amp;MOD(Sync!$J988,100),2),"نامعتبر"),IF(LEN(Sync!$J988)=10,Sync!$J988,"نامعتبر")))</f>
        <v/>
      </c>
      <c r="R988" t="str">
        <f t="shared" si="109"/>
        <v/>
      </c>
      <c r="S988" t="str">
        <f t="shared" si="110"/>
        <v/>
      </c>
      <c r="T988" t="str">
        <f>IF($N988="","",IF(Sync!$N988="",0,Sync!$N988))</f>
        <v/>
      </c>
      <c r="U988" t="str">
        <f>IF($N988="","",IF(Sync!$O988="",0,Sync!$O988))</f>
        <v/>
      </c>
      <c r="V988" t="str">
        <f>IF($N988="","",Sync!$L988)</f>
        <v/>
      </c>
      <c r="W988" t="str">
        <f>IF($N988="","",Sync!$P988)</f>
        <v/>
      </c>
      <c r="AA988" t="str">
        <f>IF($A988="","",IF(COUNTIF($A$6:$A988,$A988)=1,1,0))</f>
        <v/>
      </c>
      <c r="AB988">
        <f>SUM($AA$6:$AA988)</f>
        <v>3</v>
      </c>
      <c r="AC988" t="str">
        <f t="shared" si="111"/>
        <v/>
      </c>
    </row>
    <row r="989" spans="1:29" x14ac:dyDescent="0.2">
      <c r="A989" t="str">
        <f>IF(OR(Entry!$B992="",Entry!$E992="",$E989="نامعتبر"),"",Entry!$E992)</f>
        <v/>
      </c>
      <c r="B989" t="str">
        <f>IF($A989="","",LEFT($E989,4)&amp;MID($E989,6,2)&amp;RIGHT($E989,2)&amp;$F989&amp;"|"&amp;"1"&amp;RIGHT("00000"&amp;984,5))</f>
        <v/>
      </c>
      <c r="C989" t="str">
        <f t="shared" si="105"/>
        <v/>
      </c>
      <c r="D989" t="str">
        <f t="shared" si="106"/>
        <v/>
      </c>
      <c r="E989" t="str">
        <f>IF(Entry!$B992="","",IF(ISNUMBER(Entry!$B992),IF(AND(Entry!$B992&gt;=10000101,Entry!$B992&lt;=99991231),INT(Entry!$B992/10000)&amp;"/"&amp;RIGHT("00"&amp;INT(MOD(Entry!$B992,10000)/100),2)&amp;"/"&amp;RIGHT("00"&amp;MOD(Entry!$B992,100),2),"نامعتبر"),IF(LEN(Entry!$B992)=10,Entry!$B992,"نامعتبر")))</f>
        <v/>
      </c>
      <c r="F989" t="str">
        <f>IF(Entry!$B992="","",IF(Entry!$C992="","0000",IF(AND(ISNUMBER(Entry!$C992),Entry!$C992&gt;=0,Entry!$C992&lt;1),RIGHT("00"&amp;HOUR(Entry!$C992),2)&amp;RIGHT("00"&amp;MINUTE(Entry!$C992),2),IFERROR(RIGHT("00"&amp;VALUE(LEFT(Entry!$C992,FIND(":",Entry!$C992)-1)),2)&amp;RIGHT("00"&amp;VALUE(MID(Entry!$C992,FIND(":",Entry!$C992)+1,2)),2),"0000"))))</f>
        <v/>
      </c>
      <c r="G989" t="str">
        <f>IF($A989="","",Entry!$G992)</f>
        <v/>
      </c>
      <c r="H989" t="str">
        <f>IF($A989="","",IF(Entry!$H992="",0,Entry!$H992))</f>
        <v/>
      </c>
      <c r="I989" t="str">
        <f>IF($A989="","",IF(Entry!$I992="",0,Entry!$I992))</f>
        <v/>
      </c>
      <c r="J989" t="str">
        <f t="shared" si="107"/>
        <v/>
      </c>
      <c r="K989" t="str">
        <f>IF($A989="","",Entry!$D992)</f>
        <v/>
      </c>
      <c r="L989" t="str">
        <f>IF($A989="","",Entry!$L992)</f>
        <v/>
      </c>
      <c r="N989" t="str">
        <f>IF(OR(Sync!$M989="",$Q989="",$Q989="نامعتبر"),"",Sync!$M989)</f>
        <v/>
      </c>
      <c r="O989" t="str">
        <f t="shared" si="108"/>
        <v/>
      </c>
      <c r="P989" t="str">
        <f>IF($N989="","",LEFT($Q989,4)&amp;MID($Q989,6,2)&amp;RIGHT($Q989,2)&amp;IF(Sync!$K989="","0000",IF(AND(ISNUMBER(Sync!$K989),Sync!$K989&gt;=0,Sync!$K989&lt;1),RIGHT("00"&amp;HOUR(Sync!$K989),2)&amp;RIGHT("00"&amp;MINUTE(Sync!$K989),2),IFERROR(RIGHT("00"&amp;VALUE(LEFT(Sync!$K989,FIND(":",Sync!$K989)-1)),2)&amp;RIGHT("00"&amp;VALUE(MID(Sync!$K989,FIND(":",Sync!$K989)+1,2)),2),"0000")))&amp;"|"&amp;"2"&amp;RIGHT("00000"&amp;984,5))</f>
        <v/>
      </c>
      <c r="Q989" t="str">
        <f>IF(Sync!$J989="","",IF(ISNUMBER(Sync!$J989),IF(AND(Sync!$J989&gt;=10000101,Sync!$J989&lt;=99991231),INT(Sync!$J989/10000)&amp;"/"&amp;RIGHT("00"&amp;INT(MOD(Sync!$J989,10000)/100),2)&amp;"/"&amp;RIGHT("00"&amp;MOD(Sync!$J989,100),2),"نامعتبر"),IF(LEN(Sync!$J989)=10,Sync!$J989,"نامعتبر")))</f>
        <v/>
      </c>
      <c r="R989" t="str">
        <f t="shared" si="109"/>
        <v/>
      </c>
      <c r="S989" t="str">
        <f t="shared" si="110"/>
        <v/>
      </c>
      <c r="T989" t="str">
        <f>IF($N989="","",IF(Sync!$N989="",0,Sync!$N989))</f>
        <v/>
      </c>
      <c r="U989" t="str">
        <f>IF($N989="","",IF(Sync!$O989="",0,Sync!$O989))</f>
        <v/>
      </c>
      <c r="V989" t="str">
        <f>IF($N989="","",Sync!$L989)</f>
        <v/>
      </c>
      <c r="W989" t="str">
        <f>IF($N989="","",Sync!$P989)</f>
        <v/>
      </c>
      <c r="AA989" t="str">
        <f>IF($A989="","",IF(COUNTIF($A$6:$A989,$A989)=1,1,0))</f>
        <v/>
      </c>
      <c r="AB989">
        <f>SUM($AA$6:$AA989)</f>
        <v>3</v>
      </c>
      <c r="AC989" t="str">
        <f t="shared" si="111"/>
        <v/>
      </c>
    </row>
    <row r="990" spans="1:29" x14ac:dyDescent="0.2">
      <c r="A990" t="str">
        <f>IF(OR(Entry!$B993="",Entry!$E993="",$E990="نامعتبر"),"",Entry!$E993)</f>
        <v/>
      </c>
      <c r="B990" t="str">
        <f>IF($A990="","",LEFT($E990,4)&amp;MID($E990,6,2)&amp;RIGHT($E990,2)&amp;$F990&amp;"|"&amp;"1"&amp;RIGHT("00000"&amp;985,5))</f>
        <v/>
      </c>
      <c r="C990" t="str">
        <f t="shared" si="105"/>
        <v/>
      </c>
      <c r="D990" t="str">
        <f t="shared" si="106"/>
        <v/>
      </c>
      <c r="E990" t="str">
        <f>IF(Entry!$B993="","",IF(ISNUMBER(Entry!$B993),IF(AND(Entry!$B993&gt;=10000101,Entry!$B993&lt;=99991231),INT(Entry!$B993/10000)&amp;"/"&amp;RIGHT("00"&amp;INT(MOD(Entry!$B993,10000)/100),2)&amp;"/"&amp;RIGHT("00"&amp;MOD(Entry!$B993,100),2),"نامعتبر"),IF(LEN(Entry!$B993)=10,Entry!$B993,"نامعتبر")))</f>
        <v/>
      </c>
      <c r="F990" t="str">
        <f>IF(Entry!$B993="","",IF(Entry!$C993="","0000",IF(AND(ISNUMBER(Entry!$C993),Entry!$C993&gt;=0,Entry!$C993&lt;1),RIGHT("00"&amp;HOUR(Entry!$C993),2)&amp;RIGHT("00"&amp;MINUTE(Entry!$C993),2),IFERROR(RIGHT("00"&amp;VALUE(LEFT(Entry!$C993,FIND(":",Entry!$C993)-1)),2)&amp;RIGHT("00"&amp;VALUE(MID(Entry!$C993,FIND(":",Entry!$C993)+1,2)),2),"0000"))))</f>
        <v/>
      </c>
      <c r="G990" t="str">
        <f>IF($A990="","",Entry!$G993)</f>
        <v/>
      </c>
      <c r="H990" t="str">
        <f>IF($A990="","",IF(Entry!$H993="",0,Entry!$H993))</f>
        <v/>
      </c>
      <c r="I990" t="str">
        <f>IF($A990="","",IF(Entry!$I993="",0,Entry!$I993))</f>
        <v/>
      </c>
      <c r="J990" t="str">
        <f t="shared" si="107"/>
        <v/>
      </c>
      <c r="K990" t="str">
        <f>IF($A990="","",Entry!$D993)</f>
        <v/>
      </c>
      <c r="L990" t="str">
        <f>IF($A990="","",Entry!$L993)</f>
        <v/>
      </c>
      <c r="N990" t="str">
        <f>IF(OR(Sync!$M990="",$Q990="",$Q990="نامعتبر"),"",Sync!$M990)</f>
        <v/>
      </c>
      <c r="O990" t="str">
        <f t="shared" si="108"/>
        <v/>
      </c>
      <c r="P990" t="str">
        <f>IF($N990="","",LEFT($Q990,4)&amp;MID($Q990,6,2)&amp;RIGHT($Q990,2)&amp;IF(Sync!$K990="","0000",IF(AND(ISNUMBER(Sync!$K990),Sync!$K990&gt;=0,Sync!$K990&lt;1),RIGHT("00"&amp;HOUR(Sync!$K990),2)&amp;RIGHT("00"&amp;MINUTE(Sync!$K990),2),IFERROR(RIGHT("00"&amp;VALUE(LEFT(Sync!$K990,FIND(":",Sync!$K990)-1)),2)&amp;RIGHT("00"&amp;VALUE(MID(Sync!$K990,FIND(":",Sync!$K990)+1,2)),2),"0000")))&amp;"|"&amp;"2"&amp;RIGHT("00000"&amp;985,5))</f>
        <v/>
      </c>
      <c r="Q990" t="str">
        <f>IF(Sync!$J990="","",IF(ISNUMBER(Sync!$J990),IF(AND(Sync!$J990&gt;=10000101,Sync!$J990&lt;=99991231),INT(Sync!$J990/10000)&amp;"/"&amp;RIGHT("00"&amp;INT(MOD(Sync!$J990,10000)/100),2)&amp;"/"&amp;RIGHT("00"&amp;MOD(Sync!$J990,100),2),"نامعتبر"),IF(LEN(Sync!$J990)=10,Sync!$J990,"نامعتبر")))</f>
        <v/>
      </c>
      <c r="R990" t="str">
        <f t="shared" si="109"/>
        <v/>
      </c>
      <c r="S990" t="str">
        <f t="shared" si="110"/>
        <v/>
      </c>
      <c r="T990" t="str">
        <f>IF($N990="","",IF(Sync!$N990="",0,Sync!$N990))</f>
        <v/>
      </c>
      <c r="U990" t="str">
        <f>IF($N990="","",IF(Sync!$O990="",0,Sync!$O990))</f>
        <v/>
      </c>
      <c r="V990" t="str">
        <f>IF($N990="","",Sync!$L990)</f>
        <v/>
      </c>
      <c r="W990" t="str">
        <f>IF($N990="","",Sync!$P990)</f>
        <v/>
      </c>
      <c r="AA990" t="str">
        <f>IF($A990="","",IF(COUNTIF($A$6:$A990,$A990)=1,1,0))</f>
        <v/>
      </c>
      <c r="AB990">
        <f>SUM($AA$6:$AA990)</f>
        <v>3</v>
      </c>
      <c r="AC990" t="str">
        <f t="shared" si="111"/>
        <v/>
      </c>
    </row>
    <row r="991" spans="1:29" x14ac:dyDescent="0.2">
      <c r="A991" t="str">
        <f>IF(OR(Entry!$B994="",Entry!$E994="",$E991="نامعتبر"),"",Entry!$E994)</f>
        <v/>
      </c>
      <c r="B991" t="str">
        <f>IF($A991="","",LEFT($E991,4)&amp;MID($E991,6,2)&amp;RIGHT($E991,2)&amp;$F991&amp;"|"&amp;"1"&amp;RIGHT("00000"&amp;986,5))</f>
        <v/>
      </c>
      <c r="C991" t="str">
        <f t="shared" si="105"/>
        <v/>
      </c>
      <c r="D991" t="str">
        <f t="shared" si="106"/>
        <v/>
      </c>
      <c r="E991" t="str">
        <f>IF(Entry!$B994="","",IF(ISNUMBER(Entry!$B994),IF(AND(Entry!$B994&gt;=10000101,Entry!$B994&lt;=99991231),INT(Entry!$B994/10000)&amp;"/"&amp;RIGHT("00"&amp;INT(MOD(Entry!$B994,10000)/100),2)&amp;"/"&amp;RIGHT("00"&amp;MOD(Entry!$B994,100),2),"نامعتبر"),IF(LEN(Entry!$B994)=10,Entry!$B994,"نامعتبر")))</f>
        <v/>
      </c>
      <c r="F991" t="str">
        <f>IF(Entry!$B994="","",IF(Entry!$C994="","0000",IF(AND(ISNUMBER(Entry!$C994),Entry!$C994&gt;=0,Entry!$C994&lt;1),RIGHT("00"&amp;HOUR(Entry!$C994),2)&amp;RIGHT("00"&amp;MINUTE(Entry!$C994),2),IFERROR(RIGHT("00"&amp;VALUE(LEFT(Entry!$C994,FIND(":",Entry!$C994)-1)),2)&amp;RIGHT("00"&amp;VALUE(MID(Entry!$C994,FIND(":",Entry!$C994)+1,2)),2),"0000"))))</f>
        <v/>
      </c>
      <c r="G991" t="str">
        <f>IF($A991="","",Entry!$G994)</f>
        <v/>
      </c>
      <c r="H991" t="str">
        <f>IF($A991="","",IF(Entry!$H994="",0,Entry!$H994))</f>
        <v/>
      </c>
      <c r="I991" t="str">
        <f>IF($A991="","",IF(Entry!$I994="",0,Entry!$I994))</f>
        <v/>
      </c>
      <c r="J991" t="str">
        <f t="shared" si="107"/>
        <v/>
      </c>
      <c r="K991" t="str">
        <f>IF($A991="","",Entry!$D994)</f>
        <v/>
      </c>
      <c r="L991" t="str">
        <f>IF($A991="","",Entry!$L994)</f>
        <v/>
      </c>
      <c r="N991" t="str">
        <f>IF(OR(Sync!$M991="",$Q991="",$Q991="نامعتبر"),"",Sync!$M991)</f>
        <v/>
      </c>
      <c r="O991" t="str">
        <f t="shared" si="108"/>
        <v/>
      </c>
      <c r="P991" t="str">
        <f>IF($N991="","",LEFT($Q991,4)&amp;MID($Q991,6,2)&amp;RIGHT($Q991,2)&amp;IF(Sync!$K991="","0000",IF(AND(ISNUMBER(Sync!$K991),Sync!$K991&gt;=0,Sync!$K991&lt;1),RIGHT("00"&amp;HOUR(Sync!$K991),2)&amp;RIGHT("00"&amp;MINUTE(Sync!$K991),2),IFERROR(RIGHT("00"&amp;VALUE(LEFT(Sync!$K991,FIND(":",Sync!$K991)-1)),2)&amp;RIGHT("00"&amp;VALUE(MID(Sync!$K991,FIND(":",Sync!$K991)+1,2)),2),"0000")))&amp;"|"&amp;"2"&amp;RIGHT("00000"&amp;986,5))</f>
        <v/>
      </c>
      <c r="Q991" t="str">
        <f>IF(Sync!$J991="","",IF(ISNUMBER(Sync!$J991),IF(AND(Sync!$J991&gt;=10000101,Sync!$J991&lt;=99991231),INT(Sync!$J991/10000)&amp;"/"&amp;RIGHT("00"&amp;INT(MOD(Sync!$J991,10000)/100),2)&amp;"/"&amp;RIGHT("00"&amp;MOD(Sync!$J991,100),2),"نامعتبر"),IF(LEN(Sync!$J991)=10,Sync!$J991,"نامعتبر")))</f>
        <v/>
      </c>
      <c r="R991" t="str">
        <f t="shared" si="109"/>
        <v/>
      </c>
      <c r="S991" t="str">
        <f t="shared" si="110"/>
        <v/>
      </c>
      <c r="T991" t="str">
        <f>IF($N991="","",IF(Sync!$N991="",0,Sync!$N991))</f>
        <v/>
      </c>
      <c r="U991" t="str">
        <f>IF($N991="","",IF(Sync!$O991="",0,Sync!$O991))</f>
        <v/>
      </c>
      <c r="V991" t="str">
        <f>IF($N991="","",Sync!$L991)</f>
        <v/>
      </c>
      <c r="W991" t="str">
        <f>IF($N991="","",Sync!$P991)</f>
        <v/>
      </c>
      <c r="AA991" t="str">
        <f>IF($A991="","",IF(COUNTIF($A$6:$A991,$A991)=1,1,0))</f>
        <v/>
      </c>
      <c r="AB991">
        <f>SUM($AA$6:$AA991)</f>
        <v>3</v>
      </c>
      <c r="AC991" t="str">
        <f t="shared" si="111"/>
        <v/>
      </c>
    </row>
    <row r="992" spans="1:29" x14ac:dyDescent="0.2">
      <c r="A992" t="str">
        <f>IF(OR(Entry!$B995="",Entry!$E995="",$E992="نامعتبر"),"",Entry!$E995)</f>
        <v/>
      </c>
      <c r="B992" t="str">
        <f>IF($A992="","",LEFT($E992,4)&amp;MID($E992,6,2)&amp;RIGHT($E992,2)&amp;$F992&amp;"|"&amp;"1"&amp;RIGHT("00000"&amp;987,5))</f>
        <v/>
      </c>
      <c r="C992" t="str">
        <f t="shared" si="105"/>
        <v/>
      </c>
      <c r="D992" t="str">
        <f t="shared" si="106"/>
        <v/>
      </c>
      <c r="E992" t="str">
        <f>IF(Entry!$B995="","",IF(ISNUMBER(Entry!$B995),IF(AND(Entry!$B995&gt;=10000101,Entry!$B995&lt;=99991231),INT(Entry!$B995/10000)&amp;"/"&amp;RIGHT("00"&amp;INT(MOD(Entry!$B995,10000)/100),2)&amp;"/"&amp;RIGHT("00"&amp;MOD(Entry!$B995,100),2),"نامعتبر"),IF(LEN(Entry!$B995)=10,Entry!$B995,"نامعتبر")))</f>
        <v/>
      </c>
      <c r="F992" t="str">
        <f>IF(Entry!$B995="","",IF(Entry!$C995="","0000",IF(AND(ISNUMBER(Entry!$C995),Entry!$C995&gt;=0,Entry!$C995&lt;1),RIGHT("00"&amp;HOUR(Entry!$C995),2)&amp;RIGHT("00"&amp;MINUTE(Entry!$C995),2),IFERROR(RIGHT("00"&amp;VALUE(LEFT(Entry!$C995,FIND(":",Entry!$C995)-1)),2)&amp;RIGHT("00"&amp;VALUE(MID(Entry!$C995,FIND(":",Entry!$C995)+1,2)),2),"0000"))))</f>
        <v/>
      </c>
      <c r="G992" t="str">
        <f>IF($A992="","",Entry!$G995)</f>
        <v/>
      </c>
      <c r="H992" t="str">
        <f>IF($A992="","",IF(Entry!$H995="",0,Entry!$H995))</f>
        <v/>
      </c>
      <c r="I992" t="str">
        <f>IF($A992="","",IF(Entry!$I995="",0,Entry!$I995))</f>
        <v/>
      </c>
      <c r="J992" t="str">
        <f t="shared" si="107"/>
        <v/>
      </c>
      <c r="K992" t="str">
        <f>IF($A992="","",Entry!$D995)</f>
        <v/>
      </c>
      <c r="L992" t="str">
        <f>IF($A992="","",Entry!$L995)</f>
        <v/>
      </c>
      <c r="N992" t="str">
        <f>IF(OR(Sync!$M992="",$Q992="",$Q992="نامعتبر"),"",Sync!$M992)</f>
        <v/>
      </c>
      <c r="O992" t="str">
        <f t="shared" si="108"/>
        <v/>
      </c>
      <c r="P992" t="str">
        <f>IF($N992="","",LEFT($Q992,4)&amp;MID($Q992,6,2)&amp;RIGHT($Q992,2)&amp;IF(Sync!$K992="","0000",IF(AND(ISNUMBER(Sync!$K992),Sync!$K992&gt;=0,Sync!$K992&lt;1),RIGHT("00"&amp;HOUR(Sync!$K992),2)&amp;RIGHT("00"&amp;MINUTE(Sync!$K992),2),IFERROR(RIGHT("00"&amp;VALUE(LEFT(Sync!$K992,FIND(":",Sync!$K992)-1)),2)&amp;RIGHT("00"&amp;VALUE(MID(Sync!$K992,FIND(":",Sync!$K992)+1,2)),2),"0000")))&amp;"|"&amp;"2"&amp;RIGHT("00000"&amp;987,5))</f>
        <v/>
      </c>
      <c r="Q992" t="str">
        <f>IF(Sync!$J992="","",IF(ISNUMBER(Sync!$J992),IF(AND(Sync!$J992&gt;=10000101,Sync!$J992&lt;=99991231),INT(Sync!$J992/10000)&amp;"/"&amp;RIGHT("00"&amp;INT(MOD(Sync!$J992,10000)/100),2)&amp;"/"&amp;RIGHT("00"&amp;MOD(Sync!$J992,100),2),"نامعتبر"),IF(LEN(Sync!$J992)=10,Sync!$J992,"نامعتبر")))</f>
        <v/>
      </c>
      <c r="R992" t="str">
        <f t="shared" si="109"/>
        <v/>
      </c>
      <c r="S992" t="str">
        <f t="shared" si="110"/>
        <v/>
      </c>
      <c r="T992" t="str">
        <f>IF($N992="","",IF(Sync!$N992="",0,Sync!$N992))</f>
        <v/>
      </c>
      <c r="U992" t="str">
        <f>IF($N992="","",IF(Sync!$O992="",0,Sync!$O992))</f>
        <v/>
      </c>
      <c r="V992" t="str">
        <f>IF($N992="","",Sync!$L992)</f>
        <v/>
      </c>
      <c r="W992" t="str">
        <f>IF($N992="","",Sync!$P992)</f>
        <v/>
      </c>
      <c r="AA992" t="str">
        <f>IF($A992="","",IF(COUNTIF($A$6:$A992,$A992)=1,1,0))</f>
        <v/>
      </c>
      <c r="AB992">
        <f>SUM($AA$6:$AA992)</f>
        <v>3</v>
      </c>
      <c r="AC992" t="str">
        <f t="shared" si="111"/>
        <v/>
      </c>
    </row>
    <row r="993" spans="1:29" x14ac:dyDescent="0.2">
      <c r="A993" t="str">
        <f>IF(OR(Entry!$B996="",Entry!$E996="",$E993="نامعتبر"),"",Entry!$E996)</f>
        <v/>
      </c>
      <c r="B993" t="str">
        <f>IF($A993="","",LEFT($E993,4)&amp;MID($E993,6,2)&amp;RIGHT($E993,2)&amp;$F993&amp;"|"&amp;"1"&amp;RIGHT("00000"&amp;988,5))</f>
        <v/>
      </c>
      <c r="C993" t="str">
        <f t="shared" si="105"/>
        <v/>
      </c>
      <c r="D993" t="str">
        <f t="shared" si="106"/>
        <v/>
      </c>
      <c r="E993" t="str">
        <f>IF(Entry!$B996="","",IF(ISNUMBER(Entry!$B996),IF(AND(Entry!$B996&gt;=10000101,Entry!$B996&lt;=99991231),INT(Entry!$B996/10000)&amp;"/"&amp;RIGHT("00"&amp;INT(MOD(Entry!$B996,10000)/100),2)&amp;"/"&amp;RIGHT("00"&amp;MOD(Entry!$B996,100),2),"نامعتبر"),IF(LEN(Entry!$B996)=10,Entry!$B996,"نامعتبر")))</f>
        <v/>
      </c>
      <c r="F993" t="str">
        <f>IF(Entry!$B996="","",IF(Entry!$C996="","0000",IF(AND(ISNUMBER(Entry!$C996),Entry!$C996&gt;=0,Entry!$C996&lt;1),RIGHT("00"&amp;HOUR(Entry!$C996),2)&amp;RIGHT("00"&amp;MINUTE(Entry!$C996),2),IFERROR(RIGHT("00"&amp;VALUE(LEFT(Entry!$C996,FIND(":",Entry!$C996)-1)),2)&amp;RIGHT("00"&amp;VALUE(MID(Entry!$C996,FIND(":",Entry!$C996)+1,2)),2),"0000"))))</f>
        <v/>
      </c>
      <c r="G993" t="str">
        <f>IF($A993="","",Entry!$G996)</f>
        <v/>
      </c>
      <c r="H993" t="str">
        <f>IF($A993="","",IF(Entry!$H996="",0,Entry!$H996))</f>
        <v/>
      </c>
      <c r="I993" t="str">
        <f>IF($A993="","",IF(Entry!$I996="",0,Entry!$I996))</f>
        <v/>
      </c>
      <c r="J993" t="str">
        <f t="shared" si="107"/>
        <v/>
      </c>
      <c r="K993" t="str">
        <f>IF($A993="","",Entry!$D996)</f>
        <v/>
      </c>
      <c r="L993" t="str">
        <f>IF($A993="","",Entry!$L996)</f>
        <v/>
      </c>
      <c r="N993" t="str">
        <f>IF(OR(Sync!$M993="",$Q993="",$Q993="نامعتبر"),"",Sync!$M993)</f>
        <v/>
      </c>
      <c r="O993" t="str">
        <f t="shared" si="108"/>
        <v/>
      </c>
      <c r="P993" t="str">
        <f>IF($N993="","",LEFT($Q993,4)&amp;MID($Q993,6,2)&amp;RIGHT($Q993,2)&amp;IF(Sync!$K993="","0000",IF(AND(ISNUMBER(Sync!$K993),Sync!$K993&gt;=0,Sync!$K993&lt;1),RIGHT("00"&amp;HOUR(Sync!$K993),2)&amp;RIGHT("00"&amp;MINUTE(Sync!$K993),2),IFERROR(RIGHT("00"&amp;VALUE(LEFT(Sync!$K993,FIND(":",Sync!$K993)-1)),2)&amp;RIGHT("00"&amp;VALUE(MID(Sync!$K993,FIND(":",Sync!$K993)+1,2)),2),"0000")))&amp;"|"&amp;"2"&amp;RIGHT("00000"&amp;988,5))</f>
        <v/>
      </c>
      <c r="Q993" t="str">
        <f>IF(Sync!$J993="","",IF(ISNUMBER(Sync!$J993),IF(AND(Sync!$J993&gt;=10000101,Sync!$J993&lt;=99991231),INT(Sync!$J993/10000)&amp;"/"&amp;RIGHT("00"&amp;INT(MOD(Sync!$J993,10000)/100),2)&amp;"/"&amp;RIGHT("00"&amp;MOD(Sync!$J993,100),2),"نامعتبر"),IF(LEN(Sync!$J993)=10,Sync!$J993,"نامعتبر")))</f>
        <v/>
      </c>
      <c r="R993" t="str">
        <f t="shared" si="109"/>
        <v/>
      </c>
      <c r="S993" t="str">
        <f t="shared" si="110"/>
        <v/>
      </c>
      <c r="T993" t="str">
        <f>IF($N993="","",IF(Sync!$N993="",0,Sync!$N993))</f>
        <v/>
      </c>
      <c r="U993" t="str">
        <f>IF($N993="","",IF(Sync!$O993="",0,Sync!$O993))</f>
        <v/>
      </c>
      <c r="V993" t="str">
        <f>IF($N993="","",Sync!$L993)</f>
        <v/>
      </c>
      <c r="W993" t="str">
        <f>IF($N993="","",Sync!$P993)</f>
        <v/>
      </c>
      <c r="AA993" t="str">
        <f>IF($A993="","",IF(COUNTIF($A$6:$A993,$A993)=1,1,0))</f>
        <v/>
      </c>
      <c r="AB993">
        <f>SUM($AA$6:$AA993)</f>
        <v>3</v>
      </c>
      <c r="AC993" t="str">
        <f t="shared" si="111"/>
        <v/>
      </c>
    </row>
    <row r="994" spans="1:29" x14ac:dyDescent="0.2">
      <c r="A994" t="str">
        <f>IF(OR(Entry!$B997="",Entry!$E997="",$E994="نامعتبر"),"",Entry!$E997)</f>
        <v/>
      </c>
      <c r="B994" t="str">
        <f>IF($A994="","",LEFT($E994,4)&amp;MID($E994,6,2)&amp;RIGHT($E994,2)&amp;$F994&amp;"|"&amp;"1"&amp;RIGHT("00000"&amp;989,5))</f>
        <v/>
      </c>
      <c r="C994" t="str">
        <f t="shared" si="105"/>
        <v/>
      </c>
      <c r="D994" t="str">
        <f t="shared" si="106"/>
        <v/>
      </c>
      <c r="E994" t="str">
        <f>IF(Entry!$B997="","",IF(ISNUMBER(Entry!$B997),IF(AND(Entry!$B997&gt;=10000101,Entry!$B997&lt;=99991231),INT(Entry!$B997/10000)&amp;"/"&amp;RIGHT("00"&amp;INT(MOD(Entry!$B997,10000)/100),2)&amp;"/"&amp;RIGHT("00"&amp;MOD(Entry!$B997,100),2),"نامعتبر"),IF(LEN(Entry!$B997)=10,Entry!$B997,"نامعتبر")))</f>
        <v/>
      </c>
      <c r="F994" t="str">
        <f>IF(Entry!$B997="","",IF(Entry!$C997="","0000",IF(AND(ISNUMBER(Entry!$C997),Entry!$C997&gt;=0,Entry!$C997&lt;1),RIGHT("00"&amp;HOUR(Entry!$C997),2)&amp;RIGHT("00"&amp;MINUTE(Entry!$C997),2),IFERROR(RIGHT("00"&amp;VALUE(LEFT(Entry!$C997,FIND(":",Entry!$C997)-1)),2)&amp;RIGHT("00"&amp;VALUE(MID(Entry!$C997,FIND(":",Entry!$C997)+1,2)),2),"0000"))))</f>
        <v/>
      </c>
      <c r="G994" t="str">
        <f>IF($A994="","",Entry!$G997)</f>
        <v/>
      </c>
      <c r="H994" t="str">
        <f>IF($A994="","",IF(Entry!$H997="",0,Entry!$H997))</f>
        <v/>
      </c>
      <c r="I994" t="str">
        <f>IF($A994="","",IF(Entry!$I997="",0,Entry!$I997))</f>
        <v/>
      </c>
      <c r="J994" t="str">
        <f t="shared" si="107"/>
        <v/>
      </c>
      <c r="K994" t="str">
        <f>IF($A994="","",Entry!$D997)</f>
        <v/>
      </c>
      <c r="L994" t="str">
        <f>IF($A994="","",Entry!$L997)</f>
        <v/>
      </c>
      <c r="N994" t="str">
        <f>IF(OR(Sync!$M994="",$Q994="",$Q994="نامعتبر"),"",Sync!$M994)</f>
        <v/>
      </c>
      <c r="O994" t="str">
        <f t="shared" si="108"/>
        <v/>
      </c>
      <c r="P994" t="str">
        <f>IF($N994="","",LEFT($Q994,4)&amp;MID($Q994,6,2)&amp;RIGHT($Q994,2)&amp;IF(Sync!$K994="","0000",IF(AND(ISNUMBER(Sync!$K994),Sync!$K994&gt;=0,Sync!$K994&lt;1),RIGHT("00"&amp;HOUR(Sync!$K994),2)&amp;RIGHT("00"&amp;MINUTE(Sync!$K994),2),IFERROR(RIGHT("00"&amp;VALUE(LEFT(Sync!$K994,FIND(":",Sync!$K994)-1)),2)&amp;RIGHT("00"&amp;VALUE(MID(Sync!$K994,FIND(":",Sync!$K994)+1,2)),2),"0000")))&amp;"|"&amp;"2"&amp;RIGHT("00000"&amp;989,5))</f>
        <v/>
      </c>
      <c r="Q994" t="str">
        <f>IF(Sync!$J994="","",IF(ISNUMBER(Sync!$J994),IF(AND(Sync!$J994&gt;=10000101,Sync!$J994&lt;=99991231),INT(Sync!$J994/10000)&amp;"/"&amp;RIGHT("00"&amp;INT(MOD(Sync!$J994,10000)/100),2)&amp;"/"&amp;RIGHT("00"&amp;MOD(Sync!$J994,100),2),"نامعتبر"),IF(LEN(Sync!$J994)=10,Sync!$J994,"نامعتبر")))</f>
        <v/>
      </c>
      <c r="R994" t="str">
        <f t="shared" si="109"/>
        <v/>
      </c>
      <c r="S994" t="str">
        <f t="shared" si="110"/>
        <v/>
      </c>
      <c r="T994" t="str">
        <f>IF($N994="","",IF(Sync!$N994="",0,Sync!$N994))</f>
        <v/>
      </c>
      <c r="U994" t="str">
        <f>IF($N994="","",IF(Sync!$O994="",0,Sync!$O994))</f>
        <v/>
      </c>
      <c r="V994" t="str">
        <f>IF($N994="","",Sync!$L994)</f>
        <v/>
      </c>
      <c r="W994" t="str">
        <f>IF($N994="","",Sync!$P994)</f>
        <v/>
      </c>
      <c r="AA994" t="str">
        <f>IF($A994="","",IF(COUNTIF($A$6:$A994,$A994)=1,1,0))</f>
        <v/>
      </c>
      <c r="AB994">
        <f>SUM($AA$6:$AA994)</f>
        <v>3</v>
      </c>
      <c r="AC994" t="str">
        <f t="shared" si="111"/>
        <v/>
      </c>
    </row>
    <row r="995" spans="1:29" x14ac:dyDescent="0.2">
      <c r="A995" t="str">
        <f>IF(OR(Entry!$B998="",Entry!$E998="",$E995="نامعتبر"),"",Entry!$E998)</f>
        <v/>
      </c>
      <c r="B995" t="str">
        <f>IF($A995="","",LEFT($E995,4)&amp;MID($E995,6,2)&amp;RIGHT($E995,2)&amp;$F995&amp;"|"&amp;"1"&amp;RIGHT("00000"&amp;990,5))</f>
        <v/>
      </c>
      <c r="C995" t="str">
        <f t="shared" si="105"/>
        <v/>
      </c>
      <c r="D995" t="str">
        <f t="shared" si="106"/>
        <v/>
      </c>
      <c r="E995" t="str">
        <f>IF(Entry!$B998="","",IF(ISNUMBER(Entry!$B998),IF(AND(Entry!$B998&gt;=10000101,Entry!$B998&lt;=99991231),INT(Entry!$B998/10000)&amp;"/"&amp;RIGHT("00"&amp;INT(MOD(Entry!$B998,10000)/100),2)&amp;"/"&amp;RIGHT("00"&amp;MOD(Entry!$B998,100),2),"نامعتبر"),IF(LEN(Entry!$B998)=10,Entry!$B998,"نامعتبر")))</f>
        <v/>
      </c>
      <c r="F995" t="str">
        <f>IF(Entry!$B998="","",IF(Entry!$C998="","0000",IF(AND(ISNUMBER(Entry!$C998),Entry!$C998&gt;=0,Entry!$C998&lt;1),RIGHT("00"&amp;HOUR(Entry!$C998),2)&amp;RIGHT("00"&amp;MINUTE(Entry!$C998),2),IFERROR(RIGHT("00"&amp;VALUE(LEFT(Entry!$C998,FIND(":",Entry!$C998)-1)),2)&amp;RIGHT("00"&amp;VALUE(MID(Entry!$C998,FIND(":",Entry!$C998)+1,2)),2),"0000"))))</f>
        <v/>
      </c>
      <c r="G995" t="str">
        <f>IF($A995="","",Entry!$G998)</f>
        <v/>
      </c>
      <c r="H995" t="str">
        <f>IF($A995="","",IF(Entry!$H998="",0,Entry!$H998))</f>
        <v/>
      </c>
      <c r="I995" t="str">
        <f>IF($A995="","",IF(Entry!$I998="",0,Entry!$I998))</f>
        <v/>
      </c>
      <c r="J995" t="str">
        <f t="shared" si="107"/>
        <v/>
      </c>
      <c r="K995" t="str">
        <f>IF($A995="","",Entry!$D998)</f>
        <v/>
      </c>
      <c r="L995" t="str">
        <f>IF($A995="","",Entry!$L998)</f>
        <v/>
      </c>
      <c r="N995" t="str">
        <f>IF(OR(Sync!$M995="",$Q995="",$Q995="نامعتبر"),"",Sync!$M995)</f>
        <v/>
      </c>
      <c r="O995" t="str">
        <f t="shared" si="108"/>
        <v/>
      </c>
      <c r="P995" t="str">
        <f>IF($N995="","",LEFT($Q995,4)&amp;MID($Q995,6,2)&amp;RIGHT($Q995,2)&amp;IF(Sync!$K995="","0000",IF(AND(ISNUMBER(Sync!$K995),Sync!$K995&gt;=0,Sync!$K995&lt;1),RIGHT("00"&amp;HOUR(Sync!$K995),2)&amp;RIGHT("00"&amp;MINUTE(Sync!$K995),2),IFERROR(RIGHT("00"&amp;VALUE(LEFT(Sync!$K995,FIND(":",Sync!$K995)-1)),2)&amp;RIGHT("00"&amp;VALUE(MID(Sync!$K995,FIND(":",Sync!$K995)+1,2)),2),"0000")))&amp;"|"&amp;"2"&amp;RIGHT("00000"&amp;990,5))</f>
        <v/>
      </c>
      <c r="Q995" t="str">
        <f>IF(Sync!$J995="","",IF(ISNUMBER(Sync!$J995),IF(AND(Sync!$J995&gt;=10000101,Sync!$J995&lt;=99991231),INT(Sync!$J995/10000)&amp;"/"&amp;RIGHT("00"&amp;INT(MOD(Sync!$J995,10000)/100),2)&amp;"/"&amp;RIGHT("00"&amp;MOD(Sync!$J995,100),2),"نامعتبر"),IF(LEN(Sync!$J995)=10,Sync!$J995,"نامعتبر")))</f>
        <v/>
      </c>
      <c r="R995" t="str">
        <f t="shared" si="109"/>
        <v/>
      </c>
      <c r="S995" t="str">
        <f t="shared" si="110"/>
        <v/>
      </c>
      <c r="T995" t="str">
        <f>IF($N995="","",IF(Sync!$N995="",0,Sync!$N995))</f>
        <v/>
      </c>
      <c r="U995" t="str">
        <f>IF($N995="","",IF(Sync!$O995="",0,Sync!$O995))</f>
        <v/>
      </c>
      <c r="V995" t="str">
        <f>IF($N995="","",Sync!$L995)</f>
        <v/>
      </c>
      <c r="W995" t="str">
        <f>IF($N995="","",Sync!$P995)</f>
        <v/>
      </c>
      <c r="AA995" t="str">
        <f>IF($A995="","",IF(COUNTIF($A$6:$A995,$A995)=1,1,0))</f>
        <v/>
      </c>
      <c r="AB995">
        <f>SUM($AA$6:$AA995)</f>
        <v>3</v>
      </c>
      <c r="AC995" t="str">
        <f t="shared" si="111"/>
        <v/>
      </c>
    </row>
    <row r="996" spans="1:29" x14ac:dyDescent="0.2">
      <c r="A996" t="str">
        <f>IF(OR(Entry!$B999="",Entry!$E999="",$E996="نامعتبر"),"",Entry!$E999)</f>
        <v/>
      </c>
      <c r="B996" t="str">
        <f>IF($A996="","",LEFT($E996,4)&amp;MID($E996,6,2)&amp;RIGHT($E996,2)&amp;$F996&amp;"|"&amp;"1"&amp;RIGHT("00000"&amp;991,5))</f>
        <v/>
      </c>
      <c r="C996" t="str">
        <f t="shared" si="105"/>
        <v/>
      </c>
      <c r="D996" t="str">
        <f t="shared" si="106"/>
        <v/>
      </c>
      <c r="E996" t="str">
        <f>IF(Entry!$B999="","",IF(ISNUMBER(Entry!$B999),IF(AND(Entry!$B999&gt;=10000101,Entry!$B999&lt;=99991231),INT(Entry!$B999/10000)&amp;"/"&amp;RIGHT("00"&amp;INT(MOD(Entry!$B999,10000)/100),2)&amp;"/"&amp;RIGHT("00"&amp;MOD(Entry!$B999,100),2),"نامعتبر"),IF(LEN(Entry!$B999)=10,Entry!$B999,"نامعتبر")))</f>
        <v/>
      </c>
      <c r="F996" t="str">
        <f>IF(Entry!$B999="","",IF(Entry!$C999="","0000",IF(AND(ISNUMBER(Entry!$C999),Entry!$C999&gt;=0,Entry!$C999&lt;1),RIGHT("00"&amp;HOUR(Entry!$C999),2)&amp;RIGHT("00"&amp;MINUTE(Entry!$C999),2),IFERROR(RIGHT("00"&amp;VALUE(LEFT(Entry!$C999,FIND(":",Entry!$C999)-1)),2)&amp;RIGHT("00"&amp;VALUE(MID(Entry!$C999,FIND(":",Entry!$C999)+1,2)),2),"0000"))))</f>
        <v/>
      </c>
      <c r="G996" t="str">
        <f>IF($A996="","",Entry!$G999)</f>
        <v/>
      </c>
      <c r="H996" t="str">
        <f>IF($A996="","",IF(Entry!$H999="",0,Entry!$H999))</f>
        <v/>
      </c>
      <c r="I996" t="str">
        <f>IF($A996="","",IF(Entry!$I999="",0,Entry!$I999))</f>
        <v/>
      </c>
      <c r="J996" t="str">
        <f t="shared" si="107"/>
        <v/>
      </c>
      <c r="K996" t="str">
        <f>IF($A996="","",Entry!$D999)</f>
        <v/>
      </c>
      <c r="L996" t="str">
        <f>IF($A996="","",Entry!$L999)</f>
        <v/>
      </c>
      <c r="N996" t="str">
        <f>IF(OR(Sync!$M996="",$Q996="",$Q996="نامعتبر"),"",Sync!$M996)</f>
        <v/>
      </c>
      <c r="O996" t="str">
        <f t="shared" si="108"/>
        <v/>
      </c>
      <c r="P996" t="str">
        <f>IF($N996="","",LEFT($Q996,4)&amp;MID($Q996,6,2)&amp;RIGHT($Q996,2)&amp;IF(Sync!$K996="","0000",IF(AND(ISNUMBER(Sync!$K996),Sync!$K996&gt;=0,Sync!$K996&lt;1),RIGHT("00"&amp;HOUR(Sync!$K996),2)&amp;RIGHT("00"&amp;MINUTE(Sync!$K996),2),IFERROR(RIGHT("00"&amp;VALUE(LEFT(Sync!$K996,FIND(":",Sync!$K996)-1)),2)&amp;RIGHT("00"&amp;VALUE(MID(Sync!$K996,FIND(":",Sync!$K996)+1,2)),2),"0000")))&amp;"|"&amp;"2"&amp;RIGHT("00000"&amp;991,5))</f>
        <v/>
      </c>
      <c r="Q996" t="str">
        <f>IF(Sync!$J996="","",IF(ISNUMBER(Sync!$J996),IF(AND(Sync!$J996&gt;=10000101,Sync!$J996&lt;=99991231),INT(Sync!$J996/10000)&amp;"/"&amp;RIGHT("00"&amp;INT(MOD(Sync!$J996,10000)/100),2)&amp;"/"&amp;RIGHT("00"&amp;MOD(Sync!$J996,100),2),"نامعتبر"),IF(LEN(Sync!$J996)=10,Sync!$J996,"نامعتبر")))</f>
        <v/>
      </c>
      <c r="R996" t="str">
        <f t="shared" si="109"/>
        <v/>
      </c>
      <c r="S996" t="str">
        <f t="shared" si="110"/>
        <v/>
      </c>
      <c r="T996" t="str">
        <f>IF($N996="","",IF(Sync!$N996="",0,Sync!$N996))</f>
        <v/>
      </c>
      <c r="U996" t="str">
        <f>IF($N996="","",IF(Sync!$O996="",0,Sync!$O996))</f>
        <v/>
      </c>
      <c r="V996" t="str">
        <f>IF($N996="","",Sync!$L996)</f>
        <v/>
      </c>
      <c r="W996" t="str">
        <f>IF($N996="","",Sync!$P996)</f>
        <v/>
      </c>
      <c r="AA996" t="str">
        <f>IF($A996="","",IF(COUNTIF($A$6:$A996,$A996)=1,1,0))</f>
        <v/>
      </c>
      <c r="AB996">
        <f>SUM($AA$6:$AA996)</f>
        <v>3</v>
      </c>
      <c r="AC996" t="str">
        <f t="shared" si="111"/>
        <v/>
      </c>
    </row>
    <row r="997" spans="1:29" x14ac:dyDescent="0.2">
      <c r="A997" t="str">
        <f>IF(OR(Entry!$B1000="",Entry!$E1000="",$E997="نامعتبر"),"",Entry!$E1000)</f>
        <v/>
      </c>
      <c r="B997" t="str">
        <f>IF($A997="","",LEFT($E997,4)&amp;MID($E997,6,2)&amp;RIGHT($E997,2)&amp;$F997&amp;"|"&amp;"1"&amp;RIGHT("00000"&amp;992,5))</f>
        <v/>
      </c>
      <c r="C997" t="str">
        <f t="shared" si="105"/>
        <v/>
      </c>
      <c r="D997" t="str">
        <f t="shared" si="106"/>
        <v/>
      </c>
      <c r="E997" t="str">
        <f>IF(Entry!$B1000="","",IF(ISNUMBER(Entry!$B1000),IF(AND(Entry!$B1000&gt;=10000101,Entry!$B1000&lt;=99991231),INT(Entry!$B1000/10000)&amp;"/"&amp;RIGHT("00"&amp;INT(MOD(Entry!$B1000,10000)/100),2)&amp;"/"&amp;RIGHT("00"&amp;MOD(Entry!$B1000,100),2),"نامعتبر"),IF(LEN(Entry!$B1000)=10,Entry!$B1000,"نامعتبر")))</f>
        <v/>
      </c>
      <c r="F997" t="str">
        <f>IF(Entry!$B1000="","",IF(Entry!$C1000="","0000",IF(AND(ISNUMBER(Entry!$C1000),Entry!$C1000&gt;=0,Entry!$C1000&lt;1),RIGHT("00"&amp;HOUR(Entry!$C1000),2)&amp;RIGHT("00"&amp;MINUTE(Entry!$C1000),2),IFERROR(RIGHT("00"&amp;VALUE(LEFT(Entry!$C1000,FIND(":",Entry!$C1000)-1)),2)&amp;RIGHT("00"&amp;VALUE(MID(Entry!$C1000,FIND(":",Entry!$C1000)+1,2)),2),"0000"))))</f>
        <v/>
      </c>
      <c r="G997" t="str">
        <f>IF($A997="","",Entry!$G1000)</f>
        <v/>
      </c>
      <c r="H997" t="str">
        <f>IF($A997="","",IF(Entry!$H1000="",0,Entry!$H1000))</f>
        <v/>
      </c>
      <c r="I997" t="str">
        <f>IF($A997="","",IF(Entry!$I1000="",0,Entry!$I1000))</f>
        <v/>
      </c>
      <c r="J997" t="str">
        <f t="shared" si="107"/>
        <v/>
      </c>
      <c r="K997" t="str">
        <f>IF($A997="","",Entry!$D1000)</f>
        <v/>
      </c>
      <c r="L997" t="str">
        <f>IF($A997="","",Entry!$L1000)</f>
        <v/>
      </c>
      <c r="N997" t="str">
        <f>IF(OR(Sync!$M997="",$Q997="",$Q997="نامعتبر"),"",Sync!$M997)</f>
        <v/>
      </c>
      <c r="O997" t="str">
        <f t="shared" si="108"/>
        <v/>
      </c>
      <c r="P997" t="str">
        <f>IF($N997="","",LEFT($Q997,4)&amp;MID($Q997,6,2)&amp;RIGHT($Q997,2)&amp;IF(Sync!$K997="","0000",IF(AND(ISNUMBER(Sync!$K997),Sync!$K997&gt;=0,Sync!$K997&lt;1),RIGHT("00"&amp;HOUR(Sync!$K997),2)&amp;RIGHT("00"&amp;MINUTE(Sync!$K997),2),IFERROR(RIGHT("00"&amp;VALUE(LEFT(Sync!$K997,FIND(":",Sync!$K997)-1)),2)&amp;RIGHT("00"&amp;VALUE(MID(Sync!$K997,FIND(":",Sync!$K997)+1,2)),2),"0000")))&amp;"|"&amp;"2"&amp;RIGHT("00000"&amp;992,5))</f>
        <v/>
      </c>
      <c r="Q997" t="str">
        <f>IF(Sync!$J997="","",IF(ISNUMBER(Sync!$J997),IF(AND(Sync!$J997&gt;=10000101,Sync!$J997&lt;=99991231),INT(Sync!$J997/10000)&amp;"/"&amp;RIGHT("00"&amp;INT(MOD(Sync!$J997,10000)/100),2)&amp;"/"&amp;RIGHT("00"&amp;MOD(Sync!$J997,100),2),"نامعتبر"),IF(LEN(Sync!$J997)=10,Sync!$J997,"نامعتبر")))</f>
        <v/>
      </c>
      <c r="R997" t="str">
        <f t="shared" si="109"/>
        <v/>
      </c>
      <c r="S997" t="str">
        <f t="shared" si="110"/>
        <v/>
      </c>
      <c r="T997" t="str">
        <f>IF($N997="","",IF(Sync!$N997="",0,Sync!$N997))</f>
        <v/>
      </c>
      <c r="U997" t="str">
        <f>IF($N997="","",IF(Sync!$O997="",0,Sync!$O997))</f>
        <v/>
      </c>
      <c r="V997" t="str">
        <f>IF($N997="","",Sync!$L997)</f>
        <v/>
      </c>
      <c r="W997" t="str">
        <f>IF($N997="","",Sync!$P997)</f>
        <v/>
      </c>
      <c r="AA997" t="str">
        <f>IF($A997="","",IF(COUNTIF($A$6:$A997,$A997)=1,1,0))</f>
        <v/>
      </c>
      <c r="AB997">
        <f>SUM($AA$6:$AA997)</f>
        <v>3</v>
      </c>
      <c r="AC997" t="str">
        <f t="shared" si="111"/>
        <v/>
      </c>
    </row>
    <row r="998" spans="1:29" x14ac:dyDescent="0.2">
      <c r="A998" t="str">
        <f>IF(OR(Entry!$B1001="",Entry!$E1001="",$E998="نامعتبر"),"",Entry!$E1001)</f>
        <v/>
      </c>
      <c r="B998" t="str">
        <f>IF($A998="","",LEFT($E998,4)&amp;MID($E998,6,2)&amp;RIGHT($E998,2)&amp;$F998&amp;"|"&amp;"1"&amp;RIGHT("00000"&amp;993,5))</f>
        <v/>
      </c>
      <c r="C998" t="str">
        <f t="shared" si="105"/>
        <v/>
      </c>
      <c r="D998" t="str">
        <f t="shared" si="106"/>
        <v/>
      </c>
      <c r="E998" t="str">
        <f>IF(Entry!$B1001="","",IF(ISNUMBER(Entry!$B1001),IF(AND(Entry!$B1001&gt;=10000101,Entry!$B1001&lt;=99991231),INT(Entry!$B1001/10000)&amp;"/"&amp;RIGHT("00"&amp;INT(MOD(Entry!$B1001,10000)/100),2)&amp;"/"&amp;RIGHT("00"&amp;MOD(Entry!$B1001,100),2),"نامعتبر"),IF(LEN(Entry!$B1001)=10,Entry!$B1001,"نامعتبر")))</f>
        <v/>
      </c>
      <c r="F998" t="str">
        <f>IF(Entry!$B1001="","",IF(Entry!$C1001="","0000",IF(AND(ISNUMBER(Entry!$C1001),Entry!$C1001&gt;=0,Entry!$C1001&lt;1),RIGHT("00"&amp;HOUR(Entry!$C1001),2)&amp;RIGHT("00"&amp;MINUTE(Entry!$C1001),2),IFERROR(RIGHT("00"&amp;VALUE(LEFT(Entry!$C1001,FIND(":",Entry!$C1001)-1)),2)&amp;RIGHT("00"&amp;VALUE(MID(Entry!$C1001,FIND(":",Entry!$C1001)+1,2)),2),"0000"))))</f>
        <v/>
      </c>
      <c r="G998" t="str">
        <f>IF($A998="","",Entry!$G1001)</f>
        <v/>
      </c>
      <c r="H998" t="str">
        <f>IF($A998="","",IF(Entry!$H1001="",0,Entry!$H1001))</f>
        <v/>
      </c>
      <c r="I998" t="str">
        <f>IF($A998="","",IF(Entry!$I1001="",0,Entry!$I1001))</f>
        <v/>
      </c>
      <c r="J998" t="str">
        <f t="shared" si="107"/>
        <v/>
      </c>
      <c r="K998" t="str">
        <f>IF($A998="","",Entry!$D1001)</f>
        <v/>
      </c>
      <c r="L998" t="str">
        <f>IF($A998="","",Entry!$L1001)</f>
        <v/>
      </c>
      <c r="N998" t="str">
        <f>IF(OR(Sync!$M998="",$Q998="",$Q998="نامعتبر"),"",Sync!$M998)</f>
        <v/>
      </c>
      <c r="O998" t="str">
        <f t="shared" si="108"/>
        <v/>
      </c>
      <c r="P998" t="str">
        <f>IF($N998="","",LEFT($Q998,4)&amp;MID($Q998,6,2)&amp;RIGHT($Q998,2)&amp;IF(Sync!$K998="","0000",IF(AND(ISNUMBER(Sync!$K998),Sync!$K998&gt;=0,Sync!$K998&lt;1),RIGHT("00"&amp;HOUR(Sync!$K998),2)&amp;RIGHT("00"&amp;MINUTE(Sync!$K998),2),IFERROR(RIGHT("00"&amp;VALUE(LEFT(Sync!$K998,FIND(":",Sync!$K998)-1)),2)&amp;RIGHT("00"&amp;VALUE(MID(Sync!$K998,FIND(":",Sync!$K998)+1,2)),2),"0000")))&amp;"|"&amp;"2"&amp;RIGHT("00000"&amp;993,5))</f>
        <v/>
      </c>
      <c r="Q998" t="str">
        <f>IF(Sync!$J998="","",IF(ISNUMBER(Sync!$J998),IF(AND(Sync!$J998&gt;=10000101,Sync!$J998&lt;=99991231),INT(Sync!$J998/10000)&amp;"/"&amp;RIGHT("00"&amp;INT(MOD(Sync!$J998,10000)/100),2)&amp;"/"&amp;RIGHT("00"&amp;MOD(Sync!$J998,100),2),"نامعتبر"),IF(LEN(Sync!$J998)=10,Sync!$J998,"نامعتبر")))</f>
        <v/>
      </c>
      <c r="R998" t="str">
        <f t="shared" si="109"/>
        <v/>
      </c>
      <c r="S998" t="str">
        <f t="shared" si="110"/>
        <v/>
      </c>
      <c r="T998" t="str">
        <f>IF($N998="","",IF(Sync!$N998="",0,Sync!$N998))</f>
        <v/>
      </c>
      <c r="U998" t="str">
        <f>IF($N998="","",IF(Sync!$O998="",0,Sync!$O998))</f>
        <v/>
      </c>
      <c r="V998" t="str">
        <f>IF($N998="","",Sync!$L998)</f>
        <v/>
      </c>
      <c r="W998" t="str">
        <f>IF($N998="","",Sync!$P998)</f>
        <v/>
      </c>
      <c r="AA998" t="str">
        <f>IF($A998="","",IF(COUNTIF($A$6:$A998,$A998)=1,1,0))</f>
        <v/>
      </c>
      <c r="AB998">
        <f>SUM($AA$6:$AA998)</f>
        <v>3</v>
      </c>
      <c r="AC998" t="str">
        <f t="shared" si="111"/>
        <v/>
      </c>
    </row>
    <row r="999" spans="1:29" x14ac:dyDescent="0.2">
      <c r="A999" t="str">
        <f>IF(OR(Entry!$B1002="",Entry!$E1002="",$E999="نامعتبر"),"",Entry!$E1002)</f>
        <v/>
      </c>
      <c r="B999" t="str">
        <f>IF($A999="","",LEFT($E999,4)&amp;MID($E999,6,2)&amp;RIGHT($E999,2)&amp;$F999&amp;"|"&amp;"1"&amp;RIGHT("00000"&amp;994,5))</f>
        <v/>
      </c>
      <c r="C999" t="str">
        <f t="shared" si="105"/>
        <v/>
      </c>
      <c r="D999" t="str">
        <f t="shared" si="106"/>
        <v/>
      </c>
      <c r="E999" t="str">
        <f>IF(Entry!$B1002="","",IF(ISNUMBER(Entry!$B1002),IF(AND(Entry!$B1002&gt;=10000101,Entry!$B1002&lt;=99991231),INT(Entry!$B1002/10000)&amp;"/"&amp;RIGHT("00"&amp;INT(MOD(Entry!$B1002,10000)/100),2)&amp;"/"&amp;RIGHT("00"&amp;MOD(Entry!$B1002,100),2),"نامعتبر"),IF(LEN(Entry!$B1002)=10,Entry!$B1002,"نامعتبر")))</f>
        <v/>
      </c>
      <c r="F999" t="str">
        <f>IF(Entry!$B1002="","",IF(Entry!$C1002="","0000",IF(AND(ISNUMBER(Entry!$C1002),Entry!$C1002&gt;=0,Entry!$C1002&lt;1),RIGHT("00"&amp;HOUR(Entry!$C1002),2)&amp;RIGHT("00"&amp;MINUTE(Entry!$C1002),2),IFERROR(RIGHT("00"&amp;VALUE(LEFT(Entry!$C1002,FIND(":",Entry!$C1002)-1)),2)&amp;RIGHT("00"&amp;VALUE(MID(Entry!$C1002,FIND(":",Entry!$C1002)+1,2)),2),"0000"))))</f>
        <v/>
      </c>
      <c r="G999" t="str">
        <f>IF($A999="","",Entry!$G1002)</f>
        <v/>
      </c>
      <c r="H999" t="str">
        <f>IF($A999="","",IF(Entry!$H1002="",0,Entry!$H1002))</f>
        <v/>
      </c>
      <c r="I999" t="str">
        <f>IF($A999="","",IF(Entry!$I1002="",0,Entry!$I1002))</f>
        <v/>
      </c>
      <c r="J999" t="str">
        <f t="shared" si="107"/>
        <v/>
      </c>
      <c r="K999" t="str">
        <f>IF($A999="","",Entry!$D1002)</f>
        <v/>
      </c>
      <c r="L999" t="str">
        <f>IF($A999="","",Entry!$L1002)</f>
        <v/>
      </c>
      <c r="N999" t="str">
        <f>IF(OR(Sync!$M999="",$Q999="",$Q999="نامعتبر"),"",Sync!$M999)</f>
        <v/>
      </c>
      <c r="O999" t="str">
        <f t="shared" si="108"/>
        <v/>
      </c>
      <c r="P999" t="str">
        <f>IF($N999="","",LEFT($Q999,4)&amp;MID($Q999,6,2)&amp;RIGHT($Q999,2)&amp;IF(Sync!$K999="","0000",IF(AND(ISNUMBER(Sync!$K999),Sync!$K999&gt;=0,Sync!$K999&lt;1),RIGHT("00"&amp;HOUR(Sync!$K999),2)&amp;RIGHT("00"&amp;MINUTE(Sync!$K999),2),IFERROR(RIGHT("00"&amp;VALUE(LEFT(Sync!$K999,FIND(":",Sync!$K999)-1)),2)&amp;RIGHT("00"&amp;VALUE(MID(Sync!$K999,FIND(":",Sync!$K999)+1,2)),2),"0000")))&amp;"|"&amp;"2"&amp;RIGHT("00000"&amp;994,5))</f>
        <v/>
      </c>
      <c r="Q999" t="str">
        <f>IF(Sync!$J999="","",IF(ISNUMBER(Sync!$J999),IF(AND(Sync!$J999&gt;=10000101,Sync!$J999&lt;=99991231),INT(Sync!$J999/10000)&amp;"/"&amp;RIGHT("00"&amp;INT(MOD(Sync!$J999,10000)/100),2)&amp;"/"&amp;RIGHT("00"&amp;MOD(Sync!$J999,100),2),"نامعتبر"),IF(LEN(Sync!$J999)=10,Sync!$J999,"نامعتبر")))</f>
        <v/>
      </c>
      <c r="R999" t="str">
        <f t="shared" si="109"/>
        <v/>
      </c>
      <c r="S999" t="str">
        <f t="shared" si="110"/>
        <v/>
      </c>
      <c r="T999" t="str">
        <f>IF($N999="","",IF(Sync!$N999="",0,Sync!$N999))</f>
        <v/>
      </c>
      <c r="U999" t="str">
        <f>IF($N999="","",IF(Sync!$O999="",0,Sync!$O999))</f>
        <v/>
      </c>
      <c r="V999" t="str">
        <f>IF($N999="","",Sync!$L999)</f>
        <v/>
      </c>
      <c r="W999" t="str">
        <f>IF($N999="","",Sync!$P999)</f>
        <v/>
      </c>
      <c r="AA999" t="str">
        <f>IF($A999="","",IF(COUNTIF($A$6:$A999,$A999)=1,1,0))</f>
        <v/>
      </c>
      <c r="AB999">
        <f>SUM($AA$6:$AA999)</f>
        <v>3</v>
      </c>
      <c r="AC999" t="str">
        <f t="shared" si="111"/>
        <v/>
      </c>
    </row>
    <row r="1000" spans="1:29" x14ac:dyDescent="0.2">
      <c r="A1000" t="str">
        <f>IF(OR(Entry!$B1003="",Entry!$E1003="",$E1000="نامعتبر"),"",Entry!$E1003)</f>
        <v/>
      </c>
      <c r="B1000" t="str">
        <f>IF($A1000="","",LEFT($E1000,4)&amp;MID($E1000,6,2)&amp;RIGHT($E1000,2)&amp;$F1000&amp;"|"&amp;"1"&amp;RIGHT("00000"&amp;995,5))</f>
        <v/>
      </c>
      <c r="C1000" t="str">
        <f t="shared" si="105"/>
        <v/>
      </c>
      <c r="D1000" t="str">
        <f t="shared" si="106"/>
        <v/>
      </c>
      <c r="E1000" t="str">
        <f>IF(Entry!$B1003="","",IF(ISNUMBER(Entry!$B1003),IF(AND(Entry!$B1003&gt;=10000101,Entry!$B1003&lt;=99991231),INT(Entry!$B1003/10000)&amp;"/"&amp;RIGHT("00"&amp;INT(MOD(Entry!$B1003,10000)/100),2)&amp;"/"&amp;RIGHT("00"&amp;MOD(Entry!$B1003,100),2),"نامعتبر"),IF(LEN(Entry!$B1003)=10,Entry!$B1003,"نامعتبر")))</f>
        <v/>
      </c>
      <c r="F1000" t="str">
        <f>IF(Entry!$B1003="","",IF(Entry!$C1003="","0000",IF(AND(ISNUMBER(Entry!$C1003),Entry!$C1003&gt;=0,Entry!$C1003&lt;1),RIGHT("00"&amp;HOUR(Entry!$C1003),2)&amp;RIGHT("00"&amp;MINUTE(Entry!$C1003),2),IFERROR(RIGHT("00"&amp;VALUE(LEFT(Entry!$C1003,FIND(":",Entry!$C1003)-1)),2)&amp;RIGHT("00"&amp;VALUE(MID(Entry!$C1003,FIND(":",Entry!$C1003)+1,2)),2),"0000"))))</f>
        <v/>
      </c>
      <c r="G1000" t="str">
        <f>IF($A1000="","",Entry!$G1003)</f>
        <v/>
      </c>
      <c r="H1000" t="str">
        <f>IF($A1000="","",IF(Entry!$H1003="",0,Entry!$H1003))</f>
        <v/>
      </c>
      <c r="I1000" t="str">
        <f>IF($A1000="","",IF(Entry!$I1003="",0,Entry!$I1003))</f>
        <v/>
      </c>
      <c r="J1000" t="str">
        <f t="shared" si="107"/>
        <v/>
      </c>
      <c r="K1000" t="str">
        <f>IF($A1000="","",Entry!$D1003)</f>
        <v/>
      </c>
      <c r="L1000" t="str">
        <f>IF($A1000="","",Entry!$L1003)</f>
        <v/>
      </c>
      <c r="N1000" t="str">
        <f>IF(OR(Sync!$M1000="",$Q1000="",$Q1000="نامعتبر"),"",Sync!$M1000)</f>
        <v/>
      </c>
      <c r="O1000" t="str">
        <f t="shared" si="108"/>
        <v/>
      </c>
      <c r="P1000" t="str">
        <f>IF($N1000="","",LEFT($Q1000,4)&amp;MID($Q1000,6,2)&amp;RIGHT($Q1000,2)&amp;IF(Sync!$K1000="","0000",IF(AND(ISNUMBER(Sync!$K1000),Sync!$K1000&gt;=0,Sync!$K1000&lt;1),RIGHT("00"&amp;HOUR(Sync!$K1000),2)&amp;RIGHT("00"&amp;MINUTE(Sync!$K1000),2),IFERROR(RIGHT("00"&amp;VALUE(LEFT(Sync!$K1000,FIND(":",Sync!$K1000)-1)),2)&amp;RIGHT("00"&amp;VALUE(MID(Sync!$K1000,FIND(":",Sync!$K1000)+1,2)),2),"0000")))&amp;"|"&amp;"2"&amp;RIGHT("00000"&amp;995,5))</f>
        <v/>
      </c>
      <c r="Q1000" t="str">
        <f>IF(Sync!$J1000="","",IF(ISNUMBER(Sync!$J1000),IF(AND(Sync!$J1000&gt;=10000101,Sync!$J1000&lt;=99991231),INT(Sync!$J1000/10000)&amp;"/"&amp;RIGHT("00"&amp;INT(MOD(Sync!$J1000,10000)/100),2)&amp;"/"&amp;RIGHT("00"&amp;MOD(Sync!$J1000,100),2),"نامعتبر"),IF(LEN(Sync!$J1000)=10,Sync!$J1000,"نامعتبر")))</f>
        <v/>
      </c>
      <c r="R1000" t="str">
        <f t="shared" si="109"/>
        <v/>
      </c>
      <c r="S1000" t="str">
        <f t="shared" si="110"/>
        <v/>
      </c>
      <c r="T1000" t="str">
        <f>IF($N1000="","",IF(Sync!$N1000="",0,Sync!$N1000))</f>
        <v/>
      </c>
      <c r="U1000" t="str">
        <f>IF($N1000="","",IF(Sync!$O1000="",0,Sync!$O1000))</f>
        <v/>
      </c>
      <c r="V1000" t="str">
        <f>IF($N1000="","",Sync!$L1000)</f>
        <v/>
      </c>
      <c r="W1000" t="str">
        <f>IF($N1000="","",Sync!$P1000)</f>
        <v/>
      </c>
      <c r="AA1000" t="str">
        <f>IF($A1000="","",IF(COUNTIF($A$6:$A1000,$A1000)=1,1,0))</f>
        <v/>
      </c>
      <c r="AB1000">
        <f>SUM($AA$6:$AA1000)</f>
        <v>3</v>
      </c>
      <c r="AC1000" t="str">
        <f t="shared" si="111"/>
        <v/>
      </c>
    </row>
    <row r="1001" spans="1:29" x14ac:dyDescent="0.2">
      <c r="A1001" t="str">
        <f>IF(OR(Entry!$B1004="",Entry!$E1004="",$E1001="نامعتبر"),"",Entry!$E1004)</f>
        <v/>
      </c>
      <c r="B1001" t="str">
        <f>IF($A1001="","",LEFT($E1001,4)&amp;MID($E1001,6,2)&amp;RIGHT($E1001,2)&amp;$F1001&amp;"|"&amp;"1"&amp;RIGHT("00000"&amp;996,5))</f>
        <v/>
      </c>
      <c r="C1001" t="str">
        <f t="shared" si="105"/>
        <v/>
      </c>
      <c r="D1001" t="str">
        <f t="shared" si="106"/>
        <v/>
      </c>
      <c r="E1001" t="str">
        <f>IF(Entry!$B1004="","",IF(ISNUMBER(Entry!$B1004),IF(AND(Entry!$B1004&gt;=10000101,Entry!$B1004&lt;=99991231),INT(Entry!$B1004/10000)&amp;"/"&amp;RIGHT("00"&amp;INT(MOD(Entry!$B1004,10000)/100),2)&amp;"/"&amp;RIGHT("00"&amp;MOD(Entry!$B1004,100),2),"نامعتبر"),IF(LEN(Entry!$B1004)=10,Entry!$B1004,"نامعتبر")))</f>
        <v/>
      </c>
      <c r="F1001" t="str">
        <f>IF(Entry!$B1004="","",IF(Entry!$C1004="","0000",IF(AND(ISNUMBER(Entry!$C1004),Entry!$C1004&gt;=0,Entry!$C1004&lt;1),RIGHT("00"&amp;HOUR(Entry!$C1004),2)&amp;RIGHT("00"&amp;MINUTE(Entry!$C1004),2),IFERROR(RIGHT("00"&amp;VALUE(LEFT(Entry!$C1004,FIND(":",Entry!$C1004)-1)),2)&amp;RIGHT("00"&amp;VALUE(MID(Entry!$C1004,FIND(":",Entry!$C1004)+1,2)),2),"0000"))))</f>
        <v/>
      </c>
      <c r="G1001" t="str">
        <f>IF($A1001="","",Entry!$G1004)</f>
        <v/>
      </c>
      <c r="H1001" t="str">
        <f>IF($A1001="","",IF(Entry!$H1004="",0,Entry!$H1004))</f>
        <v/>
      </c>
      <c r="I1001" t="str">
        <f>IF($A1001="","",IF(Entry!$I1004="",0,Entry!$I1004))</f>
        <v/>
      </c>
      <c r="J1001" t="str">
        <f t="shared" si="107"/>
        <v/>
      </c>
      <c r="K1001" t="str">
        <f>IF($A1001="","",Entry!$D1004)</f>
        <v/>
      </c>
      <c r="L1001" t="str">
        <f>IF($A1001="","",Entry!$L1004)</f>
        <v/>
      </c>
      <c r="N1001" t="str">
        <f>IF(OR(Sync!$M1001="",$Q1001="",$Q1001="نامعتبر"),"",Sync!$M1001)</f>
        <v/>
      </c>
      <c r="O1001" t="str">
        <f t="shared" si="108"/>
        <v/>
      </c>
      <c r="P1001" t="str">
        <f>IF($N1001="","",LEFT($Q1001,4)&amp;MID($Q1001,6,2)&amp;RIGHT($Q1001,2)&amp;IF(Sync!$K1001="","0000",IF(AND(ISNUMBER(Sync!$K1001),Sync!$K1001&gt;=0,Sync!$K1001&lt;1),RIGHT("00"&amp;HOUR(Sync!$K1001),2)&amp;RIGHT("00"&amp;MINUTE(Sync!$K1001),2),IFERROR(RIGHT("00"&amp;VALUE(LEFT(Sync!$K1001,FIND(":",Sync!$K1001)-1)),2)&amp;RIGHT("00"&amp;VALUE(MID(Sync!$K1001,FIND(":",Sync!$K1001)+1,2)),2),"0000")))&amp;"|"&amp;"2"&amp;RIGHT("00000"&amp;996,5))</f>
        <v/>
      </c>
      <c r="Q1001" t="str">
        <f>IF(Sync!$J1001="","",IF(ISNUMBER(Sync!$J1001),IF(AND(Sync!$J1001&gt;=10000101,Sync!$J1001&lt;=99991231),INT(Sync!$J1001/10000)&amp;"/"&amp;RIGHT("00"&amp;INT(MOD(Sync!$J1001,10000)/100),2)&amp;"/"&amp;RIGHT("00"&amp;MOD(Sync!$J1001,100),2),"نامعتبر"),IF(LEN(Sync!$J1001)=10,Sync!$J1001,"نامعتبر")))</f>
        <v/>
      </c>
      <c r="R1001" t="str">
        <f t="shared" si="109"/>
        <v/>
      </c>
      <c r="S1001" t="str">
        <f t="shared" si="110"/>
        <v/>
      </c>
      <c r="T1001" t="str">
        <f>IF($N1001="","",IF(Sync!$N1001="",0,Sync!$N1001))</f>
        <v/>
      </c>
      <c r="U1001" t="str">
        <f>IF($N1001="","",IF(Sync!$O1001="",0,Sync!$O1001))</f>
        <v/>
      </c>
      <c r="V1001" t="str">
        <f>IF($N1001="","",Sync!$L1001)</f>
        <v/>
      </c>
      <c r="W1001" t="str">
        <f>IF($N1001="","",Sync!$P1001)</f>
        <v/>
      </c>
      <c r="AA1001" t="str">
        <f>IF($A1001="","",IF(COUNTIF($A$6:$A1001,$A1001)=1,1,0))</f>
        <v/>
      </c>
      <c r="AB1001">
        <f>SUM($AA$6:$AA1001)</f>
        <v>3</v>
      </c>
      <c r="AC1001" t="str">
        <f t="shared" si="111"/>
        <v/>
      </c>
    </row>
    <row r="1002" spans="1:29" x14ac:dyDescent="0.2">
      <c r="A1002" t="str">
        <f>IF(OR(Entry!$B1005="",Entry!$E1005="",$E1002="نامعتبر"),"",Entry!$E1005)</f>
        <v/>
      </c>
      <c r="B1002" t="str">
        <f>IF($A1002="","",LEFT($E1002,4)&amp;MID($E1002,6,2)&amp;RIGHT($E1002,2)&amp;$F1002&amp;"|"&amp;"1"&amp;RIGHT("00000"&amp;997,5))</f>
        <v/>
      </c>
      <c r="C1002" t="str">
        <f t="shared" si="105"/>
        <v/>
      </c>
      <c r="D1002" t="str">
        <f t="shared" si="106"/>
        <v/>
      </c>
      <c r="E1002" t="str">
        <f>IF(Entry!$B1005="","",IF(ISNUMBER(Entry!$B1005),IF(AND(Entry!$B1005&gt;=10000101,Entry!$B1005&lt;=99991231),INT(Entry!$B1005/10000)&amp;"/"&amp;RIGHT("00"&amp;INT(MOD(Entry!$B1005,10000)/100),2)&amp;"/"&amp;RIGHT("00"&amp;MOD(Entry!$B1005,100),2),"نامعتبر"),IF(LEN(Entry!$B1005)=10,Entry!$B1005,"نامعتبر")))</f>
        <v/>
      </c>
      <c r="F1002" t="str">
        <f>IF(Entry!$B1005="","",IF(Entry!$C1005="","0000",IF(AND(ISNUMBER(Entry!$C1005),Entry!$C1005&gt;=0,Entry!$C1005&lt;1),RIGHT("00"&amp;HOUR(Entry!$C1005),2)&amp;RIGHT("00"&amp;MINUTE(Entry!$C1005),2),IFERROR(RIGHT("00"&amp;VALUE(LEFT(Entry!$C1005,FIND(":",Entry!$C1005)-1)),2)&amp;RIGHT("00"&amp;VALUE(MID(Entry!$C1005,FIND(":",Entry!$C1005)+1,2)),2),"0000"))))</f>
        <v/>
      </c>
      <c r="G1002" t="str">
        <f>IF($A1002="","",Entry!$G1005)</f>
        <v/>
      </c>
      <c r="H1002" t="str">
        <f>IF($A1002="","",IF(Entry!$H1005="",0,Entry!$H1005))</f>
        <v/>
      </c>
      <c r="I1002" t="str">
        <f>IF($A1002="","",IF(Entry!$I1005="",0,Entry!$I1005))</f>
        <v/>
      </c>
      <c r="J1002" t="str">
        <f t="shared" si="107"/>
        <v/>
      </c>
      <c r="K1002" t="str">
        <f>IF($A1002="","",Entry!$D1005)</f>
        <v/>
      </c>
      <c r="L1002" t="str">
        <f>IF($A1002="","",Entry!$L1005)</f>
        <v/>
      </c>
      <c r="N1002" t="str">
        <f>IF(OR(Sync!$M1002="",$Q1002="",$Q1002="نامعتبر"),"",Sync!$M1002)</f>
        <v/>
      </c>
      <c r="O1002" t="str">
        <f t="shared" si="108"/>
        <v/>
      </c>
      <c r="P1002" t="str">
        <f>IF($N1002="","",LEFT($Q1002,4)&amp;MID($Q1002,6,2)&amp;RIGHT($Q1002,2)&amp;IF(Sync!$K1002="","0000",IF(AND(ISNUMBER(Sync!$K1002),Sync!$K1002&gt;=0,Sync!$K1002&lt;1),RIGHT("00"&amp;HOUR(Sync!$K1002),2)&amp;RIGHT("00"&amp;MINUTE(Sync!$K1002),2),IFERROR(RIGHT("00"&amp;VALUE(LEFT(Sync!$K1002,FIND(":",Sync!$K1002)-1)),2)&amp;RIGHT("00"&amp;VALUE(MID(Sync!$K1002,FIND(":",Sync!$K1002)+1,2)),2),"0000")))&amp;"|"&amp;"2"&amp;RIGHT("00000"&amp;997,5))</f>
        <v/>
      </c>
      <c r="Q1002" t="str">
        <f>IF(Sync!$J1002="","",IF(ISNUMBER(Sync!$J1002),IF(AND(Sync!$J1002&gt;=10000101,Sync!$J1002&lt;=99991231),INT(Sync!$J1002/10000)&amp;"/"&amp;RIGHT("00"&amp;INT(MOD(Sync!$J1002,10000)/100),2)&amp;"/"&amp;RIGHT("00"&amp;MOD(Sync!$J1002,100),2),"نامعتبر"),IF(LEN(Sync!$J1002)=10,Sync!$J1002,"نامعتبر")))</f>
        <v/>
      </c>
      <c r="R1002" t="str">
        <f t="shared" si="109"/>
        <v/>
      </c>
      <c r="S1002" t="str">
        <f t="shared" si="110"/>
        <v/>
      </c>
      <c r="T1002" t="str">
        <f>IF($N1002="","",IF(Sync!$N1002="",0,Sync!$N1002))</f>
        <v/>
      </c>
      <c r="U1002" t="str">
        <f>IF($N1002="","",IF(Sync!$O1002="",0,Sync!$O1002))</f>
        <v/>
      </c>
      <c r="V1002" t="str">
        <f>IF($N1002="","",Sync!$L1002)</f>
        <v/>
      </c>
      <c r="W1002" t="str">
        <f>IF($N1002="","",Sync!$P1002)</f>
        <v/>
      </c>
      <c r="AA1002" t="str">
        <f>IF($A1002="","",IF(COUNTIF($A$6:$A1002,$A1002)=1,1,0))</f>
        <v/>
      </c>
      <c r="AB1002">
        <f>SUM($AA$6:$AA1002)</f>
        <v>3</v>
      </c>
      <c r="AC1002" t="str">
        <f t="shared" si="111"/>
        <v/>
      </c>
    </row>
    <row r="1003" spans="1:29" x14ac:dyDescent="0.2">
      <c r="A1003" t="str">
        <f>IF(OR(Entry!$B1006="",Entry!$E1006="",$E1003="نامعتبر"),"",Entry!$E1006)</f>
        <v/>
      </c>
      <c r="B1003" t="str">
        <f>IF($A1003="","",LEFT($E1003,4)&amp;MID($E1003,6,2)&amp;RIGHT($E1003,2)&amp;$F1003&amp;"|"&amp;"1"&amp;RIGHT("00000"&amp;998,5))</f>
        <v/>
      </c>
      <c r="C1003" t="str">
        <f t="shared" si="105"/>
        <v/>
      </c>
      <c r="D1003" t="str">
        <f t="shared" si="106"/>
        <v/>
      </c>
      <c r="E1003" t="str">
        <f>IF(Entry!$B1006="","",IF(ISNUMBER(Entry!$B1006),IF(AND(Entry!$B1006&gt;=10000101,Entry!$B1006&lt;=99991231),INT(Entry!$B1006/10000)&amp;"/"&amp;RIGHT("00"&amp;INT(MOD(Entry!$B1006,10000)/100),2)&amp;"/"&amp;RIGHT("00"&amp;MOD(Entry!$B1006,100),2),"نامعتبر"),IF(LEN(Entry!$B1006)=10,Entry!$B1006,"نامعتبر")))</f>
        <v/>
      </c>
      <c r="F1003" t="str">
        <f>IF(Entry!$B1006="","",IF(Entry!$C1006="","0000",IF(AND(ISNUMBER(Entry!$C1006),Entry!$C1006&gt;=0,Entry!$C1006&lt;1),RIGHT("00"&amp;HOUR(Entry!$C1006),2)&amp;RIGHT("00"&amp;MINUTE(Entry!$C1006),2),IFERROR(RIGHT("00"&amp;VALUE(LEFT(Entry!$C1006,FIND(":",Entry!$C1006)-1)),2)&amp;RIGHT("00"&amp;VALUE(MID(Entry!$C1006,FIND(":",Entry!$C1006)+1,2)),2),"0000"))))</f>
        <v/>
      </c>
      <c r="G1003" t="str">
        <f>IF($A1003="","",Entry!$G1006)</f>
        <v/>
      </c>
      <c r="H1003" t="str">
        <f>IF($A1003="","",IF(Entry!$H1006="",0,Entry!$H1006))</f>
        <v/>
      </c>
      <c r="I1003" t="str">
        <f>IF($A1003="","",IF(Entry!$I1006="",0,Entry!$I1006))</f>
        <v/>
      </c>
      <c r="J1003" t="str">
        <f t="shared" si="107"/>
        <v/>
      </c>
      <c r="K1003" t="str">
        <f>IF($A1003="","",Entry!$D1006)</f>
        <v/>
      </c>
      <c r="L1003" t="str">
        <f>IF($A1003="","",Entry!$L1006)</f>
        <v/>
      </c>
      <c r="N1003" t="str">
        <f>IF(OR(Sync!$M1003="",$Q1003="",$Q1003="نامعتبر"),"",Sync!$M1003)</f>
        <v/>
      </c>
      <c r="O1003" t="str">
        <f t="shared" si="108"/>
        <v/>
      </c>
      <c r="P1003" t="str">
        <f>IF($N1003="","",LEFT($Q1003,4)&amp;MID($Q1003,6,2)&amp;RIGHT($Q1003,2)&amp;IF(Sync!$K1003="","0000",IF(AND(ISNUMBER(Sync!$K1003),Sync!$K1003&gt;=0,Sync!$K1003&lt;1),RIGHT("00"&amp;HOUR(Sync!$K1003),2)&amp;RIGHT("00"&amp;MINUTE(Sync!$K1003),2),IFERROR(RIGHT("00"&amp;VALUE(LEFT(Sync!$K1003,FIND(":",Sync!$K1003)-1)),2)&amp;RIGHT("00"&amp;VALUE(MID(Sync!$K1003,FIND(":",Sync!$K1003)+1,2)),2),"0000")))&amp;"|"&amp;"2"&amp;RIGHT("00000"&amp;998,5))</f>
        <v/>
      </c>
      <c r="Q1003" t="str">
        <f>IF(Sync!$J1003="","",IF(ISNUMBER(Sync!$J1003),IF(AND(Sync!$J1003&gt;=10000101,Sync!$J1003&lt;=99991231),INT(Sync!$J1003/10000)&amp;"/"&amp;RIGHT("00"&amp;INT(MOD(Sync!$J1003,10000)/100),2)&amp;"/"&amp;RIGHT("00"&amp;MOD(Sync!$J1003,100),2),"نامعتبر"),IF(LEN(Sync!$J1003)=10,Sync!$J1003,"نامعتبر")))</f>
        <v/>
      </c>
      <c r="R1003" t="str">
        <f t="shared" si="109"/>
        <v/>
      </c>
      <c r="S1003" t="str">
        <f t="shared" si="110"/>
        <v/>
      </c>
      <c r="T1003" t="str">
        <f>IF($N1003="","",IF(Sync!$N1003="",0,Sync!$N1003))</f>
        <v/>
      </c>
      <c r="U1003" t="str">
        <f>IF($N1003="","",IF(Sync!$O1003="",0,Sync!$O1003))</f>
        <v/>
      </c>
      <c r="V1003" t="str">
        <f>IF($N1003="","",Sync!$L1003)</f>
        <v/>
      </c>
      <c r="W1003" t="str">
        <f>IF($N1003="","",Sync!$P1003)</f>
        <v/>
      </c>
      <c r="AA1003" t="str">
        <f>IF($A1003="","",IF(COUNTIF($A$6:$A1003,$A1003)=1,1,0))</f>
        <v/>
      </c>
      <c r="AB1003">
        <f>SUM($AA$6:$AA1003)</f>
        <v>3</v>
      </c>
      <c r="AC1003" t="str">
        <f t="shared" si="111"/>
        <v/>
      </c>
    </row>
    <row r="1004" spans="1:29" x14ac:dyDescent="0.2">
      <c r="A1004" t="str">
        <f>IF(OR(Entry!$B1007="",Entry!$E1007="",$E1004="نامعتبر"),"",Entry!$E1007)</f>
        <v/>
      </c>
      <c r="B1004" t="str">
        <f>IF($A1004="","",LEFT($E1004,4)&amp;MID($E1004,6,2)&amp;RIGHT($E1004,2)&amp;$F1004&amp;"|"&amp;"1"&amp;RIGHT("00000"&amp;999,5))</f>
        <v/>
      </c>
      <c r="C1004" t="str">
        <f t="shared" si="105"/>
        <v/>
      </c>
      <c r="D1004" t="str">
        <f t="shared" si="106"/>
        <v/>
      </c>
      <c r="E1004" t="str">
        <f>IF(Entry!$B1007="","",IF(ISNUMBER(Entry!$B1007),IF(AND(Entry!$B1007&gt;=10000101,Entry!$B1007&lt;=99991231),INT(Entry!$B1007/10000)&amp;"/"&amp;RIGHT("00"&amp;INT(MOD(Entry!$B1007,10000)/100),2)&amp;"/"&amp;RIGHT("00"&amp;MOD(Entry!$B1007,100),2),"نامعتبر"),IF(LEN(Entry!$B1007)=10,Entry!$B1007,"نامعتبر")))</f>
        <v/>
      </c>
      <c r="F1004" t="str">
        <f>IF(Entry!$B1007="","",IF(Entry!$C1007="","0000",IF(AND(ISNUMBER(Entry!$C1007),Entry!$C1007&gt;=0,Entry!$C1007&lt;1),RIGHT("00"&amp;HOUR(Entry!$C1007),2)&amp;RIGHT("00"&amp;MINUTE(Entry!$C1007),2),IFERROR(RIGHT("00"&amp;VALUE(LEFT(Entry!$C1007,FIND(":",Entry!$C1007)-1)),2)&amp;RIGHT("00"&amp;VALUE(MID(Entry!$C1007,FIND(":",Entry!$C1007)+1,2)),2),"0000"))))</f>
        <v/>
      </c>
      <c r="G1004" t="str">
        <f>IF($A1004="","",Entry!$G1007)</f>
        <v/>
      </c>
      <c r="H1004" t="str">
        <f>IF($A1004="","",IF(Entry!$H1007="",0,Entry!$H1007))</f>
        <v/>
      </c>
      <c r="I1004" t="str">
        <f>IF($A1004="","",IF(Entry!$I1007="",0,Entry!$I1007))</f>
        <v/>
      </c>
      <c r="J1004" t="str">
        <f t="shared" si="107"/>
        <v/>
      </c>
      <c r="K1004" t="str">
        <f>IF($A1004="","",Entry!$D1007)</f>
        <v/>
      </c>
      <c r="L1004" t="str">
        <f>IF($A1004="","",Entry!$L1007)</f>
        <v/>
      </c>
      <c r="N1004" t="str">
        <f>IF(OR(Sync!$M1004="",$Q1004="",$Q1004="نامعتبر"),"",Sync!$M1004)</f>
        <v/>
      </c>
      <c r="O1004" t="str">
        <f t="shared" si="108"/>
        <v/>
      </c>
      <c r="P1004" t="str">
        <f>IF($N1004="","",LEFT($Q1004,4)&amp;MID($Q1004,6,2)&amp;RIGHT($Q1004,2)&amp;IF(Sync!$K1004="","0000",IF(AND(ISNUMBER(Sync!$K1004),Sync!$K1004&gt;=0,Sync!$K1004&lt;1),RIGHT("00"&amp;HOUR(Sync!$K1004),2)&amp;RIGHT("00"&amp;MINUTE(Sync!$K1004),2),IFERROR(RIGHT("00"&amp;VALUE(LEFT(Sync!$K1004,FIND(":",Sync!$K1004)-1)),2)&amp;RIGHT("00"&amp;VALUE(MID(Sync!$K1004,FIND(":",Sync!$K1004)+1,2)),2),"0000")))&amp;"|"&amp;"2"&amp;RIGHT("00000"&amp;999,5))</f>
        <v/>
      </c>
      <c r="Q1004" t="str">
        <f>IF(Sync!$J1004="","",IF(ISNUMBER(Sync!$J1004),IF(AND(Sync!$J1004&gt;=10000101,Sync!$J1004&lt;=99991231),INT(Sync!$J1004/10000)&amp;"/"&amp;RIGHT("00"&amp;INT(MOD(Sync!$J1004,10000)/100),2)&amp;"/"&amp;RIGHT("00"&amp;MOD(Sync!$J1004,100),2),"نامعتبر"),IF(LEN(Sync!$J1004)=10,Sync!$J1004,"نامعتبر")))</f>
        <v/>
      </c>
      <c r="R1004" t="str">
        <f t="shared" si="109"/>
        <v/>
      </c>
      <c r="S1004" t="str">
        <f t="shared" si="110"/>
        <v/>
      </c>
      <c r="T1004" t="str">
        <f>IF($N1004="","",IF(Sync!$N1004="",0,Sync!$N1004))</f>
        <v/>
      </c>
      <c r="U1004" t="str">
        <f>IF($N1004="","",IF(Sync!$O1004="",0,Sync!$O1004))</f>
        <v/>
      </c>
      <c r="V1004" t="str">
        <f>IF($N1004="","",Sync!$L1004)</f>
        <v/>
      </c>
      <c r="W1004" t="str">
        <f>IF($N1004="","",Sync!$P1004)</f>
        <v/>
      </c>
      <c r="AA1004" t="str">
        <f>IF($A1004="","",IF(COUNTIF($A$6:$A1004,$A1004)=1,1,0))</f>
        <v/>
      </c>
      <c r="AB1004">
        <f>SUM($AA$6:$AA1004)</f>
        <v>3</v>
      </c>
      <c r="AC1004" t="str">
        <f t="shared" si="111"/>
        <v/>
      </c>
    </row>
    <row r="1005" spans="1:29" x14ac:dyDescent="0.2">
      <c r="A1005" t="str">
        <f>IF(OR(Entry!$B1008="",Entry!$E1008="",$E1005="نامعتبر"),"",Entry!$E1008)</f>
        <v/>
      </c>
      <c r="B1005" t="str">
        <f>IF($A1005="","",LEFT($E1005,4)&amp;MID($E1005,6,2)&amp;RIGHT($E1005,2)&amp;$F1005&amp;"|"&amp;"1"&amp;RIGHT("00000"&amp;1000,5))</f>
        <v/>
      </c>
      <c r="C1005" t="str">
        <f t="shared" si="105"/>
        <v/>
      </c>
      <c r="D1005" t="str">
        <f t="shared" si="106"/>
        <v/>
      </c>
      <c r="E1005" t="str">
        <f>IF(Entry!$B1008="","",IF(ISNUMBER(Entry!$B1008),IF(AND(Entry!$B1008&gt;=10000101,Entry!$B1008&lt;=99991231),INT(Entry!$B1008/10000)&amp;"/"&amp;RIGHT("00"&amp;INT(MOD(Entry!$B1008,10000)/100),2)&amp;"/"&amp;RIGHT("00"&amp;MOD(Entry!$B1008,100),2),"نامعتبر"),IF(LEN(Entry!$B1008)=10,Entry!$B1008,"نامعتبر")))</f>
        <v/>
      </c>
      <c r="F1005" t="str">
        <f>IF(Entry!$B1008="","",IF(Entry!$C1008="","0000",IF(AND(ISNUMBER(Entry!$C1008),Entry!$C1008&gt;=0,Entry!$C1008&lt;1),RIGHT("00"&amp;HOUR(Entry!$C1008),2)&amp;RIGHT("00"&amp;MINUTE(Entry!$C1008),2),IFERROR(RIGHT("00"&amp;VALUE(LEFT(Entry!$C1008,FIND(":",Entry!$C1008)-1)),2)&amp;RIGHT("00"&amp;VALUE(MID(Entry!$C1008,FIND(":",Entry!$C1008)+1,2)),2),"0000"))))</f>
        <v/>
      </c>
      <c r="G1005" t="str">
        <f>IF($A1005="","",Entry!$G1008)</f>
        <v/>
      </c>
      <c r="H1005" t="str">
        <f>IF($A1005="","",IF(Entry!$H1008="",0,Entry!$H1008))</f>
        <v/>
      </c>
      <c r="I1005" t="str">
        <f>IF($A1005="","",IF(Entry!$I1008="",0,Entry!$I1008))</f>
        <v/>
      </c>
      <c r="J1005" t="str">
        <f t="shared" si="107"/>
        <v/>
      </c>
      <c r="K1005" t="str">
        <f>IF($A1005="","",Entry!$D1008)</f>
        <v/>
      </c>
      <c r="L1005" t="str">
        <f>IF($A1005="","",Entry!$L1008)</f>
        <v/>
      </c>
      <c r="N1005" t="str">
        <f>IF(OR(Sync!$M1005="",$Q1005="",$Q1005="نامعتبر"),"",Sync!$M1005)</f>
        <v/>
      </c>
      <c r="O1005" t="str">
        <f t="shared" si="108"/>
        <v/>
      </c>
      <c r="P1005" t="str">
        <f>IF($N1005="","",LEFT($Q1005,4)&amp;MID($Q1005,6,2)&amp;RIGHT($Q1005,2)&amp;IF(Sync!$K1005="","0000",IF(AND(ISNUMBER(Sync!$K1005),Sync!$K1005&gt;=0,Sync!$K1005&lt;1),RIGHT("00"&amp;HOUR(Sync!$K1005),2)&amp;RIGHT("00"&amp;MINUTE(Sync!$K1005),2),IFERROR(RIGHT("00"&amp;VALUE(LEFT(Sync!$K1005,FIND(":",Sync!$K1005)-1)),2)&amp;RIGHT("00"&amp;VALUE(MID(Sync!$K1005,FIND(":",Sync!$K1005)+1,2)),2),"0000")))&amp;"|"&amp;"2"&amp;RIGHT("00000"&amp;1000,5))</f>
        <v/>
      </c>
      <c r="Q1005" t="str">
        <f>IF(Sync!$J1005="","",IF(ISNUMBER(Sync!$J1005),IF(AND(Sync!$J1005&gt;=10000101,Sync!$J1005&lt;=99991231),INT(Sync!$J1005/10000)&amp;"/"&amp;RIGHT("00"&amp;INT(MOD(Sync!$J1005,10000)/100),2)&amp;"/"&amp;RIGHT("00"&amp;MOD(Sync!$J1005,100),2),"نامعتبر"),IF(LEN(Sync!$J1005)=10,Sync!$J1005,"نامعتبر")))</f>
        <v/>
      </c>
      <c r="R1005" t="str">
        <f t="shared" si="109"/>
        <v/>
      </c>
      <c r="S1005" t="str">
        <f t="shared" si="110"/>
        <v/>
      </c>
      <c r="T1005" t="str">
        <f>IF($N1005="","",IF(Sync!$N1005="",0,Sync!$N1005))</f>
        <v/>
      </c>
      <c r="U1005" t="str">
        <f>IF($N1005="","",IF(Sync!$O1005="",0,Sync!$O1005))</f>
        <v/>
      </c>
      <c r="V1005" t="str">
        <f>IF($N1005="","",Sync!$L1005)</f>
        <v/>
      </c>
      <c r="W1005" t="str">
        <f>IF($N1005="","",Sync!$P1005)</f>
        <v/>
      </c>
      <c r="AA1005" t="str">
        <f>IF($A1005="","",IF(COUNTIF($A$6:$A1005,$A1005)=1,1,0))</f>
        <v/>
      </c>
      <c r="AB1005">
        <f>SUM($AA$6:$AA1005)</f>
        <v>3</v>
      </c>
      <c r="AC1005" t="str">
        <f t="shared" si="111"/>
        <v/>
      </c>
    </row>
    <row r="1006" spans="1:29" x14ac:dyDescent="0.2">
      <c r="N1006" t="str">
        <f>IF(OR(Sync!$M1006="",$Q1006="",$Q1006="نامعتبر"),"",Sync!$M1006)</f>
        <v/>
      </c>
      <c r="O1006" t="str">
        <f t="shared" si="108"/>
        <v/>
      </c>
      <c r="P1006" t="str">
        <f>IF($N1006="","",LEFT($Q1006,4)&amp;MID($Q1006,6,2)&amp;RIGHT($Q1006,2)&amp;IF(Sync!$K1006="","0000",IF(AND(ISNUMBER(Sync!$K1006),Sync!$K1006&gt;=0,Sync!$K1006&lt;1),RIGHT("00"&amp;HOUR(Sync!$K1006),2)&amp;RIGHT("00"&amp;MINUTE(Sync!$K1006),2),IFERROR(RIGHT("00"&amp;VALUE(LEFT(Sync!$K1006,FIND(":",Sync!$K1006)-1)),2)&amp;RIGHT("00"&amp;VALUE(MID(Sync!$K1006,FIND(":",Sync!$K1006)+1,2)),2),"0000")))&amp;"|"&amp;"2"&amp;RIGHT("00000"&amp;1001,5))</f>
        <v/>
      </c>
      <c r="Q1006" t="str">
        <f>IF(Sync!$J1006="","",IF(ISNUMBER(Sync!$J1006),IF(AND(Sync!$J1006&gt;=10000101,Sync!$J1006&lt;=99991231),INT(Sync!$J1006/10000)&amp;"/"&amp;RIGHT("00"&amp;INT(MOD(Sync!$J1006,10000)/100),2)&amp;"/"&amp;RIGHT("00"&amp;MOD(Sync!$J1006,100),2),"نامعتبر"),IF(LEN(Sync!$J1006)=10,Sync!$J1006,"نامعتبر")))</f>
        <v/>
      </c>
      <c r="R1006" t="str">
        <f t="shared" si="109"/>
        <v/>
      </c>
      <c r="S1006" t="str">
        <f t="shared" si="110"/>
        <v/>
      </c>
      <c r="T1006" t="str">
        <f>IF($N1006="","",IF(Sync!$N1006="",0,Sync!$N1006))</f>
        <v/>
      </c>
      <c r="U1006" t="str">
        <f>IF($N1006="","",IF(Sync!$O1006="",0,Sync!$O1006))</f>
        <v/>
      </c>
      <c r="V1006" t="str">
        <f>IF($N1006="","",Sync!$L1006)</f>
        <v/>
      </c>
      <c r="W1006" t="str">
        <f>IF($N1006="","",Sync!$P1006)</f>
        <v/>
      </c>
    </row>
    <row r="1007" spans="1:29" x14ac:dyDescent="0.2">
      <c r="N1007" t="str">
        <f>IF(OR(Sync!$M1007="",$Q1007="",$Q1007="نامعتبر"),"",Sync!$M1007)</f>
        <v/>
      </c>
      <c r="O1007" t="str">
        <f t="shared" si="108"/>
        <v/>
      </c>
      <c r="P1007" t="str">
        <f>IF($N1007="","",LEFT($Q1007,4)&amp;MID($Q1007,6,2)&amp;RIGHT($Q1007,2)&amp;IF(Sync!$K1007="","0000",IF(AND(ISNUMBER(Sync!$K1007),Sync!$K1007&gt;=0,Sync!$K1007&lt;1),RIGHT("00"&amp;HOUR(Sync!$K1007),2)&amp;RIGHT("00"&amp;MINUTE(Sync!$K1007),2),IFERROR(RIGHT("00"&amp;VALUE(LEFT(Sync!$K1007,FIND(":",Sync!$K1007)-1)),2)&amp;RIGHT("00"&amp;VALUE(MID(Sync!$K1007,FIND(":",Sync!$K1007)+1,2)),2),"0000")))&amp;"|"&amp;"2"&amp;RIGHT("00000"&amp;1002,5))</f>
        <v/>
      </c>
      <c r="Q1007" t="str">
        <f>IF(Sync!$J1007="","",IF(ISNUMBER(Sync!$J1007),IF(AND(Sync!$J1007&gt;=10000101,Sync!$J1007&lt;=99991231),INT(Sync!$J1007/10000)&amp;"/"&amp;RIGHT("00"&amp;INT(MOD(Sync!$J1007,10000)/100),2)&amp;"/"&amp;RIGHT("00"&amp;MOD(Sync!$J1007,100),2),"نامعتبر"),IF(LEN(Sync!$J1007)=10,Sync!$J1007,"نامعتبر")))</f>
        <v/>
      </c>
      <c r="R1007" t="str">
        <f t="shared" si="109"/>
        <v/>
      </c>
      <c r="S1007" t="str">
        <f t="shared" si="110"/>
        <v/>
      </c>
      <c r="T1007" t="str">
        <f>IF($N1007="","",IF(Sync!$N1007="",0,Sync!$N1007))</f>
        <v/>
      </c>
      <c r="U1007" t="str">
        <f>IF($N1007="","",IF(Sync!$O1007="",0,Sync!$O1007))</f>
        <v/>
      </c>
      <c r="V1007" t="str">
        <f>IF($N1007="","",Sync!$L1007)</f>
        <v/>
      </c>
      <c r="W1007" t="str">
        <f>IF($N1007="","",Sync!$P1007)</f>
        <v/>
      </c>
    </row>
    <row r="1008" spans="1:29" x14ac:dyDescent="0.2">
      <c r="N1008" t="str">
        <f>IF(OR(Sync!$M1008="",$Q1008="",$Q1008="نامعتبر"),"",Sync!$M1008)</f>
        <v/>
      </c>
      <c r="O1008" t="str">
        <f t="shared" si="108"/>
        <v/>
      </c>
      <c r="P1008" t="str">
        <f>IF($N1008="","",LEFT($Q1008,4)&amp;MID($Q1008,6,2)&amp;RIGHT($Q1008,2)&amp;IF(Sync!$K1008="","0000",IF(AND(ISNUMBER(Sync!$K1008),Sync!$K1008&gt;=0,Sync!$K1008&lt;1),RIGHT("00"&amp;HOUR(Sync!$K1008),2)&amp;RIGHT("00"&amp;MINUTE(Sync!$K1008),2),IFERROR(RIGHT("00"&amp;VALUE(LEFT(Sync!$K1008,FIND(":",Sync!$K1008)-1)),2)&amp;RIGHT("00"&amp;VALUE(MID(Sync!$K1008,FIND(":",Sync!$K1008)+1,2)),2),"0000")))&amp;"|"&amp;"2"&amp;RIGHT("00000"&amp;1003,5))</f>
        <v/>
      </c>
      <c r="Q1008" t="str">
        <f>IF(Sync!$J1008="","",IF(ISNUMBER(Sync!$J1008),IF(AND(Sync!$J1008&gt;=10000101,Sync!$J1008&lt;=99991231),INT(Sync!$J1008/10000)&amp;"/"&amp;RIGHT("00"&amp;INT(MOD(Sync!$J1008,10000)/100),2)&amp;"/"&amp;RIGHT("00"&amp;MOD(Sync!$J1008,100),2),"نامعتبر"),IF(LEN(Sync!$J1008)=10,Sync!$J1008,"نامعتبر")))</f>
        <v/>
      </c>
      <c r="R1008" t="str">
        <f t="shared" si="109"/>
        <v/>
      </c>
      <c r="S1008" t="str">
        <f t="shared" si="110"/>
        <v/>
      </c>
      <c r="T1008" t="str">
        <f>IF($N1008="","",IF(Sync!$N1008="",0,Sync!$N1008))</f>
        <v/>
      </c>
      <c r="U1008" t="str">
        <f>IF($N1008="","",IF(Sync!$O1008="",0,Sync!$O1008))</f>
        <v/>
      </c>
      <c r="V1008" t="str">
        <f>IF($N1008="","",Sync!$L1008)</f>
        <v/>
      </c>
      <c r="W1008" t="str">
        <f>IF($N1008="","",Sync!$P1008)</f>
        <v/>
      </c>
    </row>
    <row r="1009" spans="14:23" x14ac:dyDescent="0.2">
      <c r="N1009" t="str">
        <f>IF(OR(Sync!$M1009="",$Q1009="",$Q1009="نامعتبر"),"",Sync!$M1009)</f>
        <v/>
      </c>
      <c r="O1009" t="str">
        <f t="shared" si="108"/>
        <v/>
      </c>
      <c r="P1009" t="str">
        <f>IF($N1009="","",LEFT($Q1009,4)&amp;MID($Q1009,6,2)&amp;RIGHT($Q1009,2)&amp;IF(Sync!$K1009="","0000",IF(AND(ISNUMBER(Sync!$K1009),Sync!$K1009&gt;=0,Sync!$K1009&lt;1),RIGHT("00"&amp;HOUR(Sync!$K1009),2)&amp;RIGHT("00"&amp;MINUTE(Sync!$K1009),2),IFERROR(RIGHT("00"&amp;VALUE(LEFT(Sync!$K1009,FIND(":",Sync!$K1009)-1)),2)&amp;RIGHT("00"&amp;VALUE(MID(Sync!$K1009,FIND(":",Sync!$K1009)+1,2)),2),"0000")))&amp;"|"&amp;"2"&amp;RIGHT("00000"&amp;1004,5))</f>
        <v/>
      </c>
      <c r="Q1009" t="str">
        <f>IF(Sync!$J1009="","",IF(ISNUMBER(Sync!$J1009),IF(AND(Sync!$J1009&gt;=10000101,Sync!$J1009&lt;=99991231),INT(Sync!$J1009/10000)&amp;"/"&amp;RIGHT("00"&amp;INT(MOD(Sync!$J1009,10000)/100),2)&amp;"/"&amp;RIGHT("00"&amp;MOD(Sync!$J1009,100),2),"نامعتبر"),IF(LEN(Sync!$J1009)=10,Sync!$J1009,"نامعتبر")))</f>
        <v/>
      </c>
      <c r="R1009" t="str">
        <f t="shared" si="109"/>
        <v/>
      </c>
      <c r="S1009" t="str">
        <f t="shared" si="110"/>
        <v/>
      </c>
      <c r="T1009" t="str">
        <f>IF($N1009="","",IF(Sync!$N1009="",0,Sync!$N1009))</f>
        <v/>
      </c>
      <c r="U1009" t="str">
        <f>IF($N1009="","",IF(Sync!$O1009="",0,Sync!$O1009))</f>
        <v/>
      </c>
      <c r="V1009" t="str">
        <f>IF($N1009="","",Sync!$L1009)</f>
        <v/>
      </c>
      <c r="W1009" t="str">
        <f>IF($N1009="","",Sync!$P1009)</f>
        <v/>
      </c>
    </row>
    <row r="1010" spans="14:23" x14ac:dyDescent="0.2">
      <c r="N1010" t="str">
        <f>IF(OR(Sync!$M1010="",$Q1010="",$Q1010="نامعتبر"),"",Sync!$M1010)</f>
        <v/>
      </c>
      <c r="O1010" t="str">
        <f t="shared" si="108"/>
        <v/>
      </c>
      <c r="P1010" t="str">
        <f>IF($N1010="","",LEFT($Q1010,4)&amp;MID($Q1010,6,2)&amp;RIGHT($Q1010,2)&amp;IF(Sync!$K1010="","0000",IF(AND(ISNUMBER(Sync!$K1010),Sync!$K1010&gt;=0,Sync!$K1010&lt;1),RIGHT("00"&amp;HOUR(Sync!$K1010),2)&amp;RIGHT("00"&amp;MINUTE(Sync!$K1010),2),IFERROR(RIGHT("00"&amp;VALUE(LEFT(Sync!$K1010,FIND(":",Sync!$K1010)-1)),2)&amp;RIGHT("00"&amp;VALUE(MID(Sync!$K1010,FIND(":",Sync!$K1010)+1,2)),2),"0000")))&amp;"|"&amp;"2"&amp;RIGHT("00000"&amp;1005,5))</f>
        <v/>
      </c>
      <c r="Q1010" t="str">
        <f>IF(Sync!$J1010="","",IF(ISNUMBER(Sync!$J1010),IF(AND(Sync!$J1010&gt;=10000101,Sync!$J1010&lt;=99991231),INT(Sync!$J1010/10000)&amp;"/"&amp;RIGHT("00"&amp;INT(MOD(Sync!$J1010,10000)/100),2)&amp;"/"&amp;RIGHT("00"&amp;MOD(Sync!$J1010,100),2),"نامعتبر"),IF(LEN(Sync!$J1010)=10,Sync!$J1010,"نامعتبر")))</f>
        <v/>
      </c>
      <c r="R1010" t="str">
        <f t="shared" si="109"/>
        <v/>
      </c>
      <c r="S1010" t="str">
        <f t="shared" si="110"/>
        <v/>
      </c>
      <c r="T1010" t="str">
        <f>IF($N1010="","",IF(Sync!$N1010="",0,Sync!$N1010))</f>
        <v/>
      </c>
      <c r="U1010" t="str">
        <f>IF($N1010="","",IF(Sync!$O1010="",0,Sync!$O1010))</f>
        <v/>
      </c>
      <c r="V1010" t="str">
        <f>IF($N1010="","",Sync!$L1010)</f>
        <v/>
      </c>
      <c r="W1010" t="str">
        <f>IF($N1010="","",Sync!$P1010)</f>
        <v/>
      </c>
    </row>
    <row r="1011" spans="14:23" x14ac:dyDescent="0.2">
      <c r="N1011" t="str">
        <f>IF(OR(Sync!$M1011="",$Q1011="",$Q1011="نامعتبر"),"",Sync!$M1011)</f>
        <v/>
      </c>
      <c r="O1011" t="str">
        <f t="shared" si="108"/>
        <v/>
      </c>
      <c r="P1011" t="str">
        <f>IF($N1011="","",LEFT($Q1011,4)&amp;MID($Q1011,6,2)&amp;RIGHT($Q1011,2)&amp;IF(Sync!$K1011="","0000",IF(AND(ISNUMBER(Sync!$K1011),Sync!$K1011&gt;=0,Sync!$K1011&lt;1),RIGHT("00"&amp;HOUR(Sync!$K1011),2)&amp;RIGHT("00"&amp;MINUTE(Sync!$K1011),2),IFERROR(RIGHT("00"&amp;VALUE(LEFT(Sync!$K1011,FIND(":",Sync!$K1011)-1)),2)&amp;RIGHT("00"&amp;VALUE(MID(Sync!$K1011,FIND(":",Sync!$K1011)+1,2)),2),"0000")))&amp;"|"&amp;"2"&amp;RIGHT("00000"&amp;1006,5))</f>
        <v/>
      </c>
      <c r="Q1011" t="str">
        <f>IF(Sync!$J1011="","",IF(ISNUMBER(Sync!$J1011),IF(AND(Sync!$J1011&gt;=10000101,Sync!$J1011&lt;=99991231),INT(Sync!$J1011/10000)&amp;"/"&amp;RIGHT("00"&amp;INT(MOD(Sync!$J1011,10000)/100),2)&amp;"/"&amp;RIGHT("00"&amp;MOD(Sync!$J1011,100),2),"نامعتبر"),IF(LEN(Sync!$J1011)=10,Sync!$J1011,"نامعتبر")))</f>
        <v/>
      </c>
      <c r="R1011" t="str">
        <f t="shared" si="109"/>
        <v/>
      </c>
      <c r="S1011" t="str">
        <f t="shared" si="110"/>
        <v/>
      </c>
      <c r="T1011" t="str">
        <f>IF($N1011="","",IF(Sync!$N1011="",0,Sync!$N1011))</f>
        <v/>
      </c>
      <c r="U1011" t="str">
        <f>IF($N1011="","",IF(Sync!$O1011="",0,Sync!$O1011))</f>
        <v/>
      </c>
      <c r="V1011" t="str">
        <f>IF($N1011="","",Sync!$L1011)</f>
        <v/>
      </c>
      <c r="W1011" t="str">
        <f>IF($N1011="","",Sync!$P1011)</f>
        <v/>
      </c>
    </row>
    <row r="1012" spans="14:23" x14ac:dyDescent="0.2">
      <c r="N1012" t="str">
        <f>IF(OR(Sync!$M1012="",$Q1012="",$Q1012="نامعتبر"),"",Sync!$M1012)</f>
        <v/>
      </c>
      <c r="O1012" t="str">
        <f t="shared" si="108"/>
        <v/>
      </c>
      <c r="P1012" t="str">
        <f>IF($N1012="","",LEFT($Q1012,4)&amp;MID($Q1012,6,2)&amp;RIGHT($Q1012,2)&amp;IF(Sync!$K1012="","0000",IF(AND(ISNUMBER(Sync!$K1012),Sync!$K1012&gt;=0,Sync!$K1012&lt;1),RIGHT("00"&amp;HOUR(Sync!$K1012),2)&amp;RIGHT("00"&amp;MINUTE(Sync!$K1012),2),IFERROR(RIGHT("00"&amp;VALUE(LEFT(Sync!$K1012,FIND(":",Sync!$K1012)-1)),2)&amp;RIGHT("00"&amp;VALUE(MID(Sync!$K1012,FIND(":",Sync!$K1012)+1,2)),2),"0000")))&amp;"|"&amp;"2"&amp;RIGHT("00000"&amp;1007,5))</f>
        <v/>
      </c>
      <c r="Q1012" t="str">
        <f>IF(Sync!$J1012="","",IF(ISNUMBER(Sync!$J1012),IF(AND(Sync!$J1012&gt;=10000101,Sync!$J1012&lt;=99991231),INT(Sync!$J1012/10000)&amp;"/"&amp;RIGHT("00"&amp;INT(MOD(Sync!$J1012,10000)/100),2)&amp;"/"&amp;RIGHT("00"&amp;MOD(Sync!$J1012,100),2),"نامعتبر"),IF(LEN(Sync!$J1012)=10,Sync!$J1012,"نامعتبر")))</f>
        <v/>
      </c>
      <c r="R1012" t="str">
        <f t="shared" si="109"/>
        <v/>
      </c>
      <c r="S1012" t="str">
        <f t="shared" si="110"/>
        <v/>
      </c>
      <c r="T1012" t="str">
        <f>IF($N1012="","",IF(Sync!$N1012="",0,Sync!$N1012))</f>
        <v/>
      </c>
      <c r="U1012" t="str">
        <f>IF($N1012="","",IF(Sync!$O1012="",0,Sync!$O1012))</f>
        <v/>
      </c>
      <c r="V1012" t="str">
        <f>IF($N1012="","",Sync!$L1012)</f>
        <v/>
      </c>
      <c r="W1012" t="str">
        <f>IF($N1012="","",Sync!$P1012)</f>
        <v/>
      </c>
    </row>
    <row r="1013" spans="14:23" x14ac:dyDescent="0.2">
      <c r="N1013" t="str">
        <f>IF(OR(Sync!$M1013="",$Q1013="",$Q1013="نامعتبر"),"",Sync!$M1013)</f>
        <v/>
      </c>
      <c r="O1013" t="str">
        <f t="shared" si="108"/>
        <v/>
      </c>
      <c r="P1013" t="str">
        <f>IF($N1013="","",LEFT($Q1013,4)&amp;MID($Q1013,6,2)&amp;RIGHT($Q1013,2)&amp;IF(Sync!$K1013="","0000",IF(AND(ISNUMBER(Sync!$K1013),Sync!$K1013&gt;=0,Sync!$K1013&lt;1),RIGHT("00"&amp;HOUR(Sync!$K1013),2)&amp;RIGHT("00"&amp;MINUTE(Sync!$K1013),2),IFERROR(RIGHT("00"&amp;VALUE(LEFT(Sync!$K1013,FIND(":",Sync!$K1013)-1)),2)&amp;RIGHT("00"&amp;VALUE(MID(Sync!$K1013,FIND(":",Sync!$K1013)+1,2)),2),"0000")))&amp;"|"&amp;"2"&amp;RIGHT("00000"&amp;1008,5))</f>
        <v/>
      </c>
      <c r="Q1013" t="str">
        <f>IF(Sync!$J1013="","",IF(ISNUMBER(Sync!$J1013),IF(AND(Sync!$J1013&gt;=10000101,Sync!$J1013&lt;=99991231),INT(Sync!$J1013/10000)&amp;"/"&amp;RIGHT("00"&amp;INT(MOD(Sync!$J1013,10000)/100),2)&amp;"/"&amp;RIGHT("00"&amp;MOD(Sync!$J1013,100),2),"نامعتبر"),IF(LEN(Sync!$J1013)=10,Sync!$J1013,"نامعتبر")))</f>
        <v/>
      </c>
      <c r="R1013" t="str">
        <f t="shared" si="109"/>
        <v/>
      </c>
      <c r="S1013" t="str">
        <f t="shared" si="110"/>
        <v/>
      </c>
      <c r="T1013" t="str">
        <f>IF($N1013="","",IF(Sync!$N1013="",0,Sync!$N1013))</f>
        <v/>
      </c>
      <c r="U1013" t="str">
        <f>IF($N1013="","",IF(Sync!$O1013="",0,Sync!$O1013))</f>
        <v/>
      </c>
      <c r="V1013" t="str">
        <f>IF($N1013="","",Sync!$L1013)</f>
        <v/>
      </c>
      <c r="W1013" t="str">
        <f>IF($N1013="","",Sync!$P1013)</f>
        <v/>
      </c>
    </row>
    <row r="1014" spans="14:23" x14ac:dyDescent="0.2">
      <c r="N1014" t="str">
        <f>IF(OR(Sync!$M1014="",$Q1014="",$Q1014="نامعتبر"),"",Sync!$M1014)</f>
        <v/>
      </c>
      <c r="O1014" t="str">
        <f t="shared" si="108"/>
        <v/>
      </c>
      <c r="P1014" t="str">
        <f>IF($N1014="","",LEFT($Q1014,4)&amp;MID($Q1014,6,2)&amp;RIGHT($Q1014,2)&amp;IF(Sync!$K1014="","0000",IF(AND(ISNUMBER(Sync!$K1014),Sync!$K1014&gt;=0,Sync!$K1014&lt;1),RIGHT("00"&amp;HOUR(Sync!$K1014),2)&amp;RIGHT("00"&amp;MINUTE(Sync!$K1014),2),IFERROR(RIGHT("00"&amp;VALUE(LEFT(Sync!$K1014,FIND(":",Sync!$K1014)-1)),2)&amp;RIGHT("00"&amp;VALUE(MID(Sync!$K1014,FIND(":",Sync!$K1014)+1,2)),2),"0000")))&amp;"|"&amp;"2"&amp;RIGHT("00000"&amp;1009,5))</f>
        <v/>
      </c>
      <c r="Q1014" t="str">
        <f>IF(Sync!$J1014="","",IF(ISNUMBER(Sync!$J1014),IF(AND(Sync!$J1014&gt;=10000101,Sync!$J1014&lt;=99991231),INT(Sync!$J1014/10000)&amp;"/"&amp;RIGHT("00"&amp;INT(MOD(Sync!$J1014,10000)/100),2)&amp;"/"&amp;RIGHT("00"&amp;MOD(Sync!$J1014,100),2),"نامعتبر"),IF(LEN(Sync!$J1014)=10,Sync!$J1014,"نامعتبر")))</f>
        <v/>
      </c>
      <c r="R1014" t="str">
        <f t="shared" si="109"/>
        <v/>
      </c>
      <c r="S1014" t="str">
        <f t="shared" si="110"/>
        <v/>
      </c>
      <c r="T1014" t="str">
        <f>IF($N1014="","",IF(Sync!$N1014="",0,Sync!$N1014))</f>
        <v/>
      </c>
      <c r="U1014" t="str">
        <f>IF($N1014="","",IF(Sync!$O1014="",0,Sync!$O1014))</f>
        <v/>
      </c>
      <c r="V1014" t="str">
        <f>IF($N1014="","",Sync!$L1014)</f>
        <v/>
      </c>
      <c r="W1014" t="str">
        <f>IF($N1014="","",Sync!$P1014)</f>
        <v/>
      </c>
    </row>
    <row r="1015" spans="14:23" x14ac:dyDescent="0.2">
      <c r="N1015" t="str">
        <f>IF(OR(Sync!$M1015="",$Q1015="",$Q1015="نامعتبر"),"",Sync!$M1015)</f>
        <v/>
      </c>
      <c r="O1015" t="str">
        <f t="shared" si="108"/>
        <v/>
      </c>
      <c r="P1015" t="str">
        <f>IF($N1015="","",LEFT($Q1015,4)&amp;MID($Q1015,6,2)&amp;RIGHT($Q1015,2)&amp;IF(Sync!$K1015="","0000",IF(AND(ISNUMBER(Sync!$K1015),Sync!$K1015&gt;=0,Sync!$K1015&lt;1),RIGHT("00"&amp;HOUR(Sync!$K1015),2)&amp;RIGHT("00"&amp;MINUTE(Sync!$K1015),2),IFERROR(RIGHT("00"&amp;VALUE(LEFT(Sync!$K1015,FIND(":",Sync!$K1015)-1)),2)&amp;RIGHT("00"&amp;VALUE(MID(Sync!$K1015,FIND(":",Sync!$K1015)+1,2)),2),"0000")))&amp;"|"&amp;"2"&amp;RIGHT("00000"&amp;1010,5))</f>
        <v/>
      </c>
      <c r="Q1015" t="str">
        <f>IF(Sync!$J1015="","",IF(ISNUMBER(Sync!$J1015),IF(AND(Sync!$J1015&gt;=10000101,Sync!$J1015&lt;=99991231),INT(Sync!$J1015/10000)&amp;"/"&amp;RIGHT("00"&amp;INT(MOD(Sync!$J1015,10000)/100),2)&amp;"/"&amp;RIGHT("00"&amp;MOD(Sync!$J1015,100),2),"نامعتبر"),IF(LEN(Sync!$J1015)=10,Sync!$J1015,"نامعتبر")))</f>
        <v/>
      </c>
      <c r="R1015" t="str">
        <f t="shared" si="109"/>
        <v/>
      </c>
      <c r="S1015" t="str">
        <f t="shared" si="110"/>
        <v/>
      </c>
      <c r="T1015" t="str">
        <f>IF($N1015="","",IF(Sync!$N1015="",0,Sync!$N1015))</f>
        <v/>
      </c>
      <c r="U1015" t="str">
        <f>IF($N1015="","",IF(Sync!$O1015="",0,Sync!$O1015))</f>
        <v/>
      </c>
      <c r="V1015" t="str">
        <f>IF($N1015="","",Sync!$L1015)</f>
        <v/>
      </c>
      <c r="W1015" t="str">
        <f>IF($N1015="","",Sync!$P1015)</f>
        <v/>
      </c>
    </row>
    <row r="1016" spans="14:23" x14ac:dyDescent="0.2">
      <c r="N1016" t="str">
        <f>IF(OR(Sync!$M1016="",$Q1016="",$Q1016="نامعتبر"),"",Sync!$M1016)</f>
        <v/>
      </c>
      <c r="O1016" t="str">
        <f t="shared" si="108"/>
        <v/>
      </c>
      <c r="P1016" t="str">
        <f>IF($N1016="","",LEFT($Q1016,4)&amp;MID($Q1016,6,2)&amp;RIGHT($Q1016,2)&amp;IF(Sync!$K1016="","0000",IF(AND(ISNUMBER(Sync!$K1016),Sync!$K1016&gt;=0,Sync!$K1016&lt;1),RIGHT("00"&amp;HOUR(Sync!$K1016),2)&amp;RIGHT("00"&amp;MINUTE(Sync!$K1016),2),IFERROR(RIGHT("00"&amp;VALUE(LEFT(Sync!$K1016,FIND(":",Sync!$K1016)-1)),2)&amp;RIGHT("00"&amp;VALUE(MID(Sync!$K1016,FIND(":",Sync!$K1016)+1,2)),2),"0000")))&amp;"|"&amp;"2"&amp;RIGHT("00000"&amp;1011,5))</f>
        <v/>
      </c>
      <c r="Q1016" t="str">
        <f>IF(Sync!$J1016="","",IF(ISNUMBER(Sync!$J1016),IF(AND(Sync!$J1016&gt;=10000101,Sync!$J1016&lt;=99991231),INT(Sync!$J1016/10000)&amp;"/"&amp;RIGHT("00"&amp;INT(MOD(Sync!$J1016,10000)/100),2)&amp;"/"&amp;RIGHT("00"&amp;MOD(Sync!$J1016,100),2),"نامعتبر"),IF(LEN(Sync!$J1016)=10,Sync!$J1016,"نامعتبر")))</f>
        <v/>
      </c>
      <c r="R1016" t="str">
        <f t="shared" si="109"/>
        <v/>
      </c>
      <c r="S1016" t="str">
        <f t="shared" si="110"/>
        <v/>
      </c>
      <c r="T1016" t="str">
        <f>IF($N1016="","",IF(Sync!$N1016="",0,Sync!$N1016))</f>
        <v/>
      </c>
      <c r="U1016" t="str">
        <f>IF($N1016="","",IF(Sync!$O1016="",0,Sync!$O1016))</f>
        <v/>
      </c>
      <c r="V1016" t="str">
        <f>IF($N1016="","",Sync!$L1016)</f>
        <v/>
      </c>
      <c r="W1016" t="str">
        <f>IF($N1016="","",Sync!$P1016)</f>
        <v/>
      </c>
    </row>
    <row r="1017" spans="14:23" x14ac:dyDescent="0.2">
      <c r="N1017" t="str">
        <f>IF(OR(Sync!$M1017="",$Q1017="",$Q1017="نامعتبر"),"",Sync!$M1017)</f>
        <v/>
      </c>
      <c r="O1017" t="str">
        <f t="shared" si="108"/>
        <v/>
      </c>
      <c r="P1017" t="str">
        <f>IF($N1017="","",LEFT($Q1017,4)&amp;MID($Q1017,6,2)&amp;RIGHT($Q1017,2)&amp;IF(Sync!$K1017="","0000",IF(AND(ISNUMBER(Sync!$K1017),Sync!$K1017&gt;=0,Sync!$K1017&lt;1),RIGHT("00"&amp;HOUR(Sync!$K1017),2)&amp;RIGHT("00"&amp;MINUTE(Sync!$K1017),2),IFERROR(RIGHT("00"&amp;VALUE(LEFT(Sync!$K1017,FIND(":",Sync!$K1017)-1)),2)&amp;RIGHT("00"&amp;VALUE(MID(Sync!$K1017,FIND(":",Sync!$K1017)+1,2)),2),"0000")))&amp;"|"&amp;"2"&amp;RIGHT("00000"&amp;1012,5))</f>
        <v/>
      </c>
      <c r="Q1017" t="str">
        <f>IF(Sync!$J1017="","",IF(ISNUMBER(Sync!$J1017),IF(AND(Sync!$J1017&gt;=10000101,Sync!$J1017&lt;=99991231),INT(Sync!$J1017/10000)&amp;"/"&amp;RIGHT("00"&amp;INT(MOD(Sync!$J1017,10000)/100),2)&amp;"/"&amp;RIGHT("00"&amp;MOD(Sync!$J1017,100),2),"نامعتبر"),IF(LEN(Sync!$J1017)=10,Sync!$J1017,"نامعتبر")))</f>
        <v/>
      </c>
      <c r="R1017" t="str">
        <f t="shared" si="109"/>
        <v/>
      </c>
      <c r="S1017" t="str">
        <f t="shared" si="110"/>
        <v/>
      </c>
      <c r="T1017" t="str">
        <f>IF($N1017="","",IF(Sync!$N1017="",0,Sync!$N1017))</f>
        <v/>
      </c>
      <c r="U1017" t="str">
        <f>IF($N1017="","",IF(Sync!$O1017="",0,Sync!$O1017))</f>
        <v/>
      </c>
      <c r="V1017" t="str">
        <f>IF($N1017="","",Sync!$L1017)</f>
        <v/>
      </c>
      <c r="W1017" t="str">
        <f>IF($N1017="","",Sync!$P1017)</f>
        <v/>
      </c>
    </row>
    <row r="1018" spans="14:23" x14ac:dyDescent="0.2">
      <c r="N1018" t="str">
        <f>IF(OR(Sync!$M1018="",$Q1018="",$Q1018="نامعتبر"),"",Sync!$M1018)</f>
        <v/>
      </c>
      <c r="O1018" t="str">
        <f t="shared" si="108"/>
        <v/>
      </c>
      <c r="P1018" t="str">
        <f>IF($N1018="","",LEFT($Q1018,4)&amp;MID($Q1018,6,2)&amp;RIGHT($Q1018,2)&amp;IF(Sync!$K1018="","0000",IF(AND(ISNUMBER(Sync!$K1018),Sync!$K1018&gt;=0,Sync!$K1018&lt;1),RIGHT("00"&amp;HOUR(Sync!$K1018),2)&amp;RIGHT("00"&amp;MINUTE(Sync!$K1018),2),IFERROR(RIGHT("00"&amp;VALUE(LEFT(Sync!$K1018,FIND(":",Sync!$K1018)-1)),2)&amp;RIGHT("00"&amp;VALUE(MID(Sync!$K1018,FIND(":",Sync!$K1018)+1,2)),2),"0000")))&amp;"|"&amp;"2"&amp;RIGHT("00000"&amp;1013,5))</f>
        <v/>
      </c>
      <c r="Q1018" t="str">
        <f>IF(Sync!$J1018="","",IF(ISNUMBER(Sync!$J1018),IF(AND(Sync!$J1018&gt;=10000101,Sync!$J1018&lt;=99991231),INT(Sync!$J1018/10000)&amp;"/"&amp;RIGHT("00"&amp;INT(MOD(Sync!$J1018,10000)/100),2)&amp;"/"&amp;RIGHT("00"&amp;MOD(Sync!$J1018,100),2),"نامعتبر"),IF(LEN(Sync!$J1018)=10,Sync!$J1018,"نامعتبر")))</f>
        <v/>
      </c>
      <c r="R1018" t="str">
        <f t="shared" si="109"/>
        <v/>
      </c>
      <c r="S1018" t="str">
        <f t="shared" si="110"/>
        <v/>
      </c>
      <c r="T1018" t="str">
        <f>IF($N1018="","",IF(Sync!$N1018="",0,Sync!$N1018))</f>
        <v/>
      </c>
      <c r="U1018" t="str">
        <f>IF($N1018="","",IF(Sync!$O1018="",0,Sync!$O1018))</f>
        <v/>
      </c>
      <c r="V1018" t="str">
        <f>IF($N1018="","",Sync!$L1018)</f>
        <v/>
      </c>
      <c r="W1018" t="str">
        <f>IF($N1018="","",Sync!$P1018)</f>
        <v/>
      </c>
    </row>
    <row r="1019" spans="14:23" x14ac:dyDescent="0.2">
      <c r="N1019" t="str">
        <f>IF(OR(Sync!$M1019="",$Q1019="",$Q1019="نامعتبر"),"",Sync!$M1019)</f>
        <v/>
      </c>
      <c r="O1019" t="str">
        <f t="shared" si="108"/>
        <v/>
      </c>
      <c r="P1019" t="str">
        <f>IF($N1019="","",LEFT($Q1019,4)&amp;MID($Q1019,6,2)&amp;RIGHT($Q1019,2)&amp;IF(Sync!$K1019="","0000",IF(AND(ISNUMBER(Sync!$K1019),Sync!$K1019&gt;=0,Sync!$K1019&lt;1),RIGHT("00"&amp;HOUR(Sync!$K1019),2)&amp;RIGHT("00"&amp;MINUTE(Sync!$K1019),2),IFERROR(RIGHT("00"&amp;VALUE(LEFT(Sync!$K1019,FIND(":",Sync!$K1019)-1)),2)&amp;RIGHT("00"&amp;VALUE(MID(Sync!$K1019,FIND(":",Sync!$K1019)+1,2)),2),"0000")))&amp;"|"&amp;"2"&amp;RIGHT("00000"&amp;1014,5))</f>
        <v/>
      </c>
      <c r="Q1019" t="str">
        <f>IF(Sync!$J1019="","",IF(ISNUMBER(Sync!$J1019),IF(AND(Sync!$J1019&gt;=10000101,Sync!$J1019&lt;=99991231),INT(Sync!$J1019/10000)&amp;"/"&amp;RIGHT("00"&amp;INT(MOD(Sync!$J1019,10000)/100),2)&amp;"/"&amp;RIGHT("00"&amp;MOD(Sync!$J1019,100),2),"نامعتبر"),IF(LEN(Sync!$J1019)=10,Sync!$J1019,"نامعتبر")))</f>
        <v/>
      </c>
      <c r="R1019" t="str">
        <f t="shared" si="109"/>
        <v/>
      </c>
      <c r="S1019" t="str">
        <f t="shared" si="110"/>
        <v/>
      </c>
      <c r="T1019" t="str">
        <f>IF($N1019="","",IF(Sync!$N1019="",0,Sync!$N1019))</f>
        <v/>
      </c>
      <c r="U1019" t="str">
        <f>IF($N1019="","",IF(Sync!$O1019="",0,Sync!$O1019))</f>
        <v/>
      </c>
      <c r="V1019" t="str">
        <f>IF($N1019="","",Sync!$L1019)</f>
        <v/>
      </c>
      <c r="W1019" t="str">
        <f>IF($N1019="","",Sync!$P1019)</f>
        <v/>
      </c>
    </row>
    <row r="1020" spans="14:23" x14ac:dyDescent="0.2">
      <c r="N1020" t="str">
        <f>IF(OR(Sync!$M1020="",$Q1020="",$Q1020="نامعتبر"),"",Sync!$M1020)</f>
        <v/>
      </c>
      <c r="O1020" t="str">
        <f t="shared" si="108"/>
        <v/>
      </c>
      <c r="P1020" t="str">
        <f>IF($N1020="","",LEFT($Q1020,4)&amp;MID($Q1020,6,2)&amp;RIGHT($Q1020,2)&amp;IF(Sync!$K1020="","0000",IF(AND(ISNUMBER(Sync!$K1020),Sync!$K1020&gt;=0,Sync!$K1020&lt;1),RIGHT("00"&amp;HOUR(Sync!$K1020),2)&amp;RIGHT("00"&amp;MINUTE(Sync!$K1020),2),IFERROR(RIGHT("00"&amp;VALUE(LEFT(Sync!$K1020,FIND(":",Sync!$K1020)-1)),2)&amp;RIGHT("00"&amp;VALUE(MID(Sync!$K1020,FIND(":",Sync!$K1020)+1,2)),2),"0000")))&amp;"|"&amp;"2"&amp;RIGHT("00000"&amp;1015,5))</f>
        <v/>
      </c>
      <c r="Q1020" t="str">
        <f>IF(Sync!$J1020="","",IF(ISNUMBER(Sync!$J1020),IF(AND(Sync!$J1020&gt;=10000101,Sync!$J1020&lt;=99991231),INT(Sync!$J1020/10000)&amp;"/"&amp;RIGHT("00"&amp;INT(MOD(Sync!$J1020,10000)/100),2)&amp;"/"&amp;RIGHT("00"&amp;MOD(Sync!$J1020,100),2),"نامعتبر"),IF(LEN(Sync!$J1020)=10,Sync!$J1020,"نامعتبر")))</f>
        <v/>
      </c>
      <c r="R1020" t="str">
        <f t="shared" si="109"/>
        <v/>
      </c>
      <c r="S1020" t="str">
        <f t="shared" si="110"/>
        <v/>
      </c>
      <c r="T1020" t="str">
        <f>IF($N1020="","",IF(Sync!$N1020="",0,Sync!$N1020))</f>
        <v/>
      </c>
      <c r="U1020" t="str">
        <f>IF($N1020="","",IF(Sync!$O1020="",0,Sync!$O1020))</f>
        <v/>
      </c>
      <c r="V1020" t="str">
        <f>IF($N1020="","",Sync!$L1020)</f>
        <v/>
      </c>
      <c r="W1020" t="str">
        <f>IF($N1020="","",Sync!$P1020)</f>
        <v/>
      </c>
    </row>
    <row r="1021" spans="14:23" x14ac:dyDescent="0.2">
      <c r="N1021" t="str">
        <f>IF(OR(Sync!$M1021="",$Q1021="",$Q1021="نامعتبر"),"",Sync!$M1021)</f>
        <v/>
      </c>
      <c r="O1021" t="str">
        <f t="shared" si="108"/>
        <v/>
      </c>
      <c r="P1021" t="str">
        <f>IF($N1021="","",LEFT($Q1021,4)&amp;MID($Q1021,6,2)&amp;RIGHT($Q1021,2)&amp;IF(Sync!$K1021="","0000",IF(AND(ISNUMBER(Sync!$K1021),Sync!$K1021&gt;=0,Sync!$K1021&lt;1),RIGHT("00"&amp;HOUR(Sync!$K1021),2)&amp;RIGHT("00"&amp;MINUTE(Sync!$K1021),2),IFERROR(RIGHT("00"&amp;VALUE(LEFT(Sync!$K1021,FIND(":",Sync!$K1021)-1)),2)&amp;RIGHT("00"&amp;VALUE(MID(Sync!$K1021,FIND(":",Sync!$K1021)+1,2)),2),"0000")))&amp;"|"&amp;"2"&amp;RIGHT("00000"&amp;1016,5))</f>
        <v/>
      </c>
      <c r="Q1021" t="str">
        <f>IF(Sync!$J1021="","",IF(ISNUMBER(Sync!$J1021),IF(AND(Sync!$J1021&gt;=10000101,Sync!$J1021&lt;=99991231),INT(Sync!$J1021/10000)&amp;"/"&amp;RIGHT("00"&amp;INT(MOD(Sync!$J1021,10000)/100),2)&amp;"/"&amp;RIGHT("00"&amp;MOD(Sync!$J1021,100),2),"نامعتبر"),IF(LEN(Sync!$J1021)=10,Sync!$J1021,"نامعتبر")))</f>
        <v/>
      </c>
      <c r="R1021" t="str">
        <f t="shared" si="109"/>
        <v/>
      </c>
      <c r="S1021" t="str">
        <f t="shared" si="110"/>
        <v/>
      </c>
      <c r="T1021" t="str">
        <f>IF($N1021="","",IF(Sync!$N1021="",0,Sync!$N1021))</f>
        <v/>
      </c>
      <c r="U1021" t="str">
        <f>IF($N1021="","",IF(Sync!$O1021="",0,Sync!$O1021))</f>
        <v/>
      </c>
      <c r="V1021" t="str">
        <f>IF($N1021="","",Sync!$L1021)</f>
        <v/>
      </c>
      <c r="W1021" t="str">
        <f>IF($N1021="","",Sync!$P1021)</f>
        <v/>
      </c>
    </row>
    <row r="1022" spans="14:23" x14ac:dyDescent="0.2">
      <c r="N1022" t="str">
        <f>IF(OR(Sync!$M1022="",$Q1022="",$Q1022="نامعتبر"),"",Sync!$M1022)</f>
        <v/>
      </c>
      <c r="O1022" t="str">
        <f t="shared" si="108"/>
        <v/>
      </c>
      <c r="P1022" t="str">
        <f>IF($N1022="","",LEFT($Q1022,4)&amp;MID($Q1022,6,2)&amp;RIGHT($Q1022,2)&amp;IF(Sync!$K1022="","0000",IF(AND(ISNUMBER(Sync!$K1022),Sync!$K1022&gt;=0,Sync!$K1022&lt;1),RIGHT("00"&amp;HOUR(Sync!$K1022),2)&amp;RIGHT("00"&amp;MINUTE(Sync!$K1022),2),IFERROR(RIGHT("00"&amp;VALUE(LEFT(Sync!$K1022,FIND(":",Sync!$K1022)-1)),2)&amp;RIGHT("00"&amp;VALUE(MID(Sync!$K1022,FIND(":",Sync!$K1022)+1,2)),2),"0000")))&amp;"|"&amp;"2"&amp;RIGHT("00000"&amp;1017,5))</f>
        <v/>
      </c>
      <c r="Q1022" t="str">
        <f>IF(Sync!$J1022="","",IF(ISNUMBER(Sync!$J1022),IF(AND(Sync!$J1022&gt;=10000101,Sync!$J1022&lt;=99991231),INT(Sync!$J1022/10000)&amp;"/"&amp;RIGHT("00"&amp;INT(MOD(Sync!$J1022,10000)/100),2)&amp;"/"&amp;RIGHT("00"&amp;MOD(Sync!$J1022,100),2),"نامعتبر"),IF(LEN(Sync!$J1022)=10,Sync!$J1022,"نامعتبر")))</f>
        <v/>
      </c>
      <c r="R1022" t="str">
        <f t="shared" si="109"/>
        <v/>
      </c>
      <c r="S1022" t="str">
        <f t="shared" si="110"/>
        <v/>
      </c>
      <c r="T1022" t="str">
        <f>IF($N1022="","",IF(Sync!$N1022="",0,Sync!$N1022))</f>
        <v/>
      </c>
      <c r="U1022" t="str">
        <f>IF($N1022="","",IF(Sync!$O1022="",0,Sync!$O1022))</f>
        <v/>
      </c>
      <c r="V1022" t="str">
        <f>IF($N1022="","",Sync!$L1022)</f>
        <v/>
      </c>
      <c r="W1022" t="str">
        <f>IF($N1022="","",Sync!$P1022)</f>
        <v/>
      </c>
    </row>
    <row r="1023" spans="14:23" x14ac:dyDescent="0.2">
      <c r="N1023" t="str">
        <f>IF(OR(Sync!$M1023="",$Q1023="",$Q1023="نامعتبر"),"",Sync!$M1023)</f>
        <v/>
      </c>
      <c r="O1023" t="str">
        <f t="shared" si="108"/>
        <v/>
      </c>
      <c r="P1023" t="str">
        <f>IF($N1023="","",LEFT($Q1023,4)&amp;MID($Q1023,6,2)&amp;RIGHT($Q1023,2)&amp;IF(Sync!$K1023="","0000",IF(AND(ISNUMBER(Sync!$K1023),Sync!$K1023&gt;=0,Sync!$K1023&lt;1),RIGHT("00"&amp;HOUR(Sync!$K1023),2)&amp;RIGHT("00"&amp;MINUTE(Sync!$K1023),2),IFERROR(RIGHT("00"&amp;VALUE(LEFT(Sync!$K1023,FIND(":",Sync!$K1023)-1)),2)&amp;RIGHT("00"&amp;VALUE(MID(Sync!$K1023,FIND(":",Sync!$K1023)+1,2)),2),"0000")))&amp;"|"&amp;"2"&amp;RIGHT("00000"&amp;1018,5))</f>
        <v/>
      </c>
      <c r="Q1023" t="str">
        <f>IF(Sync!$J1023="","",IF(ISNUMBER(Sync!$J1023),IF(AND(Sync!$J1023&gt;=10000101,Sync!$J1023&lt;=99991231),INT(Sync!$J1023/10000)&amp;"/"&amp;RIGHT("00"&amp;INT(MOD(Sync!$J1023,10000)/100),2)&amp;"/"&amp;RIGHT("00"&amp;MOD(Sync!$J1023,100),2),"نامعتبر"),IF(LEN(Sync!$J1023)=10,Sync!$J1023,"نامعتبر")))</f>
        <v/>
      </c>
      <c r="R1023" t="str">
        <f t="shared" si="109"/>
        <v/>
      </c>
      <c r="S1023" t="str">
        <f t="shared" si="110"/>
        <v/>
      </c>
      <c r="T1023" t="str">
        <f>IF($N1023="","",IF(Sync!$N1023="",0,Sync!$N1023))</f>
        <v/>
      </c>
      <c r="U1023" t="str">
        <f>IF($N1023="","",IF(Sync!$O1023="",0,Sync!$O1023))</f>
        <v/>
      </c>
      <c r="V1023" t="str">
        <f>IF($N1023="","",Sync!$L1023)</f>
        <v/>
      </c>
      <c r="W1023" t="str">
        <f>IF($N1023="","",Sync!$P1023)</f>
        <v/>
      </c>
    </row>
    <row r="1024" spans="14:23" x14ac:dyDescent="0.2">
      <c r="N1024" t="str">
        <f>IF(OR(Sync!$M1024="",$Q1024="",$Q1024="نامعتبر"),"",Sync!$M1024)</f>
        <v/>
      </c>
      <c r="O1024" t="str">
        <f t="shared" si="108"/>
        <v/>
      </c>
      <c r="P1024" t="str">
        <f>IF($N1024="","",LEFT($Q1024,4)&amp;MID($Q1024,6,2)&amp;RIGHT($Q1024,2)&amp;IF(Sync!$K1024="","0000",IF(AND(ISNUMBER(Sync!$K1024),Sync!$K1024&gt;=0,Sync!$K1024&lt;1),RIGHT("00"&amp;HOUR(Sync!$K1024),2)&amp;RIGHT("00"&amp;MINUTE(Sync!$K1024),2),IFERROR(RIGHT("00"&amp;VALUE(LEFT(Sync!$K1024,FIND(":",Sync!$K1024)-1)),2)&amp;RIGHT("00"&amp;VALUE(MID(Sync!$K1024,FIND(":",Sync!$K1024)+1,2)),2),"0000")))&amp;"|"&amp;"2"&amp;RIGHT("00000"&amp;1019,5))</f>
        <v/>
      </c>
      <c r="Q1024" t="str">
        <f>IF(Sync!$J1024="","",IF(ISNUMBER(Sync!$J1024),IF(AND(Sync!$J1024&gt;=10000101,Sync!$J1024&lt;=99991231),INT(Sync!$J1024/10000)&amp;"/"&amp;RIGHT("00"&amp;INT(MOD(Sync!$J1024,10000)/100),2)&amp;"/"&amp;RIGHT("00"&amp;MOD(Sync!$J1024,100),2),"نامعتبر"),IF(LEN(Sync!$J1024)=10,Sync!$J1024,"نامعتبر")))</f>
        <v/>
      </c>
      <c r="R1024" t="str">
        <f t="shared" si="109"/>
        <v/>
      </c>
      <c r="S1024" t="str">
        <f t="shared" si="110"/>
        <v/>
      </c>
      <c r="T1024" t="str">
        <f>IF($N1024="","",IF(Sync!$N1024="",0,Sync!$N1024))</f>
        <v/>
      </c>
      <c r="U1024" t="str">
        <f>IF($N1024="","",IF(Sync!$O1024="",0,Sync!$O1024))</f>
        <v/>
      </c>
      <c r="V1024" t="str">
        <f>IF($N1024="","",Sync!$L1024)</f>
        <v/>
      </c>
      <c r="W1024" t="str">
        <f>IF($N1024="","",Sync!$P1024)</f>
        <v/>
      </c>
    </row>
    <row r="1025" spans="14:23" x14ac:dyDescent="0.2">
      <c r="N1025" t="str">
        <f>IF(OR(Sync!$M1025="",$Q1025="",$Q1025="نامعتبر"),"",Sync!$M1025)</f>
        <v/>
      </c>
      <c r="O1025" t="str">
        <f t="shared" si="108"/>
        <v/>
      </c>
      <c r="P1025" t="str">
        <f>IF($N1025="","",LEFT($Q1025,4)&amp;MID($Q1025,6,2)&amp;RIGHT($Q1025,2)&amp;IF(Sync!$K1025="","0000",IF(AND(ISNUMBER(Sync!$K1025),Sync!$K1025&gt;=0,Sync!$K1025&lt;1),RIGHT("00"&amp;HOUR(Sync!$K1025),2)&amp;RIGHT("00"&amp;MINUTE(Sync!$K1025),2),IFERROR(RIGHT("00"&amp;VALUE(LEFT(Sync!$K1025,FIND(":",Sync!$K1025)-1)),2)&amp;RIGHT("00"&amp;VALUE(MID(Sync!$K1025,FIND(":",Sync!$K1025)+1,2)),2),"0000")))&amp;"|"&amp;"2"&amp;RIGHT("00000"&amp;1020,5))</f>
        <v/>
      </c>
      <c r="Q1025" t="str">
        <f>IF(Sync!$J1025="","",IF(ISNUMBER(Sync!$J1025),IF(AND(Sync!$J1025&gt;=10000101,Sync!$J1025&lt;=99991231),INT(Sync!$J1025/10000)&amp;"/"&amp;RIGHT("00"&amp;INT(MOD(Sync!$J1025,10000)/100),2)&amp;"/"&amp;RIGHT("00"&amp;MOD(Sync!$J1025,100),2),"نامعتبر"),IF(LEN(Sync!$J1025)=10,Sync!$J1025,"نامعتبر")))</f>
        <v/>
      </c>
      <c r="R1025" t="str">
        <f t="shared" si="109"/>
        <v/>
      </c>
      <c r="S1025" t="str">
        <f t="shared" si="110"/>
        <v/>
      </c>
      <c r="T1025" t="str">
        <f>IF($N1025="","",IF(Sync!$N1025="",0,Sync!$N1025))</f>
        <v/>
      </c>
      <c r="U1025" t="str">
        <f>IF($N1025="","",IF(Sync!$O1025="",0,Sync!$O1025))</f>
        <v/>
      </c>
      <c r="V1025" t="str">
        <f>IF($N1025="","",Sync!$L1025)</f>
        <v/>
      </c>
      <c r="W1025" t="str">
        <f>IF($N1025="","",Sync!$P1025)</f>
        <v/>
      </c>
    </row>
    <row r="1026" spans="14:23" x14ac:dyDescent="0.2">
      <c r="N1026" t="str">
        <f>IF(OR(Sync!$M1026="",$Q1026="",$Q1026="نامعتبر"),"",Sync!$M1026)</f>
        <v/>
      </c>
      <c r="O1026" t="str">
        <f t="shared" si="108"/>
        <v/>
      </c>
      <c r="P1026" t="str">
        <f>IF($N1026="","",LEFT($Q1026,4)&amp;MID($Q1026,6,2)&amp;RIGHT($Q1026,2)&amp;IF(Sync!$K1026="","0000",IF(AND(ISNUMBER(Sync!$K1026),Sync!$K1026&gt;=0,Sync!$K1026&lt;1),RIGHT("00"&amp;HOUR(Sync!$K1026),2)&amp;RIGHT("00"&amp;MINUTE(Sync!$K1026),2),IFERROR(RIGHT("00"&amp;VALUE(LEFT(Sync!$K1026,FIND(":",Sync!$K1026)-1)),2)&amp;RIGHT("00"&amp;VALUE(MID(Sync!$K1026,FIND(":",Sync!$K1026)+1,2)),2),"0000")))&amp;"|"&amp;"2"&amp;RIGHT("00000"&amp;1021,5))</f>
        <v/>
      </c>
      <c r="Q1026" t="str">
        <f>IF(Sync!$J1026="","",IF(ISNUMBER(Sync!$J1026),IF(AND(Sync!$J1026&gt;=10000101,Sync!$J1026&lt;=99991231),INT(Sync!$J1026/10000)&amp;"/"&amp;RIGHT("00"&amp;INT(MOD(Sync!$J1026,10000)/100),2)&amp;"/"&amp;RIGHT("00"&amp;MOD(Sync!$J1026,100),2),"نامعتبر"),IF(LEN(Sync!$J1026)=10,Sync!$J1026,"نامعتبر")))</f>
        <v/>
      </c>
      <c r="R1026" t="str">
        <f t="shared" si="109"/>
        <v/>
      </c>
      <c r="S1026" t="str">
        <f t="shared" si="110"/>
        <v/>
      </c>
      <c r="T1026" t="str">
        <f>IF($N1026="","",IF(Sync!$N1026="",0,Sync!$N1026))</f>
        <v/>
      </c>
      <c r="U1026" t="str">
        <f>IF($N1026="","",IF(Sync!$O1026="",0,Sync!$O1026))</f>
        <v/>
      </c>
      <c r="V1026" t="str">
        <f>IF($N1026="","",Sync!$L1026)</f>
        <v/>
      </c>
      <c r="W1026" t="str">
        <f>IF($N1026="","",Sync!$P1026)</f>
        <v/>
      </c>
    </row>
    <row r="1027" spans="14:23" x14ac:dyDescent="0.2">
      <c r="N1027" t="str">
        <f>IF(OR(Sync!$M1027="",$Q1027="",$Q1027="نامعتبر"),"",Sync!$M1027)</f>
        <v/>
      </c>
      <c r="O1027" t="str">
        <f t="shared" si="108"/>
        <v/>
      </c>
      <c r="P1027" t="str">
        <f>IF($N1027="","",LEFT($Q1027,4)&amp;MID($Q1027,6,2)&amp;RIGHT($Q1027,2)&amp;IF(Sync!$K1027="","0000",IF(AND(ISNUMBER(Sync!$K1027),Sync!$K1027&gt;=0,Sync!$K1027&lt;1),RIGHT("00"&amp;HOUR(Sync!$K1027),2)&amp;RIGHT("00"&amp;MINUTE(Sync!$K1027),2),IFERROR(RIGHT("00"&amp;VALUE(LEFT(Sync!$K1027,FIND(":",Sync!$K1027)-1)),2)&amp;RIGHT("00"&amp;VALUE(MID(Sync!$K1027,FIND(":",Sync!$K1027)+1,2)),2),"0000")))&amp;"|"&amp;"2"&amp;RIGHT("00000"&amp;1022,5))</f>
        <v/>
      </c>
      <c r="Q1027" t="str">
        <f>IF(Sync!$J1027="","",IF(ISNUMBER(Sync!$J1027),IF(AND(Sync!$J1027&gt;=10000101,Sync!$J1027&lt;=99991231),INT(Sync!$J1027/10000)&amp;"/"&amp;RIGHT("00"&amp;INT(MOD(Sync!$J1027,10000)/100),2)&amp;"/"&amp;RIGHT("00"&amp;MOD(Sync!$J1027,100),2),"نامعتبر"),IF(LEN(Sync!$J1027)=10,Sync!$J1027,"نامعتبر")))</f>
        <v/>
      </c>
      <c r="R1027" t="str">
        <f t="shared" si="109"/>
        <v/>
      </c>
      <c r="S1027" t="str">
        <f t="shared" si="110"/>
        <v/>
      </c>
      <c r="T1027" t="str">
        <f>IF($N1027="","",IF(Sync!$N1027="",0,Sync!$N1027))</f>
        <v/>
      </c>
      <c r="U1027" t="str">
        <f>IF($N1027="","",IF(Sync!$O1027="",0,Sync!$O1027))</f>
        <v/>
      </c>
      <c r="V1027" t="str">
        <f>IF($N1027="","",Sync!$L1027)</f>
        <v/>
      </c>
      <c r="W1027" t="str">
        <f>IF($N1027="","",Sync!$P1027)</f>
        <v/>
      </c>
    </row>
    <row r="1028" spans="14:23" x14ac:dyDescent="0.2">
      <c r="N1028" t="str">
        <f>IF(OR(Sync!$M1028="",$Q1028="",$Q1028="نامعتبر"),"",Sync!$M1028)</f>
        <v/>
      </c>
      <c r="O1028" t="str">
        <f t="shared" si="108"/>
        <v/>
      </c>
      <c r="P1028" t="str">
        <f>IF($N1028="","",LEFT($Q1028,4)&amp;MID($Q1028,6,2)&amp;RIGHT($Q1028,2)&amp;IF(Sync!$K1028="","0000",IF(AND(ISNUMBER(Sync!$K1028),Sync!$K1028&gt;=0,Sync!$K1028&lt;1),RIGHT("00"&amp;HOUR(Sync!$K1028),2)&amp;RIGHT("00"&amp;MINUTE(Sync!$K1028),2),IFERROR(RIGHT("00"&amp;VALUE(LEFT(Sync!$K1028,FIND(":",Sync!$K1028)-1)),2)&amp;RIGHT("00"&amp;VALUE(MID(Sync!$K1028,FIND(":",Sync!$K1028)+1,2)),2),"0000")))&amp;"|"&amp;"2"&amp;RIGHT("00000"&amp;1023,5))</f>
        <v/>
      </c>
      <c r="Q1028" t="str">
        <f>IF(Sync!$J1028="","",IF(ISNUMBER(Sync!$J1028),IF(AND(Sync!$J1028&gt;=10000101,Sync!$J1028&lt;=99991231),INT(Sync!$J1028/10000)&amp;"/"&amp;RIGHT("00"&amp;INT(MOD(Sync!$J1028,10000)/100),2)&amp;"/"&amp;RIGHT("00"&amp;MOD(Sync!$J1028,100),2),"نامعتبر"),IF(LEN(Sync!$J1028)=10,Sync!$J1028,"نامعتبر")))</f>
        <v/>
      </c>
      <c r="R1028" t="str">
        <f t="shared" si="109"/>
        <v/>
      </c>
      <c r="S1028" t="str">
        <f t="shared" si="110"/>
        <v/>
      </c>
      <c r="T1028" t="str">
        <f>IF($N1028="","",IF(Sync!$N1028="",0,Sync!$N1028))</f>
        <v/>
      </c>
      <c r="U1028" t="str">
        <f>IF($N1028="","",IF(Sync!$O1028="",0,Sync!$O1028))</f>
        <v/>
      </c>
      <c r="V1028" t="str">
        <f>IF($N1028="","",Sync!$L1028)</f>
        <v/>
      </c>
      <c r="W1028" t="str">
        <f>IF($N1028="","",Sync!$P1028)</f>
        <v/>
      </c>
    </row>
    <row r="1029" spans="14:23" x14ac:dyDescent="0.2">
      <c r="N1029" t="str">
        <f>IF(OR(Sync!$M1029="",$Q1029="",$Q1029="نامعتبر"),"",Sync!$M1029)</f>
        <v/>
      </c>
      <c r="O1029" t="str">
        <f t="shared" si="108"/>
        <v/>
      </c>
      <c r="P1029" t="str">
        <f>IF($N1029="","",LEFT($Q1029,4)&amp;MID($Q1029,6,2)&amp;RIGHT($Q1029,2)&amp;IF(Sync!$K1029="","0000",IF(AND(ISNUMBER(Sync!$K1029),Sync!$K1029&gt;=0,Sync!$K1029&lt;1),RIGHT("00"&amp;HOUR(Sync!$K1029),2)&amp;RIGHT("00"&amp;MINUTE(Sync!$K1029),2),IFERROR(RIGHT("00"&amp;VALUE(LEFT(Sync!$K1029,FIND(":",Sync!$K1029)-1)),2)&amp;RIGHT("00"&amp;VALUE(MID(Sync!$K1029,FIND(":",Sync!$K1029)+1,2)),2),"0000")))&amp;"|"&amp;"2"&amp;RIGHT("00000"&amp;1024,5))</f>
        <v/>
      </c>
      <c r="Q1029" t="str">
        <f>IF(Sync!$J1029="","",IF(ISNUMBER(Sync!$J1029),IF(AND(Sync!$J1029&gt;=10000101,Sync!$J1029&lt;=99991231),INT(Sync!$J1029/10000)&amp;"/"&amp;RIGHT("00"&amp;INT(MOD(Sync!$J1029,10000)/100),2)&amp;"/"&amp;RIGHT("00"&amp;MOD(Sync!$J1029,100),2),"نامعتبر"),IF(LEN(Sync!$J1029)=10,Sync!$J1029,"نامعتبر")))</f>
        <v/>
      </c>
      <c r="R1029" t="str">
        <f t="shared" si="109"/>
        <v/>
      </c>
      <c r="S1029" t="str">
        <f t="shared" si="110"/>
        <v/>
      </c>
      <c r="T1029" t="str">
        <f>IF($N1029="","",IF(Sync!$N1029="",0,Sync!$N1029))</f>
        <v/>
      </c>
      <c r="U1029" t="str">
        <f>IF($N1029="","",IF(Sync!$O1029="",0,Sync!$O1029))</f>
        <v/>
      </c>
      <c r="V1029" t="str">
        <f>IF($N1029="","",Sync!$L1029)</f>
        <v/>
      </c>
      <c r="W1029" t="str">
        <f>IF($N1029="","",Sync!$P1029)</f>
        <v/>
      </c>
    </row>
    <row r="1030" spans="14:23" x14ac:dyDescent="0.2">
      <c r="N1030" t="str">
        <f>IF(OR(Sync!$M1030="",$Q1030="",$Q1030="نامعتبر"),"",Sync!$M1030)</f>
        <v/>
      </c>
      <c r="O1030" t="str">
        <f t="shared" ref="O1030:O1093" si="112">IF($N1030="","",$Q1030)</f>
        <v/>
      </c>
      <c r="P1030" t="str">
        <f>IF($N1030="","",LEFT($Q1030,4)&amp;MID($Q1030,6,2)&amp;RIGHT($Q1030,2)&amp;IF(Sync!$K1030="","0000",IF(AND(ISNUMBER(Sync!$K1030),Sync!$K1030&gt;=0,Sync!$K1030&lt;1),RIGHT("00"&amp;HOUR(Sync!$K1030),2)&amp;RIGHT("00"&amp;MINUTE(Sync!$K1030),2),IFERROR(RIGHT("00"&amp;VALUE(LEFT(Sync!$K1030,FIND(":",Sync!$K1030)-1)),2)&amp;RIGHT("00"&amp;VALUE(MID(Sync!$K1030,FIND(":",Sync!$K1030)+1,2)),2),"0000")))&amp;"|"&amp;"2"&amp;RIGHT("00000"&amp;1025,5))</f>
        <v/>
      </c>
      <c r="Q1030" t="str">
        <f>IF(Sync!$J1030="","",IF(ISNUMBER(Sync!$J1030),IF(AND(Sync!$J1030&gt;=10000101,Sync!$J1030&lt;=99991231),INT(Sync!$J1030/10000)&amp;"/"&amp;RIGHT("00"&amp;INT(MOD(Sync!$J1030,10000)/100),2)&amp;"/"&amp;RIGHT("00"&amp;MOD(Sync!$J1030,100),2),"نامعتبر"),IF(LEN(Sync!$J1030)=10,Sync!$J1030,"نامعتبر")))</f>
        <v/>
      </c>
      <c r="R1030" t="str">
        <f t="shared" ref="R1030:R1093" si="113">IF($P1030="","",COUNTIFS($N$6:$N$2005,$N1030,$P$6:$P$2005,"&lt;"&amp;$P1030)+COUNTIFS($A$6:$A$1005,$N1030,$B$6:$B$1005,"&lt;"&amp;$P1030)+1)</f>
        <v/>
      </c>
      <c r="S1030" t="str">
        <f t="shared" ref="S1030:S1093" si="114">IF($N1030="","",$N1030&amp;"|"&amp;RIGHT("000000"&amp;$R1030,6))</f>
        <v/>
      </c>
      <c r="T1030" t="str">
        <f>IF($N1030="","",IF(Sync!$N1030="",0,Sync!$N1030))</f>
        <v/>
      </c>
      <c r="U1030" t="str">
        <f>IF($N1030="","",IF(Sync!$O1030="",0,Sync!$O1030))</f>
        <v/>
      </c>
      <c r="V1030" t="str">
        <f>IF($N1030="","",Sync!$L1030)</f>
        <v/>
      </c>
      <c r="W1030" t="str">
        <f>IF($N1030="","",Sync!$P1030)</f>
        <v/>
      </c>
    </row>
    <row r="1031" spans="14:23" x14ac:dyDescent="0.2">
      <c r="N1031" t="str">
        <f>IF(OR(Sync!$M1031="",$Q1031="",$Q1031="نامعتبر"),"",Sync!$M1031)</f>
        <v/>
      </c>
      <c r="O1031" t="str">
        <f t="shared" si="112"/>
        <v/>
      </c>
      <c r="P1031" t="str">
        <f>IF($N1031="","",LEFT($Q1031,4)&amp;MID($Q1031,6,2)&amp;RIGHT($Q1031,2)&amp;IF(Sync!$K1031="","0000",IF(AND(ISNUMBER(Sync!$K1031),Sync!$K1031&gt;=0,Sync!$K1031&lt;1),RIGHT("00"&amp;HOUR(Sync!$K1031),2)&amp;RIGHT("00"&amp;MINUTE(Sync!$K1031),2),IFERROR(RIGHT("00"&amp;VALUE(LEFT(Sync!$K1031,FIND(":",Sync!$K1031)-1)),2)&amp;RIGHT("00"&amp;VALUE(MID(Sync!$K1031,FIND(":",Sync!$K1031)+1,2)),2),"0000")))&amp;"|"&amp;"2"&amp;RIGHT("00000"&amp;1026,5))</f>
        <v/>
      </c>
      <c r="Q1031" t="str">
        <f>IF(Sync!$J1031="","",IF(ISNUMBER(Sync!$J1031),IF(AND(Sync!$J1031&gt;=10000101,Sync!$J1031&lt;=99991231),INT(Sync!$J1031/10000)&amp;"/"&amp;RIGHT("00"&amp;INT(MOD(Sync!$J1031,10000)/100),2)&amp;"/"&amp;RIGHT("00"&amp;MOD(Sync!$J1031,100),2),"نامعتبر"),IF(LEN(Sync!$J1031)=10,Sync!$J1031,"نامعتبر")))</f>
        <v/>
      </c>
      <c r="R1031" t="str">
        <f t="shared" si="113"/>
        <v/>
      </c>
      <c r="S1031" t="str">
        <f t="shared" si="114"/>
        <v/>
      </c>
      <c r="T1031" t="str">
        <f>IF($N1031="","",IF(Sync!$N1031="",0,Sync!$N1031))</f>
        <v/>
      </c>
      <c r="U1031" t="str">
        <f>IF($N1031="","",IF(Sync!$O1031="",0,Sync!$O1031))</f>
        <v/>
      </c>
      <c r="V1031" t="str">
        <f>IF($N1031="","",Sync!$L1031)</f>
        <v/>
      </c>
      <c r="W1031" t="str">
        <f>IF($N1031="","",Sync!$P1031)</f>
        <v/>
      </c>
    </row>
    <row r="1032" spans="14:23" x14ac:dyDescent="0.2">
      <c r="N1032" t="str">
        <f>IF(OR(Sync!$M1032="",$Q1032="",$Q1032="نامعتبر"),"",Sync!$M1032)</f>
        <v/>
      </c>
      <c r="O1032" t="str">
        <f t="shared" si="112"/>
        <v/>
      </c>
      <c r="P1032" t="str">
        <f>IF($N1032="","",LEFT($Q1032,4)&amp;MID($Q1032,6,2)&amp;RIGHT($Q1032,2)&amp;IF(Sync!$K1032="","0000",IF(AND(ISNUMBER(Sync!$K1032),Sync!$K1032&gt;=0,Sync!$K1032&lt;1),RIGHT("00"&amp;HOUR(Sync!$K1032),2)&amp;RIGHT("00"&amp;MINUTE(Sync!$K1032),2),IFERROR(RIGHT("00"&amp;VALUE(LEFT(Sync!$K1032,FIND(":",Sync!$K1032)-1)),2)&amp;RIGHT("00"&amp;VALUE(MID(Sync!$K1032,FIND(":",Sync!$K1032)+1,2)),2),"0000")))&amp;"|"&amp;"2"&amp;RIGHT("00000"&amp;1027,5))</f>
        <v/>
      </c>
      <c r="Q1032" t="str">
        <f>IF(Sync!$J1032="","",IF(ISNUMBER(Sync!$J1032),IF(AND(Sync!$J1032&gt;=10000101,Sync!$J1032&lt;=99991231),INT(Sync!$J1032/10000)&amp;"/"&amp;RIGHT("00"&amp;INT(MOD(Sync!$J1032,10000)/100),2)&amp;"/"&amp;RIGHT("00"&amp;MOD(Sync!$J1032,100),2),"نامعتبر"),IF(LEN(Sync!$J1032)=10,Sync!$J1032,"نامعتبر")))</f>
        <v/>
      </c>
      <c r="R1032" t="str">
        <f t="shared" si="113"/>
        <v/>
      </c>
      <c r="S1032" t="str">
        <f t="shared" si="114"/>
        <v/>
      </c>
      <c r="T1032" t="str">
        <f>IF($N1032="","",IF(Sync!$N1032="",0,Sync!$N1032))</f>
        <v/>
      </c>
      <c r="U1032" t="str">
        <f>IF($N1032="","",IF(Sync!$O1032="",0,Sync!$O1032))</f>
        <v/>
      </c>
      <c r="V1032" t="str">
        <f>IF($N1032="","",Sync!$L1032)</f>
        <v/>
      </c>
      <c r="W1032" t="str">
        <f>IF($N1032="","",Sync!$P1032)</f>
        <v/>
      </c>
    </row>
    <row r="1033" spans="14:23" x14ac:dyDescent="0.2">
      <c r="N1033" t="str">
        <f>IF(OR(Sync!$M1033="",$Q1033="",$Q1033="نامعتبر"),"",Sync!$M1033)</f>
        <v/>
      </c>
      <c r="O1033" t="str">
        <f t="shared" si="112"/>
        <v/>
      </c>
      <c r="P1033" t="str">
        <f>IF($N1033="","",LEFT($Q1033,4)&amp;MID($Q1033,6,2)&amp;RIGHT($Q1033,2)&amp;IF(Sync!$K1033="","0000",IF(AND(ISNUMBER(Sync!$K1033),Sync!$K1033&gt;=0,Sync!$K1033&lt;1),RIGHT("00"&amp;HOUR(Sync!$K1033),2)&amp;RIGHT("00"&amp;MINUTE(Sync!$K1033),2),IFERROR(RIGHT("00"&amp;VALUE(LEFT(Sync!$K1033,FIND(":",Sync!$K1033)-1)),2)&amp;RIGHT("00"&amp;VALUE(MID(Sync!$K1033,FIND(":",Sync!$K1033)+1,2)),2),"0000")))&amp;"|"&amp;"2"&amp;RIGHT("00000"&amp;1028,5))</f>
        <v/>
      </c>
      <c r="Q1033" t="str">
        <f>IF(Sync!$J1033="","",IF(ISNUMBER(Sync!$J1033),IF(AND(Sync!$J1033&gt;=10000101,Sync!$J1033&lt;=99991231),INT(Sync!$J1033/10000)&amp;"/"&amp;RIGHT("00"&amp;INT(MOD(Sync!$J1033,10000)/100),2)&amp;"/"&amp;RIGHT("00"&amp;MOD(Sync!$J1033,100),2),"نامعتبر"),IF(LEN(Sync!$J1033)=10,Sync!$J1033,"نامعتبر")))</f>
        <v/>
      </c>
      <c r="R1033" t="str">
        <f t="shared" si="113"/>
        <v/>
      </c>
      <c r="S1033" t="str">
        <f t="shared" si="114"/>
        <v/>
      </c>
      <c r="T1033" t="str">
        <f>IF($N1033="","",IF(Sync!$N1033="",0,Sync!$N1033))</f>
        <v/>
      </c>
      <c r="U1033" t="str">
        <f>IF($N1033="","",IF(Sync!$O1033="",0,Sync!$O1033))</f>
        <v/>
      </c>
      <c r="V1033" t="str">
        <f>IF($N1033="","",Sync!$L1033)</f>
        <v/>
      </c>
      <c r="W1033" t="str">
        <f>IF($N1033="","",Sync!$P1033)</f>
        <v/>
      </c>
    </row>
    <row r="1034" spans="14:23" x14ac:dyDescent="0.2">
      <c r="N1034" t="str">
        <f>IF(OR(Sync!$M1034="",$Q1034="",$Q1034="نامعتبر"),"",Sync!$M1034)</f>
        <v/>
      </c>
      <c r="O1034" t="str">
        <f t="shared" si="112"/>
        <v/>
      </c>
      <c r="P1034" t="str">
        <f>IF($N1034="","",LEFT($Q1034,4)&amp;MID($Q1034,6,2)&amp;RIGHT($Q1034,2)&amp;IF(Sync!$K1034="","0000",IF(AND(ISNUMBER(Sync!$K1034),Sync!$K1034&gt;=0,Sync!$K1034&lt;1),RIGHT("00"&amp;HOUR(Sync!$K1034),2)&amp;RIGHT("00"&amp;MINUTE(Sync!$K1034),2),IFERROR(RIGHT("00"&amp;VALUE(LEFT(Sync!$K1034,FIND(":",Sync!$K1034)-1)),2)&amp;RIGHT("00"&amp;VALUE(MID(Sync!$K1034,FIND(":",Sync!$K1034)+1,2)),2),"0000")))&amp;"|"&amp;"2"&amp;RIGHT("00000"&amp;1029,5))</f>
        <v/>
      </c>
      <c r="Q1034" t="str">
        <f>IF(Sync!$J1034="","",IF(ISNUMBER(Sync!$J1034),IF(AND(Sync!$J1034&gt;=10000101,Sync!$J1034&lt;=99991231),INT(Sync!$J1034/10000)&amp;"/"&amp;RIGHT("00"&amp;INT(MOD(Sync!$J1034,10000)/100),2)&amp;"/"&amp;RIGHT("00"&amp;MOD(Sync!$J1034,100),2),"نامعتبر"),IF(LEN(Sync!$J1034)=10,Sync!$J1034,"نامعتبر")))</f>
        <v/>
      </c>
      <c r="R1034" t="str">
        <f t="shared" si="113"/>
        <v/>
      </c>
      <c r="S1034" t="str">
        <f t="shared" si="114"/>
        <v/>
      </c>
      <c r="T1034" t="str">
        <f>IF($N1034="","",IF(Sync!$N1034="",0,Sync!$N1034))</f>
        <v/>
      </c>
      <c r="U1034" t="str">
        <f>IF($N1034="","",IF(Sync!$O1034="",0,Sync!$O1034))</f>
        <v/>
      </c>
      <c r="V1034" t="str">
        <f>IF($N1034="","",Sync!$L1034)</f>
        <v/>
      </c>
      <c r="W1034" t="str">
        <f>IF($N1034="","",Sync!$P1034)</f>
        <v/>
      </c>
    </row>
    <row r="1035" spans="14:23" x14ac:dyDescent="0.2">
      <c r="N1035" t="str">
        <f>IF(OR(Sync!$M1035="",$Q1035="",$Q1035="نامعتبر"),"",Sync!$M1035)</f>
        <v/>
      </c>
      <c r="O1035" t="str">
        <f t="shared" si="112"/>
        <v/>
      </c>
      <c r="P1035" t="str">
        <f>IF($N1035="","",LEFT($Q1035,4)&amp;MID($Q1035,6,2)&amp;RIGHT($Q1035,2)&amp;IF(Sync!$K1035="","0000",IF(AND(ISNUMBER(Sync!$K1035),Sync!$K1035&gt;=0,Sync!$K1035&lt;1),RIGHT("00"&amp;HOUR(Sync!$K1035),2)&amp;RIGHT("00"&amp;MINUTE(Sync!$K1035),2),IFERROR(RIGHT("00"&amp;VALUE(LEFT(Sync!$K1035,FIND(":",Sync!$K1035)-1)),2)&amp;RIGHT("00"&amp;VALUE(MID(Sync!$K1035,FIND(":",Sync!$K1035)+1,2)),2),"0000")))&amp;"|"&amp;"2"&amp;RIGHT("00000"&amp;1030,5))</f>
        <v/>
      </c>
      <c r="Q1035" t="str">
        <f>IF(Sync!$J1035="","",IF(ISNUMBER(Sync!$J1035),IF(AND(Sync!$J1035&gt;=10000101,Sync!$J1035&lt;=99991231),INT(Sync!$J1035/10000)&amp;"/"&amp;RIGHT("00"&amp;INT(MOD(Sync!$J1035,10000)/100),2)&amp;"/"&amp;RIGHT("00"&amp;MOD(Sync!$J1035,100),2),"نامعتبر"),IF(LEN(Sync!$J1035)=10,Sync!$J1035,"نامعتبر")))</f>
        <v/>
      </c>
      <c r="R1035" t="str">
        <f t="shared" si="113"/>
        <v/>
      </c>
      <c r="S1035" t="str">
        <f t="shared" si="114"/>
        <v/>
      </c>
      <c r="T1035" t="str">
        <f>IF($N1035="","",IF(Sync!$N1035="",0,Sync!$N1035))</f>
        <v/>
      </c>
      <c r="U1035" t="str">
        <f>IF($N1035="","",IF(Sync!$O1035="",0,Sync!$O1035))</f>
        <v/>
      </c>
      <c r="V1035" t="str">
        <f>IF($N1035="","",Sync!$L1035)</f>
        <v/>
      </c>
      <c r="W1035" t="str">
        <f>IF($N1035="","",Sync!$P1035)</f>
        <v/>
      </c>
    </row>
    <row r="1036" spans="14:23" x14ac:dyDescent="0.2">
      <c r="N1036" t="str">
        <f>IF(OR(Sync!$M1036="",$Q1036="",$Q1036="نامعتبر"),"",Sync!$M1036)</f>
        <v/>
      </c>
      <c r="O1036" t="str">
        <f t="shared" si="112"/>
        <v/>
      </c>
      <c r="P1036" t="str">
        <f>IF($N1036="","",LEFT($Q1036,4)&amp;MID($Q1036,6,2)&amp;RIGHT($Q1036,2)&amp;IF(Sync!$K1036="","0000",IF(AND(ISNUMBER(Sync!$K1036),Sync!$K1036&gt;=0,Sync!$K1036&lt;1),RIGHT("00"&amp;HOUR(Sync!$K1036),2)&amp;RIGHT("00"&amp;MINUTE(Sync!$K1036),2),IFERROR(RIGHT("00"&amp;VALUE(LEFT(Sync!$K1036,FIND(":",Sync!$K1036)-1)),2)&amp;RIGHT("00"&amp;VALUE(MID(Sync!$K1036,FIND(":",Sync!$K1036)+1,2)),2),"0000")))&amp;"|"&amp;"2"&amp;RIGHT("00000"&amp;1031,5))</f>
        <v/>
      </c>
      <c r="Q1036" t="str">
        <f>IF(Sync!$J1036="","",IF(ISNUMBER(Sync!$J1036),IF(AND(Sync!$J1036&gt;=10000101,Sync!$J1036&lt;=99991231),INT(Sync!$J1036/10000)&amp;"/"&amp;RIGHT("00"&amp;INT(MOD(Sync!$J1036,10000)/100),2)&amp;"/"&amp;RIGHT("00"&amp;MOD(Sync!$J1036,100),2),"نامعتبر"),IF(LEN(Sync!$J1036)=10,Sync!$J1036,"نامعتبر")))</f>
        <v/>
      </c>
      <c r="R1036" t="str">
        <f t="shared" si="113"/>
        <v/>
      </c>
      <c r="S1036" t="str">
        <f t="shared" si="114"/>
        <v/>
      </c>
      <c r="T1036" t="str">
        <f>IF($N1036="","",IF(Sync!$N1036="",0,Sync!$N1036))</f>
        <v/>
      </c>
      <c r="U1036" t="str">
        <f>IF($N1036="","",IF(Sync!$O1036="",0,Sync!$O1036))</f>
        <v/>
      </c>
      <c r="V1036" t="str">
        <f>IF($N1036="","",Sync!$L1036)</f>
        <v/>
      </c>
      <c r="W1036" t="str">
        <f>IF($N1036="","",Sync!$P1036)</f>
        <v/>
      </c>
    </row>
    <row r="1037" spans="14:23" x14ac:dyDescent="0.2">
      <c r="N1037" t="str">
        <f>IF(OR(Sync!$M1037="",$Q1037="",$Q1037="نامعتبر"),"",Sync!$M1037)</f>
        <v/>
      </c>
      <c r="O1037" t="str">
        <f t="shared" si="112"/>
        <v/>
      </c>
      <c r="P1037" t="str">
        <f>IF($N1037="","",LEFT($Q1037,4)&amp;MID($Q1037,6,2)&amp;RIGHT($Q1037,2)&amp;IF(Sync!$K1037="","0000",IF(AND(ISNUMBER(Sync!$K1037),Sync!$K1037&gt;=0,Sync!$K1037&lt;1),RIGHT("00"&amp;HOUR(Sync!$K1037),2)&amp;RIGHT("00"&amp;MINUTE(Sync!$K1037),2),IFERROR(RIGHT("00"&amp;VALUE(LEFT(Sync!$K1037,FIND(":",Sync!$K1037)-1)),2)&amp;RIGHT("00"&amp;VALUE(MID(Sync!$K1037,FIND(":",Sync!$K1037)+1,2)),2),"0000")))&amp;"|"&amp;"2"&amp;RIGHT("00000"&amp;1032,5))</f>
        <v/>
      </c>
      <c r="Q1037" t="str">
        <f>IF(Sync!$J1037="","",IF(ISNUMBER(Sync!$J1037),IF(AND(Sync!$J1037&gt;=10000101,Sync!$J1037&lt;=99991231),INT(Sync!$J1037/10000)&amp;"/"&amp;RIGHT("00"&amp;INT(MOD(Sync!$J1037,10000)/100),2)&amp;"/"&amp;RIGHT("00"&amp;MOD(Sync!$J1037,100),2),"نامعتبر"),IF(LEN(Sync!$J1037)=10,Sync!$J1037,"نامعتبر")))</f>
        <v/>
      </c>
      <c r="R1037" t="str">
        <f t="shared" si="113"/>
        <v/>
      </c>
      <c r="S1037" t="str">
        <f t="shared" si="114"/>
        <v/>
      </c>
      <c r="T1037" t="str">
        <f>IF($N1037="","",IF(Sync!$N1037="",0,Sync!$N1037))</f>
        <v/>
      </c>
      <c r="U1037" t="str">
        <f>IF($N1037="","",IF(Sync!$O1037="",0,Sync!$O1037))</f>
        <v/>
      </c>
      <c r="V1037" t="str">
        <f>IF($N1037="","",Sync!$L1037)</f>
        <v/>
      </c>
      <c r="W1037" t="str">
        <f>IF($N1037="","",Sync!$P1037)</f>
        <v/>
      </c>
    </row>
    <row r="1038" spans="14:23" x14ac:dyDescent="0.2">
      <c r="N1038" t="str">
        <f>IF(OR(Sync!$M1038="",$Q1038="",$Q1038="نامعتبر"),"",Sync!$M1038)</f>
        <v/>
      </c>
      <c r="O1038" t="str">
        <f t="shared" si="112"/>
        <v/>
      </c>
      <c r="P1038" t="str">
        <f>IF($N1038="","",LEFT($Q1038,4)&amp;MID($Q1038,6,2)&amp;RIGHT($Q1038,2)&amp;IF(Sync!$K1038="","0000",IF(AND(ISNUMBER(Sync!$K1038),Sync!$K1038&gt;=0,Sync!$K1038&lt;1),RIGHT("00"&amp;HOUR(Sync!$K1038),2)&amp;RIGHT("00"&amp;MINUTE(Sync!$K1038),2),IFERROR(RIGHT("00"&amp;VALUE(LEFT(Sync!$K1038,FIND(":",Sync!$K1038)-1)),2)&amp;RIGHT("00"&amp;VALUE(MID(Sync!$K1038,FIND(":",Sync!$K1038)+1,2)),2),"0000")))&amp;"|"&amp;"2"&amp;RIGHT("00000"&amp;1033,5))</f>
        <v/>
      </c>
      <c r="Q1038" t="str">
        <f>IF(Sync!$J1038="","",IF(ISNUMBER(Sync!$J1038),IF(AND(Sync!$J1038&gt;=10000101,Sync!$J1038&lt;=99991231),INT(Sync!$J1038/10000)&amp;"/"&amp;RIGHT("00"&amp;INT(MOD(Sync!$J1038,10000)/100),2)&amp;"/"&amp;RIGHT("00"&amp;MOD(Sync!$J1038,100),2),"نامعتبر"),IF(LEN(Sync!$J1038)=10,Sync!$J1038,"نامعتبر")))</f>
        <v/>
      </c>
      <c r="R1038" t="str">
        <f t="shared" si="113"/>
        <v/>
      </c>
      <c r="S1038" t="str">
        <f t="shared" si="114"/>
        <v/>
      </c>
      <c r="T1038" t="str">
        <f>IF($N1038="","",IF(Sync!$N1038="",0,Sync!$N1038))</f>
        <v/>
      </c>
      <c r="U1038" t="str">
        <f>IF($N1038="","",IF(Sync!$O1038="",0,Sync!$O1038))</f>
        <v/>
      </c>
      <c r="V1038" t="str">
        <f>IF($N1038="","",Sync!$L1038)</f>
        <v/>
      </c>
      <c r="W1038" t="str">
        <f>IF($N1038="","",Sync!$P1038)</f>
        <v/>
      </c>
    </row>
    <row r="1039" spans="14:23" x14ac:dyDescent="0.2">
      <c r="N1039" t="str">
        <f>IF(OR(Sync!$M1039="",$Q1039="",$Q1039="نامعتبر"),"",Sync!$M1039)</f>
        <v/>
      </c>
      <c r="O1039" t="str">
        <f t="shared" si="112"/>
        <v/>
      </c>
      <c r="P1039" t="str">
        <f>IF($N1039="","",LEFT($Q1039,4)&amp;MID($Q1039,6,2)&amp;RIGHT($Q1039,2)&amp;IF(Sync!$K1039="","0000",IF(AND(ISNUMBER(Sync!$K1039),Sync!$K1039&gt;=0,Sync!$K1039&lt;1),RIGHT("00"&amp;HOUR(Sync!$K1039),2)&amp;RIGHT("00"&amp;MINUTE(Sync!$K1039),2),IFERROR(RIGHT("00"&amp;VALUE(LEFT(Sync!$K1039,FIND(":",Sync!$K1039)-1)),2)&amp;RIGHT("00"&amp;VALUE(MID(Sync!$K1039,FIND(":",Sync!$K1039)+1,2)),2),"0000")))&amp;"|"&amp;"2"&amp;RIGHT("00000"&amp;1034,5))</f>
        <v/>
      </c>
      <c r="Q1039" t="str">
        <f>IF(Sync!$J1039="","",IF(ISNUMBER(Sync!$J1039),IF(AND(Sync!$J1039&gt;=10000101,Sync!$J1039&lt;=99991231),INT(Sync!$J1039/10000)&amp;"/"&amp;RIGHT("00"&amp;INT(MOD(Sync!$J1039,10000)/100),2)&amp;"/"&amp;RIGHT("00"&amp;MOD(Sync!$J1039,100),2),"نامعتبر"),IF(LEN(Sync!$J1039)=10,Sync!$J1039,"نامعتبر")))</f>
        <v/>
      </c>
      <c r="R1039" t="str">
        <f t="shared" si="113"/>
        <v/>
      </c>
      <c r="S1039" t="str">
        <f t="shared" si="114"/>
        <v/>
      </c>
      <c r="T1039" t="str">
        <f>IF($N1039="","",IF(Sync!$N1039="",0,Sync!$N1039))</f>
        <v/>
      </c>
      <c r="U1039" t="str">
        <f>IF($N1039="","",IF(Sync!$O1039="",0,Sync!$O1039))</f>
        <v/>
      </c>
      <c r="V1039" t="str">
        <f>IF($N1039="","",Sync!$L1039)</f>
        <v/>
      </c>
      <c r="W1039" t="str">
        <f>IF($N1039="","",Sync!$P1039)</f>
        <v/>
      </c>
    </row>
    <row r="1040" spans="14:23" x14ac:dyDescent="0.2">
      <c r="N1040" t="str">
        <f>IF(OR(Sync!$M1040="",$Q1040="",$Q1040="نامعتبر"),"",Sync!$M1040)</f>
        <v/>
      </c>
      <c r="O1040" t="str">
        <f t="shared" si="112"/>
        <v/>
      </c>
      <c r="P1040" t="str">
        <f>IF($N1040="","",LEFT($Q1040,4)&amp;MID($Q1040,6,2)&amp;RIGHT($Q1040,2)&amp;IF(Sync!$K1040="","0000",IF(AND(ISNUMBER(Sync!$K1040),Sync!$K1040&gt;=0,Sync!$K1040&lt;1),RIGHT("00"&amp;HOUR(Sync!$K1040),2)&amp;RIGHT("00"&amp;MINUTE(Sync!$K1040),2),IFERROR(RIGHT("00"&amp;VALUE(LEFT(Sync!$K1040,FIND(":",Sync!$K1040)-1)),2)&amp;RIGHT("00"&amp;VALUE(MID(Sync!$K1040,FIND(":",Sync!$K1040)+1,2)),2),"0000")))&amp;"|"&amp;"2"&amp;RIGHT("00000"&amp;1035,5))</f>
        <v/>
      </c>
      <c r="Q1040" t="str">
        <f>IF(Sync!$J1040="","",IF(ISNUMBER(Sync!$J1040),IF(AND(Sync!$J1040&gt;=10000101,Sync!$J1040&lt;=99991231),INT(Sync!$J1040/10000)&amp;"/"&amp;RIGHT("00"&amp;INT(MOD(Sync!$J1040,10000)/100),2)&amp;"/"&amp;RIGHT("00"&amp;MOD(Sync!$J1040,100),2),"نامعتبر"),IF(LEN(Sync!$J1040)=10,Sync!$J1040,"نامعتبر")))</f>
        <v/>
      </c>
      <c r="R1040" t="str">
        <f t="shared" si="113"/>
        <v/>
      </c>
      <c r="S1040" t="str">
        <f t="shared" si="114"/>
        <v/>
      </c>
      <c r="T1040" t="str">
        <f>IF($N1040="","",IF(Sync!$N1040="",0,Sync!$N1040))</f>
        <v/>
      </c>
      <c r="U1040" t="str">
        <f>IF($N1040="","",IF(Sync!$O1040="",0,Sync!$O1040))</f>
        <v/>
      </c>
      <c r="V1040" t="str">
        <f>IF($N1040="","",Sync!$L1040)</f>
        <v/>
      </c>
      <c r="W1040" t="str">
        <f>IF($N1040="","",Sync!$P1040)</f>
        <v/>
      </c>
    </row>
    <row r="1041" spans="14:23" x14ac:dyDescent="0.2">
      <c r="N1041" t="str">
        <f>IF(OR(Sync!$M1041="",$Q1041="",$Q1041="نامعتبر"),"",Sync!$M1041)</f>
        <v/>
      </c>
      <c r="O1041" t="str">
        <f t="shared" si="112"/>
        <v/>
      </c>
      <c r="P1041" t="str">
        <f>IF($N1041="","",LEFT($Q1041,4)&amp;MID($Q1041,6,2)&amp;RIGHT($Q1041,2)&amp;IF(Sync!$K1041="","0000",IF(AND(ISNUMBER(Sync!$K1041),Sync!$K1041&gt;=0,Sync!$K1041&lt;1),RIGHT("00"&amp;HOUR(Sync!$K1041),2)&amp;RIGHT("00"&amp;MINUTE(Sync!$K1041),2),IFERROR(RIGHT("00"&amp;VALUE(LEFT(Sync!$K1041,FIND(":",Sync!$K1041)-1)),2)&amp;RIGHT("00"&amp;VALUE(MID(Sync!$K1041,FIND(":",Sync!$K1041)+1,2)),2),"0000")))&amp;"|"&amp;"2"&amp;RIGHT("00000"&amp;1036,5))</f>
        <v/>
      </c>
      <c r="Q1041" t="str">
        <f>IF(Sync!$J1041="","",IF(ISNUMBER(Sync!$J1041),IF(AND(Sync!$J1041&gt;=10000101,Sync!$J1041&lt;=99991231),INT(Sync!$J1041/10000)&amp;"/"&amp;RIGHT("00"&amp;INT(MOD(Sync!$J1041,10000)/100),2)&amp;"/"&amp;RIGHT("00"&amp;MOD(Sync!$J1041,100),2),"نامعتبر"),IF(LEN(Sync!$J1041)=10,Sync!$J1041,"نامعتبر")))</f>
        <v/>
      </c>
      <c r="R1041" t="str">
        <f t="shared" si="113"/>
        <v/>
      </c>
      <c r="S1041" t="str">
        <f t="shared" si="114"/>
        <v/>
      </c>
      <c r="T1041" t="str">
        <f>IF($N1041="","",IF(Sync!$N1041="",0,Sync!$N1041))</f>
        <v/>
      </c>
      <c r="U1041" t="str">
        <f>IF($N1041="","",IF(Sync!$O1041="",0,Sync!$O1041))</f>
        <v/>
      </c>
      <c r="V1041" t="str">
        <f>IF($N1041="","",Sync!$L1041)</f>
        <v/>
      </c>
      <c r="W1041" t="str">
        <f>IF($N1041="","",Sync!$P1041)</f>
        <v/>
      </c>
    </row>
    <row r="1042" spans="14:23" x14ac:dyDescent="0.2">
      <c r="N1042" t="str">
        <f>IF(OR(Sync!$M1042="",$Q1042="",$Q1042="نامعتبر"),"",Sync!$M1042)</f>
        <v/>
      </c>
      <c r="O1042" t="str">
        <f t="shared" si="112"/>
        <v/>
      </c>
      <c r="P1042" t="str">
        <f>IF($N1042="","",LEFT($Q1042,4)&amp;MID($Q1042,6,2)&amp;RIGHT($Q1042,2)&amp;IF(Sync!$K1042="","0000",IF(AND(ISNUMBER(Sync!$K1042),Sync!$K1042&gt;=0,Sync!$K1042&lt;1),RIGHT("00"&amp;HOUR(Sync!$K1042),2)&amp;RIGHT("00"&amp;MINUTE(Sync!$K1042),2),IFERROR(RIGHT("00"&amp;VALUE(LEFT(Sync!$K1042,FIND(":",Sync!$K1042)-1)),2)&amp;RIGHT("00"&amp;VALUE(MID(Sync!$K1042,FIND(":",Sync!$K1042)+1,2)),2),"0000")))&amp;"|"&amp;"2"&amp;RIGHT("00000"&amp;1037,5))</f>
        <v/>
      </c>
      <c r="Q1042" t="str">
        <f>IF(Sync!$J1042="","",IF(ISNUMBER(Sync!$J1042),IF(AND(Sync!$J1042&gt;=10000101,Sync!$J1042&lt;=99991231),INT(Sync!$J1042/10000)&amp;"/"&amp;RIGHT("00"&amp;INT(MOD(Sync!$J1042,10000)/100),2)&amp;"/"&amp;RIGHT("00"&amp;MOD(Sync!$J1042,100),2),"نامعتبر"),IF(LEN(Sync!$J1042)=10,Sync!$J1042,"نامعتبر")))</f>
        <v/>
      </c>
      <c r="R1042" t="str">
        <f t="shared" si="113"/>
        <v/>
      </c>
      <c r="S1042" t="str">
        <f t="shared" si="114"/>
        <v/>
      </c>
      <c r="T1042" t="str">
        <f>IF($N1042="","",IF(Sync!$N1042="",0,Sync!$N1042))</f>
        <v/>
      </c>
      <c r="U1042" t="str">
        <f>IF($N1042="","",IF(Sync!$O1042="",0,Sync!$O1042))</f>
        <v/>
      </c>
      <c r="V1042" t="str">
        <f>IF($N1042="","",Sync!$L1042)</f>
        <v/>
      </c>
      <c r="W1042" t="str">
        <f>IF($N1042="","",Sync!$P1042)</f>
        <v/>
      </c>
    </row>
    <row r="1043" spans="14:23" x14ac:dyDescent="0.2">
      <c r="N1043" t="str">
        <f>IF(OR(Sync!$M1043="",$Q1043="",$Q1043="نامعتبر"),"",Sync!$M1043)</f>
        <v/>
      </c>
      <c r="O1043" t="str">
        <f t="shared" si="112"/>
        <v/>
      </c>
      <c r="P1043" t="str">
        <f>IF($N1043="","",LEFT($Q1043,4)&amp;MID($Q1043,6,2)&amp;RIGHT($Q1043,2)&amp;IF(Sync!$K1043="","0000",IF(AND(ISNUMBER(Sync!$K1043),Sync!$K1043&gt;=0,Sync!$K1043&lt;1),RIGHT("00"&amp;HOUR(Sync!$K1043),2)&amp;RIGHT("00"&amp;MINUTE(Sync!$K1043),2),IFERROR(RIGHT("00"&amp;VALUE(LEFT(Sync!$K1043,FIND(":",Sync!$K1043)-1)),2)&amp;RIGHT("00"&amp;VALUE(MID(Sync!$K1043,FIND(":",Sync!$K1043)+1,2)),2),"0000")))&amp;"|"&amp;"2"&amp;RIGHT("00000"&amp;1038,5))</f>
        <v/>
      </c>
      <c r="Q1043" t="str">
        <f>IF(Sync!$J1043="","",IF(ISNUMBER(Sync!$J1043),IF(AND(Sync!$J1043&gt;=10000101,Sync!$J1043&lt;=99991231),INT(Sync!$J1043/10000)&amp;"/"&amp;RIGHT("00"&amp;INT(MOD(Sync!$J1043,10000)/100),2)&amp;"/"&amp;RIGHT("00"&amp;MOD(Sync!$J1043,100),2),"نامعتبر"),IF(LEN(Sync!$J1043)=10,Sync!$J1043,"نامعتبر")))</f>
        <v/>
      </c>
      <c r="R1043" t="str">
        <f t="shared" si="113"/>
        <v/>
      </c>
      <c r="S1043" t="str">
        <f t="shared" si="114"/>
        <v/>
      </c>
      <c r="T1043" t="str">
        <f>IF($N1043="","",IF(Sync!$N1043="",0,Sync!$N1043))</f>
        <v/>
      </c>
      <c r="U1043" t="str">
        <f>IF($N1043="","",IF(Sync!$O1043="",0,Sync!$O1043))</f>
        <v/>
      </c>
      <c r="V1043" t="str">
        <f>IF($N1043="","",Sync!$L1043)</f>
        <v/>
      </c>
      <c r="W1043" t="str">
        <f>IF($N1043="","",Sync!$P1043)</f>
        <v/>
      </c>
    </row>
    <row r="1044" spans="14:23" x14ac:dyDescent="0.2">
      <c r="N1044" t="str">
        <f>IF(OR(Sync!$M1044="",$Q1044="",$Q1044="نامعتبر"),"",Sync!$M1044)</f>
        <v/>
      </c>
      <c r="O1044" t="str">
        <f t="shared" si="112"/>
        <v/>
      </c>
      <c r="P1044" t="str">
        <f>IF($N1044="","",LEFT($Q1044,4)&amp;MID($Q1044,6,2)&amp;RIGHT($Q1044,2)&amp;IF(Sync!$K1044="","0000",IF(AND(ISNUMBER(Sync!$K1044),Sync!$K1044&gt;=0,Sync!$K1044&lt;1),RIGHT("00"&amp;HOUR(Sync!$K1044),2)&amp;RIGHT("00"&amp;MINUTE(Sync!$K1044),2),IFERROR(RIGHT("00"&amp;VALUE(LEFT(Sync!$K1044,FIND(":",Sync!$K1044)-1)),2)&amp;RIGHT("00"&amp;VALUE(MID(Sync!$K1044,FIND(":",Sync!$K1044)+1,2)),2),"0000")))&amp;"|"&amp;"2"&amp;RIGHT("00000"&amp;1039,5))</f>
        <v/>
      </c>
      <c r="Q1044" t="str">
        <f>IF(Sync!$J1044="","",IF(ISNUMBER(Sync!$J1044),IF(AND(Sync!$J1044&gt;=10000101,Sync!$J1044&lt;=99991231),INT(Sync!$J1044/10000)&amp;"/"&amp;RIGHT("00"&amp;INT(MOD(Sync!$J1044,10000)/100),2)&amp;"/"&amp;RIGHT("00"&amp;MOD(Sync!$J1044,100),2),"نامعتبر"),IF(LEN(Sync!$J1044)=10,Sync!$J1044,"نامعتبر")))</f>
        <v/>
      </c>
      <c r="R1044" t="str">
        <f t="shared" si="113"/>
        <v/>
      </c>
      <c r="S1044" t="str">
        <f t="shared" si="114"/>
        <v/>
      </c>
      <c r="T1044" t="str">
        <f>IF($N1044="","",IF(Sync!$N1044="",0,Sync!$N1044))</f>
        <v/>
      </c>
      <c r="U1044" t="str">
        <f>IF($N1044="","",IF(Sync!$O1044="",0,Sync!$O1044))</f>
        <v/>
      </c>
      <c r="V1044" t="str">
        <f>IF($N1044="","",Sync!$L1044)</f>
        <v/>
      </c>
      <c r="W1044" t="str">
        <f>IF($N1044="","",Sync!$P1044)</f>
        <v/>
      </c>
    </row>
    <row r="1045" spans="14:23" x14ac:dyDescent="0.2">
      <c r="N1045" t="str">
        <f>IF(OR(Sync!$M1045="",$Q1045="",$Q1045="نامعتبر"),"",Sync!$M1045)</f>
        <v/>
      </c>
      <c r="O1045" t="str">
        <f t="shared" si="112"/>
        <v/>
      </c>
      <c r="P1045" t="str">
        <f>IF($N1045="","",LEFT($Q1045,4)&amp;MID($Q1045,6,2)&amp;RIGHT($Q1045,2)&amp;IF(Sync!$K1045="","0000",IF(AND(ISNUMBER(Sync!$K1045),Sync!$K1045&gt;=0,Sync!$K1045&lt;1),RIGHT("00"&amp;HOUR(Sync!$K1045),2)&amp;RIGHT("00"&amp;MINUTE(Sync!$K1045),2),IFERROR(RIGHT("00"&amp;VALUE(LEFT(Sync!$K1045,FIND(":",Sync!$K1045)-1)),2)&amp;RIGHT("00"&amp;VALUE(MID(Sync!$K1045,FIND(":",Sync!$K1045)+1,2)),2),"0000")))&amp;"|"&amp;"2"&amp;RIGHT("00000"&amp;1040,5))</f>
        <v/>
      </c>
      <c r="Q1045" t="str">
        <f>IF(Sync!$J1045="","",IF(ISNUMBER(Sync!$J1045),IF(AND(Sync!$J1045&gt;=10000101,Sync!$J1045&lt;=99991231),INT(Sync!$J1045/10000)&amp;"/"&amp;RIGHT("00"&amp;INT(MOD(Sync!$J1045,10000)/100),2)&amp;"/"&amp;RIGHT("00"&amp;MOD(Sync!$J1045,100),2),"نامعتبر"),IF(LEN(Sync!$J1045)=10,Sync!$J1045,"نامعتبر")))</f>
        <v/>
      </c>
      <c r="R1045" t="str">
        <f t="shared" si="113"/>
        <v/>
      </c>
      <c r="S1045" t="str">
        <f t="shared" si="114"/>
        <v/>
      </c>
      <c r="T1045" t="str">
        <f>IF($N1045="","",IF(Sync!$N1045="",0,Sync!$N1045))</f>
        <v/>
      </c>
      <c r="U1045" t="str">
        <f>IF($N1045="","",IF(Sync!$O1045="",0,Sync!$O1045))</f>
        <v/>
      </c>
      <c r="V1045" t="str">
        <f>IF($N1045="","",Sync!$L1045)</f>
        <v/>
      </c>
      <c r="W1045" t="str">
        <f>IF($N1045="","",Sync!$P1045)</f>
        <v/>
      </c>
    </row>
    <row r="1046" spans="14:23" x14ac:dyDescent="0.2">
      <c r="N1046" t="str">
        <f>IF(OR(Sync!$M1046="",$Q1046="",$Q1046="نامعتبر"),"",Sync!$M1046)</f>
        <v/>
      </c>
      <c r="O1046" t="str">
        <f t="shared" si="112"/>
        <v/>
      </c>
      <c r="P1046" t="str">
        <f>IF($N1046="","",LEFT($Q1046,4)&amp;MID($Q1046,6,2)&amp;RIGHT($Q1046,2)&amp;IF(Sync!$K1046="","0000",IF(AND(ISNUMBER(Sync!$K1046),Sync!$K1046&gt;=0,Sync!$K1046&lt;1),RIGHT("00"&amp;HOUR(Sync!$K1046),2)&amp;RIGHT("00"&amp;MINUTE(Sync!$K1046),2),IFERROR(RIGHT("00"&amp;VALUE(LEFT(Sync!$K1046,FIND(":",Sync!$K1046)-1)),2)&amp;RIGHT("00"&amp;VALUE(MID(Sync!$K1046,FIND(":",Sync!$K1046)+1,2)),2),"0000")))&amp;"|"&amp;"2"&amp;RIGHT("00000"&amp;1041,5))</f>
        <v/>
      </c>
      <c r="Q1046" t="str">
        <f>IF(Sync!$J1046="","",IF(ISNUMBER(Sync!$J1046),IF(AND(Sync!$J1046&gt;=10000101,Sync!$J1046&lt;=99991231),INT(Sync!$J1046/10000)&amp;"/"&amp;RIGHT("00"&amp;INT(MOD(Sync!$J1046,10000)/100),2)&amp;"/"&amp;RIGHT("00"&amp;MOD(Sync!$J1046,100),2),"نامعتبر"),IF(LEN(Sync!$J1046)=10,Sync!$J1046,"نامعتبر")))</f>
        <v/>
      </c>
      <c r="R1046" t="str">
        <f t="shared" si="113"/>
        <v/>
      </c>
      <c r="S1046" t="str">
        <f t="shared" si="114"/>
        <v/>
      </c>
      <c r="T1046" t="str">
        <f>IF($N1046="","",IF(Sync!$N1046="",0,Sync!$N1046))</f>
        <v/>
      </c>
      <c r="U1046" t="str">
        <f>IF($N1046="","",IF(Sync!$O1046="",0,Sync!$O1046))</f>
        <v/>
      </c>
      <c r="V1046" t="str">
        <f>IF($N1046="","",Sync!$L1046)</f>
        <v/>
      </c>
      <c r="W1046" t="str">
        <f>IF($N1046="","",Sync!$P1046)</f>
        <v/>
      </c>
    </row>
    <row r="1047" spans="14:23" x14ac:dyDescent="0.2">
      <c r="N1047" t="str">
        <f>IF(OR(Sync!$M1047="",$Q1047="",$Q1047="نامعتبر"),"",Sync!$M1047)</f>
        <v/>
      </c>
      <c r="O1047" t="str">
        <f t="shared" si="112"/>
        <v/>
      </c>
      <c r="P1047" t="str">
        <f>IF($N1047="","",LEFT($Q1047,4)&amp;MID($Q1047,6,2)&amp;RIGHT($Q1047,2)&amp;IF(Sync!$K1047="","0000",IF(AND(ISNUMBER(Sync!$K1047),Sync!$K1047&gt;=0,Sync!$K1047&lt;1),RIGHT("00"&amp;HOUR(Sync!$K1047),2)&amp;RIGHT("00"&amp;MINUTE(Sync!$K1047),2),IFERROR(RIGHT("00"&amp;VALUE(LEFT(Sync!$K1047,FIND(":",Sync!$K1047)-1)),2)&amp;RIGHT("00"&amp;VALUE(MID(Sync!$K1047,FIND(":",Sync!$K1047)+1,2)),2),"0000")))&amp;"|"&amp;"2"&amp;RIGHT("00000"&amp;1042,5))</f>
        <v/>
      </c>
      <c r="Q1047" t="str">
        <f>IF(Sync!$J1047="","",IF(ISNUMBER(Sync!$J1047),IF(AND(Sync!$J1047&gt;=10000101,Sync!$J1047&lt;=99991231),INT(Sync!$J1047/10000)&amp;"/"&amp;RIGHT("00"&amp;INT(MOD(Sync!$J1047,10000)/100),2)&amp;"/"&amp;RIGHT("00"&amp;MOD(Sync!$J1047,100),2),"نامعتبر"),IF(LEN(Sync!$J1047)=10,Sync!$J1047,"نامعتبر")))</f>
        <v/>
      </c>
      <c r="R1047" t="str">
        <f t="shared" si="113"/>
        <v/>
      </c>
      <c r="S1047" t="str">
        <f t="shared" si="114"/>
        <v/>
      </c>
      <c r="T1047" t="str">
        <f>IF($N1047="","",IF(Sync!$N1047="",0,Sync!$N1047))</f>
        <v/>
      </c>
      <c r="U1047" t="str">
        <f>IF($N1047="","",IF(Sync!$O1047="",0,Sync!$O1047))</f>
        <v/>
      </c>
      <c r="V1047" t="str">
        <f>IF($N1047="","",Sync!$L1047)</f>
        <v/>
      </c>
      <c r="W1047" t="str">
        <f>IF($N1047="","",Sync!$P1047)</f>
        <v/>
      </c>
    </row>
    <row r="1048" spans="14:23" x14ac:dyDescent="0.2">
      <c r="N1048" t="str">
        <f>IF(OR(Sync!$M1048="",$Q1048="",$Q1048="نامعتبر"),"",Sync!$M1048)</f>
        <v/>
      </c>
      <c r="O1048" t="str">
        <f t="shared" si="112"/>
        <v/>
      </c>
      <c r="P1048" t="str">
        <f>IF($N1048="","",LEFT($Q1048,4)&amp;MID($Q1048,6,2)&amp;RIGHT($Q1048,2)&amp;IF(Sync!$K1048="","0000",IF(AND(ISNUMBER(Sync!$K1048),Sync!$K1048&gt;=0,Sync!$K1048&lt;1),RIGHT("00"&amp;HOUR(Sync!$K1048),2)&amp;RIGHT("00"&amp;MINUTE(Sync!$K1048),2),IFERROR(RIGHT("00"&amp;VALUE(LEFT(Sync!$K1048,FIND(":",Sync!$K1048)-1)),2)&amp;RIGHT("00"&amp;VALUE(MID(Sync!$K1048,FIND(":",Sync!$K1048)+1,2)),2),"0000")))&amp;"|"&amp;"2"&amp;RIGHT("00000"&amp;1043,5))</f>
        <v/>
      </c>
      <c r="Q1048" t="str">
        <f>IF(Sync!$J1048="","",IF(ISNUMBER(Sync!$J1048),IF(AND(Sync!$J1048&gt;=10000101,Sync!$J1048&lt;=99991231),INT(Sync!$J1048/10000)&amp;"/"&amp;RIGHT("00"&amp;INT(MOD(Sync!$J1048,10000)/100),2)&amp;"/"&amp;RIGHT("00"&amp;MOD(Sync!$J1048,100),2),"نامعتبر"),IF(LEN(Sync!$J1048)=10,Sync!$J1048,"نامعتبر")))</f>
        <v/>
      </c>
      <c r="R1048" t="str">
        <f t="shared" si="113"/>
        <v/>
      </c>
      <c r="S1048" t="str">
        <f t="shared" si="114"/>
        <v/>
      </c>
      <c r="T1048" t="str">
        <f>IF($N1048="","",IF(Sync!$N1048="",0,Sync!$N1048))</f>
        <v/>
      </c>
      <c r="U1048" t="str">
        <f>IF($N1048="","",IF(Sync!$O1048="",0,Sync!$O1048))</f>
        <v/>
      </c>
      <c r="V1048" t="str">
        <f>IF($N1048="","",Sync!$L1048)</f>
        <v/>
      </c>
      <c r="W1048" t="str">
        <f>IF($N1048="","",Sync!$P1048)</f>
        <v/>
      </c>
    </row>
    <row r="1049" spans="14:23" x14ac:dyDescent="0.2">
      <c r="N1049" t="str">
        <f>IF(OR(Sync!$M1049="",$Q1049="",$Q1049="نامعتبر"),"",Sync!$M1049)</f>
        <v/>
      </c>
      <c r="O1049" t="str">
        <f t="shared" si="112"/>
        <v/>
      </c>
      <c r="P1049" t="str">
        <f>IF($N1049="","",LEFT($Q1049,4)&amp;MID($Q1049,6,2)&amp;RIGHT($Q1049,2)&amp;IF(Sync!$K1049="","0000",IF(AND(ISNUMBER(Sync!$K1049),Sync!$K1049&gt;=0,Sync!$K1049&lt;1),RIGHT("00"&amp;HOUR(Sync!$K1049),2)&amp;RIGHT("00"&amp;MINUTE(Sync!$K1049),2),IFERROR(RIGHT("00"&amp;VALUE(LEFT(Sync!$K1049,FIND(":",Sync!$K1049)-1)),2)&amp;RIGHT("00"&amp;VALUE(MID(Sync!$K1049,FIND(":",Sync!$K1049)+1,2)),2),"0000")))&amp;"|"&amp;"2"&amp;RIGHT("00000"&amp;1044,5))</f>
        <v/>
      </c>
      <c r="Q1049" t="str">
        <f>IF(Sync!$J1049="","",IF(ISNUMBER(Sync!$J1049),IF(AND(Sync!$J1049&gt;=10000101,Sync!$J1049&lt;=99991231),INT(Sync!$J1049/10000)&amp;"/"&amp;RIGHT("00"&amp;INT(MOD(Sync!$J1049,10000)/100),2)&amp;"/"&amp;RIGHT("00"&amp;MOD(Sync!$J1049,100),2),"نامعتبر"),IF(LEN(Sync!$J1049)=10,Sync!$J1049,"نامعتبر")))</f>
        <v/>
      </c>
      <c r="R1049" t="str">
        <f t="shared" si="113"/>
        <v/>
      </c>
      <c r="S1049" t="str">
        <f t="shared" si="114"/>
        <v/>
      </c>
      <c r="T1049" t="str">
        <f>IF($N1049="","",IF(Sync!$N1049="",0,Sync!$N1049))</f>
        <v/>
      </c>
      <c r="U1049" t="str">
        <f>IF($N1049="","",IF(Sync!$O1049="",0,Sync!$O1049))</f>
        <v/>
      </c>
      <c r="V1049" t="str">
        <f>IF($N1049="","",Sync!$L1049)</f>
        <v/>
      </c>
      <c r="W1049" t="str">
        <f>IF($N1049="","",Sync!$P1049)</f>
        <v/>
      </c>
    </row>
    <row r="1050" spans="14:23" x14ac:dyDescent="0.2">
      <c r="N1050" t="str">
        <f>IF(OR(Sync!$M1050="",$Q1050="",$Q1050="نامعتبر"),"",Sync!$M1050)</f>
        <v/>
      </c>
      <c r="O1050" t="str">
        <f t="shared" si="112"/>
        <v/>
      </c>
      <c r="P1050" t="str">
        <f>IF($N1050="","",LEFT($Q1050,4)&amp;MID($Q1050,6,2)&amp;RIGHT($Q1050,2)&amp;IF(Sync!$K1050="","0000",IF(AND(ISNUMBER(Sync!$K1050),Sync!$K1050&gt;=0,Sync!$K1050&lt;1),RIGHT("00"&amp;HOUR(Sync!$K1050),2)&amp;RIGHT("00"&amp;MINUTE(Sync!$K1050),2),IFERROR(RIGHT("00"&amp;VALUE(LEFT(Sync!$K1050,FIND(":",Sync!$K1050)-1)),2)&amp;RIGHT("00"&amp;VALUE(MID(Sync!$K1050,FIND(":",Sync!$K1050)+1,2)),2),"0000")))&amp;"|"&amp;"2"&amp;RIGHT("00000"&amp;1045,5))</f>
        <v/>
      </c>
      <c r="Q1050" t="str">
        <f>IF(Sync!$J1050="","",IF(ISNUMBER(Sync!$J1050),IF(AND(Sync!$J1050&gt;=10000101,Sync!$J1050&lt;=99991231),INT(Sync!$J1050/10000)&amp;"/"&amp;RIGHT("00"&amp;INT(MOD(Sync!$J1050,10000)/100),2)&amp;"/"&amp;RIGHT("00"&amp;MOD(Sync!$J1050,100),2),"نامعتبر"),IF(LEN(Sync!$J1050)=10,Sync!$J1050,"نامعتبر")))</f>
        <v/>
      </c>
      <c r="R1050" t="str">
        <f t="shared" si="113"/>
        <v/>
      </c>
      <c r="S1050" t="str">
        <f t="shared" si="114"/>
        <v/>
      </c>
      <c r="T1050" t="str">
        <f>IF($N1050="","",IF(Sync!$N1050="",0,Sync!$N1050))</f>
        <v/>
      </c>
      <c r="U1050" t="str">
        <f>IF($N1050="","",IF(Sync!$O1050="",0,Sync!$O1050))</f>
        <v/>
      </c>
      <c r="V1050" t="str">
        <f>IF($N1050="","",Sync!$L1050)</f>
        <v/>
      </c>
      <c r="W1050" t="str">
        <f>IF($N1050="","",Sync!$P1050)</f>
        <v/>
      </c>
    </row>
    <row r="1051" spans="14:23" x14ac:dyDescent="0.2">
      <c r="N1051" t="str">
        <f>IF(OR(Sync!$M1051="",$Q1051="",$Q1051="نامعتبر"),"",Sync!$M1051)</f>
        <v/>
      </c>
      <c r="O1051" t="str">
        <f t="shared" si="112"/>
        <v/>
      </c>
      <c r="P1051" t="str">
        <f>IF($N1051="","",LEFT($Q1051,4)&amp;MID($Q1051,6,2)&amp;RIGHT($Q1051,2)&amp;IF(Sync!$K1051="","0000",IF(AND(ISNUMBER(Sync!$K1051),Sync!$K1051&gt;=0,Sync!$K1051&lt;1),RIGHT("00"&amp;HOUR(Sync!$K1051),2)&amp;RIGHT("00"&amp;MINUTE(Sync!$K1051),2),IFERROR(RIGHT("00"&amp;VALUE(LEFT(Sync!$K1051,FIND(":",Sync!$K1051)-1)),2)&amp;RIGHT("00"&amp;VALUE(MID(Sync!$K1051,FIND(":",Sync!$K1051)+1,2)),2),"0000")))&amp;"|"&amp;"2"&amp;RIGHT("00000"&amp;1046,5))</f>
        <v/>
      </c>
      <c r="Q1051" t="str">
        <f>IF(Sync!$J1051="","",IF(ISNUMBER(Sync!$J1051),IF(AND(Sync!$J1051&gt;=10000101,Sync!$J1051&lt;=99991231),INT(Sync!$J1051/10000)&amp;"/"&amp;RIGHT("00"&amp;INT(MOD(Sync!$J1051,10000)/100),2)&amp;"/"&amp;RIGHT("00"&amp;MOD(Sync!$J1051,100),2),"نامعتبر"),IF(LEN(Sync!$J1051)=10,Sync!$J1051,"نامعتبر")))</f>
        <v/>
      </c>
      <c r="R1051" t="str">
        <f t="shared" si="113"/>
        <v/>
      </c>
      <c r="S1051" t="str">
        <f t="shared" si="114"/>
        <v/>
      </c>
      <c r="T1051" t="str">
        <f>IF($N1051="","",IF(Sync!$N1051="",0,Sync!$N1051))</f>
        <v/>
      </c>
      <c r="U1051" t="str">
        <f>IF($N1051="","",IF(Sync!$O1051="",0,Sync!$O1051))</f>
        <v/>
      </c>
      <c r="V1051" t="str">
        <f>IF($N1051="","",Sync!$L1051)</f>
        <v/>
      </c>
      <c r="W1051" t="str">
        <f>IF($N1051="","",Sync!$P1051)</f>
        <v/>
      </c>
    </row>
    <row r="1052" spans="14:23" x14ac:dyDescent="0.2">
      <c r="N1052" t="str">
        <f>IF(OR(Sync!$M1052="",$Q1052="",$Q1052="نامعتبر"),"",Sync!$M1052)</f>
        <v/>
      </c>
      <c r="O1052" t="str">
        <f t="shared" si="112"/>
        <v/>
      </c>
      <c r="P1052" t="str">
        <f>IF($N1052="","",LEFT($Q1052,4)&amp;MID($Q1052,6,2)&amp;RIGHT($Q1052,2)&amp;IF(Sync!$K1052="","0000",IF(AND(ISNUMBER(Sync!$K1052),Sync!$K1052&gt;=0,Sync!$K1052&lt;1),RIGHT("00"&amp;HOUR(Sync!$K1052),2)&amp;RIGHT("00"&amp;MINUTE(Sync!$K1052),2),IFERROR(RIGHT("00"&amp;VALUE(LEFT(Sync!$K1052,FIND(":",Sync!$K1052)-1)),2)&amp;RIGHT("00"&amp;VALUE(MID(Sync!$K1052,FIND(":",Sync!$K1052)+1,2)),2),"0000")))&amp;"|"&amp;"2"&amp;RIGHT("00000"&amp;1047,5))</f>
        <v/>
      </c>
      <c r="Q1052" t="str">
        <f>IF(Sync!$J1052="","",IF(ISNUMBER(Sync!$J1052),IF(AND(Sync!$J1052&gt;=10000101,Sync!$J1052&lt;=99991231),INT(Sync!$J1052/10000)&amp;"/"&amp;RIGHT("00"&amp;INT(MOD(Sync!$J1052,10000)/100),2)&amp;"/"&amp;RIGHT("00"&amp;MOD(Sync!$J1052,100),2),"نامعتبر"),IF(LEN(Sync!$J1052)=10,Sync!$J1052,"نامعتبر")))</f>
        <v/>
      </c>
      <c r="R1052" t="str">
        <f t="shared" si="113"/>
        <v/>
      </c>
      <c r="S1052" t="str">
        <f t="shared" si="114"/>
        <v/>
      </c>
      <c r="T1052" t="str">
        <f>IF($N1052="","",IF(Sync!$N1052="",0,Sync!$N1052))</f>
        <v/>
      </c>
      <c r="U1052" t="str">
        <f>IF($N1052="","",IF(Sync!$O1052="",0,Sync!$O1052))</f>
        <v/>
      </c>
      <c r="V1052" t="str">
        <f>IF($N1052="","",Sync!$L1052)</f>
        <v/>
      </c>
      <c r="W1052" t="str">
        <f>IF($N1052="","",Sync!$P1052)</f>
        <v/>
      </c>
    </row>
    <row r="1053" spans="14:23" x14ac:dyDescent="0.2">
      <c r="N1053" t="str">
        <f>IF(OR(Sync!$M1053="",$Q1053="",$Q1053="نامعتبر"),"",Sync!$M1053)</f>
        <v/>
      </c>
      <c r="O1053" t="str">
        <f t="shared" si="112"/>
        <v/>
      </c>
      <c r="P1053" t="str">
        <f>IF($N1053="","",LEFT($Q1053,4)&amp;MID($Q1053,6,2)&amp;RIGHT($Q1053,2)&amp;IF(Sync!$K1053="","0000",IF(AND(ISNUMBER(Sync!$K1053),Sync!$K1053&gt;=0,Sync!$K1053&lt;1),RIGHT("00"&amp;HOUR(Sync!$K1053),2)&amp;RIGHT("00"&amp;MINUTE(Sync!$K1053),2),IFERROR(RIGHT("00"&amp;VALUE(LEFT(Sync!$K1053,FIND(":",Sync!$K1053)-1)),2)&amp;RIGHT("00"&amp;VALUE(MID(Sync!$K1053,FIND(":",Sync!$K1053)+1,2)),2),"0000")))&amp;"|"&amp;"2"&amp;RIGHT("00000"&amp;1048,5))</f>
        <v/>
      </c>
      <c r="Q1053" t="str">
        <f>IF(Sync!$J1053="","",IF(ISNUMBER(Sync!$J1053),IF(AND(Sync!$J1053&gt;=10000101,Sync!$J1053&lt;=99991231),INT(Sync!$J1053/10000)&amp;"/"&amp;RIGHT("00"&amp;INT(MOD(Sync!$J1053,10000)/100),2)&amp;"/"&amp;RIGHT("00"&amp;MOD(Sync!$J1053,100),2),"نامعتبر"),IF(LEN(Sync!$J1053)=10,Sync!$J1053,"نامعتبر")))</f>
        <v/>
      </c>
      <c r="R1053" t="str">
        <f t="shared" si="113"/>
        <v/>
      </c>
      <c r="S1053" t="str">
        <f t="shared" si="114"/>
        <v/>
      </c>
      <c r="T1053" t="str">
        <f>IF($N1053="","",IF(Sync!$N1053="",0,Sync!$N1053))</f>
        <v/>
      </c>
      <c r="U1053" t="str">
        <f>IF($N1053="","",IF(Sync!$O1053="",0,Sync!$O1053))</f>
        <v/>
      </c>
      <c r="V1053" t="str">
        <f>IF($N1053="","",Sync!$L1053)</f>
        <v/>
      </c>
      <c r="W1053" t="str">
        <f>IF($N1053="","",Sync!$P1053)</f>
        <v/>
      </c>
    </row>
    <row r="1054" spans="14:23" x14ac:dyDescent="0.2">
      <c r="N1054" t="str">
        <f>IF(OR(Sync!$M1054="",$Q1054="",$Q1054="نامعتبر"),"",Sync!$M1054)</f>
        <v/>
      </c>
      <c r="O1054" t="str">
        <f t="shared" si="112"/>
        <v/>
      </c>
      <c r="P1054" t="str">
        <f>IF($N1054="","",LEFT($Q1054,4)&amp;MID($Q1054,6,2)&amp;RIGHT($Q1054,2)&amp;IF(Sync!$K1054="","0000",IF(AND(ISNUMBER(Sync!$K1054),Sync!$K1054&gt;=0,Sync!$K1054&lt;1),RIGHT("00"&amp;HOUR(Sync!$K1054),2)&amp;RIGHT("00"&amp;MINUTE(Sync!$K1054),2),IFERROR(RIGHT("00"&amp;VALUE(LEFT(Sync!$K1054,FIND(":",Sync!$K1054)-1)),2)&amp;RIGHT("00"&amp;VALUE(MID(Sync!$K1054,FIND(":",Sync!$K1054)+1,2)),2),"0000")))&amp;"|"&amp;"2"&amp;RIGHT("00000"&amp;1049,5))</f>
        <v/>
      </c>
      <c r="Q1054" t="str">
        <f>IF(Sync!$J1054="","",IF(ISNUMBER(Sync!$J1054),IF(AND(Sync!$J1054&gt;=10000101,Sync!$J1054&lt;=99991231),INT(Sync!$J1054/10000)&amp;"/"&amp;RIGHT("00"&amp;INT(MOD(Sync!$J1054,10000)/100),2)&amp;"/"&amp;RIGHT("00"&amp;MOD(Sync!$J1054,100),2),"نامعتبر"),IF(LEN(Sync!$J1054)=10,Sync!$J1054,"نامعتبر")))</f>
        <v/>
      </c>
      <c r="R1054" t="str">
        <f t="shared" si="113"/>
        <v/>
      </c>
      <c r="S1054" t="str">
        <f t="shared" si="114"/>
        <v/>
      </c>
      <c r="T1054" t="str">
        <f>IF($N1054="","",IF(Sync!$N1054="",0,Sync!$N1054))</f>
        <v/>
      </c>
      <c r="U1054" t="str">
        <f>IF($N1054="","",IF(Sync!$O1054="",0,Sync!$O1054))</f>
        <v/>
      </c>
      <c r="V1054" t="str">
        <f>IF($N1054="","",Sync!$L1054)</f>
        <v/>
      </c>
      <c r="W1054" t="str">
        <f>IF($N1054="","",Sync!$P1054)</f>
        <v/>
      </c>
    </row>
    <row r="1055" spans="14:23" x14ac:dyDescent="0.2">
      <c r="N1055" t="str">
        <f>IF(OR(Sync!$M1055="",$Q1055="",$Q1055="نامعتبر"),"",Sync!$M1055)</f>
        <v/>
      </c>
      <c r="O1055" t="str">
        <f t="shared" si="112"/>
        <v/>
      </c>
      <c r="P1055" t="str">
        <f>IF($N1055="","",LEFT($Q1055,4)&amp;MID($Q1055,6,2)&amp;RIGHT($Q1055,2)&amp;IF(Sync!$K1055="","0000",IF(AND(ISNUMBER(Sync!$K1055),Sync!$K1055&gt;=0,Sync!$K1055&lt;1),RIGHT("00"&amp;HOUR(Sync!$K1055),2)&amp;RIGHT("00"&amp;MINUTE(Sync!$K1055),2),IFERROR(RIGHT("00"&amp;VALUE(LEFT(Sync!$K1055,FIND(":",Sync!$K1055)-1)),2)&amp;RIGHT("00"&amp;VALUE(MID(Sync!$K1055,FIND(":",Sync!$K1055)+1,2)),2),"0000")))&amp;"|"&amp;"2"&amp;RIGHT("00000"&amp;1050,5))</f>
        <v/>
      </c>
      <c r="Q1055" t="str">
        <f>IF(Sync!$J1055="","",IF(ISNUMBER(Sync!$J1055),IF(AND(Sync!$J1055&gt;=10000101,Sync!$J1055&lt;=99991231),INT(Sync!$J1055/10000)&amp;"/"&amp;RIGHT("00"&amp;INT(MOD(Sync!$J1055,10000)/100),2)&amp;"/"&amp;RIGHT("00"&amp;MOD(Sync!$J1055,100),2),"نامعتبر"),IF(LEN(Sync!$J1055)=10,Sync!$J1055,"نامعتبر")))</f>
        <v/>
      </c>
      <c r="R1055" t="str">
        <f t="shared" si="113"/>
        <v/>
      </c>
      <c r="S1055" t="str">
        <f t="shared" si="114"/>
        <v/>
      </c>
      <c r="T1055" t="str">
        <f>IF($N1055="","",IF(Sync!$N1055="",0,Sync!$N1055))</f>
        <v/>
      </c>
      <c r="U1055" t="str">
        <f>IF($N1055="","",IF(Sync!$O1055="",0,Sync!$O1055))</f>
        <v/>
      </c>
      <c r="V1055" t="str">
        <f>IF($N1055="","",Sync!$L1055)</f>
        <v/>
      </c>
      <c r="W1055" t="str">
        <f>IF($N1055="","",Sync!$P1055)</f>
        <v/>
      </c>
    </row>
    <row r="1056" spans="14:23" x14ac:dyDescent="0.2">
      <c r="N1056" t="str">
        <f>IF(OR(Sync!$M1056="",$Q1056="",$Q1056="نامعتبر"),"",Sync!$M1056)</f>
        <v/>
      </c>
      <c r="O1056" t="str">
        <f t="shared" si="112"/>
        <v/>
      </c>
      <c r="P1056" t="str">
        <f>IF($N1056="","",LEFT($Q1056,4)&amp;MID($Q1056,6,2)&amp;RIGHT($Q1056,2)&amp;IF(Sync!$K1056="","0000",IF(AND(ISNUMBER(Sync!$K1056),Sync!$K1056&gt;=0,Sync!$K1056&lt;1),RIGHT("00"&amp;HOUR(Sync!$K1056),2)&amp;RIGHT("00"&amp;MINUTE(Sync!$K1056),2),IFERROR(RIGHT("00"&amp;VALUE(LEFT(Sync!$K1056,FIND(":",Sync!$K1056)-1)),2)&amp;RIGHT("00"&amp;VALUE(MID(Sync!$K1056,FIND(":",Sync!$K1056)+1,2)),2),"0000")))&amp;"|"&amp;"2"&amp;RIGHT("00000"&amp;1051,5))</f>
        <v/>
      </c>
      <c r="Q1056" t="str">
        <f>IF(Sync!$J1056="","",IF(ISNUMBER(Sync!$J1056),IF(AND(Sync!$J1056&gt;=10000101,Sync!$J1056&lt;=99991231),INT(Sync!$J1056/10000)&amp;"/"&amp;RIGHT("00"&amp;INT(MOD(Sync!$J1056,10000)/100),2)&amp;"/"&amp;RIGHT("00"&amp;MOD(Sync!$J1056,100),2),"نامعتبر"),IF(LEN(Sync!$J1056)=10,Sync!$J1056,"نامعتبر")))</f>
        <v/>
      </c>
      <c r="R1056" t="str">
        <f t="shared" si="113"/>
        <v/>
      </c>
      <c r="S1056" t="str">
        <f t="shared" si="114"/>
        <v/>
      </c>
      <c r="T1056" t="str">
        <f>IF($N1056="","",IF(Sync!$N1056="",0,Sync!$N1056))</f>
        <v/>
      </c>
      <c r="U1056" t="str">
        <f>IF($N1056="","",IF(Sync!$O1056="",0,Sync!$O1056))</f>
        <v/>
      </c>
      <c r="V1056" t="str">
        <f>IF($N1056="","",Sync!$L1056)</f>
        <v/>
      </c>
      <c r="W1056" t="str">
        <f>IF($N1056="","",Sync!$P1056)</f>
        <v/>
      </c>
    </row>
    <row r="1057" spans="14:23" x14ac:dyDescent="0.2">
      <c r="N1057" t="str">
        <f>IF(OR(Sync!$M1057="",$Q1057="",$Q1057="نامعتبر"),"",Sync!$M1057)</f>
        <v/>
      </c>
      <c r="O1057" t="str">
        <f t="shared" si="112"/>
        <v/>
      </c>
      <c r="P1057" t="str">
        <f>IF($N1057="","",LEFT($Q1057,4)&amp;MID($Q1057,6,2)&amp;RIGHT($Q1057,2)&amp;IF(Sync!$K1057="","0000",IF(AND(ISNUMBER(Sync!$K1057),Sync!$K1057&gt;=0,Sync!$K1057&lt;1),RIGHT("00"&amp;HOUR(Sync!$K1057),2)&amp;RIGHT("00"&amp;MINUTE(Sync!$K1057),2),IFERROR(RIGHT("00"&amp;VALUE(LEFT(Sync!$K1057,FIND(":",Sync!$K1057)-1)),2)&amp;RIGHT("00"&amp;VALUE(MID(Sync!$K1057,FIND(":",Sync!$K1057)+1,2)),2),"0000")))&amp;"|"&amp;"2"&amp;RIGHT("00000"&amp;1052,5))</f>
        <v/>
      </c>
      <c r="Q1057" t="str">
        <f>IF(Sync!$J1057="","",IF(ISNUMBER(Sync!$J1057),IF(AND(Sync!$J1057&gt;=10000101,Sync!$J1057&lt;=99991231),INT(Sync!$J1057/10000)&amp;"/"&amp;RIGHT("00"&amp;INT(MOD(Sync!$J1057,10000)/100),2)&amp;"/"&amp;RIGHT("00"&amp;MOD(Sync!$J1057,100),2),"نامعتبر"),IF(LEN(Sync!$J1057)=10,Sync!$J1057,"نامعتبر")))</f>
        <v/>
      </c>
      <c r="R1057" t="str">
        <f t="shared" si="113"/>
        <v/>
      </c>
      <c r="S1057" t="str">
        <f t="shared" si="114"/>
        <v/>
      </c>
      <c r="T1057" t="str">
        <f>IF($N1057="","",IF(Sync!$N1057="",0,Sync!$N1057))</f>
        <v/>
      </c>
      <c r="U1057" t="str">
        <f>IF($N1057="","",IF(Sync!$O1057="",0,Sync!$O1057))</f>
        <v/>
      </c>
      <c r="V1057" t="str">
        <f>IF($N1057="","",Sync!$L1057)</f>
        <v/>
      </c>
      <c r="W1057" t="str">
        <f>IF($N1057="","",Sync!$P1057)</f>
        <v/>
      </c>
    </row>
    <row r="1058" spans="14:23" x14ac:dyDescent="0.2">
      <c r="N1058" t="str">
        <f>IF(OR(Sync!$M1058="",$Q1058="",$Q1058="نامعتبر"),"",Sync!$M1058)</f>
        <v/>
      </c>
      <c r="O1058" t="str">
        <f t="shared" si="112"/>
        <v/>
      </c>
      <c r="P1058" t="str">
        <f>IF($N1058="","",LEFT($Q1058,4)&amp;MID($Q1058,6,2)&amp;RIGHT($Q1058,2)&amp;IF(Sync!$K1058="","0000",IF(AND(ISNUMBER(Sync!$K1058),Sync!$K1058&gt;=0,Sync!$K1058&lt;1),RIGHT("00"&amp;HOUR(Sync!$K1058),2)&amp;RIGHT("00"&amp;MINUTE(Sync!$K1058),2),IFERROR(RIGHT("00"&amp;VALUE(LEFT(Sync!$K1058,FIND(":",Sync!$K1058)-1)),2)&amp;RIGHT("00"&amp;VALUE(MID(Sync!$K1058,FIND(":",Sync!$K1058)+1,2)),2),"0000")))&amp;"|"&amp;"2"&amp;RIGHT("00000"&amp;1053,5))</f>
        <v/>
      </c>
      <c r="Q1058" t="str">
        <f>IF(Sync!$J1058="","",IF(ISNUMBER(Sync!$J1058),IF(AND(Sync!$J1058&gt;=10000101,Sync!$J1058&lt;=99991231),INT(Sync!$J1058/10000)&amp;"/"&amp;RIGHT("00"&amp;INT(MOD(Sync!$J1058,10000)/100),2)&amp;"/"&amp;RIGHT("00"&amp;MOD(Sync!$J1058,100),2),"نامعتبر"),IF(LEN(Sync!$J1058)=10,Sync!$J1058,"نامعتبر")))</f>
        <v/>
      </c>
      <c r="R1058" t="str">
        <f t="shared" si="113"/>
        <v/>
      </c>
      <c r="S1058" t="str">
        <f t="shared" si="114"/>
        <v/>
      </c>
      <c r="T1058" t="str">
        <f>IF($N1058="","",IF(Sync!$N1058="",0,Sync!$N1058))</f>
        <v/>
      </c>
      <c r="U1058" t="str">
        <f>IF($N1058="","",IF(Sync!$O1058="",0,Sync!$O1058))</f>
        <v/>
      </c>
      <c r="V1058" t="str">
        <f>IF($N1058="","",Sync!$L1058)</f>
        <v/>
      </c>
      <c r="W1058" t="str">
        <f>IF($N1058="","",Sync!$P1058)</f>
        <v/>
      </c>
    </row>
    <row r="1059" spans="14:23" x14ac:dyDescent="0.2">
      <c r="N1059" t="str">
        <f>IF(OR(Sync!$M1059="",$Q1059="",$Q1059="نامعتبر"),"",Sync!$M1059)</f>
        <v/>
      </c>
      <c r="O1059" t="str">
        <f t="shared" si="112"/>
        <v/>
      </c>
      <c r="P1059" t="str">
        <f>IF($N1059="","",LEFT($Q1059,4)&amp;MID($Q1059,6,2)&amp;RIGHT($Q1059,2)&amp;IF(Sync!$K1059="","0000",IF(AND(ISNUMBER(Sync!$K1059),Sync!$K1059&gt;=0,Sync!$K1059&lt;1),RIGHT("00"&amp;HOUR(Sync!$K1059),2)&amp;RIGHT("00"&amp;MINUTE(Sync!$K1059),2),IFERROR(RIGHT("00"&amp;VALUE(LEFT(Sync!$K1059,FIND(":",Sync!$K1059)-1)),2)&amp;RIGHT("00"&amp;VALUE(MID(Sync!$K1059,FIND(":",Sync!$K1059)+1,2)),2),"0000")))&amp;"|"&amp;"2"&amp;RIGHT("00000"&amp;1054,5))</f>
        <v/>
      </c>
      <c r="Q1059" t="str">
        <f>IF(Sync!$J1059="","",IF(ISNUMBER(Sync!$J1059),IF(AND(Sync!$J1059&gt;=10000101,Sync!$J1059&lt;=99991231),INT(Sync!$J1059/10000)&amp;"/"&amp;RIGHT("00"&amp;INT(MOD(Sync!$J1059,10000)/100),2)&amp;"/"&amp;RIGHT("00"&amp;MOD(Sync!$J1059,100),2),"نامعتبر"),IF(LEN(Sync!$J1059)=10,Sync!$J1059,"نامعتبر")))</f>
        <v/>
      </c>
      <c r="R1059" t="str">
        <f t="shared" si="113"/>
        <v/>
      </c>
      <c r="S1059" t="str">
        <f t="shared" si="114"/>
        <v/>
      </c>
      <c r="T1059" t="str">
        <f>IF($N1059="","",IF(Sync!$N1059="",0,Sync!$N1059))</f>
        <v/>
      </c>
      <c r="U1059" t="str">
        <f>IF($N1059="","",IF(Sync!$O1059="",0,Sync!$O1059))</f>
        <v/>
      </c>
      <c r="V1059" t="str">
        <f>IF($N1059="","",Sync!$L1059)</f>
        <v/>
      </c>
      <c r="W1059" t="str">
        <f>IF($N1059="","",Sync!$P1059)</f>
        <v/>
      </c>
    </row>
    <row r="1060" spans="14:23" x14ac:dyDescent="0.2">
      <c r="N1060" t="str">
        <f>IF(OR(Sync!$M1060="",$Q1060="",$Q1060="نامعتبر"),"",Sync!$M1060)</f>
        <v/>
      </c>
      <c r="O1060" t="str">
        <f t="shared" si="112"/>
        <v/>
      </c>
      <c r="P1060" t="str">
        <f>IF($N1060="","",LEFT($Q1060,4)&amp;MID($Q1060,6,2)&amp;RIGHT($Q1060,2)&amp;IF(Sync!$K1060="","0000",IF(AND(ISNUMBER(Sync!$K1060),Sync!$K1060&gt;=0,Sync!$K1060&lt;1),RIGHT("00"&amp;HOUR(Sync!$K1060),2)&amp;RIGHT("00"&amp;MINUTE(Sync!$K1060),2),IFERROR(RIGHT("00"&amp;VALUE(LEFT(Sync!$K1060,FIND(":",Sync!$K1060)-1)),2)&amp;RIGHT("00"&amp;VALUE(MID(Sync!$K1060,FIND(":",Sync!$K1060)+1,2)),2),"0000")))&amp;"|"&amp;"2"&amp;RIGHT("00000"&amp;1055,5))</f>
        <v/>
      </c>
      <c r="Q1060" t="str">
        <f>IF(Sync!$J1060="","",IF(ISNUMBER(Sync!$J1060),IF(AND(Sync!$J1060&gt;=10000101,Sync!$J1060&lt;=99991231),INT(Sync!$J1060/10000)&amp;"/"&amp;RIGHT("00"&amp;INT(MOD(Sync!$J1060,10000)/100),2)&amp;"/"&amp;RIGHT("00"&amp;MOD(Sync!$J1060,100),2),"نامعتبر"),IF(LEN(Sync!$J1060)=10,Sync!$J1060,"نامعتبر")))</f>
        <v/>
      </c>
      <c r="R1060" t="str">
        <f t="shared" si="113"/>
        <v/>
      </c>
      <c r="S1060" t="str">
        <f t="shared" si="114"/>
        <v/>
      </c>
      <c r="T1060" t="str">
        <f>IF($N1060="","",IF(Sync!$N1060="",0,Sync!$N1060))</f>
        <v/>
      </c>
      <c r="U1060" t="str">
        <f>IF($N1060="","",IF(Sync!$O1060="",0,Sync!$O1060))</f>
        <v/>
      </c>
      <c r="V1060" t="str">
        <f>IF($N1060="","",Sync!$L1060)</f>
        <v/>
      </c>
      <c r="W1060" t="str">
        <f>IF($N1060="","",Sync!$P1060)</f>
        <v/>
      </c>
    </row>
    <row r="1061" spans="14:23" x14ac:dyDescent="0.2">
      <c r="N1061" t="str">
        <f>IF(OR(Sync!$M1061="",$Q1061="",$Q1061="نامعتبر"),"",Sync!$M1061)</f>
        <v/>
      </c>
      <c r="O1061" t="str">
        <f t="shared" si="112"/>
        <v/>
      </c>
      <c r="P1061" t="str">
        <f>IF($N1061="","",LEFT($Q1061,4)&amp;MID($Q1061,6,2)&amp;RIGHT($Q1061,2)&amp;IF(Sync!$K1061="","0000",IF(AND(ISNUMBER(Sync!$K1061),Sync!$K1061&gt;=0,Sync!$K1061&lt;1),RIGHT("00"&amp;HOUR(Sync!$K1061),2)&amp;RIGHT("00"&amp;MINUTE(Sync!$K1061),2),IFERROR(RIGHT("00"&amp;VALUE(LEFT(Sync!$K1061,FIND(":",Sync!$K1061)-1)),2)&amp;RIGHT("00"&amp;VALUE(MID(Sync!$K1061,FIND(":",Sync!$K1061)+1,2)),2),"0000")))&amp;"|"&amp;"2"&amp;RIGHT("00000"&amp;1056,5))</f>
        <v/>
      </c>
      <c r="Q1061" t="str">
        <f>IF(Sync!$J1061="","",IF(ISNUMBER(Sync!$J1061),IF(AND(Sync!$J1061&gt;=10000101,Sync!$J1061&lt;=99991231),INT(Sync!$J1061/10000)&amp;"/"&amp;RIGHT("00"&amp;INT(MOD(Sync!$J1061,10000)/100),2)&amp;"/"&amp;RIGHT("00"&amp;MOD(Sync!$J1061,100),2),"نامعتبر"),IF(LEN(Sync!$J1061)=10,Sync!$J1061,"نامعتبر")))</f>
        <v/>
      </c>
      <c r="R1061" t="str">
        <f t="shared" si="113"/>
        <v/>
      </c>
      <c r="S1061" t="str">
        <f t="shared" si="114"/>
        <v/>
      </c>
      <c r="T1061" t="str">
        <f>IF($N1061="","",IF(Sync!$N1061="",0,Sync!$N1061))</f>
        <v/>
      </c>
      <c r="U1061" t="str">
        <f>IF($N1061="","",IF(Sync!$O1061="",0,Sync!$O1061))</f>
        <v/>
      </c>
      <c r="V1061" t="str">
        <f>IF($N1061="","",Sync!$L1061)</f>
        <v/>
      </c>
      <c r="W1061" t="str">
        <f>IF($N1061="","",Sync!$P1061)</f>
        <v/>
      </c>
    </row>
    <row r="1062" spans="14:23" x14ac:dyDescent="0.2">
      <c r="N1062" t="str">
        <f>IF(OR(Sync!$M1062="",$Q1062="",$Q1062="نامعتبر"),"",Sync!$M1062)</f>
        <v/>
      </c>
      <c r="O1062" t="str">
        <f t="shared" si="112"/>
        <v/>
      </c>
      <c r="P1062" t="str">
        <f>IF($N1062="","",LEFT($Q1062,4)&amp;MID($Q1062,6,2)&amp;RIGHT($Q1062,2)&amp;IF(Sync!$K1062="","0000",IF(AND(ISNUMBER(Sync!$K1062),Sync!$K1062&gt;=0,Sync!$K1062&lt;1),RIGHT("00"&amp;HOUR(Sync!$K1062),2)&amp;RIGHT("00"&amp;MINUTE(Sync!$K1062),2),IFERROR(RIGHT("00"&amp;VALUE(LEFT(Sync!$K1062,FIND(":",Sync!$K1062)-1)),2)&amp;RIGHT("00"&amp;VALUE(MID(Sync!$K1062,FIND(":",Sync!$K1062)+1,2)),2),"0000")))&amp;"|"&amp;"2"&amp;RIGHT("00000"&amp;1057,5))</f>
        <v/>
      </c>
      <c r="Q1062" t="str">
        <f>IF(Sync!$J1062="","",IF(ISNUMBER(Sync!$J1062),IF(AND(Sync!$J1062&gt;=10000101,Sync!$J1062&lt;=99991231),INT(Sync!$J1062/10000)&amp;"/"&amp;RIGHT("00"&amp;INT(MOD(Sync!$J1062,10000)/100),2)&amp;"/"&amp;RIGHT("00"&amp;MOD(Sync!$J1062,100),2),"نامعتبر"),IF(LEN(Sync!$J1062)=10,Sync!$J1062,"نامعتبر")))</f>
        <v/>
      </c>
      <c r="R1062" t="str">
        <f t="shared" si="113"/>
        <v/>
      </c>
      <c r="S1062" t="str">
        <f t="shared" si="114"/>
        <v/>
      </c>
      <c r="T1062" t="str">
        <f>IF($N1062="","",IF(Sync!$N1062="",0,Sync!$N1062))</f>
        <v/>
      </c>
      <c r="U1062" t="str">
        <f>IF($N1062="","",IF(Sync!$O1062="",0,Sync!$O1062))</f>
        <v/>
      </c>
      <c r="V1062" t="str">
        <f>IF($N1062="","",Sync!$L1062)</f>
        <v/>
      </c>
      <c r="W1062" t="str">
        <f>IF($N1062="","",Sync!$P1062)</f>
        <v/>
      </c>
    </row>
    <row r="1063" spans="14:23" x14ac:dyDescent="0.2">
      <c r="N1063" t="str">
        <f>IF(OR(Sync!$M1063="",$Q1063="",$Q1063="نامعتبر"),"",Sync!$M1063)</f>
        <v/>
      </c>
      <c r="O1063" t="str">
        <f t="shared" si="112"/>
        <v/>
      </c>
      <c r="P1063" t="str">
        <f>IF($N1063="","",LEFT($Q1063,4)&amp;MID($Q1063,6,2)&amp;RIGHT($Q1063,2)&amp;IF(Sync!$K1063="","0000",IF(AND(ISNUMBER(Sync!$K1063),Sync!$K1063&gt;=0,Sync!$K1063&lt;1),RIGHT("00"&amp;HOUR(Sync!$K1063),2)&amp;RIGHT("00"&amp;MINUTE(Sync!$K1063),2),IFERROR(RIGHT("00"&amp;VALUE(LEFT(Sync!$K1063,FIND(":",Sync!$K1063)-1)),2)&amp;RIGHT("00"&amp;VALUE(MID(Sync!$K1063,FIND(":",Sync!$K1063)+1,2)),2),"0000")))&amp;"|"&amp;"2"&amp;RIGHT("00000"&amp;1058,5))</f>
        <v/>
      </c>
      <c r="Q1063" t="str">
        <f>IF(Sync!$J1063="","",IF(ISNUMBER(Sync!$J1063),IF(AND(Sync!$J1063&gt;=10000101,Sync!$J1063&lt;=99991231),INT(Sync!$J1063/10000)&amp;"/"&amp;RIGHT("00"&amp;INT(MOD(Sync!$J1063,10000)/100),2)&amp;"/"&amp;RIGHT("00"&amp;MOD(Sync!$J1063,100),2),"نامعتبر"),IF(LEN(Sync!$J1063)=10,Sync!$J1063,"نامعتبر")))</f>
        <v/>
      </c>
      <c r="R1063" t="str">
        <f t="shared" si="113"/>
        <v/>
      </c>
      <c r="S1063" t="str">
        <f t="shared" si="114"/>
        <v/>
      </c>
      <c r="T1063" t="str">
        <f>IF($N1063="","",IF(Sync!$N1063="",0,Sync!$N1063))</f>
        <v/>
      </c>
      <c r="U1063" t="str">
        <f>IF($N1063="","",IF(Sync!$O1063="",0,Sync!$O1063))</f>
        <v/>
      </c>
      <c r="V1063" t="str">
        <f>IF($N1063="","",Sync!$L1063)</f>
        <v/>
      </c>
      <c r="W1063" t="str">
        <f>IF($N1063="","",Sync!$P1063)</f>
        <v/>
      </c>
    </row>
    <row r="1064" spans="14:23" x14ac:dyDescent="0.2">
      <c r="N1064" t="str">
        <f>IF(OR(Sync!$M1064="",$Q1064="",$Q1064="نامعتبر"),"",Sync!$M1064)</f>
        <v/>
      </c>
      <c r="O1064" t="str">
        <f t="shared" si="112"/>
        <v/>
      </c>
      <c r="P1064" t="str">
        <f>IF($N1064="","",LEFT($Q1064,4)&amp;MID($Q1064,6,2)&amp;RIGHT($Q1064,2)&amp;IF(Sync!$K1064="","0000",IF(AND(ISNUMBER(Sync!$K1064),Sync!$K1064&gt;=0,Sync!$K1064&lt;1),RIGHT("00"&amp;HOUR(Sync!$K1064),2)&amp;RIGHT("00"&amp;MINUTE(Sync!$K1064),2),IFERROR(RIGHT("00"&amp;VALUE(LEFT(Sync!$K1064,FIND(":",Sync!$K1064)-1)),2)&amp;RIGHT("00"&amp;VALUE(MID(Sync!$K1064,FIND(":",Sync!$K1064)+1,2)),2),"0000")))&amp;"|"&amp;"2"&amp;RIGHT("00000"&amp;1059,5))</f>
        <v/>
      </c>
      <c r="Q1064" t="str">
        <f>IF(Sync!$J1064="","",IF(ISNUMBER(Sync!$J1064),IF(AND(Sync!$J1064&gt;=10000101,Sync!$J1064&lt;=99991231),INT(Sync!$J1064/10000)&amp;"/"&amp;RIGHT("00"&amp;INT(MOD(Sync!$J1064,10000)/100),2)&amp;"/"&amp;RIGHT("00"&amp;MOD(Sync!$J1064,100),2),"نامعتبر"),IF(LEN(Sync!$J1064)=10,Sync!$J1064,"نامعتبر")))</f>
        <v/>
      </c>
      <c r="R1064" t="str">
        <f t="shared" si="113"/>
        <v/>
      </c>
      <c r="S1064" t="str">
        <f t="shared" si="114"/>
        <v/>
      </c>
      <c r="T1064" t="str">
        <f>IF($N1064="","",IF(Sync!$N1064="",0,Sync!$N1064))</f>
        <v/>
      </c>
      <c r="U1064" t="str">
        <f>IF($N1064="","",IF(Sync!$O1064="",0,Sync!$O1064))</f>
        <v/>
      </c>
      <c r="V1064" t="str">
        <f>IF($N1064="","",Sync!$L1064)</f>
        <v/>
      </c>
      <c r="W1064" t="str">
        <f>IF($N1064="","",Sync!$P1064)</f>
        <v/>
      </c>
    </row>
    <row r="1065" spans="14:23" x14ac:dyDescent="0.2">
      <c r="N1065" t="str">
        <f>IF(OR(Sync!$M1065="",$Q1065="",$Q1065="نامعتبر"),"",Sync!$M1065)</f>
        <v/>
      </c>
      <c r="O1065" t="str">
        <f t="shared" si="112"/>
        <v/>
      </c>
      <c r="P1065" t="str">
        <f>IF($N1065="","",LEFT($Q1065,4)&amp;MID($Q1065,6,2)&amp;RIGHT($Q1065,2)&amp;IF(Sync!$K1065="","0000",IF(AND(ISNUMBER(Sync!$K1065),Sync!$K1065&gt;=0,Sync!$K1065&lt;1),RIGHT("00"&amp;HOUR(Sync!$K1065),2)&amp;RIGHT("00"&amp;MINUTE(Sync!$K1065),2),IFERROR(RIGHT("00"&amp;VALUE(LEFT(Sync!$K1065,FIND(":",Sync!$K1065)-1)),2)&amp;RIGHT("00"&amp;VALUE(MID(Sync!$K1065,FIND(":",Sync!$K1065)+1,2)),2),"0000")))&amp;"|"&amp;"2"&amp;RIGHT("00000"&amp;1060,5))</f>
        <v/>
      </c>
      <c r="Q1065" t="str">
        <f>IF(Sync!$J1065="","",IF(ISNUMBER(Sync!$J1065),IF(AND(Sync!$J1065&gt;=10000101,Sync!$J1065&lt;=99991231),INT(Sync!$J1065/10000)&amp;"/"&amp;RIGHT("00"&amp;INT(MOD(Sync!$J1065,10000)/100),2)&amp;"/"&amp;RIGHT("00"&amp;MOD(Sync!$J1065,100),2),"نامعتبر"),IF(LEN(Sync!$J1065)=10,Sync!$J1065,"نامعتبر")))</f>
        <v/>
      </c>
      <c r="R1065" t="str">
        <f t="shared" si="113"/>
        <v/>
      </c>
      <c r="S1065" t="str">
        <f t="shared" si="114"/>
        <v/>
      </c>
      <c r="T1065" t="str">
        <f>IF($N1065="","",IF(Sync!$N1065="",0,Sync!$N1065))</f>
        <v/>
      </c>
      <c r="U1065" t="str">
        <f>IF($N1065="","",IF(Sync!$O1065="",0,Sync!$O1065))</f>
        <v/>
      </c>
      <c r="V1065" t="str">
        <f>IF($N1065="","",Sync!$L1065)</f>
        <v/>
      </c>
      <c r="W1065" t="str">
        <f>IF($N1065="","",Sync!$P1065)</f>
        <v/>
      </c>
    </row>
    <row r="1066" spans="14:23" x14ac:dyDescent="0.2">
      <c r="N1066" t="str">
        <f>IF(OR(Sync!$M1066="",$Q1066="",$Q1066="نامعتبر"),"",Sync!$M1066)</f>
        <v/>
      </c>
      <c r="O1066" t="str">
        <f t="shared" si="112"/>
        <v/>
      </c>
      <c r="P1066" t="str">
        <f>IF($N1066="","",LEFT($Q1066,4)&amp;MID($Q1066,6,2)&amp;RIGHT($Q1066,2)&amp;IF(Sync!$K1066="","0000",IF(AND(ISNUMBER(Sync!$K1066),Sync!$K1066&gt;=0,Sync!$K1066&lt;1),RIGHT("00"&amp;HOUR(Sync!$K1066),2)&amp;RIGHT("00"&amp;MINUTE(Sync!$K1066),2),IFERROR(RIGHT("00"&amp;VALUE(LEFT(Sync!$K1066,FIND(":",Sync!$K1066)-1)),2)&amp;RIGHT("00"&amp;VALUE(MID(Sync!$K1066,FIND(":",Sync!$K1066)+1,2)),2),"0000")))&amp;"|"&amp;"2"&amp;RIGHT("00000"&amp;1061,5))</f>
        <v/>
      </c>
      <c r="Q1066" t="str">
        <f>IF(Sync!$J1066="","",IF(ISNUMBER(Sync!$J1066),IF(AND(Sync!$J1066&gt;=10000101,Sync!$J1066&lt;=99991231),INT(Sync!$J1066/10000)&amp;"/"&amp;RIGHT("00"&amp;INT(MOD(Sync!$J1066,10000)/100),2)&amp;"/"&amp;RIGHT("00"&amp;MOD(Sync!$J1066,100),2),"نامعتبر"),IF(LEN(Sync!$J1066)=10,Sync!$J1066,"نامعتبر")))</f>
        <v/>
      </c>
      <c r="R1066" t="str">
        <f t="shared" si="113"/>
        <v/>
      </c>
      <c r="S1066" t="str">
        <f t="shared" si="114"/>
        <v/>
      </c>
      <c r="T1066" t="str">
        <f>IF($N1066="","",IF(Sync!$N1066="",0,Sync!$N1066))</f>
        <v/>
      </c>
      <c r="U1066" t="str">
        <f>IF($N1066="","",IF(Sync!$O1066="",0,Sync!$O1066))</f>
        <v/>
      </c>
      <c r="V1066" t="str">
        <f>IF($N1066="","",Sync!$L1066)</f>
        <v/>
      </c>
      <c r="W1066" t="str">
        <f>IF($N1066="","",Sync!$P1066)</f>
        <v/>
      </c>
    </row>
    <row r="1067" spans="14:23" x14ac:dyDescent="0.2">
      <c r="N1067" t="str">
        <f>IF(OR(Sync!$M1067="",$Q1067="",$Q1067="نامعتبر"),"",Sync!$M1067)</f>
        <v/>
      </c>
      <c r="O1067" t="str">
        <f t="shared" si="112"/>
        <v/>
      </c>
      <c r="P1067" t="str">
        <f>IF($N1067="","",LEFT($Q1067,4)&amp;MID($Q1067,6,2)&amp;RIGHT($Q1067,2)&amp;IF(Sync!$K1067="","0000",IF(AND(ISNUMBER(Sync!$K1067),Sync!$K1067&gt;=0,Sync!$K1067&lt;1),RIGHT("00"&amp;HOUR(Sync!$K1067),2)&amp;RIGHT("00"&amp;MINUTE(Sync!$K1067),2),IFERROR(RIGHT("00"&amp;VALUE(LEFT(Sync!$K1067,FIND(":",Sync!$K1067)-1)),2)&amp;RIGHT("00"&amp;VALUE(MID(Sync!$K1067,FIND(":",Sync!$K1067)+1,2)),2),"0000")))&amp;"|"&amp;"2"&amp;RIGHT("00000"&amp;1062,5))</f>
        <v/>
      </c>
      <c r="Q1067" t="str">
        <f>IF(Sync!$J1067="","",IF(ISNUMBER(Sync!$J1067),IF(AND(Sync!$J1067&gt;=10000101,Sync!$J1067&lt;=99991231),INT(Sync!$J1067/10000)&amp;"/"&amp;RIGHT("00"&amp;INT(MOD(Sync!$J1067,10000)/100),2)&amp;"/"&amp;RIGHT("00"&amp;MOD(Sync!$J1067,100),2),"نامعتبر"),IF(LEN(Sync!$J1067)=10,Sync!$J1067,"نامعتبر")))</f>
        <v/>
      </c>
      <c r="R1067" t="str">
        <f t="shared" si="113"/>
        <v/>
      </c>
      <c r="S1067" t="str">
        <f t="shared" si="114"/>
        <v/>
      </c>
      <c r="T1067" t="str">
        <f>IF($N1067="","",IF(Sync!$N1067="",0,Sync!$N1067))</f>
        <v/>
      </c>
      <c r="U1067" t="str">
        <f>IF($N1067="","",IF(Sync!$O1067="",0,Sync!$O1067))</f>
        <v/>
      </c>
      <c r="V1067" t="str">
        <f>IF($N1067="","",Sync!$L1067)</f>
        <v/>
      </c>
      <c r="W1067" t="str">
        <f>IF($N1067="","",Sync!$P1067)</f>
        <v/>
      </c>
    </row>
    <row r="1068" spans="14:23" x14ac:dyDescent="0.2">
      <c r="N1068" t="str">
        <f>IF(OR(Sync!$M1068="",$Q1068="",$Q1068="نامعتبر"),"",Sync!$M1068)</f>
        <v/>
      </c>
      <c r="O1068" t="str">
        <f t="shared" si="112"/>
        <v/>
      </c>
      <c r="P1068" t="str">
        <f>IF($N1068="","",LEFT($Q1068,4)&amp;MID($Q1068,6,2)&amp;RIGHT($Q1068,2)&amp;IF(Sync!$K1068="","0000",IF(AND(ISNUMBER(Sync!$K1068),Sync!$K1068&gt;=0,Sync!$K1068&lt;1),RIGHT("00"&amp;HOUR(Sync!$K1068),2)&amp;RIGHT("00"&amp;MINUTE(Sync!$K1068),2),IFERROR(RIGHT("00"&amp;VALUE(LEFT(Sync!$K1068,FIND(":",Sync!$K1068)-1)),2)&amp;RIGHT("00"&amp;VALUE(MID(Sync!$K1068,FIND(":",Sync!$K1068)+1,2)),2),"0000")))&amp;"|"&amp;"2"&amp;RIGHT("00000"&amp;1063,5))</f>
        <v/>
      </c>
      <c r="Q1068" t="str">
        <f>IF(Sync!$J1068="","",IF(ISNUMBER(Sync!$J1068),IF(AND(Sync!$J1068&gt;=10000101,Sync!$J1068&lt;=99991231),INT(Sync!$J1068/10000)&amp;"/"&amp;RIGHT("00"&amp;INT(MOD(Sync!$J1068,10000)/100),2)&amp;"/"&amp;RIGHT("00"&amp;MOD(Sync!$J1068,100),2),"نامعتبر"),IF(LEN(Sync!$J1068)=10,Sync!$J1068,"نامعتبر")))</f>
        <v/>
      </c>
      <c r="R1068" t="str">
        <f t="shared" si="113"/>
        <v/>
      </c>
      <c r="S1068" t="str">
        <f t="shared" si="114"/>
        <v/>
      </c>
      <c r="T1068" t="str">
        <f>IF($N1068="","",IF(Sync!$N1068="",0,Sync!$N1068))</f>
        <v/>
      </c>
      <c r="U1068" t="str">
        <f>IF($N1068="","",IF(Sync!$O1068="",0,Sync!$O1068))</f>
        <v/>
      </c>
      <c r="V1068" t="str">
        <f>IF($N1068="","",Sync!$L1068)</f>
        <v/>
      </c>
      <c r="W1068" t="str">
        <f>IF($N1068="","",Sync!$P1068)</f>
        <v/>
      </c>
    </row>
    <row r="1069" spans="14:23" x14ac:dyDescent="0.2">
      <c r="N1069" t="str">
        <f>IF(OR(Sync!$M1069="",$Q1069="",$Q1069="نامعتبر"),"",Sync!$M1069)</f>
        <v/>
      </c>
      <c r="O1069" t="str">
        <f t="shared" si="112"/>
        <v/>
      </c>
      <c r="P1069" t="str">
        <f>IF($N1069="","",LEFT($Q1069,4)&amp;MID($Q1069,6,2)&amp;RIGHT($Q1069,2)&amp;IF(Sync!$K1069="","0000",IF(AND(ISNUMBER(Sync!$K1069),Sync!$K1069&gt;=0,Sync!$K1069&lt;1),RIGHT("00"&amp;HOUR(Sync!$K1069),2)&amp;RIGHT("00"&amp;MINUTE(Sync!$K1069),2),IFERROR(RIGHT("00"&amp;VALUE(LEFT(Sync!$K1069,FIND(":",Sync!$K1069)-1)),2)&amp;RIGHT("00"&amp;VALUE(MID(Sync!$K1069,FIND(":",Sync!$K1069)+1,2)),2),"0000")))&amp;"|"&amp;"2"&amp;RIGHT("00000"&amp;1064,5))</f>
        <v/>
      </c>
      <c r="Q1069" t="str">
        <f>IF(Sync!$J1069="","",IF(ISNUMBER(Sync!$J1069),IF(AND(Sync!$J1069&gt;=10000101,Sync!$J1069&lt;=99991231),INT(Sync!$J1069/10000)&amp;"/"&amp;RIGHT("00"&amp;INT(MOD(Sync!$J1069,10000)/100),2)&amp;"/"&amp;RIGHT("00"&amp;MOD(Sync!$J1069,100),2),"نامعتبر"),IF(LEN(Sync!$J1069)=10,Sync!$J1069,"نامعتبر")))</f>
        <v/>
      </c>
      <c r="R1069" t="str">
        <f t="shared" si="113"/>
        <v/>
      </c>
      <c r="S1069" t="str">
        <f t="shared" si="114"/>
        <v/>
      </c>
      <c r="T1069" t="str">
        <f>IF($N1069="","",IF(Sync!$N1069="",0,Sync!$N1069))</f>
        <v/>
      </c>
      <c r="U1069" t="str">
        <f>IF($N1069="","",IF(Sync!$O1069="",0,Sync!$O1069))</f>
        <v/>
      </c>
      <c r="V1069" t="str">
        <f>IF($N1069="","",Sync!$L1069)</f>
        <v/>
      </c>
      <c r="W1069" t="str">
        <f>IF($N1069="","",Sync!$P1069)</f>
        <v/>
      </c>
    </row>
    <row r="1070" spans="14:23" x14ac:dyDescent="0.2">
      <c r="N1070" t="str">
        <f>IF(OR(Sync!$M1070="",$Q1070="",$Q1070="نامعتبر"),"",Sync!$M1070)</f>
        <v/>
      </c>
      <c r="O1070" t="str">
        <f t="shared" si="112"/>
        <v/>
      </c>
      <c r="P1070" t="str">
        <f>IF($N1070="","",LEFT($Q1070,4)&amp;MID($Q1070,6,2)&amp;RIGHT($Q1070,2)&amp;IF(Sync!$K1070="","0000",IF(AND(ISNUMBER(Sync!$K1070),Sync!$K1070&gt;=0,Sync!$K1070&lt;1),RIGHT("00"&amp;HOUR(Sync!$K1070),2)&amp;RIGHT("00"&amp;MINUTE(Sync!$K1070),2),IFERROR(RIGHT("00"&amp;VALUE(LEFT(Sync!$K1070,FIND(":",Sync!$K1070)-1)),2)&amp;RIGHT("00"&amp;VALUE(MID(Sync!$K1070,FIND(":",Sync!$K1070)+1,2)),2),"0000")))&amp;"|"&amp;"2"&amp;RIGHT("00000"&amp;1065,5))</f>
        <v/>
      </c>
      <c r="Q1070" t="str">
        <f>IF(Sync!$J1070="","",IF(ISNUMBER(Sync!$J1070),IF(AND(Sync!$J1070&gt;=10000101,Sync!$J1070&lt;=99991231),INT(Sync!$J1070/10000)&amp;"/"&amp;RIGHT("00"&amp;INT(MOD(Sync!$J1070,10000)/100),2)&amp;"/"&amp;RIGHT("00"&amp;MOD(Sync!$J1070,100),2),"نامعتبر"),IF(LEN(Sync!$J1070)=10,Sync!$J1070,"نامعتبر")))</f>
        <v/>
      </c>
      <c r="R1070" t="str">
        <f t="shared" si="113"/>
        <v/>
      </c>
      <c r="S1070" t="str">
        <f t="shared" si="114"/>
        <v/>
      </c>
      <c r="T1070" t="str">
        <f>IF($N1070="","",IF(Sync!$N1070="",0,Sync!$N1070))</f>
        <v/>
      </c>
      <c r="U1070" t="str">
        <f>IF($N1070="","",IF(Sync!$O1070="",0,Sync!$O1070))</f>
        <v/>
      </c>
      <c r="V1070" t="str">
        <f>IF($N1070="","",Sync!$L1070)</f>
        <v/>
      </c>
      <c r="W1070" t="str">
        <f>IF($N1070="","",Sync!$P1070)</f>
        <v/>
      </c>
    </row>
    <row r="1071" spans="14:23" x14ac:dyDescent="0.2">
      <c r="N1071" t="str">
        <f>IF(OR(Sync!$M1071="",$Q1071="",$Q1071="نامعتبر"),"",Sync!$M1071)</f>
        <v/>
      </c>
      <c r="O1071" t="str">
        <f t="shared" si="112"/>
        <v/>
      </c>
      <c r="P1071" t="str">
        <f>IF($N1071="","",LEFT($Q1071,4)&amp;MID($Q1071,6,2)&amp;RIGHT($Q1071,2)&amp;IF(Sync!$K1071="","0000",IF(AND(ISNUMBER(Sync!$K1071),Sync!$K1071&gt;=0,Sync!$K1071&lt;1),RIGHT("00"&amp;HOUR(Sync!$K1071),2)&amp;RIGHT("00"&amp;MINUTE(Sync!$K1071),2),IFERROR(RIGHT("00"&amp;VALUE(LEFT(Sync!$K1071,FIND(":",Sync!$K1071)-1)),2)&amp;RIGHT("00"&amp;VALUE(MID(Sync!$K1071,FIND(":",Sync!$K1071)+1,2)),2),"0000")))&amp;"|"&amp;"2"&amp;RIGHT("00000"&amp;1066,5))</f>
        <v/>
      </c>
      <c r="Q1071" t="str">
        <f>IF(Sync!$J1071="","",IF(ISNUMBER(Sync!$J1071),IF(AND(Sync!$J1071&gt;=10000101,Sync!$J1071&lt;=99991231),INT(Sync!$J1071/10000)&amp;"/"&amp;RIGHT("00"&amp;INT(MOD(Sync!$J1071,10000)/100),2)&amp;"/"&amp;RIGHT("00"&amp;MOD(Sync!$J1071,100),2),"نامعتبر"),IF(LEN(Sync!$J1071)=10,Sync!$J1071,"نامعتبر")))</f>
        <v/>
      </c>
      <c r="R1071" t="str">
        <f t="shared" si="113"/>
        <v/>
      </c>
      <c r="S1071" t="str">
        <f t="shared" si="114"/>
        <v/>
      </c>
      <c r="T1071" t="str">
        <f>IF($N1071="","",IF(Sync!$N1071="",0,Sync!$N1071))</f>
        <v/>
      </c>
      <c r="U1071" t="str">
        <f>IF($N1071="","",IF(Sync!$O1071="",0,Sync!$O1071))</f>
        <v/>
      </c>
      <c r="V1071" t="str">
        <f>IF($N1071="","",Sync!$L1071)</f>
        <v/>
      </c>
      <c r="W1071" t="str">
        <f>IF($N1071="","",Sync!$P1071)</f>
        <v/>
      </c>
    </row>
    <row r="1072" spans="14:23" x14ac:dyDescent="0.2">
      <c r="N1072" t="str">
        <f>IF(OR(Sync!$M1072="",$Q1072="",$Q1072="نامعتبر"),"",Sync!$M1072)</f>
        <v/>
      </c>
      <c r="O1072" t="str">
        <f t="shared" si="112"/>
        <v/>
      </c>
      <c r="P1072" t="str">
        <f>IF($N1072="","",LEFT($Q1072,4)&amp;MID($Q1072,6,2)&amp;RIGHT($Q1072,2)&amp;IF(Sync!$K1072="","0000",IF(AND(ISNUMBER(Sync!$K1072),Sync!$K1072&gt;=0,Sync!$K1072&lt;1),RIGHT("00"&amp;HOUR(Sync!$K1072),2)&amp;RIGHT("00"&amp;MINUTE(Sync!$K1072),2),IFERROR(RIGHT("00"&amp;VALUE(LEFT(Sync!$K1072,FIND(":",Sync!$K1072)-1)),2)&amp;RIGHT("00"&amp;VALUE(MID(Sync!$K1072,FIND(":",Sync!$K1072)+1,2)),2),"0000")))&amp;"|"&amp;"2"&amp;RIGHT("00000"&amp;1067,5))</f>
        <v/>
      </c>
      <c r="Q1072" t="str">
        <f>IF(Sync!$J1072="","",IF(ISNUMBER(Sync!$J1072),IF(AND(Sync!$J1072&gt;=10000101,Sync!$J1072&lt;=99991231),INT(Sync!$J1072/10000)&amp;"/"&amp;RIGHT("00"&amp;INT(MOD(Sync!$J1072,10000)/100),2)&amp;"/"&amp;RIGHT("00"&amp;MOD(Sync!$J1072,100),2),"نامعتبر"),IF(LEN(Sync!$J1072)=10,Sync!$J1072,"نامعتبر")))</f>
        <v/>
      </c>
      <c r="R1072" t="str">
        <f t="shared" si="113"/>
        <v/>
      </c>
      <c r="S1072" t="str">
        <f t="shared" si="114"/>
        <v/>
      </c>
      <c r="T1072" t="str">
        <f>IF($N1072="","",IF(Sync!$N1072="",0,Sync!$N1072))</f>
        <v/>
      </c>
      <c r="U1072" t="str">
        <f>IF($N1072="","",IF(Sync!$O1072="",0,Sync!$O1072))</f>
        <v/>
      </c>
      <c r="V1072" t="str">
        <f>IF($N1072="","",Sync!$L1072)</f>
        <v/>
      </c>
      <c r="W1072" t="str">
        <f>IF($N1072="","",Sync!$P1072)</f>
        <v/>
      </c>
    </row>
    <row r="1073" spans="14:23" x14ac:dyDescent="0.2">
      <c r="N1073" t="str">
        <f>IF(OR(Sync!$M1073="",$Q1073="",$Q1073="نامعتبر"),"",Sync!$M1073)</f>
        <v/>
      </c>
      <c r="O1073" t="str">
        <f t="shared" si="112"/>
        <v/>
      </c>
      <c r="P1073" t="str">
        <f>IF($N1073="","",LEFT($Q1073,4)&amp;MID($Q1073,6,2)&amp;RIGHT($Q1073,2)&amp;IF(Sync!$K1073="","0000",IF(AND(ISNUMBER(Sync!$K1073),Sync!$K1073&gt;=0,Sync!$K1073&lt;1),RIGHT("00"&amp;HOUR(Sync!$K1073),2)&amp;RIGHT("00"&amp;MINUTE(Sync!$K1073),2),IFERROR(RIGHT("00"&amp;VALUE(LEFT(Sync!$K1073,FIND(":",Sync!$K1073)-1)),2)&amp;RIGHT("00"&amp;VALUE(MID(Sync!$K1073,FIND(":",Sync!$K1073)+1,2)),2),"0000")))&amp;"|"&amp;"2"&amp;RIGHT("00000"&amp;1068,5))</f>
        <v/>
      </c>
      <c r="Q1073" t="str">
        <f>IF(Sync!$J1073="","",IF(ISNUMBER(Sync!$J1073),IF(AND(Sync!$J1073&gt;=10000101,Sync!$J1073&lt;=99991231),INT(Sync!$J1073/10000)&amp;"/"&amp;RIGHT("00"&amp;INT(MOD(Sync!$J1073,10000)/100),2)&amp;"/"&amp;RIGHT("00"&amp;MOD(Sync!$J1073,100),2),"نامعتبر"),IF(LEN(Sync!$J1073)=10,Sync!$J1073,"نامعتبر")))</f>
        <v/>
      </c>
      <c r="R1073" t="str">
        <f t="shared" si="113"/>
        <v/>
      </c>
      <c r="S1073" t="str">
        <f t="shared" si="114"/>
        <v/>
      </c>
      <c r="T1073" t="str">
        <f>IF($N1073="","",IF(Sync!$N1073="",0,Sync!$N1073))</f>
        <v/>
      </c>
      <c r="U1073" t="str">
        <f>IF($N1073="","",IF(Sync!$O1073="",0,Sync!$O1073))</f>
        <v/>
      </c>
      <c r="V1073" t="str">
        <f>IF($N1073="","",Sync!$L1073)</f>
        <v/>
      </c>
      <c r="W1073" t="str">
        <f>IF($N1073="","",Sync!$P1073)</f>
        <v/>
      </c>
    </row>
    <row r="1074" spans="14:23" x14ac:dyDescent="0.2">
      <c r="N1074" t="str">
        <f>IF(OR(Sync!$M1074="",$Q1074="",$Q1074="نامعتبر"),"",Sync!$M1074)</f>
        <v/>
      </c>
      <c r="O1074" t="str">
        <f t="shared" si="112"/>
        <v/>
      </c>
      <c r="P1074" t="str">
        <f>IF($N1074="","",LEFT($Q1074,4)&amp;MID($Q1074,6,2)&amp;RIGHT($Q1074,2)&amp;IF(Sync!$K1074="","0000",IF(AND(ISNUMBER(Sync!$K1074),Sync!$K1074&gt;=0,Sync!$K1074&lt;1),RIGHT("00"&amp;HOUR(Sync!$K1074),2)&amp;RIGHT("00"&amp;MINUTE(Sync!$K1074),2),IFERROR(RIGHT("00"&amp;VALUE(LEFT(Sync!$K1074,FIND(":",Sync!$K1074)-1)),2)&amp;RIGHT("00"&amp;VALUE(MID(Sync!$K1074,FIND(":",Sync!$K1074)+1,2)),2),"0000")))&amp;"|"&amp;"2"&amp;RIGHT("00000"&amp;1069,5))</f>
        <v/>
      </c>
      <c r="Q1074" t="str">
        <f>IF(Sync!$J1074="","",IF(ISNUMBER(Sync!$J1074),IF(AND(Sync!$J1074&gt;=10000101,Sync!$J1074&lt;=99991231),INT(Sync!$J1074/10000)&amp;"/"&amp;RIGHT("00"&amp;INT(MOD(Sync!$J1074,10000)/100),2)&amp;"/"&amp;RIGHT("00"&amp;MOD(Sync!$J1074,100),2),"نامعتبر"),IF(LEN(Sync!$J1074)=10,Sync!$J1074,"نامعتبر")))</f>
        <v/>
      </c>
      <c r="R1074" t="str">
        <f t="shared" si="113"/>
        <v/>
      </c>
      <c r="S1074" t="str">
        <f t="shared" si="114"/>
        <v/>
      </c>
      <c r="T1074" t="str">
        <f>IF($N1074="","",IF(Sync!$N1074="",0,Sync!$N1074))</f>
        <v/>
      </c>
      <c r="U1074" t="str">
        <f>IF($N1074="","",IF(Sync!$O1074="",0,Sync!$O1074))</f>
        <v/>
      </c>
      <c r="V1074" t="str">
        <f>IF($N1074="","",Sync!$L1074)</f>
        <v/>
      </c>
      <c r="W1074" t="str">
        <f>IF($N1074="","",Sync!$P1074)</f>
        <v/>
      </c>
    </row>
    <row r="1075" spans="14:23" x14ac:dyDescent="0.2">
      <c r="N1075" t="str">
        <f>IF(OR(Sync!$M1075="",$Q1075="",$Q1075="نامعتبر"),"",Sync!$M1075)</f>
        <v/>
      </c>
      <c r="O1075" t="str">
        <f t="shared" si="112"/>
        <v/>
      </c>
      <c r="P1075" t="str">
        <f>IF($N1075="","",LEFT($Q1075,4)&amp;MID($Q1075,6,2)&amp;RIGHT($Q1075,2)&amp;IF(Sync!$K1075="","0000",IF(AND(ISNUMBER(Sync!$K1075),Sync!$K1075&gt;=0,Sync!$K1075&lt;1),RIGHT("00"&amp;HOUR(Sync!$K1075),2)&amp;RIGHT("00"&amp;MINUTE(Sync!$K1075),2),IFERROR(RIGHT("00"&amp;VALUE(LEFT(Sync!$K1075,FIND(":",Sync!$K1075)-1)),2)&amp;RIGHT("00"&amp;VALUE(MID(Sync!$K1075,FIND(":",Sync!$K1075)+1,2)),2),"0000")))&amp;"|"&amp;"2"&amp;RIGHT("00000"&amp;1070,5))</f>
        <v/>
      </c>
      <c r="Q1075" t="str">
        <f>IF(Sync!$J1075="","",IF(ISNUMBER(Sync!$J1075),IF(AND(Sync!$J1075&gt;=10000101,Sync!$J1075&lt;=99991231),INT(Sync!$J1075/10000)&amp;"/"&amp;RIGHT("00"&amp;INT(MOD(Sync!$J1075,10000)/100),2)&amp;"/"&amp;RIGHT("00"&amp;MOD(Sync!$J1075,100),2),"نامعتبر"),IF(LEN(Sync!$J1075)=10,Sync!$J1075,"نامعتبر")))</f>
        <v/>
      </c>
      <c r="R1075" t="str">
        <f t="shared" si="113"/>
        <v/>
      </c>
      <c r="S1075" t="str">
        <f t="shared" si="114"/>
        <v/>
      </c>
      <c r="T1075" t="str">
        <f>IF($N1075="","",IF(Sync!$N1075="",0,Sync!$N1075))</f>
        <v/>
      </c>
      <c r="U1075" t="str">
        <f>IF($N1075="","",IF(Sync!$O1075="",0,Sync!$O1075))</f>
        <v/>
      </c>
      <c r="V1075" t="str">
        <f>IF($N1075="","",Sync!$L1075)</f>
        <v/>
      </c>
      <c r="W1075" t="str">
        <f>IF($N1075="","",Sync!$P1075)</f>
        <v/>
      </c>
    </row>
    <row r="1076" spans="14:23" x14ac:dyDescent="0.2">
      <c r="N1076" t="str">
        <f>IF(OR(Sync!$M1076="",$Q1076="",$Q1076="نامعتبر"),"",Sync!$M1076)</f>
        <v/>
      </c>
      <c r="O1076" t="str">
        <f t="shared" si="112"/>
        <v/>
      </c>
      <c r="P1076" t="str">
        <f>IF($N1076="","",LEFT($Q1076,4)&amp;MID($Q1076,6,2)&amp;RIGHT($Q1076,2)&amp;IF(Sync!$K1076="","0000",IF(AND(ISNUMBER(Sync!$K1076),Sync!$K1076&gt;=0,Sync!$K1076&lt;1),RIGHT("00"&amp;HOUR(Sync!$K1076),2)&amp;RIGHT("00"&amp;MINUTE(Sync!$K1076),2),IFERROR(RIGHT("00"&amp;VALUE(LEFT(Sync!$K1076,FIND(":",Sync!$K1076)-1)),2)&amp;RIGHT("00"&amp;VALUE(MID(Sync!$K1076,FIND(":",Sync!$K1076)+1,2)),2),"0000")))&amp;"|"&amp;"2"&amp;RIGHT("00000"&amp;1071,5))</f>
        <v/>
      </c>
      <c r="Q1076" t="str">
        <f>IF(Sync!$J1076="","",IF(ISNUMBER(Sync!$J1076),IF(AND(Sync!$J1076&gt;=10000101,Sync!$J1076&lt;=99991231),INT(Sync!$J1076/10000)&amp;"/"&amp;RIGHT("00"&amp;INT(MOD(Sync!$J1076,10000)/100),2)&amp;"/"&amp;RIGHT("00"&amp;MOD(Sync!$J1076,100),2),"نامعتبر"),IF(LEN(Sync!$J1076)=10,Sync!$J1076,"نامعتبر")))</f>
        <v/>
      </c>
      <c r="R1076" t="str">
        <f t="shared" si="113"/>
        <v/>
      </c>
      <c r="S1076" t="str">
        <f t="shared" si="114"/>
        <v/>
      </c>
      <c r="T1076" t="str">
        <f>IF($N1076="","",IF(Sync!$N1076="",0,Sync!$N1076))</f>
        <v/>
      </c>
      <c r="U1076" t="str">
        <f>IF($N1076="","",IF(Sync!$O1076="",0,Sync!$O1076))</f>
        <v/>
      </c>
      <c r="V1076" t="str">
        <f>IF($N1076="","",Sync!$L1076)</f>
        <v/>
      </c>
      <c r="W1076" t="str">
        <f>IF($N1076="","",Sync!$P1076)</f>
        <v/>
      </c>
    </row>
    <row r="1077" spans="14:23" x14ac:dyDescent="0.2">
      <c r="N1077" t="str">
        <f>IF(OR(Sync!$M1077="",$Q1077="",$Q1077="نامعتبر"),"",Sync!$M1077)</f>
        <v/>
      </c>
      <c r="O1077" t="str">
        <f t="shared" si="112"/>
        <v/>
      </c>
      <c r="P1077" t="str">
        <f>IF($N1077="","",LEFT($Q1077,4)&amp;MID($Q1077,6,2)&amp;RIGHT($Q1077,2)&amp;IF(Sync!$K1077="","0000",IF(AND(ISNUMBER(Sync!$K1077),Sync!$K1077&gt;=0,Sync!$K1077&lt;1),RIGHT("00"&amp;HOUR(Sync!$K1077),2)&amp;RIGHT("00"&amp;MINUTE(Sync!$K1077),2),IFERROR(RIGHT("00"&amp;VALUE(LEFT(Sync!$K1077,FIND(":",Sync!$K1077)-1)),2)&amp;RIGHT("00"&amp;VALUE(MID(Sync!$K1077,FIND(":",Sync!$K1077)+1,2)),2),"0000")))&amp;"|"&amp;"2"&amp;RIGHT("00000"&amp;1072,5))</f>
        <v/>
      </c>
      <c r="Q1077" t="str">
        <f>IF(Sync!$J1077="","",IF(ISNUMBER(Sync!$J1077),IF(AND(Sync!$J1077&gt;=10000101,Sync!$J1077&lt;=99991231),INT(Sync!$J1077/10000)&amp;"/"&amp;RIGHT("00"&amp;INT(MOD(Sync!$J1077,10000)/100),2)&amp;"/"&amp;RIGHT("00"&amp;MOD(Sync!$J1077,100),2),"نامعتبر"),IF(LEN(Sync!$J1077)=10,Sync!$J1077,"نامعتبر")))</f>
        <v/>
      </c>
      <c r="R1077" t="str">
        <f t="shared" si="113"/>
        <v/>
      </c>
      <c r="S1077" t="str">
        <f t="shared" si="114"/>
        <v/>
      </c>
      <c r="T1077" t="str">
        <f>IF($N1077="","",IF(Sync!$N1077="",0,Sync!$N1077))</f>
        <v/>
      </c>
      <c r="U1077" t="str">
        <f>IF($N1077="","",IF(Sync!$O1077="",0,Sync!$O1077))</f>
        <v/>
      </c>
      <c r="V1077" t="str">
        <f>IF($N1077="","",Sync!$L1077)</f>
        <v/>
      </c>
      <c r="W1077" t="str">
        <f>IF($N1077="","",Sync!$P1077)</f>
        <v/>
      </c>
    </row>
    <row r="1078" spans="14:23" x14ac:dyDescent="0.2">
      <c r="N1078" t="str">
        <f>IF(OR(Sync!$M1078="",$Q1078="",$Q1078="نامعتبر"),"",Sync!$M1078)</f>
        <v/>
      </c>
      <c r="O1078" t="str">
        <f t="shared" si="112"/>
        <v/>
      </c>
      <c r="P1078" t="str">
        <f>IF($N1078="","",LEFT($Q1078,4)&amp;MID($Q1078,6,2)&amp;RIGHT($Q1078,2)&amp;IF(Sync!$K1078="","0000",IF(AND(ISNUMBER(Sync!$K1078),Sync!$K1078&gt;=0,Sync!$K1078&lt;1),RIGHT("00"&amp;HOUR(Sync!$K1078),2)&amp;RIGHT("00"&amp;MINUTE(Sync!$K1078),2),IFERROR(RIGHT("00"&amp;VALUE(LEFT(Sync!$K1078,FIND(":",Sync!$K1078)-1)),2)&amp;RIGHT("00"&amp;VALUE(MID(Sync!$K1078,FIND(":",Sync!$K1078)+1,2)),2),"0000")))&amp;"|"&amp;"2"&amp;RIGHT("00000"&amp;1073,5))</f>
        <v/>
      </c>
      <c r="Q1078" t="str">
        <f>IF(Sync!$J1078="","",IF(ISNUMBER(Sync!$J1078),IF(AND(Sync!$J1078&gt;=10000101,Sync!$J1078&lt;=99991231),INT(Sync!$J1078/10000)&amp;"/"&amp;RIGHT("00"&amp;INT(MOD(Sync!$J1078,10000)/100),2)&amp;"/"&amp;RIGHT("00"&amp;MOD(Sync!$J1078,100),2),"نامعتبر"),IF(LEN(Sync!$J1078)=10,Sync!$J1078,"نامعتبر")))</f>
        <v/>
      </c>
      <c r="R1078" t="str">
        <f t="shared" si="113"/>
        <v/>
      </c>
      <c r="S1078" t="str">
        <f t="shared" si="114"/>
        <v/>
      </c>
      <c r="T1078" t="str">
        <f>IF($N1078="","",IF(Sync!$N1078="",0,Sync!$N1078))</f>
        <v/>
      </c>
      <c r="U1078" t="str">
        <f>IF($N1078="","",IF(Sync!$O1078="",0,Sync!$O1078))</f>
        <v/>
      </c>
      <c r="V1078" t="str">
        <f>IF($N1078="","",Sync!$L1078)</f>
        <v/>
      </c>
      <c r="W1078" t="str">
        <f>IF($N1078="","",Sync!$P1078)</f>
        <v/>
      </c>
    </row>
    <row r="1079" spans="14:23" x14ac:dyDescent="0.2">
      <c r="N1079" t="str">
        <f>IF(OR(Sync!$M1079="",$Q1079="",$Q1079="نامعتبر"),"",Sync!$M1079)</f>
        <v/>
      </c>
      <c r="O1079" t="str">
        <f t="shared" si="112"/>
        <v/>
      </c>
      <c r="P1079" t="str">
        <f>IF($N1079="","",LEFT($Q1079,4)&amp;MID($Q1079,6,2)&amp;RIGHT($Q1079,2)&amp;IF(Sync!$K1079="","0000",IF(AND(ISNUMBER(Sync!$K1079),Sync!$K1079&gt;=0,Sync!$K1079&lt;1),RIGHT("00"&amp;HOUR(Sync!$K1079),2)&amp;RIGHT("00"&amp;MINUTE(Sync!$K1079),2),IFERROR(RIGHT("00"&amp;VALUE(LEFT(Sync!$K1079,FIND(":",Sync!$K1079)-1)),2)&amp;RIGHT("00"&amp;VALUE(MID(Sync!$K1079,FIND(":",Sync!$K1079)+1,2)),2),"0000")))&amp;"|"&amp;"2"&amp;RIGHT("00000"&amp;1074,5))</f>
        <v/>
      </c>
      <c r="Q1079" t="str">
        <f>IF(Sync!$J1079="","",IF(ISNUMBER(Sync!$J1079),IF(AND(Sync!$J1079&gt;=10000101,Sync!$J1079&lt;=99991231),INT(Sync!$J1079/10000)&amp;"/"&amp;RIGHT("00"&amp;INT(MOD(Sync!$J1079,10000)/100),2)&amp;"/"&amp;RIGHT("00"&amp;MOD(Sync!$J1079,100),2),"نامعتبر"),IF(LEN(Sync!$J1079)=10,Sync!$J1079,"نامعتبر")))</f>
        <v/>
      </c>
      <c r="R1079" t="str">
        <f t="shared" si="113"/>
        <v/>
      </c>
      <c r="S1079" t="str">
        <f t="shared" si="114"/>
        <v/>
      </c>
      <c r="T1079" t="str">
        <f>IF($N1079="","",IF(Sync!$N1079="",0,Sync!$N1079))</f>
        <v/>
      </c>
      <c r="U1079" t="str">
        <f>IF($N1079="","",IF(Sync!$O1079="",0,Sync!$O1079))</f>
        <v/>
      </c>
      <c r="V1079" t="str">
        <f>IF($N1079="","",Sync!$L1079)</f>
        <v/>
      </c>
      <c r="W1079" t="str">
        <f>IF($N1079="","",Sync!$P1079)</f>
        <v/>
      </c>
    </row>
    <row r="1080" spans="14:23" x14ac:dyDescent="0.2">
      <c r="N1080" t="str">
        <f>IF(OR(Sync!$M1080="",$Q1080="",$Q1080="نامعتبر"),"",Sync!$M1080)</f>
        <v/>
      </c>
      <c r="O1080" t="str">
        <f t="shared" si="112"/>
        <v/>
      </c>
      <c r="P1080" t="str">
        <f>IF($N1080="","",LEFT($Q1080,4)&amp;MID($Q1080,6,2)&amp;RIGHT($Q1080,2)&amp;IF(Sync!$K1080="","0000",IF(AND(ISNUMBER(Sync!$K1080),Sync!$K1080&gt;=0,Sync!$K1080&lt;1),RIGHT("00"&amp;HOUR(Sync!$K1080),2)&amp;RIGHT("00"&amp;MINUTE(Sync!$K1080),2),IFERROR(RIGHT("00"&amp;VALUE(LEFT(Sync!$K1080,FIND(":",Sync!$K1080)-1)),2)&amp;RIGHT("00"&amp;VALUE(MID(Sync!$K1080,FIND(":",Sync!$K1080)+1,2)),2),"0000")))&amp;"|"&amp;"2"&amp;RIGHT("00000"&amp;1075,5))</f>
        <v/>
      </c>
      <c r="Q1080" t="str">
        <f>IF(Sync!$J1080="","",IF(ISNUMBER(Sync!$J1080),IF(AND(Sync!$J1080&gt;=10000101,Sync!$J1080&lt;=99991231),INT(Sync!$J1080/10000)&amp;"/"&amp;RIGHT("00"&amp;INT(MOD(Sync!$J1080,10000)/100),2)&amp;"/"&amp;RIGHT("00"&amp;MOD(Sync!$J1080,100),2),"نامعتبر"),IF(LEN(Sync!$J1080)=10,Sync!$J1080,"نامعتبر")))</f>
        <v/>
      </c>
      <c r="R1080" t="str">
        <f t="shared" si="113"/>
        <v/>
      </c>
      <c r="S1080" t="str">
        <f t="shared" si="114"/>
        <v/>
      </c>
      <c r="T1080" t="str">
        <f>IF($N1080="","",IF(Sync!$N1080="",0,Sync!$N1080))</f>
        <v/>
      </c>
      <c r="U1080" t="str">
        <f>IF($N1080="","",IF(Sync!$O1080="",0,Sync!$O1080))</f>
        <v/>
      </c>
      <c r="V1080" t="str">
        <f>IF($N1080="","",Sync!$L1080)</f>
        <v/>
      </c>
      <c r="W1080" t="str">
        <f>IF($N1080="","",Sync!$P1080)</f>
        <v/>
      </c>
    </row>
    <row r="1081" spans="14:23" x14ac:dyDescent="0.2">
      <c r="N1081" t="str">
        <f>IF(OR(Sync!$M1081="",$Q1081="",$Q1081="نامعتبر"),"",Sync!$M1081)</f>
        <v/>
      </c>
      <c r="O1081" t="str">
        <f t="shared" si="112"/>
        <v/>
      </c>
      <c r="P1081" t="str">
        <f>IF($N1081="","",LEFT($Q1081,4)&amp;MID($Q1081,6,2)&amp;RIGHT($Q1081,2)&amp;IF(Sync!$K1081="","0000",IF(AND(ISNUMBER(Sync!$K1081),Sync!$K1081&gt;=0,Sync!$K1081&lt;1),RIGHT("00"&amp;HOUR(Sync!$K1081),2)&amp;RIGHT("00"&amp;MINUTE(Sync!$K1081),2),IFERROR(RIGHT("00"&amp;VALUE(LEFT(Sync!$K1081,FIND(":",Sync!$K1081)-1)),2)&amp;RIGHT("00"&amp;VALUE(MID(Sync!$K1081,FIND(":",Sync!$K1081)+1,2)),2),"0000")))&amp;"|"&amp;"2"&amp;RIGHT("00000"&amp;1076,5))</f>
        <v/>
      </c>
      <c r="Q1081" t="str">
        <f>IF(Sync!$J1081="","",IF(ISNUMBER(Sync!$J1081),IF(AND(Sync!$J1081&gt;=10000101,Sync!$J1081&lt;=99991231),INT(Sync!$J1081/10000)&amp;"/"&amp;RIGHT("00"&amp;INT(MOD(Sync!$J1081,10000)/100),2)&amp;"/"&amp;RIGHT("00"&amp;MOD(Sync!$J1081,100),2),"نامعتبر"),IF(LEN(Sync!$J1081)=10,Sync!$J1081,"نامعتبر")))</f>
        <v/>
      </c>
      <c r="R1081" t="str">
        <f t="shared" si="113"/>
        <v/>
      </c>
      <c r="S1081" t="str">
        <f t="shared" si="114"/>
        <v/>
      </c>
      <c r="T1081" t="str">
        <f>IF($N1081="","",IF(Sync!$N1081="",0,Sync!$N1081))</f>
        <v/>
      </c>
      <c r="U1081" t="str">
        <f>IF($N1081="","",IF(Sync!$O1081="",0,Sync!$O1081))</f>
        <v/>
      </c>
      <c r="V1081" t="str">
        <f>IF($N1081="","",Sync!$L1081)</f>
        <v/>
      </c>
      <c r="W1081" t="str">
        <f>IF($N1081="","",Sync!$P1081)</f>
        <v/>
      </c>
    </row>
    <row r="1082" spans="14:23" x14ac:dyDescent="0.2">
      <c r="N1082" t="str">
        <f>IF(OR(Sync!$M1082="",$Q1082="",$Q1082="نامعتبر"),"",Sync!$M1082)</f>
        <v/>
      </c>
      <c r="O1082" t="str">
        <f t="shared" si="112"/>
        <v/>
      </c>
      <c r="P1082" t="str">
        <f>IF($N1082="","",LEFT($Q1082,4)&amp;MID($Q1082,6,2)&amp;RIGHT($Q1082,2)&amp;IF(Sync!$K1082="","0000",IF(AND(ISNUMBER(Sync!$K1082),Sync!$K1082&gt;=0,Sync!$K1082&lt;1),RIGHT("00"&amp;HOUR(Sync!$K1082),2)&amp;RIGHT("00"&amp;MINUTE(Sync!$K1082),2),IFERROR(RIGHT("00"&amp;VALUE(LEFT(Sync!$K1082,FIND(":",Sync!$K1082)-1)),2)&amp;RIGHT("00"&amp;VALUE(MID(Sync!$K1082,FIND(":",Sync!$K1082)+1,2)),2),"0000")))&amp;"|"&amp;"2"&amp;RIGHT("00000"&amp;1077,5))</f>
        <v/>
      </c>
      <c r="Q1082" t="str">
        <f>IF(Sync!$J1082="","",IF(ISNUMBER(Sync!$J1082),IF(AND(Sync!$J1082&gt;=10000101,Sync!$J1082&lt;=99991231),INT(Sync!$J1082/10000)&amp;"/"&amp;RIGHT("00"&amp;INT(MOD(Sync!$J1082,10000)/100),2)&amp;"/"&amp;RIGHT("00"&amp;MOD(Sync!$J1082,100),2),"نامعتبر"),IF(LEN(Sync!$J1082)=10,Sync!$J1082,"نامعتبر")))</f>
        <v/>
      </c>
      <c r="R1082" t="str">
        <f t="shared" si="113"/>
        <v/>
      </c>
      <c r="S1082" t="str">
        <f t="shared" si="114"/>
        <v/>
      </c>
      <c r="T1082" t="str">
        <f>IF($N1082="","",IF(Sync!$N1082="",0,Sync!$N1082))</f>
        <v/>
      </c>
      <c r="U1082" t="str">
        <f>IF($N1082="","",IF(Sync!$O1082="",0,Sync!$O1082))</f>
        <v/>
      </c>
      <c r="V1082" t="str">
        <f>IF($N1082="","",Sync!$L1082)</f>
        <v/>
      </c>
      <c r="W1082" t="str">
        <f>IF($N1082="","",Sync!$P1082)</f>
        <v/>
      </c>
    </row>
    <row r="1083" spans="14:23" x14ac:dyDescent="0.2">
      <c r="N1083" t="str">
        <f>IF(OR(Sync!$M1083="",$Q1083="",$Q1083="نامعتبر"),"",Sync!$M1083)</f>
        <v/>
      </c>
      <c r="O1083" t="str">
        <f t="shared" si="112"/>
        <v/>
      </c>
      <c r="P1083" t="str">
        <f>IF($N1083="","",LEFT($Q1083,4)&amp;MID($Q1083,6,2)&amp;RIGHT($Q1083,2)&amp;IF(Sync!$K1083="","0000",IF(AND(ISNUMBER(Sync!$K1083),Sync!$K1083&gt;=0,Sync!$K1083&lt;1),RIGHT("00"&amp;HOUR(Sync!$K1083),2)&amp;RIGHT("00"&amp;MINUTE(Sync!$K1083),2),IFERROR(RIGHT("00"&amp;VALUE(LEFT(Sync!$K1083,FIND(":",Sync!$K1083)-1)),2)&amp;RIGHT("00"&amp;VALUE(MID(Sync!$K1083,FIND(":",Sync!$K1083)+1,2)),2),"0000")))&amp;"|"&amp;"2"&amp;RIGHT("00000"&amp;1078,5))</f>
        <v/>
      </c>
      <c r="Q1083" t="str">
        <f>IF(Sync!$J1083="","",IF(ISNUMBER(Sync!$J1083),IF(AND(Sync!$J1083&gt;=10000101,Sync!$J1083&lt;=99991231),INT(Sync!$J1083/10000)&amp;"/"&amp;RIGHT("00"&amp;INT(MOD(Sync!$J1083,10000)/100),2)&amp;"/"&amp;RIGHT("00"&amp;MOD(Sync!$J1083,100),2),"نامعتبر"),IF(LEN(Sync!$J1083)=10,Sync!$J1083,"نامعتبر")))</f>
        <v/>
      </c>
      <c r="R1083" t="str">
        <f t="shared" si="113"/>
        <v/>
      </c>
      <c r="S1083" t="str">
        <f t="shared" si="114"/>
        <v/>
      </c>
      <c r="T1083" t="str">
        <f>IF($N1083="","",IF(Sync!$N1083="",0,Sync!$N1083))</f>
        <v/>
      </c>
      <c r="U1083" t="str">
        <f>IF($N1083="","",IF(Sync!$O1083="",0,Sync!$O1083))</f>
        <v/>
      </c>
      <c r="V1083" t="str">
        <f>IF($N1083="","",Sync!$L1083)</f>
        <v/>
      </c>
      <c r="W1083" t="str">
        <f>IF($N1083="","",Sync!$P1083)</f>
        <v/>
      </c>
    </row>
    <row r="1084" spans="14:23" x14ac:dyDescent="0.2">
      <c r="N1084" t="str">
        <f>IF(OR(Sync!$M1084="",$Q1084="",$Q1084="نامعتبر"),"",Sync!$M1084)</f>
        <v/>
      </c>
      <c r="O1084" t="str">
        <f t="shared" si="112"/>
        <v/>
      </c>
      <c r="P1084" t="str">
        <f>IF($N1084="","",LEFT($Q1084,4)&amp;MID($Q1084,6,2)&amp;RIGHT($Q1084,2)&amp;IF(Sync!$K1084="","0000",IF(AND(ISNUMBER(Sync!$K1084),Sync!$K1084&gt;=0,Sync!$K1084&lt;1),RIGHT("00"&amp;HOUR(Sync!$K1084),2)&amp;RIGHT("00"&amp;MINUTE(Sync!$K1084),2),IFERROR(RIGHT("00"&amp;VALUE(LEFT(Sync!$K1084,FIND(":",Sync!$K1084)-1)),2)&amp;RIGHT("00"&amp;VALUE(MID(Sync!$K1084,FIND(":",Sync!$K1084)+1,2)),2),"0000")))&amp;"|"&amp;"2"&amp;RIGHT("00000"&amp;1079,5))</f>
        <v/>
      </c>
      <c r="Q1084" t="str">
        <f>IF(Sync!$J1084="","",IF(ISNUMBER(Sync!$J1084),IF(AND(Sync!$J1084&gt;=10000101,Sync!$J1084&lt;=99991231),INT(Sync!$J1084/10000)&amp;"/"&amp;RIGHT("00"&amp;INT(MOD(Sync!$J1084,10000)/100),2)&amp;"/"&amp;RIGHT("00"&amp;MOD(Sync!$J1084,100),2),"نامعتبر"),IF(LEN(Sync!$J1084)=10,Sync!$J1084,"نامعتبر")))</f>
        <v/>
      </c>
      <c r="R1084" t="str">
        <f t="shared" si="113"/>
        <v/>
      </c>
      <c r="S1084" t="str">
        <f t="shared" si="114"/>
        <v/>
      </c>
      <c r="T1084" t="str">
        <f>IF($N1084="","",IF(Sync!$N1084="",0,Sync!$N1084))</f>
        <v/>
      </c>
      <c r="U1084" t="str">
        <f>IF($N1084="","",IF(Sync!$O1084="",0,Sync!$O1084))</f>
        <v/>
      </c>
      <c r="V1084" t="str">
        <f>IF($N1084="","",Sync!$L1084)</f>
        <v/>
      </c>
      <c r="W1084" t="str">
        <f>IF($N1084="","",Sync!$P1084)</f>
        <v/>
      </c>
    </row>
    <row r="1085" spans="14:23" x14ac:dyDescent="0.2">
      <c r="N1085" t="str">
        <f>IF(OR(Sync!$M1085="",$Q1085="",$Q1085="نامعتبر"),"",Sync!$M1085)</f>
        <v/>
      </c>
      <c r="O1085" t="str">
        <f t="shared" si="112"/>
        <v/>
      </c>
      <c r="P1085" t="str">
        <f>IF($N1085="","",LEFT($Q1085,4)&amp;MID($Q1085,6,2)&amp;RIGHT($Q1085,2)&amp;IF(Sync!$K1085="","0000",IF(AND(ISNUMBER(Sync!$K1085),Sync!$K1085&gt;=0,Sync!$K1085&lt;1),RIGHT("00"&amp;HOUR(Sync!$K1085),2)&amp;RIGHT("00"&amp;MINUTE(Sync!$K1085),2),IFERROR(RIGHT("00"&amp;VALUE(LEFT(Sync!$K1085,FIND(":",Sync!$K1085)-1)),2)&amp;RIGHT("00"&amp;VALUE(MID(Sync!$K1085,FIND(":",Sync!$K1085)+1,2)),2),"0000")))&amp;"|"&amp;"2"&amp;RIGHT("00000"&amp;1080,5))</f>
        <v/>
      </c>
      <c r="Q1085" t="str">
        <f>IF(Sync!$J1085="","",IF(ISNUMBER(Sync!$J1085),IF(AND(Sync!$J1085&gt;=10000101,Sync!$J1085&lt;=99991231),INT(Sync!$J1085/10000)&amp;"/"&amp;RIGHT("00"&amp;INT(MOD(Sync!$J1085,10000)/100),2)&amp;"/"&amp;RIGHT("00"&amp;MOD(Sync!$J1085,100),2),"نامعتبر"),IF(LEN(Sync!$J1085)=10,Sync!$J1085,"نامعتبر")))</f>
        <v/>
      </c>
      <c r="R1085" t="str">
        <f t="shared" si="113"/>
        <v/>
      </c>
      <c r="S1085" t="str">
        <f t="shared" si="114"/>
        <v/>
      </c>
      <c r="T1085" t="str">
        <f>IF($N1085="","",IF(Sync!$N1085="",0,Sync!$N1085))</f>
        <v/>
      </c>
      <c r="U1085" t="str">
        <f>IF($N1085="","",IF(Sync!$O1085="",0,Sync!$O1085))</f>
        <v/>
      </c>
      <c r="V1085" t="str">
        <f>IF($N1085="","",Sync!$L1085)</f>
        <v/>
      </c>
      <c r="W1085" t="str">
        <f>IF($N1085="","",Sync!$P1085)</f>
        <v/>
      </c>
    </row>
    <row r="1086" spans="14:23" x14ac:dyDescent="0.2">
      <c r="N1086" t="str">
        <f>IF(OR(Sync!$M1086="",$Q1086="",$Q1086="نامعتبر"),"",Sync!$M1086)</f>
        <v/>
      </c>
      <c r="O1086" t="str">
        <f t="shared" si="112"/>
        <v/>
      </c>
      <c r="P1086" t="str">
        <f>IF($N1086="","",LEFT($Q1086,4)&amp;MID($Q1086,6,2)&amp;RIGHT($Q1086,2)&amp;IF(Sync!$K1086="","0000",IF(AND(ISNUMBER(Sync!$K1086),Sync!$K1086&gt;=0,Sync!$K1086&lt;1),RIGHT("00"&amp;HOUR(Sync!$K1086),2)&amp;RIGHT("00"&amp;MINUTE(Sync!$K1086),2),IFERROR(RIGHT("00"&amp;VALUE(LEFT(Sync!$K1086,FIND(":",Sync!$K1086)-1)),2)&amp;RIGHT("00"&amp;VALUE(MID(Sync!$K1086,FIND(":",Sync!$K1086)+1,2)),2),"0000")))&amp;"|"&amp;"2"&amp;RIGHT("00000"&amp;1081,5))</f>
        <v/>
      </c>
      <c r="Q1086" t="str">
        <f>IF(Sync!$J1086="","",IF(ISNUMBER(Sync!$J1086),IF(AND(Sync!$J1086&gt;=10000101,Sync!$J1086&lt;=99991231),INT(Sync!$J1086/10000)&amp;"/"&amp;RIGHT("00"&amp;INT(MOD(Sync!$J1086,10000)/100),2)&amp;"/"&amp;RIGHT("00"&amp;MOD(Sync!$J1086,100),2),"نامعتبر"),IF(LEN(Sync!$J1086)=10,Sync!$J1086,"نامعتبر")))</f>
        <v/>
      </c>
      <c r="R1086" t="str">
        <f t="shared" si="113"/>
        <v/>
      </c>
      <c r="S1086" t="str">
        <f t="shared" si="114"/>
        <v/>
      </c>
      <c r="T1086" t="str">
        <f>IF($N1086="","",IF(Sync!$N1086="",0,Sync!$N1086))</f>
        <v/>
      </c>
      <c r="U1086" t="str">
        <f>IF($N1086="","",IF(Sync!$O1086="",0,Sync!$O1086))</f>
        <v/>
      </c>
      <c r="V1086" t="str">
        <f>IF($N1086="","",Sync!$L1086)</f>
        <v/>
      </c>
      <c r="W1086" t="str">
        <f>IF($N1086="","",Sync!$P1086)</f>
        <v/>
      </c>
    </row>
    <row r="1087" spans="14:23" x14ac:dyDescent="0.2">
      <c r="N1087" t="str">
        <f>IF(OR(Sync!$M1087="",$Q1087="",$Q1087="نامعتبر"),"",Sync!$M1087)</f>
        <v/>
      </c>
      <c r="O1087" t="str">
        <f t="shared" si="112"/>
        <v/>
      </c>
      <c r="P1087" t="str">
        <f>IF($N1087="","",LEFT($Q1087,4)&amp;MID($Q1087,6,2)&amp;RIGHT($Q1087,2)&amp;IF(Sync!$K1087="","0000",IF(AND(ISNUMBER(Sync!$K1087),Sync!$K1087&gt;=0,Sync!$K1087&lt;1),RIGHT("00"&amp;HOUR(Sync!$K1087),2)&amp;RIGHT("00"&amp;MINUTE(Sync!$K1087),2),IFERROR(RIGHT("00"&amp;VALUE(LEFT(Sync!$K1087,FIND(":",Sync!$K1087)-1)),2)&amp;RIGHT("00"&amp;VALUE(MID(Sync!$K1087,FIND(":",Sync!$K1087)+1,2)),2),"0000")))&amp;"|"&amp;"2"&amp;RIGHT("00000"&amp;1082,5))</f>
        <v/>
      </c>
      <c r="Q1087" t="str">
        <f>IF(Sync!$J1087="","",IF(ISNUMBER(Sync!$J1087),IF(AND(Sync!$J1087&gt;=10000101,Sync!$J1087&lt;=99991231),INT(Sync!$J1087/10000)&amp;"/"&amp;RIGHT("00"&amp;INT(MOD(Sync!$J1087,10000)/100),2)&amp;"/"&amp;RIGHT("00"&amp;MOD(Sync!$J1087,100),2),"نامعتبر"),IF(LEN(Sync!$J1087)=10,Sync!$J1087,"نامعتبر")))</f>
        <v/>
      </c>
      <c r="R1087" t="str">
        <f t="shared" si="113"/>
        <v/>
      </c>
      <c r="S1087" t="str">
        <f t="shared" si="114"/>
        <v/>
      </c>
      <c r="T1087" t="str">
        <f>IF($N1087="","",IF(Sync!$N1087="",0,Sync!$N1087))</f>
        <v/>
      </c>
      <c r="U1087" t="str">
        <f>IF($N1087="","",IF(Sync!$O1087="",0,Sync!$O1087))</f>
        <v/>
      </c>
      <c r="V1087" t="str">
        <f>IF($N1087="","",Sync!$L1087)</f>
        <v/>
      </c>
      <c r="W1087" t="str">
        <f>IF($N1087="","",Sync!$P1087)</f>
        <v/>
      </c>
    </row>
    <row r="1088" spans="14:23" x14ac:dyDescent="0.2">
      <c r="N1088" t="str">
        <f>IF(OR(Sync!$M1088="",$Q1088="",$Q1088="نامعتبر"),"",Sync!$M1088)</f>
        <v/>
      </c>
      <c r="O1088" t="str">
        <f t="shared" si="112"/>
        <v/>
      </c>
      <c r="P1088" t="str">
        <f>IF($N1088="","",LEFT($Q1088,4)&amp;MID($Q1088,6,2)&amp;RIGHT($Q1088,2)&amp;IF(Sync!$K1088="","0000",IF(AND(ISNUMBER(Sync!$K1088),Sync!$K1088&gt;=0,Sync!$K1088&lt;1),RIGHT("00"&amp;HOUR(Sync!$K1088),2)&amp;RIGHT("00"&amp;MINUTE(Sync!$K1088),2),IFERROR(RIGHT("00"&amp;VALUE(LEFT(Sync!$K1088,FIND(":",Sync!$K1088)-1)),2)&amp;RIGHT("00"&amp;VALUE(MID(Sync!$K1088,FIND(":",Sync!$K1088)+1,2)),2),"0000")))&amp;"|"&amp;"2"&amp;RIGHT("00000"&amp;1083,5))</f>
        <v/>
      </c>
      <c r="Q1088" t="str">
        <f>IF(Sync!$J1088="","",IF(ISNUMBER(Sync!$J1088),IF(AND(Sync!$J1088&gt;=10000101,Sync!$J1088&lt;=99991231),INT(Sync!$J1088/10000)&amp;"/"&amp;RIGHT("00"&amp;INT(MOD(Sync!$J1088,10000)/100),2)&amp;"/"&amp;RIGHT("00"&amp;MOD(Sync!$J1088,100),2),"نامعتبر"),IF(LEN(Sync!$J1088)=10,Sync!$J1088,"نامعتبر")))</f>
        <v/>
      </c>
      <c r="R1088" t="str">
        <f t="shared" si="113"/>
        <v/>
      </c>
      <c r="S1088" t="str">
        <f t="shared" si="114"/>
        <v/>
      </c>
      <c r="T1088" t="str">
        <f>IF($N1088="","",IF(Sync!$N1088="",0,Sync!$N1088))</f>
        <v/>
      </c>
      <c r="U1088" t="str">
        <f>IF($N1088="","",IF(Sync!$O1088="",0,Sync!$O1088))</f>
        <v/>
      </c>
      <c r="V1088" t="str">
        <f>IF($N1088="","",Sync!$L1088)</f>
        <v/>
      </c>
      <c r="W1088" t="str">
        <f>IF($N1088="","",Sync!$P1088)</f>
        <v/>
      </c>
    </row>
    <row r="1089" spans="14:23" x14ac:dyDescent="0.2">
      <c r="N1089" t="str">
        <f>IF(OR(Sync!$M1089="",$Q1089="",$Q1089="نامعتبر"),"",Sync!$M1089)</f>
        <v/>
      </c>
      <c r="O1089" t="str">
        <f t="shared" si="112"/>
        <v/>
      </c>
      <c r="P1089" t="str">
        <f>IF($N1089="","",LEFT($Q1089,4)&amp;MID($Q1089,6,2)&amp;RIGHT($Q1089,2)&amp;IF(Sync!$K1089="","0000",IF(AND(ISNUMBER(Sync!$K1089),Sync!$K1089&gt;=0,Sync!$K1089&lt;1),RIGHT("00"&amp;HOUR(Sync!$K1089),2)&amp;RIGHT("00"&amp;MINUTE(Sync!$K1089),2),IFERROR(RIGHT("00"&amp;VALUE(LEFT(Sync!$K1089,FIND(":",Sync!$K1089)-1)),2)&amp;RIGHT("00"&amp;VALUE(MID(Sync!$K1089,FIND(":",Sync!$K1089)+1,2)),2),"0000")))&amp;"|"&amp;"2"&amp;RIGHT("00000"&amp;1084,5))</f>
        <v/>
      </c>
      <c r="Q1089" t="str">
        <f>IF(Sync!$J1089="","",IF(ISNUMBER(Sync!$J1089),IF(AND(Sync!$J1089&gt;=10000101,Sync!$J1089&lt;=99991231),INT(Sync!$J1089/10000)&amp;"/"&amp;RIGHT("00"&amp;INT(MOD(Sync!$J1089,10000)/100),2)&amp;"/"&amp;RIGHT("00"&amp;MOD(Sync!$J1089,100),2),"نامعتبر"),IF(LEN(Sync!$J1089)=10,Sync!$J1089,"نامعتبر")))</f>
        <v/>
      </c>
      <c r="R1089" t="str">
        <f t="shared" si="113"/>
        <v/>
      </c>
      <c r="S1089" t="str">
        <f t="shared" si="114"/>
        <v/>
      </c>
      <c r="T1089" t="str">
        <f>IF($N1089="","",IF(Sync!$N1089="",0,Sync!$N1089))</f>
        <v/>
      </c>
      <c r="U1089" t="str">
        <f>IF($N1089="","",IF(Sync!$O1089="",0,Sync!$O1089))</f>
        <v/>
      </c>
      <c r="V1089" t="str">
        <f>IF($N1089="","",Sync!$L1089)</f>
        <v/>
      </c>
      <c r="W1089" t="str">
        <f>IF($N1089="","",Sync!$P1089)</f>
        <v/>
      </c>
    </row>
    <row r="1090" spans="14:23" x14ac:dyDescent="0.2">
      <c r="N1090" t="str">
        <f>IF(OR(Sync!$M1090="",$Q1090="",$Q1090="نامعتبر"),"",Sync!$M1090)</f>
        <v/>
      </c>
      <c r="O1090" t="str">
        <f t="shared" si="112"/>
        <v/>
      </c>
      <c r="P1090" t="str">
        <f>IF($N1090="","",LEFT($Q1090,4)&amp;MID($Q1090,6,2)&amp;RIGHT($Q1090,2)&amp;IF(Sync!$K1090="","0000",IF(AND(ISNUMBER(Sync!$K1090),Sync!$K1090&gt;=0,Sync!$K1090&lt;1),RIGHT("00"&amp;HOUR(Sync!$K1090),2)&amp;RIGHT("00"&amp;MINUTE(Sync!$K1090),2),IFERROR(RIGHT("00"&amp;VALUE(LEFT(Sync!$K1090,FIND(":",Sync!$K1090)-1)),2)&amp;RIGHT("00"&amp;VALUE(MID(Sync!$K1090,FIND(":",Sync!$K1090)+1,2)),2),"0000")))&amp;"|"&amp;"2"&amp;RIGHT("00000"&amp;1085,5))</f>
        <v/>
      </c>
      <c r="Q1090" t="str">
        <f>IF(Sync!$J1090="","",IF(ISNUMBER(Sync!$J1090),IF(AND(Sync!$J1090&gt;=10000101,Sync!$J1090&lt;=99991231),INT(Sync!$J1090/10000)&amp;"/"&amp;RIGHT("00"&amp;INT(MOD(Sync!$J1090,10000)/100),2)&amp;"/"&amp;RIGHT("00"&amp;MOD(Sync!$J1090,100),2),"نامعتبر"),IF(LEN(Sync!$J1090)=10,Sync!$J1090,"نامعتبر")))</f>
        <v/>
      </c>
      <c r="R1090" t="str">
        <f t="shared" si="113"/>
        <v/>
      </c>
      <c r="S1090" t="str">
        <f t="shared" si="114"/>
        <v/>
      </c>
      <c r="T1090" t="str">
        <f>IF($N1090="","",IF(Sync!$N1090="",0,Sync!$N1090))</f>
        <v/>
      </c>
      <c r="U1090" t="str">
        <f>IF($N1090="","",IF(Sync!$O1090="",0,Sync!$O1090))</f>
        <v/>
      </c>
      <c r="V1090" t="str">
        <f>IF($N1090="","",Sync!$L1090)</f>
        <v/>
      </c>
      <c r="W1090" t="str">
        <f>IF($N1090="","",Sync!$P1090)</f>
        <v/>
      </c>
    </row>
    <row r="1091" spans="14:23" x14ac:dyDescent="0.2">
      <c r="N1091" t="str">
        <f>IF(OR(Sync!$M1091="",$Q1091="",$Q1091="نامعتبر"),"",Sync!$M1091)</f>
        <v/>
      </c>
      <c r="O1091" t="str">
        <f t="shared" si="112"/>
        <v/>
      </c>
      <c r="P1091" t="str">
        <f>IF($N1091="","",LEFT($Q1091,4)&amp;MID($Q1091,6,2)&amp;RIGHT($Q1091,2)&amp;IF(Sync!$K1091="","0000",IF(AND(ISNUMBER(Sync!$K1091),Sync!$K1091&gt;=0,Sync!$K1091&lt;1),RIGHT("00"&amp;HOUR(Sync!$K1091),2)&amp;RIGHT("00"&amp;MINUTE(Sync!$K1091),2),IFERROR(RIGHT("00"&amp;VALUE(LEFT(Sync!$K1091,FIND(":",Sync!$K1091)-1)),2)&amp;RIGHT("00"&amp;VALUE(MID(Sync!$K1091,FIND(":",Sync!$K1091)+1,2)),2),"0000")))&amp;"|"&amp;"2"&amp;RIGHT("00000"&amp;1086,5))</f>
        <v/>
      </c>
      <c r="Q1091" t="str">
        <f>IF(Sync!$J1091="","",IF(ISNUMBER(Sync!$J1091),IF(AND(Sync!$J1091&gt;=10000101,Sync!$J1091&lt;=99991231),INT(Sync!$J1091/10000)&amp;"/"&amp;RIGHT("00"&amp;INT(MOD(Sync!$J1091,10000)/100),2)&amp;"/"&amp;RIGHT("00"&amp;MOD(Sync!$J1091,100),2),"نامعتبر"),IF(LEN(Sync!$J1091)=10,Sync!$J1091,"نامعتبر")))</f>
        <v/>
      </c>
      <c r="R1091" t="str">
        <f t="shared" si="113"/>
        <v/>
      </c>
      <c r="S1091" t="str">
        <f t="shared" si="114"/>
        <v/>
      </c>
      <c r="T1091" t="str">
        <f>IF($N1091="","",IF(Sync!$N1091="",0,Sync!$N1091))</f>
        <v/>
      </c>
      <c r="U1091" t="str">
        <f>IF($N1091="","",IF(Sync!$O1091="",0,Sync!$O1091))</f>
        <v/>
      </c>
      <c r="V1091" t="str">
        <f>IF($N1091="","",Sync!$L1091)</f>
        <v/>
      </c>
      <c r="W1091" t="str">
        <f>IF($N1091="","",Sync!$P1091)</f>
        <v/>
      </c>
    </row>
    <row r="1092" spans="14:23" x14ac:dyDescent="0.2">
      <c r="N1092" t="str">
        <f>IF(OR(Sync!$M1092="",$Q1092="",$Q1092="نامعتبر"),"",Sync!$M1092)</f>
        <v/>
      </c>
      <c r="O1092" t="str">
        <f t="shared" si="112"/>
        <v/>
      </c>
      <c r="P1092" t="str">
        <f>IF($N1092="","",LEFT($Q1092,4)&amp;MID($Q1092,6,2)&amp;RIGHT($Q1092,2)&amp;IF(Sync!$K1092="","0000",IF(AND(ISNUMBER(Sync!$K1092),Sync!$K1092&gt;=0,Sync!$K1092&lt;1),RIGHT("00"&amp;HOUR(Sync!$K1092),2)&amp;RIGHT("00"&amp;MINUTE(Sync!$K1092),2),IFERROR(RIGHT("00"&amp;VALUE(LEFT(Sync!$K1092,FIND(":",Sync!$K1092)-1)),2)&amp;RIGHT("00"&amp;VALUE(MID(Sync!$K1092,FIND(":",Sync!$K1092)+1,2)),2),"0000")))&amp;"|"&amp;"2"&amp;RIGHT("00000"&amp;1087,5))</f>
        <v/>
      </c>
      <c r="Q1092" t="str">
        <f>IF(Sync!$J1092="","",IF(ISNUMBER(Sync!$J1092),IF(AND(Sync!$J1092&gt;=10000101,Sync!$J1092&lt;=99991231),INT(Sync!$J1092/10000)&amp;"/"&amp;RIGHT("00"&amp;INT(MOD(Sync!$J1092,10000)/100),2)&amp;"/"&amp;RIGHT("00"&amp;MOD(Sync!$J1092,100),2),"نامعتبر"),IF(LEN(Sync!$J1092)=10,Sync!$J1092,"نامعتبر")))</f>
        <v/>
      </c>
      <c r="R1092" t="str">
        <f t="shared" si="113"/>
        <v/>
      </c>
      <c r="S1092" t="str">
        <f t="shared" si="114"/>
        <v/>
      </c>
      <c r="T1092" t="str">
        <f>IF($N1092="","",IF(Sync!$N1092="",0,Sync!$N1092))</f>
        <v/>
      </c>
      <c r="U1092" t="str">
        <f>IF($N1092="","",IF(Sync!$O1092="",0,Sync!$O1092))</f>
        <v/>
      </c>
      <c r="V1092" t="str">
        <f>IF($N1092="","",Sync!$L1092)</f>
        <v/>
      </c>
      <c r="W1092" t="str">
        <f>IF($N1092="","",Sync!$P1092)</f>
        <v/>
      </c>
    </row>
    <row r="1093" spans="14:23" x14ac:dyDescent="0.2">
      <c r="N1093" t="str">
        <f>IF(OR(Sync!$M1093="",$Q1093="",$Q1093="نامعتبر"),"",Sync!$M1093)</f>
        <v/>
      </c>
      <c r="O1093" t="str">
        <f t="shared" si="112"/>
        <v/>
      </c>
      <c r="P1093" t="str">
        <f>IF($N1093="","",LEFT($Q1093,4)&amp;MID($Q1093,6,2)&amp;RIGHT($Q1093,2)&amp;IF(Sync!$K1093="","0000",IF(AND(ISNUMBER(Sync!$K1093),Sync!$K1093&gt;=0,Sync!$K1093&lt;1),RIGHT("00"&amp;HOUR(Sync!$K1093),2)&amp;RIGHT("00"&amp;MINUTE(Sync!$K1093),2),IFERROR(RIGHT("00"&amp;VALUE(LEFT(Sync!$K1093,FIND(":",Sync!$K1093)-1)),2)&amp;RIGHT("00"&amp;VALUE(MID(Sync!$K1093,FIND(":",Sync!$K1093)+1,2)),2),"0000")))&amp;"|"&amp;"2"&amp;RIGHT("00000"&amp;1088,5))</f>
        <v/>
      </c>
      <c r="Q1093" t="str">
        <f>IF(Sync!$J1093="","",IF(ISNUMBER(Sync!$J1093),IF(AND(Sync!$J1093&gt;=10000101,Sync!$J1093&lt;=99991231),INT(Sync!$J1093/10000)&amp;"/"&amp;RIGHT("00"&amp;INT(MOD(Sync!$J1093,10000)/100),2)&amp;"/"&amp;RIGHT("00"&amp;MOD(Sync!$J1093,100),2),"نامعتبر"),IF(LEN(Sync!$J1093)=10,Sync!$J1093,"نامعتبر")))</f>
        <v/>
      </c>
      <c r="R1093" t="str">
        <f t="shared" si="113"/>
        <v/>
      </c>
      <c r="S1093" t="str">
        <f t="shared" si="114"/>
        <v/>
      </c>
      <c r="T1093" t="str">
        <f>IF($N1093="","",IF(Sync!$N1093="",0,Sync!$N1093))</f>
        <v/>
      </c>
      <c r="U1093" t="str">
        <f>IF($N1093="","",IF(Sync!$O1093="",0,Sync!$O1093))</f>
        <v/>
      </c>
      <c r="V1093" t="str">
        <f>IF($N1093="","",Sync!$L1093)</f>
        <v/>
      </c>
      <c r="W1093" t="str">
        <f>IF($N1093="","",Sync!$P1093)</f>
        <v/>
      </c>
    </row>
    <row r="1094" spans="14:23" x14ac:dyDescent="0.2">
      <c r="N1094" t="str">
        <f>IF(OR(Sync!$M1094="",$Q1094="",$Q1094="نامعتبر"),"",Sync!$M1094)</f>
        <v/>
      </c>
      <c r="O1094" t="str">
        <f t="shared" ref="O1094:O1157" si="115">IF($N1094="","",$Q1094)</f>
        <v/>
      </c>
      <c r="P1094" t="str">
        <f>IF($N1094="","",LEFT($Q1094,4)&amp;MID($Q1094,6,2)&amp;RIGHT($Q1094,2)&amp;IF(Sync!$K1094="","0000",IF(AND(ISNUMBER(Sync!$K1094),Sync!$K1094&gt;=0,Sync!$K1094&lt;1),RIGHT("00"&amp;HOUR(Sync!$K1094),2)&amp;RIGHT("00"&amp;MINUTE(Sync!$K1094),2),IFERROR(RIGHT("00"&amp;VALUE(LEFT(Sync!$K1094,FIND(":",Sync!$K1094)-1)),2)&amp;RIGHT("00"&amp;VALUE(MID(Sync!$K1094,FIND(":",Sync!$K1094)+1,2)),2),"0000")))&amp;"|"&amp;"2"&amp;RIGHT("00000"&amp;1089,5))</f>
        <v/>
      </c>
      <c r="Q1094" t="str">
        <f>IF(Sync!$J1094="","",IF(ISNUMBER(Sync!$J1094),IF(AND(Sync!$J1094&gt;=10000101,Sync!$J1094&lt;=99991231),INT(Sync!$J1094/10000)&amp;"/"&amp;RIGHT("00"&amp;INT(MOD(Sync!$J1094,10000)/100),2)&amp;"/"&amp;RIGHT("00"&amp;MOD(Sync!$J1094,100),2),"نامعتبر"),IF(LEN(Sync!$J1094)=10,Sync!$J1094,"نامعتبر")))</f>
        <v/>
      </c>
      <c r="R1094" t="str">
        <f t="shared" ref="R1094:R1157" si="116">IF($P1094="","",COUNTIFS($N$6:$N$2005,$N1094,$P$6:$P$2005,"&lt;"&amp;$P1094)+COUNTIFS($A$6:$A$1005,$N1094,$B$6:$B$1005,"&lt;"&amp;$P1094)+1)</f>
        <v/>
      </c>
      <c r="S1094" t="str">
        <f t="shared" ref="S1094:S1157" si="117">IF($N1094="","",$N1094&amp;"|"&amp;RIGHT("000000"&amp;$R1094,6))</f>
        <v/>
      </c>
      <c r="T1094" t="str">
        <f>IF($N1094="","",IF(Sync!$N1094="",0,Sync!$N1094))</f>
        <v/>
      </c>
      <c r="U1094" t="str">
        <f>IF($N1094="","",IF(Sync!$O1094="",0,Sync!$O1094))</f>
        <v/>
      </c>
      <c r="V1094" t="str">
        <f>IF($N1094="","",Sync!$L1094)</f>
        <v/>
      </c>
      <c r="W1094" t="str">
        <f>IF($N1094="","",Sync!$P1094)</f>
        <v/>
      </c>
    </row>
    <row r="1095" spans="14:23" x14ac:dyDescent="0.2">
      <c r="N1095" t="str">
        <f>IF(OR(Sync!$M1095="",$Q1095="",$Q1095="نامعتبر"),"",Sync!$M1095)</f>
        <v/>
      </c>
      <c r="O1095" t="str">
        <f t="shared" si="115"/>
        <v/>
      </c>
      <c r="P1095" t="str">
        <f>IF($N1095="","",LEFT($Q1095,4)&amp;MID($Q1095,6,2)&amp;RIGHT($Q1095,2)&amp;IF(Sync!$K1095="","0000",IF(AND(ISNUMBER(Sync!$K1095),Sync!$K1095&gt;=0,Sync!$K1095&lt;1),RIGHT("00"&amp;HOUR(Sync!$K1095),2)&amp;RIGHT("00"&amp;MINUTE(Sync!$K1095),2),IFERROR(RIGHT("00"&amp;VALUE(LEFT(Sync!$K1095,FIND(":",Sync!$K1095)-1)),2)&amp;RIGHT("00"&amp;VALUE(MID(Sync!$K1095,FIND(":",Sync!$K1095)+1,2)),2),"0000")))&amp;"|"&amp;"2"&amp;RIGHT("00000"&amp;1090,5))</f>
        <v/>
      </c>
      <c r="Q1095" t="str">
        <f>IF(Sync!$J1095="","",IF(ISNUMBER(Sync!$J1095),IF(AND(Sync!$J1095&gt;=10000101,Sync!$J1095&lt;=99991231),INT(Sync!$J1095/10000)&amp;"/"&amp;RIGHT("00"&amp;INT(MOD(Sync!$J1095,10000)/100),2)&amp;"/"&amp;RIGHT("00"&amp;MOD(Sync!$J1095,100),2),"نامعتبر"),IF(LEN(Sync!$J1095)=10,Sync!$J1095,"نامعتبر")))</f>
        <v/>
      </c>
      <c r="R1095" t="str">
        <f t="shared" si="116"/>
        <v/>
      </c>
      <c r="S1095" t="str">
        <f t="shared" si="117"/>
        <v/>
      </c>
      <c r="T1095" t="str">
        <f>IF($N1095="","",IF(Sync!$N1095="",0,Sync!$N1095))</f>
        <v/>
      </c>
      <c r="U1095" t="str">
        <f>IF($N1095="","",IF(Sync!$O1095="",0,Sync!$O1095))</f>
        <v/>
      </c>
      <c r="V1095" t="str">
        <f>IF($N1095="","",Sync!$L1095)</f>
        <v/>
      </c>
      <c r="W1095" t="str">
        <f>IF($N1095="","",Sync!$P1095)</f>
        <v/>
      </c>
    </row>
    <row r="1096" spans="14:23" x14ac:dyDescent="0.2">
      <c r="N1096" t="str">
        <f>IF(OR(Sync!$M1096="",$Q1096="",$Q1096="نامعتبر"),"",Sync!$M1096)</f>
        <v/>
      </c>
      <c r="O1096" t="str">
        <f t="shared" si="115"/>
        <v/>
      </c>
      <c r="P1096" t="str">
        <f>IF($N1096="","",LEFT($Q1096,4)&amp;MID($Q1096,6,2)&amp;RIGHT($Q1096,2)&amp;IF(Sync!$K1096="","0000",IF(AND(ISNUMBER(Sync!$K1096),Sync!$K1096&gt;=0,Sync!$K1096&lt;1),RIGHT("00"&amp;HOUR(Sync!$K1096),2)&amp;RIGHT("00"&amp;MINUTE(Sync!$K1096),2),IFERROR(RIGHT("00"&amp;VALUE(LEFT(Sync!$K1096,FIND(":",Sync!$K1096)-1)),2)&amp;RIGHT("00"&amp;VALUE(MID(Sync!$K1096,FIND(":",Sync!$K1096)+1,2)),2),"0000")))&amp;"|"&amp;"2"&amp;RIGHT("00000"&amp;1091,5))</f>
        <v/>
      </c>
      <c r="Q1096" t="str">
        <f>IF(Sync!$J1096="","",IF(ISNUMBER(Sync!$J1096),IF(AND(Sync!$J1096&gt;=10000101,Sync!$J1096&lt;=99991231),INT(Sync!$J1096/10000)&amp;"/"&amp;RIGHT("00"&amp;INT(MOD(Sync!$J1096,10000)/100),2)&amp;"/"&amp;RIGHT("00"&amp;MOD(Sync!$J1096,100),2),"نامعتبر"),IF(LEN(Sync!$J1096)=10,Sync!$J1096,"نامعتبر")))</f>
        <v/>
      </c>
      <c r="R1096" t="str">
        <f t="shared" si="116"/>
        <v/>
      </c>
      <c r="S1096" t="str">
        <f t="shared" si="117"/>
        <v/>
      </c>
      <c r="T1096" t="str">
        <f>IF($N1096="","",IF(Sync!$N1096="",0,Sync!$N1096))</f>
        <v/>
      </c>
      <c r="U1096" t="str">
        <f>IF($N1096="","",IF(Sync!$O1096="",0,Sync!$O1096))</f>
        <v/>
      </c>
      <c r="V1096" t="str">
        <f>IF($N1096="","",Sync!$L1096)</f>
        <v/>
      </c>
      <c r="W1096" t="str">
        <f>IF($N1096="","",Sync!$P1096)</f>
        <v/>
      </c>
    </row>
    <row r="1097" spans="14:23" x14ac:dyDescent="0.2">
      <c r="N1097" t="str">
        <f>IF(OR(Sync!$M1097="",$Q1097="",$Q1097="نامعتبر"),"",Sync!$M1097)</f>
        <v/>
      </c>
      <c r="O1097" t="str">
        <f t="shared" si="115"/>
        <v/>
      </c>
      <c r="P1097" t="str">
        <f>IF($N1097="","",LEFT($Q1097,4)&amp;MID($Q1097,6,2)&amp;RIGHT($Q1097,2)&amp;IF(Sync!$K1097="","0000",IF(AND(ISNUMBER(Sync!$K1097),Sync!$K1097&gt;=0,Sync!$K1097&lt;1),RIGHT("00"&amp;HOUR(Sync!$K1097),2)&amp;RIGHT("00"&amp;MINUTE(Sync!$K1097),2),IFERROR(RIGHT("00"&amp;VALUE(LEFT(Sync!$K1097,FIND(":",Sync!$K1097)-1)),2)&amp;RIGHT("00"&amp;VALUE(MID(Sync!$K1097,FIND(":",Sync!$K1097)+1,2)),2),"0000")))&amp;"|"&amp;"2"&amp;RIGHT("00000"&amp;1092,5))</f>
        <v/>
      </c>
      <c r="Q1097" t="str">
        <f>IF(Sync!$J1097="","",IF(ISNUMBER(Sync!$J1097),IF(AND(Sync!$J1097&gt;=10000101,Sync!$J1097&lt;=99991231),INT(Sync!$J1097/10000)&amp;"/"&amp;RIGHT("00"&amp;INT(MOD(Sync!$J1097,10000)/100),2)&amp;"/"&amp;RIGHT("00"&amp;MOD(Sync!$J1097,100),2),"نامعتبر"),IF(LEN(Sync!$J1097)=10,Sync!$J1097,"نامعتبر")))</f>
        <v/>
      </c>
      <c r="R1097" t="str">
        <f t="shared" si="116"/>
        <v/>
      </c>
      <c r="S1097" t="str">
        <f t="shared" si="117"/>
        <v/>
      </c>
      <c r="T1097" t="str">
        <f>IF($N1097="","",IF(Sync!$N1097="",0,Sync!$N1097))</f>
        <v/>
      </c>
      <c r="U1097" t="str">
        <f>IF($N1097="","",IF(Sync!$O1097="",0,Sync!$O1097))</f>
        <v/>
      </c>
      <c r="V1097" t="str">
        <f>IF($N1097="","",Sync!$L1097)</f>
        <v/>
      </c>
      <c r="W1097" t="str">
        <f>IF($N1097="","",Sync!$P1097)</f>
        <v/>
      </c>
    </row>
    <row r="1098" spans="14:23" x14ac:dyDescent="0.2">
      <c r="N1098" t="str">
        <f>IF(OR(Sync!$M1098="",$Q1098="",$Q1098="نامعتبر"),"",Sync!$M1098)</f>
        <v/>
      </c>
      <c r="O1098" t="str">
        <f t="shared" si="115"/>
        <v/>
      </c>
      <c r="P1098" t="str">
        <f>IF($N1098="","",LEFT($Q1098,4)&amp;MID($Q1098,6,2)&amp;RIGHT($Q1098,2)&amp;IF(Sync!$K1098="","0000",IF(AND(ISNUMBER(Sync!$K1098),Sync!$K1098&gt;=0,Sync!$K1098&lt;1),RIGHT("00"&amp;HOUR(Sync!$K1098),2)&amp;RIGHT("00"&amp;MINUTE(Sync!$K1098),2),IFERROR(RIGHT("00"&amp;VALUE(LEFT(Sync!$K1098,FIND(":",Sync!$K1098)-1)),2)&amp;RIGHT("00"&amp;VALUE(MID(Sync!$K1098,FIND(":",Sync!$K1098)+1,2)),2),"0000")))&amp;"|"&amp;"2"&amp;RIGHT("00000"&amp;1093,5))</f>
        <v/>
      </c>
      <c r="Q1098" t="str">
        <f>IF(Sync!$J1098="","",IF(ISNUMBER(Sync!$J1098),IF(AND(Sync!$J1098&gt;=10000101,Sync!$J1098&lt;=99991231),INT(Sync!$J1098/10000)&amp;"/"&amp;RIGHT("00"&amp;INT(MOD(Sync!$J1098,10000)/100),2)&amp;"/"&amp;RIGHT("00"&amp;MOD(Sync!$J1098,100),2),"نامعتبر"),IF(LEN(Sync!$J1098)=10,Sync!$J1098,"نامعتبر")))</f>
        <v/>
      </c>
      <c r="R1098" t="str">
        <f t="shared" si="116"/>
        <v/>
      </c>
      <c r="S1098" t="str">
        <f t="shared" si="117"/>
        <v/>
      </c>
      <c r="T1098" t="str">
        <f>IF($N1098="","",IF(Sync!$N1098="",0,Sync!$N1098))</f>
        <v/>
      </c>
      <c r="U1098" t="str">
        <f>IF($N1098="","",IF(Sync!$O1098="",0,Sync!$O1098))</f>
        <v/>
      </c>
      <c r="V1098" t="str">
        <f>IF($N1098="","",Sync!$L1098)</f>
        <v/>
      </c>
      <c r="W1098" t="str">
        <f>IF($N1098="","",Sync!$P1098)</f>
        <v/>
      </c>
    </row>
    <row r="1099" spans="14:23" x14ac:dyDescent="0.2">
      <c r="N1099" t="str">
        <f>IF(OR(Sync!$M1099="",$Q1099="",$Q1099="نامعتبر"),"",Sync!$M1099)</f>
        <v/>
      </c>
      <c r="O1099" t="str">
        <f t="shared" si="115"/>
        <v/>
      </c>
      <c r="P1099" t="str">
        <f>IF($N1099="","",LEFT($Q1099,4)&amp;MID($Q1099,6,2)&amp;RIGHT($Q1099,2)&amp;IF(Sync!$K1099="","0000",IF(AND(ISNUMBER(Sync!$K1099),Sync!$K1099&gt;=0,Sync!$K1099&lt;1),RIGHT("00"&amp;HOUR(Sync!$K1099),2)&amp;RIGHT("00"&amp;MINUTE(Sync!$K1099),2),IFERROR(RIGHT("00"&amp;VALUE(LEFT(Sync!$K1099,FIND(":",Sync!$K1099)-1)),2)&amp;RIGHT("00"&amp;VALUE(MID(Sync!$K1099,FIND(":",Sync!$K1099)+1,2)),2),"0000")))&amp;"|"&amp;"2"&amp;RIGHT("00000"&amp;1094,5))</f>
        <v/>
      </c>
      <c r="Q1099" t="str">
        <f>IF(Sync!$J1099="","",IF(ISNUMBER(Sync!$J1099),IF(AND(Sync!$J1099&gt;=10000101,Sync!$J1099&lt;=99991231),INT(Sync!$J1099/10000)&amp;"/"&amp;RIGHT("00"&amp;INT(MOD(Sync!$J1099,10000)/100),2)&amp;"/"&amp;RIGHT("00"&amp;MOD(Sync!$J1099,100),2),"نامعتبر"),IF(LEN(Sync!$J1099)=10,Sync!$J1099,"نامعتبر")))</f>
        <v/>
      </c>
      <c r="R1099" t="str">
        <f t="shared" si="116"/>
        <v/>
      </c>
      <c r="S1099" t="str">
        <f t="shared" si="117"/>
        <v/>
      </c>
      <c r="T1099" t="str">
        <f>IF($N1099="","",IF(Sync!$N1099="",0,Sync!$N1099))</f>
        <v/>
      </c>
      <c r="U1099" t="str">
        <f>IF($N1099="","",IF(Sync!$O1099="",0,Sync!$O1099))</f>
        <v/>
      </c>
      <c r="V1099" t="str">
        <f>IF($N1099="","",Sync!$L1099)</f>
        <v/>
      </c>
      <c r="W1099" t="str">
        <f>IF($N1099="","",Sync!$P1099)</f>
        <v/>
      </c>
    </row>
    <row r="1100" spans="14:23" x14ac:dyDescent="0.2">
      <c r="N1100" t="str">
        <f>IF(OR(Sync!$M1100="",$Q1100="",$Q1100="نامعتبر"),"",Sync!$M1100)</f>
        <v/>
      </c>
      <c r="O1100" t="str">
        <f t="shared" si="115"/>
        <v/>
      </c>
      <c r="P1100" t="str">
        <f>IF($N1100="","",LEFT($Q1100,4)&amp;MID($Q1100,6,2)&amp;RIGHT($Q1100,2)&amp;IF(Sync!$K1100="","0000",IF(AND(ISNUMBER(Sync!$K1100),Sync!$K1100&gt;=0,Sync!$K1100&lt;1),RIGHT("00"&amp;HOUR(Sync!$K1100),2)&amp;RIGHT("00"&amp;MINUTE(Sync!$K1100),2),IFERROR(RIGHT("00"&amp;VALUE(LEFT(Sync!$K1100,FIND(":",Sync!$K1100)-1)),2)&amp;RIGHT("00"&amp;VALUE(MID(Sync!$K1100,FIND(":",Sync!$K1100)+1,2)),2),"0000")))&amp;"|"&amp;"2"&amp;RIGHT("00000"&amp;1095,5))</f>
        <v/>
      </c>
      <c r="Q1100" t="str">
        <f>IF(Sync!$J1100="","",IF(ISNUMBER(Sync!$J1100),IF(AND(Sync!$J1100&gt;=10000101,Sync!$J1100&lt;=99991231),INT(Sync!$J1100/10000)&amp;"/"&amp;RIGHT("00"&amp;INT(MOD(Sync!$J1100,10000)/100),2)&amp;"/"&amp;RIGHT("00"&amp;MOD(Sync!$J1100,100),2),"نامعتبر"),IF(LEN(Sync!$J1100)=10,Sync!$J1100,"نامعتبر")))</f>
        <v/>
      </c>
      <c r="R1100" t="str">
        <f t="shared" si="116"/>
        <v/>
      </c>
      <c r="S1100" t="str">
        <f t="shared" si="117"/>
        <v/>
      </c>
      <c r="T1100" t="str">
        <f>IF($N1100="","",IF(Sync!$N1100="",0,Sync!$N1100))</f>
        <v/>
      </c>
      <c r="U1100" t="str">
        <f>IF($N1100="","",IF(Sync!$O1100="",0,Sync!$O1100))</f>
        <v/>
      </c>
      <c r="V1100" t="str">
        <f>IF($N1100="","",Sync!$L1100)</f>
        <v/>
      </c>
      <c r="W1100" t="str">
        <f>IF($N1100="","",Sync!$P1100)</f>
        <v/>
      </c>
    </row>
    <row r="1101" spans="14:23" x14ac:dyDescent="0.2">
      <c r="N1101" t="str">
        <f>IF(OR(Sync!$M1101="",$Q1101="",$Q1101="نامعتبر"),"",Sync!$M1101)</f>
        <v/>
      </c>
      <c r="O1101" t="str">
        <f t="shared" si="115"/>
        <v/>
      </c>
      <c r="P1101" t="str">
        <f>IF($N1101="","",LEFT($Q1101,4)&amp;MID($Q1101,6,2)&amp;RIGHT($Q1101,2)&amp;IF(Sync!$K1101="","0000",IF(AND(ISNUMBER(Sync!$K1101),Sync!$K1101&gt;=0,Sync!$K1101&lt;1),RIGHT("00"&amp;HOUR(Sync!$K1101),2)&amp;RIGHT("00"&amp;MINUTE(Sync!$K1101),2),IFERROR(RIGHT("00"&amp;VALUE(LEFT(Sync!$K1101,FIND(":",Sync!$K1101)-1)),2)&amp;RIGHT("00"&amp;VALUE(MID(Sync!$K1101,FIND(":",Sync!$K1101)+1,2)),2),"0000")))&amp;"|"&amp;"2"&amp;RIGHT("00000"&amp;1096,5))</f>
        <v/>
      </c>
      <c r="Q1101" t="str">
        <f>IF(Sync!$J1101="","",IF(ISNUMBER(Sync!$J1101),IF(AND(Sync!$J1101&gt;=10000101,Sync!$J1101&lt;=99991231),INT(Sync!$J1101/10000)&amp;"/"&amp;RIGHT("00"&amp;INT(MOD(Sync!$J1101,10000)/100),2)&amp;"/"&amp;RIGHT("00"&amp;MOD(Sync!$J1101,100),2),"نامعتبر"),IF(LEN(Sync!$J1101)=10,Sync!$J1101,"نامعتبر")))</f>
        <v/>
      </c>
      <c r="R1101" t="str">
        <f t="shared" si="116"/>
        <v/>
      </c>
      <c r="S1101" t="str">
        <f t="shared" si="117"/>
        <v/>
      </c>
      <c r="T1101" t="str">
        <f>IF($N1101="","",IF(Sync!$N1101="",0,Sync!$N1101))</f>
        <v/>
      </c>
      <c r="U1101" t="str">
        <f>IF($N1101="","",IF(Sync!$O1101="",0,Sync!$O1101))</f>
        <v/>
      </c>
      <c r="V1101" t="str">
        <f>IF($N1101="","",Sync!$L1101)</f>
        <v/>
      </c>
      <c r="W1101" t="str">
        <f>IF($N1101="","",Sync!$P1101)</f>
        <v/>
      </c>
    </row>
    <row r="1102" spans="14:23" x14ac:dyDescent="0.2">
      <c r="N1102" t="str">
        <f>IF(OR(Sync!$M1102="",$Q1102="",$Q1102="نامعتبر"),"",Sync!$M1102)</f>
        <v/>
      </c>
      <c r="O1102" t="str">
        <f t="shared" si="115"/>
        <v/>
      </c>
      <c r="P1102" t="str">
        <f>IF($N1102="","",LEFT($Q1102,4)&amp;MID($Q1102,6,2)&amp;RIGHT($Q1102,2)&amp;IF(Sync!$K1102="","0000",IF(AND(ISNUMBER(Sync!$K1102),Sync!$K1102&gt;=0,Sync!$K1102&lt;1),RIGHT("00"&amp;HOUR(Sync!$K1102),2)&amp;RIGHT("00"&amp;MINUTE(Sync!$K1102),2),IFERROR(RIGHT("00"&amp;VALUE(LEFT(Sync!$K1102,FIND(":",Sync!$K1102)-1)),2)&amp;RIGHT("00"&amp;VALUE(MID(Sync!$K1102,FIND(":",Sync!$K1102)+1,2)),2),"0000")))&amp;"|"&amp;"2"&amp;RIGHT("00000"&amp;1097,5))</f>
        <v/>
      </c>
      <c r="Q1102" t="str">
        <f>IF(Sync!$J1102="","",IF(ISNUMBER(Sync!$J1102),IF(AND(Sync!$J1102&gt;=10000101,Sync!$J1102&lt;=99991231),INT(Sync!$J1102/10000)&amp;"/"&amp;RIGHT("00"&amp;INT(MOD(Sync!$J1102,10000)/100),2)&amp;"/"&amp;RIGHT("00"&amp;MOD(Sync!$J1102,100),2),"نامعتبر"),IF(LEN(Sync!$J1102)=10,Sync!$J1102,"نامعتبر")))</f>
        <v/>
      </c>
      <c r="R1102" t="str">
        <f t="shared" si="116"/>
        <v/>
      </c>
      <c r="S1102" t="str">
        <f t="shared" si="117"/>
        <v/>
      </c>
      <c r="T1102" t="str">
        <f>IF($N1102="","",IF(Sync!$N1102="",0,Sync!$N1102))</f>
        <v/>
      </c>
      <c r="U1102" t="str">
        <f>IF($N1102="","",IF(Sync!$O1102="",0,Sync!$O1102))</f>
        <v/>
      </c>
      <c r="V1102" t="str">
        <f>IF($N1102="","",Sync!$L1102)</f>
        <v/>
      </c>
      <c r="W1102" t="str">
        <f>IF($N1102="","",Sync!$P1102)</f>
        <v/>
      </c>
    </row>
    <row r="1103" spans="14:23" x14ac:dyDescent="0.2">
      <c r="N1103" t="str">
        <f>IF(OR(Sync!$M1103="",$Q1103="",$Q1103="نامعتبر"),"",Sync!$M1103)</f>
        <v/>
      </c>
      <c r="O1103" t="str">
        <f t="shared" si="115"/>
        <v/>
      </c>
      <c r="P1103" t="str">
        <f>IF($N1103="","",LEFT($Q1103,4)&amp;MID($Q1103,6,2)&amp;RIGHT($Q1103,2)&amp;IF(Sync!$K1103="","0000",IF(AND(ISNUMBER(Sync!$K1103),Sync!$K1103&gt;=0,Sync!$K1103&lt;1),RIGHT("00"&amp;HOUR(Sync!$K1103),2)&amp;RIGHT("00"&amp;MINUTE(Sync!$K1103),2),IFERROR(RIGHT("00"&amp;VALUE(LEFT(Sync!$K1103,FIND(":",Sync!$K1103)-1)),2)&amp;RIGHT("00"&amp;VALUE(MID(Sync!$K1103,FIND(":",Sync!$K1103)+1,2)),2),"0000")))&amp;"|"&amp;"2"&amp;RIGHT("00000"&amp;1098,5))</f>
        <v/>
      </c>
      <c r="Q1103" t="str">
        <f>IF(Sync!$J1103="","",IF(ISNUMBER(Sync!$J1103),IF(AND(Sync!$J1103&gt;=10000101,Sync!$J1103&lt;=99991231),INT(Sync!$J1103/10000)&amp;"/"&amp;RIGHT("00"&amp;INT(MOD(Sync!$J1103,10000)/100),2)&amp;"/"&amp;RIGHT("00"&amp;MOD(Sync!$J1103,100),2),"نامعتبر"),IF(LEN(Sync!$J1103)=10,Sync!$J1103,"نامعتبر")))</f>
        <v/>
      </c>
      <c r="R1103" t="str">
        <f t="shared" si="116"/>
        <v/>
      </c>
      <c r="S1103" t="str">
        <f t="shared" si="117"/>
        <v/>
      </c>
      <c r="T1103" t="str">
        <f>IF($N1103="","",IF(Sync!$N1103="",0,Sync!$N1103))</f>
        <v/>
      </c>
      <c r="U1103" t="str">
        <f>IF($N1103="","",IF(Sync!$O1103="",0,Sync!$O1103))</f>
        <v/>
      </c>
      <c r="V1103" t="str">
        <f>IF($N1103="","",Sync!$L1103)</f>
        <v/>
      </c>
      <c r="W1103" t="str">
        <f>IF($N1103="","",Sync!$P1103)</f>
        <v/>
      </c>
    </row>
    <row r="1104" spans="14:23" x14ac:dyDescent="0.2">
      <c r="N1104" t="str">
        <f>IF(OR(Sync!$M1104="",$Q1104="",$Q1104="نامعتبر"),"",Sync!$M1104)</f>
        <v/>
      </c>
      <c r="O1104" t="str">
        <f t="shared" si="115"/>
        <v/>
      </c>
      <c r="P1104" t="str">
        <f>IF($N1104="","",LEFT($Q1104,4)&amp;MID($Q1104,6,2)&amp;RIGHT($Q1104,2)&amp;IF(Sync!$K1104="","0000",IF(AND(ISNUMBER(Sync!$K1104),Sync!$K1104&gt;=0,Sync!$K1104&lt;1),RIGHT("00"&amp;HOUR(Sync!$K1104),2)&amp;RIGHT("00"&amp;MINUTE(Sync!$K1104),2),IFERROR(RIGHT("00"&amp;VALUE(LEFT(Sync!$K1104,FIND(":",Sync!$K1104)-1)),2)&amp;RIGHT("00"&amp;VALUE(MID(Sync!$K1104,FIND(":",Sync!$K1104)+1,2)),2),"0000")))&amp;"|"&amp;"2"&amp;RIGHT("00000"&amp;1099,5))</f>
        <v/>
      </c>
      <c r="Q1104" t="str">
        <f>IF(Sync!$J1104="","",IF(ISNUMBER(Sync!$J1104),IF(AND(Sync!$J1104&gt;=10000101,Sync!$J1104&lt;=99991231),INT(Sync!$J1104/10000)&amp;"/"&amp;RIGHT("00"&amp;INT(MOD(Sync!$J1104,10000)/100),2)&amp;"/"&amp;RIGHT("00"&amp;MOD(Sync!$J1104,100),2),"نامعتبر"),IF(LEN(Sync!$J1104)=10,Sync!$J1104,"نامعتبر")))</f>
        <v/>
      </c>
      <c r="R1104" t="str">
        <f t="shared" si="116"/>
        <v/>
      </c>
      <c r="S1104" t="str">
        <f t="shared" si="117"/>
        <v/>
      </c>
      <c r="T1104" t="str">
        <f>IF($N1104="","",IF(Sync!$N1104="",0,Sync!$N1104))</f>
        <v/>
      </c>
      <c r="U1104" t="str">
        <f>IF($N1104="","",IF(Sync!$O1104="",0,Sync!$O1104))</f>
        <v/>
      </c>
      <c r="V1104" t="str">
        <f>IF($N1104="","",Sync!$L1104)</f>
        <v/>
      </c>
      <c r="W1104" t="str">
        <f>IF($N1104="","",Sync!$P1104)</f>
        <v/>
      </c>
    </row>
    <row r="1105" spans="14:23" x14ac:dyDescent="0.2">
      <c r="N1105" t="str">
        <f>IF(OR(Sync!$M1105="",$Q1105="",$Q1105="نامعتبر"),"",Sync!$M1105)</f>
        <v/>
      </c>
      <c r="O1105" t="str">
        <f t="shared" si="115"/>
        <v/>
      </c>
      <c r="P1105" t="str">
        <f>IF($N1105="","",LEFT($Q1105,4)&amp;MID($Q1105,6,2)&amp;RIGHT($Q1105,2)&amp;IF(Sync!$K1105="","0000",IF(AND(ISNUMBER(Sync!$K1105),Sync!$K1105&gt;=0,Sync!$K1105&lt;1),RIGHT("00"&amp;HOUR(Sync!$K1105),2)&amp;RIGHT("00"&amp;MINUTE(Sync!$K1105),2),IFERROR(RIGHT("00"&amp;VALUE(LEFT(Sync!$K1105,FIND(":",Sync!$K1105)-1)),2)&amp;RIGHT("00"&amp;VALUE(MID(Sync!$K1105,FIND(":",Sync!$K1105)+1,2)),2),"0000")))&amp;"|"&amp;"2"&amp;RIGHT("00000"&amp;1100,5))</f>
        <v/>
      </c>
      <c r="Q1105" t="str">
        <f>IF(Sync!$J1105="","",IF(ISNUMBER(Sync!$J1105),IF(AND(Sync!$J1105&gt;=10000101,Sync!$J1105&lt;=99991231),INT(Sync!$J1105/10000)&amp;"/"&amp;RIGHT("00"&amp;INT(MOD(Sync!$J1105,10000)/100),2)&amp;"/"&amp;RIGHT("00"&amp;MOD(Sync!$J1105,100),2),"نامعتبر"),IF(LEN(Sync!$J1105)=10,Sync!$J1105,"نامعتبر")))</f>
        <v/>
      </c>
      <c r="R1105" t="str">
        <f t="shared" si="116"/>
        <v/>
      </c>
      <c r="S1105" t="str">
        <f t="shared" si="117"/>
        <v/>
      </c>
      <c r="T1105" t="str">
        <f>IF($N1105="","",IF(Sync!$N1105="",0,Sync!$N1105))</f>
        <v/>
      </c>
      <c r="U1105" t="str">
        <f>IF($N1105="","",IF(Sync!$O1105="",0,Sync!$O1105))</f>
        <v/>
      </c>
      <c r="V1105" t="str">
        <f>IF($N1105="","",Sync!$L1105)</f>
        <v/>
      </c>
      <c r="W1105" t="str">
        <f>IF($N1105="","",Sync!$P1105)</f>
        <v/>
      </c>
    </row>
    <row r="1106" spans="14:23" x14ac:dyDescent="0.2">
      <c r="N1106" t="str">
        <f>IF(OR(Sync!$M1106="",$Q1106="",$Q1106="نامعتبر"),"",Sync!$M1106)</f>
        <v/>
      </c>
      <c r="O1106" t="str">
        <f t="shared" si="115"/>
        <v/>
      </c>
      <c r="P1106" t="str">
        <f>IF($N1106="","",LEFT($Q1106,4)&amp;MID($Q1106,6,2)&amp;RIGHT($Q1106,2)&amp;IF(Sync!$K1106="","0000",IF(AND(ISNUMBER(Sync!$K1106),Sync!$K1106&gt;=0,Sync!$K1106&lt;1),RIGHT("00"&amp;HOUR(Sync!$K1106),2)&amp;RIGHT("00"&amp;MINUTE(Sync!$K1106),2),IFERROR(RIGHT("00"&amp;VALUE(LEFT(Sync!$K1106,FIND(":",Sync!$K1106)-1)),2)&amp;RIGHT("00"&amp;VALUE(MID(Sync!$K1106,FIND(":",Sync!$K1106)+1,2)),2),"0000")))&amp;"|"&amp;"2"&amp;RIGHT("00000"&amp;1101,5))</f>
        <v/>
      </c>
      <c r="Q1106" t="str">
        <f>IF(Sync!$J1106="","",IF(ISNUMBER(Sync!$J1106),IF(AND(Sync!$J1106&gt;=10000101,Sync!$J1106&lt;=99991231),INT(Sync!$J1106/10000)&amp;"/"&amp;RIGHT("00"&amp;INT(MOD(Sync!$J1106,10000)/100),2)&amp;"/"&amp;RIGHT("00"&amp;MOD(Sync!$J1106,100),2),"نامعتبر"),IF(LEN(Sync!$J1106)=10,Sync!$J1106,"نامعتبر")))</f>
        <v/>
      </c>
      <c r="R1106" t="str">
        <f t="shared" si="116"/>
        <v/>
      </c>
      <c r="S1106" t="str">
        <f t="shared" si="117"/>
        <v/>
      </c>
      <c r="T1106" t="str">
        <f>IF($N1106="","",IF(Sync!$N1106="",0,Sync!$N1106))</f>
        <v/>
      </c>
      <c r="U1106" t="str">
        <f>IF($N1106="","",IF(Sync!$O1106="",0,Sync!$O1106))</f>
        <v/>
      </c>
      <c r="V1106" t="str">
        <f>IF($N1106="","",Sync!$L1106)</f>
        <v/>
      </c>
      <c r="W1106" t="str">
        <f>IF($N1106="","",Sync!$P1106)</f>
        <v/>
      </c>
    </row>
    <row r="1107" spans="14:23" x14ac:dyDescent="0.2">
      <c r="N1107" t="str">
        <f>IF(OR(Sync!$M1107="",$Q1107="",$Q1107="نامعتبر"),"",Sync!$M1107)</f>
        <v/>
      </c>
      <c r="O1107" t="str">
        <f t="shared" si="115"/>
        <v/>
      </c>
      <c r="P1107" t="str">
        <f>IF($N1107="","",LEFT($Q1107,4)&amp;MID($Q1107,6,2)&amp;RIGHT($Q1107,2)&amp;IF(Sync!$K1107="","0000",IF(AND(ISNUMBER(Sync!$K1107),Sync!$K1107&gt;=0,Sync!$K1107&lt;1),RIGHT("00"&amp;HOUR(Sync!$K1107),2)&amp;RIGHT("00"&amp;MINUTE(Sync!$K1107),2),IFERROR(RIGHT("00"&amp;VALUE(LEFT(Sync!$K1107,FIND(":",Sync!$K1107)-1)),2)&amp;RIGHT("00"&amp;VALUE(MID(Sync!$K1107,FIND(":",Sync!$K1107)+1,2)),2),"0000")))&amp;"|"&amp;"2"&amp;RIGHT("00000"&amp;1102,5))</f>
        <v/>
      </c>
      <c r="Q1107" t="str">
        <f>IF(Sync!$J1107="","",IF(ISNUMBER(Sync!$J1107),IF(AND(Sync!$J1107&gt;=10000101,Sync!$J1107&lt;=99991231),INT(Sync!$J1107/10000)&amp;"/"&amp;RIGHT("00"&amp;INT(MOD(Sync!$J1107,10000)/100),2)&amp;"/"&amp;RIGHT("00"&amp;MOD(Sync!$J1107,100),2),"نامعتبر"),IF(LEN(Sync!$J1107)=10,Sync!$J1107,"نامعتبر")))</f>
        <v/>
      </c>
      <c r="R1107" t="str">
        <f t="shared" si="116"/>
        <v/>
      </c>
      <c r="S1107" t="str">
        <f t="shared" si="117"/>
        <v/>
      </c>
      <c r="T1107" t="str">
        <f>IF($N1107="","",IF(Sync!$N1107="",0,Sync!$N1107))</f>
        <v/>
      </c>
      <c r="U1107" t="str">
        <f>IF($N1107="","",IF(Sync!$O1107="",0,Sync!$O1107))</f>
        <v/>
      </c>
      <c r="V1107" t="str">
        <f>IF($N1107="","",Sync!$L1107)</f>
        <v/>
      </c>
      <c r="W1107" t="str">
        <f>IF($N1107="","",Sync!$P1107)</f>
        <v/>
      </c>
    </row>
    <row r="1108" spans="14:23" x14ac:dyDescent="0.2">
      <c r="N1108" t="str">
        <f>IF(OR(Sync!$M1108="",$Q1108="",$Q1108="نامعتبر"),"",Sync!$M1108)</f>
        <v/>
      </c>
      <c r="O1108" t="str">
        <f t="shared" si="115"/>
        <v/>
      </c>
      <c r="P1108" t="str">
        <f>IF($N1108="","",LEFT($Q1108,4)&amp;MID($Q1108,6,2)&amp;RIGHT($Q1108,2)&amp;IF(Sync!$K1108="","0000",IF(AND(ISNUMBER(Sync!$K1108),Sync!$K1108&gt;=0,Sync!$K1108&lt;1),RIGHT("00"&amp;HOUR(Sync!$K1108),2)&amp;RIGHT("00"&amp;MINUTE(Sync!$K1108),2),IFERROR(RIGHT("00"&amp;VALUE(LEFT(Sync!$K1108,FIND(":",Sync!$K1108)-1)),2)&amp;RIGHT("00"&amp;VALUE(MID(Sync!$K1108,FIND(":",Sync!$K1108)+1,2)),2),"0000")))&amp;"|"&amp;"2"&amp;RIGHT("00000"&amp;1103,5))</f>
        <v/>
      </c>
      <c r="Q1108" t="str">
        <f>IF(Sync!$J1108="","",IF(ISNUMBER(Sync!$J1108),IF(AND(Sync!$J1108&gt;=10000101,Sync!$J1108&lt;=99991231),INT(Sync!$J1108/10000)&amp;"/"&amp;RIGHT("00"&amp;INT(MOD(Sync!$J1108,10000)/100),2)&amp;"/"&amp;RIGHT("00"&amp;MOD(Sync!$J1108,100),2),"نامعتبر"),IF(LEN(Sync!$J1108)=10,Sync!$J1108,"نامعتبر")))</f>
        <v/>
      </c>
      <c r="R1108" t="str">
        <f t="shared" si="116"/>
        <v/>
      </c>
      <c r="S1108" t="str">
        <f t="shared" si="117"/>
        <v/>
      </c>
      <c r="T1108" t="str">
        <f>IF($N1108="","",IF(Sync!$N1108="",0,Sync!$N1108))</f>
        <v/>
      </c>
      <c r="U1108" t="str">
        <f>IF($N1108="","",IF(Sync!$O1108="",0,Sync!$O1108))</f>
        <v/>
      </c>
      <c r="V1108" t="str">
        <f>IF($N1108="","",Sync!$L1108)</f>
        <v/>
      </c>
      <c r="W1108" t="str">
        <f>IF($N1108="","",Sync!$P1108)</f>
        <v/>
      </c>
    </row>
    <row r="1109" spans="14:23" x14ac:dyDescent="0.2">
      <c r="N1109" t="str">
        <f>IF(OR(Sync!$M1109="",$Q1109="",$Q1109="نامعتبر"),"",Sync!$M1109)</f>
        <v/>
      </c>
      <c r="O1109" t="str">
        <f t="shared" si="115"/>
        <v/>
      </c>
      <c r="P1109" t="str">
        <f>IF($N1109="","",LEFT($Q1109,4)&amp;MID($Q1109,6,2)&amp;RIGHT($Q1109,2)&amp;IF(Sync!$K1109="","0000",IF(AND(ISNUMBER(Sync!$K1109),Sync!$K1109&gt;=0,Sync!$K1109&lt;1),RIGHT("00"&amp;HOUR(Sync!$K1109),2)&amp;RIGHT("00"&amp;MINUTE(Sync!$K1109),2),IFERROR(RIGHT("00"&amp;VALUE(LEFT(Sync!$K1109,FIND(":",Sync!$K1109)-1)),2)&amp;RIGHT("00"&amp;VALUE(MID(Sync!$K1109,FIND(":",Sync!$K1109)+1,2)),2),"0000")))&amp;"|"&amp;"2"&amp;RIGHT("00000"&amp;1104,5))</f>
        <v/>
      </c>
      <c r="Q1109" t="str">
        <f>IF(Sync!$J1109="","",IF(ISNUMBER(Sync!$J1109),IF(AND(Sync!$J1109&gt;=10000101,Sync!$J1109&lt;=99991231),INT(Sync!$J1109/10000)&amp;"/"&amp;RIGHT("00"&amp;INT(MOD(Sync!$J1109,10000)/100),2)&amp;"/"&amp;RIGHT("00"&amp;MOD(Sync!$J1109,100),2),"نامعتبر"),IF(LEN(Sync!$J1109)=10,Sync!$J1109,"نامعتبر")))</f>
        <v/>
      </c>
      <c r="R1109" t="str">
        <f t="shared" si="116"/>
        <v/>
      </c>
      <c r="S1109" t="str">
        <f t="shared" si="117"/>
        <v/>
      </c>
      <c r="T1109" t="str">
        <f>IF($N1109="","",IF(Sync!$N1109="",0,Sync!$N1109))</f>
        <v/>
      </c>
      <c r="U1109" t="str">
        <f>IF($N1109="","",IF(Sync!$O1109="",0,Sync!$O1109))</f>
        <v/>
      </c>
      <c r="V1109" t="str">
        <f>IF($N1109="","",Sync!$L1109)</f>
        <v/>
      </c>
      <c r="W1109" t="str">
        <f>IF($N1109="","",Sync!$P1109)</f>
        <v/>
      </c>
    </row>
    <row r="1110" spans="14:23" x14ac:dyDescent="0.2">
      <c r="N1110" t="str">
        <f>IF(OR(Sync!$M1110="",$Q1110="",$Q1110="نامعتبر"),"",Sync!$M1110)</f>
        <v/>
      </c>
      <c r="O1110" t="str">
        <f t="shared" si="115"/>
        <v/>
      </c>
      <c r="P1110" t="str">
        <f>IF($N1110="","",LEFT($Q1110,4)&amp;MID($Q1110,6,2)&amp;RIGHT($Q1110,2)&amp;IF(Sync!$K1110="","0000",IF(AND(ISNUMBER(Sync!$K1110),Sync!$K1110&gt;=0,Sync!$K1110&lt;1),RIGHT("00"&amp;HOUR(Sync!$K1110),2)&amp;RIGHT("00"&amp;MINUTE(Sync!$K1110),2),IFERROR(RIGHT("00"&amp;VALUE(LEFT(Sync!$K1110,FIND(":",Sync!$K1110)-1)),2)&amp;RIGHT("00"&amp;VALUE(MID(Sync!$K1110,FIND(":",Sync!$K1110)+1,2)),2),"0000")))&amp;"|"&amp;"2"&amp;RIGHT("00000"&amp;1105,5))</f>
        <v/>
      </c>
      <c r="Q1110" t="str">
        <f>IF(Sync!$J1110="","",IF(ISNUMBER(Sync!$J1110),IF(AND(Sync!$J1110&gt;=10000101,Sync!$J1110&lt;=99991231),INT(Sync!$J1110/10000)&amp;"/"&amp;RIGHT("00"&amp;INT(MOD(Sync!$J1110,10000)/100),2)&amp;"/"&amp;RIGHT("00"&amp;MOD(Sync!$J1110,100),2),"نامعتبر"),IF(LEN(Sync!$J1110)=10,Sync!$J1110,"نامعتبر")))</f>
        <v/>
      </c>
      <c r="R1110" t="str">
        <f t="shared" si="116"/>
        <v/>
      </c>
      <c r="S1110" t="str">
        <f t="shared" si="117"/>
        <v/>
      </c>
      <c r="T1110" t="str">
        <f>IF($N1110="","",IF(Sync!$N1110="",0,Sync!$N1110))</f>
        <v/>
      </c>
      <c r="U1110" t="str">
        <f>IF($N1110="","",IF(Sync!$O1110="",0,Sync!$O1110))</f>
        <v/>
      </c>
      <c r="V1110" t="str">
        <f>IF($N1110="","",Sync!$L1110)</f>
        <v/>
      </c>
      <c r="W1110" t="str">
        <f>IF($N1110="","",Sync!$P1110)</f>
        <v/>
      </c>
    </row>
    <row r="1111" spans="14:23" x14ac:dyDescent="0.2">
      <c r="N1111" t="str">
        <f>IF(OR(Sync!$M1111="",$Q1111="",$Q1111="نامعتبر"),"",Sync!$M1111)</f>
        <v/>
      </c>
      <c r="O1111" t="str">
        <f t="shared" si="115"/>
        <v/>
      </c>
      <c r="P1111" t="str">
        <f>IF($N1111="","",LEFT($Q1111,4)&amp;MID($Q1111,6,2)&amp;RIGHT($Q1111,2)&amp;IF(Sync!$K1111="","0000",IF(AND(ISNUMBER(Sync!$K1111),Sync!$K1111&gt;=0,Sync!$K1111&lt;1),RIGHT("00"&amp;HOUR(Sync!$K1111),2)&amp;RIGHT("00"&amp;MINUTE(Sync!$K1111),2),IFERROR(RIGHT("00"&amp;VALUE(LEFT(Sync!$K1111,FIND(":",Sync!$K1111)-1)),2)&amp;RIGHT("00"&amp;VALUE(MID(Sync!$K1111,FIND(":",Sync!$K1111)+1,2)),2),"0000")))&amp;"|"&amp;"2"&amp;RIGHT("00000"&amp;1106,5))</f>
        <v/>
      </c>
      <c r="Q1111" t="str">
        <f>IF(Sync!$J1111="","",IF(ISNUMBER(Sync!$J1111),IF(AND(Sync!$J1111&gt;=10000101,Sync!$J1111&lt;=99991231),INT(Sync!$J1111/10000)&amp;"/"&amp;RIGHT("00"&amp;INT(MOD(Sync!$J1111,10000)/100),2)&amp;"/"&amp;RIGHT("00"&amp;MOD(Sync!$J1111,100),2),"نامعتبر"),IF(LEN(Sync!$J1111)=10,Sync!$J1111,"نامعتبر")))</f>
        <v/>
      </c>
      <c r="R1111" t="str">
        <f t="shared" si="116"/>
        <v/>
      </c>
      <c r="S1111" t="str">
        <f t="shared" si="117"/>
        <v/>
      </c>
      <c r="T1111" t="str">
        <f>IF($N1111="","",IF(Sync!$N1111="",0,Sync!$N1111))</f>
        <v/>
      </c>
      <c r="U1111" t="str">
        <f>IF($N1111="","",IF(Sync!$O1111="",0,Sync!$O1111))</f>
        <v/>
      </c>
      <c r="V1111" t="str">
        <f>IF($N1111="","",Sync!$L1111)</f>
        <v/>
      </c>
      <c r="W1111" t="str">
        <f>IF($N1111="","",Sync!$P1111)</f>
        <v/>
      </c>
    </row>
    <row r="1112" spans="14:23" x14ac:dyDescent="0.2">
      <c r="N1112" t="str">
        <f>IF(OR(Sync!$M1112="",$Q1112="",$Q1112="نامعتبر"),"",Sync!$M1112)</f>
        <v/>
      </c>
      <c r="O1112" t="str">
        <f t="shared" si="115"/>
        <v/>
      </c>
      <c r="P1112" t="str">
        <f>IF($N1112="","",LEFT($Q1112,4)&amp;MID($Q1112,6,2)&amp;RIGHT($Q1112,2)&amp;IF(Sync!$K1112="","0000",IF(AND(ISNUMBER(Sync!$K1112),Sync!$K1112&gt;=0,Sync!$K1112&lt;1),RIGHT("00"&amp;HOUR(Sync!$K1112),2)&amp;RIGHT("00"&amp;MINUTE(Sync!$K1112),2),IFERROR(RIGHT("00"&amp;VALUE(LEFT(Sync!$K1112,FIND(":",Sync!$K1112)-1)),2)&amp;RIGHT("00"&amp;VALUE(MID(Sync!$K1112,FIND(":",Sync!$K1112)+1,2)),2),"0000")))&amp;"|"&amp;"2"&amp;RIGHT("00000"&amp;1107,5))</f>
        <v/>
      </c>
      <c r="Q1112" t="str">
        <f>IF(Sync!$J1112="","",IF(ISNUMBER(Sync!$J1112),IF(AND(Sync!$J1112&gt;=10000101,Sync!$J1112&lt;=99991231),INT(Sync!$J1112/10000)&amp;"/"&amp;RIGHT("00"&amp;INT(MOD(Sync!$J1112,10000)/100),2)&amp;"/"&amp;RIGHT("00"&amp;MOD(Sync!$J1112,100),2),"نامعتبر"),IF(LEN(Sync!$J1112)=10,Sync!$J1112,"نامعتبر")))</f>
        <v/>
      </c>
      <c r="R1112" t="str">
        <f t="shared" si="116"/>
        <v/>
      </c>
      <c r="S1112" t="str">
        <f t="shared" si="117"/>
        <v/>
      </c>
      <c r="T1112" t="str">
        <f>IF($N1112="","",IF(Sync!$N1112="",0,Sync!$N1112))</f>
        <v/>
      </c>
      <c r="U1112" t="str">
        <f>IF($N1112="","",IF(Sync!$O1112="",0,Sync!$O1112))</f>
        <v/>
      </c>
      <c r="V1112" t="str">
        <f>IF($N1112="","",Sync!$L1112)</f>
        <v/>
      </c>
      <c r="W1112" t="str">
        <f>IF($N1112="","",Sync!$P1112)</f>
        <v/>
      </c>
    </row>
    <row r="1113" spans="14:23" x14ac:dyDescent="0.2">
      <c r="N1113" t="str">
        <f>IF(OR(Sync!$M1113="",$Q1113="",$Q1113="نامعتبر"),"",Sync!$M1113)</f>
        <v/>
      </c>
      <c r="O1113" t="str">
        <f t="shared" si="115"/>
        <v/>
      </c>
      <c r="P1113" t="str">
        <f>IF($N1113="","",LEFT($Q1113,4)&amp;MID($Q1113,6,2)&amp;RIGHT($Q1113,2)&amp;IF(Sync!$K1113="","0000",IF(AND(ISNUMBER(Sync!$K1113),Sync!$K1113&gt;=0,Sync!$K1113&lt;1),RIGHT("00"&amp;HOUR(Sync!$K1113),2)&amp;RIGHT("00"&amp;MINUTE(Sync!$K1113),2),IFERROR(RIGHT("00"&amp;VALUE(LEFT(Sync!$K1113,FIND(":",Sync!$K1113)-1)),2)&amp;RIGHT("00"&amp;VALUE(MID(Sync!$K1113,FIND(":",Sync!$K1113)+1,2)),2),"0000")))&amp;"|"&amp;"2"&amp;RIGHT("00000"&amp;1108,5))</f>
        <v/>
      </c>
      <c r="Q1113" t="str">
        <f>IF(Sync!$J1113="","",IF(ISNUMBER(Sync!$J1113),IF(AND(Sync!$J1113&gt;=10000101,Sync!$J1113&lt;=99991231),INT(Sync!$J1113/10000)&amp;"/"&amp;RIGHT("00"&amp;INT(MOD(Sync!$J1113,10000)/100),2)&amp;"/"&amp;RIGHT("00"&amp;MOD(Sync!$J1113,100),2),"نامعتبر"),IF(LEN(Sync!$J1113)=10,Sync!$J1113,"نامعتبر")))</f>
        <v/>
      </c>
      <c r="R1113" t="str">
        <f t="shared" si="116"/>
        <v/>
      </c>
      <c r="S1113" t="str">
        <f t="shared" si="117"/>
        <v/>
      </c>
      <c r="T1113" t="str">
        <f>IF($N1113="","",IF(Sync!$N1113="",0,Sync!$N1113))</f>
        <v/>
      </c>
      <c r="U1113" t="str">
        <f>IF($N1113="","",IF(Sync!$O1113="",0,Sync!$O1113))</f>
        <v/>
      </c>
      <c r="V1113" t="str">
        <f>IF($N1113="","",Sync!$L1113)</f>
        <v/>
      </c>
      <c r="W1113" t="str">
        <f>IF($N1113="","",Sync!$P1113)</f>
        <v/>
      </c>
    </row>
    <row r="1114" spans="14:23" x14ac:dyDescent="0.2">
      <c r="N1114" t="str">
        <f>IF(OR(Sync!$M1114="",$Q1114="",$Q1114="نامعتبر"),"",Sync!$M1114)</f>
        <v/>
      </c>
      <c r="O1114" t="str">
        <f t="shared" si="115"/>
        <v/>
      </c>
      <c r="P1114" t="str">
        <f>IF($N1114="","",LEFT($Q1114,4)&amp;MID($Q1114,6,2)&amp;RIGHT($Q1114,2)&amp;IF(Sync!$K1114="","0000",IF(AND(ISNUMBER(Sync!$K1114),Sync!$K1114&gt;=0,Sync!$K1114&lt;1),RIGHT("00"&amp;HOUR(Sync!$K1114),2)&amp;RIGHT("00"&amp;MINUTE(Sync!$K1114),2),IFERROR(RIGHT("00"&amp;VALUE(LEFT(Sync!$K1114,FIND(":",Sync!$K1114)-1)),2)&amp;RIGHT("00"&amp;VALUE(MID(Sync!$K1114,FIND(":",Sync!$K1114)+1,2)),2),"0000")))&amp;"|"&amp;"2"&amp;RIGHT("00000"&amp;1109,5))</f>
        <v/>
      </c>
      <c r="Q1114" t="str">
        <f>IF(Sync!$J1114="","",IF(ISNUMBER(Sync!$J1114),IF(AND(Sync!$J1114&gt;=10000101,Sync!$J1114&lt;=99991231),INT(Sync!$J1114/10000)&amp;"/"&amp;RIGHT("00"&amp;INT(MOD(Sync!$J1114,10000)/100),2)&amp;"/"&amp;RIGHT("00"&amp;MOD(Sync!$J1114,100),2),"نامعتبر"),IF(LEN(Sync!$J1114)=10,Sync!$J1114,"نامعتبر")))</f>
        <v/>
      </c>
      <c r="R1114" t="str">
        <f t="shared" si="116"/>
        <v/>
      </c>
      <c r="S1114" t="str">
        <f t="shared" si="117"/>
        <v/>
      </c>
      <c r="T1114" t="str">
        <f>IF($N1114="","",IF(Sync!$N1114="",0,Sync!$N1114))</f>
        <v/>
      </c>
      <c r="U1114" t="str">
        <f>IF($N1114="","",IF(Sync!$O1114="",0,Sync!$O1114))</f>
        <v/>
      </c>
      <c r="V1114" t="str">
        <f>IF($N1114="","",Sync!$L1114)</f>
        <v/>
      </c>
      <c r="W1114" t="str">
        <f>IF($N1114="","",Sync!$P1114)</f>
        <v/>
      </c>
    </row>
    <row r="1115" spans="14:23" x14ac:dyDescent="0.2">
      <c r="N1115" t="str">
        <f>IF(OR(Sync!$M1115="",$Q1115="",$Q1115="نامعتبر"),"",Sync!$M1115)</f>
        <v/>
      </c>
      <c r="O1115" t="str">
        <f t="shared" si="115"/>
        <v/>
      </c>
      <c r="P1115" t="str">
        <f>IF($N1115="","",LEFT($Q1115,4)&amp;MID($Q1115,6,2)&amp;RIGHT($Q1115,2)&amp;IF(Sync!$K1115="","0000",IF(AND(ISNUMBER(Sync!$K1115),Sync!$K1115&gt;=0,Sync!$K1115&lt;1),RIGHT("00"&amp;HOUR(Sync!$K1115),2)&amp;RIGHT("00"&amp;MINUTE(Sync!$K1115),2),IFERROR(RIGHT("00"&amp;VALUE(LEFT(Sync!$K1115,FIND(":",Sync!$K1115)-1)),2)&amp;RIGHT("00"&amp;VALUE(MID(Sync!$K1115,FIND(":",Sync!$K1115)+1,2)),2),"0000")))&amp;"|"&amp;"2"&amp;RIGHT("00000"&amp;1110,5))</f>
        <v/>
      </c>
      <c r="Q1115" t="str">
        <f>IF(Sync!$J1115="","",IF(ISNUMBER(Sync!$J1115),IF(AND(Sync!$J1115&gt;=10000101,Sync!$J1115&lt;=99991231),INT(Sync!$J1115/10000)&amp;"/"&amp;RIGHT("00"&amp;INT(MOD(Sync!$J1115,10000)/100),2)&amp;"/"&amp;RIGHT("00"&amp;MOD(Sync!$J1115,100),2),"نامعتبر"),IF(LEN(Sync!$J1115)=10,Sync!$J1115,"نامعتبر")))</f>
        <v/>
      </c>
      <c r="R1115" t="str">
        <f t="shared" si="116"/>
        <v/>
      </c>
      <c r="S1115" t="str">
        <f t="shared" si="117"/>
        <v/>
      </c>
      <c r="T1115" t="str">
        <f>IF($N1115="","",IF(Sync!$N1115="",0,Sync!$N1115))</f>
        <v/>
      </c>
      <c r="U1115" t="str">
        <f>IF($N1115="","",IF(Sync!$O1115="",0,Sync!$O1115))</f>
        <v/>
      </c>
      <c r="V1115" t="str">
        <f>IF($N1115="","",Sync!$L1115)</f>
        <v/>
      </c>
      <c r="W1115" t="str">
        <f>IF($N1115="","",Sync!$P1115)</f>
        <v/>
      </c>
    </row>
    <row r="1116" spans="14:23" x14ac:dyDescent="0.2">
      <c r="N1116" t="str">
        <f>IF(OR(Sync!$M1116="",$Q1116="",$Q1116="نامعتبر"),"",Sync!$M1116)</f>
        <v/>
      </c>
      <c r="O1116" t="str">
        <f t="shared" si="115"/>
        <v/>
      </c>
      <c r="P1116" t="str">
        <f>IF($N1116="","",LEFT($Q1116,4)&amp;MID($Q1116,6,2)&amp;RIGHT($Q1116,2)&amp;IF(Sync!$K1116="","0000",IF(AND(ISNUMBER(Sync!$K1116),Sync!$K1116&gt;=0,Sync!$K1116&lt;1),RIGHT("00"&amp;HOUR(Sync!$K1116),2)&amp;RIGHT("00"&amp;MINUTE(Sync!$K1116),2),IFERROR(RIGHT("00"&amp;VALUE(LEFT(Sync!$K1116,FIND(":",Sync!$K1116)-1)),2)&amp;RIGHT("00"&amp;VALUE(MID(Sync!$K1116,FIND(":",Sync!$K1116)+1,2)),2),"0000")))&amp;"|"&amp;"2"&amp;RIGHT("00000"&amp;1111,5))</f>
        <v/>
      </c>
      <c r="Q1116" t="str">
        <f>IF(Sync!$J1116="","",IF(ISNUMBER(Sync!$J1116),IF(AND(Sync!$J1116&gt;=10000101,Sync!$J1116&lt;=99991231),INT(Sync!$J1116/10000)&amp;"/"&amp;RIGHT("00"&amp;INT(MOD(Sync!$J1116,10000)/100),2)&amp;"/"&amp;RIGHT("00"&amp;MOD(Sync!$J1116,100),2),"نامعتبر"),IF(LEN(Sync!$J1116)=10,Sync!$J1116,"نامعتبر")))</f>
        <v/>
      </c>
      <c r="R1116" t="str">
        <f t="shared" si="116"/>
        <v/>
      </c>
      <c r="S1116" t="str">
        <f t="shared" si="117"/>
        <v/>
      </c>
      <c r="T1116" t="str">
        <f>IF($N1116="","",IF(Sync!$N1116="",0,Sync!$N1116))</f>
        <v/>
      </c>
      <c r="U1116" t="str">
        <f>IF($N1116="","",IF(Sync!$O1116="",0,Sync!$O1116))</f>
        <v/>
      </c>
      <c r="V1116" t="str">
        <f>IF($N1116="","",Sync!$L1116)</f>
        <v/>
      </c>
      <c r="W1116" t="str">
        <f>IF($N1116="","",Sync!$P1116)</f>
        <v/>
      </c>
    </row>
    <row r="1117" spans="14:23" x14ac:dyDescent="0.2">
      <c r="N1117" t="str">
        <f>IF(OR(Sync!$M1117="",$Q1117="",$Q1117="نامعتبر"),"",Sync!$M1117)</f>
        <v/>
      </c>
      <c r="O1117" t="str">
        <f t="shared" si="115"/>
        <v/>
      </c>
      <c r="P1117" t="str">
        <f>IF($N1117="","",LEFT($Q1117,4)&amp;MID($Q1117,6,2)&amp;RIGHT($Q1117,2)&amp;IF(Sync!$K1117="","0000",IF(AND(ISNUMBER(Sync!$K1117),Sync!$K1117&gt;=0,Sync!$K1117&lt;1),RIGHT("00"&amp;HOUR(Sync!$K1117),2)&amp;RIGHT("00"&amp;MINUTE(Sync!$K1117),2),IFERROR(RIGHT("00"&amp;VALUE(LEFT(Sync!$K1117,FIND(":",Sync!$K1117)-1)),2)&amp;RIGHT("00"&amp;VALUE(MID(Sync!$K1117,FIND(":",Sync!$K1117)+1,2)),2),"0000")))&amp;"|"&amp;"2"&amp;RIGHT("00000"&amp;1112,5))</f>
        <v/>
      </c>
      <c r="Q1117" t="str">
        <f>IF(Sync!$J1117="","",IF(ISNUMBER(Sync!$J1117),IF(AND(Sync!$J1117&gt;=10000101,Sync!$J1117&lt;=99991231),INT(Sync!$J1117/10000)&amp;"/"&amp;RIGHT("00"&amp;INT(MOD(Sync!$J1117,10000)/100),2)&amp;"/"&amp;RIGHT("00"&amp;MOD(Sync!$J1117,100),2),"نامعتبر"),IF(LEN(Sync!$J1117)=10,Sync!$J1117,"نامعتبر")))</f>
        <v/>
      </c>
      <c r="R1117" t="str">
        <f t="shared" si="116"/>
        <v/>
      </c>
      <c r="S1117" t="str">
        <f t="shared" si="117"/>
        <v/>
      </c>
      <c r="T1117" t="str">
        <f>IF($N1117="","",IF(Sync!$N1117="",0,Sync!$N1117))</f>
        <v/>
      </c>
      <c r="U1117" t="str">
        <f>IF($N1117="","",IF(Sync!$O1117="",0,Sync!$O1117))</f>
        <v/>
      </c>
      <c r="V1117" t="str">
        <f>IF($N1117="","",Sync!$L1117)</f>
        <v/>
      </c>
      <c r="W1117" t="str">
        <f>IF($N1117="","",Sync!$P1117)</f>
        <v/>
      </c>
    </row>
    <row r="1118" spans="14:23" x14ac:dyDescent="0.2">
      <c r="N1118" t="str">
        <f>IF(OR(Sync!$M1118="",$Q1118="",$Q1118="نامعتبر"),"",Sync!$M1118)</f>
        <v/>
      </c>
      <c r="O1118" t="str">
        <f t="shared" si="115"/>
        <v/>
      </c>
      <c r="P1118" t="str">
        <f>IF($N1118="","",LEFT($Q1118,4)&amp;MID($Q1118,6,2)&amp;RIGHT($Q1118,2)&amp;IF(Sync!$K1118="","0000",IF(AND(ISNUMBER(Sync!$K1118),Sync!$K1118&gt;=0,Sync!$K1118&lt;1),RIGHT("00"&amp;HOUR(Sync!$K1118),2)&amp;RIGHT("00"&amp;MINUTE(Sync!$K1118),2),IFERROR(RIGHT("00"&amp;VALUE(LEFT(Sync!$K1118,FIND(":",Sync!$K1118)-1)),2)&amp;RIGHT("00"&amp;VALUE(MID(Sync!$K1118,FIND(":",Sync!$K1118)+1,2)),2),"0000")))&amp;"|"&amp;"2"&amp;RIGHT("00000"&amp;1113,5))</f>
        <v/>
      </c>
      <c r="Q1118" t="str">
        <f>IF(Sync!$J1118="","",IF(ISNUMBER(Sync!$J1118),IF(AND(Sync!$J1118&gt;=10000101,Sync!$J1118&lt;=99991231),INT(Sync!$J1118/10000)&amp;"/"&amp;RIGHT("00"&amp;INT(MOD(Sync!$J1118,10000)/100),2)&amp;"/"&amp;RIGHT("00"&amp;MOD(Sync!$J1118,100),2),"نامعتبر"),IF(LEN(Sync!$J1118)=10,Sync!$J1118,"نامعتبر")))</f>
        <v/>
      </c>
      <c r="R1118" t="str">
        <f t="shared" si="116"/>
        <v/>
      </c>
      <c r="S1118" t="str">
        <f t="shared" si="117"/>
        <v/>
      </c>
      <c r="T1118" t="str">
        <f>IF($N1118="","",IF(Sync!$N1118="",0,Sync!$N1118))</f>
        <v/>
      </c>
      <c r="U1118" t="str">
        <f>IF($N1118="","",IF(Sync!$O1118="",0,Sync!$O1118))</f>
        <v/>
      </c>
      <c r="V1118" t="str">
        <f>IF($N1118="","",Sync!$L1118)</f>
        <v/>
      </c>
      <c r="W1118" t="str">
        <f>IF($N1118="","",Sync!$P1118)</f>
        <v/>
      </c>
    </row>
    <row r="1119" spans="14:23" x14ac:dyDescent="0.2">
      <c r="N1119" t="str">
        <f>IF(OR(Sync!$M1119="",$Q1119="",$Q1119="نامعتبر"),"",Sync!$M1119)</f>
        <v/>
      </c>
      <c r="O1119" t="str">
        <f t="shared" si="115"/>
        <v/>
      </c>
      <c r="P1119" t="str">
        <f>IF($N1119="","",LEFT($Q1119,4)&amp;MID($Q1119,6,2)&amp;RIGHT($Q1119,2)&amp;IF(Sync!$K1119="","0000",IF(AND(ISNUMBER(Sync!$K1119),Sync!$K1119&gt;=0,Sync!$K1119&lt;1),RIGHT("00"&amp;HOUR(Sync!$K1119),2)&amp;RIGHT("00"&amp;MINUTE(Sync!$K1119),2),IFERROR(RIGHT("00"&amp;VALUE(LEFT(Sync!$K1119,FIND(":",Sync!$K1119)-1)),2)&amp;RIGHT("00"&amp;VALUE(MID(Sync!$K1119,FIND(":",Sync!$K1119)+1,2)),2),"0000")))&amp;"|"&amp;"2"&amp;RIGHT("00000"&amp;1114,5))</f>
        <v/>
      </c>
      <c r="Q1119" t="str">
        <f>IF(Sync!$J1119="","",IF(ISNUMBER(Sync!$J1119),IF(AND(Sync!$J1119&gt;=10000101,Sync!$J1119&lt;=99991231),INT(Sync!$J1119/10000)&amp;"/"&amp;RIGHT("00"&amp;INT(MOD(Sync!$J1119,10000)/100),2)&amp;"/"&amp;RIGHT("00"&amp;MOD(Sync!$J1119,100),2),"نامعتبر"),IF(LEN(Sync!$J1119)=10,Sync!$J1119,"نامعتبر")))</f>
        <v/>
      </c>
      <c r="R1119" t="str">
        <f t="shared" si="116"/>
        <v/>
      </c>
      <c r="S1119" t="str">
        <f t="shared" si="117"/>
        <v/>
      </c>
      <c r="T1119" t="str">
        <f>IF($N1119="","",IF(Sync!$N1119="",0,Sync!$N1119))</f>
        <v/>
      </c>
      <c r="U1119" t="str">
        <f>IF($N1119="","",IF(Sync!$O1119="",0,Sync!$O1119))</f>
        <v/>
      </c>
      <c r="V1119" t="str">
        <f>IF($N1119="","",Sync!$L1119)</f>
        <v/>
      </c>
      <c r="W1119" t="str">
        <f>IF($N1119="","",Sync!$P1119)</f>
        <v/>
      </c>
    </row>
    <row r="1120" spans="14:23" x14ac:dyDescent="0.2">
      <c r="N1120" t="str">
        <f>IF(OR(Sync!$M1120="",$Q1120="",$Q1120="نامعتبر"),"",Sync!$M1120)</f>
        <v/>
      </c>
      <c r="O1120" t="str">
        <f t="shared" si="115"/>
        <v/>
      </c>
      <c r="P1120" t="str">
        <f>IF($N1120="","",LEFT($Q1120,4)&amp;MID($Q1120,6,2)&amp;RIGHT($Q1120,2)&amp;IF(Sync!$K1120="","0000",IF(AND(ISNUMBER(Sync!$K1120),Sync!$K1120&gt;=0,Sync!$K1120&lt;1),RIGHT("00"&amp;HOUR(Sync!$K1120),2)&amp;RIGHT("00"&amp;MINUTE(Sync!$K1120),2),IFERROR(RIGHT("00"&amp;VALUE(LEFT(Sync!$K1120,FIND(":",Sync!$K1120)-1)),2)&amp;RIGHT("00"&amp;VALUE(MID(Sync!$K1120,FIND(":",Sync!$K1120)+1,2)),2),"0000")))&amp;"|"&amp;"2"&amp;RIGHT("00000"&amp;1115,5))</f>
        <v/>
      </c>
      <c r="Q1120" t="str">
        <f>IF(Sync!$J1120="","",IF(ISNUMBER(Sync!$J1120),IF(AND(Sync!$J1120&gt;=10000101,Sync!$J1120&lt;=99991231),INT(Sync!$J1120/10000)&amp;"/"&amp;RIGHT("00"&amp;INT(MOD(Sync!$J1120,10000)/100),2)&amp;"/"&amp;RIGHT("00"&amp;MOD(Sync!$J1120,100),2),"نامعتبر"),IF(LEN(Sync!$J1120)=10,Sync!$J1120,"نامعتبر")))</f>
        <v/>
      </c>
      <c r="R1120" t="str">
        <f t="shared" si="116"/>
        <v/>
      </c>
      <c r="S1120" t="str">
        <f t="shared" si="117"/>
        <v/>
      </c>
      <c r="T1120" t="str">
        <f>IF($N1120="","",IF(Sync!$N1120="",0,Sync!$N1120))</f>
        <v/>
      </c>
      <c r="U1120" t="str">
        <f>IF($N1120="","",IF(Sync!$O1120="",0,Sync!$O1120))</f>
        <v/>
      </c>
      <c r="V1120" t="str">
        <f>IF($N1120="","",Sync!$L1120)</f>
        <v/>
      </c>
      <c r="W1120" t="str">
        <f>IF($N1120="","",Sync!$P1120)</f>
        <v/>
      </c>
    </row>
    <row r="1121" spans="14:23" x14ac:dyDescent="0.2">
      <c r="N1121" t="str">
        <f>IF(OR(Sync!$M1121="",$Q1121="",$Q1121="نامعتبر"),"",Sync!$M1121)</f>
        <v/>
      </c>
      <c r="O1121" t="str">
        <f t="shared" si="115"/>
        <v/>
      </c>
      <c r="P1121" t="str">
        <f>IF($N1121="","",LEFT($Q1121,4)&amp;MID($Q1121,6,2)&amp;RIGHT($Q1121,2)&amp;IF(Sync!$K1121="","0000",IF(AND(ISNUMBER(Sync!$K1121),Sync!$K1121&gt;=0,Sync!$K1121&lt;1),RIGHT("00"&amp;HOUR(Sync!$K1121),2)&amp;RIGHT("00"&amp;MINUTE(Sync!$K1121),2),IFERROR(RIGHT("00"&amp;VALUE(LEFT(Sync!$K1121,FIND(":",Sync!$K1121)-1)),2)&amp;RIGHT("00"&amp;VALUE(MID(Sync!$K1121,FIND(":",Sync!$K1121)+1,2)),2),"0000")))&amp;"|"&amp;"2"&amp;RIGHT("00000"&amp;1116,5))</f>
        <v/>
      </c>
      <c r="Q1121" t="str">
        <f>IF(Sync!$J1121="","",IF(ISNUMBER(Sync!$J1121),IF(AND(Sync!$J1121&gt;=10000101,Sync!$J1121&lt;=99991231),INT(Sync!$J1121/10000)&amp;"/"&amp;RIGHT("00"&amp;INT(MOD(Sync!$J1121,10000)/100),2)&amp;"/"&amp;RIGHT("00"&amp;MOD(Sync!$J1121,100),2),"نامعتبر"),IF(LEN(Sync!$J1121)=10,Sync!$J1121,"نامعتبر")))</f>
        <v/>
      </c>
      <c r="R1121" t="str">
        <f t="shared" si="116"/>
        <v/>
      </c>
      <c r="S1121" t="str">
        <f t="shared" si="117"/>
        <v/>
      </c>
      <c r="T1121" t="str">
        <f>IF($N1121="","",IF(Sync!$N1121="",0,Sync!$N1121))</f>
        <v/>
      </c>
      <c r="U1121" t="str">
        <f>IF($N1121="","",IF(Sync!$O1121="",0,Sync!$O1121))</f>
        <v/>
      </c>
      <c r="V1121" t="str">
        <f>IF($N1121="","",Sync!$L1121)</f>
        <v/>
      </c>
      <c r="W1121" t="str">
        <f>IF($N1121="","",Sync!$P1121)</f>
        <v/>
      </c>
    </row>
    <row r="1122" spans="14:23" x14ac:dyDescent="0.2">
      <c r="N1122" t="str">
        <f>IF(OR(Sync!$M1122="",$Q1122="",$Q1122="نامعتبر"),"",Sync!$M1122)</f>
        <v/>
      </c>
      <c r="O1122" t="str">
        <f t="shared" si="115"/>
        <v/>
      </c>
      <c r="P1122" t="str">
        <f>IF($N1122="","",LEFT($Q1122,4)&amp;MID($Q1122,6,2)&amp;RIGHT($Q1122,2)&amp;IF(Sync!$K1122="","0000",IF(AND(ISNUMBER(Sync!$K1122),Sync!$K1122&gt;=0,Sync!$K1122&lt;1),RIGHT("00"&amp;HOUR(Sync!$K1122),2)&amp;RIGHT("00"&amp;MINUTE(Sync!$K1122),2),IFERROR(RIGHT("00"&amp;VALUE(LEFT(Sync!$K1122,FIND(":",Sync!$K1122)-1)),2)&amp;RIGHT("00"&amp;VALUE(MID(Sync!$K1122,FIND(":",Sync!$K1122)+1,2)),2),"0000")))&amp;"|"&amp;"2"&amp;RIGHT("00000"&amp;1117,5))</f>
        <v/>
      </c>
      <c r="Q1122" t="str">
        <f>IF(Sync!$J1122="","",IF(ISNUMBER(Sync!$J1122),IF(AND(Sync!$J1122&gt;=10000101,Sync!$J1122&lt;=99991231),INT(Sync!$J1122/10000)&amp;"/"&amp;RIGHT("00"&amp;INT(MOD(Sync!$J1122,10000)/100),2)&amp;"/"&amp;RIGHT("00"&amp;MOD(Sync!$J1122,100),2),"نامعتبر"),IF(LEN(Sync!$J1122)=10,Sync!$J1122,"نامعتبر")))</f>
        <v/>
      </c>
      <c r="R1122" t="str">
        <f t="shared" si="116"/>
        <v/>
      </c>
      <c r="S1122" t="str">
        <f t="shared" si="117"/>
        <v/>
      </c>
      <c r="T1122" t="str">
        <f>IF($N1122="","",IF(Sync!$N1122="",0,Sync!$N1122))</f>
        <v/>
      </c>
      <c r="U1122" t="str">
        <f>IF($N1122="","",IF(Sync!$O1122="",0,Sync!$O1122))</f>
        <v/>
      </c>
      <c r="V1122" t="str">
        <f>IF($N1122="","",Sync!$L1122)</f>
        <v/>
      </c>
      <c r="W1122" t="str">
        <f>IF($N1122="","",Sync!$P1122)</f>
        <v/>
      </c>
    </row>
    <row r="1123" spans="14:23" x14ac:dyDescent="0.2">
      <c r="N1123" t="str">
        <f>IF(OR(Sync!$M1123="",$Q1123="",$Q1123="نامعتبر"),"",Sync!$M1123)</f>
        <v/>
      </c>
      <c r="O1123" t="str">
        <f t="shared" si="115"/>
        <v/>
      </c>
      <c r="P1123" t="str">
        <f>IF($N1123="","",LEFT($Q1123,4)&amp;MID($Q1123,6,2)&amp;RIGHT($Q1123,2)&amp;IF(Sync!$K1123="","0000",IF(AND(ISNUMBER(Sync!$K1123),Sync!$K1123&gt;=0,Sync!$K1123&lt;1),RIGHT("00"&amp;HOUR(Sync!$K1123),2)&amp;RIGHT("00"&amp;MINUTE(Sync!$K1123),2),IFERROR(RIGHT("00"&amp;VALUE(LEFT(Sync!$K1123,FIND(":",Sync!$K1123)-1)),2)&amp;RIGHT("00"&amp;VALUE(MID(Sync!$K1123,FIND(":",Sync!$K1123)+1,2)),2),"0000")))&amp;"|"&amp;"2"&amp;RIGHT("00000"&amp;1118,5))</f>
        <v/>
      </c>
      <c r="Q1123" t="str">
        <f>IF(Sync!$J1123="","",IF(ISNUMBER(Sync!$J1123),IF(AND(Sync!$J1123&gt;=10000101,Sync!$J1123&lt;=99991231),INT(Sync!$J1123/10000)&amp;"/"&amp;RIGHT("00"&amp;INT(MOD(Sync!$J1123,10000)/100),2)&amp;"/"&amp;RIGHT("00"&amp;MOD(Sync!$J1123,100),2),"نامعتبر"),IF(LEN(Sync!$J1123)=10,Sync!$J1123,"نامعتبر")))</f>
        <v/>
      </c>
      <c r="R1123" t="str">
        <f t="shared" si="116"/>
        <v/>
      </c>
      <c r="S1123" t="str">
        <f t="shared" si="117"/>
        <v/>
      </c>
      <c r="T1123" t="str">
        <f>IF($N1123="","",IF(Sync!$N1123="",0,Sync!$N1123))</f>
        <v/>
      </c>
      <c r="U1123" t="str">
        <f>IF($N1123="","",IF(Sync!$O1123="",0,Sync!$O1123))</f>
        <v/>
      </c>
      <c r="V1123" t="str">
        <f>IF($N1123="","",Sync!$L1123)</f>
        <v/>
      </c>
      <c r="W1123" t="str">
        <f>IF($N1123="","",Sync!$P1123)</f>
        <v/>
      </c>
    </row>
    <row r="1124" spans="14:23" x14ac:dyDescent="0.2">
      <c r="N1124" t="str">
        <f>IF(OR(Sync!$M1124="",$Q1124="",$Q1124="نامعتبر"),"",Sync!$M1124)</f>
        <v/>
      </c>
      <c r="O1124" t="str">
        <f t="shared" si="115"/>
        <v/>
      </c>
      <c r="P1124" t="str">
        <f>IF($N1124="","",LEFT($Q1124,4)&amp;MID($Q1124,6,2)&amp;RIGHT($Q1124,2)&amp;IF(Sync!$K1124="","0000",IF(AND(ISNUMBER(Sync!$K1124),Sync!$K1124&gt;=0,Sync!$K1124&lt;1),RIGHT("00"&amp;HOUR(Sync!$K1124),2)&amp;RIGHT("00"&amp;MINUTE(Sync!$K1124),2),IFERROR(RIGHT("00"&amp;VALUE(LEFT(Sync!$K1124,FIND(":",Sync!$K1124)-1)),2)&amp;RIGHT("00"&amp;VALUE(MID(Sync!$K1124,FIND(":",Sync!$K1124)+1,2)),2),"0000")))&amp;"|"&amp;"2"&amp;RIGHT("00000"&amp;1119,5))</f>
        <v/>
      </c>
      <c r="Q1124" t="str">
        <f>IF(Sync!$J1124="","",IF(ISNUMBER(Sync!$J1124),IF(AND(Sync!$J1124&gt;=10000101,Sync!$J1124&lt;=99991231),INT(Sync!$J1124/10000)&amp;"/"&amp;RIGHT("00"&amp;INT(MOD(Sync!$J1124,10000)/100),2)&amp;"/"&amp;RIGHT("00"&amp;MOD(Sync!$J1124,100),2),"نامعتبر"),IF(LEN(Sync!$J1124)=10,Sync!$J1124,"نامعتبر")))</f>
        <v/>
      </c>
      <c r="R1124" t="str">
        <f t="shared" si="116"/>
        <v/>
      </c>
      <c r="S1124" t="str">
        <f t="shared" si="117"/>
        <v/>
      </c>
      <c r="T1124" t="str">
        <f>IF($N1124="","",IF(Sync!$N1124="",0,Sync!$N1124))</f>
        <v/>
      </c>
      <c r="U1124" t="str">
        <f>IF($N1124="","",IF(Sync!$O1124="",0,Sync!$O1124))</f>
        <v/>
      </c>
      <c r="V1124" t="str">
        <f>IF($N1124="","",Sync!$L1124)</f>
        <v/>
      </c>
      <c r="W1124" t="str">
        <f>IF($N1124="","",Sync!$P1124)</f>
        <v/>
      </c>
    </row>
    <row r="1125" spans="14:23" x14ac:dyDescent="0.2">
      <c r="N1125" t="str">
        <f>IF(OR(Sync!$M1125="",$Q1125="",$Q1125="نامعتبر"),"",Sync!$M1125)</f>
        <v/>
      </c>
      <c r="O1125" t="str">
        <f t="shared" si="115"/>
        <v/>
      </c>
      <c r="P1125" t="str">
        <f>IF($N1125="","",LEFT($Q1125,4)&amp;MID($Q1125,6,2)&amp;RIGHT($Q1125,2)&amp;IF(Sync!$K1125="","0000",IF(AND(ISNUMBER(Sync!$K1125),Sync!$K1125&gt;=0,Sync!$K1125&lt;1),RIGHT("00"&amp;HOUR(Sync!$K1125),2)&amp;RIGHT("00"&amp;MINUTE(Sync!$K1125),2),IFERROR(RIGHT("00"&amp;VALUE(LEFT(Sync!$K1125,FIND(":",Sync!$K1125)-1)),2)&amp;RIGHT("00"&amp;VALUE(MID(Sync!$K1125,FIND(":",Sync!$K1125)+1,2)),2),"0000")))&amp;"|"&amp;"2"&amp;RIGHT("00000"&amp;1120,5))</f>
        <v/>
      </c>
      <c r="Q1125" t="str">
        <f>IF(Sync!$J1125="","",IF(ISNUMBER(Sync!$J1125),IF(AND(Sync!$J1125&gt;=10000101,Sync!$J1125&lt;=99991231),INT(Sync!$J1125/10000)&amp;"/"&amp;RIGHT("00"&amp;INT(MOD(Sync!$J1125,10000)/100),2)&amp;"/"&amp;RIGHT("00"&amp;MOD(Sync!$J1125,100),2),"نامعتبر"),IF(LEN(Sync!$J1125)=10,Sync!$J1125,"نامعتبر")))</f>
        <v/>
      </c>
      <c r="R1125" t="str">
        <f t="shared" si="116"/>
        <v/>
      </c>
      <c r="S1125" t="str">
        <f t="shared" si="117"/>
        <v/>
      </c>
      <c r="T1125" t="str">
        <f>IF($N1125="","",IF(Sync!$N1125="",0,Sync!$N1125))</f>
        <v/>
      </c>
      <c r="U1125" t="str">
        <f>IF($N1125="","",IF(Sync!$O1125="",0,Sync!$O1125))</f>
        <v/>
      </c>
      <c r="V1125" t="str">
        <f>IF($N1125="","",Sync!$L1125)</f>
        <v/>
      </c>
      <c r="W1125" t="str">
        <f>IF($N1125="","",Sync!$P1125)</f>
        <v/>
      </c>
    </row>
    <row r="1126" spans="14:23" x14ac:dyDescent="0.2">
      <c r="N1126" t="str">
        <f>IF(OR(Sync!$M1126="",$Q1126="",$Q1126="نامعتبر"),"",Sync!$M1126)</f>
        <v/>
      </c>
      <c r="O1126" t="str">
        <f t="shared" si="115"/>
        <v/>
      </c>
      <c r="P1126" t="str">
        <f>IF($N1126="","",LEFT($Q1126,4)&amp;MID($Q1126,6,2)&amp;RIGHT($Q1126,2)&amp;IF(Sync!$K1126="","0000",IF(AND(ISNUMBER(Sync!$K1126),Sync!$K1126&gt;=0,Sync!$K1126&lt;1),RIGHT("00"&amp;HOUR(Sync!$K1126),2)&amp;RIGHT("00"&amp;MINUTE(Sync!$K1126),2),IFERROR(RIGHT("00"&amp;VALUE(LEFT(Sync!$K1126,FIND(":",Sync!$K1126)-1)),2)&amp;RIGHT("00"&amp;VALUE(MID(Sync!$K1126,FIND(":",Sync!$K1126)+1,2)),2),"0000")))&amp;"|"&amp;"2"&amp;RIGHT("00000"&amp;1121,5))</f>
        <v/>
      </c>
      <c r="Q1126" t="str">
        <f>IF(Sync!$J1126="","",IF(ISNUMBER(Sync!$J1126),IF(AND(Sync!$J1126&gt;=10000101,Sync!$J1126&lt;=99991231),INT(Sync!$J1126/10000)&amp;"/"&amp;RIGHT("00"&amp;INT(MOD(Sync!$J1126,10000)/100),2)&amp;"/"&amp;RIGHT("00"&amp;MOD(Sync!$J1126,100),2),"نامعتبر"),IF(LEN(Sync!$J1126)=10,Sync!$J1126,"نامعتبر")))</f>
        <v/>
      </c>
      <c r="R1126" t="str">
        <f t="shared" si="116"/>
        <v/>
      </c>
      <c r="S1126" t="str">
        <f t="shared" si="117"/>
        <v/>
      </c>
      <c r="T1126" t="str">
        <f>IF($N1126="","",IF(Sync!$N1126="",0,Sync!$N1126))</f>
        <v/>
      </c>
      <c r="U1126" t="str">
        <f>IF($N1126="","",IF(Sync!$O1126="",0,Sync!$O1126))</f>
        <v/>
      </c>
      <c r="V1126" t="str">
        <f>IF($N1126="","",Sync!$L1126)</f>
        <v/>
      </c>
      <c r="W1126" t="str">
        <f>IF($N1126="","",Sync!$P1126)</f>
        <v/>
      </c>
    </row>
    <row r="1127" spans="14:23" x14ac:dyDescent="0.2">
      <c r="N1127" t="str">
        <f>IF(OR(Sync!$M1127="",$Q1127="",$Q1127="نامعتبر"),"",Sync!$M1127)</f>
        <v/>
      </c>
      <c r="O1127" t="str">
        <f t="shared" si="115"/>
        <v/>
      </c>
      <c r="P1127" t="str">
        <f>IF($N1127="","",LEFT($Q1127,4)&amp;MID($Q1127,6,2)&amp;RIGHT($Q1127,2)&amp;IF(Sync!$K1127="","0000",IF(AND(ISNUMBER(Sync!$K1127),Sync!$K1127&gt;=0,Sync!$K1127&lt;1),RIGHT("00"&amp;HOUR(Sync!$K1127),2)&amp;RIGHT("00"&amp;MINUTE(Sync!$K1127),2),IFERROR(RIGHT("00"&amp;VALUE(LEFT(Sync!$K1127,FIND(":",Sync!$K1127)-1)),2)&amp;RIGHT("00"&amp;VALUE(MID(Sync!$K1127,FIND(":",Sync!$K1127)+1,2)),2),"0000")))&amp;"|"&amp;"2"&amp;RIGHT("00000"&amp;1122,5))</f>
        <v/>
      </c>
      <c r="Q1127" t="str">
        <f>IF(Sync!$J1127="","",IF(ISNUMBER(Sync!$J1127),IF(AND(Sync!$J1127&gt;=10000101,Sync!$J1127&lt;=99991231),INT(Sync!$J1127/10000)&amp;"/"&amp;RIGHT("00"&amp;INT(MOD(Sync!$J1127,10000)/100),2)&amp;"/"&amp;RIGHT("00"&amp;MOD(Sync!$J1127,100),2),"نامعتبر"),IF(LEN(Sync!$J1127)=10,Sync!$J1127,"نامعتبر")))</f>
        <v/>
      </c>
      <c r="R1127" t="str">
        <f t="shared" si="116"/>
        <v/>
      </c>
      <c r="S1127" t="str">
        <f t="shared" si="117"/>
        <v/>
      </c>
      <c r="T1127" t="str">
        <f>IF($N1127="","",IF(Sync!$N1127="",0,Sync!$N1127))</f>
        <v/>
      </c>
      <c r="U1127" t="str">
        <f>IF($N1127="","",IF(Sync!$O1127="",0,Sync!$O1127))</f>
        <v/>
      </c>
      <c r="V1127" t="str">
        <f>IF($N1127="","",Sync!$L1127)</f>
        <v/>
      </c>
      <c r="W1127" t="str">
        <f>IF($N1127="","",Sync!$P1127)</f>
        <v/>
      </c>
    </row>
    <row r="1128" spans="14:23" x14ac:dyDescent="0.2">
      <c r="N1128" t="str">
        <f>IF(OR(Sync!$M1128="",$Q1128="",$Q1128="نامعتبر"),"",Sync!$M1128)</f>
        <v/>
      </c>
      <c r="O1128" t="str">
        <f t="shared" si="115"/>
        <v/>
      </c>
      <c r="P1128" t="str">
        <f>IF($N1128="","",LEFT($Q1128,4)&amp;MID($Q1128,6,2)&amp;RIGHT($Q1128,2)&amp;IF(Sync!$K1128="","0000",IF(AND(ISNUMBER(Sync!$K1128),Sync!$K1128&gt;=0,Sync!$K1128&lt;1),RIGHT("00"&amp;HOUR(Sync!$K1128),2)&amp;RIGHT("00"&amp;MINUTE(Sync!$K1128),2),IFERROR(RIGHT("00"&amp;VALUE(LEFT(Sync!$K1128,FIND(":",Sync!$K1128)-1)),2)&amp;RIGHT("00"&amp;VALUE(MID(Sync!$K1128,FIND(":",Sync!$K1128)+1,2)),2),"0000")))&amp;"|"&amp;"2"&amp;RIGHT("00000"&amp;1123,5))</f>
        <v/>
      </c>
      <c r="Q1128" t="str">
        <f>IF(Sync!$J1128="","",IF(ISNUMBER(Sync!$J1128),IF(AND(Sync!$J1128&gt;=10000101,Sync!$J1128&lt;=99991231),INT(Sync!$J1128/10000)&amp;"/"&amp;RIGHT("00"&amp;INT(MOD(Sync!$J1128,10000)/100),2)&amp;"/"&amp;RIGHT("00"&amp;MOD(Sync!$J1128,100),2),"نامعتبر"),IF(LEN(Sync!$J1128)=10,Sync!$J1128,"نامعتبر")))</f>
        <v/>
      </c>
      <c r="R1128" t="str">
        <f t="shared" si="116"/>
        <v/>
      </c>
      <c r="S1128" t="str">
        <f t="shared" si="117"/>
        <v/>
      </c>
      <c r="T1128" t="str">
        <f>IF($N1128="","",IF(Sync!$N1128="",0,Sync!$N1128))</f>
        <v/>
      </c>
      <c r="U1128" t="str">
        <f>IF($N1128="","",IF(Sync!$O1128="",0,Sync!$O1128))</f>
        <v/>
      </c>
      <c r="V1128" t="str">
        <f>IF($N1128="","",Sync!$L1128)</f>
        <v/>
      </c>
      <c r="W1128" t="str">
        <f>IF($N1128="","",Sync!$P1128)</f>
        <v/>
      </c>
    </row>
    <row r="1129" spans="14:23" x14ac:dyDescent="0.2">
      <c r="N1129" t="str">
        <f>IF(OR(Sync!$M1129="",$Q1129="",$Q1129="نامعتبر"),"",Sync!$M1129)</f>
        <v/>
      </c>
      <c r="O1129" t="str">
        <f t="shared" si="115"/>
        <v/>
      </c>
      <c r="P1129" t="str">
        <f>IF($N1129="","",LEFT($Q1129,4)&amp;MID($Q1129,6,2)&amp;RIGHT($Q1129,2)&amp;IF(Sync!$K1129="","0000",IF(AND(ISNUMBER(Sync!$K1129),Sync!$K1129&gt;=0,Sync!$K1129&lt;1),RIGHT("00"&amp;HOUR(Sync!$K1129),2)&amp;RIGHT("00"&amp;MINUTE(Sync!$K1129),2),IFERROR(RIGHT("00"&amp;VALUE(LEFT(Sync!$K1129,FIND(":",Sync!$K1129)-1)),2)&amp;RIGHT("00"&amp;VALUE(MID(Sync!$K1129,FIND(":",Sync!$K1129)+1,2)),2),"0000")))&amp;"|"&amp;"2"&amp;RIGHT("00000"&amp;1124,5))</f>
        <v/>
      </c>
      <c r="Q1129" t="str">
        <f>IF(Sync!$J1129="","",IF(ISNUMBER(Sync!$J1129),IF(AND(Sync!$J1129&gt;=10000101,Sync!$J1129&lt;=99991231),INT(Sync!$J1129/10000)&amp;"/"&amp;RIGHT("00"&amp;INT(MOD(Sync!$J1129,10000)/100),2)&amp;"/"&amp;RIGHT("00"&amp;MOD(Sync!$J1129,100),2),"نامعتبر"),IF(LEN(Sync!$J1129)=10,Sync!$J1129,"نامعتبر")))</f>
        <v/>
      </c>
      <c r="R1129" t="str">
        <f t="shared" si="116"/>
        <v/>
      </c>
      <c r="S1129" t="str">
        <f t="shared" si="117"/>
        <v/>
      </c>
      <c r="T1129" t="str">
        <f>IF($N1129="","",IF(Sync!$N1129="",0,Sync!$N1129))</f>
        <v/>
      </c>
      <c r="U1129" t="str">
        <f>IF($N1129="","",IF(Sync!$O1129="",0,Sync!$O1129))</f>
        <v/>
      </c>
      <c r="V1129" t="str">
        <f>IF($N1129="","",Sync!$L1129)</f>
        <v/>
      </c>
      <c r="W1129" t="str">
        <f>IF($N1129="","",Sync!$P1129)</f>
        <v/>
      </c>
    </row>
    <row r="1130" spans="14:23" x14ac:dyDescent="0.2">
      <c r="N1130" t="str">
        <f>IF(OR(Sync!$M1130="",$Q1130="",$Q1130="نامعتبر"),"",Sync!$M1130)</f>
        <v/>
      </c>
      <c r="O1130" t="str">
        <f t="shared" si="115"/>
        <v/>
      </c>
      <c r="P1130" t="str">
        <f>IF($N1130="","",LEFT($Q1130,4)&amp;MID($Q1130,6,2)&amp;RIGHT($Q1130,2)&amp;IF(Sync!$K1130="","0000",IF(AND(ISNUMBER(Sync!$K1130),Sync!$K1130&gt;=0,Sync!$K1130&lt;1),RIGHT("00"&amp;HOUR(Sync!$K1130),2)&amp;RIGHT("00"&amp;MINUTE(Sync!$K1130),2),IFERROR(RIGHT("00"&amp;VALUE(LEFT(Sync!$K1130,FIND(":",Sync!$K1130)-1)),2)&amp;RIGHT("00"&amp;VALUE(MID(Sync!$K1130,FIND(":",Sync!$K1130)+1,2)),2),"0000")))&amp;"|"&amp;"2"&amp;RIGHT("00000"&amp;1125,5))</f>
        <v/>
      </c>
      <c r="Q1130" t="str">
        <f>IF(Sync!$J1130="","",IF(ISNUMBER(Sync!$J1130),IF(AND(Sync!$J1130&gt;=10000101,Sync!$J1130&lt;=99991231),INT(Sync!$J1130/10000)&amp;"/"&amp;RIGHT("00"&amp;INT(MOD(Sync!$J1130,10000)/100),2)&amp;"/"&amp;RIGHT("00"&amp;MOD(Sync!$J1130,100),2),"نامعتبر"),IF(LEN(Sync!$J1130)=10,Sync!$J1130,"نامعتبر")))</f>
        <v/>
      </c>
      <c r="R1130" t="str">
        <f t="shared" si="116"/>
        <v/>
      </c>
      <c r="S1130" t="str">
        <f t="shared" si="117"/>
        <v/>
      </c>
      <c r="T1130" t="str">
        <f>IF($N1130="","",IF(Sync!$N1130="",0,Sync!$N1130))</f>
        <v/>
      </c>
      <c r="U1130" t="str">
        <f>IF($N1130="","",IF(Sync!$O1130="",0,Sync!$O1130))</f>
        <v/>
      </c>
      <c r="V1130" t="str">
        <f>IF($N1130="","",Sync!$L1130)</f>
        <v/>
      </c>
      <c r="W1130" t="str">
        <f>IF($N1130="","",Sync!$P1130)</f>
        <v/>
      </c>
    </row>
    <row r="1131" spans="14:23" x14ac:dyDescent="0.2">
      <c r="N1131" t="str">
        <f>IF(OR(Sync!$M1131="",$Q1131="",$Q1131="نامعتبر"),"",Sync!$M1131)</f>
        <v/>
      </c>
      <c r="O1131" t="str">
        <f t="shared" si="115"/>
        <v/>
      </c>
      <c r="P1131" t="str">
        <f>IF($N1131="","",LEFT($Q1131,4)&amp;MID($Q1131,6,2)&amp;RIGHT($Q1131,2)&amp;IF(Sync!$K1131="","0000",IF(AND(ISNUMBER(Sync!$K1131),Sync!$K1131&gt;=0,Sync!$K1131&lt;1),RIGHT("00"&amp;HOUR(Sync!$K1131),2)&amp;RIGHT("00"&amp;MINUTE(Sync!$K1131),2),IFERROR(RIGHT("00"&amp;VALUE(LEFT(Sync!$K1131,FIND(":",Sync!$K1131)-1)),2)&amp;RIGHT("00"&amp;VALUE(MID(Sync!$K1131,FIND(":",Sync!$K1131)+1,2)),2),"0000")))&amp;"|"&amp;"2"&amp;RIGHT("00000"&amp;1126,5))</f>
        <v/>
      </c>
      <c r="Q1131" t="str">
        <f>IF(Sync!$J1131="","",IF(ISNUMBER(Sync!$J1131),IF(AND(Sync!$J1131&gt;=10000101,Sync!$J1131&lt;=99991231),INT(Sync!$J1131/10000)&amp;"/"&amp;RIGHT("00"&amp;INT(MOD(Sync!$J1131,10000)/100),2)&amp;"/"&amp;RIGHT("00"&amp;MOD(Sync!$J1131,100),2),"نامعتبر"),IF(LEN(Sync!$J1131)=10,Sync!$J1131,"نامعتبر")))</f>
        <v/>
      </c>
      <c r="R1131" t="str">
        <f t="shared" si="116"/>
        <v/>
      </c>
      <c r="S1131" t="str">
        <f t="shared" si="117"/>
        <v/>
      </c>
      <c r="T1131" t="str">
        <f>IF($N1131="","",IF(Sync!$N1131="",0,Sync!$N1131))</f>
        <v/>
      </c>
      <c r="U1131" t="str">
        <f>IF($N1131="","",IF(Sync!$O1131="",0,Sync!$O1131))</f>
        <v/>
      </c>
      <c r="V1131" t="str">
        <f>IF($N1131="","",Sync!$L1131)</f>
        <v/>
      </c>
      <c r="W1131" t="str">
        <f>IF($N1131="","",Sync!$P1131)</f>
        <v/>
      </c>
    </row>
    <row r="1132" spans="14:23" x14ac:dyDescent="0.2">
      <c r="N1132" t="str">
        <f>IF(OR(Sync!$M1132="",$Q1132="",$Q1132="نامعتبر"),"",Sync!$M1132)</f>
        <v/>
      </c>
      <c r="O1132" t="str">
        <f t="shared" si="115"/>
        <v/>
      </c>
      <c r="P1132" t="str">
        <f>IF($N1132="","",LEFT($Q1132,4)&amp;MID($Q1132,6,2)&amp;RIGHT($Q1132,2)&amp;IF(Sync!$K1132="","0000",IF(AND(ISNUMBER(Sync!$K1132),Sync!$K1132&gt;=0,Sync!$K1132&lt;1),RIGHT("00"&amp;HOUR(Sync!$K1132),2)&amp;RIGHT("00"&amp;MINUTE(Sync!$K1132),2),IFERROR(RIGHT("00"&amp;VALUE(LEFT(Sync!$K1132,FIND(":",Sync!$K1132)-1)),2)&amp;RIGHT("00"&amp;VALUE(MID(Sync!$K1132,FIND(":",Sync!$K1132)+1,2)),2),"0000")))&amp;"|"&amp;"2"&amp;RIGHT("00000"&amp;1127,5))</f>
        <v/>
      </c>
      <c r="Q1132" t="str">
        <f>IF(Sync!$J1132="","",IF(ISNUMBER(Sync!$J1132),IF(AND(Sync!$J1132&gt;=10000101,Sync!$J1132&lt;=99991231),INT(Sync!$J1132/10000)&amp;"/"&amp;RIGHT("00"&amp;INT(MOD(Sync!$J1132,10000)/100),2)&amp;"/"&amp;RIGHT("00"&amp;MOD(Sync!$J1132,100),2),"نامعتبر"),IF(LEN(Sync!$J1132)=10,Sync!$J1132,"نامعتبر")))</f>
        <v/>
      </c>
      <c r="R1132" t="str">
        <f t="shared" si="116"/>
        <v/>
      </c>
      <c r="S1132" t="str">
        <f t="shared" si="117"/>
        <v/>
      </c>
      <c r="T1132" t="str">
        <f>IF($N1132="","",IF(Sync!$N1132="",0,Sync!$N1132))</f>
        <v/>
      </c>
      <c r="U1132" t="str">
        <f>IF($N1132="","",IF(Sync!$O1132="",0,Sync!$O1132))</f>
        <v/>
      </c>
      <c r="V1132" t="str">
        <f>IF($N1132="","",Sync!$L1132)</f>
        <v/>
      </c>
      <c r="W1132" t="str">
        <f>IF($N1132="","",Sync!$P1132)</f>
        <v/>
      </c>
    </row>
    <row r="1133" spans="14:23" x14ac:dyDescent="0.2">
      <c r="N1133" t="str">
        <f>IF(OR(Sync!$M1133="",$Q1133="",$Q1133="نامعتبر"),"",Sync!$M1133)</f>
        <v/>
      </c>
      <c r="O1133" t="str">
        <f t="shared" si="115"/>
        <v/>
      </c>
      <c r="P1133" t="str">
        <f>IF($N1133="","",LEFT($Q1133,4)&amp;MID($Q1133,6,2)&amp;RIGHT($Q1133,2)&amp;IF(Sync!$K1133="","0000",IF(AND(ISNUMBER(Sync!$K1133),Sync!$K1133&gt;=0,Sync!$K1133&lt;1),RIGHT("00"&amp;HOUR(Sync!$K1133),2)&amp;RIGHT("00"&amp;MINUTE(Sync!$K1133),2),IFERROR(RIGHT("00"&amp;VALUE(LEFT(Sync!$K1133,FIND(":",Sync!$K1133)-1)),2)&amp;RIGHT("00"&amp;VALUE(MID(Sync!$K1133,FIND(":",Sync!$K1133)+1,2)),2),"0000")))&amp;"|"&amp;"2"&amp;RIGHT("00000"&amp;1128,5))</f>
        <v/>
      </c>
      <c r="Q1133" t="str">
        <f>IF(Sync!$J1133="","",IF(ISNUMBER(Sync!$J1133),IF(AND(Sync!$J1133&gt;=10000101,Sync!$J1133&lt;=99991231),INT(Sync!$J1133/10000)&amp;"/"&amp;RIGHT("00"&amp;INT(MOD(Sync!$J1133,10000)/100),2)&amp;"/"&amp;RIGHT("00"&amp;MOD(Sync!$J1133,100),2),"نامعتبر"),IF(LEN(Sync!$J1133)=10,Sync!$J1133,"نامعتبر")))</f>
        <v/>
      </c>
      <c r="R1133" t="str">
        <f t="shared" si="116"/>
        <v/>
      </c>
      <c r="S1133" t="str">
        <f t="shared" si="117"/>
        <v/>
      </c>
      <c r="T1133" t="str">
        <f>IF($N1133="","",IF(Sync!$N1133="",0,Sync!$N1133))</f>
        <v/>
      </c>
      <c r="U1133" t="str">
        <f>IF($N1133="","",IF(Sync!$O1133="",0,Sync!$O1133))</f>
        <v/>
      </c>
      <c r="V1133" t="str">
        <f>IF($N1133="","",Sync!$L1133)</f>
        <v/>
      </c>
      <c r="W1133" t="str">
        <f>IF($N1133="","",Sync!$P1133)</f>
        <v/>
      </c>
    </row>
    <row r="1134" spans="14:23" x14ac:dyDescent="0.2">
      <c r="N1134" t="str">
        <f>IF(OR(Sync!$M1134="",$Q1134="",$Q1134="نامعتبر"),"",Sync!$M1134)</f>
        <v/>
      </c>
      <c r="O1134" t="str">
        <f t="shared" si="115"/>
        <v/>
      </c>
      <c r="P1134" t="str">
        <f>IF($N1134="","",LEFT($Q1134,4)&amp;MID($Q1134,6,2)&amp;RIGHT($Q1134,2)&amp;IF(Sync!$K1134="","0000",IF(AND(ISNUMBER(Sync!$K1134),Sync!$K1134&gt;=0,Sync!$K1134&lt;1),RIGHT("00"&amp;HOUR(Sync!$K1134),2)&amp;RIGHT("00"&amp;MINUTE(Sync!$K1134),2),IFERROR(RIGHT("00"&amp;VALUE(LEFT(Sync!$K1134,FIND(":",Sync!$K1134)-1)),2)&amp;RIGHT("00"&amp;VALUE(MID(Sync!$K1134,FIND(":",Sync!$K1134)+1,2)),2),"0000")))&amp;"|"&amp;"2"&amp;RIGHT("00000"&amp;1129,5))</f>
        <v/>
      </c>
      <c r="Q1134" t="str">
        <f>IF(Sync!$J1134="","",IF(ISNUMBER(Sync!$J1134),IF(AND(Sync!$J1134&gt;=10000101,Sync!$J1134&lt;=99991231),INT(Sync!$J1134/10000)&amp;"/"&amp;RIGHT("00"&amp;INT(MOD(Sync!$J1134,10000)/100),2)&amp;"/"&amp;RIGHT("00"&amp;MOD(Sync!$J1134,100),2),"نامعتبر"),IF(LEN(Sync!$J1134)=10,Sync!$J1134,"نامعتبر")))</f>
        <v/>
      </c>
      <c r="R1134" t="str">
        <f t="shared" si="116"/>
        <v/>
      </c>
      <c r="S1134" t="str">
        <f t="shared" si="117"/>
        <v/>
      </c>
      <c r="T1134" t="str">
        <f>IF($N1134="","",IF(Sync!$N1134="",0,Sync!$N1134))</f>
        <v/>
      </c>
      <c r="U1134" t="str">
        <f>IF($N1134="","",IF(Sync!$O1134="",0,Sync!$O1134))</f>
        <v/>
      </c>
      <c r="V1134" t="str">
        <f>IF($N1134="","",Sync!$L1134)</f>
        <v/>
      </c>
      <c r="W1134" t="str">
        <f>IF($N1134="","",Sync!$P1134)</f>
        <v/>
      </c>
    </row>
    <row r="1135" spans="14:23" x14ac:dyDescent="0.2">
      <c r="N1135" t="str">
        <f>IF(OR(Sync!$M1135="",$Q1135="",$Q1135="نامعتبر"),"",Sync!$M1135)</f>
        <v/>
      </c>
      <c r="O1135" t="str">
        <f t="shared" si="115"/>
        <v/>
      </c>
      <c r="P1135" t="str">
        <f>IF($N1135="","",LEFT($Q1135,4)&amp;MID($Q1135,6,2)&amp;RIGHT($Q1135,2)&amp;IF(Sync!$K1135="","0000",IF(AND(ISNUMBER(Sync!$K1135),Sync!$K1135&gt;=0,Sync!$K1135&lt;1),RIGHT("00"&amp;HOUR(Sync!$K1135),2)&amp;RIGHT("00"&amp;MINUTE(Sync!$K1135),2),IFERROR(RIGHT("00"&amp;VALUE(LEFT(Sync!$K1135,FIND(":",Sync!$K1135)-1)),2)&amp;RIGHT("00"&amp;VALUE(MID(Sync!$K1135,FIND(":",Sync!$K1135)+1,2)),2),"0000")))&amp;"|"&amp;"2"&amp;RIGHT("00000"&amp;1130,5))</f>
        <v/>
      </c>
      <c r="Q1135" t="str">
        <f>IF(Sync!$J1135="","",IF(ISNUMBER(Sync!$J1135),IF(AND(Sync!$J1135&gt;=10000101,Sync!$J1135&lt;=99991231),INT(Sync!$J1135/10000)&amp;"/"&amp;RIGHT("00"&amp;INT(MOD(Sync!$J1135,10000)/100),2)&amp;"/"&amp;RIGHT("00"&amp;MOD(Sync!$J1135,100),2),"نامعتبر"),IF(LEN(Sync!$J1135)=10,Sync!$J1135,"نامعتبر")))</f>
        <v/>
      </c>
      <c r="R1135" t="str">
        <f t="shared" si="116"/>
        <v/>
      </c>
      <c r="S1135" t="str">
        <f t="shared" si="117"/>
        <v/>
      </c>
      <c r="T1135" t="str">
        <f>IF($N1135="","",IF(Sync!$N1135="",0,Sync!$N1135))</f>
        <v/>
      </c>
      <c r="U1135" t="str">
        <f>IF($N1135="","",IF(Sync!$O1135="",0,Sync!$O1135))</f>
        <v/>
      </c>
      <c r="V1135" t="str">
        <f>IF($N1135="","",Sync!$L1135)</f>
        <v/>
      </c>
      <c r="W1135" t="str">
        <f>IF($N1135="","",Sync!$P1135)</f>
        <v/>
      </c>
    </row>
    <row r="1136" spans="14:23" x14ac:dyDescent="0.2">
      <c r="N1136" t="str">
        <f>IF(OR(Sync!$M1136="",$Q1136="",$Q1136="نامعتبر"),"",Sync!$M1136)</f>
        <v/>
      </c>
      <c r="O1136" t="str">
        <f t="shared" si="115"/>
        <v/>
      </c>
      <c r="P1136" t="str">
        <f>IF($N1136="","",LEFT($Q1136,4)&amp;MID($Q1136,6,2)&amp;RIGHT($Q1136,2)&amp;IF(Sync!$K1136="","0000",IF(AND(ISNUMBER(Sync!$K1136),Sync!$K1136&gt;=0,Sync!$K1136&lt;1),RIGHT("00"&amp;HOUR(Sync!$K1136),2)&amp;RIGHT("00"&amp;MINUTE(Sync!$K1136),2),IFERROR(RIGHT("00"&amp;VALUE(LEFT(Sync!$K1136,FIND(":",Sync!$K1136)-1)),2)&amp;RIGHT("00"&amp;VALUE(MID(Sync!$K1136,FIND(":",Sync!$K1136)+1,2)),2),"0000")))&amp;"|"&amp;"2"&amp;RIGHT("00000"&amp;1131,5))</f>
        <v/>
      </c>
      <c r="Q1136" t="str">
        <f>IF(Sync!$J1136="","",IF(ISNUMBER(Sync!$J1136),IF(AND(Sync!$J1136&gt;=10000101,Sync!$J1136&lt;=99991231),INT(Sync!$J1136/10000)&amp;"/"&amp;RIGHT("00"&amp;INT(MOD(Sync!$J1136,10000)/100),2)&amp;"/"&amp;RIGHT("00"&amp;MOD(Sync!$J1136,100),2),"نامعتبر"),IF(LEN(Sync!$J1136)=10,Sync!$J1136,"نامعتبر")))</f>
        <v/>
      </c>
      <c r="R1136" t="str">
        <f t="shared" si="116"/>
        <v/>
      </c>
      <c r="S1136" t="str">
        <f t="shared" si="117"/>
        <v/>
      </c>
      <c r="T1136" t="str">
        <f>IF($N1136="","",IF(Sync!$N1136="",0,Sync!$N1136))</f>
        <v/>
      </c>
      <c r="U1136" t="str">
        <f>IF($N1136="","",IF(Sync!$O1136="",0,Sync!$O1136))</f>
        <v/>
      </c>
      <c r="V1136" t="str">
        <f>IF($N1136="","",Sync!$L1136)</f>
        <v/>
      </c>
      <c r="W1136" t="str">
        <f>IF($N1136="","",Sync!$P1136)</f>
        <v/>
      </c>
    </row>
    <row r="1137" spans="14:23" x14ac:dyDescent="0.2">
      <c r="N1137" t="str">
        <f>IF(OR(Sync!$M1137="",$Q1137="",$Q1137="نامعتبر"),"",Sync!$M1137)</f>
        <v/>
      </c>
      <c r="O1137" t="str">
        <f t="shared" si="115"/>
        <v/>
      </c>
      <c r="P1137" t="str">
        <f>IF($N1137="","",LEFT($Q1137,4)&amp;MID($Q1137,6,2)&amp;RIGHT($Q1137,2)&amp;IF(Sync!$K1137="","0000",IF(AND(ISNUMBER(Sync!$K1137),Sync!$K1137&gt;=0,Sync!$K1137&lt;1),RIGHT("00"&amp;HOUR(Sync!$K1137),2)&amp;RIGHT("00"&amp;MINUTE(Sync!$K1137),2),IFERROR(RIGHT("00"&amp;VALUE(LEFT(Sync!$K1137,FIND(":",Sync!$K1137)-1)),2)&amp;RIGHT("00"&amp;VALUE(MID(Sync!$K1137,FIND(":",Sync!$K1137)+1,2)),2),"0000")))&amp;"|"&amp;"2"&amp;RIGHT("00000"&amp;1132,5))</f>
        <v/>
      </c>
      <c r="Q1137" t="str">
        <f>IF(Sync!$J1137="","",IF(ISNUMBER(Sync!$J1137),IF(AND(Sync!$J1137&gt;=10000101,Sync!$J1137&lt;=99991231),INT(Sync!$J1137/10000)&amp;"/"&amp;RIGHT("00"&amp;INT(MOD(Sync!$J1137,10000)/100),2)&amp;"/"&amp;RIGHT("00"&amp;MOD(Sync!$J1137,100),2),"نامعتبر"),IF(LEN(Sync!$J1137)=10,Sync!$J1137,"نامعتبر")))</f>
        <v/>
      </c>
      <c r="R1137" t="str">
        <f t="shared" si="116"/>
        <v/>
      </c>
      <c r="S1137" t="str">
        <f t="shared" si="117"/>
        <v/>
      </c>
      <c r="T1137" t="str">
        <f>IF($N1137="","",IF(Sync!$N1137="",0,Sync!$N1137))</f>
        <v/>
      </c>
      <c r="U1137" t="str">
        <f>IF($N1137="","",IF(Sync!$O1137="",0,Sync!$O1137))</f>
        <v/>
      </c>
      <c r="V1137" t="str">
        <f>IF($N1137="","",Sync!$L1137)</f>
        <v/>
      </c>
      <c r="W1137" t="str">
        <f>IF($N1137="","",Sync!$P1137)</f>
        <v/>
      </c>
    </row>
    <row r="1138" spans="14:23" x14ac:dyDescent="0.2">
      <c r="N1138" t="str">
        <f>IF(OR(Sync!$M1138="",$Q1138="",$Q1138="نامعتبر"),"",Sync!$M1138)</f>
        <v/>
      </c>
      <c r="O1138" t="str">
        <f t="shared" si="115"/>
        <v/>
      </c>
      <c r="P1138" t="str">
        <f>IF($N1138="","",LEFT($Q1138,4)&amp;MID($Q1138,6,2)&amp;RIGHT($Q1138,2)&amp;IF(Sync!$K1138="","0000",IF(AND(ISNUMBER(Sync!$K1138),Sync!$K1138&gt;=0,Sync!$K1138&lt;1),RIGHT("00"&amp;HOUR(Sync!$K1138),2)&amp;RIGHT("00"&amp;MINUTE(Sync!$K1138),2),IFERROR(RIGHT("00"&amp;VALUE(LEFT(Sync!$K1138,FIND(":",Sync!$K1138)-1)),2)&amp;RIGHT("00"&amp;VALUE(MID(Sync!$K1138,FIND(":",Sync!$K1138)+1,2)),2),"0000")))&amp;"|"&amp;"2"&amp;RIGHT("00000"&amp;1133,5))</f>
        <v/>
      </c>
      <c r="Q1138" t="str">
        <f>IF(Sync!$J1138="","",IF(ISNUMBER(Sync!$J1138),IF(AND(Sync!$J1138&gt;=10000101,Sync!$J1138&lt;=99991231),INT(Sync!$J1138/10000)&amp;"/"&amp;RIGHT("00"&amp;INT(MOD(Sync!$J1138,10000)/100),2)&amp;"/"&amp;RIGHT("00"&amp;MOD(Sync!$J1138,100),2),"نامعتبر"),IF(LEN(Sync!$J1138)=10,Sync!$J1138,"نامعتبر")))</f>
        <v/>
      </c>
      <c r="R1138" t="str">
        <f t="shared" si="116"/>
        <v/>
      </c>
      <c r="S1138" t="str">
        <f t="shared" si="117"/>
        <v/>
      </c>
      <c r="T1138" t="str">
        <f>IF($N1138="","",IF(Sync!$N1138="",0,Sync!$N1138))</f>
        <v/>
      </c>
      <c r="U1138" t="str">
        <f>IF($N1138="","",IF(Sync!$O1138="",0,Sync!$O1138))</f>
        <v/>
      </c>
      <c r="V1138" t="str">
        <f>IF($N1138="","",Sync!$L1138)</f>
        <v/>
      </c>
      <c r="W1138" t="str">
        <f>IF($N1138="","",Sync!$P1138)</f>
        <v/>
      </c>
    </row>
    <row r="1139" spans="14:23" x14ac:dyDescent="0.2">
      <c r="N1139" t="str">
        <f>IF(OR(Sync!$M1139="",$Q1139="",$Q1139="نامعتبر"),"",Sync!$M1139)</f>
        <v/>
      </c>
      <c r="O1139" t="str">
        <f t="shared" si="115"/>
        <v/>
      </c>
      <c r="P1139" t="str">
        <f>IF($N1139="","",LEFT($Q1139,4)&amp;MID($Q1139,6,2)&amp;RIGHT($Q1139,2)&amp;IF(Sync!$K1139="","0000",IF(AND(ISNUMBER(Sync!$K1139),Sync!$K1139&gt;=0,Sync!$K1139&lt;1),RIGHT("00"&amp;HOUR(Sync!$K1139),2)&amp;RIGHT("00"&amp;MINUTE(Sync!$K1139),2),IFERROR(RIGHT("00"&amp;VALUE(LEFT(Sync!$K1139,FIND(":",Sync!$K1139)-1)),2)&amp;RIGHT("00"&amp;VALUE(MID(Sync!$K1139,FIND(":",Sync!$K1139)+1,2)),2),"0000")))&amp;"|"&amp;"2"&amp;RIGHT("00000"&amp;1134,5))</f>
        <v/>
      </c>
      <c r="Q1139" t="str">
        <f>IF(Sync!$J1139="","",IF(ISNUMBER(Sync!$J1139),IF(AND(Sync!$J1139&gt;=10000101,Sync!$J1139&lt;=99991231),INT(Sync!$J1139/10000)&amp;"/"&amp;RIGHT("00"&amp;INT(MOD(Sync!$J1139,10000)/100),2)&amp;"/"&amp;RIGHT("00"&amp;MOD(Sync!$J1139,100),2),"نامعتبر"),IF(LEN(Sync!$J1139)=10,Sync!$J1139,"نامعتبر")))</f>
        <v/>
      </c>
      <c r="R1139" t="str">
        <f t="shared" si="116"/>
        <v/>
      </c>
      <c r="S1139" t="str">
        <f t="shared" si="117"/>
        <v/>
      </c>
      <c r="T1139" t="str">
        <f>IF($N1139="","",IF(Sync!$N1139="",0,Sync!$N1139))</f>
        <v/>
      </c>
      <c r="U1139" t="str">
        <f>IF($N1139="","",IF(Sync!$O1139="",0,Sync!$O1139))</f>
        <v/>
      </c>
      <c r="V1139" t="str">
        <f>IF($N1139="","",Sync!$L1139)</f>
        <v/>
      </c>
      <c r="W1139" t="str">
        <f>IF($N1139="","",Sync!$P1139)</f>
        <v/>
      </c>
    </row>
    <row r="1140" spans="14:23" x14ac:dyDescent="0.2">
      <c r="N1140" t="str">
        <f>IF(OR(Sync!$M1140="",$Q1140="",$Q1140="نامعتبر"),"",Sync!$M1140)</f>
        <v/>
      </c>
      <c r="O1140" t="str">
        <f t="shared" si="115"/>
        <v/>
      </c>
      <c r="P1140" t="str">
        <f>IF($N1140="","",LEFT($Q1140,4)&amp;MID($Q1140,6,2)&amp;RIGHT($Q1140,2)&amp;IF(Sync!$K1140="","0000",IF(AND(ISNUMBER(Sync!$K1140),Sync!$K1140&gt;=0,Sync!$K1140&lt;1),RIGHT("00"&amp;HOUR(Sync!$K1140),2)&amp;RIGHT("00"&amp;MINUTE(Sync!$K1140),2),IFERROR(RIGHT("00"&amp;VALUE(LEFT(Sync!$K1140,FIND(":",Sync!$K1140)-1)),2)&amp;RIGHT("00"&amp;VALUE(MID(Sync!$K1140,FIND(":",Sync!$K1140)+1,2)),2),"0000")))&amp;"|"&amp;"2"&amp;RIGHT("00000"&amp;1135,5))</f>
        <v/>
      </c>
      <c r="Q1140" t="str">
        <f>IF(Sync!$J1140="","",IF(ISNUMBER(Sync!$J1140),IF(AND(Sync!$J1140&gt;=10000101,Sync!$J1140&lt;=99991231),INT(Sync!$J1140/10000)&amp;"/"&amp;RIGHT("00"&amp;INT(MOD(Sync!$J1140,10000)/100),2)&amp;"/"&amp;RIGHT("00"&amp;MOD(Sync!$J1140,100),2),"نامعتبر"),IF(LEN(Sync!$J1140)=10,Sync!$J1140,"نامعتبر")))</f>
        <v/>
      </c>
      <c r="R1140" t="str">
        <f t="shared" si="116"/>
        <v/>
      </c>
      <c r="S1140" t="str">
        <f t="shared" si="117"/>
        <v/>
      </c>
      <c r="T1140" t="str">
        <f>IF($N1140="","",IF(Sync!$N1140="",0,Sync!$N1140))</f>
        <v/>
      </c>
      <c r="U1140" t="str">
        <f>IF($N1140="","",IF(Sync!$O1140="",0,Sync!$O1140))</f>
        <v/>
      </c>
      <c r="V1140" t="str">
        <f>IF($N1140="","",Sync!$L1140)</f>
        <v/>
      </c>
      <c r="W1140" t="str">
        <f>IF($N1140="","",Sync!$P1140)</f>
        <v/>
      </c>
    </row>
    <row r="1141" spans="14:23" x14ac:dyDescent="0.2">
      <c r="N1141" t="str">
        <f>IF(OR(Sync!$M1141="",$Q1141="",$Q1141="نامعتبر"),"",Sync!$M1141)</f>
        <v/>
      </c>
      <c r="O1141" t="str">
        <f t="shared" si="115"/>
        <v/>
      </c>
      <c r="P1141" t="str">
        <f>IF($N1141="","",LEFT($Q1141,4)&amp;MID($Q1141,6,2)&amp;RIGHT($Q1141,2)&amp;IF(Sync!$K1141="","0000",IF(AND(ISNUMBER(Sync!$K1141),Sync!$K1141&gt;=0,Sync!$K1141&lt;1),RIGHT("00"&amp;HOUR(Sync!$K1141),2)&amp;RIGHT("00"&amp;MINUTE(Sync!$K1141),2),IFERROR(RIGHT("00"&amp;VALUE(LEFT(Sync!$K1141,FIND(":",Sync!$K1141)-1)),2)&amp;RIGHT("00"&amp;VALUE(MID(Sync!$K1141,FIND(":",Sync!$K1141)+1,2)),2),"0000")))&amp;"|"&amp;"2"&amp;RIGHT("00000"&amp;1136,5))</f>
        <v/>
      </c>
      <c r="Q1141" t="str">
        <f>IF(Sync!$J1141="","",IF(ISNUMBER(Sync!$J1141),IF(AND(Sync!$J1141&gt;=10000101,Sync!$J1141&lt;=99991231),INT(Sync!$J1141/10000)&amp;"/"&amp;RIGHT("00"&amp;INT(MOD(Sync!$J1141,10000)/100),2)&amp;"/"&amp;RIGHT("00"&amp;MOD(Sync!$J1141,100),2),"نامعتبر"),IF(LEN(Sync!$J1141)=10,Sync!$J1141,"نامعتبر")))</f>
        <v/>
      </c>
      <c r="R1141" t="str">
        <f t="shared" si="116"/>
        <v/>
      </c>
      <c r="S1141" t="str">
        <f t="shared" si="117"/>
        <v/>
      </c>
      <c r="T1141" t="str">
        <f>IF($N1141="","",IF(Sync!$N1141="",0,Sync!$N1141))</f>
        <v/>
      </c>
      <c r="U1141" t="str">
        <f>IF($N1141="","",IF(Sync!$O1141="",0,Sync!$O1141))</f>
        <v/>
      </c>
      <c r="V1141" t="str">
        <f>IF($N1141="","",Sync!$L1141)</f>
        <v/>
      </c>
      <c r="W1141" t="str">
        <f>IF($N1141="","",Sync!$P1141)</f>
        <v/>
      </c>
    </row>
    <row r="1142" spans="14:23" x14ac:dyDescent="0.2">
      <c r="N1142" t="str">
        <f>IF(OR(Sync!$M1142="",$Q1142="",$Q1142="نامعتبر"),"",Sync!$M1142)</f>
        <v/>
      </c>
      <c r="O1142" t="str">
        <f t="shared" si="115"/>
        <v/>
      </c>
      <c r="P1142" t="str">
        <f>IF($N1142="","",LEFT($Q1142,4)&amp;MID($Q1142,6,2)&amp;RIGHT($Q1142,2)&amp;IF(Sync!$K1142="","0000",IF(AND(ISNUMBER(Sync!$K1142),Sync!$K1142&gt;=0,Sync!$K1142&lt;1),RIGHT("00"&amp;HOUR(Sync!$K1142),2)&amp;RIGHT("00"&amp;MINUTE(Sync!$K1142),2),IFERROR(RIGHT("00"&amp;VALUE(LEFT(Sync!$K1142,FIND(":",Sync!$K1142)-1)),2)&amp;RIGHT("00"&amp;VALUE(MID(Sync!$K1142,FIND(":",Sync!$K1142)+1,2)),2),"0000")))&amp;"|"&amp;"2"&amp;RIGHT("00000"&amp;1137,5))</f>
        <v/>
      </c>
      <c r="Q1142" t="str">
        <f>IF(Sync!$J1142="","",IF(ISNUMBER(Sync!$J1142),IF(AND(Sync!$J1142&gt;=10000101,Sync!$J1142&lt;=99991231),INT(Sync!$J1142/10000)&amp;"/"&amp;RIGHT("00"&amp;INT(MOD(Sync!$J1142,10000)/100),2)&amp;"/"&amp;RIGHT("00"&amp;MOD(Sync!$J1142,100),2),"نامعتبر"),IF(LEN(Sync!$J1142)=10,Sync!$J1142,"نامعتبر")))</f>
        <v/>
      </c>
      <c r="R1142" t="str">
        <f t="shared" si="116"/>
        <v/>
      </c>
      <c r="S1142" t="str">
        <f t="shared" si="117"/>
        <v/>
      </c>
      <c r="T1142" t="str">
        <f>IF($N1142="","",IF(Sync!$N1142="",0,Sync!$N1142))</f>
        <v/>
      </c>
      <c r="U1142" t="str">
        <f>IF($N1142="","",IF(Sync!$O1142="",0,Sync!$O1142))</f>
        <v/>
      </c>
      <c r="V1142" t="str">
        <f>IF($N1142="","",Sync!$L1142)</f>
        <v/>
      </c>
      <c r="W1142" t="str">
        <f>IF($N1142="","",Sync!$P1142)</f>
        <v/>
      </c>
    </row>
    <row r="1143" spans="14:23" x14ac:dyDescent="0.2">
      <c r="N1143" t="str">
        <f>IF(OR(Sync!$M1143="",$Q1143="",$Q1143="نامعتبر"),"",Sync!$M1143)</f>
        <v/>
      </c>
      <c r="O1143" t="str">
        <f t="shared" si="115"/>
        <v/>
      </c>
      <c r="P1143" t="str">
        <f>IF($N1143="","",LEFT($Q1143,4)&amp;MID($Q1143,6,2)&amp;RIGHT($Q1143,2)&amp;IF(Sync!$K1143="","0000",IF(AND(ISNUMBER(Sync!$K1143),Sync!$K1143&gt;=0,Sync!$K1143&lt;1),RIGHT("00"&amp;HOUR(Sync!$K1143),2)&amp;RIGHT("00"&amp;MINUTE(Sync!$K1143),2),IFERROR(RIGHT("00"&amp;VALUE(LEFT(Sync!$K1143,FIND(":",Sync!$K1143)-1)),2)&amp;RIGHT("00"&amp;VALUE(MID(Sync!$K1143,FIND(":",Sync!$K1143)+1,2)),2),"0000")))&amp;"|"&amp;"2"&amp;RIGHT("00000"&amp;1138,5))</f>
        <v/>
      </c>
      <c r="Q1143" t="str">
        <f>IF(Sync!$J1143="","",IF(ISNUMBER(Sync!$J1143),IF(AND(Sync!$J1143&gt;=10000101,Sync!$J1143&lt;=99991231),INT(Sync!$J1143/10000)&amp;"/"&amp;RIGHT("00"&amp;INT(MOD(Sync!$J1143,10000)/100),2)&amp;"/"&amp;RIGHT("00"&amp;MOD(Sync!$J1143,100),2),"نامعتبر"),IF(LEN(Sync!$J1143)=10,Sync!$J1143,"نامعتبر")))</f>
        <v/>
      </c>
      <c r="R1143" t="str">
        <f t="shared" si="116"/>
        <v/>
      </c>
      <c r="S1143" t="str">
        <f t="shared" si="117"/>
        <v/>
      </c>
      <c r="T1143" t="str">
        <f>IF($N1143="","",IF(Sync!$N1143="",0,Sync!$N1143))</f>
        <v/>
      </c>
      <c r="U1143" t="str">
        <f>IF($N1143="","",IF(Sync!$O1143="",0,Sync!$O1143))</f>
        <v/>
      </c>
      <c r="V1143" t="str">
        <f>IF($N1143="","",Sync!$L1143)</f>
        <v/>
      </c>
      <c r="W1143" t="str">
        <f>IF($N1143="","",Sync!$P1143)</f>
        <v/>
      </c>
    </row>
    <row r="1144" spans="14:23" x14ac:dyDescent="0.2">
      <c r="N1144" t="str">
        <f>IF(OR(Sync!$M1144="",$Q1144="",$Q1144="نامعتبر"),"",Sync!$M1144)</f>
        <v/>
      </c>
      <c r="O1144" t="str">
        <f t="shared" si="115"/>
        <v/>
      </c>
      <c r="P1144" t="str">
        <f>IF($N1144="","",LEFT($Q1144,4)&amp;MID($Q1144,6,2)&amp;RIGHT($Q1144,2)&amp;IF(Sync!$K1144="","0000",IF(AND(ISNUMBER(Sync!$K1144),Sync!$K1144&gt;=0,Sync!$K1144&lt;1),RIGHT("00"&amp;HOUR(Sync!$K1144),2)&amp;RIGHT("00"&amp;MINUTE(Sync!$K1144),2),IFERROR(RIGHT("00"&amp;VALUE(LEFT(Sync!$K1144,FIND(":",Sync!$K1144)-1)),2)&amp;RIGHT("00"&amp;VALUE(MID(Sync!$K1144,FIND(":",Sync!$K1144)+1,2)),2),"0000")))&amp;"|"&amp;"2"&amp;RIGHT("00000"&amp;1139,5))</f>
        <v/>
      </c>
      <c r="Q1144" t="str">
        <f>IF(Sync!$J1144="","",IF(ISNUMBER(Sync!$J1144),IF(AND(Sync!$J1144&gt;=10000101,Sync!$J1144&lt;=99991231),INT(Sync!$J1144/10000)&amp;"/"&amp;RIGHT("00"&amp;INT(MOD(Sync!$J1144,10000)/100),2)&amp;"/"&amp;RIGHT("00"&amp;MOD(Sync!$J1144,100),2),"نامعتبر"),IF(LEN(Sync!$J1144)=10,Sync!$J1144,"نامعتبر")))</f>
        <v/>
      </c>
      <c r="R1144" t="str">
        <f t="shared" si="116"/>
        <v/>
      </c>
      <c r="S1144" t="str">
        <f t="shared" si="117"/>
        <v/>
      </c>
      <c r="T1144" t="str">
        <f>IF($N1144="","",IF(Sync!$N1144="",0,Sync!$N1144))</f>
        <v/>
      </c>
      <c r="U1144" t="str">
        <f>IF($N1144="","",IF(Sync!$O1144="",0,Sync!$O1144))</f>
        <v/>
      </c>
      <c r="V1144" t="str">
        <f>IF($N1144="","",Sync!$L1144)</f>
        <v/>
      </c>
      <c r="W1144" t="str">
        <f>IF($N1144="","",Sync!$P1144)</f>
        <v/>
      </c>
    </row>
    <row r="1145" spans="14:23" x14ac:dyDescent="0.2">
      <c r="N1145" t="str">
        <f>IF(OR(Sync!$M1145="",$Q1145="",$Q1145="نامعتبر"),"",Sync!$M1145)</f>
        <v/>
      </c>
      <c r="O1145" t="str">
        <f t="shared" si="115"/>
        <v/>
      </c>
      <c r="P1145" t="str">
        <f>IF($N1145="","",LEFT($Q1145,4)&amp;MID($Q1145,6,2)&amp;RIGHT($Q1145,2)&amp;IF(Sync!$K1145="","0000",IF(AND(ISNUMBER(Sync!$K1145),Sync!$K1145&gt;=0,Sync!$K1145&lt;1),RIGHT("00"&amp;HOUR(Sync!$K1145),2)&amp;RIGHT("00"&amp;MINUTE(Sync!$K1145),2),IFERROR(RIGHT("00"&amp;VALUE(LEFT(Sync!$K1145,FIND(":",Sync!$K1145)-1)),2)&amp;RIGHT("00"&amp;VALUE(MID(Sync!$K1145,FIND(":",Sync!$K1145)+1,2)),2),"0000")))&amp;"|"&amp;"2"&amp;RIGHT("00000"&amp;1140,5))</f>
        <v/>
      </c>
      <c r="Q1145" t="str">
        <f>IF(Sync!$J1145="","",IF(ISNUMBER(Sync!$J1145),IF(AND(Sync!$J1145&gt;=10000101,Sync!$J1145&lt;=99991231),INT(Sync!$J1145/10000)&amp;"/"&amp;RIGHT("00"&amp;INT(MOD(Sync!$J1145,10000)/100),2)&amp;"/"&amp;RIGHT("00"&amp;MOD(Sync!$J1145,100),2),"نامعتبر"),IF(LEN(Sync!$J1145)=10,Sync!$J1145,"نامعتبر")))</f>
        <v/>
      </c>
      <c r="R1145" t="str">
        <f t="shared" si="116"/>
        <v/>
      </c>
      <c r="S1145" t="str">
        <f t="shared" si="117"/>
        <v/>
      </c>
      <c r="T1145" t="str">
        <f>IF($N1145="","",IF(Sync!$N1145="",0,Sync!$N1145))</f>
        <v/>
      </c>
      <c r="U1145" t="str">
        <f>IF($N1145="","",IF(Sync!$O1145="",0,Sync!$O1145))</f>
        <v/>
      </c>
      <c r="V1145" t="str">
        <f>IF($N1145="","",Sync!$L1145)</f>
        <v/>
      </c>
      <c r="W1145" t="str">
        <f>IF($N1145="","",Sync!$P1145)</f>
        <v/>
      </c>
    </row>
    <row r="1146" spans="14:23" x14ac:dyDescent="0.2">
      <c r="N1146" t="str">
        <f>IF(OR(Sync!$M1146="",$Q1146="",$Q1146="نامعتبر"),"",Sync!$M1146)</f>
        <v/>
      </c>
      <c r="O1146" t="str">
        <f t="shared" si="115"/>
        <v/>
      </c>
      <c r="P1146" t="str">
        <f>IF($N1146="","",LEFT($Q1146,4)&amp;MID($Q1146,6,2)&amp;RIGHT($Q1146,2)&amp;IF(Sync!$K1146="","0000",IF(AND(ISNUMBER(Sync!$K1146),Sync!$K1146&gt;=0,Sync!$K1146&lt;1),RIGHT("00"&amp;HOUR(Sync!$K1146),2)&amp;RIGHT("00"&amp;MINUTE(Sync!$K1146),2),IFERROR(RIGHT("00"&amp;VALUE(LEFT(Sync!$K1146,FIND(":",Sync!$K1146)-1)),2)&amp;RIGHT("00"&amp;VALUE(MID(Sync!$K1146,FIND(":",Sync!$K1146)+1,2)),2),"0000")))&amp;"|"&amp;"2"&amp;RIGHT("00000"&amp;1141,5))</f>
        <v/>
      </c>
      <c r="Q1146" t="str">
        <f>IF(Sync!$J1146="","",IF(ISNUMBER(Sync!$J1146),IF(AND(Sync!$J1146&gt;=10000101,Sync!$J1146&lt;=99991231),INT(Sync!$J1146/10000)&amp;"/"&amp;RIGHT("00"&amp;INT(MOD(Sync!$J1146,10000)/100),2)&amp;"/"&amp;RIGHT("00"&amp;MOD(Sync!$J1146,100),2),"نامعتبر"),IF(LEN(Sync!$J1146)=10,Sync!$J1146,"نامعتبر")))</f>
        <v/>
      </c>
      <c r="R1146" t="str">
        <f t="shared" si="116"/>
        <v/>
      </c>
      <c r="S1146" t="str">
        <f t="shared" si="117"/>
        <v/>
      </c>
      <c r="T1146" t="str">
        <f>IF($N1146="","",IF(Sync!$N1146="",0,Sync!$N1146))</f>
        <v/>
      </c>
      <c r="U1146" t="str">
        <f>IF($N1146="","",IF(Sync!$O1146="",0,Sync!$O1146))</f>
        <v/>
      </c>
      <c r="V1146" t="str">
        <f>IF($N1146="","",Sync!$L1146)</f>
        <v/>
      </c>
      <c r="W1146" t="str">
        <f>IF($N1146="","",Sync!$P1146)</f>
        <v/>
      </c>
    </row>
    <row r="1147" spans="14:23" x14ac:dyDescent="0.2">
      <c r="N1147" t="str">
        <f>IF(OR(Sync!$M1147="",$Q1147="",$Q1147="نامعتبر"),"",Sync!$M1147)</f>
        <v/>
      </c>
      <c r="O1147" t="str">
        <f t="shared" si="115"/>
        <v/>
      </c>
      <c r="P1147" t="str">
        <f>IF($N1147="","",LEFT($Q1147,4)&amp;MID($Q1147,6,2)&amp;RIGHT($Q1147,2)&amp;IF(Sync!$K1147="","0000",IF(AND(ISNUMBER(Sync!$K1147),Sync!$K1147&gt;=0,Sync!$K1147&lt;1),RIGHT("00"&amp;HOUR(Sync!$K1147),2)&amp;RIGHT("00"&amp;MINUTE(Sync!$K1147),2),IFERROR(RIGHT("00"&amp;VALUE(LEFT(Sync!$K1147,FIND(":",Sync!$K1147)-1)),2)&amp;RIGHT("00"&amp;VALUE(MID(Sync!$K1147,FIND(":",Sync!$K1147)+1,2)),2),"0000")))&amp;"|"&amp;"2"&amp;RIGHT("00000"&amp;1142,5))</f>
        <v/>
      </c>
      <c r="Q1147" t="str">
        <f>IF(Sync!$J1147="","",IF(ISNUMBER(Sync!$J1147),IF(AND(Sync!$J1147&gt;=10000101,Sync!$J1147&lt;=99991231),INT(Sync!$J1147/10000)&amp;"/"&amp;RIGHT("00"&amp;INT(MOD(Sync!$J1147,10000)/100),2)&amp;"/"&amp;RIGHT("00"&amp;MOD(Sync!$J1147,100),2),"نامعتبر"),IF(LEN(Sync!$J1147)=10,Sync!$J1147,"نامعتبر")))</f>
        <v/>
      </c>
      <c r="R1147" t="str">
        <f t="shared" si="116"/>
        <v/>
      </c>
      <c r="S1147" t="str">
        <f t="shared" si="117"/>
        <v/>
      </c>
      <c r="T1147" t="str">
        <f>IF($N1147="","",IF(Sync!$N1147="",0,Sync!$N1147))</f>
        <v/>
      </c>
      <c r="U1147" t="str">
        <f>IF($N1147="","",IF(Sync!$O1147="",0,Sync!$O1147))</f>
        <v/>
      </c>
      <c r="V1147" t="str">
        <f>IF($N1147="","",Sync!$L1147)</f>
        <v/>
      </c>
      <c r="W1147" t="str">
        <f>IF($N1147="","",Sync!$P1147)</f>
        <v/>
      </c>
    </row>
    <row r="1148" spans="14:23" x14ac:dyDescent="0.2">
      <c r="N1148" t="str">
        <f>IF(OR(Sync!$M1148="",$Q1148="",$Q1148="نامعتبر"),"",Sync!$M1148)</f>
        <v/>
      </c>
      <c r="O1148" t="str">
        <f t="shared" si="115"/>
        <v/>
      </c>
      <c r="P1148" t="str">
        <f>IF($N1148="","",LEFT($Q1148,4)&amp;MID($Q1148,6,2)&amp;RIGHT($Q1148,2)&amp;IF(Sync!$K1148="","0000",IF(AND(ISNUMBER(Sync!$K1148),Sync!$K1148&gt;=0,Sync!$K1148&lt;1),RIGHT("00"&amp;HOUR(Sync!$K1148),2)&amp;RIGHT("00"&amp;MINUTE(Sync!$K1148),2),IFERROR(RIGHT("00"&amp;VALUE(LEFT(Sync!$K1148,FIND(":",Sync!$K1148)-1)),2)&amp;RIGHT("00"&amp;VALUE(MID(Sync!$K1148,FIND(":",Sync!$K1148)+1,2)),2),"0000")))&amp;"|"&amp;"2"&amp;RIGHT("00000"&amp;1143,5))</f>
        <v/>
      </c>
      <c r="Q1148" t="str">
        <f>IF(Sync!$J1148="","",IF(ISNUMBER(Sync!$J1148),IF(AND(Sync!$J1148&gt;=10000101,Sync!$J1148&lt;=99991231),INT(Sync!$J1148/10000)&amp;"/"&amp;RIGHT("00"&amp;INT(MOD(Sync!$J1148,10000)/100),2)&amp;"/"&amp;RIGHT("00"&amp;MOD(Sync!$J1148,100),2),"نامعتبر"),IF(LEN(Sync!$J1148)=10,Sync!$J1148,"نامعتبر")))</f>
        <v/>
      </c>
      <c r="R1148" t="str">
        <f t="shared" si="116"/>
        <v/>
      </c>
      <c r="S1148" t="str">
        <f t="shared" si="117"/>
        <v/>
      </c>
      <c r="T1148" t="str">
        <f>IF($N1148="","",IF(Sync!$N1148="",0,Sync!$N1148))</f>
        <v/>
      </c>
      <c r="U1148" t="str">
        <f>IF($N1148="","",IF(Sync!$O1148="",0,Sync!$O1148))</f>
        <v/>
      </c>
      <c r="V1148" t="str">
        <f>IF($N1148="","",Sync!$L1148)</f>
        <v/>
      </c>
      <c r="W1148" t="str">
        <f>IF($N1148="","",Sync!$P1148)</f>
        <v/>
      </c>
    </row>
    <row r="1149" spans="14:23" x14ac:dyDescent="0.2">
      <c r="N1149" t="str">
        <f>IF(OR(Sync!$M1149="",$Q1149="",$Q1149="نامعتبر"),"",Sync!$M1149)</f>
        <v/>
      </c>
      <c r="O1149" t="str">
        <f t="shared" si="115"/>
        <v/>
      </c>
      <c r="P1149" t="str">
        <f>IF($N1149="","",LEFT($Q1149,4)&amp;MID($Q1149,6,2)&amp;RIGHT($Q1149,2)&amp;IF(Sync!$K1149="","0000",IF(AND(ISNUMBER(Sync!$K1149),Sync!$K1149&gt;=0,Sync!$K1149&lt;1),RIGHT("00"&amp;HOUR(Sync!$K1149),2)&amp;RIGHT("00"&amp;MINUTE(Sync!$K1149),2),IFERROR(RIGHT("00"&amp;VALUE(LEFT(Sync!$K1149,FIND(":",Sync!$K1149)-1)),2)&amp;RIGHT("00"&amp;VALUE(MID(Sync!$K1149,FIND(":",Sync!$K1149)+1,2)),2),"0000")))&amp;"|"&amp;"2"&amp;RIGHT("00000"&amp;1144,5))</f>
        <v/>
      </c>
      <c r="Q1149" t="str">
        <f>IF(Sync!$J1149="","",IF(ISNUMBER(Sync!$J1149),IF(AND(Sync!$J1149&gt;=10000101,Sync!$J1149&lt;=99991231),INT(Sync!$J1149/10000)&amp;"/"&amp;RIGHT("00"&amp;INT(MOD(Sync!$J1149,10000)/100),2)&amp;"/"&amp;RIGHT("00"&amp;MOD(Sync!$J1149,100),2),"نامعتبر"),IF(LEN(Sync!$J1149)=10,Sync!$J1149,"نامعتبر")))</f>
        <v/>
      </c>
      <c r="R1149" t="str">
        <f t="shared" si="116"/>
        <v/>
      </c>
      <c r="S1149" t="str">
        <f t="shared" si="117"/>
        <v/>
      </c>
      <c r="T1149" t="str">
        <f>IF($N1149="","",IF(Sync!$N1149="",0,Sync!$N1149))</f>
        <v/>
      </c>
      <c r="U1149" t="str">
        <f>IF($N1149="","",IF(Sync!$O1149="",0,Sync!$O1149))</f>
        <v/>
      </c>
      <c r="V1149" t="str">
        <f>IF($N1149="","",Sync!$L1149)</f>
        <v/>
      </c>
      <c r="W1149" t="str">
        <f>IF($N1149="","",Sync!$P1149)</f>
        <v/>
      </c>
    </row>
    <row r="1150" spans="14:23" x14ac:dyDescent="0.2">
      <c r="N1150" t="str">
        <f>IF(OR(Sync!$M1150="",$Q1150="",$Q1150="نامعتبر"),"",Sync!$M1150)</f>
        <v/>
      </c>
      <c r="O1150" t="str">
        <f t="shared" si="115"/>
        <v/>
      </c>
      <c r="P1150" t="str">
        <f>IF($N1150="","",LEFT($Q1150,4)&amp;MID($Q1150,6,2)&amp;RIGHT($Q1150,2)&amp;IF(Sync!$K1150="","0000",IF(AND(ISNUMBER(Sync!$K1150),Sync!$K1150&gt;=0,Sync!$K1150&lt;1),RIGHT("00"&amp;HOUR(Sync!$K1150),2)&amp;RIGHT("00"&amp;MINUTE(Sync!$K1150),2),IFERROR(RIGHT("00"&amp;VALUE(LEFT(Sync!$K1150,FIND(":",Sync!$K1150)-1)),2)&amp;RIGHT("00"&amp;VALUE(MID(Sync!$K1150,FIND(":",Sync!$K1150)+1,2)),2),"0000")))&amp;"|"&amp;"2"&amp;RIGHT("00000"&amp;1145,5))</f>
        <v/>
      </c>
      <c r="Q1150" t="str">
        <f>IF(Sync!$J1150="","",IF(ISNUMBER(Sync!$J1150),IF(AND(Sync!$J1150&gt;=10000101,Sync!$J1150&lt;=99991231),INT(Sync!$J1150/10000)&amp;"/"&amp;RIGHT("00"&amp;INT(MOD(Sync!$J1150,10000)/100),2)&amp;"/"&amp;RIGHT("00"&amp;MOD(Sync!$J1150,100),2),"نامعتبر"),IF(LEN(Sync!$J1150)=10,Sync!$J1150,"نامعتبر")))</f>
        <v/>
      </c>
      <c r="R1150" t="str">
        <f t="shared" si="116"/>
        <v/>
      </c>
      <c r="S1150" t="str">
        <f t="shared" si="117"/>
        <v/>
      </c>
      <c r="T1150" t="str">
        <f>IF($N1150="","",IF(Sync!$N1150="",0,Sync!$N1150))</f>
        <v/>
      </c>
      <c r="U1150" t="str">
        <f>IF($N1150="","",IF(Sync!$O1150="",0,Sync!$O1150))</f>
        <v/>
      </c>
      <c r="V1150" t="str">
        <f>IF($N1150="","",Sync!$L1150)</f>
        <v/>
      </c>
      <c r="W1150" t="str">
        <f>IF($N1150="","",Sync!$P1150)</f>
        <v/>
      </c>
    </row>
    <row r="1151" spans="14:23" x14ac:dyDescent="0.2">
      <c r="N1151" t="str">
        <f>IF(OR(Sync!$M1151="",$Q1151="",$Q1151="نامعتبر"),"",Sync!$M1151)</f>
        <v/>
      </c>
      <c r="O1151" t="str">
        <f t="shared" si="115"/>
        <v/>
      </c>
      <c r="P1151" t="str">
        <f>IF($N1151="","",LEFT($Q1151,4)&amp;MID($Q1151,6,2)&amp;RIGHT($Q1151,2)&amp;IF(Sync!$K1151="","0000",IF(AND(ISNUMBER(Sync!$K1151),Sync!$K1151&gt;=0,Sync!$K1151&lt;1),RIGHT("00"&amp;HOUR(Sync!$K1151),2)&amp;RIGHT("00"&amp;MINUTE(Sync!$K1151),2),IFERROR(RIGHT("00"&amp;VALUE(LEFT(Sync!$K1151,FIND(":",Sync!$K1151)-1)),2)&amp;RIGHT("00"&amp;VALUE(MID(Sync!$K1151,FIND(":",Sync!$K1151)+1,2)),2),"0000")))&amp;"|"&amp;"2"&amp;RIGHT("00000"&amp;1146,5))</f>
        <v/>
      </c>
      <c r="Q1151" t="str">
        <f>IF(Sync!$J1151="","",IF(ISNUMBER(Sync!$J1151),IF(AND(Sync!$J1151&gt;=10000101,Sync!$J1151&lt;=99991231),INT(Sync!$J1151/10000)&amp;"/"&amp;RIGHT("00"&amp;INT(MOD(Sync!$J1151,10000)/100),2)&amp;"/"&amp;RIGHT("00"&amp;MOD(Sync!$J1151,100),2),"نامعتبر"),IF(LEN(Sync!$J1151)=10,Sync!$J1151,"نامعتبر")))</f>
        <v/>
      </c>
      <c r="R1151" t="str">
        <f t="shared" si="116"/>
        <v/>
      </c>
      <c r="S1151" t="str">
        <f t="shared" si="117"/>
        <v/>
      </c>
      <c r="T1151" t="str">
        <f>IF($N1151="","",IF(Sync!$N1151="",0,Sync!$N1151))</f>
        <v/>
      </c>
      <c r="U1151" t="str">
        <f>IF($N1151="","",IF(Sync!$O1151="",0,Sync!$O1151))</f>
        <v/>
      </c>
      <c r="V1151" t="str">
        <f>IF($N1151="","",Sync!$L1151)</f>
        <v/>
      </c>
      <c r="W1151" t="str">
        <f>IF($N1151="","",Sync!$P1151)</f>
        <v/>
      </c>
    </row>
    <row r="1152" spans="14:23" x14ac:dyDescent="0.2">
      <c r="N1152" t="str">
        <f>IF(OR(Sync!$M1152="",$Q1152="",$Q1152="نامعتبر"),"",Sync!$M1152)</f>
        <v/>
      </c>
      <c r="O1152" t="str">
        <f t="shared" si="115"/>
        <v/>
      </c>
      <c r="P1152" t="str">
        <f>IF($N1152="","",LEFT($Q1152,4)&amp;MID($Q1152,6,2)&amp;RIGHT($Q1152,2)&amp;IF(Sync!$K1152="","0000",IF(AND(ISNUMBER(Sync!$K1152),Sync!$K1152&gt;=0,Sync!$K1152&lt;1),RIGHT("00"&amp;HOUR(Sync!$K1152),2)&amp;RIGHT("00"&amp;MINUTE(Sync!$K1152),2),IFERROR(RIGHT("00"&amp;VALUE(LEFT(Sync!$K1152,FIND(":",Sync!$K1152)-1)),2)&amp;RIGHT("00"&amp;VALUE(MID(Sync!$K1152,FIND(":",Sync!$K1152)+1,2)),2),"0000")))&amp;"|"&amp;"2"&amp;RIGHT("00000"&amp;1147,5))</f>
        <v/>
      </c>
      <c r="Q1152" t="str">
        <f>IF(Sync!$J1152="","",IF(ISNUMBER(Sync!$J1152),IF(AND(Sync!$J1152&gt;=10000101,Sync!$J1152&lt;=99991231),INT(Sync!$J1152/10000)&amp;"/"&amp;RIGHT("00"&amp;INT(MOD(Sync!$J1152,10000)/100),2)&amp;"/"&amp;RIGHT("00"&amp;MOD(Sync!$J1152,100),2),"نامعتبر"),IF(LEN(Sync!$J1152)=10,Sync!$J1152,"نامعتبر")))</f>
        <v/>
      </c>
      <c r="R1152" t="str">
        <f t="shared" si="116"/>
        <v/>
      </c>
      <c r="S1152" t="str">
        <f t="shared" si="117"/>
        <v/>
      </c>
      <c r="T1152" t="str">
        <f>IF($N1152="","",IF(Sync!$N1152="",0,Sync!$N1152))</f>
        <v/>
      </c>
      <c r="U1152" t="str">
        <f>IF($N1152="","",IF(Sync!$O1152="",0,Sync!$O1152))</f>
        <v/>
      </c>
      <c r="V1152" t="str">
        <f>IF($N1152="","",Sync!$L1152)</f>
        <v/>
      </c>
      <c r="W1152" t="str">
        <f>IF($N1152="","",Sync!$P1152)</f>
        <v/>
      </c>
    </row>
    <row r="1153" spans="14:23" x14ac:dyDescent="0.2">
      <c r="N1153" t="str">
        <f>IF(OR(Sync!$M1153="",$Q1153="",$Q1153="نامعتبر"),"",Sync!$M1153)</f>
        <v/>
      </c>
      <c r="O1153" t="str">
        <f t="shared" si="115"/>
        <v/>
      </c>
      <c r="P1153" t="str">
        <f>IF($N1153="","",LEFT($Q1153,4)&amp;MID($Q1153,6,2)&amp;RIGHT($Q1153,2)&amp;IF(Sync!$K1153="","0000",IF(AND(ISNUMBER(Sync!$K1153),Sync!$K1153&gt;=0,Sync!$K1153&lt;1),RIGHT("00"&amp;HOUR(Sync!$K1153),2)&amp;RIGHT("00"&amp;MINUTE(Sync!$K1153),2),IFERROR(RIGHT("00"&amp;VALUE(LEFT(Sync!$K1153,FIND(":",Sync!$K1153)-1)),2)&amp;RIGHT("00"&amp;VALUE(MID(Sync!$K1153,FIND(":",Sync!$K1153)+1,2)),2),"0000")))&amp;"|"&amp;"2"&amp;RIGHT("00000"&amp;1148,5))</f>
        <v/>
      </c>
      <c r="Q1153" t="str">
        <f>IF(Sync!$J1153="","",IF(ISNUMBER(Sync!$J1153),IF(AND(Sync!$J1153&gt;=10000101,Sync!$J1153&lt;=99991231),INT(Sync!$J1153/10000)&amp;"/"&amp;RIGHT("00"&amp;INT(MOD(Sync!$J1153,10000)/100),2)&amp;"/"&amp;RIGHT("00"&amp;MOD(Sync!$J1153,100),2),"نامعتبر"),IF(LEN(Sync!$J1153)=10,Sync!$J1153,"نامعتبر")))</f>
        <v/>
      </c>
      <c r="R1153" t="str">
        <f t="shared" si="116"/>
        <v/>
      </c>
      <c r="S1153" t="str">
        <f t="shared" si="117"/>
        <v/>
      </c>
      <c r="T1153" t="str">
        <f>IF($N1153="","",IF(Sync!$N1153="",0,Sync!$N1153))</f>
        <v/>
      </c>
      <c r="U1153" t="str">
        <f>IF($N1153="","",IF(Sync!$O1153="",0,Sync!$O1153))</f>
        <v/>
      </c>
      <c r="V1153" t="str">
        <f>IF($N1153="","",Sync!$L1153)</f>
        <v/>
      </c>
      <c r="W1153" t="str">
        <f>IF($N1153="","",Sync!$P1153)</f>
        <v/>
      </c>
    </row>
    <row r="1154" spans="14:23" x14ac:dyDescent="0.2">
      <c r="N1154" t="str">
        <f>IF(OR(Sync!$M1154="",$Q1154="",$Q1154="نامعتبر"),"",Sync!$M1154)</f>
        <v/>
      </c>
      <c r="O1154" t="str">
        <f t="shared" si="115"/>
        <v/>
      </c>
      <c r="P1154" t="str">
        <f>IF($N1154="","",LEFT($Q1154,4)&amp;MID($Q1154,6,2)&amp;RIGHT($Q1154,2)&amp;IF(Sync!$K1154="","0000",IF(AND(ISNUMBER(Sync!$K1154),Sync!$K1154&gt;=0,Sync!$K1154&lt;1),RIGHT("00"&amp;HOUR(Sync!$K1154),2)&amp;RIGHT("00"&amp;MINUTE(Sync!$K1154),2),IFERROR(RIGHT("00"&amp;VALUE(LEFT(Sync!$K1154,FIND(":",Sync!$K1154)-1)),2)&amp;RIGHT("00"&amp;VALUE(MID(Sync!$K1154,FIND(":",Sync!$K1154)+1,2)),2),"0000")))&amp;"|"&amp;"2"&amp;RIGHT("00000"&amp;1149,5))</f>
        <v/>
      </c>
      <c r="Q1154" t="str">
        <f>IF(Sync!$J1154="","",IF(ISNUMBER(Sync!$J1154),IF(AND(Sync!$J1154&gt;=10000101,Sync!$J1154&lt;=99991231),INT(Sync!$J1154/10000)&amp;"/"&amp;RIGHT("00"&amp;INT(MOD(Sync!$J1154,10000)/100),2)&amp;"/"&amp;RIGHT("00"&amp;MOD(Sync!$J1154,100),2),"نامعتبر"),IF(LEN(Sync!$J1154)=10,Sync!$J1154,"نامعتبر")))</f>
        <v/>
      </c>
      <c r="R1154" t="str">
        <f t="shared" si="116"/>
        <v/>
      </c>
      <c r="S1154" t="str">
        <f t="shared" si="117"/>
        <v/>
      </c>
      <c r="T1154" t="str">
        <f>IF($N1154="","",IF(Sync!$N1154="",0,Sync!$N1154))</f>
        <v/>
      </c>
      <c r="U1154" t="str">
        <f>IF($N1154="","",IF(Sync!$O1154="",0,Sync!$O1154))</f>
        <v/>
      </c>
      <c r="V1154" t="str">
        <f>IF($N1154="","",Sync!$L1154)</f>
        <v/>
      </c>
      <c r="W1154" t="str">
        <f>IF($N1154="","",Sync!$P1154)</f>
        <v/>
      </c>
    </row>
    <row r="1155" spans="14:23" x14ac:dyDescent="0.2">
      <c r="N1155" t="str">
        <f>IF(OR(Sync!$M1155="",$Q1155="",$Q1155="نامعتبر"),"",Sync!$M1155)</f>
        <v/>
      </c>
      <c r="O1155" t="str">
        <f t="shared" si="115"/>
        <v/>
      </c>
      <c r="P1155" t="str">
        <f>IF($N1155="","",LEFT($Q1155,4)&amp;MID($Q1155,6,2)&amp;RIGHT($Q1155,2)&amp;IF(Sync!$K1155="","0000",IF(AND(ISNUMBER(Sync!$K1155),Sync!$K1155&gt;=0,Sync!$K1155&lt;1),RIGHT("00"&amp;HOUR(Sync!$K1155),2)&amp;RIGHT("00"&amp;MINUTE(Sync!$K1155),2),IFERROR(RIGHT("00"&amp;VALUE(LEFT(Sync!$K1155,FIND(":",Sync!$K1155)-1)),2)&amp;RIGHT("00"&amp;VALUE(MID(Sync!$K1155,FIND(":",Sync!$K1155)+1,2)),2),"0000")))&amp;"|"&amp;"2"&amp;RIGHT("00000"&amp;1150,5))</f>
        <v/>
      </c>
      <c r="Q1155" t="str">
        <f>IF(Sync!$J1155="","",IF(ISNUMBER(Sync!$J1155),IF(AND(Sync!$J1155&gt;=10000101,Sync!$J1155&lt;=99991231),INT(Sync!$J1155/10000)&amp;"/"&amp;RIGHT("00"&amp;INT(MOD(Sync!$J1155,10000)/100),2)&amp;"/"&amp;RIGHT("00"&amp;MOD(Sync!$J1155,100),2),"نامعتبر"),IF(LEN(Sync!$J1155)=10,Sync!$J1155,"نامعتبر")))</f>
        <v/>
      </c>
      <c r="R1155" t="str">
        <f t="shared" si="116"/>
        <v/>
      </c>
      <c r="S1155" t="str">
        <f t="shared" si="117"/>
        <v/>
      </c>
      <c r="T1155" t="str">
        <f>IF($N1155="","",IF(Sync!$N1155="",0,Sync!$N1155))</f>
        <v/>
      </c>
      <c r="U1155" t="str">
        <f>IF($N1155="","",IF(Sync!$O1155="",0,Sync!$O1155))</f>
        <v/>
      </c>
      <c r="V1155" t="str">
        <f>IF($N1155="","",Sync!$L1155)</f>
        <v/>
      </c>
      <c r="W1155" t="str">
        <f>IF($N1155="","",Sync!$P1155)</f>
        <v/>
      </c>
    </row>
    <row r="1156" spans="14:23" x14ac:dyDescent="0.2">
      <c r="N1156" t="str">
        <f>IF(OR(Sync!$M1156="",$Q1156="",$Q1156="نامعتبر"),"",Sync!$M1156)</f>
        <v/>
      </c>
      <c r="O1156" t="str">
        <f t="shared" si="115"/>
        <v/>
      </c>
      <c r="P1156" t="str">
        <f>IF($N1156="","",LEFT($Q1156,4)&amp;MID($Q1156,6,2)&amp;RIGHT($Q1156,2)&amp;IF(Sync!$K1156="","0000",IF(AND(ISNUMBER(Sync!$K1156),Sync!$K1156&gt;=0,Sync!$K1156&lt;1),RIGHT("00"&amp;HOUR(Sync!$K1156),2)&amp;RIGHT("00"&amp;MINUTE(Sync!$K1156),2),IFERROR(RIGHT("00"&amp;VALUE(LEFT(Sync!$K1156,FIND(":",Sync!$K1156)-1)),2)&amp;RIGHT("00"&amp;VALUE(MID(Sync!$K1156,FIND(":",Sync!$K1156)+1,2)),2),"0000")))&amp;"|"&amp;"2"&amp;RIGHT("00000"&amp;1151,5))</f>
        <v/>
      </c>
      <c r="Q1156" t="str">
        <f>IF(Sync!$J1156="","",IF(ISNUMBER(Sync!$J1156),IF(AND(Sync!$J1156&gt;=10000101,Sync!$J1156&lt;=99991231),INT(Sync!$J1156/10000)&amp;"/"&amp;RIGHT("00"&amp;INT(MOD(Sync!$J1156,10000)/100),2)&amp;"/"&amp;RIGHT("00"&amp;MOD(Sync!$J1156,100),2),"نامعتبر"),IF(LEN(Sync!$J1156)=10,Sync!$J1156,"نامعتبر")))</f>
        <v/>
      </c>
      <c r="R1156" t="str">
        <f t="shared" si="116"/>
        <v/>
      </c>
      <c r="S1156" t="str">
        <f t="shared" si="117"/>
        <v/>
      </c>
      <c r="T1156" t="str">
        <f>IF($N1156="","",IF(Sync!$N1156="",0,Sync!$N1156))</f>
        <v/>
      </c>
      <c r="U1156" t="str">
        <f>IF($N1156="","",IF(Sync!$O1156="",0,Sync!$O1156))</f>
        <v/>
      </c>
      <c r="V1156" t="str">
        <f>IF($N1156="","",Sync!$L1156)</f>
        <v/>
      </c>
      <c r="W1156" t="str">
        <f>IF($N1156="","",Sync!$P1156)</f>
        <v/>
      </c>
    </row>
    <row r="1157" spans="14:23" x14ac:dyDescent="0.2">
      <c r="N1157" t="str">
        <f>IF(OR(Sync!$M1157="",$Q1157="",$Q1157="نامعتبر"),"",Sync!$M1157)</f>
        <v/>
      </c>
      <c r="O1157" t="str">
        <f t="shared" si="115"/>
        <v/>
      </c>
      <c r="P1157" t="str">
        <f>IF($N1157="","",LEFT($Q1157,4)&amp;MID($Q1157,6,2)&amp;RIGHT($Q1157,2)&amp;IF(Sync!$K1157="","0000",IF(AND(ISNUMBER(Sync!$K1157),Sync!$K1157&gt;=0,Sync!$K1157&lt;1),RIGHT("00"&amp;HOUR(Sync!$K1157),2)&amp;RIGHT("00"&amp;MINUTE(Sync!$K1157),2),IFERROR(RIGHT("00"&amp;VALUE(LEFT(Sync!$K1157,FIND(":",Sync!$K1157)-1)),2)&amp;RIGHT("00"&amp;VALUE(MID(Sync!$K1157,FIND(":",Sync!$K1157)+1,2)),2),"0000")))&amp;"|"&amp;"2"&amp;RIGHT("00000"&amp;1152,5))</f>
        <v/>
      </c>
      <c r="Q1157" t="str">
        <f>IF(Sync!$J1157="","",IF(ISNUMBER(Sync!$J1157),IF(AND(Sync!$J1157&gt;=10000101,Sync!$J1157&lt;=99991231),INT(Sync!$J1157/10000)&amp;"/"&amp;RIGHT("00"&amp;INT(MOD(Sync!$J1157,10000)/100),2)&amp;"/"&amp;RIGHT("00"&amp;MOD(Sync!$J1157,100),2),"نامعتبر"),IF(LEN(Sync!$J1157)=10,Sync!$J1157,"نامعتبر")))</f>
        <v/>
      </c>
      <c r="R1157" t="str">
        <f t="shared" si="116"/>
        <v/>
      </c>
      <c r="S1157" t="str">
        <f t="shared" si="117"/>
        <v/>
      </c>
      <c r="T1157" t="str">
        <f>IF($N1157="","",IF(Sync!$N1157="",0,Sync!$N1157))</f>
        <v/>
      </c>
      <c r="U1157" t="str">
        <f>IF($N1157="","",IF(Sync!$O1157="",0,Sync!$O1157))</f>
        <v/>
      </c>
      <c r="V1157" t="str">
        <f>IF($N1157="","",Sync!$L1157)</f>
        <v/>
      </c>
      <c r="W1157" t="str">
        <f>IF($N1157="","",Sync!$P1157)</f>
        <v/>
      </c>
    </row>
    <row r="1158" spans="14:23" x14ac:dyDescent="0.2">
      <c r="N1158" t="str">
        <f>IF(OR(Sync!$M1158="",$Q1158="",$Q1158="نامعتبر"),"",Sync!$M1158)</f>
        <v/>
      </c>
      <c r="O1158" t="str">
        <f t="shared" ref="O1158:O1221" si="118">IF($N1158="","",$Q1158)</f>
        <v/>
      </c>
      <c r="P1158" t="str">
        <f>IF($N1158="","",LEFT($Q1158,4)&amp;MID($Q1158,6,2)&amp;RIGHT($Q1158,2)&amp;IF(Sync!$K1158="","0000",IF(AND(ISNUMBER(Sync!$K1158),Sync!$K1158&gt;=0,Sync!$K1158&lt;1),RIGHT("00"&amp;HOUR(Sync!$K1158),2)&amp;RIGHT("00"&amp;MINUTE(Sync!$K1158),2),IFERROR(RIGHT("00"&amp;VALUE(LEFT(Sync!$K1158,FIND(":",Sync!$K1158)-1)),2)&amp;RIGHT("00"&amp;VALUE(MID(Sync!$K1158,FIND(":",Sync!$K1158)+1,2)),2),"0000")))&amp;"|"&amp;"2"&amp;RIGHT("00000"&amp;1153,5))</f>
        <v/>
      </c>
      <c r="Q1158" t="str">
        <f>IF(Sync!$J1158="","",IF(ISNUMBER(Sync!$J1158),IF(AND(Sync!$J1158&gt;=10000101,Sync!$J1158&lt;=99991231),INT(Sync!$J1158/10000)&amp;"/"&amp;RIGHT("00"&amp;INT(MOD(Sync!$J1158,10000)/100),2)&amp;"/"&amp;RIGHT("00"&amp;MOD(Sync!$J1158,100),2),"نامعتبر"),IF(LEN(Sync!$J1158)=10,Sync!$J1158,"نامعتبر")))</f>
        <v/>
      </c>
      <c r="R1158" t="str">
        <f t="shared" ref="R1158:R1221" si="119">IF($P1158="","",COUNTIFS($N$6:$N$2005,$N1158,$P$6:$P$2005,"&lt;"&amp;$P1158)+COUNTIFS($A$6:$A$1005,$N1158,$B$6:$B$1005,"&lt;"&amp;$P1158)+1)</f>
        <v/>
      </c>
      <c r="S1158" t="str">
        <f t="shared" ref="S1158:S1221" si="120">IF($N1158="","",$N1158&amp;"|"&amp;RIGHT("000000"&amp;$R1158,6))</f>
        <v/>
      </c>
      <c r="T1158" t="str">
        <f>IF($N1158="","",IF(Sync!$N1158="",0,Sync!$N1158))</f>
        <v/>
      </c>
      <c r="U1158" t="str">
        <f>IF($N1158="","",IF(Sync!$O1158="",0,Sync!$O1158))</f>
        <v/>
      </c>
      <c r="V1158" t="str">
        <f>IF($N1158="","",Sync!$L1158)</f>
        <v/>
      </c>
      <c r="W1158" t="str">
        <f>IF($N1158="","",Sync!$P1158)</f>
        <v/>
      </c>
    </row>
    <row r="1159" spans="14:23" x14ac:dyDescent="0.2">
      <c r="N1159" t="str">
        <f>IF(OR(Sync!$M1159="",$Q1159="",$Q1159="نامعتبر"),"",Sync!$M1159)</f>
        <v/>
      </c>
      <c r="O1159" t="str">
        <f t="shared" si="118"/>
        <v/>
      </c>
      <c r="P1159" t="str">
        <f>IF($N1159="","",LEFT($Q1159,4)&amp;MID($Q1159,6,2)&amp;RIGHT($Q1159,2)&amp;IF(Sync!$K1159="","0000",IF(AND(ISNUMBER(Sync!$K1159),Sync!$K1159&gt;=0,Sync!$K1159&lt;1),RIGHT("00"&amp;HOUR(Sync!$K1159),2)&amp;RIGHT("00"&amp;MINUTE(Sync!$K1159),2),IFERROR(RIGHT("00"&amp;VALUE(LEFT(Sync!$K1159,FIND(":",Sync!$K1159)-1)),2)&amp;RIGHT("00"&amp;VALUE(MID(Sync!$K1159,FIND(":",Sync!$K1159)+1,2)),2),"0000")))&amp;"|"&amp;"2"&amp;RIGHT("00000"&amp;1154,5))</f>
        <v/>
      </c>
      <c r="Q1159" t="str">
        <f>IF(Sync!$J1159="","",IF(ISNUMBER(Sync!$J1159),IF(AND(Sync!$J1159&gt;=10000101,Sync!$J1159&lt;=99991231),INT(Sync!$J1159/10000)&amp;"/"&amp;RIGHT("00"&amp;INT(MOD(Sync!$J1159,10000)/100),2)&amp;"/"&amp;RIGHT("00"&amp;MOD(Sync!$J1159,100),2),"نامعتبر"),IF(LEN(Sync!$J1159)=10,Sync!$J1159,"نامعتبر")))</f>
        <v/>
      </c>
      <c r="R1159" t="str">
        <f t="shared" si="119"/>
        <v/>
      </c>
      <c r="S1159" t="str">
        <f t="shared" si="120"/>
        <v/>
      </c>
      <c r="T1159" t="str">
        <f>IF($N1159="","",IF(Sync!$N1159="",0,Sync!$N1159))</f>
        <v/>
      </c>
      <c r="U1159" t="str">
        <f>IF($N1159="","",IF(Sync!$O1159="",0,Sync!$O1159))</f>
        <v/>
      </c>
      <c r="V1159" t="str">
        <f>IF($N1159="","",Sync!$L1159)</f>
        <v/>
      </c>
      <c r="W1159" t="str">
        <f>IF($N1159="","",Sync!$P1159)</f>
        <v/>
      </c>
    </row>
    <row r="1160" spans="14:23" x14ac:dyDescent="0.2">
      <c r="N1160" t="str">
        <f>IF(OR(Sync!$M1160="",$Q1160="",$Q1160="نامعتبر"),"",Sync!$M1160)</f>
        <v/>
      </c>
      <c r="O1160" t="str">
        <f t="shared" si="118"/>
        <v/>
      </c>
      <c r="P1160" t="str">
        <f>IF($N1160="","",LEFT($Q1160,4)&amp;MID($Q1160,6,2)&amp;RIGHT($Q1160,2)&amp;IF(Sync!$K1160="","0000",IF(AND(ISNUMBER(Sync!$K1160),Sync!$K1160&gt;=0,Sync!$K1160&lt;1),RIGHT("00"&amp;HOUR(Sync!$K1160),2)&amp;RIGHT("00"&amp;MINUTE(Sync!$K1160),2),IFERROR(RIGHT("00"&amp;VALUE(LEFT(Sync!$K1160,FIND(":",Sync!$K1160)-1)),2)&amp;RIGHT("00"&amp;VALUE(MID(Sync!$K1160,FIND(":",Sync!$K1160)+1,2)),2),"0000")))&amp;"|"&amp;"2"&amp;RIGHT("00000"&amp;1155,5))</f>
        <v/>
      </c>
      <c r="Q1160" t="str">
        <f>IF(Sync!$J1160="","",IF(ISNUMBER(Sync!$J1160),IF(AND(Sync!$J1160&gt;=10000101,Sync!$J1160&lt;=99991231),INT(Sync!$J1160/10000)&amp;"/"&amp;RIGHT("00"&amp;INT(MOD(Sync!$J1160,10000)/100),2)&amp;"/"&amp;RIGHT("00"&amp;MOD(Sync!$J1160,100),2),"نامعتبر"),IF(LEN(Sync!$J1160)=10,Sync!$J1160,"نامعتبر")))</f>
        <v/>
      </c>
      <c r="R1160" t="str">
        <f t="shared" si="119"/>
        <v/>
      </c>
      <c r="S1160" t="str">
        <f t="shared" si="120"/>
        <v/>
      </c>
      <c r="T1160" t="str">
        <f>IF($N1160="","",IF(Sync!$N1160="",0,Sync!$N1160))</f>
        <v/>
      </c>
      <c r="U1160" t="str">
        <f>IF($N1160="","",IF(Sync!$O1160="",0,Sync!$O1160))</f>
        <v/>
      </c>
      <c r="V1160" t="str">
        <f>IF($N1160="","",Sync!$L1160)</f>
        <v/>
      </c>
      <c r="W1160" t="str">
        <f>IF($N1160="","",Sync!$P1160)</f>
        <v/>
      </c>
    </row>
    <row r="1161" spans="14:23" x14ac:dyDescent="0.2">
      <c r="N1161" t="str">
        <f>IF(OR(Sync!$M1161="",$Q1161="",$Q1161="نامعتبر"),"",Sync!$M1161)</f>
        <v/>
      </c>
      <c r="O1161" t="str">
        <f t="shared" si="118"/>
        <v/>
      </c>
      <c r="P1161" t="str">
        <f>IF($N1161="","",LEFT($Q1161,4)&amp;MID($Q1161,6,2)&amp;RIGHT($Q1161,2)&amp;IF(Sync!$K1161="","0000",IF(AND(ISNUMBER(Sync!$K1161),Sync!$K1161&gt;=0,Sync!$K1161&lt;1),RIGHT("00"&amp;HOUR(Sync!$K1161),2)&amp;RIGHT("00"&amp;MINUTE(Sync!$K1161),2),IFERROR(RIGHT("00"&amp;VALUE(LEFT(Sync!$K1161,FIND(":",Sync!$K1161)-1)),2)&amp;RIGHT("00"&amp;VALUE(MID(Sync!$K1161,FIND(":",Sync!$K1161)+1,2)),2),"0000")))&amp;"|"&amp;"2"&amp;RIGHT("00000"&amp;1156,5))</f>
        <v/>
      </c>
      <c r="Q1161" t="str">
        <f>IF(Sync!$J1161="","",IF(ISNUMBER(Sync!$J1161),IF(AND(Sync!$J1161&gt;=10000101,Sync!$J1161&lt;=99991231),INT(Sync!$J1161/10000)&amp;"/"&amp;RIGHT("00"&amp;INT(MOD(Sync!$J1161,10000)/100),2)&amp;"/"&amp;RIGHT("00"&amp;MOD(Sync!$J1161,100),2),"نامعتبر"),IF(LEN(Sync!$J1161)=10,Sync!$J1161,"نامعتبر")))</f>
        <v/>
      </c>
      <c r="R1161" t="str">
        <f t="shared" si="119"/>
        <v/>
      </c>
      <c r="S1161" t="str">
        <f t="shared" si="120"/>
        <v/>
      </c>
      <c r="T1161" t="str">
        <f>IF($N1161="","",IF(Sync!$N1161="",0,Sync!$N1161))</f>
        <v/>
      </c>
      <c r="U1161" t="str">
        <f>IF($N1161="","",IF(Sync!$O1161="",0,Sync!$O1161))</f>
        <v/>
      </c>
      <c r="V1161" t="str">
        <f>IF($N1161="","",Sync!$L1161)</f>
        <v/>
      </c>
      <c r="W1161" t="str">
        <f>IF($N1161="","",Sync!$P1161)</f>
        <v/>
      </c>
    </row>
    <row r="1162" spans="14:23" x14ac:dyDescent="0.2">
      <c r="N1162" t="str">
        <f>IF(OR(Sync!$M1162="",$Q1162="",$Q1162="نامعتبر"),"",Sync!$M1162)</f>
        <v/>
      </c>
      <c r="O1162" t="str">
        <f t="shared" si="118"/>
        <v/>
      </c>
      <c r="P1162" t="str">
        <f>IF($N1162="","",LEFT($Q1162,4)&amp;MID($Q1162,6,2)&amp;RIGHT($Q1162,2)&amp;IF(Sync!$K1162="","0000",IF(AND(ISNUMBER(Sync!$K1162),Sync!$K1162&gt;=0,Sync!$K1162&lt;1),RIGHT("00"&amp;HOUR(Sync!$K1162),2)&amp;RIGHT("00"&amp;MINUTE(Sync!$K1162),2),IFERROR(RIGHT("00"&amp;VALUE(LEFT(Sync!$K1162,FIND(":",Sync!$K1162)-1)),2)&amp;RIGHT("00"&amp;VALUE(MID(Sync!$K1162,FIND(":",Sync!$K1162)+1,2)),2),"0000")))&amp;"|"&amp;"2"&amp;RIGHT("00000"&amp;1157,5))</f>
        <v/>
      </c>
      <c r="Q1162" t="str">
        <f>IF(Sync!$J1162="","",IF(ISNUMBER(Sync!$J1162),IF(AND(Sync!$J1162&gt;=10000101,Sync!$J1162&lt;=99991231),INT(Sync!$J1162/10000)&amp;"/"&amp;RIGHT("00"&amp;INT(MOD(Sync!$J1162,10000)/100),2)&amp;"/"&amp;RIGHT("00"&amp;MOD(Sync!$J1162,100),2),"نامعتبر"),IF(LEN(Sync!$J1162)=10,Sync!$J1162,"نامعتبر")))</f>
        <v/>
      </c>
      <c r="R1162" t="str">
        <f t="shared" si="119"/>
        <v/>
      </c>
      <c r="S1162" t="str">
        <f t="shared" si="120"/>
        <v/>
      </c>
      <c r="T1162" t="str">
        <f>IF($N1162="","",IF(Sync!$N1162="",0,Sync!$N1162))</f>
        <v/>
      </c>
      <c r="U1162" t="str">
        <f>IF($N1162="","",IF(Sync!$O1162="",0,Sync!$O1162))</f>
        <v/>
      </c>
      <c r="V1162" t="str">
        <f>IF($N1162="","",Sync!$L1162)</f>
        <v/>
      </c>
      <c r="W1162" t="str">
        <f>IF($N1162="","",Sync!$P1162)</f>
        <v/>
      </c>
    </row>
    <row r="1163" spans="14:23" x14ac:dyDescent="0.2">
      <c r="N1163" t="str">
        <f>IF(OR(Sync!$M1163="",$Q1163="",$Q1163="نامعتبر"),"",Sync!$M1163)</f>
        <v/>
      </c>
      <c r="O1163" t="str">
        <f t="shared" si="118"/>
        <v/>
      </c>
      <c r="P1163" t="str">
        <f>IF($N1163="","",LEFT($Q1163,4)&amp;MID($Q1163,6,2)&amp;RIGHT($Q1163,2)&amp;IF(Sync!$K1163="","0000",IF(AND(ISNUMBER(Sync!$K1163),Sync!$K1163&gt;=0,Sync!$K1163&lt;1),RIGHT("00"&amp;HOUR(Sync!$K1163),2)&amp;RIGHT("00"&amp;MINUTE(Sync!$K1163),2),IFERROR(RIGHT("00"&amp;VALUE(LEFT(Sync!$K1163,FIND(":",Sync!$K1163)-1)),2)&amp;RIGHT("00"&amp;VALUE(MID(Sync!$K1163,FIND(":",Sync!$K1163)+1,2)),2),"0000")))&amp;"|"&amp;"2"&amp;RIGHT("00000"&amp;1158,5))</f>
        <v/>
      </c>
      <c r="Q1163" t="str">
        <f>IF(Sync!$J1163="","",IF(ISNUMBER(Sync!$J1163),IF(AND(Sync!$J1163&gt;=10000101,Sync!$J1163&lt;=99991231),INT(Sync!$J1163/10000)&amp;"/"&amp;RIGHT("00"&amp;INT(MOD(Sync!$J1163,10000)/100),2)&amp;"/"&amp;RIGHT("00"&amp;MOD(Sync!$J1163,100),2),"نامعتبر"),IF(LEN(Sync!$J1163)=10,Sync!$J1163,"نامعتبر")))</f>
        <v/>
      </c>
      <c r="R1163" t="str">
        <f t="shared" si="119"/>
        <v/>
      </c>
      <c r="S1163" t="str">
        <f t="shared" si="120"/>
        <v/>
      </c>
      <c r="T1163" t="str">
        <f>IF($N1163="","",IF(Sync!$N1163="",0,Sync!$N1163))</f>
        <v/>
      </c>
      <c r="U1163" t="str">
        <f>IF($N1163="","",IF(Sync!$O1163="",0,Sync!$O1163))</f>
        <v/>
      </c>
      <c r="V1163" t="str">
        <f>IF($N1163="","",Sync!$L1163)</f>
        <v/>
      </c>
      <c r="W1163" t="str">
        <f>IF($N1163="","",Sync!$P1163)</f>
        <v/>
      </c>
    </row>
    <row r="1164" spans="14:23" x14ac:dyDescent="0.2">
      <c r="N1164" t="str">
        <f>IF(OR(Sync!$M1164="",$Q1164="",$Q1164="نامعتبر"),"",Sync!$M1164)</f>
        <v/>
      </c>
      <c r="O1164" t="str">
        <f t="shared" si="118"/>
        <v/>
      </c>
      <c r="P1164" t="str">
        <f>IF($N1164="","",LEFT($Q1164,4)&amp;MID($Q1164,6,2)&amp;RIGHT($Q1164,2)&amp;IF(Sync!$K1164="","0000",IF(AND(ISNUMBER(Sync!$K1164),Sync!$K1164&gt;=0,Sync!$K1164&lt;1),RIGHT("00"&amp;HOUR(Sync!$K1164),2)&amp;RIGHT("00"&amp;MINUTE(Sync!$K1164),2),IFERROR(RIGHT("00"&amp;VALUE(LEFT(Sync!$K1164,FIND(":",Sync!$K1164)-1)),2)&amp;RIGHT("00"&amp;VALUE(MID(Sync!$K1164,FIND(":",Sync!$K1164)+1,2)),2),"0000")))&amp;"|"&amp;"2"&amp;RIGHT("00000"&amp;1159,5))</f>
        <v/>
      </c>
      <c r="Q1164" t="str">
        <f>IF(Sync!$J1164="","",IF(ISNUMBER(Sync!$J1164),IF(AND(Sync!$J1164&gt;=10000101,Sync!$J1164&lt;=99991231),INT(Sync!$J1164/10000)&amp;"/"&amp;RIGHT("00"&amp;INT(MOD(Sync!$J1164,10000)/100),2)&amp;"/"&amp;RIGHT("00"&amp;MOD(Sync!$J1164,100),2),"نامعتبر"),IF(LEN(Sync!$J1164)=10,Sync!$J1164,"نامعتبر")))</f>
        <v/>
      </c>
      <c r="R1164" t="str">
        <f t="shared" si="119"/>
        <v/>
      </c>
      <c r="S1164" t="str">
        <f t="shared" si="120"/>
        <v/>
      </c>
      <c r="T1164" t="str">
        <f>IF($N1164="","",IF(Sync!$N1164="",0,Sync!$N1164))</f>
        <v/>
      </c>
      <c r="U1164" t="str">
        <f>IF($N1164="","",IF(Sync!$O1164="",0,Sync!$O1164))</f>
        <v/>
      </c>
      <c r="V1164" t="str">
        <f>IF($N1164="","",Sync!$L1164)</f>
        <v/>
      </c>
      <c r="W1164" t="str">
        <f>IF($N1164="","",Sync!$P1164)</f>
        <v/>
      </c>
    </row>
    <row r="1165" spans="14:23" x14ac:dyDescent="0.2">
      <c r="N1165" t="str">
        <f>IF(OR(Sync!$M1165="",$Q1165="",$Q1165="نامعتبر"),"",Sync!$M1165)</f>
        <v/>
      </c>
      <c r="O1165" t="str">
        <f t="shared" si="118"/>
        <v/>
      </c>
      <c r="P1165" t="str">
        <f>IF($N1165="","",LEFT($Q1165,4)&amp;MID($Q1165,6,2)&amp;RIGHT($Q1165,2)&amp;IF(Sync!$K1165="","0000",IF(AND(ISNUMBER(Sync!$K1165),Sync!$K1165&gt;=0,Sync!$K1165&lt;1),RIGHT("00"&amp;HOUR(Sync!$K1165),2)&amp;RIGHT("00"&amp;MINUTE(Sync!$K1165),2),IFERROR(RIGHT("00"&amp;VALUE(LEFT(Sync!$K1165,FIND(":",Sync!$K1165)-1)),2)&amp;RIGHT("00"&amp;VALUE(MID(Sync!$K1165,FIND(":",Sync!$K1165)+1,2)),2),"0000")))&amp;"|"&amp;"2"&amp;RIGHT("00000"&amp;1160,5))</f>
        <v/>
      </c>
      <c r="Q1165" t="str">
        <f>IF(Sync!$J1165="","",IF(ISNUMBER(Sync!$J1165),IF(AND(Sync!$J1165&gt;=10000101,Sync!$J1165&lt;=99991231),INT(Sync!$J1165/10000)&amp;"/"&amp;RIGHT("00"&amp;INT(MOD(Sync!$J1165,10000)/100),2)&amp;"/"&amp;RIGHT("00"&amp;MOD(Sync!$J1165,100),2),"نامعتبر"),IF(LEN(Sync!$J1165)=10,Sync!$J1165,"نامعتبر")))</f>
        <v/>
      </c>
      <c r="R1165" t="str">
        <f t="shared" si="119"/>
        <v/>
      </c>
      <c r="S1165" t="str">
        <f t="shared" si="120"/>
        <v/>
      </c>
      <c r="T1165" t="str">
        <f>IF($N1165="","",IF(Sync!$N1165="",0,Sync!$N1165))</f>
        <v/>
      </c>
      <c r="U1165" t="str">
        <f>IF($N1165="","",IF(Sync!$O1165="",0,Sync!$O1165))</f>
        <v/>
      </c>
      <c r="V1165" t="str">
        <f>IF($N1165="","",Sync!$L1165)</f>
        <v/>
      </c>
      <c r="W1165" t="str">
        <f>IF($N1165="","",Sync!$P1165)</f>
        <v/>
      </c>
    </row>
    <row r="1166" spans="14:23" x14ac:dyDescent="0.2">
      <c r="N1166" t="str">
        <f>IF(OR(Sync!$M1166="",$Q1166="",$Q1166="نامعتبر"),"",Sync!$M1166)</f>
        <v/>
      </c>
      <c r="O1166" t="str">
        <f t="shared" si="118"/>
        <v/>
      </c>
      <c r="P1166" t="str">
        <f>IF($N1166="","",LEFT($Q1166,4)&amp;MID($Q1166,6,2)&amp;RIGHT($Q1166,2)&amp;IF(Sync!$K1166="","0000",IF(AND(ISNUMBER(Sync!$K1166),Sync!$K1166&gt;=0,Sync!$K1166&lt;1),RIGHT("00"&amp;HOUR(Sync!$K1166),2)&amp;RIGHT("00"&amp;MINUTE(Sync!$K1166),2),IFERROR(RIGHT("00"&amp;VALUE(LEFT(Sync!$K1166,FIND(":",Sync!$K1166)-1)),2)&amp;RIGHT("00"&amp;VALUE(MID(Sync!$K1166,FIND(":",Sync!$K1166)+1,2)),2),"0000")))&amp;"|"&amp;"2"&amp;RIGHT("00000"&amp;1161,5))</f>
        <v/>
      </c>
      <c r="Q1166" t="str">
        <f>IF(Sync!$J1166="","",IF(ISNUMBER(Sync!$J1166),IF(AND(Sync!$J1166&gt;=10000101,Sync!$J1166&lt;=99991231),INT(Sync!$J1166/10000)&amp;"/"&amp;RIGHT("00"&amp;INT(MOD(Sync!$J1166,10000)/100),2)&amp;"/"&amp;RIGHT("00"&amp;MOD(Sync!$J1166,100),2),"نامعتبر"),IF(LEN(Sync!$J1166)=10,Sync!$J1166,"نامعتبر")))</f>
        <v/>
      </c>
      <c r="R1166" t="str">
        <f t="shared" si="119"/>
        <v/>
      </c>
      <c r="S1166" t="str">
        <f t="shared" si="120"/>
        <v/>
      </c>
      <c r="T1166" t="str">
        <f>IF($N1166="","",IF(Sync!$N1166="",0,Sync!$N1166))</f>
        <v/>
      </c>
      <c r="U1166" t="str">
        <f>IF($N1166="","",IF(Sync!$O1166="",0,Sync!$O1166))</f>
        <v/>
      </c>
      <c r="V1166" t="str">
        <f>IF($N1166="","",Sync!$L1166)</f>
        <v/>
      </c>
      <c r="W1166" t="str">
        <f>IF($N1166="","",Sync!$P1166)</f>
        <v/>
      </c>
    </row>
    <row r="1167" spans="14:23" x14ac:dyDescent="0.2">
      <c r="N1167" t="str">
        <f>IF(OR(Sync!$M1167="",$Q1167="",$Q1167="نامعتبر"),"",Sync!$M1167)</f>
        <v/>
      </c>
      <c r="O1167" t="str">
        <f t="shared" si="118"/>
        <v/>
      </c>
      <c r="P1167" t="str">
        <f>IF($N1167="","",LEFT($Q1167,4)&amp;MID($Q1167,6,2)&amp;RIGHT($Q1167,2)&amp;IF(Sync!$K1167="","0000",IF(AND(ISNUMBER(Sync!$K1167),Sync!$K1167&gt;=0,Sync!$K1167&lt;1),RIGHT("00"&amp;HOUR(Sync!$K1167),2)&amp;RIGHT("00"&amp;MINUTE(Sync!$K1167),2),IFERROR(RIGHT("00"&amp;VALUE(LEFT(Sync!$K1167,FIND(":",Sync!$K1167)-1)),2)&amp;RIGHT("00"&amp;VALUE(MID(Sync!$K1167,FIND(":",Sync!$K1167)+1,2)),2),"0000")))&amp;"|"&amp;"2"&amp;RIGHT("00000"&amp;1162,5))</f>
        <v/>
      </c>
      <c r="Q1167" t="str">
        <f>IF(Sync!$J1167="","",IF(ISNUMBER(Sync!$J1167),IF(AND(Sync!$J1167&gt;=10000101,Sync!$J1167&lt;=99991231),INT(Sync!$J1167/10000)&amp;"/"&amp;RIGHT("00"&amp;INT(MOD(Sync!$J1167,10000)/100),2)&amp;"/"&amp;RIGHT("00"&amp;MOD(Sync!$J1167,100),2),"نامعتبر"),IF(LEN(Sync!$J1167)=10,Sync!$J1167,"نامعتبر")))</f>
        <v/>
      </c>
      <c r="R1167" t="str">
        <f t="shared" si="119"/>
        <v/>
      </c>
      <c r="S1167" t="str">
        <f t="shared" si="120"/>
        <v/>
      </c>
      <c r="T1167" t="str">
        <f>IF($N1167="","",IF(Sync!$N1167="",0,Sync!$N1167))</f>
        <v/>
      </c>
      <c r="U1167" t="str">
        <f>IF($N1167="","",IF(Sync!$O1167="",0,Sync!$O1167))</f>
        <v/>
      </c>
      <c r="V1167" t="str">
        <f>IF($N1167="","",Sync!$L1167)</f>
        <v/>
      </c>
      <c r="W1167" t="str">
        <f>IF($N1167="","",Sync!$P1167)</f>
        <v/>
      </c>
    </row>
    <row r="1168" spans="14:23" x14ac:dyDescent="0.2">
      <c r="N1168" t="str">
        <f>IF(OR(Sync!$M1168="",$Q1168="",$Q1168="نامعتبر"),"",Sync!$M1168)</f>
        <v/>
      </c>
      <c r="O1168" t="str">
        <f t="shared" si="118"/>
        <v/>
      </c>
      <c r="P1168" t="str">
        <f>IF($N1168="","",LEFT($Q1168,4)&amp;MID($Q1168,6,2)&amp;RIGHT($Q1168,2)&amp;IF(Sync!$K1168="","0000",IF(AND(ISNUMBER(Sync!$K1168),Sync!$K1168&gt;=0,Sync!$K1168&lt;1),RIGHT("00"&amp;HOUR(Sync!$K1168),2)&amp;RIGHT("00"&amp;MINUTE(Sync!$K1168),2),IFERROR(RIGHT("00"&amp;VALUE(LEFT(Sync!$K1168,FIND(":",Sync!$K1168)-1)),2)&amp;RIGHT("00"&amp;VALUE(MID(Sync!$K1168,FIND(":",Sync!$K1168)+1,2)),2),"0000")))&amp;"|"&amp;"2"&amp;RIGHT("00000"&amp;1163,5))</f>
        <v/>
      </c>
      <c r="Q1168" t="str">
        <f>IF(Sync!$J1168="","",IF(ISNUMBER(Sync!$J1168),IF(AND(Sync!$J1168&gt;=10000101,Sync!$J1168&lt;=99991231),INT(Sync!$J1168/10000)&amp;"/"&amp;RIGHT("00"&amp;INT(MOD(Sync!$J1168,10000)/100),2)&amp;"/"&amp;RIGHT("00"&amp;MOD(Sync!$J1168,100),2),"نامعتبر"),IF(LEN(Sync!$J1168)=10,Sync!$J1168,"نامعتبر")))</f>
        <v/>
      </c>
      <c r="R1168" t="str">
        <f t="shared" si="119"/>
        <v/>
      </c>
      <c r="S1168" t="str">
        <f t="shared" si="120"/>
        <v/>
      </c>
      <c r="T1168" t="str">
        <f>IF($N1168="","",IF(Sync!$N1168="",0,Sync!$N1168))</f>
        <v/>
      </c>
      <c r="U1168" t="str">
        <f>IF($N1168="","",IF(Sync!$O1168="",0,Sync!$O1168))</f>
        <v/>
      </c>
      <c r="V1168" t="str">
        <f>IF($N1168="","",Sync!$L1168)</f>
        <v/>
      </c>
      <c r="W1168" t="str">
        <f>IF($N1168="","",Sync!$P1168)</f>
        <v/>
      </c>
    </row>
    <row r="1169" spans="14:23" x14ac:dyDescent="0.2">
      <c r="N1169" t="str">
        <f>IF(OR(Sync!$M1169="",$Q1169="",$Q1169="نامعتبر"),"",Sync!$M1169)</f>
        <v/>
      </c>
      <c r="O1169" t="str">
        <f t="shared" si="118"/>
        <v/>
      </c>
      <c r="P1169" t="str">
        <f>IF($N1169="","",LEFT($Q1169,4)&amp;MID($Q1169,6,2)&amp;RIGHT($Q1169,2)&amp;IF(Sync!$K1169="","0000",IF(AND(ISNUMBER(Sync!$K1169),Sync!$K1169&gt;=0,Sync!$K1169&lt;1),RIGHT("00"&amp;HOUR(Sync!$K1169),2)&amp;RIGHT("00"&amp;MINUTE(Sync!$K1169),2),IFERROR(RIGHT("00"&amp;VALUE(LEFT(Sync!$K1169,FIND(":",Sync!$K1169)-1)),2)&amp;RIGHT("00"&amp;VALUE(MID(Sync!$K1169,FIND(":",Sync!$K1169)+1,2)),2),"0000")))&amp;"|"&amp;"2"&amp;RIGHT("00000"&amp;1164,5))</f>
        <v/>
      </c>
      <c r="Q1169" t="str">
        <f>IF(Sync!$J1169="","",IF(ISNUMBER(Sync!$J1169),IF(AND(Sync!$J1169&gt;=10000101,Sync!$J1169&lt;=99991231),INT(Sync!$J1169/10000)&amp;"/"&amp;RIGHT("00"&amp;INT(MOD(Sync!$J1169,10000)/100),2)&amp;"/"&amp;RIGHT("00"&amp;MOD(Sync!$J1169,100),2),"نامعتبر"),IF(LEN(Sync!$J1169)=10,Sync!$J1169,"نامعتبر")))</f>
        <v/>
      </c>
      <c r="R1169" t="str">
        <f t="shared" si="119"/>
        <v/>
      </c>
      <c r="S1169" t="str">
        <f t="shared" si="120"/>
        <v/>
      </c>
      <c r="T1169" t="str">
        <f>IF($N1169="","",IF(Sync!$N1169="",0,Sync!$N1169))</f>
        <v/>
      </c>
      <c r="U1169" t="str">
        <f>IF($N1169="","",IF(Sync!$O1169="",0,Sync!$O1169))</f>
        <v/>
      </c>
      <c r="V1169" t="str">
        <f>IF($N1169="","",Sync!$L1169)</f>
        <v/>
      </c>
      <c r="W1169" t="str">
        <f>IF($N1169="","",Sync!$P1169)</f>
        <v/>
      </c>
    </row>
    <row r="1170" spans="14:23" x14ac:dyDescent="0.2">
      <c r="N1170" t="str">
        <f>IF(OR(Sync!$M1170="",$Q1170="",$Q1170="نامعتبر"),"",Sync!$M1170)</f>
        <v/>
      </c>
      <c r="O1170" t="str">
        <f t="shared" si="118"/>
        <v/>
      </c>
      <c r="P1170" t="str">
        <f>IF($N1170="","",LEFT($Q1170,4)&amp;MID($Q1170,6,2)&amp;RIGHT($Q1170,2)&amp;IF(Sync!$K1170="","0000",IF(AND(ISNUMBER(Sync!$K1170),Sync!$K1170&gt;=0,Sync!$K1170&lt;1),RIGHT("00"&amp;HOUR(Sync!$K1170),2)&amp;RIGHT("00"&amp;MINUTE(Sync!$K1170),2),IFERROR(RIGHT("00"&amp;VALUE(LEFT(Sync!$K1170,FIND(":",Sync!$K1170)-1)),2)&amp;RIGHT("00"&amp;VALUE(MID(Sync!$K1170,FIND(":",Sync!$K1170)+1,2)),2),"0000")))&amp;"|"&amp;"2"&amp;RIGHT("00000"&amp;1165,5))</f>
        <v/>
      </c>
      <c r="Q1170" t="str">
        <f>IF(Sync!$J1170="","",IF(ISNUMBER(Sync!$J1170),IF(AND(Sync!$J1170&gt;=10000101,Sync!$J1170&lt;=99991231),INT(Sync!$J1170/10000)&amp;"/"&amp;RIGHT("00"&amp;INT(MOD(Sync!$J1170,10000)/100),2)&amp;"/"&amp;RIGHT("00"&amp;MOD(Sync!$J1170,100),2),"نامعتبر"),IF(LEN(Sync!$J1170)=10,Sync!$J1170,"نامعتبر")))</f>
        <v/>
      </c>
      <c r="R1170" t="str">
        <f t="shared" si="119"/>
        <v/>
      </c>
      <c r="S1170" t="str">
        <f t="shared" si="120"/>
        <v/>
      </c>
      <c r="T1170" t="str">
        <f>IF($N1170="","",IF(Sync!$N1170="",0,Sync!$N1170))</f>
        <v/>
      </c>
      <c r="U1170" t="str">
        <f>IF($N1170="","",IF(Sync!$O1170="",0,Sync!$O1170))</f>
        <v/>
      </c>
      <c r="V1170" t="str">
        <f>IF($N1170="","",Sync!$L1170)</f>
        <v/>
      </c>
      <c r="W1170" t="str">
        <f>IF($N1170="","",Sync!$P1170)</f>
        <v/>
      </c>
    </row>
    <row r="1171" spans="14:23" x14ac:dyDescent="0.2">
      <c r="N1171" t="str">
        <f>IF(OR(Sync!$M1171="",$Q1171="",$Q1171="نامعتبر"),"",Sync!$M1171)</f>
        <v/>
      </c>
      <c r="O1171" t="str">
        <f t="shared" si="118"/>
        <v/>
      </c>
      <c r="P1171" t="str">
        <f>IF($N1171="","",LEFT($Q1171,4)&amp;MID($Q1171,6,2)&amp;RIGHT($Q1171,2)&amp;IF(Sync!$K1171="","0000",IF(AND(ISNUMBER(Sync!$K1171),Sync!$K1171&gt;=0,Sync!$K1171&lt;1),RIGHT("00"&amp;HOUR(Sync!$K1171),2)&amp;RIGHT("00"&amp;MINUTE(Sync!$K1171),2),IFERROR(RIGHT("00"&amp;VALUE(LEFT(Sync!$K1171,FIND(":",Sync!$K1171)-1)),2)&amp;RIGHT("00"&amp;VALUE(MID(Sync!$K1171,FIND(":",Sync!$K1171)+1,2)),2),"0000")))&amp;"|"&amp;"2"&amp;RIGHT("00000"&amp;1166,5))</f>
        <v/>
      </c>
      <c r="Q1171" t="str">
        <f>IF(Sync!$J1171="","",IF(ISNUMBER(Sync!$J1171),IF(AND(Sync!$J1171&gt;=10000101,Sync!$J1171&lt;=99991231),INT(Sync!$J1171/10000)&amp;"/"&amp;RIGHT("00"&amp;INT(MOD(Sync!$J1171,10000)/100),2)&amp;"/"&amp;RIGHT("00"&amp;MOD(Sync!$J1171,100),2),"نامعتبر"),IF(LEN(Sync!$J1171)=10,Sync!$J1171,"نامعتبر")))</f>
        <v/>
      </c>
      <c r="R1171" t="str">
        <f t="shared" si="119"/>
        <v/>
      </c>
      <c r="S1171" t="str">
        <f t="shared" si="120"/>
        <v/>
      </c>
      <c r="T1171" t="str">
        <f>IF($N1171="","",IF(Sync!$N1171="",0,Sync!$N1171))</f>
        <v/>
      </c>
      <c r="U1171" t="str">
        <f>IF($N1171="","",IF(Sync!$O1171="",0,Sync!$O1171))</f>
        <v/>
      </c>
      <c r="V1171" t="str">
        <f>IF($N1171="","",Sync!$L1171)</f>
        <v/>
      </c>
      <c r="W1171" t="str">
        <f>IF($N1171="","",Sync!$P1171)</f>
        <v/>
      </c>
    </row>
    <row r="1172" spans="14:23" x14ac:dyDescent="0.2">
      <c r="N1172" t="str">
        <f>IF(OR(Sync!$M1172="",$Q1172="",$Q1172="نامعتبر"),"",Sync!$M1172)</f>
        <v/>
      </c>
      <c r="O1172" t="str">
        <f t="shared" si="118"/>
        <v/>
      </c>
      <c r="P1172" t="str">
        <f>IF($N1172="","",LEFT($Q1172,4)&amp;MID($Q1172,6,2)&amp;RIGHT($Q1172,2)&amp;IF(Sync!$K1172="","0000",IF(AND(ISNUMBER(Sync!$K1172),Sync!$K1172&gt;=0,Sync!$K1172&lt;1),RIGHT("00"&amp;HOUR(Sync!$K1172),2)&amp;RIGHT("00"&amp;MINUTE(Sync!$K1172),2),IFERROR(RIGHT("00"&amp;VALUE(LEFT(Sync!$K1172,FIND(":",Sync!$K1172)-1)),2)&amp;RIGHT("00"&amp;VALUE(MID(Sync!$K1172,FIND(":",Sync!$K1172)+1,2)),2),"0000")))&amp;"|"&amp;"2"&amp;RIGHT("00000"&amp;1167,5))</f>
        <v/>
      </c>
      <c r="Q1172" t="str">
        <f>IF(Sync!$J1172="","",IF(ISNUMBER(Sync!$J1172),IF(AND(Sync!$J1172&gt;=10000101,Sync!$J1172&lt;=99991231),INT(Sync!$J1172/10000)&amp;"/"&amp;RIGHT("00"&amp;INT(MOD(Sync!$J1172,10000)/100),2)&amp;"/"&amp;RIGHT("00"&amp;MOD(Sync!$J1172,100),2),"نامعتبر"),IF(LEN(Sync!$J1172)=10,Sync!$J1172,"نامعتبر")))</f>
        <v/>
      </c>
      <c r="R1172" t="str">
        <f t="shared" si="119"/>
        <v/>
      </c>
      <c r="S1172" t="str">
        <f t="shared" si="120"/>
        <v/>
      </c>
      <c r="T1172" t="str">
        <f>IF($N1172="","",IF(Sync!$N1172="",0,Sync!$N1172))</f>
        <v/>
      </c>
      <c r="U1172" t="str">
        <f>IF($N1172="","",IF(Sync!$O1172="",0,Sync!$O1172))</f>
        <v/>
      </c>
      <c r="V1172" t="str">
        <f>IF($N1172="","",Sync!$L1172)</f>
        <v/>
      </c>
      <c r="W1172" t="str">
        <f>IF($N1172="","",Sync!$P1172)</f>
        <v/>
      </c>
    </row>
    <row r="1173" spans="14:23" x14ac:dyDescent="0.2">
      <c r="N1173" t="str">
        <f>IF(OR(Sync!$M1173="",$Q1173="",$Q1173="نامعتبر"),"",Sync!$M1173)</f>
        <v/>
      </c>
      <c r="O1173" t="str">
        <f t="shared" si="118"/>
        <v/>
      </c>
      <c r="P1173" t="str">
        <f>IF($N1173="","",LEFT($Q1173,4)&amp;MID($Q1173,6,2)&amp;RIGHT($Q1173,2)&amp;IF(Sync!$K1173="","0000",IF(AND(ISNUMBER(Sync!$K1173),Sync!$K1173&gt;=0,Sync!$K1173&lt;1),RIGHT("00"&amp;HOUR(Sync!$K1173),2)&amp;RIGHT("00"&amp;MINUTE(Sync!$K1173),2),IFERROR(RIGHT("00"&amp;VALUE(LEFT(Sync!$K1173,FIND(":",Sync!$K1173)-1)),2)&amp;RIGHT("00"&amp;VALUE(MID(Sync!$K1173,FIND(":",Sync!$K1173)+1,2)),2),"0000")))&amp;"|"&amp;"2"&amp;RIGHT("00000"&amp;1168,5))</f>
        <v/>
      </c>
      <c r="Q1173" t="str">
        <f>IF(Sync!$J1173="","",IF(ISNUMBER(Sync!$J1173),IF(AND(Sync!$J1173&gt;=10000101,Sync!$J1173&lt;=99991231),INT(Sync!$J1173/10000)&amp;"/"&amp;RIGHT("00"&amp;INT(MOD(Sync!$J1173,10000)/100),2)&amp;"/"&amp;RIGHT("00"&amp;MOD(Sync!$J1173,100),2),"نامعتبر"),IF(LEN(Sync!$J1173)=10,Sync!$J1173,"نامعتبر")))</f>
        <v/>
      </c>
      <c r="R1173" t="str">
        <f t="shared" si="119"/>
        <v/>
      </c>
      <c r="S1173" t="str">
        <f t="shared" si="120"/>
        <v/>
      </c>
      <c r="T1173" t="str">
        <f>IF($N1173="","",IF(Sync!$N1173="",0,Sync!$N1173))</f>
        <v/>
      </c>
      <c r="U1173" t="str">
        <f>IF($N1173="","",IF(Sync!$O1173="",0,Sync!$O1173))</f>
        <v/>
      </c>
      <c r="V1173" t="str">
        <f>IF($N1173="","",Sync!$L1173)</f>
        <v/>
      </c>
      <c r="W1173" t="str">
        <f>IF($N1173="","",Sync!$P1173)</f>
        <v/>
      </c>
    </row>
    <row r="1174" spans="14:23" x14ac:dyDescent="0.2">
      <c r="N1174" t="str">
        <f>IF(OR(Sync!$M1174="",$Q1174="",$Q1174="نامعتبر"),"",Sync!$M1174)</f>
        <v/>
      </c>
      <c r="O1174" t="str">
        <f t="shared" si="118"/>
        <v/>
      </c>
      <c r="P1174" t="str">
        <f>IF($N1174="","",LEFT($Q1174,4)&amp;MID($Q1174,6,2)&amp;RIGHT($Q1174,2)&amp;IF(Sync!$K1174="","0000",IF(AND(ISNUMBER(Sync!$K1174),Sync!$K1174&gt;=0,Sync!$K1174&lt;1),RIGHT("00"&amp;HOUR(Sync!$K1174),2)&amp;RIGHT("00"&amp;MINUTE(Sync!$K1174),2),IFERROR(RIGHT("00"&amp;VALUE(LEFT(Sync!$K1174,FIND(":",Sync!$K1174)-1)),2)&amp;RIGHT("00"&amp;VALUE(MID(Sync!$K1174,FIND(":",Sync!$K1174)+1,2)),2),"0000")))&amp;"|"&amp;"2"&amp;RIGHT("00000"&amp;1169,5))</f>
        <v/>
      </c>
      <c r="Q1174" t="str">
        <f>IF(Sync!$J1174="","",IF(ISNUMBER(Sync!$J1174),IF(AND(Sync!$J1174&gt;=10000101,Sync!$J1174&lt;=99991231),INT(Sync!$J1174/10000)&amp;"/"&amp;RIGHT("00"&amp;INT(MOD(Sync!$J1174,10000)/100),2)&amp;"/"&amp;RIGHT("00"&amp;MOD(Sync!$J1174,100),2),"نامعتبر"),IF(LEN(Sync!$J1174)=10,Sync!$J1174,"نامعتبر")))</f>
        <v/>
      </c>
      <c r="R1174" t="str">
        <f t="shared" si="119"/>
        <v/>
      </c>
      <c r="S1174" t="str">
        <f t="shared" si="120"/>
        <v/>
      </c>
      <c r="T1174" t="str">
        <f>IF($N1174="","",IF(Sync!$N1174="",0,Sync!$N1174))</f>
        <v/>
      </c>
      <c r="U1174" t="str">
        <f>IF($N1174="","",IF(Sync!$O1174="",0,Sync!$O1174))</f>
        <v/>
      </c>
      <c r="V1174" t="str">
        <f>IF($N1174="","",Sync!$L1174)</f>
        <v/>
      </c>
      <c r="W1174" t="str">
        <f>IF($N1174="","",Sync!$P1174)</f>
        <v/>
      </c>
    </row>
    <row r="1175" spans="14:23" x14ac:dyDescent="0.2">
      <c r="N1175" t="str">
        <f>IF(OR(Sync!$M1175="",$Q1175="",$Q1175="نامعتبر"),"",Sync!$M1175)</f>
        <v/>
      </c>
      <c r="O1175" t="str">
        <f t="shared" si="118"/>
        <v/>
      </c>
      <c r="P1175" t="str">
        <f>IF($N1175="","",LEFT($Q1175,4)&amp;MID($Q1175,6,2)&amp;RIGHT($Q1175,2)&amp;IF(Sync!$K1175="","0000",IF(AND(ISNUMBER(Sync!$K1175),Sync!$K1175&gt;=0,Sync!$K1175&lt;1),RIGHT("00"&amp;HOUR(Sync!$K1175),2)&amp;RIGHT("00"&amp;MINUTE(Sync!$K1175),2),IFERROR(RIGHT("00"&amp;VALUE(LEFT(Sync!$K1175,FIND(":",Sync!$K1175)-1)),2)&amp;RIGHT("00"&amp;VALUE(MID(Sync!$K1175,FIND(":",Sync!$K1175)+1,2)),2),"0000")))&amp;"|"&amp;"2"&amp;RIGHT("00000"&amp;1170,5))</f>
        <v/>
      </c>
      <c r="Q1175" t="str">
        <f>IF(Sync!$J1175="","",IF(ISNUMBER(Sync!$J1175),IF(AND(Sync!$J1175&gt;=10000101,Sync!$J1175&lt;=99991231),INT(Sync!$J1175/10000)&amp;"/"&amp;RIGHT("00"&amp;INT(MOD(Sync!$J1175,10000)/100),2)&amp;"/"&amp;RIGHT("00"&amp;MOD(Sync!$J1175,100),2),"نامعتبر"),IF(LEN(Sync!$J1175)=10,Sync!$J1175,"نامعتبر")))</f>
        <v/>
      </c>
      <c r="R1175" t="str">
        <f t="shared" si="119"/>
        <v/>
      </c>
      <c r="S1175" t="str">
        <f t="shared" si="120"/>
        <v/>
      </c>
      <c r="T1175" t="str">
        <f>IF($N1175="","",IF(Sync!$N1175="",0,Sync!$N1175))</f>
        <v/>
      </c>
      <c r="U1175" t="str">
        <f>IF($N1175="","",IF(Sync!$O1175="",0,Sync!$O1175))</f>
        <v/>
      </c>
      <c r="V1175" t="str">
        <f>IF($N1175="","",Sync!$L1175)</f>
        <v/>
      </c>
      <c r="W1175" t="str">
        <f>IF($N1175="","",Sync!$P1175)</f>
        <v/>
      </c>
    </row>
    <row r="1176" spans="14:23" x14ac:dyDescent="0.2">
      <c r="N1176" t="str">
        <f>IF(OR(Sync!$M1176="",$Q1176="",$Q1176="نامعتبر"),"",Sync!$M1176)</f>
        <v/>
      </c>
      <c r="O1176" t="str">
        <f t="shared" si="118"/>
        <v/>
      </c>
      <c r="P1176" t="str">
        <f>IF($N1176="","",LEFT($Q1176,4)&amp;MID($Q1176,6,2)&amp;RIGHT($Q1176,2)&amp;IF(Sync!$K1176="","0000",IF(AND(ISNUMBER(Sync!$K1176),Sync!$K1176&gt;=0,Sync!$K1176&lt;1),RIGHT("00"&amp;HOUR(Sync!$K1176),2)&amp;RIGHT("00"&amp;MINUTE(Sync!$K1176),2),IFERROR(RIGHT("00"&amp;VALUE(LEFT(Sync!$K1176,FIND(":",Sync!$K1176)-1)),2)&amp;RIGHT("00"&amp;VALUE(MID(Sync!$K1176,FIND(":",Sync!$K1176)+1,2)),2),"0000")))&amp;"|"&amp;"2"&amp;RIGHT("00000"&amp;1171,5))</f>
        <v/>
      </c>
      <c r="Q1176" t="str">
        <f>IF(Sync!$J1176="","",IF(ISNUMBER(Sync!$J1176),IF(AND(Sync!$J1176&gt;=10000101,Sync!$J1176&lt;=99991231),INT(Sync!$J1176/10000)&amp;"/"&amp;RIGHT("00"&amp;INT(MOD(Sync!$J1176,10000)/100),2)&amp;"/"&amp;RIGHT("00"&amp;MOD(Sync!$J1176,100),2),"نامعتبر"),IF(LEN(Sync!$J1176)=10,Sync!$J1176,"نامعتبر")))</f>
        <v/>
      </c>
      <c r="R1176" t="str">
        <f t="shared" si="119"/>
        <v/>
      </c>
      <c r="S1176" t="str">
        <f t="shared" si="120"/>
        <v/>
      </c>
      <c r="T1176" t="str">
        <f>IF($N1176="","",IF(Sync!$N1176="",0,Sync!$N1176))</f>
        <v/>
      </c>
      <c r="U1176" t="str">
        <f>IF($N1176="","",IF(Sync!$O1176="",0,Sync!$O1176))</f>
        <v/>
      </c>
      <c r="V1176" t="str">
        <f>IF($N1176="","",Sync!$L1176)</f>
        <v/>
      </c>
      <c r="W1176" t="str">
        <f>IF($N1176="","",Sync!$P1176)</f>
        <v/>
      </c>
    </row>
    <row r="1177" spans="14:23" x14ac:dyDescent="0.2">
      <c r="N1177" t="str">
        <f>IF(OR(Sync!$M1177="",$Q1177="",$Q1177="نامعتبر"),"",Sync!$M1177)</f>
        <v/>
      </c>
      <c r="O1177" t="str">
        <f t="shared" si="118"/>
        <v/>
      </c>
      <c r="P1177" t="str">
        <f>IF($N1177="","",LEFT($Q1177,4)&amp;MID($Q1177,6,2)&amp;RIGHT($Q1177,2)&amp;IF(Sync!$K1177="","0000",IF(AND(ISNUMBER(Sync!$K1177),Sync!$K1177&gt;=0,Sync!$K1177&lt;1),RIGHT("00"&amp;HOUR(Sync!$K1177),2)&amp;RIGHT("00"&amp;MINUTE(Sync!$K1177),2),IFERROR(RIGHT("00"&amp;VALUE(LEFT(Sync!$K1177,FIND(":",Sync!$K1177)-1)),2)&amp;RIGHT("00"&amp;VALUE(MID(Sync!$K1177,FIND(":",Sync!$K1177)+1,2)),2),"0000")))&amp;"|"&amp;"2"&amp;RIGHT("00000"&amp;1172,5))</f>
        <v/>
      </c>
      <c r="Q1177" t="str">
        <f>IF(Sync!$J1177="","",IF(ISNUMBER(Sync!$J1177),IF(AND(Sync!$J1177&gt;=10000101,Sync!$J1177&lt;=99991231),INT(Sync!$J1177/10000)&amp;"/"&amp;RIGHT("00"&amp;INT(MOD(Sync!$J1177,10000)/100),2)&amp;"/"&amp;RIGHT("00"&amp;MOD(Sync!$J1177,100),2),"نامعتبر"),IF(LEN(Sync!$J1177)=10,Sync!$J1177,"نامعتبر")))</f>
        <v/>
      </c>
      <c r="R1177" t="str">
        <f t="shared" si="119"/>
        <v/>
      </c>
      <c r="S1177" t="str">
        <f t="shared" si="120"/>
        <v/>
      </c>
      <c r="T1177" t="str">
        <f>IF($N1177="","",IF(Sync!$N1177="",0,Sync!$N1177))</f>
        <v/>
      </c>
      <c r="U1177" t="str">
        <f>IF($N1177="","",IF(Sync!$O1177="",0,Sync!$O1177))</f>
        <v/>
      </c>
      <c r="V1177" t="str">
        <f>IF($N1177="","",Sync!$L1177)</f>
        <v/>
      </c>
      <c r="W1177" t="str">
        <f>IF($N1177="","",Sync!$P1177)</f>
        <v/>
      </c>
    </row>
    <row r="1178" spans="14:23" x14ac:dyDescent="0.2">
      <c r="N1178" t="str">
        <f>IF(OR(Sync!$M1178="",$Q1178="",$Q1178="نامعتبر"),"",Sync!$M1178)</f>
        <v/>
      </c>
      <c r="O1178" t="str">
        <f t="shared" si="118"/>
        <v/>
      </c>
      <c r="P1178" t="str">
        <f>IF($N1178="","",LEFT($Q1178,4)&amp;MID($Q1178,6,2)&amp;RIGHT($Q1178,2)&amp;IF(Sync!$K1178="","0000",IF(AND(ISNUMBER(Sync!$K1178),Sync!$K1178&gt;=0,Sync!$K1178&lt;1),RIGHT("00"&amp;HOUR(Sync!$K1178),2)&amp;RIGHT("00"&amp;MINUTE(Sync!$K1178),2),IFERROR(RIGHT("00"&amp;VALUE(LEFT(Sync!$K1178,FIND(":",Sync!$K1178)-1)),2)&amp;RIGHT("00"&amp;VALUE(MID(Sync!$K1178,FIND(":",Sync!$K1178)+1,2)),2),"0000")))&amp;"|"&amp;"2"&amp;RIGHT("00000"&amp;1173,5))</f>
        <v/>
      </c>
      <c r="Q1178" t="str">
        <f>IF(Sync!$J1178="","",IF(ISNUMBER(Sync!$J1178),IF(AND(Sync!$J1178&gt;=10000101,Sync!$J1178&lt;=99991231),INT(Sync!$J1178/10000)&amp;"/"&amp;RIGHT("00"&amp;INT(MOD(Sync!$J1178,10000)/100),2)&amp;"/"&amp;RIGHT("00"&amp;MOD(Sync!$J1178,100),2),"نامعتبر"),IF(LEN(Sync!$J1178)=10,Sync!$J1178,"نامعتبر")))</f>
        <v/>
      </c>
      <c r="R1178" t="str">
        <f t="shared" si="119"/>
        <v/>
      </c>
      <c r="S1178" t="str">
        <f t="shared" si="120"/>
        <v/>
      </c>
      <c r="T1178" t="str">
        <f>IF($N1178="","",IF(Sync!$N1178="",0,Sync!$N1178))</f>
        <v/>
      </c>
      <c r="U1178" t="str">
        <f>IF($N1178="","",IF(Sync!$O1178="",0,Sync!$O1178))</f>
        <v/>
      </c>
      <c r="V1178" t="str">
        <f>IF($N1178="","",Sync!$L1178)</f>
        <v/>
      </c>
      <c r="W1178" t="str">
        <f>IF($N1178="","",Sync!$P1178)</f>
        <v/>
      </c>
    </row>
    <row r="1179" spans="14:23" x14ac:dyDescent="0.2">
      <c r="N1179" t="str">
        <f>IF(OR(Sync!$M1179="",$Q1179="",$Q1179="نامعتبر"),"",Sync!$M1179)</f>
        <v/>
      </c>
      <c r="O1179" t="str">
        <f t="shared" si="118"/>
        <v/>
      </c>
      <c r="P1179" t="str">
        <f>IF($N1179="","",LEFT($Q1179,4)&amp;MID($Q1179,6,2)&amp;RIGHT($Q1179,2)&amp;IF(Sync!$K1179="","0000",IF(AND(ISNUMBER(Sync!$K1179),Sync!$K1179&gt;=0,Sync!$K1179&lt;1),RIGHT("00"&amp;HOUR(Sync!$K1179),2)&amp;RIGHT("00"&amp;MINUTE(Sync!$K1179),2),IFERROR(RIGHT("00"&amp;VALUE(LEFT(Sync!$K1179,FIND(":",Sync!$K1179)-1)),2)&amp;RIGHT("00"&amp;VALUE(MID(Sync!$K1179,FIND(":",Sync!$K1179)+1,2)),2),"0000")))&amp;"|"&amp;"2"&amp;RIGHT("00000"&amp;1174,5))</f>
        <v/>
      </c>
      <c r="Q1179" t="str">
        <f>IF(Sync!$J1179="","",IF(ISNUMBER(Sync!$J1179),IF(AND(Sync!$J1179&gt;=10000101,Sync!$J1179&lt;=99991231),INT(Sync!$J1179/10000)&amp;"/"&amp;RIGHT("00"&amp;INT(MOD(Sync!$J1179,10000)/100),2)&amp;"/"&amp;RIGHT("00"&amp;MOD(Sync!$J1179,100),2),"نامعتبر"),IF(LEN(Sync!$J1179)=10,Sync!$J1179,"نامعتبر")))</f>
        <v/>
      </c>
      <c r="R1179" t="str">
        <f t="shared" si="119"/>
        <v/>
      </c>
      <c r="S1179" t="str">
        <f t="shared" si="120"/>
        <v/>
      </c>
      <c r="T1179" t="str">
        <f>IF($N1179="","",IF(Sync!$N1179="",0,Sync!$N1179))</f>
        <v/>
      </c>
      <c r="U1179" t="str">
        <f>IF($N1179="","",IF(Sync!$O1179="",0,Sync!$O1179))</f>
        <v/>
      </c>
      <c r="V1179" t="str">
        <f>IF($N1179="","",Sync!$L1179)</f>
        <v/>
      </c>
      <c r="W1179" t="str">
        <f>IF($N1179="","",Sync!$P1179)</f>
        <v/>
      </c>
    </row>
    <row r="1180" spans="14:23" x14ac:dyDescent="0.2">
      <c r="N1180" t="str">
        <f>IF(OR(Sync!$M1180="",$Q1180="",$Q1180="نامعتبر"),"",Sync!$M1180)</f>
        <v/>
      </c>
      <c r="O1180" t="str">
        <f t="shared" si="118"/>
        <v/>
      </c>
      <c r="P1180" t="str">
        <f>IF($N1180="","",LEFT($Q1180,4)&amp;MID($Q1180,6,2)&amp;RIGHT($Q1180,2)&amp;IF(Sync!$K1180="","0000",IF(AND(ISNUMBER(Sync!$K1180),Sync!$K1180&gt;=0,Sync!$K1180&lt;1),RIGHT("00"&amp;HOUR(Sync!$K1180),2)&amp;RIGHT("00"&amp;MINUTE(Sync!$K1180),2),IFERROR(RIGHT("00"&amp;VALUE(LEFT(Sync!$K1180,FIND(":",Sync!$K1180)-1)),2)&amp;RIGHT("00"&amp;VALUE(MID(Sync!$K1180,FIND(":",Sync!$K1180)+1,2)),2),"0000")))&amp;"|"&amp;"2"&amp;RIGHT("00000"&amp;1175,5))</f>
        <v/>
      </c>
      <c r="Q1180" t="str">
        <f>IF(Sync!$J1180="","",IF(ISNUMBER(Sync!$J1180),IF(AND(Sync!$J1180&gt;=10000101,Sync!$J1180&lt;=99991231),INT(Sync!$J1180/10000)&amp;"/"&amp;RIGHT("00"&amp;INT(MOD(Sync!$J1180,10000)/100),2)&amp;"/"&amp;RIGHT("00"&amp;MOD(Sync!$J1180,100),2),"نامعتبر"),IF(LEN(Sync!$J1180)=10,Sync!$J1180,"نامعتبر")))</f>
        <v/>
      </c>
      <c r="R1180" t="str">
        <f t="shared" si="119"/>
        <v/>
      </c>
      <c r="S1180" t="str">
        <f t="shared" si="120"/>
        <v/>
      </c>
      <c r="T1180" t="str">
        <f>IF($N1180="","",IF(Sync!$N1180="",0,Sync!$N1180))</f>
        <v/>
      </c>
      <c r="U1180" t="str">
        <f>IF($N1180="","",IF(Sync!$O1180="",0,Sync!$O1180))</f>
        <v/>
      </c>
      <c r="V1180" t="str">
        <f>IF($N1180="","",Sync!$L1180)</f>
        <v/>
      </c>
      <c r="W1180" t="str">
        <f>IF($N1180="","",Sync!$P1180)</f>
        <v/>
      </c>
    </row>
    <row r="1181" spans="14:23" x14ac:dyDescent="0.2">
      <c r="N1181" t="str">
        <f>IF(OR(Sync!$M1181="",$Q1181="",$Q1181="نامعتبر"),"",Sync!$M1181)</f>
        <v/>
      </c>
      <c r="O1181" t="str">
        <f t="shared" si="118"/>
        <v/>
      </c>
      <c r="P1181" t="str">
        <f>IF($N1181="","",LEFT($Q1181,4)&amp;MID($Q1181,6,2)&amp;RIGHT($Q1181,2)&amp;IF(Sync!$K1181="","0000",IF(AND(ISNUMBER(Sync!$K1181),Sync!$K1181&gt;=0,Sync!$K1181&lt;1),RIGHT("00"&amp;HOUR(Sync!$K1181),2)&amp;RIGHT("00"&amp;MINUTE(Sync!$K1181),2),IFERROR(RIGHT("00"&amp;VALUE(LEFT(Sync!$K1181,FIND(":",Sync!$K1181)-1)),2)&amp;RIGHT("00"&amp;VALUE(MID(Sync!$K1181,FIND(":",Sync!$K1181)+1,2)),2),"0000")))&amp;"|"&amp;"2"&amp;RIGHT("00000"&amp;1176,5))</f>
        <v/>
      </c>
      <c r="Q1181" t="str">
        <f>IF(Sync!$J1181="","",IF(ISNUMBER(Sync!$J1181),IF(AND(Sync!$J1181&gt;=10000101,Sync!$J1181&lt;=99991231),INT(Sync!$J1181/10000)&amp;"/"&amp;RIGHT("00"&amp;INT(MOD(Sync!$J1181,10000)/100),2)&amp;"/"&amp;RIGHT("00"&amp;MOD(Sync!$J1181,100),2),"نامعتبر"),IF(LEN(Sync!$J1181)=10,Sync!$J1181,"نامعتبر")))</f>
        <v/>
      </c>
      <c r="R1181" t="str">
        <f t="shared" si="119"/>
        <v/>
      </c>
      <c r="S1181" t="str">
        <f t="shared" si="120"/>
        <v/>
      </c>
      <c r="T1181" t="str">
        <f>IF($N1181="","",IF(Sync!$N1181="",0,Sync!$N1181))</f>
        <v/>
      </c>
      <c r="U1181" t="str">
        <f>IF($N1181="","",IF(Sync!$O1181="",0,Sync!$O1181))</f>
        <v/>
      </c>
      <c r="V1181" t="str">
        <f>IF($N1181="","",Sync!$L1181)</f>
        <v/>
      </c>
      <c r="W1181" t="str">
        <f>IF($N1181="","",Sync!$P1181)</f>
        <v/>
      </c>
    </row>
    <row r="1182" spans="14:23" x14ac:dyDescent="0.2">
      <c r="N1182" t="str">
        <f>IF(OR(Sync!$M1182="",$Q1182="",$Q1182="نامعتبر"),"",Sync!$M1182)</f>
        <v/>
      </c>
      <c r="O1182" t="str">
        <f t="shared" si="118"/>
        <v/>
      </c>
      <c r="P1182" t="str">
        <f>IF($N1182="","",LEFT($Q1182,4)&amp;MID($Q1182,6,2)&amp;RIGHT($Q1182,2)&amp;IF(Sync!$K1182="","0000",IF(AND(ISNUMBER(Sync!$K1182),Sync!$K1182&gt;=0,Sync!$K1182&lt;1),RIGHT("00"&amp;HOUR(Sync!$K1182),2)&amp;RIGHT("00"&amp;MINUTE(Sync!$K1182),2),IFERROR(RIGHT("00"&amp;VALUE(LEFT(Sync!$K1182,FIND(":",Sync!$K1182)-1)),2)&amp;RIGHT("00"&amp;VALUE(MID(Sync!$K1182,FIND(":",Sync!$K1182)+1,2)),2),"0000")))&amp;"|"&amp;"2"&amp;RIGHT("00000"&amp;1177,5))</f>
        <v/>
      </c>
      <c r="Q1182" t="str">
        <f>IF(Sync!$J1182="","",IF(ISNUMBER(Sync!$J1182),IF(AND(Sync!$J1182&gt;=10000101,Sync!$J1182&lt;=99991231),INT(Sync!$J1182/10000)&amp;"/"&amp;RIGHT("00"&amp;INT(MOD(Sync!$J1182,10000)/100),2)&amp;"/"&amp;RIGHT("00"&amp;MOD(Sync!$J1182,100),2),"نامعتبر"),IF(LEN(Sync!$J1182)=10,Sync!$J1182,"نامعتبر")))</f>
        <v/>
      </c>
      <c r="R1182" t="str">
        <f t="shared" si="119"/>
        <v/>
      </c>
      <c r="S1182" t="str">
        <f t="shared" si="120"/>
        <v/>
      </c>
      <c r="T1182" t="str">
        <f>IF($N1182="","",IF(Sync!$N1182="",0,Sync!$N1182))</f>
        <v/>
      </c>
      <c r="U1182" t="str">
        <f>IF($N1182="","",IF(Sync!$O1182="",0,Sync!$O1182))</f>
        <v/>
      </c>
      <c r="V1182" t="str">
        <f>IF($N1182="","",Sync!$L1182)</f>
        <v/>
      </c>
      <c r="W1182" t="str">
        <f>IF($N1182="","",Sync!$P1182)</f>
        <v/>
      </c>
    </row>
    <row r="1183" spans="14:23" x14ac:dyDescent="0.2">
      <c r="N1183" t="str">
        <f>IF(OR(Sync!$M1183="",$Q1183="",$Q1183="نامعتبر"),"",Sync!$M1183)</f>
        <v/>
      </c>
      <c r="O1183" t="str">
        <f t="shared" si="118"/>
        <v/>
      </c>
      <c r="P1183" t="str">
        <f>IF($N1183="","",LEFT($Q1183,4)&amp;MID($Q1183,6,2)&amp;RIGHT($Q1183,2)&amp;IF(Sync!$K1183="","0000",IF(AND(ISNUMBER(Sync!$K1183),Sync!$K1183&gt;=0,Sync!$K1183&lt;1),RIGHT("00"&amp;HOUR(Sync!$K1183),2)&amp;RIGHT("00"&amp;MINUTE(Sync!$K1183),2),IFERROR(RIGHT("00"&amp;VALUE(LEFT(Sync!$K1183,FIND(":",Sync!$K1183)-1)),2)&amp;RIGHT("00"&amp;VALUE(MID(Sync!$K1183,FIND(":",Sync!$K1183)+1,2)),2),"0000")))&amp;"|"&amp;"2"&amp;RIGHT("00000"&amp;1178,5))</f>
        <v/>
      </c>
      <c r="Q1183" t="str">
        <f>IF(Sync!$J1183="","",IF(ISNUMBER(Sync!$J1183),IF(AND(Sync!$J1183&gt;=10000101,Sync!$J1183&lt;=99991231),INT(Sync!$J1183/10000)&amp;"/"&amp;RIGHT("00"&amp;INT(MOD(Sync!$J1183,10000)/100),2)&amp;"/"&amp;RIGHT("00"&amp;MOD(Sync!$J1183,100),2),"نامعتبر"),IF(LEN(Sync!$J1183)=10,Sync!$J1183,"نامعتبر")))</f>
        <v/>
      </c>
      <c r="R1183" t="str">
        <f t="shared" si="119"/>
        <v/>
      </c>
      <c r="S1183" t="str">
        <f t="shared" si="120"/>
        <v/>
      </c>
      <c r="T1183" t="str">
        <f>IF($N1183="","",IF(Sync!$N1183="",0,Sync!$N1183))</f>
        <v/>
      </c>
      <c r="U1183" t="str">
        <f>IF($N1183="","",IF(Sync!$O1183="",0,Sync!$O1183))</f>
        <v/>
      </c>
      <c r="V1183" t="str">
        <f>IF($N1183="","",Sync!$L1183)</f>
        <v/>
      </c>
      <c r="W1183" t="str">
        <f>IF($N1183="","",Sync!$P1183)</f>
        <v/>
      </c>
    </row>
    <row r="1184" spans="14:23" x14ac:dyDescent="0.2">
      <c r="N1184" t="str">
        <f>IF(OR(Sync!$M1184="",$Q1184="",$Q1184="نامعتبر"),"",Sync!$M1184)</f>
        <v/>
      </c>
      <c r="O1184" t="str">
        <f t="shared" si="118"/>
        <v/>
      </c>
      <c r="P1184" t="str">
        <f>IF($N1184="","",LEFT($Q1184,4)&amp;MID($Q1184,6,2)&amp;RIGHT($Q1184,2)&amp;IF(Sync!$K1184="","0000",IF(AND(ISNUMBER(Sync!$K1184),Sync!$K1184&gt;=0,Sync!$K1184&lt;1),RIGHT("00"&amp;HOUR(Sync!$K1184),2)&amp;RIGHT("00"&amp;MINUTE(Sync!$K1184),2),IFERROR(RIGHT("00"&amp;VALUE(LEFT(Sync!$K1184,FIND(":",Sync!$K1184)-1)),2)&amp;RIGHT("00"&amp;VALUE(MID(Sync!$K1184,FIND(":",Sync!$K1184)+1,2)),2),"0000")))&amp;"|"&amp;"2"&amp;RIGHT("00000"&amp;1179,5))</f>
        <v/>
      </c>
      <c r="Q1184" t="str">
        <f>IF(Sync!$J1184="","",IF(ISNUMBER(Sync!$J1184),IF(AND(Sync!$J1184&gt;=10000101,Sync!$J1184&lt;=99991231),INT(Sync!$J1184/10000)&amp;"/"&amp;RIGHT("00"&amp;INT(MOD(Sync!$J1184,10000)/100),2)&amp;"/"&amp;RIGHT("00"&amp;MOD(Sync!$J1184,100),2),"نامعتبر"),IF(LEN(Sync!$J1184)=10,Sync!$J1184,"نامعتبر")))</f>
        <v/>
      </c>
      <c r="R1184" t="str">
        <f t="shared" si="119"/>
        <v/>
      </c>
      <c r="S1184" t="str">
        <f t="shared" si="120"/>
        <v/>
      </c>
      <c r="T1184" t="str">
        <f>IF($N1184="","",IF(Sync!$N1184="",0,Sync!$N1184))</f>
        <v/>
      </c>
      <c r="U1184" t="str">
        <f>IF($N1184="","",IF(Sync!$O1184="",0,Sync!$O1184))</f>
        <v/>
      </c>
      <c r="V1184" t="str">
        <f>IF($N1184="","",Sync!$L1184)</f>
        <v/>
      </c>
      <c r="W1184" t="str">
        <f>IF($N1184="","",Sync!$P1184)</f>
        <v/>
      </c>
    </row>
    <row r="1185" spans="14:23" x14ac:dyDescent="0.2">
      <c r="N1185" t="str">
        <f>IF(OR(Sync!$M1185="",$Q1185="",$Q1185="نامعتبر"),"",Sync!$M1185)</f>
        <v/>
      </c>
      <c r="O1185" t="str">
        <f t="shared" si="118"/>
        <v/>
      </c>
      <c r="P1185" t="str">
        <f>IF($N1185="","",LEFT($Q1185,4)&amp;MID($Q1185,6,2)&amp;RIGHT($Q1185,2)&amp;IF(Sync!$K1185="","0000",IF(AND(ISNUMBER(Sync!$K1185),Sync!$K1185&gt;=0,Sync!$K1185&lt;1),RIGHT("00"&amp;HOUR(Sync!$K1185),2)&amp;RIGHT("00"&amp;MINUTE(Sync!$K1185),2),IFERROR(RIGHT("00"&amp;VALUE(LEFT(Sync!$K1185,FIND(":",Sync!$K1185)-1)),2)&amp;RIGHT("00"&amp;VALUE(MID(Sync!$K1185,FIND(":",Sync!$K1185)+1,2)),2),"0000")))&amp;"|"&amp;"2"&amp;RIGHT("00000"&amp;1180,5))</f>
        <v/>
      </c>
      <c r="Q1185" t="str">
        <f>IF(Sync!$J1185="","",IF(ISNUMBER(Sync!$J1185),IF(AND(Sync!$J1185&gt;=10000101,Sync!$J1185&lt;=99991231),INT(Sync!$J1185/10000)&amp;"/"&amp;RIGHT("00"&amp;INT(MOD(Sync!$J1185,10000)/100),2)&amp;"/"&amp;RIGHT("00"&amp;MOD(Sync!$J1185,100),2),"نامعتبر"),IF(LEN(Sync!$J1185)=10,Sync!$J1185,"نامعتبر")))</f>
        <v/>
      </c>
      <c r="R1185" t="str">
        <f t="shared" si="119"/>
        <v/>
      </c>
      <c r="S1185" t="str">
        <f t="shared" si="120"/>
        <v/>
      </c>
      <c r="T1185" t="str">
        <f>IF($N1185="","",IF(Sync!$N1185="",0,Sync!$N1185))</f>
        <v/>
      </c>
      <c r="U1185" t="str">
        <f>IF($N1185="","",IF(Sync!$O1185="",0,Sync!$O1185))</f>
        <v/>
      </c>
      <c r="V1185" t="str">
        <f>IF($N1185="","",Sync!$L1185)</f>
        <v/>
      </c>
      <c r="W1185" t="str">
        <f>IF($N1185="","",Sync!$P1185)</f>
        <v/>
      </c>
    </row>
    <row r="1186" spans="14:23" x14ac:dyDescent="0.2">
      <c r="N1186" t="str">
        <f>IF(OR(Sync!$M1186="",$Q1186="",$Q1186="نامعتبر"),"",Sync!$M1186)</f>
        <v/>
      </c>
      <c r="O1186" t="str">
        <f t="shared" si="118"/>
        <v/>
      </c>
      <c r="P1186" t="str">
        <f>IF($N1186="","",LEFT($Q1186,4)&amp;MID($Q1186,6,2)&amp;RIGHT($Q1186,2)&amp;IF(Sync!$K1186="","0000",IF(AND(ISNUMBER(Sync!$K1186),Sync!$K1186&gt;=0,Sync!$K1186&lt;1),RIGHT("00"&amp;HOUR(Sync!$K1186),2)&amp;RIGHT("00"&amp;MINUTE(Sync!$K1186),2),IFERROR(RIGHT("00"&amp;VALUE(LEFT(Sync!$K1186,FIND(":",Sync!$K1186)-1)),2)&amp;RIGHT("00"&amp;VALUE(MID(Sync!$K1186,FIND(":",Sync!$K1186)+1,2)),2),"0000")))&amp;"|"&amp;"2"&amp;RIGHT("00000"&amp;1181,5))</f>
        <v/>
      </c>
      <c r="Q1186" t="str">
        <f>IF(Sync!$J1186="","",IF(ISNUMBER(Sync!$J1186),IF(AND(Sync!$J1186&gt;=10000101,Sync!$J1186&lt;=99991231),INT(Sync!$J1186/10000)&amp;"/"&amp;RIGHT("00"&amp;INT(MOD(Sync!$J1186,10000)/100),2)&amp;"/"&amp;RIGHT("00"&amp;MOD(Sync!$J1186,100),2),"نامعتبر"),IF(LEN(Sync!$J1186)=10,Sync!$J1186,"نامعتبر")))</f>
        <v/>
      </c>
      <c r="R1186" t="str">
        <f t="shared" si="119"/>
        <v/>
      </c>
      <c r="S1186" t="str">
        <f t="shared" si="120"/>
        <v/>
      </c>
      <c r="T1186" t="str">
        <f>IF($N1186="","",IF(Sync!$N1186="",0,Sync!$N1186))</f>
        <v/>
      </c>
      <c r="U1186" t="str">
        <f>IF($N1186="","",IF(Sync!$O1186="",0,Sync!$O1186))</f>
        <v/>
      </c>
      <c r="V1186" t="str">
        <f>IF($N1186="","",Sync!$L1186)</f>
        <v/>
      </c>
      <c r="W1186" t="str">
        <f>IF($N1186="","",Sync!$P1186)</f>
        <v/>
      </c>
    </row>
    <row r="1187" spans="14:23" x14ac:dyDescent="0.2">
      <c r="N1187" t="str">
        <f>IF(OR(Sync!$M1187="",$Q1187="",$Q1187="نامعتبر"),"",Sync!$M1187)</f>
        <v/>
      </c>
      <c r="O1187" t="str">
        <f t="shared" si="118"/>
        <v/>
      </c>
      <c r="P1187" t="str">
        <f>IF($N1187="","",LEFT($Q1187,4)&amp;MID($Q1187,6,2)&amp;RIGHT($Q1187,2)&amp;IF(Sync!$K1187="","0000",IF(AND(ISNUMBER(Sync!$K1187),Sync!$K1187&gt;=0,Sync!$K1187&lt;1),RIGHT("00"&amp;HOUR(Sync!$K1187),2)&amp;RIGHT("00"&amp;MINUTE(Sync!$K1187),2),IFERROR(RIGHT("00"&amp;VALUE(LEFT(Sync!$K1187,FIND(":",Sync!$K1187)-1)),2)&amp;RIGHT("00"&amp;VALUE(MID(Sync!$K1187,FIND(":",Sync!$K1187)+1,2)),2),"0000")))&amp;"|"&amp;"2"&amp;RIGHT("00000"&amp;1182,5))</f>
        <v/>
      </c>
      <c r="Q1187" t="str">
        <f>IF(Sync!$J1187="","",IF(ISNUMBER(Sync!$J1187),IF(AND(Sync!$J1187&gt;=10000101,Sync!$J1187&lt;=99991231),INT(Sync!$J1187/10000)&amp;"/"&amp;RIGHT("00"&amp;INT(MOD(Sync!$J1187,10000)/100),2)&amp;"/"&amp;RIGHT("00"&amp;MOD(Sync!$J1187,100),2),"نامعتبر"),IF(LEN(Sync!$J1187)=10,Sync!$J1187,"نامعتبر")))</f>
        <v/>
      </c>
      <c r="R1187" t="str">
        <f t="shared" si="119"/>
        <v/>
      </c>
      <c r="S1187" t="str">
        <f t="shared" si="120"/>
        <v/>
      </c>
      <c r="T1187" t="str">
        <f>IF($N1187="","",IF(Sync!$N1187="",0,Sync!$N1187))</f>
        <v/>
      </c>
      <c r="U1187" t="str">
        <f>IF($N1187="","",IF(Sync!$O1187="",0,Sync!$O1187))</f>
        <v/>
      </c>
      <c r="V1187" t="str">
        <f>IF($N1187="","",Sync!$L1187)</f>
        <v/>
      </c>
      <c r="W1187" t="str">
        <f>IF($N1187="","",Sync!$P1187)</f>
        <v/>
      </c>
    </row>
    <row r="1188" spans="14:23" x14ac:dyDescent="0.2">
      <c r="N1188" t="str">
        <f>IF(OR(Sync!$M1188="",$Q1188="",$Q1188="نامعتبر"),"",Sync!$M1188)</f>
        <v/>
      </c>
      <c r="O1188" t="str">
        <f t="shared" si="118"/>
        <v/>
      </c>
      <c r="P1188" t="str">
        <f>IF($N1188="","",LEFT($Q1188,4)&amp;MID($Q1188,6,2)&amp;RIGHT($Q1188,2)&amp;IF(Sync!$K1188="","0000",IF(AND(ISNUMBER(Sync!$K1188),Sync!$K1188&gt;=0,Sync!$K1188&lt;1),RIGHT("00"&amp;HOUR(Sync!$K1188),2)&amp;RIGHT("00"&amp;MINUTE(Sync!$K1188),2),IFERROR(RIGHT("00"&amp;VALUE(LEFT(Sync!$K1188,FIND(":",Sync!$K1188)-1)),2)&amp;RIGHT("00"&amp;VALUE(MID(Sync!$K1188,FIND(":",Sync!$K1188)+1,2)),2),"0000")))&amp;"|"&amp;"2"&amp;RIGHT("00000"&amp;1183,5))</f>
        <v/>
      </c>
      <c r="Q1188" t="str">
        <f>IF(Sync!$J1188="","",IF(ISNUMBER(Sync!$J1188),IF(AND(Sync!$J1188&gt;=10000101,Sync!$J1188&lt;=99991231),INT(Sync!$J1188/10000)&amp;"/"&amp;RIGHT("00"&amp;INT(MOD(Sync!$J1188,10000)/100),2)&amp;"/"&amp;RIGHT("00"&amp;MOD(Sync!$J1188,100),2),"نامعتبر"),IF(LEN(Sync!$J1188)=10,Sync!$J1188,"نامعتبر")))</f>
        <v/>
      </c>
      <c r="R1188" t="str">
        <f t="shared" si="119"/>
        <v/>
      </c>
      <c r="S1188" t="str">
        <f t="shared" si="120"/>
        <v/>
      </c>
      <c r="T1188" t="str">
        <f>IF($N1188="","",IF(Sync!$N1188="",0,Sync!$N1188))</f>
        <v/>
      </c>
      <c r="U1188" t="str">
        <f>IF($N1188="","",IF(Sync!$O1188="",0,Sync!$O1188))</f>
        <v/>
      </c>
      <c r="V1188" t="str">
        <f>IF($N1188="","",Sync!$L1188)</f>
        <v/>
      </c>
      <c r="W1188" t="str">
        <f>IF($N1188="","",Sync!$P1188)</f>
        <v/>
      </c>
    </row>
    <row r="1189" spans="14:23" x14ac:dyDescent="0.2">
      <c r="N1189" t="str">
        <f>IF(OR(Sync!$M1189="",$Q1189="",$Q1189="نامعتبر"),"",Sync!$M1189)</f>
        <v/>
      </c>
      <c r="O1189" t="str">
        <f t="shared" si="118"/>
        <v/>
      </c>
      <c r="P1189" t="str">
        <f>IF($N1189="","",LEFT($Q1189,4)&amp;MID($Q1189,6,2)&amp;RIGHT($Q1189,2)&amp;IF(Sync!$K1189="","0000",IF(AND(ISNUMBER(Sync!$K1189),Sync!$K1189&gt;=0,Sync!$K1189&lt;1),RIGHT("00"&amp;HOUR(Sync!$K1189),2)&amp;RIGHT("00"&amp;MINUTE(Sync!$K1189),2),IFERROR(RIGHT("00"&amp;VALUE(LEFT(Sync!$K1189,FIND(":",Sync!$K1189)-1)),2)&amp;RIGHT("00"&amp;VALUE(MID(Sync!$K1189,FIND(":",Sync!$K1189)+1,2)),2),"0000")))&amp;"|"&amp;"2"&amp;RIGHT("00000"&amp;1184,5))</f>
        <v/>
      </c>
      <c r="Q1189" t="str">
        <f>IF(Sync!$J1189="","",IF(ISNUMBER(Sync!$J1189),IF(AND(Sync!$J1189&gt;=10000101,Sync!$J1189&lt;=99991231),INT(Sync!$J1189/10000)&amp;"/"&amp;RIGHT("00"&amp;INT(MOD(Sync!$J1189,10000)/100),2)&amp;"/"&amp;RIGHT("00"&amp;MOD(Sync!$J1189,100),2),"نامعتبر"),IF(LEN(Sync!$J1189)=10,Sync!$J1189,"نامعتبر")))</f>
        <v/>
      </c>
      <c r="R1189" t="str">
        <f t="shared" si="119"/>
        <v/>
      </c>
      <c r="S1189" t="str">
        <f t="shared" si="120"/>
        <v/>
      </c>
      <c r="T1189" t="str">
        <f>IF($N1189="","",IF(Sync!$N1189="",0,Sync!$N1189))</f>
        <v/>
      </c>
      <c r="U1189" t="str">
        <f>IF($N1189="","",IF(Sync!$O1189="",0,Sync!$O1189))</f>
        <v/>
      </c>
      <c r="V1189" t="str">
        <f>IF($N1189="","",Sync!$L1189)</f>
        <v/>
      </c>
      <c r="W1189" t="str">
        <f>IF($N1189="","",Sync!$P1189)</f>
        <v/>
      </c>
    </row>
    <row r="1190" spans="14:23" x14ac:dyDescent="0.2">
      <c r="N1190" t="str">
        <f>IF(OR(Sync!$M1190="",$Q1190="",$Q1190="نامعتبر"),"",Sync!$M1190)</f>
        <v/>
      </c>
      <c r="O1190" t="str">
        <f t="shared" si="118"/>
        <v/>
      </c>
      <c r="P1190" t="str">
        <f>IF($N1190="","",LEFT($Q1190,4)&amp;MID($Q1190,6,2)&amp;RIGHT($Q1190,2)&amp;IF(Sync!$K1190="","0000",IF(AND(ISNUMBER(Sync!$K1190),Sync!$K1190&gt;=0,Sync!$K1190&lt;1),RIGHT("00"&amp;HOUR(Sync!$K1190),2)&amp;RIGHT("00"&amp;MINUTE(Sync!$K1190),2),IFERROR(RIGHT("00"&amp;VALUE(LEFT(Sync!$K1190,FIND(":",Sync!$K1190)-1)),2)&amp;RIGHT("00"&amp;VALUE(MID(Sync!$K1190,FIND(":",Sync!$K1190)+1,2)),2),"0000")))&amp;"|"&amp;"2"&amp;RIGHT("00000"&amp;1185,5))</f>
        <v/>
      </c>
      <c r="Q1190" t="str">
        <f>IF(Sync!$J1190="","",IF(ISNUMBER(Sync!$J1190),IF(AND(Sync!$J1190&gt;=10000101,Sync!$J1190&lt;=99991231),INT(Sync!$J1190/10000)&amp;"/"&amp;RIGHT("00"&amp;INT(MOD(Sync!$J1190,10000)/100),2)&amp;"/"&amp;RIGHT("00"&amp;MOD(Sync!$J1190,100),2),"نامعتبر"),IF(LEN(Sync!$J1190)=10,Sync!$J1190,"نامعتبر")))</f>
        <v/>
      </c>
      <c r="R1190" t="str">
        <f t="shared" si="119"/>
        <v/>
      </c>
      <c r="S1190" t="str">
        <f t="shared" si="120"/>
        <v/>
      </c>
      <c r="T1190" t="str">
        <f>IF($N1190="","",IF(Sync!$N1190="",0,Sync!$N1190))</f>
        <v/>
      </c>
      <c r="U1190" t="str">
        <f>IF($N1190="","",IF(Sync!$O1190="",0,Sync!$O1190))</f>
        <v/>
      </c>
      <c r="V1190" t="str">
        <f>IF($N1190="","",Sync!$L1190)</f>
        <v/>
      </c>
      <c r="W1190" t="str">
        <f>IF($N1190="","",Sync!$P1190)</f>
        <v/>
      </c>
    </row>
    <row r="1191" spans="14:23" x14ac:dyDescent="0.2">
      <c r="N1191" t="str">
        <f>IF(OR(Sync!$M1191="",$Q1191="",$Q1191="نامعتبر"),"",Sync!$M1191)</f>
        <v/>
      </c>
      <c r="O1191" t="str">
        <f t="shared" si="118"/>
        <v/>
      </c>
      <c r="P1191" t="str">
        <f>IF($N1191="","",LEFT($Q1191,4)&amp;MID($Q1191,6,2)&amp;RIGHT($Q1191,2)&amp;IF(Sync!$K1191="","0000",IF(AND(ISNUMBER(Sync!$K1191),Sync!$K1191&gt;=0,Sync!$K1191&lt;1),RIGHT("00"&amp;HOUR(Sync!$K1191),2)&amp;RIGHT("00"&amp;MINUTE(Sync!$K1191),2),IFERROR(RIGHT("00"&amp;VALUE(LEFT(Sync!$K1191,FIND(":",Sync!$K1191)-1)),2)&amp;RIGHT("00"&amp;VALUE(MID(Sync!$K1191,FIND(":",Sync!$K1191)+1,2)),2),"0000")))&amp;"|"&amp;"2"&amp;RIGHT("00000"&amp;1186,5))</f>
        <v/>
      </c>
      <c r="Q1191" t="str">
        <f>IF(Sync!$J1191="","",IF(ISNUMBER(Sync!$J1191),IF(AND(Sync!$J1191&gt;=10000101,Sync!$J1191&lt;=99991231),INT(Sync!$J1191/10000)&amp;"/"&amp;RIGHT("00"&amp;INT(MOD(Sync!$J1191,10000)/100),2)&amp;"/"&amp;RIGHT("00"&amp;MOD(Sync!$J1191,100),2),"نامعتبر"),IF(LEN(Sync!$J1191)=10,Sync!$J1191,"نامعتبر")))</f>
        <v/>
      </c>
      <c r="R1191" t="str">
        <f t="shared" si="119"/>
        <v/>
      </c>
      <c r="S1191" t="str">
        <f t="shared" si="120"/>
        <v/>
      </c>
      <c r="T1191" t="str">
        <f>IF($N1191="","",IF(Sync!$N1191="",0,Sync!$N1191))</f>
        <v/>
      </c>
      <c r="U1191" t="str">
        <f>IF($N1191="","",IF(Sync!$O1191="",0,Sync!$O1191))</f>
        <v/>
      </c>
      <c r="V1191" t="str">
        <f>IF($N1191="","",Sync!$L1191)</f>
        <v/>
      </c>
      <c r="W1191" t="str">
        <f>IF($N1191="","",Sync!$P1191)</f>
        <v/>
      </c>
    </row>
    <row r="1192" spans="14:23" x14ac:dyDescent="0.2">
      <c r="N1192" t="str">
        <f>IF(OR(Sync!$M1192="",$Q1192="",$Q1192="نامعتبر"),"",Sync!$M1192)</f>
        <v/>
      </c>
      <c r="O1192" t="str">
        <f t="shared" si="118"/>
        <v/>
      </c>
      <c r="P1192" t="str">
        <f>IF($N1192="","",LEFT($Q1192,4)&amp;MID($Q1192,6,2)&amp;RIGHT($Q1192,2)&amp;IF(Sync!$K1192="","0000",IF(AND(ISNUMBER(Sync!$K1192),Sync!$K1192&gt;=0,Sync!$K1192&lt;1),RIGHT("00"&amp;HOUR(Sync!$K1192),2)&amp;RIGHT("00"&amp;MINUTE(Sync!$K1192),2),IFERROR(RIGHT("00"&amp;VALUE(LEFT(Sync!$K1192,FIND(":",Sync!$K1192)-1)),2)&amp;RIGHT("00"&amp;VALUE(MID(Sync!$K1192,FIND(":",Sync!$K1192)+1,2)),2),"0000")))&amp;"|"&amp;"2"&amp;RIGHT("00000"&amp;1187,5))</f>
        <v/>
      </c>
      <c r="Q1192" t="str">
        <f>IF(Sync!$J1192="","",IF(ISNUMBER(Sync!$J1192),IF(AND(Sync!$J1192&gt;=10000101,Sync!$J1192&lt;=99991231),INT(Sync!$J1192/10000)&amp;"/"&amp;RIGHT("00"&amp;INT(MOD(Sync!$J1192,10000)/100),2)&amp;"/"&amp;RIGHT("00"&amp;MOD(Sync!$J1192,100),2),"نامعتبر"),IF(LEN(Sync!$J1192)=10,Sync!$J1192,"نامعتبر")))</f>
        <v/>
      </c>
      <c r="R1192" t="str">
        <f t="shared" si="119"/>
        <v/>
      </c>
      <c r="S1192" t="str">
        <f t="shared" si="120"/>
        <v/>
      </c>
      <c r="T1192" t="str">
        <f>IF($N1192="","",IF(Sync!$N1192="",0,Sync!$N1192))</f>
        <v/>
      </c>
      <c r="U1192" t="str">
        <f>IF($N1192="","",IF(Sync!$O1192="",0,Sync!$O1192))</f>
        <v/>
      </c>
      <c r="V1192" t="str">
        <f>IF($N1192="","",Sync!$L1192)</f>
        <v/>
      </c>
      <c r="W1192" t="str">
        <f>IF($N1192="","",Sync!$P1192)</f>
        <v/>
      </c>
    </row>
    <row r="1193" spans="14:23" x14ac:dyDescent="0.2">
      <c r="N1193" t="str">
        <f>IF(OR(Sync!$M1193="",$Q1193="",$Q1193="نامعتبر"),"",Sync!$M1193)</f>
        <v/>
      </c>
      <c r="O1193" t="str">
        <f t="shared" si="118"/>
        <v/>
      </c>
      <c r="P1193" t="str">
        <f>IF($N1193="","",LEFT($Q1193,4)&amp;MID($Q1193,6,2)&amp;RIGHT($Q1193,2)&amp;IF(Sync!$K1193="","0000",IF(AND(ISNUMBER(Sync!$K1193),Sync!$K1193&gt;=0,Sync!$K1193&lt;1),RIGHT("00"&amp;HOUR(Sync!$K1193),2)&amp;RIGHT("00"&amp;MINUTE(Sync!$K1193),2),IFERROR(RIGHT("00"&amp;VALUE(LEFT(Sync!$K1193,FIND(":",Sync!$K1193)-1)),2)&amp;RIGHT("00"&amp;VALUE(MID(Sync!$K1193,FIND(":",Sync!$K1193)+1,2)),2),"0000")))&amp;"|"&amp;"2"&amp;RIGHT("00000"&amp;1188,5))</f>
        <v/>
      </c>
      <c r="Q1193" t="str">
        <f>IF(Sync!$J1193="","",IF(ISNUMBER(Sync!$J1193),IF(AND(Sync!$J1193&gt;=10000101,Sync!$J1193&lt;=99991231),INT(Sync!$J1193/10000)&amp;"/"&amp;RIGHT("00"&amp;INT(MOD(Sync!$J1193,10000)/100),2)&amp;"/"&amp;RIGHT("00"&amp;MOD(Sync!$J1193,100),2),"نامعتبر"),IF(LEN(Sync!$J1193)=10,Sync!$J1193,"نامعتبر")))</f>
        <v/>
      </c>
      <c r="R1193" t="str">
        <f t="shared" si="119"/>
        <v/>
      </c>
      <c r="S1193" t="str">
        <f t="shared" si="120"/>
        <v/>
      </c>
      <c r="T1193" t="str">
        <f>IF($N1193="","",IF(Sync!$N1193="",0,Sync!$N1193))</f>
        <v/>
      </c>
      <c r="U1193" t="str">
        <f>IF($N1193="","",IF(Sync!$O1193="",0,Sync!$O1193))</f>
        <v/>
      </c>
      <c r="V1193" t="str">
        <f>IF($N1193="","",Sync!$L1193)</f>
        <v/>
      </c>
      <c r="W1193" t="str">
        <f>IF($N1193="","",Sync!$P1193)</f>
        <v/>
      </c>
    </row>
    <row r="1194" spans="14:23" x14ac:dyDescent="0.2">
      <c r="N1194" t="str">
        <f>IF(OR(Sync!$M1194="",$Q1194="",$Q1194="نامعتبر"),"",Sync!$M1194)</f>
        <v/>
      </c>
      <c r="O1194" t="str">
        <f t="shared" si="118"/>
        <v/>
      </c>
      <c r="P1194" t="str">
        <f>IF($N1194="","",LEFT($Q1194,4)&amp;MID($Q1194,6,2)&amp;RIGHT($Q1194,2)&amp;IF(Sync!$K1194="","0000",IF(AND(ISNUMBER(Sync!$K1194),Sync!$K1194&gt;=0,Sync!$K1194&lt;1),RIGHT("00"&amp;HOUR(Sync!$K1194),2)&amp;RIGHT("00"&amp;MINUTE(Sync!$K1194),2),IFERROR(RIGHT("00"&amp;VALUE(LEFT(Sync!$K1194,FIND(":",Sync!$K1194)-1)),2)&amp;RIGHT("00"&amp;VALUE(MID(Sync!$K1194,FIND(":",Sync!$K1194)+1,2)),2),"0000")))&amp;"|"&amp;"2"&amp;RIGHT("00000"&amp;1189,5))</f>
        <v/>
      </c>
      <c r="Q1194" t="str">
        <f>IF(Sync!$J1194="","",IF(ISNUMBER(Sync!$J1194),IF(AND(Sync!$J1194&gt;=10000101,Sync!$J1194&lt;=99991231),INT(Sync!$J1194/10000)&amp;"/"&amp;RIGHT("00"&amp;INT(MOD(Sync!$J1194,10000)/100),2)&amp;"/"&amp;RIGHT("00"&amp;MOD(Sync!$J1194,100),2),"نامعتبر"),IF(LEN(Sync!$J1194)=10,Sync!$J1194,"نامعتبر")))</f>
        <v/>
      </c>
      <c r="R1194" t="str">
        <f t="shared" si="119"/>
        <v/>
      </c>
      <c r="S1194" t="str">
        <f t="shared" si="120"/>
        <v/>
      </c>
      <c r="T1194" t="str">
        <f>IF($N1194="","",IF(Sync!$N1194="",0,Sync!$N1194))</f>
        <v/>
      </c>
      <c r="U1194" t="str">
        <f>IF($N1194="","",IF(Sync!$O1194="",0,Sync!$O1194))</f>
        <v/>
      </c>
      <c r="V1194" t="str">
        <f>IF($N1194="","",Sync!$L1194)</f>
        <v/>
      </c>
      <c r="W1194" t="str">
        <f>IF($N1194="","",Sync!$P1194)</f>
        <v/>
      </c>
    </row>
    <row r="1195" spans="14:23" x14ac:dyDescent="0.2">
      <c r="N1195" t="str">
        <f>IF(OR(Sync!$M1195="",$Q1195="",$Q1195="نامعتبر"),"",Sync!$M1195)</f>
        <v/>
      </c>
      <c r="O1195" t="str">
        <f t="shared" si="118"/>
        <v/>
      </c>
      <c r="P1195" t="str">
        <f>IF($N1195="","",LEFT($Q1195,4)&amp;MID($Q1195,6,2)&amp;RIGHT($Q1195,2)&amp;IF(Sync!$K1195="","0000",IF(AND(ISNUMBER(Sync!$K1195),Sync!$K1195&gt;=0,Sync!$K1195&lt;1),RIGHT("00"&amp;HOUR(Sync!$K1195),2)&amp;RIGHT("00"&amp;MINUTE(Sync!$K1195),2),IFERROR(RIGHT("00"&amp;VALUE(LEFT(Sync!$K1195,FIND(":",Sync!$K1195)-1)),2)&amp;RIGHT("00"&amp;VALUE(MID(Sync!$K1195,FIND(":",Sync!$K1195)+1,2)),2),"0000")))&amp;"|"&amp;"2"&amp;RIGHT("00000"&amp;1190,5))</f>
        <v/>
      </c>
      <c r="Q1195" t="str">
        <f>IF(Sync!$J1195="","",IF(ISNUMBER(Sync!$J1195),IF(AND(Sync!$J1195&gt;=10000101,Sync!$J1195&lt;=99991231),INT(Sync!$J1195/10000)&amp;"/"&amp;RIGHT("00"&amp;INT(MOD(Sync!$J1195,10000)/100),2)&amp;"/"&amp;RIGHT("00"&amp;MOD(Sync!$J1195,100),2),"نامعتبر"),IF(LEN(Sync!$J1195)=10,Sync!$J1195,"نامعتبر")))</f>
        <v/>
      </c>
      <c r="R1195" t="str">
        <f t="shared" si="119"/>
        <v/>
      </c>
      <c r="S1195" t="str">
        <f t="shared" si="120"/>
        <v/>
      </c>
      <c r="T1195" t="str">
        <f>IF($N1195="","",IF(Sync!$N1195="",0,Sync!$N1195))</f>
        <v/>
      </c>
      <c r="U1195" t="str">
        <f>IF($N1195="","",IF(Sync!$O1195="",0,Sync!$O1195))</f>
        <v/>
      </c>
      <c r="V1195" t="str">
        <f>IF($N1195="","",Sync!$L1195)</f>
        <v/>
      </c>
      <c r="W1195" t="str">
        <f>IF($N1195="","",Sync!$P1195)</f>
        <v/>
      </c>
    </row>
    <row r="1196" spans="14:23" x14ac:dyDescent="0.2">
      <c r="N1196" t="str">
        <f>IF(OR(Sync!$M1196="",$Q1196="",$Q1196="نامعتبر"),"",Sync!$M1196)</f>
        <v/>
      </c>
      <c r="O1196" t="str">
        <f t="shared" si="118"/>
        <v/>
      </c>
      <c r="P1196" t="str">
        <f>IF($N1196="","",LEFT($Q1196,4)&amp;MID($Q1196,6,2)&amp;RIGHT($Q1196,2)&amp;IF(Sync!$K1196="","0000",IF(AND(ISNUMBER(Sync!$K1196),Sync!$K1196&gt;=0,Sync!$K1196&lt;1),RIGHT("00"&amp;HOUR(Sync!$K1196),2)&amp;RIGHT("00"&amp;MINUTE(Sync!$K1196),2),IFERROR(RIGHT("00"&amp;VALUE(LEFT(Sync!$K1196,FIND(":",Sync!$K1196)-1)),2)&amp;RIGHT("00"&amp;VALUE(MID(Sync!$K1196,FIND(":",Sync!$K1196)+1,2)),2),"0000")))&amp;"|"&amp;"2"&amp;RIGHT("00000"&amp;1191,5))</f>
        <v/>
      </c>
      <c r="Q1196" t="str">
        <f>IF(Sync!$J1196="","",IF(ISNUMBER(Sync!$J1196),IF(AND(Sync!$J1196&gt;=10000101,Sync!$J1196&lt;=99991231),INT(Sync!$J1196/10000)&amp;"/"&amp;RIGHT("00"&amp;INT(MOD(Sync!$J1196,10000)/100),2)&amp;"/"&amp;RIGHT("00"&amp;MOD(Sync!$J1196,100),2),"نامعتبر"),IF(LEN(Sync!$J1196)=10,Sync!$J1196,"نامعتبر")))</f>
        <v/>
      </c>
      <c r="R1196" t="str">
        <f t="shared" si="119"/>
        <v/>
      </c>
      <c r="S1196" t="str">
        <f t="shared" si="120"/>
        <v/>
      </c>
      <c r="T1196" t="str">
        <f>IF($N1196="","",IF(Sync!$N1196="",0,Sync!$N1196))</f>
        <v/>
      </c>
      <c r="U1196" t="str">
        <f>IF($N1196="","",IF(Sync!$O1196="",0,Sync!$O1196))</f>
        <v/>
      </c>
      <c r="V1196" t="str">
        <f>IF($N1196="","",Sync!$L1196)</f>
        <v/>
      </c>
      <c r="W1196" t="str">
        <f>IF($N1196="","",Sync!$P1196)</f>
        <v/>
      </c>
    </row>
    <row r="1197" spans="14:23" x14ac:dyDescent="0.2">
      <c r="N1197" t="str">
        <f>IF(OR(Sync!$M1197="",$Q1197="",$Q1197="نامعتبر"),"",Sync!$M1197)</f>
        <v/>
      </c>
      <c r="O1197" t="str">
        <f t="shared" si="118"/>
        <v/>
      </c>
      <c r="P1197" t="str">
        <f>IF($N1197="","",LEFT($Q1197,4)&amp;MID($Q1197,6,2)&amp;RIGHT($Q1197,2)&amp;IF(Sync!$K1197="","0000",IF(AND(ISNUMBER(Sync!$K1197),Sync!$K1197&gt;=0,Sync!$K1197&lt;1),RIGHT("00"&amp;HOUR(Sync!$K1197),2)&amp;RIGHT("00"&amp;MINUTE(Sync!$K1197),2),IFERROR(RIGHT("00"&amp;VALUE(LEFT(Sync!$K1197,FIND(":",Sync!$K1197)-1)),2)&amp;RIGHT("00"&amp;VALUE(MID(Sync!$K1197,FIND(":",Sync!$K1197)+1,2)),2),"0000")))&amp;"|"&amp;"2"&amp;RIGHT("00000"&amp;1192,5))</f>
        <v/>
      </c>
      <c r="Q1197" t="str">
        <f>IF(Sync!$J1197="","",IF(ISNUMBER(Sync!$J1197),IF(AND(Sync!$J1197&gt;=10000101,Sync!$J1197&lt;=99991231),INT(Sync!$J1197/10000)&amp;"/"&amp;RIGHT("00"&amp;INT(MOD(Sync!$J1197,10000)/100),2)&amp;"/"&amp;RIGHT("00"&amp;MOD(Sync!$J1197,100),2),"نامعتبر"),IF(LEN(Sync!$J1197)=10,Sync!$J1197,"نامعتبر")))</f>
        <v/>
      </c>
      <c r="R1197" t="str">
        <f t="shared" si="119"/>
        <v/>
      </c>
      <c r="S1197" t="str">
        <f t="shared" si="120"/>
        <v/>
      </c>
      <c r="T1197" t="str">
        <f>IF($N1197="","",IF(Sync!$N1197="",0,Sync!$N1197))</f>
        <v/>
      </c>
      <c r="U1197" t="str">
        <f>IF($N1197="","",IF(Sync!$O1197="",0,Sync!$O1197))</f>
        <v/>
      </c>
      <c r="V1197" t="str">
        <f>IF($N1197="","",Sync!$L1197)</f>
        <v/>
      </c>
      <c r="W1197" t="str">
        <f>IF($N1197="","",Sync!$P1197)</f>
        <v/>
      </c>
    </row>
    <row r="1198" spans="14:23" x14ac:dyDescent="0.2">
      <c r="N1198" t="str">
        <f>IF(OR(Sync!$M1198="",$Q1198="",$Q1198="نامعتبر"),"",Sync!$M1198)</f>
        <v/>
      </c>
      <c r="O1198" t="str">
        <f t="shared" si="118"/>
        <v/>
      </c>
      <c r="P1198" t="str">
        <f>IF($N1198="","",LEFT($Q1198,4)&amp;MID($Q1198,6,2)&amp;RIGHT($Q1198,2)&amp;IF(Sync!$K1198="","0000",IF(AND(ISNUMBER(Sync!$K1198),Sync!$K1198&gt;=0,Sync!$K1198&lt;1),RIGHT("00"&amp;HOUR(Sync!$K1198),2)&amp;RIGHT("00"&amp;MINUTE(Sync!$K1198),2),IFERROR(RIGHT("00"&amp;VALUE(LEFT(Sync!$K1198,FIND(":",Sync!$K1198)-1)),2)&amp;RIGHT("00"&amp;VALUE(MID(Sync!$K1198,FIND(":",Sync!$K1198)+1,2)),2),"0000")))&amp;"|"&amp;"2"&amp;RIGHT("00000"&amp;1193,5))</f>
        <v/>
      </c>
      <c r="Q1198" t="str">
        <f>IF(Sync!$J1198="","",IF(ISNUMBER(Sync!$J1198),IF(AND(Sync!$J1198&gt;=10000101,Sync!$J1198&lt;=99991231),INT(Sync!$J1198/10000)&amp;"/"&amp;RIGHT("00"&amp;INT(MOD(Sync!$J1198,10000)/100),2)&amp;"/"&amp;RIGHT("00"&amp;MOD(Sync!$J1198,100),2),"نامعتبر"),IF(LEN(Sync!$J1198)=10,Sync!$J1198,"نامعتبر")))</f>
        <v/>
      </c>
      <c r="R1198" t="str">
        <f t="shared" si="119"/>
        <v/>
      </c>
      <c r="S1198" t="str">
        <f t="shared" si="120"/>
        <v/>
      </c>
      <c r="T1198" t="str">
        <f>IF($N1198="","",IF(Sync!$N1198="",0,Sync!$N1198))</f>
        <v/>
      </c>
      <c r="U1198" t="str">
        <f>IF($N1198="","",IF(Sync!$O1198="",0,Sync!$O1198))</f>
        <v/>
      </c>
      <c r="V1198" t="str">
        <f>IF($N1198="","",Sync!$L1198)</f>
        <v/>
      </c>
      <c r="W1198" t="str">
        <f>IF($N1198="","",Sync!$P1198)</f>
        <v/>
      </c>
    </row>
    <row r="1199" spans="14:23" x14ac:dyDescent="0.2">
      <c r="N1199" t="str">
        <f>IF(OR(Sync!$M1199="",$Q1199="",$Q1199="نامعتبر"),"",Sync!$M1199)</f>
        <v/>
      </c>
      <c r="O1199" t="str">
        <f t="shared" si="118"/>
        <v/>
      </c>
      <c r="P1199" t="str">
        <f>IF($N1199="","",LEFT($Q1199,4)&amp;MID($Q1199,6,2)&amp;RIGHT($Q1199,2)&amp;IF(Sync!$K1199="","0000",IF(AND(ISNUMBER(Sync!$K1199),Sync!$K1199&gt;=0,Sync!$K1199&lt;1),RIGHT("00"&amp;HOUR(Sync!$K1199),2)&amp;RIGHT("00"&amp;MINUTE(Sync!$K1199),2),IFERROR(RIGHT("00"&amp;VALUE(LEFT(Sync!$K1199,FIND(":",Sync!$K1199)-1)),2)&amp;RIGHT("00"&amp;VALUE(MID(Sync!$K1199,FIND(":",Sync!$K1199)+1,2)),2),"0000")))&amp;"|"&amp;"2"&amp;RIGHT("00000"&amp;1194,5))</f>
        <v/>
      </c>
      <c r="Q1199" t="str">
        <f>IF(Sync!$J1199="","",IF(ISNUMBER(Sync!$J1199),IF(AND(Sync!$J1199&gt;=10000101,Sync!$J1199&lt;=99991231),INT(Sync!$J1199/10000)&amp;"/"&amp;RIGHT("00"&amp;INT(MOD(Sync!$J1199,10000)/100),2)&amp;"/"&amp;RIGHT("00"&amp;MOD(Sync!$J1199,100),2),"نامعتبر"),IF(LEN(Sync!$J1199)=10,Sync!$J1199,"نامعتبر")))</f>
        <v/>
      </c>
      <c r="R1199" t="str">
        <f t="shared" si="119"/>
        <v/>
      </c>
      <c r="S1199" t="str">
        <f t="shared" si="120"/>
        <v/>
      </c>
      <c r="T1199" t="str">
        <f>IF($N1199="","",IF(Sync!$N1199="",0,Sync!$N1199))</f>
        <v/>
      </c>
      <c r="U1199" t="str">
        <f>IF($N1199="","",IF(Sync!$O1199="",0,Sync!$O1199))</f>
        <v/>
      </c>
      <c r="V1199" t="str">
        <f>IF($N1199="","",Sync!$L1199)</f>
        <v/>
      </c>
      <c r="W1199" t="str">
        <f>IF($N1199="","",Sync!$P1199)</f>
        <v/>
      </c>
    </row>
    <row r="1200" spans="14:23" x14ac:dyDescent="0.2">
      <c r="N1200" t="str">
        <f>IF(OR(Sync!$M1200="",$Q1200="",$Q1200="نامعتبر"),"",Sync!$M1200)</f>
        <v/>
      </c>
      <c r="O1200" t="str">
        <f t="shared" si="118"/>
        <v/>
      </c>
      <c r="P1200" t="str">
        <f>IF($N1200="","",LEFT($Q1200,4)&amp;MID($Q1200,6,2)&amp;RIGHT($Q1200,2)&amp;IF(Sync!$K1200="","0000",IF(AND(ISNUMBER(Sync!$K1200),Sync!$K1200&gt;=0,Sync!$K1200&lt;1),RIGHT("00"&amp;HOUR(Sync!$K1200),2)&amp;RIGHT("00"&amp;MINUTE(Sync!$K1200),2),IFERROR(RIGHT("00"&amp;VALUE(LEFT(Sync!$K1200,FIND(":",Sync!$K1200)-1)),2)&amp;RIGHT("00"&amp;VALUE(MID(Sync!$K1200,FIND(":",Sync!$K1200)+1,2)),2),"0000")))&amp;"|"&amp;"2"&amp;RIGHT("00000"&amp;1195,5))</f>
        <v/>
      </c>
      <c r="Q1200" t="str">
        <f>IF(Sync!$J1200="","",IF(ISNUMBER(Sync!$J1200),IF(AND(Sync!$J1200&gt;=10000101,Sync!$J1200&lt;=99991231),INT(Sync!$J1200/10000)&amp;"/"&amp;RIGHT("00"&amp;INT(MOD(Sync!$J1200,10000)/100),2)&amp;"/"&amp;RIGHT("00"&amp;MOD(Sync!$J1200,100),2),"نامعتبر"),IF(LEN(Sync!$J1200)=10,Sync!$J1200,"نامعتبر")))</f>
        <v/>
      </c>
      <c r="R1200" t="str">
        <f t="shared" si="119"/>
        <v/>
      </c>
      <c r="S1200" t="str">
        <f t="shared" si="120"/>
        <v/>
      </c>
      <c r="T1200" t="str">
        <f>IF($N1200="","",IF(Sync!$N1200="",0,Sync!$N1200))</f>
        <v/>
      </c>
      <c r="U1200" t="str">
        <f>IF($N1200="","",IF(Sync!$O1200="",0,Sync!$O1200))</f>
        <v/>
      </c>
      <c r="V1200" t="str">
        <f>IF($N1200="","",Sync!$L1200)</f>
        <v/>
      </c>
      <c r="W1200" t="str">
        <f>IF($N1200="","",Sync!$P1200)</f>
        <v/>
      </c>
    </row>
    <row r="1201" spans="14:23" x14ac:dyDescent="0.2">
      <c r="N1201" t="str">
        <f>IF(OR(Sync!$M1201="",$Q1201="",$Q1201="نامعتبر"),"",Sync!$M1201)</f>
        <v/>
      </c>
      <c r="O1201" t="str">
        <f t="shared" si="118"/>
        <v/>
      </c>
      <c r="P1201" t="str">
        <f>IF($N1201="","",LEFT($Q1201,4)&amp;MID($Q1201,6,2)&amp;RIGHT($Q1201,2)&amp;IF(Sync!$K1201="","0000",IF(AND(ISNUMBER(Sync!$K1201),Sync!$K1201&gt;=0,Sync!$K1201&lt;1),RIGHT("00"&amp;HOUR(Sync!$K1201),2)&amp;RIGHT("00"&amp;MINUTE(Sync!$K1201),2),IFERROR(RIGHT("00"&amp;VALUE(LEFT(Sync!$K1201,FIND(":",Sync!$K1201)-1)),2)&amp;RIGHT("00"&amp;VALUE(MID(Sync!$K1201,FIND(":",Sync!$K1201)+1,2)),2),"0000")))&amp;"|"&amp;"2"&amp;RIGHT("00000"&amp;1196,5))</f>
        <v/>
      </c>
      <c r="Q1201" t="str">
        <f>IF(Sync!$J1201="","",IF(ISNUMBER(Sync!$J1201),IF(AND(Sync!$J1201&gt;=10000101,Sync!$J1201&lt;=99991231),INT(Sync!$J1201/10000)&amp;"/"&amp;RIGHT("00"&amp;INT(MOD(Sync!$J1201,10000)/100),2)&amp;"/"&amp;RIGHT("00"&amp;MOD(Sync!$J1201,100),2),"نامعتبر"),IF(LEN(Sync!$J1201)=10,Sync!$J1201,"نامعتبر")))</f>
        <v/>
      </c>
      <c r="R1201" t="str">
        <f t="shared" si="119"/>
        <v/>
      </c>
      <c r="S1201" t="str">
        <f t="shared" si="120"/>
        <v/>
      </c>
      <c r="T1201" t="str">
        <f>IF($N1201="","",IF(Sync!$N1201="",0,Sync!$N1201))</f>
        <v/>
      </c>
      <c r="U1201" t="str">
        <f>IF($N1201="","",IF(Sync!$O1201="",0,Sync!$O1201))</f>
        <v/>
      </c>
      <c r="V1201" t="str">
        <f>IF($N1201="","",Sync!$L1201)</f>
        <v/>
      </c>
      <c r="W1201" t="str">
        <f>IF($N1201="","",Sync!$P1201)</f>
        <v/>
      </c>
    </row>
    <row r="1202" spans="14:23" x14ac:dyDescent="0.2">
      <c r="N1202" t="str">
        <f>IF(OR(Sync!$M1202="",$Q1202="",$Q1202="نامعتبر"),"",Sync!$M1202)</f>
        <v/>
      </c>
      <c r="O1202" t="str">
        <f t="shared" si="118"/>
        <v/>
      </c>
      <c r="P1202" t="str">
        <f>IF($N1202="","",LEFT($Q1202,4)&amp;MID($Q1202,6,2)&amp;RIGHT($Q1202,2)&amp;IF(Sync!$K1202="","0000",IF(AND(ISNUMBER(Sync!$K1202),Sync!$K1202&gt;=0,Sync!$K1202&lt;1),RIGHT("00"&amp;HOUR(Sync!$K1202),2)&amp;RIGHT("00"&amp;MINUTE(Sync!$K1202),2),IFERROR(RIGHT("00"&amp;VALUE(LEFT(Sync!$K1202,FIND(":",Sync!$K1202)-1)),2)&amp;RIGHT("00"&amp;VALUE(MID(Sync!$K1202,FIND(":",Sync!$K1202)+1,2)),2),"0000")))&amp;"|"&amp;"2"&amp;RIGHT("00000"&amp;1197,5))</f>
        <v/>
      </c>
      <c r="Q1202" t="str">
        <f>IF(Sync!$J1202="","",IF(ISNUMBER(Sync!$J1202),IF(AND(Sync!$J1202&gt;=10000101,Sync!$J1202&lt;=99991231),INT(Sync!$J1202/10000)&amp;"/"&amp;RIGHT("00"&amp;INT(MOD(Sync!$J1202,10000)/100),2)&amp;"/"&amp;RIGHT("00"&amp;MOD(Sync!$J1202,100),2),"نامعتبر"),IF(LEN(Sync!$J1202)=10,Sync!$J1202,"نامعتبر")))</f>
        <v/>
      </c>
      <c r="R1202" t="str">
        <f t="shared" si="119"/>
        <v/>
      </c>
      <c r="S1202" t="str">
        <f t="shared" si="120"/>
        <v/>
      </c>
      <c r="T1202" t="str">
        <f>IF($N1202="","",IF(Sync!$N1202="",0,Sync!$N1202))</f>
        <v/>
      </c>
      <c r="U1202" t="str">
        <f>IF($N1202="","",IF(Sync!$O1202="",0,Sync!$O1202))</f>
        <v/>
      </c>
      <c r="V1202" t="str">
        <f>IF($N1202="","",Sync!$L1202)</f>
        <v/>
      </c>
      <c r="W1202" t="str">
        <f>IF($N1202="","",Sync!$P1202)</f>
        <v/>
      </c>
    </row>
    <row r="1203" spans="14:23" x14ac:dyDescent="0.2">
      <c r="N1203" t="str">
        <f>IF(OR(Sync!$M1203="",$Q1203="",$Q1203="نامعتبر"),"",Sync!$M1203)</f>
        <v/>
      </c>
      <c r="O1203" t="str">
        <f t="shared" si="118"/>
        <v/>
      </c>
      <c r="P1203" t="str">
        <f>IF($N1203="","",LEFT($Q1203,4)&amp;MID($Q1203,6,2)&amp;RIGHT($Q1203,2)&amp;IF(Sync!$K1203="","0000",IF(AND(ISNUMBER(Sync!$K1203),Sync!$K1203&gt;=0,Sync!$K1203&lt;1),RIGHT("00"&amp;HOUR(Sync!$K1203),2)&amp;RIGHT("00"&amp;MINUTE(Sync!$K1203),2),IFERROR(RIGHT("00"&amp;VALUE(LEFT(Sync!$K1203,FIND(":",Sync!$K1203)-1)),2)&amp;RIGHT("00"&amp;VALUE(MID(Sync!$K1203,FIND(":",Sync!$K1203)+1,2)),2),"0000")))&amp;"|"&amp;"2"&amp;RIGHT("00000"&amp;1198,5))</f>
        <v/>
      </c>
      <c r="Q1203" t="str">
        <f>IF(Sync!$J1203="","",IF(ISNUMBER(Sync!$J1203),IF(AND(Sync!$J1203&gt;=10000101,Sync!$J1203&lt;=99991231),INT(Sync!$J1203/10000)&amp;"/"&amp;RIGHT("00"&amp;INT(MOD(Sync!$J1203,10000)/100),2)&amp;"/"&amp;RIGHT("00"&amp;MOD(Sync!$J1203,100),2),"نامعتبر"),IF(LEN(Sync!$J1203)=10,Sync!$J1203,"نامعتبر")))</f>
        <v/>
      </c>
      <c r="R1203" t="str">
        <f t="shared" si="119"/>
        <v/>
      </c>
      <c r="S1203" t="str">
        <f t="shared" si="120"/>
        <v/>
      </c>
      <c r="T1203" t="str">
        <f>IF($N1203="","",IF(Sync!$N1203="",0,Sync!$N1203))</f>
        <v/>
      </c>
      <c r="U1203" t="str">
        <f>IF($N1203="","",IF(Sync!$O1203="",0,Sync!$O1203))</f>
        <v/>
      </c>
      <c r="V1203" t="str">
        <f>IF($N1203="","",Sync!$L1203)</f>
        <v/>
      </c>
      <c r="W1203" t="str">
        <f>IF($N1203="","",Sync!$P1203)</f>
        <v/>
      </c>
    </row>
    <row r="1204" spans="14:23" x14ac:dyDescent="0.2">
      <c r="N1204" t="str">
        <f>IF(OR(Sync!$M1204="",$Q1204="",$Q1204="نامعتبر"),"",Sync!$M1204)</f>
        <v/>
      </c>
      <c r="O1204" t="str">
        <f t="shared" si="118"/>
        <v/>
      </c>
      <c r="P1204" t="str">
        <f>IF($N1204="","",LEFT($Q1204,4)&amp;MID($Q1204,6,2)&amp;RIGHT($Q1204,2)&amp;IF(Sync!$K1204="","0000",IF(AND(ISNUMBER(Sync!$K1204),Sync!$K1204&gt;=0,Sync!$K1204&lt;1),RIGHT("00"&amp;HOUR(Sync!$K1204),2)&amp;RIGHT("00"&amp;MINUTE(Sync!$K1204),2),IFERROR(RIGHT("00"&amp;VALUE(LEFT(Sync!$K1204,FIND(":",Sync!$K1204)-1)),2)&amp;RIGHT("00"&amp;VALUE(MID(Sync!$K1204,FIND(":",Sync!$K1204)+1,2)),2),"0000")))&amp;"|"&amp;"2"&amp;RIGHT("00000"&amp;1199,5))</f>
        <v/>
      </c>
      <c r="Q1204" t="str">
        <f>IF(Sync!$J1204="","",IF(ISNUMBER(Sync!$J1204),IF(AND(Sync!$J1204&gt;=10000101,Sync!$J1204&lt;=99991231),INT(Sync!$J1204/10000)&amp;"/"&amp;RIGHT("00"&amp;INT(MOD(Sync!$J1204,10000)/100),2)&amp;"/"&amp;RIGHT("00"&amp;MOD(Sync!$J1204,100),2),"نامعتبر"),IF(LEN(Sync!$J1204)=10,Sync!$J1204,"نامعتبر")))</f>
        <v/>
      </c>
      <c r="R1204" t="str">
        <f t="shared" si="119"/>
        <v/>
      </c>
      <c r="S1204" t="str">
        <f t="shared" si="120"/>
        <v/>
      </c>
      <c r="T1204" t="str">
        <f>IF($N1204="","",IF(Sync!$N1204="",0,Sync!$N1204))</f>
        <v/>
      </c>
      <c r="U1204" t="str">
        <f>IF($N1204="","",IF(Sync!$O1204="",0,Sync!$O1204))</f>
        <v/>
      </c>
      <c r="V1204" t="str">
        <f>IF($N1204="","",Sync!$L1204)</f>
        <v/>
      </c>
      <c r="W1204" t="str">
        <f>IF($N1204="","",Sync!$P1204)</f>
        <v/>
      </c>
    </row>
    <row r="1205" spans="14:23" x14ac:dyDescent="0.2">
      <c r="N1205" t="str">
        <f>IF(OR(Sync!$M1205="",$Q1205="",$Q1205="نامعتبر"),"",Sync!$M1205)</f>
        <v/>
      </c>
      <c r="O1205" t="str">
        <f t="shared" si="118"/>
        <v/>
      </c>
      <c r="P1205" t="str">
        <f>IF($N1205="","",LEFT($Q1205,4)&amp;MID($Q1205,6,2)&amp;RIGHT($Q1205,2)&amp;IF(Sync!$K1205="","0000",IF(AND(ISNUMBER(Sync!$K1205),Sync!$K1205&gt;=0,Sync!$K1205&lt;1),RIGHT("00"&amp;HOUR(Sync!$K1205),2)&amp;RIGHT("00"&amp;MINUTE(Sync!$K1205),2),IFERROR(RIGHT("00"&amp;VALUE(LEFT(Sync!$K1205,FIND(":",Sync!$K1205)-1)),2)&amp;RIGHT("00"&amp;VALUE(MID(Sync!$K1205,FIND(":",Sync!$K1205)+1,2)),2),"0000")))&amp;"|"&amp;"2"&amp;RIGHT("00000"&amp;1200,5))</f>
        <v/>
      </c>
      <c r="Q1205" t="str">
        <f>IF(Sync!$J1205="","",IF(ISNUMBER(Sync!$J1205),IF(AND(Sync!$J1205&gt;=10000101,Sync!$J1205&lt;=99991231),INT(Sync!$J1205/10000)&amp;"/"&amp;RIGHT("00"&amp;INT(MOD(Sync!$J1205,10000)/100),2)&amp;"/"&amp;RIGHT("00"&amp;MOD(Sync!$J1205,100),2),"نامعتبر"),IF(LEN(Sync!$J1205)=10,Sync!$J1205,"نامعتبر")))</f>
        <v/>
      </c>
      <c r="R1205" t="str">
        <f t="shared" si="119"/>
        <v/>
      </c>
      <c r="S1205" t="str">
        <f t="shared" si="120"/>
        <v/>
      </c>
      <c r="T1205" t="str">
        <f>IF($N1205="","",IF(Sync!$N1205="",0,Sync!$N1205))</f>
        <v/>
      </c>
      <c r="U1205" t="str">
        <f>IF($N1205="","",IF(Sync!$O1205="",0,Sync!$O1205))</f>
        <v/>
      </c>
      <c r="V1205" t="str">
        <f>IF($N1205="","",Sync!$L1205)</f>
        <v/>
      </c>
      <c r="W1205" t="str">
        <f>IF($N1205="","",Sync!$P1205)</f>
        <v/>
      </c>
    </row>
    <row r="1206" spans="14:23" x14ac:dyDescent="0.2">
      <c r="N1206" t="str">
        <f>IF(OR(Sync!$M1206="",$Q1206="",$Q1206="نامعتبر"),"",Sync!$M1206)</f>
        <v/>
      </c>
      <c r="O1206" t="str">
        <f t="shared" si="118"/>
        <v/>
      </c>
      <c r="P1206" t="str">
        <f>IF($N1206="","",LEFT($Q1206,4)&amp;MID($Q1206,6,2)&amp;RIGHT($Q1206,2)&amp;IF(Sync!$K1206="","0000",IF(AND(ISNUMBER(Sync!$K1206),Sync!$K1206&gt;=0,Sync!$K1206&lt;1),RIGHT("00"&amp;HOUR(Sync!$K1206),2)&amp;RIGHT("00"&amp;MINUTE(Sync!$K1206),2),IFERROR(RIGHT("00"&amp;VALUE(LEFT(Sync!$K1206,FIND(":",Sync!$K1206)-1)),2)&amp;RIGHT("00"&amp;VALUE(MID(Sync!$K1206,FIND(":",Sync!$K1206)+1,2)),2),"0000")))&amp;"|"&amp;"2"&amp;RIGHT("00000"&amp;1201,5))</f>
        <v/>
      </c>
      <c r="Q1206" t="str">
        <f>IF(Sync!$J1206="","",IF(ISNUMBER(Sync!$J1206),IF(AND(Sync!$J1206&gt;=10000101,Sync!$J1206&lt;=99991231),INT(Sync!$J1206/10000)&amp;"/"&amp;RIGHT("00"&amp;INT(MOD(Sync!$J1206,10000)/100),2)&amp;"/"&amp;RIGHT("00"&amp;MOD(Sync!$J1206,100),2),"نامعتبر"),IF(LEN(Sync!$J1206)=10,Sync!$J1206,"نامعتبر")))</f>
        <v/>
      </c>
      <c r="R1206" t="str">
        <f t="shared" si="119"/>
        <v/>
      </c>
      <c r="S1206" t="str">
        <f t="shared" si="120"/>
        <v/>
      </c>
      <c r="T1206" t="str">
        <f>IF($N1206="","",IF(Sync!$N1206="",0,Sync!$N1206))</f>
        <v/>
      </c>
      <c r="U1206" t="str">
        <f>IF($N1206="","",IF(Sync!$O1206="",0,Sync!$O1206))</f>
        <v/>
      </c>
      <c r="V1206" t="str">
        <f>IF($N1206="","",Sync!$L1206)</f>
        <v/>
      </c>
      <c r="W1206" t="str">
        <f>IF($N1206="","",Sync!$P1206)</f>
        <v/>
      </c>
    </row>
    <row r="1207" spans="14:23" x14ac:dyDescent="0.2">
      <c r="N1207" t="str">
        <f>IF(OR(Sync!$M1207="",$Q1207="",$Q1207="نامعتبر"),"",Sync!$M1207)</f>
        <v/>
      </c>
      <c r="O1207" t="str">
        <f t="shared" si="118"/>
        <v/>
      </c>
      <c r="P1207" t="str">
        <f>IF($N1207="","",LEFT($Q1207,4)&amp;MID($Q1207,6,2)&amp;RIGHT($Q1207,2)&amp;IF(Sync!$K1207="","0000",IF(AND(ISNUMBER(Sync!$K1207),Sync!$K1207&gt;=0,Sync!$K1207&lt;1),RIGHT("00"&amp;HOUR(Sync!$K1207),2)&amp;RIGHT("00"&amp;MINUTE(Sync!$K1207),2),IFERROR(RIGHT("00"&amp;VALUE(LEFT(Sync!$K1207,FIND(":",Sync!$K1207)-1)),2)&amp;RIGHT("00"&amp;VALUE(MID(Sync!$K1207,FIND(":",Sync!$K1207)+1,2)),2),"0000")))&amp;"|"&amp;"2"&amp;RIGHT("00000"&amp;1202,5))</f>
        <v/>
      </c>
      <c r="Q1207" t="str">
        <f>IF(Sync!$J1207="","",IF(ISNUMBER(Sync!$J1207),IF(AND(Sync!$J1207&gt;=10000101,Sync!$J1207&lt;=99991231),INT(Sync!$J1207/10000)&amp;"/"&amp;RIGHT("00"&amp;INT(MOD(Sync!$J1207,10000)/100),2)&amp;"/"&amp;RIGHT("00"&amp;MOD(Sync!$J1207,100),2),"نامعتبر"),IF(LEN(Sync!$J1207)=10,Sync!$J1207,"نامعتبر")))</f>
        <v/>
      </c>
      <c r="R1207" t="str">
        <f t="shared" si="119"/>
        <v/>
      </c>
      <c r="S1207" t="str">
        <f t="shared" si="120"/>
        <v/>
      </c>
      <c r="T1207" t="str">
        <f>IF($N1207="","",IF(Sync!$N1207="",0,Sync!$N1207))</f>
        <v/>
      </c>
      <c r="U1207" t="str">
        <f>IF($N1207="","",IF(Sync!$O1207="",0,Sync!$O1207))</f>
        <v/>
      </c>
      <c r="V1207" t="str">
        <f>IF($N1207="","",Sync!$L1207)</f>
        <v/>
      </c>
      <c r="W1207" t="str">
        <f>IF($N1207="","",Sync!$P1207)</f>
        <v/>
      </c>
    </row>
    <row r="1208" spans="14:23" x14ac:dyDescent="0.2">
      <c r="N1208" t="str">
        <f>IF(OR(Sync!$M1208="",$Q1208="",$Q1208="نامعتبر"),"",Sync!$M1208)</f>
        <v/>
      </c>
      <c r="O1208" t="str">
        <f t="shared" si="118"/>
        <v/>
      </c>
      <c r="P1208" t="str">
        <f>IF($N1208="","",LEFT($Q1208,4)&amp;MID($Q1208,6,2)&amp;RIGHT($Q1208,2)&amp;IF(Sync!$K1208="","0000",IF(AND(ISNUMBER(Sync!$K1208),Sync!$K1208&gt;=0,Sync!$K1208&lt;1),RIGHT("00"&amp;HOUR(Sync!$K1208),2)&amp;RIGHT("00"&amp;MINUTE(Sync!$K1208),2),IFERROR(RIGHT("00"&amp;VALUE(LEFT(Sync!$K1208,FIND(":",Sync!$K1208)-1)),2)&amp;RIGHT("00"&amp;VALUE(MID(Sync!$K1208,FIND(":",Sync!$K1208)+1,2)),2),"0000")))&amp;"|"&amp;"2"&amp;RIGHT("00000"&amp;1203,5))</f>
        <v/>
      </c>
      <c r="Q1208" t="str">
        <f>IF(Sync!$J1208="","",IF(ISNUMBER(Sync!$J1208),IF(AND(Sync!$J1208&gt;=10000101,Sync!$J1208&lt;=99991231),INT(Sync!$J1208/10000)&amp;"/"&amp;RIGHT("00"&amp;INT(MOD(Sync!$J1208,10000)/100),2)&amp;"/"&amp;RIGHT("00"&amp;MOD(Sync!$J1208,100),2),"نامعتبر"),IF(LEN(Sync!$J1208)=10,Sync!$J1208,"نامعتبر")))</f>
        <v/>
      </c>
      <c r="R1208" t="str">
        <f t="shared" si="119"/>
        <v/>
      </c>
      <c r="S1208" t="str">
        <f t="shared" si="120"/>
        <v/>
      </c>
      <c r="T1208" t="str">
        <f>IF($N1208="","",IF(Sync!$N1208="",0,Sync!$N1208))</f>
        <v/>
      </c>
      <c r="U1208" t="str">
        <f>IF($N1208="","",IF(Sync!$O1208="",0,Sync!$O1208))</f>
        <v/>
      </c>
      <c r="V1208" t="str">
        <f>IF($N1208="","",Sync!$L1208)</f>
        <v/>
      </c>
      <c r="W1208" t="str">
        <f>IF($N1208="","",Sync!$P1208)</f>
        <v/>
      </c>
    </row>
    <row r="1209" spans="14:23" x14ac:dyDescent="0.2">
      <c r="N1209" t="str">
        <f>IF(OR(Sync!$M1209="",$Q1209="",$Q1209="نامعتبر"),"",Sync!$M1209)</f>
        <v/>
      </c>
      <c r="O1209" t="str">
        <f t="shared" si="118"/>
        <v/>
      </c>
      <c r="P1209" t="str">
        <f>IF($N1209="","",LEFT($Q1209,4)&amp;MID($Q1209,6,2)&amp;RIGHT($Q1209,2)&amp;IF(Sync!$K1209="","0000",IF(AND(ISNUMBER(Sync!$K1209),Sync!$K1209&gt;=0,Sync!$K1209&lt;1),RIGHT("00"&amp;HOUR(Sync!$K1209),2)&amp;RIGHT("00"&amp;MINUTE(Sync!$K1209),2),IFERROR(RIGHT("00"&amp;VALUE(LEFT(Sync!$K1209,FIND(":",Sync!$K1209)-1)),2)&amp;RIGHT("00"&amp;VALUE(MID(Sync!$K1209,FIND(":",Sync!$K1209)+1,2)),2),"0000")))&amp;"|"&amp;"2"&amp;RIGHT("00000"&amp;1204,5))</f>
        <v/>
      </c>
      <c r="Q1209" t="str">
        <f>IF(Sync!$J1209="","",IF(ISNUMBER(Sync!$J1209),IF(AND(Sync!$J1209&gt;=10000101,Sync!$J1209&lt;=99991231),INT(Sync!$J1209/10000)&amp;"/"&amp;RIGHT("00"&amp;INT(MOD(Sync!$J1209,10000)/100),2)&amp;"/"&amp;RIGHT("00"&amp;MOD(Sync!$J1209,100),2),"نامعتبر"),IF(LEN(Sync!$J1209)=10,Sync!$J1209,"نامعتبر")))</f>
        <v/>
      </c>
      <c r="R1209" t="str">
        <f t="shared" si="119"/>
        <v/>
      </c>
      <c r="S1209" t="str">
        <f t="shared" si="120"/>
        <v/>
      </c>
      <c r="T1209" t="str">
        <f>IF($N1209="","",IF(Sync!$N1209="",0,Sync!$N1209))</f>
        <v/>
      </c>
      <c r="U1209" t="str">
        <f>IF($N1209="","",IF(Sync!$O1209="",0,Sync!$O1209))</f>
        <v/>
      </c>
      <c r="V1209" t="str">
        <f>IF($N1209="","",Sync!$L1209)</f>
        <v/>
      </c>
      <c r="W1209" t="str">
        <f>IF($N1209="","",Sync!$P1209)</f>
        <v/>
      </c>
    </row>
    <row r="1210" spans="14:23" x14ac:dyDescent="0.2">
      <c r="N1210" t="str">
        <f>IF(OR(Sync!$M1210="",$Q1210="",$Q1210="نامعتبر"),"",Sync!$M1210)</f>
        <v/>
      </c>
      <c r="O1210" t="str">
        <f t="shared" si="118"/>
        <v/>
      </c>
      <c r="P1210" t="str">
        <f>IF($N1210="","",LEFT($Q1210,4)&amp;MID($Q1210,6,2)&amp;RIGHT($Q1210,2)&amp;IF(Sync!$K1210="","0000",IF(AND(ISNUMBER(Sync!$K1210),Sync!$K1210&gt;=0,Sync!$K1210&lt;1),RIGHT("00"&amp;HOUR(Sync!$K1210),2)&amp;RIGHT("00"&amp;MINUTE(Sync!$K1210),2),IFERROR(RIGHT("00"&amp;VALUE(LEFT(Sync!$K1210,FIND(":",Sync!$K1210)-1)),2)&amp;RIGHT("00"&amp;VALUE(MID(Sync!$K1210,FIND(":",Sync!$K1210)+1,2)),2),"0000")))&amp;"|"&amp;"2"&amp;RIGHT("00000"&amp;1205,5))</f>
        <v/>
      </c>
      <c r="Q1210" t="str">
        <f>IF(Sync!$J1210="","",IF(ISNUMBER(Sync!$J1210),IF(AND(Sync!$J1210&gt;=10000101,Sync!$J1210&lt;=99991231),INT(Sync!$J1210/10000)&amp;"/"&amp;RIGHT("00"&amp;INT(MOD(Sync!$J1210,10000)/100),2)&amp;"/"&amp;RIGHT("00"&amp;MOD(Sync!$J1210,100),2),"نامعتبر"),IF(LEN(Sync!$J1210)=10,Sync!$J1210,"نامعتبر")))</f>
        <v/>
      </c>
      <c r="R1210" t="str">
        <f t="shared" si="119"/>
        <v/>
      </c>
      <c r="S1210" t="str">
        <f t="shared" si="120"/>
        <v/>
      </c>
      <c r="T1210" t="str">
        <f>IF($N1210="","",IF(Sync!$N1210="",0,Sync!$N1210))</f>
        <v/>
      </c>
      <c r="U1210" t="str">
        <f>IF($N1210="","",IF(Sync!$O1210="",0,Sync!$O1210))</f>
        <v/>
      </c>
      <c r="V1210" t="str">
        <f>IF($N1210="","",Sync!$L1210)</f>
        <v/>
      </c>
      <c r="W1210" t="str">
        <f>IF($N1210="","",Sync!$P1210)</f>
        <v/>
      </c>
    </row>
    <row r="1211" spans="14:23" x14ac:dyDescent="0.2">
      <c r="N1211" t="str">
        <f>IF(OR(Sync!$M1211="",$Q1211="",$Q1211="نامعتبر"),"",Sync!$M1211)</f>
        <v/>
      </c>
      <c r="O1211" t="str">
        <f t="shared" si="118"/>
        <v/>
      </c>
      <c r="P1211" t="str">
        <f>IF($N1211="","",LEFT($Q1211,4)&amp;MID($Q1211,6,2)&amp;RIGHT($Q1211,2)&amp;IF(Sync!$K1211="","0000",IF(AND(ISNUMBER(Sync!$K1211),Sync!$K1211&gt;=0,Sync!$K1211&lt;1),RIGHT("00"&amp;HOUR(Sync!$K1211),2)&amp;RIGHT("00"&amp;MINUTE(Sync!$K1211),2),IFERROR(RIGHT("00"&amp;VALUE(LEFT(Sync!$K1211,FIND(":",Sync!$K1211)-1)),2)&amp;RIGHT("00"&amp;VALUE(MID(Sync!$K1211,FIND(":",Sync!$K1211)+1,2)),2),"0000")))&amp;"|"&amp;"2"&amp;RIGHT("00000"&amp;1206,5))</f>
        <v/>
      </c>
      <c r="Q1211" t="str">
        <f>IF(Sync!$J1211="","",IF(ISNUMBER(Sync!$J1211),IF(AND(Sync!$J1211&gt;=10000101,Sync!$J1211&lt;=99991231),INT(Sync!$J1211/10000)&amp;"/"&amp;RIGHT("00"&amp;INT(MOD(Sync!$J1211,10000)/100),2)&amp;"/"&amp;RIGHT("00"&amp;MOD(Sync!$J1211,100),2),"نامعتبر"),IF(LEN(Sync!$J1211)=10,Sync!$J1211,"نامعتبر")))</f>
        <v/>
      </c>
      <c r="R1211" t="str">
        <f t="shared" si="119"/>
        <v/>
      </c>
      <c r="S1211" t="str">
        <f t="shared" si="120"/>
        <v/>
      </c>
      <c r="T1211" t="str">
        <f>IF($N1211="","",IF(Sync!$N1211="",0,Sync!$N1211))</f>
        <v/>
      </c>
      <c r="U1211" t="str">
        <f>IF($N1211="","",IF(Sync!$O1211="",0,Sync!$O1211))</f>
        <v/>
      </c>
      <c r="V1211" t="str">
        <f>IF($N1211="","",Sync!$L1211)</f>
        <v/>
      </c>
      <c r="W1211" t="str">
        <f>IF($N1211="","",Sync!$P1211)</f>
        <v/>
      </c>
    </row>
    <row r="1212" spans="14:23" x14ac:dyDescent="0.2">
      <c r="N1212" t="str">
        <f>IF(OR(Sync!$M1212="",$Q1212="",$Q1212="نامعتبر"),"",Sync!$M1212)</f>
        <v/>
      </c>
      <c r="O1212" t="str">
        <f t="shared" si="118"/>
        <v/>
      </c>
      <c r="P1212" t="str">
        <f>IF($N1212="","",LEFT($Q1212,4)&amp;MID($Q1212,6,2)&amp;RIGHT($Q1212,2)&amp;IF(Sync!$K1212="","0000",IF(AND(ISNUMBER(Sync!$K1212),Sync!$K1212&gt;=0,Sync!$K1212&lt;1),RIGHT("00"&amp;HOUR(Sync!$K1212),2)&amp;RIGHT("00"&amp;MINUTE(Sync!$K1212),2),IFERROR(RIGHT("00"&amp;VALUE(LEFT(Sync!$K1212,FIND(":",Sync!$K1212)-1)),2)&amp;RIGHT("00"&amp;VALUE(MID(Sync!$K1212,FIND(":",Sync!$K1212)+1,2)),2),"0000")))&amp;"|"&amp;"2"&amp;RIGHT("00000"&amp;1207,5))</f>
        <v/>
      </c>
      <c r="Q1212" t="str">
        <f>IF(Sync!$J1212="","",IF(ISNUMBER(Sync!$J1212),IF(AND(Sync!$J1212&gt;=10000101,Sync!$J1212&lt;=99991231),INT(Sync!$J1212/10000)&amp;"/"&amp;RIGHT("00"&amp;INT(MOD(Sync!$J1212,10000)/100),2)&amp;"/"&amp;RIGHT("00"&amp;MOD(Sync!$J1212,100),2),"نامعتبر"),IF(LEN(Sync!$J1212)=10,Sync!$J1212,"نامعتبر")))</f>
        <v/>
      </c>
      <c r="R1212" t="str">
        <f t="shared" si="119"/>
        <v/>
      </c>
      <c r="S1212" t="str">
        <f t="shared" si="120"/>
        <v/>
      </c>
      <c r="T1212" t="str">
        <f>IF($N1212="","",IF(Sync!$N1212="",0,Sync!$N1212))</f>
        <v/>
      </c>
      <c r="U1212" t="str">
        <f>IF($N1212="","",IF(Sync!$O1212="",0,Sync!$O1212))</f>
        <v/>
      </c>
      <c r="V1212" t="str">
        <f>IF($N1212="","",Sync!$L1212)</f>
        <v/>
      </c>
      <c r="W1212" t="str">
        <f>IF($N1212="","",Sync!$P1212)</f>
        <v/>
      </c>
    </row>
    <row r="1213" spans="14:23" x14ac:dyDescent="0.2">
      <c r="N1213" t="str">
        <f>IF(OR(Sync!$M1213="",$Q1213="",$Q1213="نامعتبر"),"",Sync!$M1213)</f>
        <v/>
      </c>
      <c r="O1213" t="str">
        <f t="shared" si="118"/>
        <v/>
      </c>
      <c r="P1213" t="str">
        <f>IF($N1213="","",LEFT($Q1213,4)&amp;MID($Q1213,6,2)&amp;RIGHT($Q1213,2)&amp;IF(Sync!$K1213="","0000",IF(AND(ISNUMBER(Sync!$K1213),Sync!$K1213&gt;=0,Sync!$K1213&lt;1),RIGHT("00"&amp;HOUR(Sync!$K1213),2)&amp;RIGHT("00"&amp;MINUTE(Sync!$K1213),2),IFERROR(RIGHT("00"&amp;VALUE(LEFT(Sync!$K1213,FIND(":",Sync!$K1213)-1)),2)&amp;RIGHT("00"&amp;VALUE(MID(Sync!$K1213,FIND(":",Sync!$K1213)+1,2)),2),"0000")))&amp;"|"&amp;"2"&amp;RIGHT("00000"&amp;1208,5))</f>
        <v/>
      </c>
      <c r="Q1213" t="str">
        <f>IF(Sync!$J1213="","",IF(ISNUMBER(Sync!$J1213),IF(AND(Sync!$J1213&gt;=10000101,Sync!$J1213&lt;=99991231),INT(Sync!$J1213/10000)&amp;"/"&amp;RIGHT("00"&amp;INT(MOD(Sync!$J1213,10000)/100),2)&amp;"/"&amp;RIGHT("00"&amp;MOD(Sync!$J1213,100),2),"نامعتبر"),IF(LEN(Sync!$J1213)=10,Sync!$J1213,"نامعتبر")))</f>
        <v/>
      </c>
      <c r="R1213" t="str">
        <f t="shared" si="119"/>
        <v/>
      </c>
      <c r="S1213" t="str">
        <f t="shared" si="120"/>
        <v/>
      </c>
      <c r="T1213" t="str">
        <f>IF($N1213="","",IF(Sync!$N1213="",0,Sync!$N1213))</f>
        <v/>
      </c>
      <c r="U1213" t="str">
        <f>IF($N1213="","",IF(Sync!$O1213="",0,Sync!$O1213))</f>
        <v/>
      </c>
      <c r="V1213" t="str">
        <f>IF($N1213="","",Sync!$L1213)</f>
        <v/>
      </c>
      <c r="W1213" t="str">
        <f>IF($N1213="","",Sync!$P1213)</f>
        <v/>
      </c>
    </row>
    <row r="1214" spans="14:23" x14ac:dyDescent="0.2">
      <c r="N1214" t="str">
        <f>IF(OR(Sync!$M1214="",$Q1214="",$Q1214="نامعتبر"),"",Sync!$M1214)</f>
        <v/>
      </c>
      <c r="O1214" t="str">
        <f t="shared" si="118"/>
        <v/>
      </c>
      <c r="P1214" t="str">
        <f>IF($N1214="","",LEFT($Q1214,4)&amp;MID($Q1214,6,2)&amp;RIGHT($Q1214,2)&amp;IF(Sync!$K1214="","0000",IF(AND(ISNUMBER(Sync!$K1214),Sync!$K1214&gt;=0,Sync!$K1214&lt;1),RIGHT("00"&amp;HOUR(Sync!$K1214),2)&amp;RIGHT("00"&amp;MINUTE(Sync!$K1214),2),IFERROR(RIGHT("00"&amp;VALUE(LEFT(Sync!$K1214,FIND(":",Sync!$K1214)-1)),2)&amp;RIGHT("00"&amp;VALUE(MID(Sync!$K1214,FIND(":",Sync!$K1214)+1,2)),2),"0000")))&amp;"|"&amp;"2"&amp;RIGHT("00000"&amp;1209,5))</f>
        <v/>
      </c>
      <c r="Q1214" t="str">
        <f>IF(Sync!$J1214="","",IF(ISNUMBER(Sync!$J1214),IF(AND(Sync!$J1214&gt;=10000101,Sync!$J1214&lt;=99991231),INT(Sync!$J1214/10000)&amp;"/"&amp;RIGHT("00"&amp;INT(MOD(Sync!$J1214,10000)/100),2)&amp;"/"&amp;RIGHT("00"&amp;MOD(Sync!$J1214,100),2),"نامعتبر"),IF(LEN(Sync!$J1214)=10,Sync!$J1214,"نامعتبر")))</f>
        <v/>
      </c>
      <c r="R1214" t="str">
        <f t="shared" si="119"/>
        <v/>
      </c>
      <c r="S1214" t="str">
        <f t="shared" si="120"/>
        <v/>
      </c>
      <c r="T1214" t="str">
        <f>IF($N1214="","",IF(Sync!$N1214="",0,Sync!$N1214))</f>
        <v/>
      </c>
      <c r="U1214" t="str">
        <f>IF($N1214="","",IF(Sync!$O1214="",0,Sync!$O1214))</f>
        <v/>
      </c>
      <c r="V1214" t="str">
        <f>IF($N1214="","",Sync!$L1214)</f>
        <v/>
      </c>
      <c r="W1214" t="str">
        <f>IF($N1214="","",Sync!$P1214)</f>
        <v/>
      </c>
    </row>
    <row r="1215" spans="14:23" x14ac:dyDescent="0.2">
      <c r="N1215" t="str">
        <f>IF(OR(Sync!$M1215="",$Q1215="",$Q1215="نامعتبر"),"",Sync!$M1215)</f>
        <v/>
      </c>
      <c r="O1215" t="str">
        <f t="shared" si="118"/>
        <v/>
      </c>
      <c r="P1215" t="str">
        <f>IF($N1215="","",LEFT($Q1215,4)&amp;MID($Q1215,6,2)&amp;RIGHT($Q1215,2)&amp;IF(Sync!$K1215="","0000",IF(AND(ISNUMBER(Sync!$K1215),Sync!$K1215&gt;=0,Sync!$K1215&lt;1),RIGHT("00"&amp;HOUR(Sync!$K1215),2)&amp;RIGHT("00"&amp;MINUTE(Sync!$K1215),2),IFERROR(RIGHT("00"&amp;VALUE(LEFT(Sync!$K1215,FIND(":",Sync!$K1215)-1)),2)&amp;RIGHT("00"&amp;VALUE(MID(Sync!$K1215,FIND(":",Sync!$K1215)+1,2)),2),"0000")))&amp;"|"&amp;"2"&amp;RIGHT("00000"&amp;1210,5))</f>
        <v/>
      </c>
      <c r="Q1215" t="str">
        <f>IF(Sync!$J1215="","",IF(ISNUMBER(Sync!$J1215),IF(AND(Sync!$J1215&gt;=10000101,Sync!$J1215&lt;=99991231),INT(Sync!$J1215/10000)&amp;"/"&amp;RIGHT("00"&amp;INT(MOD(Sync!$J1215,10000)/100),2)&amp;"/"&amp;RIGHT("00"&amp;MOD(Sync!$J1215,100),2),"نامعتبر"),IF(LEN(Sync!$J1215)=10,Sync!$J1215,"نامعتبر")))</f>
        <v/>
      </c>
      <c r="R1215" t="str">
        <f t="shared" si="119"/>
        <v/>
      </c>
      <c r="S1215" t="str">
        <f t="shared" si="120"/>
        <v/>
      </c>
      <c r="T1215" t="str">
        <f>IF($N1215="","",IF(Sync!$N1215="",0,Sync!$N1215))</f>
        <v/>
      </c>
      <c r="U1215" t="str">
        <f>IF($N1215="","",IF(Sync!$O1215="",0,Sync!$O1215))</f>
        <v/>
      </c>
      <c r="V1215" t="str">
        <f>IF($N1215="","",Sync!$L1215)</f>
        <v/>
      </c>
      <c r="W1215" t="str">
        <f>IF($N1215="","",Sync!$P1215)</f>
        <v/>
      </c>
    </row>
    <row r="1216" spans="14:23" x14ac:dyDescent="0.2">
      <c r="N1216" t="str">
        <f>IF(OR(Sync!$M1216="",$Q1216="",$Q1216="نامعتبر"),"",Sync!$M1216)</f>
        <v/>
      </c>
      <c r="O1216" t="str">
        <f t="shared" si="118"/>
        <v/>
      </c>
      <c r="P1216" t="str">
        <f>IF($N1216="","",LEFT($Q1216,4)&amp;MID($Q1216,6,2)&amp;RIGHT($Q1216,2)&amp;IF(Sync!$K1216="","0000",IF(AND(ISNUMBER(Sync!$K1216),Sync!$K1216&gt;=0,Sync!$K1216&lt;1),RIGHT("00"&amp;HOUR(Sync!$K1216),2)&amp;RIGHT("00"&amp;MINUTE(Sync!$K1216),2),IFERROR(RIGHT("00"&amp;VALUE(LEFT(Sync!$K1216,FIND(":",Sync!$K1216)-1)),2)&amp;RIGHT("00"&amp;VALUE(MID(Sync!$K1216,FIND(":",Sync!$K1216)+1,2)),2),"0000")))&amp;"|"&amp;"2"&amp;RIGHT("00000"&amp;1211,5))</f>
        <v/>
      </c>
      <c r="Q1216" t="str">
        <f>IF(Sync!$J1216="","",IF(ISNUMBER(Sync!$J1216),IF(AND(Sync!$J1216&gt;=10000101,Sync!$J1216&lt;=99991231),INT(Sync!$J1216/10000)&amp;"/"&amp;RIGHT("00"&amp;INT(MOD(Sync!$J1216,10000)/100),2)&amp;"/"&amp;RIGHT("00"&amp;MOD(Sync!$J1216,100),2),"نامعتبر"),IF(LEN(Sync!$J1216)=10,Sync!$J1216,"نامعتبر")))</f>
        <v/>
      </c>
      <c r="R1216" t="str">
        <f t="shared" si="119"/>
        <v/>
      </c>
      <c r="S1216" t="str">
        <f t="shared" si="120"/>
        <v/>
      </c>
      <c r="T1216" t="str">
        <f>IF($N1216="","",IF(Sync!$N1216="",0,Sync!$N1216))</f>
        <v/>
      </c>
      <c r="U1216" t="str">
        <f>IF($N1216="","",IF(Sync!$O1216="",0,Sync!$O1216))</f>
        <v/>
      </c>
      <c r="V1216" t="str">
        <f>IF($N1216="","",Sync!$L1216)</f>
        <v/>
      </c>
      <c r="W1216" t="str">
        <f>IF($N1216="","",Sync!$P1216)</f>
        <v/>
      </c>
    </row>
    <row r="1217" spans="14:23" x14ac:dyDescent="0.2">
      <c r="N1217" t="str">
        <f>IF(OR(Sync!$M1217="",$Q1217="",$Q1217="نامعتبر"),"",Sync!$M1217)</f>
        <v/>
      </c>
      <c r="O1217" t="str">
        <f t="shared" si="118"/>
        <v/>
      </c>
      <c r="P1217" t="str">
        <f>IF($N1217="","",LEFT($Q1217,4)&amp;MID($Q1217,6,2)&amp;RIGHT($Q1217,2)&amp;IF(Sync!$K1217="","0000",IF(AND(ISNUMBER(Sync!$K1217),Sync!$K1217&gt;=0,Sync!$K1217&lt;1),RIGHT("00"&amp;HOUR(Sync!$K1217),2)&amp;RIGHT("00"&amp;MINUTE(Sync!$K1217),2),IFERROR(RIGHT("00"&amp;VALUE(LEFT(Sync!$K1217,FIND(":",Sync!$K1217)-1)),2)&amp;RIGHT("00"&amp;VALUE(MID(Sync!$K1217,FIND(":",Sync!$K1217)+1,2)),2),"0000")))&amp;"|"&amp;"2"&amp;RIGHT("00000"&amp;1212,5))</f>
        <v/>
      </c>
      <c r="Q1217" t="str">
        <f>IF(Sync!$J1217="","",IF(ISNUMBER(Sync!$J1217),IF(AND(Sync!$J1217&gt;=10000101,Sync!$J1217&lt;=99991231),INT(Sync!$J1217/10000)&amp;"/"&amp;RIGHT("00"&amp;INT(MOD(Sync!$J1217,10000)/100),2)&amp;"/"&amp;RIGHT("00"&amp;MOD(Sync!$J1217,100),2),"نامعتبر"),IF(LEN(Sync!$J1217)=10,Sync!$J1217,"نامعتبر")))</f>
        <v/>
      </c>
      <c r="R1217" t="str">
        <f t="shared" si="119"/>
        <v/>
      </c>
      <c r="S1217" t="str">
        <f t="shared" si="120"/>
        <v/>
      </c>
      <c r="T1217" t="str">
        <f>IF($N1217="","",IF(Sync!$N1217="",0,Sync!$N1217))</f>
        <v/>
      </c>
      <c r="U1217" t="str">
        <f>IF($N1217="","",IF(Sync!$O1217="",0,Sync!$O1217))</f>
        <v/>
      </c>
      <c r="V1217" t="str">
        <f>IF($N1217="","",Sync!$L1217)</f>
        <v/>
      </c>
      <c r="W1217" t="str">
        <f>IF($N1217="","",Sync!$P1217)</f>
        <v/>
      </c>
    </row>
    <row r="1218" spans="14:23" x14ac:dyDescent="0.2">
      <c r="N1218" t="str">
        <f>IF(OR(Sync!$M1218="",$Q1218="",$Q1218="نامعتبر"),"",Sync!$M1218)</f>
        <v/>
      </c>
      <c r="O1218" t="str">
        <f t="shared" si="118"/>
        <v/>
      </c>
      <c r="P1218" t="str">
        <f>IF($N1218="","",LEFT($Q1218,4)&amp;MID($Q1218,6,2)&amp;RIGHT($Q1218,2)&amp;IF(Sync!$K1218="","0000",IF(AND(ISNUMBER(Sync!$K1218),Sync!$K1218&gt;=0,Sync!$K1218&lt;1),RIGHT("00"&amp;HOUR(Sync!$K1218),2)&amp;RIGHT("00"&amp;MINUTE(Sync!$K1218),2),IFERROR(RIGHT("00"&amp;VALUE(LEFT(Sync!$K1218,FIND(":",Sync!$K1218)-1)),2)&amp;RIGHT("00"&amp;VALUE(MID(Sync!$K1218,FIND(":",Sync!$K1218)+1,2)),2),"0000")))&amp;"|"&amp;"2"&amp;RIGHT("00000"&amp;1213,5))</f>
        <v/>
      </c>
      <c r="Q1218" t="str">
        <f>IF(Sync!$J1218="","",IF(ISNUMBER(Sync!$J1218),IF(AND(Sync!$J1218&gt;=10000101,Sync!$J1218&lt;=99991231),INT(Sync!$J1218/10000)&amp;"/"&amp;RIGHT("00"&amp;INT(MOD(Sync!$J1218,10000)/100),2)&amp;"/"&amp;RIGHT("00"&amp;MOD(Sync!$J1218,100),2),"نامعتبر"),IF(LEN(Sync!$J1218)=10,Sync!$J1218,"نامعتبر")))</f>
        <v/>
      </c>
      <c r="R1218" t="str">
        <f t="shared" si="119"/>
        <v/>
      </c>
      <c r="S1218" t="str">
        <f t="shared" si="120"/>
        <v/>
      </c>
      <c r="T1218" t="str">
        <f>IF($N1218="","",IF(Sync!$N1218="",0,Sync!$N1218))</f>
        <v/>
      </c>
      <c r="U1218" t="str">
        <f>IF($N1218="","",IF(Sync!$O1218="",0,Sync!$O1218))</f>
        <v/>
      </c>
      <c r="V1218" t="str">
        <f>IF($N1218="","",Sync!$L1218)</f>
        <v/>
      </c>
      <c r="W1218" t="str">
        <f>IF($N1218="","",Sync!$P1218)</f>
        <v/>
      </c>
    </row>
    <row r="1219" spans="14:23" x14ac:dyDescent="0.2">
      <c r="N1219" t="str">
        <f>IF(OR(Sync!$M1219="",$Q1219="",$Q1219="نامعتبر"),"",Sync!$M1219)</f>
        <v/>
      </c>
      <c r="O1219" t="str">
        <f t="shared" si="118"/>
        <v/>
      </c>
      <c r="P1219" t="str">
        <f>IF($N1219="","",LEFT($Q1219,4)&amp;MID($Q1219,6,2)&amp;RIGHT($Q1219,2)&amp;IF(Sync!$K1219="","0000",IF(AND(ISNUMBER(Sync!$K1219),Sync!$K1219&gt;=0,Sync!$K1219&lt;1),RIGHT("00"&amp;HOUR(Sync!$K1219),2)&amp;RIGHT("00"&amp;MINUTE(Sync!$K1219),2),IFERROR(RIGHT("00"&amp;VALUE(LEFT(Sync!$K1219,FIND(":",Sync!$K1219)-1)),2)&amp;RIGHT("00"&amp;VALUE(MID(Sync!$K1219,FIND(":",Sync!$K1219)+1,2)),2),"0000")))&amp;"|"&amp;"2"&amp;RIGHT("00000"&amp;1214,5))</f>
        <v/>
      </c>
      <c r="Q1219" t="str">
        <f>IF(Sync!$J1219="","",IF(ISNUMBER(Sync!$J1219),IF(AND(Sync!$J1219&gt;=10000101,Sync!$J1219&lt;=99991231),INT(Sync!$J1219/10000)&amp;"/"&amp;RIGHT("00"&amp;INT(MOD(Sync!$J1219,10000)/100),2)&amp;"/"&amp;RIGHT("00"&amp;MOD(Sync!$J1219,100),2),"نامعتبر"),IF(LEN(Sync!$J1219)=10,Sync!$J1219,"نامعتبر")))</f>
        <v/>
      </c>
      <c r="R1219" t="str">
        <f t="shared" si="119"/>
        <v/>
      </c>
      <c r="S1219" t="str">
        <f t="shared" si="120"/>
        <v/>
      </c>
      <c r="T1219" t="str">
        <f>IF($N1219="","",IF(Sync!$N1219="",0,Sync!$N1219))</f>
        <v/>
      </c>
      <c r="U1219" t="str">
        <f>IF($N1219="","",IF(Sync!$O1219="",0,Sync!$O1219))</f>
        <v/>
      </c>
      <c r="V1219" t="str">
        <f>IF($N1219="","",Sync!$L1219)</f>
        <v/>
      </c>
      <c r="W1219" t="str">
        <f>IF($N1219="","",Sync!$P1219)</f>
        <v/>
      </c>
    </row>
    <row r="1220" spans="14:23" x14ac:dyDescent="0.2">
      <c r="N1220" t="str">
        <f>IF(OR(Sync!$M1220="",$Q1220="",$Q1220="نامعتبر"),"",Sync!$M1220)</f>
        <v/>
      </c>
      <c r="O1220" t="str">
        <f t="shared" si="118"/>
        <v/>
      </c>
      <c r="P1220" t="str">
        <f>IF($N1220="","",LEFT($Q1220,4)&amp;MID($Q1220,6,2)&amp;RIGHT($Q1220,2)&amp;IF(Sync!$K1220="","0000",IF(AND(ISNUMBER(Sync!$K1220),Sync!$K1220&gt;=0,Sync!$K1220&lt;1),RIGHT("00"&amp;HOUR(Sync!$K1220),2)&amp;RIGHT("00"&amp;MINUTE(Sync!$K1220),2),IFERROR(RIGHT("00"&amp;VALUE(LEFT(Sync!$K1220,FIND(":",Sync!$K1220)-1)),2)&amp;RIGHT("00"&amp;VALUE(MID(Sync!$K1220,FIND(":",Sync!$K1220)+1,2)),2),"0000")))&amp;"|"&amp;"2"&amp;RIGHT("00000"&amp;1215,5))</f>
        <v/>
      </c>
      <c r="Q1220" t="str">
        <f>IF(Sync!$J1220="","",IF(ISNUMBER(Sync!$J1220),IF(AND(Sync!$J1220&gt;=10000101,Sync!$J1220&lt;=99991231),INT(Sync!$J1220/10000)&amp;"/"&amp;RIGHT("00"&amp;INT(MOD(Sync!$J1220,10000)/100),2)&amp;"/"&amp;RIGHT("00"&amp;MOD(Sync!$J1220,100),2),"نامعتبر"),IF(LEN(Sync!$J1220)=10,Sync!$J1220,"نامعتبر")))</f>
        <v/>
      </c>
      <c r="R1220" t="str">
        <f t="shared" si="119"/>
        <v/>
      </c>
      <c r="S1220" t="str">
        <f t="shared" si="120"/>
        <v/>
      </c>
      <c r="T1220" t="str">
        <f>IF($N1220="","",IF(Sync!$N1220="",0,Sync!$N1220))</f>
        <v/>
      </c>
      <c r="U1220" t="str">
        <f>IF($N1220="","",IF(Sync!$O1220="",0,Sync!$O1220))</f>
        <v/>
      </c>
      <c r="V1220" t="str">
        <f>IF($N1220="","",Sync!$L1220)</f>
        <v/>
      </c>
      <c r="W1220" t="str">
        <f>IF($N1220="","",Sync!$P1220)</f>
        <v/>
      </c>
    </row>
    <row r="1221" spans="14:23" x14ac:dyDescent="0.2">
      <c r="N1221" t="str">
        <f>IF(OR(Sync!$M1221="",$Q1221="",$Q1221="نامعتبر"),"",Sync!$M1221)</f>
        <v/>
      </c>
      <c r="O1221" t="str">
        <f t="shared" si="118"/>
        <v/>
      </c>
      <c r="P1221" t="str">
        <f>IF($N1221="","",LEFT($Q1221,4)&amp;MID($Q1221,6,2)&amp;RIGHT($Q1221,2)&amp;IF(Sync!$K1221="","0000",IF(AND(ISNUMBER(Sync!$K1221),Sync!$K1221&gt;=0,Sync!$K1221&lt;1),RIGHT("00"&amp;HOUR(Sync!$K1221),2)&amp;RIGHT("00"&amp;MINUTE(Sync!$K1221),2),IFERROR(RIGHT("00"&amp;VALUE(LEFT(Sync!$K1221,FIND(":",Sync!$K1221)-1)),2)&amp;RIGHT("00"&amp;VALUE(MID(Sync!$K1221,FIND(":",Sync!$K1221)+1,2)),2),"0000")))&amp;"|"&amp;"2"&amp;RIGHT("00000"&amp;1216,5))</f>
        <v/>
      </c>
      <c r="Q1221" t="str">
        <f>IF(Sync!$J1221="","",IF(ISNUMBER(Sync!$J1221),IF(AND(Sync!$J1221&gt;=10000101,Sync!$J1221&lt;=99991231),INT(Sync!$J1221/10000)&amp;"/"&amp;RIGHT("00"&amp;INT(MOD(Sync!$J1221,10000)/100),2)&amp;"/"&amp;RIGHT("00"&amp;MOD(Sync!$J1221,100),2),"نامعتبر"),IF(LEN(Sync!$J1221)=10,Sync!$J1221,"نامعتبر")))</f>
        <v/>
      </c>
      <c r="R1221" t="str">
        <f t="shared" si="119"/>
        <v/>
      </c>
      <c r="S1221" t="str">
        <f t="shared" si="120"/>
        <v/>
      </c>
      <c r="T1221" t="str">
        <f>IF($N1221="","",IF(Sync!$N1221="",0,Sync!$N1221))</f>
        <v/>
      </c>
      <c r="U1221" t="str">
        <f>IF($N1221="","",IF(Sync!$O1221="",0,Sync!$O1221))</f>
        <v/>
      </c>
      <c r="V1221" t="str">
        <f>IF($N1221="","",Sync!$L1221)</f>
        <v/>
      </c>
      <c r="W1221" t="str">
        <f>IF($N1221="","",Sync!$P1221)</f>
        <v/>
      </c>
    </row>
    <row r="1222" spans="14:23" x14ac:dyDescent="0.2">
      <c r="N1222" t="str">
        <f>IF(OR(Sync!$M1222="",$Q1222="",$Q1222="نامعتبر"),"",Sync!$M1222)</f>
        <v/>
      </c>
      <c r="O1222" t="str">
        <f t="shared" ref="O1222:O1285" si="121">IF($N1222="","",$Q1222)</f>
        <v/>
      </c>
      <c r="P1222" t="str">
        <f>IF($N1222="","",LEFT($Q1222,4)&amp;MID($Q1222,6,2)&amp;RIGHT($Q1222,2)&amp;IF(Sync!$K1222="","0000",IF(AND(ISNUMBER(Sync!$K1222),Sync!$K1222&gt;=0,Sync!$K1222&lt;1),RIGHT("00"&amp;HOUR(Sync!$K1222),2)&amp;RIGHT("00"&amp;MINUTE(Sync!$K1222),2),IFERROR(RIGHT("00"&amp;VALUE(LEFT(Sync!$K1222,FIND(":",Sync!$K1222)-1)),2)&amp;RIGHT("00"&amp;VALUE(MID(Sync!$K1222,FIND(":",Sync!$K1222)+1,2)),2),"0000")))&amp;"|"&amp;"2"&amp;RIGHT("00000"&amp;1217,5))</f>
        <v/>
      </c>
      <c r="Q1222" t="str">
        <f>IF(Sync!$J1222="","",IF(ISNUMBER(Sync!$J1222),IF(AND(Sync!$J1222&gt;=10000101,Sync!$J1222&lt;=99991231),INT(Sync!$J1222/10000)&amp;"/"&amp;RIGHT("00"&amp;INT(MOD(Sync!$J1222,10000)/100),2)&amp;"/"&amp;RIGHT("00"&amp;MOD(Sync!$J1222,100),2),"نامعتبر"),IF(LEN(Sync!$J1222)=10,Sync!$J1222,"نامعتبر")))</f>
        <v/>
      </c>
      <c r="R1222" t="str">
        <f t="shared" ref="R1222:R1285" si="122">IF($P1222="","",COUNTIFS($N$6:$N$2005,$N1222,$P$6:$P$2005,"&lt;"&amp;$P1222)+COUNTIFS($A$6:$A$1005,$N1222,$B$6:$B$1005,"&lt;"&amp;$P1222)+1)</f>
        <v/>
      </c>
      <c r="S1222" t="str">
        <f t="shared" ref="S1222:S1285" si="123">IF($N1222="","",$N1222&amp;"|"&amp;RIGHT("000000"&amp;$R1222,6))</f>
        <v/>
      </c>
      <c r="T1222" t="str">
        <f>IF($N1222="","",IF(Sync!$N1222="",0,Sync!$N1222))</f>
        <v/>
      </c>
      <c r="U1222" t="str">
        <f>IF($N1222="","",IF(Sync!$O1222="",0,Sync!$O1222))</f>
        <v/>
      </c>
      <c r="V1222" t="str">
        <f>IF($N1222="","",Sync!$L1222)</f>
        <v/>
      </c>
      <c r="W1222" t="str">
        <f>IF($N1222="","",Sync!$P1222)</f>
        <v/>
      </c>
    </row>
    <row r="1223" spans="14:23" x14ac:dyDescent="0.2">
      <c r="N1223" t="str">
        <f>IF(OR(Sync!$M1223="",$Q1223="",$Q1223="نامعتبر"),"",Sync!$M1223)</f>
        <v/>
      </c>
      <c r="O1223" t="str">
        <f t="shared" si="121"/>
        <v/>
      </c>
      <c r="P1223" t="str">
        <f>IF($N1223="","",LEFT($Q1223,4)&amp;MID($Q1223,6,2)&amp;RIGHT($Q1223,2)&amp;IF(Sync!$K1223="","0000",IF(AND(ISNUMBER(Sync!$K1223),Sync!$K1223&gt;=0,Sync!$K1223&lt;1),RIGHT("00"&amp;HOUR(Sync!$K1223),2)&amp;RIGHT("00"&amp;MINUTE(Sync!$K1223),2),IFERROR(RIGHT("00"&amp;VALUE(LEFT(Sync!$K1223,FIND(":",Sync!$K1223)-1)),2)&amp;RIGHT("00"&amp;VALUE(MID(Sync!$K1223,FIND(":",Sync!$K1223)+1,2)),2),"0000")))&amp;"|"&amp;"2"&amp;RIGHT("00000"&amp;1218,5))</f>
        <v/>
      </c>
      <c r="Q1223" t="str">
        <f>IF(Sync!$J1223="","",IF(ISNUMBER(Sync!$J1223),IF(AND(Sync!$J1223&gt;=10000101,Sync!$J1223&lt;=99991231),INT(Sync!$J1223/10000)&amp;"/"&amp;RIGHT("00"&amp;INT(MOD(Sync!$J1223,10000)/100),2)&amp;"/"&amp;RIGHT("00"&amp;MOD(Sync!$J1223,100),2),"نامعتبر"),IF(LEN(Sync!$J1223)=10,Sync!$J1223,"نامعتبر")))</f>
        <v/>
      </c>
      <c r="R1223" t="str">
        <f t="shared" si="122"/>
        <v/>
      </c>
      <c r="S1223" t="str">
        <f t="shared" si="123"/>
        <v/>
      </c>
      <c r="T1223" t="str">
        <f>IF($N1223="","",IF(Sync!$N1223="",0,Sync!$N1223))</f>
        <v/>
      </c>
      <c r="U1223" t="str">
        <f>IF($N1223="","",IF(Sync!$O1223="",0,Sync!$O1223))</f>
        <v/>
      </c>
      <c r="V1223" t="str">
        <f>IF($N1223="","",Sync!$L1223)</f>
        <v/>
      </c>
      <c r="W1223" t="str">
        <f>IF($N1223="","",Sync!$P1223)</f>
        <v/>
      </c>
    </row>
    <row r="1224" spans="14:23" x14ac:dyDescent="0.2">
      <c r="N1224" t="str">
        <f>IF(OR(Sync!$M1224="",$Q1224="",$Q1224="نامعتبر"),"",Sync!$M1224)</f>
        <v/>
      </c>
      <c r="O1224" t="str">
        <f t="shared" si="121"/>
        <v/>
      </c>
      <c r="P1224" t="str">
        <f>IF($N1224="","",LEFT($Q1224,4)&amp;MID($Q1224,6,2)&amp;RIGHT($Q1224,2)&amp;IF(Sync!$K1224="","0000",IF(AND(ISNUMBER(Sync!$K1224),Sync!$K1224&gt;=0,Sync!$K1224&lt;1),RIGHT("00"&amp;HOUR(Sync!$K1224),2)&amp;RIGHT("00"&amp;MINUTE(Sync!$K1224),2),IFERROR(RIGHT("00"&amp;VALUE(LEFT(Sync!$K1224,FIND(":",Sync!$K1224)-1)),2)&amp;RIGHT("00"&amp;VALUE(MID(Sync!$K1224,FIND(":",Sync!$K1224)+1,2)),2),"0000")))&amp;"|"&amp;"2"&amp;RIGHT("00000"&amp;1219,5))</f>
        <v/>
      </c>
      <c r="Q1224" t="str">
        <f>IF(Sync!$J1224="","",IF(ISNUMBER(Sync!$J1224),IF(AND(Sync!$J1224&gt;=10000101,Sync!$J1224&lt;=99991231),INT(Sync!$J1224/10000)&amp;"/"&amp;RIGHT("00"&amp;INT(MOD(Sync!$J1224,10000)/100),2)&amp;"/"&amp;RIGHT("00"&amp;MOD(Sync!$J1224,100),2),"نامعتبر"),IF(LEN(Sync!$J1224)=10,Sync!$J1224,"نامعتبر")))</f>
        <v/>
      </c>
      <c r="R1224" t="str">
        <f t="shared" si="122"/>
        <v/>
      </c>
      <c r="S1224" t="str">
        <f t="shared" si="123"/>
        <v/>
      </c>
      <c r="T1224" t="str">
        <f>IF($N1224="","",IF(Sync!$N1224="",0,Sync!$N1224))</f>
        <v/>
      </c>
      <c r="U1224" t="str">
        <f>IF($N1224="","",IF(Sync!$O1224="",0,Sync!$O1224))</f>
        <v/>
      </c>
      <c r="V1224" t="str">
        <f>IF($N1224="","",Sync!$L1224)</f>
        <v/>
      </c>
      <c r="W1224" t="str">
        <f>IF($N1224="","",Sync!$P1224)</f>
        <v/>
      </c>
    </row>
    <row r="1225" spans="14:23" x14ac:dyDescent="0.2">
      <c r="N1225" t="str">
        <f>IF(OR(Sync!$M1225="",$Q1225="",$Q1225="نامعتبر"),"",Sync!$M1225)</f>
        <v/>
      </c>
      <c r="O1225" t="str">
        <f t="shared" si="121"/>
        <v/>
      </c>
      <c r="P1225" t="str">
        <f>IF($N1225="","",LEFT($Q1225,4)&amp;MID($Q1225,6,2)&amp;RIGHT($Q1225,2)&amp;IF(Sync!$K1225="","0000",IF(AND(ISNUMBER(Sync!$K1225),Sync!$K1225&gt;=0,Sync!$K1225&lt;1),RIGHT("00"&amp;HOUR(Sync!$K1225),2)&amp;RIGHT("00"&amp;MINUTE(Sync!$K1225),2),IFERROR(RIGHT("00"&amp;VALUE(LEFT(Sync!$K1225,FIND(":",Sync!$K1225)-1)),2)&amp;RIGHT("00"&amp;VALUE(MID(Sync!$K1225,FIND(":",Sync!$K1225)+1,2)),2),"0000")))&amp;"|"&amp;"2"&amp;RIGHT("00000"&amp;1220,5))</f>
        <v/>
      </c>
      <c r="Q1225" t="str">
        <f>IF(Sync!$J1225="","",IF(ISNUMBER(Sync!$J1225),IF(AND(Sync!$J1225&gt;=10000101,Sync!$J1225&lt;=99991231),INT(Sync!$J1225/10000)&amp;"/"&amp;RIGHT("00"&amp;INT(MOD(Sync!$J1225,10000)/100),2)&amp;"/"&amp;RIGHT("00"&amp;MOD(Sync!$J1225,100),2),"نامعتبر"),IF(LEN(Sync!$J1225)=10,Sync!$J1225,"نامعتبر")))</f>
        <v/>
      </c>
      <c r="R1225" t="str">
        <f t="shared" si="122"/>
        <v/>
      </c>
      <c r="S1225" t="str">
        <f t="shared" si="123"/>
        <v/>
      </c>
      <c r="T1225" t="str">
        <f>IF($N1225="","",IF(Sync!$N1225="",0,Sync!$N1225))</f>
        <v/>
      </c>
      <c r="U1225" t="str">
        <f>IF($N1225="","",IF(Sync!$O1225="",0,Sync!$O1225))</f>
        <v/>
      </c>
      <c r="V1225" t="str">
        <f>IF($N1225="","",Sync!$L1225)</f>
        <v/>
      </c>
      <c r="W1225" t="str">
        <f>IF($N1225="","",Sync!$P1225)</f>
        <v/>
      </c>
    </row>
    <row r="1226" spans="14:23" x14ac:dyDescent="0.2">
      <c r="N1226" t="str">
        <f>IF(OR(Sync!$M1226="",$Q1226="",$Q1226="نامعتبر"),"",Sync!$M1226)</f>
        <v/>
      </c>
      <c r="O1226" t="str">
        <f t="shared" si="121"/>
        <v/>
      </c>
      <c r="P1226" t="str">
        <f>IF($N1226="","",LEFT($Q1226,4)&amp;MID($Q1226,6,2)&amp;RIGHT($Q1226,2)&amp;IF(Sync!$K1226="","0000",IF(AND(ISNUMBER(Sync!$K1226),Sync!$K1226&gt;=0,Sync!$K1226&lt;1),RIGHT("00"&amp;HOUR(Sync!$K1226),2)&amp;RIGHT("00"&amp;MINUTE(Sync!$K1226),2),IFERROR(RIGHT("00"&amp;VALUE(LEFT(Sync!$K1226,FIND(":",Sync!$K1226)-1)),2)&amp;RIGHT("00"&amp;VALUE(MID(Sync!$K1226,FIND(":",Sync!$K1226)+1,2)),2),"0000")))&amp;"|"&amp;"2"&amp;RIGHT("00000"&amp;1221,5))</f>
        <v/>
      </c>
      <c r="Q1226" t="str">
        <f>IF(Sync!$J1226="","",IF(ISNUMBER(Sync!$J1226),IF(AND(Sync!$J1226&gt;=10000101,Sync!$J1226&lt;=99991231),INT(Sync!$J1226/10000)&amp;"/"&amp;RIGHT("00"&amp;INT(MOD(Sync!$J1226,10000)/100),2)&amp;"/"&amp;RIGHT("00"&amp;MOD(Sync!$J1226,100),2),"نامعتبر"),IF(LEN(Sync!$J1226)=10,Sync!$J1226,"نامعتبر")))</f>
        <v/>
      </c>
      <c r="R1226" t="str">
        <f t="shared" si="122"/>
        <v/>
      </c>
      <c r="S1226" t="str">
        <f t="shared" si="123"/>
        <v/>
      </c>
      <c r="T1226" t="str">
        <f>IF($N1226="","",IF(Sync!$N1226="",0,Sync!$N1226))</f>
        <v/>
      </c>
      <c r="U1226" t="str">
        <f>IF($N1226="","",IF(Sync!$O1226="",0,Sync!$O1226))</f>
        <v/>
      </c>
      <c r="V1226" t="str">
        <f>IF($N1226="","",Sync!$L1226)</f>
        <v/>
      </c>
      <c r="W1226" t="str">
        <f>IF($N1226="","",Sync!$P1226)</f>
        <v/>
      </c>
    </row>
    <row r="1227" spans="14:23" x14ac:dyDescent="0.2">
      <c r="N1227" t="str">
        <f>IF(OR(Sync!$M1227="",$Q1227="",$Q1227="نامعتبر"),"",Sync!$M1227)</f>
        <v/>
      </c>
      <c r="O1227" t="str">
        <f t="shared" si="121"/>
        <v/>
      </c>
      <c r="P1227" t="str">
        <f>IF($N1227="","",LEFT($Q1227,4)&amp;MID($Q1227,6,2)&amp;RIGHT($Q1227,2)&amp;IF(Sync!$K1227="","0000",IF(AND(ISNUMBER(Sync!$K1227),Sync!$K1227&gt;=0,Sync!$K1227&lt;1),RIGHT("00"&amp;HOUR(Sync!$K1227),2)&amp;RIGHT("00"&amp;MINUTE(Sync!$K1227),2),IFERROR(RIGHT("00"&amp;VALUE(LEFT(Sync!$K1227,FIND(":",Sync!$K1227)-1)),2)&amp;RIGHT("00"&amp;VALUE(MID(Sync!$K1227,FIND(":",Sync!$K1227)+1,2)),2),"0000")))&amp;"|"&amp;"2"&amp;RIGHT("00000"&amp;1222,5))</f>
        <v/>
      </c>
      <c r="Q1227" t="str">
        <f>IF(Sync!$J1227="","",IF(ISNUMBER(Sync!$J1227),IF(AND(Sync!$J1227&gt;=10000101,Sync!$J1227&lt;=99991231),INT(Sync!$J1227/10000)&amp;"/"&amp;RIGHT("00"&amp;INT(MOD(Sync!$J1227,10000)/100),2)&amp;"/"&amp;RIGHT("00"&amp;MOD(Sync!$J1227,100),2),"نامعتبر"),IF(LEN(Sync!$J1227)=10,Sync!$J1227,"نامعتبر")))</f>
        <v/>
      </c>
      <c r="R1227" t="str">
        <f t="shared" si="122"/>
        <v/>
      </c>
      <c r="S1227" t="str">
        <f t="shared" si="123"/>
        <v/>
      </c>
      <c r="T1227" t="str">
        <f>IF($N1227="","",IF(Sync!$N1227="",0,Sync!$N1227))</f>
        <v/>
      </c>
      <c r="U1227" t="str">
        <f>IF($N1227="","",IF(Sync!$O1227="",0,Sync!$O1227))</f>
        <v/>
      </c>
      <c r="V1227" t="str">
        <f>IF($N1227="","",Sync!$L1227)</f>
        <v/>
      </c>
      <c r="W1227" t="str">
        <f>IF($N1227="","",Sync!$P1227)</f>
        <v/>
      </c>
    </row>
    <row r="1228" spans="14:23" x14ac:dyDescent="0.2">
      <c r="N1228" t="str">
        <f>IF(OR(Sync!$M1228="",$Q1228="",$Q1228="نامعتبر"),"",Sync!$M1228)</f>
        <v/>
      </c>
      <c r="O1228" t="str">
        <f t="shared" si="121"/>
        <v/>
      </c>
      <c r="P1228" t="str">
        <f>IF($N1228="","",LEFT($Q1228,4)&amp;MID($Q1228,6,2)&amp;RIGHT($Q1228,2)&amp;IF(Sync!$K1228="","0000",IF(AND(ISNUMBER(Sync!$K1228),Sync!$K1228&gt;=0,Sync!$K1228&lt;1),RIGHT("00"&amp;HOUR(Sync!$K1228),2)&amp;RIGHT("00"&amp;MINUTE(Sync!$K1228),2),IFERROR(RIGHT("00"&amp;VALUE(LEFT(Sync!$K1228,FIND(":",Sync!$K1228)-1)),2)&amp;RIGHT("00"&amp;VALUE(MID(Sync!$K1228,FIND(":",Sync!$K1228)+1,2)),2),"0000")))&amp;"|"&amp;"2"&amp;RIGHT("00000"&amp;1223,5))</f>
        <v/>
      </c>
      <c r="Q1228" t="str">
        <f>IF(Sync!$J1228="","",IF(ISNUMBER(Sync!$J1228),IF(AND(Sync!$J1228&gt;=10000101,Sync!$J1228&lt;=99991231),INT(Sync!$J1228/10000)&amp;"/"&amp;RIGHT("00"&amp;INT(MOD(Sync!$J1228,10000)/100),2)&amp;"/"&amp;RIGHT("00"&amp;MOD(Sync!$J1228,100),2),"نامعتبر"),IF(LEN(Sync!$J1228)=10,Sync!$J1228,"نامعتبر")))</f>
        <v/>
      </c>
      <c r="R1228" t="str">
        <f t="shared" si="122"/>
        <v/>
      </c>
      <c r="S1228" t="str">
        <f t="shared" si="123"/>
        <v/>
      </c>
      <c r="T1228" t="str">
        <f>IF($N1228="","",IF(Sync!$N1228="",0,Sync!$N1228))</f>
        <v/>
      </c>
      <c r="U1228" t="str">
        <f>IF($N1228="","",IF(Sync!$O1228="",0,Sync!$O1228))</f>
        <v/>
      </c>
      <c r="V1228" t="str">
        <f>IF($N1228="","",Sync!$L1228)</f>
        <v/>
      </c>
      <c r="W1228" t="str">
        <f>IF($N1228="","",Sync!$P1228)</f>
        <v/>
      </c>
    </row>
    <row r="1229" spans="14:23" x14ac:dyDescent="0.2">
      <c r="N1229" t="str">
        <f>IF(OR(Sync!$M1229="",$Q1229="",$Q1229="نامعتبر"),"",Sync!$M1229)</f>
        <v/>
      </c>
      <c r="O1229" t="str">
        <f t="shared" si="121"/>
        <v/>
      </c>
      <c r="P1229" t="str">
        <f>IF($N1229="","",LEFT($Q1229,4)&amp;MID($Q1229,6,2)&amp;RIGHT($Q1229,2)&amp;IF(Sync!$K1229="","0000",IF(AND(ISNUMBER(Sync!$K1229),Sync!$K1229&gt;=0,Sync!$K1229&lt;1),RIGHT("00"&amp;HOUR(Sync!$K1229),2)&amp;RIGHT("00"&amp;MINUTE(Sync!$K1229),2),IFERROR(RIGHT("00"&amp;VALUE(LEFT(Sync!$K1229,FIND(":",Sync!$K1229)-1)),2)&amp;RIGHT("00"&amp;VALUE(MID(Sync!$K1229,FIND(":",Sync!$K1229)+1,2)),2),"0000")))&amp;"|"&amp;"2"&amp;RIGHT("00000"&amp;1224,5))</f>
        <v/>
      </c>
      <c r="Q1229" t="str">
        <f>IF(Sync!$J1229="","",IF(ISNUMBER(Sync!$J1229),IF(AND(Sync!$J1229&gt;=10000101,Sync!$J1229&lt;=99991231),INT(Sync!$J1229/10000)&amp;"/"&amp;RIGHT("00"&amp;INT(MOD(Sync!$J1229,10000)/100),2)&amp;"/"&amp;RIGHT("00"&amp;MOD(Sync!$J1229,100),2),"نامعتبر"),IF(LEN(Sync!$J1229)=10,Sync!$J1229,"نامعتبر")))</f>
        <v/>
      </c>
      <c r="R1229" t="str">
        <f t="shared" si="122"/>
        <v/>
      </c>
      <c r="S1229" t="str">
        <f t="shared" si="123"/>
        <v/>
      </c>
      <c r="T1229" t="str">
        <f>IF($N1229="","",IF(Sync!$N1229="",0,Sync!$N1229))</f>
        <v/>
      </c>
      <c r="U1229" t="str">
        <f>IF($N1229="","",IF(Sync!$O1229="",0,Sync!$O1229))</f>
        <v/>
      </c>
      <c r="V1229" t="str">
        <f>IF($N1229="","",Sync!$L1229)</f>
        <v/>
      </c>
      <c r="W1229" t="str">
        <f>IF($N1229="","",Sync!$P1229)</f>
        <v/>
      </c>
    </row>
    <row r="1230" spans="14:23" x14ac:dyDescent="0.2">
      <c r="N1230" t="str">
        <f>IF(OR(Sync!$M1230="",$Q1230="",$Q1230="نامعتبر"),"",Sync!$M1230)</f>
        <v/>
      </c>
      <c r="O1230" t="str">
        <f t="shared" si="121"/>
        <v/>
      </c>
      <c r="P1230" t="str">
        <f>IF($N1230="","",LEFT($Q1230,4)&amp;MID($Q1230,6,2)&amp;RIGHT($Q1230,2)&amp;IF(Sync!$K1230="","0000",IF(AND(ISNUMBER(Sync!$K1230),Sync!$K1230&gt;=0,Sync!$K1230&lt;1),RIGHT("00"&amp;HOUR(Sync!$K1230),2)&amp;RIGHT("00"&amp;MINUTE(Sync!$K1230),2),IFERROR(RIGHT("00"&amp;VALUE(LEFT(Sync!$K1230,FIND(":",Sync!$K1230)-1)),2)&amp;RIGHT("00"&amp;VALUE(MID(Sync!$K1230,FIND(":",Sync!$K1230)+1,2)),2),"0000")))&amp;"|"&amp;"2"&amp;RIGHT("00000"&amp;1225,5))</f>
        <v/>
      </c>
      <c r="Q1230" t="str">
        <f>IF(Sync!$J1230="","",IF(ISNUMBER(Sync!$J1230),IF(AND(Sync!$J1230&gt;=10000101,Sync!$J1230&lt;=99991231),INT(Sync!$J1230/10000)&amp;"/"&amp;RIGHT("00"&amp;INT(MOD(Sync!$J1230,10000)/100),2)&amp;"/"&amp;RIGHT("00"&amp;MOD(Sync!$J1230,100),2),"نامعتبر"),IF(LEN(Sync!$J1230)=10,Sync!$J1230,"نامعتبر")))</f>
        <v/>
      </c>
      <c r="R1230" t="str">
        <f t="shared" si="122"/>
        <v/>
      </c>
      <c r="S1230" t="str">
        <f t="shared" si="123"/>
        <v/>
      </c>
      <c r="T1230" t="str">
        <f>IF($N1230="","",IF(Sync!$N1230="",0,Sync!$N1230))</f>
        <v/>
      </c>
      <c r="U1230" t="str">
        <f>IF($N1230="","",IF(Sync!$O1230="",0,Sync!$O1230))</f>
        <v/>
      </c>
      <c r="V1230" t="str">
        <f>IF($N1230="","",Sync!$L1230)</f>
        <v/>
      </c>
      <c r="W1230" t="str">
        <f>IF($N1230="","",Sync!$P1230)</f>
        <v/>
      </c>
    </row>
    <row r="1231" spans="14:23" x14ac:dyDescent="0.2">
      <c r="N1231" t="str">
        <f>IF(OR(Sync!$M1231="",$Q1231="",$Q1231="نامعتبر"),"",Sync!$M1231)</f>
        <v/>
      </c>
      <c r="O1231" t="str">
        <f t="shared" si="121"/>
        <v/>
      </c>
      <c r="P1231" t="str">
        <f>IF($N1231="","",LEFT($Q1231,4)&amp;MID($Q1231,6,2)&amp;RIGHT($Q1231,2)&amp;IF(Sync!$K1231="","0000",IF(AND(ISNUMBER(Sync!$K1231),Sync!$K1231&gt;=0,Sync!$K1231&lt;1),RIGHT("00"&amp;HOUR(Sync!$K1231),2)&amp;RIGHT("00"&amp;MINUTE(Sync!$K1231),2),IFERROR(RIGHT("00"&amp;VALUE(LEFT(Sync!$K1231,FIND(":",Sync!$K1231)-1)),2)&amp;RIGHT("00"&amp;VALUE(MID(Sync!$K1231,FIND(":",Sync!$K1231)+1,2)),2),"0000")))&amp;"|"&amp;"2"&amp;RIGHT("00000"&amp;1226,5))</f>
        <v/>
      </c>
      <c r="Q1231" t="str">
        <f>IF(Sync!$J1231="","",IF(ISNUMBER(Sync!$J1231),IF(AND(Sync!$J1231&gt;=10000101,Sync!$J1231&lt;=99991231),INT(Sync!$J1231/10000)&amp;"/"&amp;RIGHT("00"&amp;INT(MOD(Sync!$J1231,10000)/100),2)&amp;"/"&amp;RIGHT("00"&amp;MOD(Sync!$J1231,100),2),"نامعتبر"),IF(LEN(Sync!$J1231)=10,Sync!$J1231,"نامعتبر")))</f>
        <v/>
      </c>
      <c r="R1231" t="str">
        <f t="shared" si="122"/>
        <v/>
      </c>
      <c r="S1231" t="str">
        <f t="shared" si="123"/>
        <v/>
      </c>
      <c r="T1231" t="str">
        <f>IF($N1231="","",IF(Sync!$N1231="",0,Sync!$N1231))</f>
        <v/>
      </c>
      <c r="U1231" t="str">
        <f>IF($N1231="","",IF(Sync!$O1231="",0,Sync!$O1231))</f>
        <v/>
      </c>
      <c r="V1231" t="str">
        <f>IF($N1231="","",Sync!$L1231)</f>
        <v/>
      </c>
      <c r="W1231" t="str">
        <f>IF($N1231="","",Sync!$P1231)</f>
        <v/>
      </c>
    </row>
    <row r="1232" spans="14:23" x14ac:dyDescent="0.2">
      <c r="N1232" t="str">
        <f>IF(OR(Sync!$M1232="",$Q1232="",$Q1232="نامعتبر"),"",Sync!$M1232)</f>
        <v/>
      </c>
      <c r="O1232" t="str">
        <f t="shared" si="121"/>
        <v/>
      </c>
      <c r="P1232" t="str">
        <f>IF($N1232="","",LEFT($Q1232,4)&amp;MID($Q1232,6,2)&amp;RIGHT($Q1232,2)&amp;IF(Sync!$K1232="","0000",IF(AND(ISNUMBER(Sync!$K1232),Sync!$K1232&gt;=0,Sync!$K1232&lt;1),RIGHT("00"&amp;HOUR(Sync!$K1232),2)&amp;RIGHT("00"&amp;MINUTE(Sync!$K1232),2),IFERROR(RIGHT("00"&amp;VALUE(LEFT(Sync!$K1232,FIND(":",Sync!$K1232)-1)),2)&amp;RIGHT("00"&amp;VALUE(MID(Sync!$K1232,FIND(":",Sync!$K1232)+1,2)),2),"0000")))&amp;"|"&amp;"2"&amp;RIGHT("00000"&amp;1227,5))</f>
        <v/>
      </c>
      <c r="Q1232" t="str">
        <f>IF(Sync!$J1232="","",IF(ISNUMBER(Sync!$J1232),IF(AND(Sync!$J1232&gt;=10000101,Sync!$J1232&lt;=99991231),INT(Sync!$J1232/10000)&amp;"/"&amp;RIGHT("00"&amp;INT(MOD(Sync!$J1232,10000)/100),2)&amp;"/"&amp;RIGHT("00"&amp;MOD(Sync!$J1232,100),2),"نامعتبر"),IF(LEN(Sync!$J1232)=10,Sync!$J1232,"نامعتبر")))</f>
        <v/>
      </c>
      <c r="R1232" t="str">
        <f t="shared" si="122"/>
        <v/>
      </c>
      <c r="S1232" t="str">
        <f t="shared" si="123"/>
        <v/>
      </c>
      <c r="T1232" t="str">
        <f>IF($N1232="","",IF(Sync!$N1232="",0,Sync!$N1232))</f>
        <v/>
      </c>
      <c r="U1232" t="str">
        <f>IF($N1232="","",IF(Sync!$O1232="",0,Sync!$O1232))</f>
        <v/>
      </c>
      <c r="V1232" t="str">
        <f>IF($N1232="","",Sync!$L1232)</f>
        <v/>
      </c>
      <c r="W1232" t="str">
        <f>IF($N1232="","",Sync!$P1232)</f>
        <v/>
      </c>
    </row>
    <row r="1233" spans="14:23" x14ac:dyDescent="0.2">
      <c r="N1233" t="str">
        <f>IF(OR(Sync!$M1233="",$Q1233="",$Q1233="نامعتبر"),"",Sync!$M1233)</f>
        <v/>
      </c>
      <c r="O1233" t="str">
        <f t="shared" si="121"/>
        <v/>
      </c>
      <c r="P1233" t="str">
        <f>IF($N1233="","",LEFT($Q1233,4)&amp;MID($Q1233,6,2)&amp;RIGHT($Q1233,2)&amp;IF(Sync!$K1233="","0000",IF(AND(ISNUMBER(Sync!$K1233),Sync!$K1233&gt;=0,Sync!$K1233&lt;1),RIGHT("00"&amp;HOUR(Sync!$K1233),2)&amp;RIGHT("00"&amp;MINUTE(Sync!$K1233),2),IFERROR(RIGHT("00"&amp;VALUE(LEFT(Sync!$K1233,FIND(":",Sync!$K1233)-1)),2)&amp;RIGHT("00"&amp;VALUE(MID(Sync!$K1233,FIND(":",Sync!$K1233)+1,2)),2),"0000")))&amp;"|"&amp;"2"&amp;RIGHT("00000"&amp;1228,5))</f>
        <v/>
      </c>
      <c r="Q1233" t="str">
        <f>IF(Sync!$J1233="","",IF(ISNUMBER(Sync!$J1233),IF(AND(Sync!$J1233&gt;=10000101,Sync!$J1233&lt;=99991231),INT(Sync!$J1233/10000)&amp;"/"&amp;RIGHT("00"&amp;INT(MOD(Sync!$J1233,10000)/100),2)&amp;"/"&amp;RIGHT("00"&amp;MOD(Sync!$J1233,100),2),"نامعتبر"),IF(LEN(Sync!$J1233)=10,Sync!$J1233,"نامعتبر")))</f>
        <v/>
      </c>
      <c r="R1233" t="str">
        <f t="shared" si="122"/>
        <v/>
      </c>
      <c r="S1233" t="str">
        <f t="shared" si="123"/>
        <v/>
      </c>
      <c r="T1233" t="str">
        <f>IF($N1233="","",IF(Sync!$N1233="",0,Sync!$N1233))</f>
        <v/>
      </c>
      <c r="U1233" t="str">
        <f>IF($N1233="","",IF(Sync!$O1233="",0,Sync!$O1233))</f>
        <v/>
      </c>
      <c r="V1233" t="str">
        <f>IF($N1233="","",Sync!$L1233)</f>
        <v/>
      </c>
      <c r="W1233" t="str">
        <f>IF($N1233="","",Sync!$P1233)</f>
        <v/>
      </c>
    </row>
    <row r="1234" spans="14:23" x14ac:dyDescent="0.2">
      <c r="N1234" t="str">
        <f>IF(OR(Sync!$M1234="",$Q1234="",$Q1234="نامعتبر"),"",Sync!$M1234)</f>
        <v/>
      </c>
      <c r="O1234" t="str">
        <f t="shared" si="121"/>
        <v/>
      </c>
      <c r="P1234" t="str">
        <f>IF($N1234="","",LEFT($Q1234,4)&amp;MID($Q1234,6,2)&amp;RIGHT($Q1234,2)&amp;IF(Sync!$K1234="","0000",IF(AND(ISNUMBER(Sync!$K1234),Sync!$K1234&gt;=0,Sync!$K1234&lt;1),RIGHT("00"&amp;HOUR(Sync!$K1234),2)&amp;RIGHT("00"&amp;MINUTE(Sync!$K1234),2),IFERROR(RIGHT("00"&amp;VALUE(LEFT(Sync!$K1234,FIND(":",Sync!$K1234)-1)),2)&amp;RIGHT("00"&amp;VALUE(MID(Sync!$K1234,FIND(":",Sync!$K1234)+1,2)),2),"0000")))&amp;"|"&amp;"2"&amp;RIGHT("00000"&amp;1229,5))</f>
        <v/>
      </c>
      <c r="Q1234" t="str">
        <f>IF(Sync!$J1234="","",IF(ISNUMBER(Sync!$J1234),IF(AND(Sync!$J1234&gt;=10000101,Sync!$J1234&lt;=99991231),INT(Sync!$J1234/10000)&amp;"/"&amp;RIGHT("00"&amp;INT(MOD(Sync!$J1234,10000)/100),2)&amp;"/"&amp;RIGHT("00"&amp;MOD(Sync!$J1234,100),2),"نامعتبر"),IF(LEN(Sync!$J1234)=10,Sync!$J1234,"نامعتبر")))</f>
        <v/>
      </c>
      <c r="R1234" t="str">
        <f t="shared" si="122"/>
        <v/>
      </c>
      <c r="S1234" t="str">
        <f t="shared" si="123"/>
        <v/>
      </c>
      <c r="T1234" t="str">
        <f>IF($N1234="","",IF(Sync!$N1234="",0,Sync!$N1234))</f>
        <v/>
      </c>
      <c r="U1234" t="str">
        <f>IF($N1234="","",IF(Sync!$O1234="",0,Sync!$O1234))</f>
        <v/>
      </c>
      <c r="V1234" t="str">
        <f>IF($N1234="","",Sync!$L1234)</f>
        <v/>
      </c>
      <c r="W1234" t="str">
        <f>IF($N1234="","",Sync!$P1234)</f>
        <v/>
      </c>
    </row>
    <row r="1235" spans="14:23" x14ac:dyDescent="0.2">
      <c r="N1235" t="str">
        <f>IF(OR(Sync!$M1235="",$Q1235="",$Q1235="نامعتبر"),"",Sync!$M1235)</f>
        <v/>
      </c>
      <c r="O1235" t="str">
        <f t="shared" si="121"/>
        <v/>
      </c>
      <c r="P1235" t="str">
        <f>IF($N1235="","",LEFT($Q1235,4)&amp;MID($Q1235,6,2)&amp;RIGHT($Q1235,2)&amp;IF(Sync!$K1235="","0000",IF(AND(ISNUMBER(Sync!$K1235),Sync!$K1235&gt;=0,Sync!$K1235&lt;1),RIGHT("00"&amp;HOUR(Sync!$K1235),2)&amp;RIGHT("00"&amp;MINUTE(Sync!$K1235),2),IFERROR(RIGHT("00"&amp;VALUE(LEFT(Sync!$K1235,FIND(":",Sync!$K1235)-1)),2)&amp;RIGHT("00"&amp;VALUE(MID(Sync!$K1235,FIND(":",Sync!$K1235)+1,2)),2),"0000")))&amp;"|"&amp;"2"&amp;RIGHT("00000"&amp;1230,5))</f>
        <v/>
      </c>
      <c r="Q1235" t="str">
        <f>IF(Sync!$J1235="","",IF(ISNUMBER(Sync!$J1235),IF(AND(Sync!$J1235&gt;=10000101,Sync!$J1235&lt;=99991231),INT(Sync!$J1235/10000)&amp;"/"&amp;RIGHT("00"&amp;INT(MOD(Sync!$J1235,10000)/100),2)&amp;"/"&amp;RIGHT("00"&amp;MOD(Sync!$J1235,100),2),"نامعتبر"),IF(LEN(Sync!$J1235)=10,Sync!$J1235,"نامعتبر")))</f>
        <v/>
      </c>
      <c r="R1235" t="str">
        <f t="shared" si="122"/>
        <v/>
      </c>
      <c r="S1235" t="str">
        <f t="shared" si="123"/>
        <v/>
      </c>
      <c r="T1235" t="str">
        <f>IF($N1235="","",IF(Sync!$N1235="",0,Sync!$N1235))</f>
        <v/>
      </c>
      <c r="U1235" t="str">
        <f>IF($N1235="","",IF(Sync!$O1235="",0,Sync!$O1235))</f>
        <v/>
      </c>
      <c r="V1235" t="str">
        <f>IF($N1235="","",Sync!$L1235)</f>
        <v/>
      </c>
      <c r="W1235" t="str">
        <f>IF($N1235="","",Sync!$P1235)</f>
        <v/>
      </c>
    </row>
    <row r="1236" spans="14:23" x14ac:dyDescent="0.2">
      <c r="N1236" t="str">
        <f>IF(OR(Sync!$M1236="",$Q1236="",$Q1236="نامعتبر"),"",Sync!$M1236)</f>
        <v/>
      </c>
      <c r="O1236" t="str">
        <f t="shared" si="121"/>
        <v/>
      </c>
      <c r="P1236" t="str">
        <f>IF($N1236="","",LEFT($Q1236,4)&amp;MID($Q1236,6,2)&amp;RIGHT($Q1236,2)&amp;IF(Sync!$K1236="","0000",IF(AND(ISNUMBER(Sync!$K1236),Sync!$K1236&gt;=0,Sync!$K1236&lt;1),RIGHT("00"&amp;HOUR(Sync!$K1236),2)&amp;RIGHT("00"&amp;MINUTE(Sync!$K1236),2),IFERROR(RIGHT("00"&amp;VALUE(LEFT(Sync!$K1236,FIND(":",Sync!$K1236)-1)),2)&amp;RIGHT("00"&amp;VALUE(MID(Sync!$K1236,FIND(":",Sync!$K1236)+1,2)),2),"0000")))&amp;"|"&amp;"2"&amp;RIGHT("00000"&amp;1231,5))</f>
        <v/>
      </c>
      <c r="Q1236" t="str">
        <f>IF(Sync!$J1236="","",IF(ISNUMBER(Sync!$J1236),IF(AND(Sync!$J1236&gt;=10000101,Sync!$J1236&lt;=99991231),INT(Sync!$J1236/10000)&amp;"/"&amp;RIGHT("00"&amp;INT(MOD(Sync!$J1236,10000)/100),2)&amp;"/"&amp;RIGHT("00"&amp;MOD(Sync!$J1236,100),2),"نامعتبر"),IF(LEN(Sync!$J1236)=10,Sync!$J1236,"نامعتبر")))</f>
        <v/>
      </c>
      <c r="R1236" t="str">
        <f t="shared" si="122"/>
        <v/>
      </c>
      <c r="S1236" t="str">
        <f t="shared" si="123"/>
        <v/>
      </c>
      <c r="T1236" t="str">
        <f>IF($N1236="","",IF(Sync!$N1236="",0,Sync!$N1236))</f>
        <v/>
      </c>
      <c r="U1236" t="str">
        <f>IF($N1236="","",IF(Sync!$O1236="",0,Sync!$O1236))</f>
        <v/>
      </c>
      <c r="V1236" t="str">
        <f>IF($N1236="","",Sync!$L1236)</f>
        <v/>
      </c>
      <c r="W1236" t="str">
        <f>IF($N1236="","",Sync!$P1236)</f>
        <v/>
      </c>
    </row>
    <row r="1237" spans="14:23" x14ac:dyDescent="0.2">
      <c r="N1237" t="str">
        <f>IF(OR(Sync!$M1237="",$Q1237="",$Q1237="نامعتبر"),"",Sync!$M1237)</f>
        <v/>
      </c>
      <c r="O1237" t="str">
        <f t="shared" si="121"/>
        <v/>
      </c>
      <c r="P1237" t="str">
        <f>IF($N1237="","",LEFT($Q1237,4)&amp;MID($Q1237,6,2)&amp;RIGHT($Q1237,2)&amp;IF(Sync!$K1237="","0000",IF(AND(ISNUMBER(Sync!$K1237),Sync!$K1237&gt;=0,Sync!$K1237&lt;1),RIGHT("00"&amp;HOUR(Sync!$K1237),2)&amp;RIGHT("00"&amp;MINUTE(Sync!$K1237),2),IFERROR(RIGHT("00"&amp;VALUE(LEFT(Sync!$K1237,FIND(":",Sync!$K1237)-1)),2)&amp;RIGHT("00"&amp;VALUE(MID(Sync!$K1237,FIND(":",Sync!$K1237)+1,2)),2),"0000")))&amp;"|"&amp;"2"&amp;RIGHT("00000"&amp;1232,5))</f>
        <v/>
      </c>
      <c r="Q1237" t="str">
        <f>IF(Sync!$J1237="","",IF(ISNUMBER(Sync!$J1237),IF(AND(Sync!$J1237&gt;=10000101,Sync!$J1237&lt;=99991231),INT(Sync!$J1237/10000)&amp;"/"&amp;RIGHT("00"&amp;INT(MOD(Sync!$J1237,10000)/100),2)&amp;"/"&amp;RIGHT("00"&amp;MOD(Sync!$J1237,100),2),"نامعتبر"),IF(LEN(Sync!$J1237)=10,Sync!$J1237,"نامعتبر")))</f>
        <v/>
      </c>
      <c r="R1237" t="str">
        <f t="shared" si="122"/>
        <v/>
      </c>
      <c r="S1237" t="str">
        <f t="shared" si="123"/>
        <v/>
      </c>
      <c r="T1237" t="str">
        <f>IF($N1237="","",IF(Sync!$N1237="",0,Sync!$N1237))</f>
        <v/>
      </c>
      <c r="U1237" t="str">
        <f>IF($N1237="","",IF(Sync!$O1237="",0,Sync!$O1237))</f>
        <v/>
      </c>
      <c r="V1237" t="str">
        <f>IF($N1237="","",Sync!$L1237)</f>
        <v/>
      </c>
      <c r="W1237" t="str">
        <f>IF($N1237="","",Sync!$P1237)</f>
        <v/>
      </c>
    </row>
    <row r="1238" spans="14:23" x14ac:dyDescent="0.2">
      <c r="N1238" t="str">
        <f>IF(OR(Sync!$M1238="",$Q1238="",$Q1238="نامعتبر"),"",Sync!$M1238)</f>
        <v/>
      </c>
      <c r="O1238" t="str">
        <f t="shared" si="121"/>
        <v/>
      </c>
      <c r="P1238" t="str">
        <f>IF($N1238="","",LEFT($Q1238,4)&amp;MID($Q1238,6,2)&amp;RIGHT($Q1238,2)&amp;IF(Sync!$K1238="","0000",IF(AND(ISNUMBER(Sync!$K1238),Sync!$K1238&gt;=0,Sync!$K1238&lt;1),RIGHT("00"&amp;HOUR(Sync!$K1238),2)&amp;RIGHT("00"&amp;MINUTE(Sync!$K1238),2),IFERROR(RIGHT("00"&amp;VALUE(LEFT(Sync!$K1238,FIND(":",Sync!$K1238)-1)),2)&amp;RIGHT("00"&amp;VALUE(MID(Sync!$K1238,FIND(":",Sync!$K1238)+1,2)),2),"0000")))&amp;"|"&amp;"2"&amp;RIGHT("00000"&amp;1233,5))</f>
        <v/>
      </c>
      <c r="Q1238" t="str">
        <f>IF(Sync!$J1238="","",IF(ISNUMBER(Sync!$J1238),IF(AND(Sync!$J1238&gt;=10000101,Sync!$J1238&lt;=99991231),INT(Sync!$J1238/10000)&amp;"/"&amp;RIGHT("00"&amp;INT(MOD(Sync!$J1238,10000)/100),2)&amp;"/"&amp;RIGHT("00"&amp;MOD(Sync!$J1238,100),2),"نامعتبر"),IF(LEN(Sync!$J1238)=10,Sync!$J1238,"نامعتبر")))</f>
        <v/>
      </c>
      <c r="R1238" t="str">
        <f t="shared" si="122"/>
        <v/>
      </c>
      <c r="S1238" t="str">
        <f t="shared" si="123"/>
        <v/>
      </c>
      <c r="T1238" t="str">
        <f>IF($N1238="","",IF(Sync!$N1238="",0,Sync!$N1238))</f>
        <v/>
      </c>
      <c r="U1238" t="str">
        <f>IF($N1238="","",IF(Sync!$O1238="",0,Sync!$O1238))</f>
        <v/>
      </c>
      <c r="V1238" t="str">
        <f>IF($N1238="","",Sync!$L1238)</f>
        <v/>
      </c>
      <c r="W1238" t="str">
        <f>IF($N1238="","",Sync!$P1238)</f>
        <v/>
      </c>
    </row>
    <row r="1239" spans="14:23" x14ac:dyDescent="0.2">
      <c r="N1239" t="str">
        <f>IF(OR(Sync!$M1239="",$Q1239="",$Q1239="نامعتبر"),"",Sync!$M1239)</f>
        <v/>
      </c>
      <c r="O1239" t="str">
        <f t="shared" si="121"/>
        <v/>
      </c>
      <c r="P1239" t="str">
        <f>IF($N1239="","",LEFT($Q1239,4)&amp;MID($Q1239,6,2)&amp;RIGHT($Q1239,2)&amp;IF(Sync!$K1239="","0000",IF(AND(ISNUMBER(Sync!$K1239),Sync!$K1239&gt;=0,Sync!$K1239&lt;1),RIGHT("00"&amp;HOUR(Sync!$K1239),2)&amp;RIGHT("00"&amp;MINUTE(Sync!$K1239),2),IFERROR(RIGHT("00"&amp;VALUE(LEFT(Sync!$K1239,FIND(":",Sync!$K1239)-1)),2)&amp;RIGHT("00"&amp;VALUE(MID(Sync!$K1239,FIND(":",Sync!$K1239)+1,2)),2),"0000")))&amp;"|"&amp;"2"&amp;RIGHT("00000"&amp;1234,5))</f>
        <v/>
      </c>
      <c r="Q1239" t="str">
        <f>IF(Sync!$J1239="","",IF(ISNUMBER(Sync!$J1239),IF(AND(Sync!$J1239&gt;=10000101,Sync!$J1239&lt;=99991231),INT(Sync!$J1239/10000)&amp;"/"&amp;RIGHT("00"&amp;INT(MOD(Sync!$J1239,10000)/100),2)&amp;"/"&amp;RIGHT("00"&amp;MOD(Sync!$J1239,100),2),"نامعتبر"),IF(LEN(Sync!$J1239)=10,Sync!$J1239,"نامعتبر")))</f>
        <v/>
      </c>
      <c r="R1239" t="str">
        <f t="shared" si="122"/>
        <v/>
      </c>
      <c r="S1239" t="str">
        <f t="shared" si="123"/>
        <v/>
      </c>
      <c r="T1239" t="str">
        <f>IF($N1239="","",IF(Sync!$N1239="",0,Sync!$N1239))</f>
        <v/>
      </c>
      <c r="U1239" t="str">
        <f>IF($N1239="","",IF(Sync!$O1239="",0,Sync!$O1239))</f>
        <v/>
      </c>
      <c r="V1239" t="str">
        <f>IF($N1239="","",Sync!$L1239)</f>
        <v/>
      </c>
      <c r="W1239" t="str">
        <f>IF($N1239="","",Sync!$P1239)</f>
        <v/>
      </c>
    </row>
    <row r="1240" spans="14:23" x14ac:dyDescent="0.2">
      <c r="N1240" t="str">
        <f>IF(OR(Sync!$M1240="",$Q1240="",$Q1240="نامعتبر"),"",Sync!$M1240)</f>
        <v/>
      </c>
      <c r="O1240" t="str">
        <f t="shared" si="121"/>
        <v/>
      </c>
      <c r="P1240" t="str">
        <f>IF($N1240="","",LEFT($Q1240,4)&amp;MID($Q1240,6,2)&amp;RIGHT($Q1240,2)&amp;IF(Sync!$K1240="","0000",IF(AND(ISNUMBER(Sync!$K1240),Sync!$K1240&gt;=0,Sync!$K1240&lt;1),RIGHT("00"&amp;HOUR(Sync!$K1240),2)&amp;RIGHT("00"&amp;MINUTE(Sync!$K1240),2),IFERROR(RIGHT("00"&amp;VALUE(LEFT(Sync!$K1240,FIND(":",Sync!$K1240)-1)),2)&amp;RIGHT("00"&amp;VALUE(MID(Sync!$K1240,FIND(":",Sync!$K1240)+1,2)),2),"0000")))&amp;"|"&amp;"2"&amp;RIGHT("00000"&amp;1235,5))</f>
        <v/>
      </c>
      <c r="Q1240" t="str">
        <f>IF(Sync!$J1240="","",IF(ISNUMBER(Sync!$J1240),IF(AND(Sync!$J1240&gt;=10000101,Sync!$J1240&lt;=99991231),INT(Sync!$J1240/10000)&amp;"/"&amp;RIGHT("00"&amp;INT(MOD(Sync!$J1240,10000)/100),2)&amp;"/"&amp;RIGHT("00"&amp;MOD(Sync!$J1240,100),2),"نامعتبر"),IF(LEN(Sync!$J1240)=10,Sync!$J1240,"نامعتبر")))</f>
        <v/>
      </c>
      <c r="R1240" t="str">
        <f t="shared" si="122"/>
        <v/>
      </c>
      <c r="S1240" t="str">
        <f t="shared" si="123"/>
        <v/>
      </c>
      <c r="T1240" t="str">
        <f>IF($N1240="","",IF(Sync!$N1240="",0,Sync!$N1240))</f>
        <v/>
      </c>
      <c r="U1240" t="str">
        <f>IF($N1240="","",IF(Sync!$O1240="",0,Sync!$O1240))</f>
        <v/>
      </c>
      <c r="V1240" t="str">
        <f>IF($N1240="","",Sync!$L1240)</f>
        <v/>
      </c>
      <c r="W1240" t="str">
        <f>IF($N1240="","",Sync!$P1240)</f>
        <v/>
      </c>
    </row>
    <row r="1241" spans="14:23" x14ac:dyDescent="0.2">
      <c r="N1241" t="str">
        <f>IF(OR(Sync!$M1241="",$Q1241="",$Q1241="نامعتبر"),"",Sync!$M1241)</f>
        <v/>
      </c>
      <c r="O1241" t="str">
        <f t="shared" si="121"/>
        <v/>
      </c>
      <c r="P1241" t="str">
        <f>IF($N1241="","",LEFT($Q1241,4)&amp;MID($Q1241,6,2)&amp;RIGHT($Q1241,2)&amp;IF(Sync!$K1241="","0000",IF(AND(ISNUMBER(Sync!$K1241),Sync!$K1241&gt;=0,Sync!$K1241&lt;1),RIGHT("00"&amp;HOUR(Sync!$K1241),2)&amp;RIGHT("00"&amp;MINUTE(Sync!$K1241),2),IFERROR(RIGHT("00"&amp;VALUE(LEFT(Sync!$K1241,FIND(":",Sync!$K1241)-1)),2)&amp;RIGHT("00"&amp;VALUE(MID(Sync!$K1241,FIND(":",Sync!$K1241)+1,2)),2),"0000")))&amp;"|"&amp;"2"&amp;RIGHT("00000"&amp;1236,5))</f>
        <v/>
      </c>
      <c r="Q1241" t="str">
        <f>IF(Sync!$J1241="","",IF(ISNUMBER(Sync!$J1241),IF(AND(Sync!$J1241&gt;=10000101,Sync!$J1241&lt;=99991231),INT(Sync!$J1241/10000)&amp;"/"&amp;RIGHT("00"&amp;INT(MOD(Sync!$J1241,10000)/100),2)&amp;"/"&amp;RIGHT("00"&amp;MOD(Sync!$J1241,100),2),"نامعتبر"),IF(LEN(Sync!$J1241)=10,Sync!$J1241,"نامعتبر")))</f>
        <v/>
      </c>
      <c r="R1241" t="str">
        <f t="shared" si="122"/>
        <v/>
      </c>
      <c r="S1241" t="str">
        <f t="shared" si="123"/>
        <v/>
      </c>
      <c r="T1241" t="str">
        <f>IF($N1241="","",IF(Sync!$N1241="",0,Sync!$N1241))</f>
        <v/>
      </c>
      <c r="U1241" t="str">
        <f>IF($N1241="","",IF(Sync!$O1241="",0,Sync!$O1241))</f>
        <v/>
      </c>
      <c r="V1241" t="str">
        <f>IF($N1241="","",Sync!$L1241)</f>
        <v/>
      </c>
      <c r="W1241" t="str">
        <f>IF($N1241="","",Sync!$P1241)</f>
        <v/>
      </c>
    </row>
    <row r="1242" spans="14:23" x14ac:dyDescent="0.2">
      <c r="N1242" t="str">
        <f>IF(OR(Sync!$M1242="",$Q1242="",$Q1242="نامعتبر"),"",Sync!$M1242)</f>
        <v/>
      </c>
      <c r="O1242" t="str">
        <f t="shared" si="121"/>
        <v/>
      </c>
      <c r="P1242" t="str">
        <f>IF($N1242="","",LEFT($Q1242,4)&amp;MID($Q1242,6,2)&amp;RIGHT($Q1242,2)&amp;IF(Sync!$K1242="","0000",IF(AND(ISNUMBER(Sync!$K1242),Sync!$K1242&gt;=0,Sync!$K1242&lt;1),RIGHT("00"&amp;HOUR(Sync!$K1242),2)&amp;RIGHT("00"&amp;MINUTE(Sync!$K1242),2),IFERROR(RIGHT("00"&amp;VALUE(LEFT(Sync!$K1242,FIND(":",Sync!$K1242)-1)),2)&amp;RIGHT("00"&amp;VALUE(MID(Sync!$K1242,FIND(":",Sync!$K1242)+1,2)),2),"0000")))&amp;"|"&amp;"2"&amp;RIGHT("00000"&amp;1237,5))</f>
        <v/>
      </c>
      <c r="Q1242" t="str">
        <f>IF(Sync!$J1242="","",IF(ISNUMBER(Sync!$J1242),IF(AND(Sync!$J1242&gt;=10000101,Sync!$J1242&lt;=99991231),INT(Sync!$J1242/10000)&amp;"/"&amp;RIGHT("00"&amp;INT(MOD(Sync!$J1242,10000)/100),2)&amp;"/"&amp;RIGHT("00"&amp;MOD(Sync!$J1242,100),2),"نامعتبر"),IF(LEN(Sync!$J1242)=10,Sync!$J1242,"نامعتبر")))</f>
        <v/>
      </c>
      <c r="R1242" t="str">
        <f t="shared" si="122"/>
        <v/>
      </c>
      <c r="S1242" t="str">
        <f t="shared" si="123"/>
        <v/>
      </c>
      <c r="T1242" t="str">
        <f>IF($N1242="","",IF(Sync!$N1242="",0,Sync!$N1242))</f>
        <v/>
      </c>
      <c r="U1242" t="str">
        <f>IF($N1242="","",IF(Sync!$O1242="",0,Sync!$O1242))</f>
        <v/>
      </c>
      <c r="V1242" t="str">
        <f>IF($N1242="","",Sync!$L1242)</f>
        <v/>
      </c>
      <c r="W1242" t="str">
        <f>IF($N1242="","",Sync!$P1242)</f>
        <v/>
      </c>
    </row>
    <row r="1243" spans="14:23" x14ac:dyDescent="0.2">
      <c r="N1243" t="str">
        <f>IF(OR(Sync!$M1243="",$Q1243="",$Q1243="نامعتبر"),"",Sync!$M1243)</f>
        <v/>
      </c>
      <c r="O1243" t="str">
        <f t="shared" si="121"/>
        <v/>
      </c>
      <c r="P1243" t="str">
        <f>IF($N1243="","",LEFT($Q1243,4)&amp;MID($Q1243,6,2)&amp;RIGHT($Q1243,2)&amp;IF(Sync!$K1243="","0000",IF(AND(ISNUMBER(Sync!$K1243),Sync!$K1243&gt;=0,Sync!$K1243&lt;1),RIGHT("00"&amp;HOUR(Sync!$K1243),2)&amp;RIGHT("00"&amp;MINUTE(Sync!$K1243),2),IFERROR(RIGHT("00"&amp;VALUE(LEFT(Sync!$K1243,FIND(":",Sync!$K1243)-1)),2)&amp;RIGHT("00"&amp;VALUE(MID(Sync!$K1243,FIND(":",Sync!$K1243)+1,2)),2),"0000")))&amp;"|"&amp;"2"&amp;RIGHT("00000"&amp;1238,5))</f>
        <v/>
      </c>
      <c r="Q1243" t="str">
        <f>IF(Sync!$J1243="","",IF(ISNUMBER(Sync!$J1243),IF(AND(Sync!$J1243&gt;=10000101,Sync!$J1243&lt;=99991231),INT(Sync!$J1243/10000)&amp;"/"&amp;RIGHT("00"&amp;INT(MOD(Sync!$J1243,10000)/100),2)&amp;"/"&amp;RIGHT("00"&amp;MOD(Sync!$J1243,100),2),"نامعتبر"),IF(LEN(Sync!$J1243)=10,Sync!$J1243,"نامعتبر")))</f>
        <v/>
      </c>
      <c r="R1243" t="str">
        <f t="shared" si="122"/>
        <v/>
      </c>
      <c r="S1243" t="str">
        <f t="shared" si="123"/>
        <v/>
      </c>
      <c r="T1243" t="str">
        <f>IF($N1243="","",IF(Sync!$N1243="",0,Sync!$N1243))</f>
        <v/>
      </c>
      <c r="U1243" t="str">
        <f>IF($N1243="","",IF(Sync!$O1243="",0,Sync!$O1243))</f>
        <v/>
      </c>
      <c r="V1243" t="str">
        <f>IF($N1243="","",Sync!$L1243)</f>
        <v/>
      </c>
      <c r="W1243" t="str">
        <f>IF($N1243="","",Sync!$P1243)</f>
        <v/>
      </c>
    </row>
    <row r="1244" spans="14:23" x14ac:dyDescent="0.2">
      <c r="N1244" t="str">
        <f>IF(OR(Sync!$M1244="",$Q1244="",$Q1244="نامعتبر"),"",Sync!$M1244)</f>
        <v/>
      </c>
      <c r="O1244" t="str">
        <f t="shared" si="121"/>
        <v/>
      </c>
      <c r="P1244" t="str">
        <f>IF($N1244="","",LEFT($Q1244,4)&amp;MID($Q1244,6,2)&amp;RIGHT($Q1244,2)&amp;IF(Sync!$K1244="","0000",IF(AND(ISNUMBER(Sync!$K1244),Sync!$K1244&gt;=0,Sync!$K1244&lt;1),RIGHT("00"&amp;HOUR(Sync!$K1244),2)&amp;RIGHT("00"&amp;MINUTE(Sync!$K1244),2),IFERROR(RIGHT("00"&amp;VALUE(LEFT(Sync!$K1244,FIND(":",Sync!$K1244)-1)),2)&amp;RIGHT("00"&amp;VALUE(MID(Sync!$K1244,FIND(":",Sync!$K1244)+1,2)),2),"0000")))&amp;"|"&amp;"2"&amp;RIGHT("00000"&amp;1239,5))</f>
        <v/>
      </c>
      <c r="Q1244" t="str">
        <f>IF(Sync!$J1244="","",IF(ISNUMBER(Sync!$J1244),IF(AND(Sync!$J1244&gt;=10000101,Sync!$J1244&lt;=99991231),INT(Sync!$J1244/10000)&amp;"/"&amp;RIGHT("00"&amp;INT(MOD(Sync!$J1244,10000)/100),2)&amp;"/"&amp;RIGHT("00"&amp;MOD(Sync!$J1244,100),2),"نامعتبر"),IF(LEN(Sync!$J1244)=10,Sync!$J1244,"نامعتبر")))</f>
        <v/>
      </c>
      <c r="R1244" t="str">
        <f t="shared" si="122"/>
        <v/>
      </c>
      <c r="S1244" t="str">
        <f t="shared" si="123"/>
        <v/>
      </c>
      <c r="T1244" t="str">
        <f>IF($N1244="","",IF(Sync!$N1244="",0,Sync!$N1244))</f>
        <v/>
      </c>
      <c r="U1244" t="str">
        <f>IF($N1244="","",IF(Sync!$O1244="",0,Sync!$O1244))</f>
        <v/>
      </c>
      <c r="V1244" t="str">
        <f>IF($N1244="","",Sync!$L1244)</f>
        <v/>
      </c>
      <c r="W1244" t="str">
        <f>IF($N1244="","",Sync!$P1244)</f>
        <v/>
      </c>
    </row>
    <row r="1245" spans="14:23" x14ac:dyDescent="0.2">
      <c r="N1245" t="str">
        <f>IF(OR(Sync!$M1245="",$Q1245="",$Q1245="نامعتبر"),"",Sync!$M1245)</f>
        <v/>
      </c>
      <c r="O1245" t="str">
        <f t="shared" si="121"/>
        <v/>
      </c>
      <c r="P1245" t="str">
        <f>IF($N1245="","",LEFT($Q1245,4)&amp;MID($Q1245,6,2)&amp;RIGHT($Q1245,2)&amp;IF(Sync!$K1245="","0000",IF(AND(ISNUMBER(Sync!$K1245),Sync!$K1245&gt;=0,Sync!$K1245&lt;1),RIGHT("00"&amp;HOUR(Sync!$K1245),2)&amp;RIGHT("00"&amp;MINUTE(Sync!$K1245),2),IFERROR(RIGHT("00"&amp;VALUE(LEFT(Sync!$K1245,FIND(":",Sync!$K1245)-1)),2)&amp;RIGHT("00"&amp;VALUE(MID(Sync!$K1245,FIND(":",Sync!$K1245)+1,2)),2),"0000")))&amp;"|"&amp;"2"&amp;RIGHT("00000"&amp;1240,5))</f>
        <v/>
      </c>
      <c r="Q1245" t="str">
        <f>IF(Sync!$J1245="","",IF(ISNUMBER(Sync!$J1245),IF(AND(Sync!$J1245&gt;=10000101,Sync!$J1245&lt;=99991231),INT(Sync!$J1245/10000)&amp;"/"&amp;RIGHT("00"&amp;INT(MOD(Sync!$J1245,10000)/100),2)&amp;"/"&amp;RIGHT("00"&amp;MOD(Sync!$J1245,100),2),"نامعتبر"),IF(LEN(Sync!$J1245)=10,Sync!$J1245,"نامعتبر")))</f>
        <v/>
      </c>
      <c r="R1245" t="str">
        <f t="shared" si="122"/>
        <v/>
      </c>
      <c r="S1245" t="str">
        <f t="shared" si="123"/>
        <v/>
      </c>
      <c r="T1245" t="str">
        <f>IF($N1245="","",IF(Sync!$N1245="",0,Sync!$N1245))</f>
        <v/>
      </c>
      <c r="U1245" t="str">
        <f>IF($N1245="","",IF(Sync!$O1245="",0,Sync!$O1245))</f>
        <v/>
      </c>
      <c r="V1245" t="str">
        <f>IF($N1245="","",Sync!$L1245)</f>
        <v/>
      </c>
      <c r="W1245" t="str">
        <f>IF($N1245="","",Sync!$P1245)</f>
        <v/>
      </c>
    </row>
    <row r="1246" spans="14:23" x14ac:dyDescent="0.2">
      <c r="N1246" t="str">
        <f>IF(OR(Sync!$M1246="",$Q1246="",$Q1246="نامعتبر"),"",Sync!$M1246)</f>
        <v/>
      </c>
      <c r="O1246" t="str">
        <f t="shared" si="121"/>
        <v/>
      </c>
      <c r="P1246" t="str">
        <f>IF($N1246="","",LEFT($Q1246,4)&amp;MID($Q1246,6,2)&amp;RIGHT($Q1246,2)&amp;IF(Sync!$K1246="","0000",IF(AND(ISNUMBER(Sync!$K1246),Sync!$K1246&gt;=0,Sync!$K1246&lt;1),RIGHT("00"&amp;HOUR(Sync!$K1246),2)&amp;RIGHT("00"&amp;MINUTE(Sync!$K1246),2),IFERROR(RIGHT("00"&amp;VALUE(LEFT(Sync!$K1246,FIND(":",Sync!$K1246)-1)),2)&amp;RIGHT("00"&amp;VALUE(MID(Sync!$K1246,FIND(":",Sync!$K1246)+1,2)),2),"0000")))&amp;"|"&amp;"2"&amp;RIGHT("00000"&amp;1241,5))</f>
        <v/>
      </c>
      <c r="Q1246" t="str">
        <f>IF(Sync!$J1246="","",IF(ISNUMBER(Sync!$J1246),IF(AND(Sync!$J1246&gt;=10000101,Sync!$J1246&lt;=99991231),INT(Sync!$J1246/10000)&amp;"/"&amp;RIGHT("00"&amp;INT(MOD(Sync!$J1246,10000)/100),2)&amp;"/"&amp;RIGHT("00"&amp;MOD(Sync!$J1246,100),2),"نامعتبر"),IF(LEN(Sync!$J1246)=10,Sync!$J1246,"نامعتبر")))</f>
        <v/>
      </c>
      <c r="R1246" t="str">
        <f t="shared" si="122"/>
        <v/>
      </c>
      <c r="S1246" t="str">
        <f t="shared" si="123"/>
        <v/>
      </c>
      <c r="T1246" t="str">
        <f>IF($N1246="","",IF(Sync!$N1246="",0,Sync!$N1246))</f>
        <v/>
      </c>
      <c r="U1246" t="str">
        <f>IF($N1246="","",IF(Sync!$O1246="",0,Sync!$O1246))</f>
        <v/>
      </c>
      <c r="V1246" t="str">
        <f>IF($N1246="","",Sync!$L1246)</f>
        <v/>
      </c>
      <c r="W1246" t="str">
        <f>IF($N1246="","",Sync!$P1246)</f>
        <v/>
      </c>
    </row>
    <row r="1247" spans="14:23" x14ac:dyDescent="0.2">
      <c r="N1247" t="str">
        <f>IF(OR(Sync!$M1247="",$Q1247="",$Q1247="نامعتبر"),"",Sync!$M1247)</f>
        <v/>
      </c>
      <c r="O1247" t="str">
        <f t="shared" si="121"/>
        <v/>
      </c>
      <c r="P1247" t="str">
        <f>IF($N1247="","",LEFT($Q1247,4)&amp;MID($Q1247,6,2)&amp;RIGHT($Q1247,2)&amp;IF(Sync!$K1247="","0000",IF(AND(ISNUMBER(Sync!$K1247),Sync!$K1247&gt;=0,Sync!$K1247&lt;1),RIGHT("00"&amp;HOUR(Sync!$K1247),2)&amp;RIGHT("00"&amp;MINUTE(Sync!$K1247),2),IFERROR(RIGHT("00"&amp;VALUE(LEFT(Sync!$K1247,FIND(":",Sync!$K1247)-1)),2)&amp;RIGHT("00"&amp;VALUE(MID(Sync!$K1247,FIND(":",Sync!$K1247)+1,2)),2),"0000")))&amp;"|"&amp;"2"&amp;RIGHT("00000"&amp;1242,5))</f>
        <v/>
      </c>
      <c r="Q1247" t="str">
        <f>IF(Sync!$J1247="","",IF(ISNUMBER(Sync!$J1247),IF(AND(Sync!$J1247&gt;=10000101,Sync!$J1247&lt;=99991231),INT(Sync!$J1247/10000)&amp;"/"&amp;RIGHT("00"&amp;INT(MOD(Sync!$J1247,10000)/100),2)&amp;"/"&amp;RIGHT("00"&amp;MOD(Sync!$J1247,100),2),"نامعتبر"),IF(LEN(Sync!$J1247)=10,Sync!$J1247,"نامعتبر")))</f>
        <v/>
      </c>
      <c r="R1247" t="str">
        <f t="shared" si="122"/>
        <v/>
      </c>
      <c r="S1247" t="str">
        <f t="shared" si="123"/>
        <v/>
      </c>
      <c r="T1247" t="str">
        <f>IF($N1247="","",IF(Sync!$N1247="",0,Sync!$N1247))</f>
        <v/>
      </c>
      <c r="U1247" t="str">
        <f>IF($N1247="","",IF(Sync!$O1247="",0,Sync!$O1247))</f>
        <v/>
      </c>
      <c r="V1247" t="str">
        <f>IF($N1247="","",Sync!$L1247)</f>
        <v/>
      </c>
      <c r="W1247" t="str">
        <f>IF($N1247="","",Sync!$P1247)</f>
        <v/>
      </c>
    </row>
    <row r="1248" spans="14:23" x14ac:dyDescent="0.2">
      <c r="N1248" t="str">
        <f>IF(OR(Sync!$M1248="",$Q1248="",$Q1248="نامعتبر"),"",Sync!$M1248)</f>
        <v/>
      </c>
      <c r="O1248" t="str">
        <f t="shared" si="121"/>
        <v/>
      </c>
      <c r="P1248" t="str">
        <f>IF($N1248="","",LEFT($Q1248,4)&amp;MID($Q1248,6,2)&amp;RIGHT($Q1248,2)&amp;IF(Sync!$K1248="","0000",IF(AND(ISNUMBER(Sync!$K1248),Sync!$K1248&gt;=0,Sync!$K1248&lt;1),RIGHT("00"&amp;HOUR(Sync!$K1248),2)&amp;RIGHT("00"&amp;MINUTE(Sync!$K1248),2),IFERROR(RIGHT("00"&amp;VALUE(LEFT(Sync!$K1248,FIND(":",Sync!$K1248)-1)),2)&amp;RIGHT("00"&amp;VALUE(MID(Sync!$K1248,FIND(":",Sync!$K1248)+1,2)),2),"0000")))&amp;"|"&amp;"2"&amp;RIGHT("00000"&amp;1243,5))</f>
        <v/>
      </c>
      <c r="Q1248" t="str">
        <f>IF(Sync!$J1248="","",IF(ISNUMBER(Sync!$J1248),IF(AND(Sync!$J1248&gt;=10000101,Sync!$J1248&lt;=99991231),INT(Sync!$J1248/10000)&amp;"/"&amp;RIGHT("00"&amp;INT(MOD(Sync!$J1248,10000)/100),2)&amp;"/"&amp;RIGHT("00"&amp;MOD(Sync!$J1248,100),2),"نامعتبر"),IF(LEN(Sync!$J1248)=10,Sync!$J1248,"نامعتبر")))</f>
        <v/>
      </c>
      <c r="R1248" t="str">
        <f t="shared" si="122"/>
        <v/>
      </c>
      <c r="S1248" t="str">
        <f t="shared" si="123"/>
        <v/>
      </c>
      <c r="T1248" t="str">
        <f>IF($N1248="","",IF(Sync!$N1248="",0,Sync!$N1248))</f>
        <v/>
      </c>
      <c r="U1248" t="str">
        <f>IF($N1248="","",IF(Sync!$O1248="",0,Sync!$O1248))</f>
        <v/>
      </c>
      <c r="V1248" t="str">
        <f>IF($N1248="","",Sync!$L1248)</f>
        <v/>
      </c>
      <c r="W1248" t="str">
        <f>IF($N1248="","",Sync!$P1248)</f>
        <v/>
      </c>
    </row>
    <row r="1249" spans="14:23" x14ac:dyDescent="0.2">
      <c r="N1249" t="str">
        <f>IF(OR(Sync!$M1249="",$Q1249="",$Q1249="نامعتبر"),"",Sync!$M1249)</f>
        <v/>
      </c>
      <c r="O1249" t="str">
        <f t="shared" si="121"/>
        <v/>
      </c>
      <c r="P1249" t="str">
        <f>IF($N1249="","",LEFT($Q1249,4)&amp;MID($Q1249,6,2)&amp;RIGHT($Q1249,2)&amp;IF(Sync!$K1249="","0000",IF(AND(ISNUMBER(Sync!$K1249),Sync!$K1249&gt;=0,Sync!$K1249&lt;1),RIGHT("00"&amp;HOUR(Sync!$K1249),2)&amp;RIGHT("00"&amp;MINUTE(Sync!$K1249),2),IFERROR(RIGHT("00"&amp;VALUE(LEFT(Sync!$K1249,FIND(":",Sync!$K1249)-1)),2)&amp;RIGHT("00"&amp;VALUE(MID(Sync!$K1249,FIND(":",Sync!$K1249)+1,2)),2),"0000")))&amp;"|"&amp;"2"&amp;RIGHT("00000"&amp;1244,5))</f>
        <v/>
      </c>
      <c r="Q1249" t="str">
        <f>IF(Sync!$J1249="","",IF(ISNUMBER(Sync!$J1249),IF(AND(Sync!$J1249&gt;=10000101,Sync!$J1249&lt;=99991231),INT(Sync!$J1249/10000)&amp;"/"&amp;RIGHT("00"&amp;INT(MOD(Sync!$J1249,10000)/100),2)&amp;"/"&amp;RIGHT("00"&amp;MOD(Sync!$J1249,100),2),"نامعتبر"),IF(LEN(Sync!$J1249)=10,Sync!$J1249,"نامعتبر")))</f>
        <v/>
      </c>
      <c r="R1249" t="str">
        <f t="shared" si="122"/>
        <v/>
      </c>
      <c r="S1249" t="str">
        <f t="shared" si="123"/>
        <v/>
      </c>
      <c r="T1249" t="str">
        <f>IF($N1249="","",IF(Sync!$N1249="",0,Sync!$N1249))</f>
        <v/>
      </c>
      <c r="U1249" t="str">
        <f>IF($N1249="","",IF(Sync!$O1249="",0,Sync!$O1249))</f>
        <v/>
      </c>
      <c r="V1249" t="str">
        <f>IF($N1249="","",Sync!$L1249)</f>
        <v/>
      </c>
      <c r="W1249" t="str">
        <f>IF($N1249="","",Sync!$P1249)</f>
        <v/>
      </c>
    </row>
    <row r="1250" spans="14:23" x14ac:dyDescent="0.2">
      <c r="N1250" t="str">
        <f>IF(OR(Sync!$M1250="",$Q1250="",$Q1250="نامعتبر"),"",Sync!$M1250)</f>
        <v/>
      </c>
      <c r="O1250" t="str">
        <f t="shared" si="121"/>
        <v/>
      </c>
      <c r="P1250" t="str">
        <f>IF($N1250="","",LEFT($Q1250,4)&amp;MID($Q1250,6,2)&amp;RIGHT($Q1250,2)&amp;IF(Sync!$K1250="","0000",IF(AND(ISNUMBER(Sync!$K1250),Sync!$K1250&gt;=0,Sync!$K1250&lt;1),RIGHT("00"&amp;HOUR(Sync!$K1250),2)&amp;RIGHT("00"&amp;MINUTE(Sync!$K1250),2),IFERROR(RIGHT("00"&amp;VALUE(LEFT(Sync!$K1250,FIND(":",Sync!$K1250)-1)),2)&amp;RIGHT("00"&amp;VALUE(MID(Sync!$K1250,FIND(":",Sync!$K1250)+1,2)),2),"0000")))&amp;"|"&amp;"2"&amp;RIGHT("00000"&amp;1245,5))</f>
        <v/>
      </c>
      <c r="Q1250" t="str">
        <f>IF(Sync!$J1250="","",IF(ISNUMBER(Sync!$J1250),IF(AND(Sync!$J1250&gt;=10000101,Sync!$J1250&lt;=99991231),INT(Sync!$J1250/10000)&amp;"/"&amp;RIGHT("00"&amp;INT(MOD(Sync!$J1250,10000)/100),2)&amp;"/"&amp;RIGHT("00"&amp;MOD(Sync!$J1250,100),2),"نامعتبر"),IF(LEN(Sync!$J1250)=10,Sync!$J1250,"نامعتبر")))</f>
        <v/>
      </c>
      <c r="R1250" t="str">
        <f t="shared" si="122"/>
        <v/>
      </c>
      <c r="S1250" t="str">
        <f t="shared" si="123"/>
        <v/>
      </c>
      <c r="T1250" t="str">
        <f>IF($N1250="","",IF(Sync!$N1250="",0,Sync!$N1250))</f>
        <v/>
      </c>
      <c r="U1250" t="str">
        <f>IF($N1250="","",IF(Sync!$O1250="",0,Sync!$O1250))</f>
        <v/>
      </c>
      <c r="V1250" t="str">
        <f>IF($N1250="","",Sync!$L1250)</f>
        <v/>
      </c>
      <c r="W1250" t="str">
        <f>IF($N1250="","",Sync!$P1250)</f>
        <v/>
      </c>
    </row>
    <row r="1251" spans="14:23" x14ac:dyDescent="0.2">
      <c r="N1251" t="str">
        <f>IF(OR(Sync!$M1251="",$Q1251="",$Q1251="نامعتبر"),"",Sync!$M1251)</f>
        <v/>
      </c>
      <c r="O1251" t="str">
        <f t="shared" si="121"/>
        <v/>
      </c>
      <c r="P1251" t="str">
        <f>IF($N1251="","",LEFT($Q1251,4)&amp;MID($Q1251,6,2)&amp;RIGHT($Q1251,2)&amp;IF(Sync!$K1251="","0000",IF(AND(ISNUMBER(Sync!$K1251),Sync!$K1251&gt;=0,Sync!$K1251&lt;1),RIGHT("00"&amp;HOUR(Sync!$K1251),2)&amp;RIGHT("00"&amp;MINUTE(Sync!$K1251),2),IFERROR(RIGHT("00"&amp;VALUE(LEFT(Sync!$K1251,FIND(":",Sync!$K1251)-1)),2)&amp;RIGHT("00"&amp;VALUE(MID(Sync!$K1251,FIND(":",Sync!$K1251)+1,2)),2),"0000")))&amp;"|"&amp;"2"&amp;RIGHT("00000"&amp;1246,5))</f>
        <v/>
      </c>
      <c r="Q1251" t="str">
        <f>IF(Sync!$J1251="","",IF(ISNUMBER(Sync!$J1251),IF(AND(Sync!$J1251&gt;=10000101,Sync!$J1251&lt;=99991231),INT(Sync!$J1251/10000)&amp;"/"&amp;RIGHT("00"&amp;INT(MOD(Sync!$J1251,10000)/100),2)&amp;"/"&amp;RIGHT("00"&amp;MOD(Sync!$J1251,100),2),"نامعتبر"),IF(LEN(Sync!$J1251)=10,Sync!$J1251,"نامعتبر")))</f>
        <v/>
      </c>
      <c r="R1251" t="str">
        <f t="shared" si="122"/>
        <v/>
      </c>
      <c r="S1251" t="str">
        <f t="shared" si="123"/>
        <v/>
      </c>
      <c r="T1251" t="str">
        <f>IF($N1251="","",IF(Sync!$N1251="",0,Sync!$N1251))</f>
        <v/>
      </c>
      <c r="U1251" t="str">
        <f>IF($N1251="","",IF(Sync!$O1251="",0,Sync!$O1251))</f>
        <v/>
      </c>
      <c r="V1251" t="str">
        <f>IF($N1251="","",Sync!$L1251)</f>
        <v/>
      </c>
      <c r="W1251" t="str">
        <f>IF($N1251="","",Sync!$P1251)</f>
        <v/>
      </c>
    </row>
    <row r="1252" spans="14:23" x14ac:dyDescent="0.2">
      <c r="N1252" t="str">
        <f>IF(OR(Sync!$M1252="",$Q1252="",$Q1252="نامعتبر"),"",Sync!$M1252)</f>
        <v/>
      </c>
      <c r="O1252" t="str">
        <f t="shared" si="121"/>
        <v/>
      </c>
      <c r="P1252" t="str">
        <f>IF($N1252="","",LEFT($Q1252,4)&amp;MID($Q1252,6,2)&amp;RIGHT($Q1252,2)&amp;IF(Sync!$K1252="","0000",IF(AND(ISNUMBER(Sync!$K1252),Sync!$K1252&gt;=0,Sync!$K1252&lt;1),RIGHT("00"&amp;HOUR(Sync!$K1252),2)&amp;RIGHT("00"&amp;MINUTE(Sync!$K1252),2),IFERROR(RIGHT("00"&amp;VALUE(LEFT(Sync!$K1252,FIND(":",Sync!$K1252)-1)),2)&amp;RIGHT("00"&amp;VALUE(MID(Sync!$K1252,FIND(":",Sync!$K1252)+1,2)),2),"0000")))&amp;"|"&amp;"2"&amp;RIGHT("00000"&amp;1247,5))</f>
        <v/>
      </c>
      <c r="Q1252" t="str">
        <f>IF(Sync!$J1252="","",IF(ISNUMBER(Sync!$J1252),IF(AND(Sync!$J1252&gt;=10000101,Sync!$J1252&lt;=99991231),INT(Sync!$J1252/10000)&amp;"/"&amp;RIGHT("00"&amp;INT(MOD(Sync!$J1252,10000)/100),2)&amp;"/"&amp;RIGHT("00"&amp;MOD(Sync!$J1252,100),2),"نامعتبر"),IF(LEN(Sync!$J1252)=10,Sync!$J1252,"نامعتبر")))</f>
        <v/>
      </c>
      <c r="R1252" t="str">
        <f t="shared" si="122"/>
        <v/>
      </c>
      <c r="S1252" t="str">
        <f t="shared" si="123"/>
        <v/>
      </c>
      <c r="T1252" t="str">
        <f>IF($N1252="","",IF(Sync!$N1252="",0,Sync!$N1252))</f>
        <v/>
      </c>
      <c r="U1252" t="str">
        <f>IF($N1252="","",IF(Sync!$O1252="",0,Sync!$O1252))</f>
        <v/>
      </c>
      <c r="V1252" t="str">
        <f>IF($N1252="","",Sync!$L1252)</f>
        <v/>
      </c>
      <c r="W1252" t="str">
        <f>IF($N1252="","",Sync!$P1252)</f>
        <v/>
      </c>
    </row>
    <row r="1253" spans="14:23" x14ac:dyDescent="0.2">
      <c r="N1253" t="str">
        <f>IF(OR(Sync!$M1253="",$Q1253="",$Q1253="نامعتبر"),"",Sync!$M1253)</f>
        <v/>
      </c>
      <c r="O1253" t="str">
        <f t="shared" si="121"/>
        <v/>
      </c>
      <c r="P1253" t="str">
        <f>IF($N1253="","",LEFT($Q1253,4)&amp;MID($Q1253,6,2)&amp;RIGHT($Q1253,2)&amp;IF(Sync!$K1253="","0000",IF(AND(ISNUMBER(Sync!$K1253),Sync!$K1253&gt;=0,Sync!$K1253&lt;1),RIGHT("00"&amp;HOUR(Sync!$K1253),2)&amp;RIGHT("00"&amp;MINUTE(Sync!$K1253),2),IFERROR(RIGHT("00"&amp;VALUE(LEFT(Sync!$K1253,FIND(":",Sync!$K1253)-1)),2)&amp;RIGHT("00"&amp;VALUE(MID(Sync!$K1253,FIND(":",Sync!$K1253)+1,2)),2),"0000")))&amp;"|"&amp;"2"&amp;RIGHT("00000"&amp;1248,5))</f>
        <v/>
      </c>
      <c r="Q1253" t="str">
        <f>IF(Sync!$J1253="","",IF(ISNUMBER(Sync!$J1253),IF(AND(Sync!$J1253&gt;=10000101,Sync!$J1253&lt;=99991231),INT(Sync!$J1253/10000)&amp;"/"&amp;RIGHT("00"&amp;INT(MOD(Sync!$J1253,10000)/100),2)&amp;"/"&amp;RIGHT("00"&amp;MOD(Sync!$J1253,100),2),"نامعتبر"),IF(LEN(Sync!$J1253)=10,Sync!$J1253,"نامعتبر")))</f>
        <v/>
      </c>
      <c r="R1253" t="str">
        <f t="shared" si="122"/>
        <v/>
      </c>
      <c r="S1253" t="str">
        <f t="shared" si="123"/>
        <v/>
      </c>
      <c r="T1253" t="str">
        <f>IF($N1253="","",IF(Sync!$N1253="",0,Sync!$N1253))</f>
        <v/>
      </c>
      <c r="U1253" t="str">
        <f>IF($N1253="","",IF(Sync!$O1253="",0,Sync!$O1253))</f>
        <v/>
      </c>
      <c r="V1253" t="str">
        <f>IF($N1253="","",Sync!$L1253)</f>
        <v/>
      </c>
      <c r="W1253" t="str">
        <f>IF($N1253="","",Sync!$P1253)</f>
        <v/>
      </c>
    </row>
    <row r="1254" spans="14:23" x14ac:dyDescent="0.2">
      <c r="N1254" t="str">
        <f>IF(OR(Sync!$M1254="",$Q1254="",$Q1254="نامعتبر"),"",Sync!$M1254)</f>
        <v/>
      </c>
      <c r="O1254" t="str">
        <f t="shared" si="121"/>
        <v/>
      </c>
      <c r="P1254" t="str">
        <f>IF($N1254="","",LEFT($Q1254,4)&amp;MID($Q1254,6,2)&amp;RIGHT($Q1254,2)&amp;IF(Sync!$K1254="","0000",IF(AND(ISNUMBER(Sync!$K1254),Sync!$K1254&gt;=0,Sync!$K1254&lt;1),RIGHT("00"&amp;HOUR(Sync!$K1254),2)&amp;RIGHT("00"&amp;MINUTE(Sync!$K1254),2),IFERROR(RIGHT("00"&amp;VALUE(LEFT(Sync!$K1254,FIND(":",Sync!$K1254)-1)),2)&amp;RIGHT("00"&amp;VALUE(MID(Sync!$K1254,FIND(":",Sync!$K1254)+1,2)),2),"0000")))&amp;"|"&amp;"2"&amp;RIGHT("00000"&amp;1249,5))</f>
        <v/>
      </c>
      <c r="Q1254" t="str">
        <f>IF(Sync!$J1254="","",IF(ISNUMBER(Sync!$J1254),IF(AND(Sync!$J1254&gt;=10000101,Sync!$J1254&lt;=99991231),INT(Sync!$J1254/10000)&amp;"/"&amp;RIGHT("00"&amp;INT(MOD(Sync!$J1254,10000)/100),2)&amp;"/"&amp;RIGHT("00"&amp;MOD(Sync!$J1254,100),2),"نامعتبر"),IF(LEN(Sync!$J1254)=10,Sync!$J1254,"نامعتبر")))</f>
        <v/>
      </c>
      <c r="R1254" t="str">
        <f t="shared" si="122"/>
        <v/>
      </c>
      <c r="S1254" t="str">
        <f t="shared" si="123"/>
        <v/>
      </c>
      <c r="T1254" t="str">
        <f>IF($N1254="","",IF(Sync!$N1254="",0,Sync!$N1254))</f>
        <v/>
      </c>
      <c r="U1254" t="str">
        <f>IF($N1254="","",IF(Sync!$O1254="",0,Sync!$O1254))</f>
        <v/>
      </c>
      <c r="V1254" t="str">
        <f>IF($N1254="","",Sync!$L1254)</f>
        <v/>
      </c>
      <c r="W1254" t="str">
        <f>IF($N1254="","",Sync!$P1254)</f>
        <v/>
      </c>
    </row>
    <row r="1255" spans="14:23" x14ac:dyDescent="0.2">
      <c r="N1255" t="str">
        <f>IF(OR(Sync!$M1255="",$Q1255="",$Q1255="نامعتبر"),"",Sync!$M1255)</f>
        <v/>
      </c>
      <c r="O1255" t="str">
        <f t="shared" si="121"/>
        <v/>
      </c>
      <c r="P1255" t="str">
        <f>IF($N1255="","",LEFT($Q1255,4)&amp;MID($Q1255,6,2)&amp;RIGHT($Q1255,2)&amp;IF(Sync!$K1255="","0000",IF(AND(ISNUMBER(Sync!$K1255),Sync!$K1255&gt;=0,Sync!$K1255&lt;1),RIGHT("00"&amp;HOUR(Sync!$K1255),2)&amp;RIGHT("00"&amp;MINUTE(Sync!$K1255),2),IFERROR(RIGHT("00"&amp;VALUE(LEFT(Sync!$K1255,FIND(":",Sync!$K1255)-1)),2)&amp;RIGHT("00"&amp;VALUE(MID(Sync!$K1255,FIND(":",Sync!$K1255)+1,2)),2),"0000")))&amp;"|"&amp;"2"&amp;RIGHT("00000"&amp;1250,5))</f>
        <v/>
      </c>
      <c r="Q1255" t="str">
        <f>IF(Sync!$J1255="","",IF(ISNUMBER(Sync!$J1255),IF(AND(Sync!$J1255&gt;=10000101,Sync!$J1255&lt;=99991231),INT(Sync!$J1255/10000)&amp;"/"&amp;RIGHT("00"&amp;INT(MOD(Sync!$J1255,10000)/100),2)&amp;"/"&amp;RIGHT("00"&amp;MOD(Sync!$J1255,100),2),"نامعتبر"),IF(LEN(Sync!$J1255)=10,Sync!$J1255,"نامعتبر")))</f>
        <v/>
      </c>
      <c r="R1255" t="str">
        <f t="shared" si="122"/>
        <v/>
      </c>
      <c r="S1255" t="str">
        <f t="shared" si="123"/>
        <v/>
      </c>
      <c r="T1255" t="str">
        <f>IF($N1255="","",IF(Sync!$N1255="",0,Sync!$N1255))</f>
        <v/>
      </c>
      <c r="U1255" t="str">
        <f>IF($N1255="","",IF(Sync!$O1255="",0,Sync!$O1255))</f>
        <v/>
      </c>
      <c r="V1255" t="str">
        <f>IF($N1255="","",Sync!$L1255)</f>
        <v/>
      </c>
      <c r="W1255" t="str">
        <f>IF($N1255="","",Sync!$P1255)</f>
        <v/>
      </c>
    </row>
    <row r="1256" spans="14:23" x14ac:dyDescent="0.2">
      <c r="N1256" t="str">
        <f>IF(OR(Sync!$M1256="",$Q1256="",$Q1256="نامعتبر"),"",Sync!$M1256)</f>
        <v/>
      </c>
      <c r="O1256" t="str">
        <f t="shared" si="121"/>
        <v/>
      </c>
      <c r="P1256" t="str">
        <f>IF($N1256="","",LEFT($Q1256,4)&amp;MID($Q1256,6,2)&amp;RIGHT($Q1256,2)&amp;IF(Sync!$K1256="","0000",IF(AND(ISNUMBER(Sync!$K1256),Sync!$K1256&gt;=0,Sync!$K1256&lt;1),RIGHT("00"&amp;HOUR(Sync!$K1256),2)&amp;RIGHT("00"&amp;MINUTE(Sync!$K1256),2),IFERROR(RIGHT("00"&amp;VALUE(LEFT(Sync!$K1256,FIND(":",Sync!$K1256)-1)),2)&amp;RIGHT("00"&amp;VALUE(MID(Sync!$K1256,FIND(":",Sync!$K1256)+1,2)),2),"0000")))&amp;"|"&amp;"2"&amp;RIGHT("00000"&amp;1251,5))</f>
        <v/>
      </c>
      <c r="Q1256" t="str">
        <f>IF(Sync!$J1256="","",IF(ISNUMBER(Sync!$J1256),IF(AND(Sync!$J1256&gt;=10000101,Sync!$J1256&lt;=99991231),INT(Sync!$J1256/10000)&amp;"/"&amp;RIGHT("00"&amp;INT(MOD(Sync!$J1256,10000)/100),2)&amp;"/"&amp;RIGHT("00"&amp;MOD(Sync!$J1256,100),2),"نامعتبر"),IF(LEN(Sync!$J1256)=10,Sync!$J1256,"نامعتبر")))</f>
        <v/>
      </c>
      <c r="R1256" t="str">
        <f t="shared" si="122"/>
        <v/>
      </c>
      <c r="S1256" t="str">
        <f t="shared" si="123"/>
        <v/>
      </c>
      <c r="T1256" t="str">
        <f>IF($N1256="","",IF(Sync!$N1256="",0,Sync!$N1256))</f>
        <v/>
      </c>
      <c r="U1256" t="str">
        <f>IF($N1256="","",IF(Sync!$O1256="",0,Sync!$O1256))</f>
        <v/>
      </c>
      <c r="V1256" t="str">
        <f>IF($N1256="","",Sync!$L1256)</f>
        <v/>
      </c>
      <c r="W1256" t="str">
        <f>IF($N1256="","",Sync!$P1256)</f>
        <v/>
      </c>
    </row>
    <row r="1257" spans="14:23" x14ac:dyDescent="0.2">
      <c r="N1257" t="str">
        <f>IF(OR(Sync!$M1257="",$Q1257="",$Q1257="نامعتبر"),"",Sync!$M1257)</f>
        <v/>
      </c>
      <c r="O1257" t="str">
        <f t="shared" si="121"/>
        <v/>
      </c>
      <c r="P1257" t="str">
        <f>IF($N1257="","",LEFT($Q1257,4)&amp;MID($Q1257,6,2)&amp;RIGHT($Q1257,2)&amp;IF(Sync!$K1257="","0000",IF(AND(ISNUMBER(Sync!$K1257),Sync!$K1257&gt;=0,Sync!$K1257&lt;1),RIGHT("00"&amp;HOUR(Sync!$K1257),2)&amp;RIGHT("00"&amp;MINUTE(Sync!$K1257),2),IFERROR(RIGHT("00"&amp;VALUE(LEFT(Sync!$K1257,FIND(":",Sync!$K1257)-1)),2)&amp;RIGHT("00"&amp;VALUE(MID(Sync!$K1257,FIND(":",Sync!$K1257)+1,2)),2),"0000")))&amp;"|"&amp;"2"&amp;RIGHT("00000"&amp;1252,5))</f>
        <v/>
      </c>
      <c r="Q1257" t="str">
        <f>IF(Sync!$J1257="","",IF(ISNUMBER(Sync!$J1257),IF(AND(Sync!$J1257&gt;=10000101,Sync!$J1257&lt;=99991231),INT(Sync!$J1257/10000)&amp;"/"&amp;RIGHT("00"&amp;INT(MOD(Sync!$J1257,10000)/100),2)&amp;"/"&amp;RIGHT("00"&amp;MOD(Sync!$J1257,100),2),"نامعتبر"),IF(LEN(Sync!$J1257)=10,Sync!$J1257,"نامعتبر")))</f>
        <v/>
      </c>
      <c r="R1257" t="str">
        <f t="shared" si="122"/>
        <v/>
      </c>
      <c r="S1257" t="str">
        <f t="shared" si="123"/>
        <v/>
      </c>
      <c r="T1257" t="str">
        <f>IF($N1257="","",IF(Sync!$N1257="",0,Sync!$N1257))</f>
        <v/>
      </c>
      <c r="U1257" t="str">
        <f>IF($N1257="","",IF(Sync!$O1257="",0,Sync!$O1257))</f>
        <v/>
      </c>
      <c r="V1257" t="str">
        <f>IF($N1257="","",Sync!$L1257)</f>
        <v/>
      </c>
      <c r="W1257" t="str">
        <f>IF($N1257="","",Sync!$P1257)</f>
        <v/>
      </c>
    </row>
    <row r="1258" spans="14:23" x14ac:dyDescent="0.2">
      <c r="N1258" t="str">
        <f>IF(OR(Sync!$M1258="",$Q1258="",$Q1258="نامعتبر"),"",Sync!$M1258)</f>
        <v/>
      </c>
      <c r="O1258" t="str">
        <f t="shared" si="121"/>
        <v/>
      </c>
      <c r="P1258" t="str">
        <f>IF($N1258="","",LEFT($Q1258,4)&amp;MID($Q1258,6,2)&amp;RIGHT($Q1258,2)&amp;IF(Sync!$K1258="","0000",IF(AND(ISNUMBER(Sync!$K1258),Sync!$K1258&gt;=0,Sync!$K1258&lt;1),RIGHT("00"&amp;HOUR(Sync!$K1258),2)&amp;RIGHT("00"&amp;MINUTE(Sync!$K1258),2),IFERROR(RIGHT("00"&amp;VALUE(LEFT(Sync!$K1258,FIND(":",Sync!$K1258)-1)),2)&amp;RIGHT("00"&amp;VALUE(MID(Sync!$K1258,FIND(":",Sync!$K1258)+1,2)),2),"0000")))&amp;"|"&amp;"2"&amp;RIGHT("00000"&amp;1253,5))</f>
        <v/>
      </c>
      <c r="Q1258" t="str">
        <f>IF(Sync!$J1258="","",IF(ISNUMBER(Sync!$J1258),IF(AND(Sync!$J1258&gt;=10000101,Sync!$J1258&lt;=99991231),INT(Sync!$J1258/10000)&amp;"/"&amp;RIGHT("00"&amp;INT(MOD(Sync!$J1258,10000)/100),2)&amp;"/"&amp;RIGHT("00"&amp;MOD(Sync!$J1258,100),2),"نامعتبر"),IF(LEN(Sync!$J1258)=10,Sync!$J1258,"نامعتبر")))</f>
        <v/>
      </c>
      <c r="R1258" t="str">
        <f t="shared" si="122"/>
        <v/>
      </c>
      <c r="S1258" t="str">
        <f t="shared" si="123"/>
        <v/>
      </c>
      <c r="T1258" t="str">
        <f>IF($N1258="","",IF(Sync!$N1258="",0,Sync!$N1258))</f>
        <v/>
      </c>
      <c r="U1258" t="str">
        <f>IF($N1258="","",IF(Sync!$O1258="",0,Sync!$O1258))</f>
        <v/>
      </c>
      <c r="V1258" t="str">
        <f>IF($N1258="","",Sync!$L1258)</f>
        <v/>
      </c>
      <c r="W1258" t="str">
        <f>IF($N1258="","",Sync!$P1258)</f>
        <v/>
      </c>
    </row>
    <row r="1259" spans="14:23" x14ac:dyDescent="0.2">
      <c r="N1259" t="str">
        <f>IF(OR(Sync!$M1259="",$Q1259="",$Q1259="نامعتبر"),"",Sync!$M1259)</f>
        <v/>
      </c>
      <c r="O1259" t="str">
        <f t="shared" si="121"/>
        <v/>
      </c>
      <c r="P1259" t="str">
        <f>IF($N1259="","",LEFT($Q1259,4)&amp;MID($Q1259,6,2)&amp;RIGHT($Q1259,2)&amp;IF(Sync!$K1259="","0000",IF(AND(ISNUMBER(Sync!$K1259),Sync!$K1259&gt;=0,Sync!$K1259&lt;1),RIGHT("00"&amp;HOUR(Sync!$K1259),2)&amp;RIGHT("00"&amp;MINUTE(Sync!$K1259),2),IFERROR(RIGHT("00"&amp;VALUE(LEFT(Sync!$K1259,FIND(":",Sync!$K1259)-1)),2)&amp;RIGHT("00"&amp;VALUE(MID(Sync!$K1259,FIND(":",Sync!$K1259)+1,2)),2),"0000")))&amp;"|"&amp;"2"&amp;RIGHT("00000"&amp;1254,5))</f>
        <v/>
      </c>
      <c r="Q1259" t="str">
        <f>IF(Sync!$J1259="","",IF(ISNUMBER(Sync!$J1259),IF(AND(Sync!$J1259&gt;=10000101,Sync!$J1259&lt;=99991231),INT(Sync!$J1259/10000)&amp;"/"&amp;RIGHT("00"&amp;INT(MOD(Sync!$J1259,10000)/100),2)&amp;"/"&amp;RIGHT("00"&amp;MOD(Sync!$J1259,100),2),"نامعتبر"),IF(LEN(Sync!$J1259)=10,Sync!$J1259,"نامعتبر")))</f>
        <v/>
      </c>
      <c r="R1259" t="str">
        <f t="shared" si="122"/>
        <v/>
      </c>
      <c r="S1259" t="str">
        <f t="shared" si="123"/>
        <v/>
      </c>
      <c r="T1259" t="str">
        <f>IF($N1259="","",IF(Sync!$N1259="",0,Sync!$N1259))</f>
        <v/>
      </c>
      <c r="U1259" t="str">
        <f>IF($N1259="","",IF(Sync!$O1259="",0,Sync!$O1259))</f>
        <v/>
      </c>
      <c r="V1259" t="str">
        <f>IF($N1259="","",Sync!$L1259)</f>
        <v/>
      </c>
      <c r="W1259" t="str">
        <f>IF($N1259="","",Sync!$P1259)</f>
        <v/>
      </c>
    </row>
    <row r="1260" spans="14:23" x14ac:dyDescent="0.2">
      <c r="N1260" t="str">
        <f>IF(OR(Sync!$M1260="",$Q1260="",$Q1260="نامعتبر"),"",Sync!$M1260)</f>
        <v/>
      </c>
      <c r="O1260" t="str">
        <f t="shared" si="121"/>
        <v/>
      </c>
      <c r="P1260" t="str">
        <f>IF($N1260="","",LEFT($Q1260,4)&amp;MID($Q1260,6,2)&amp;RIGHT($Q1260,2)&amp;IF(Sync!$K1260="","0000",IF(AND(ISNUMBER(Sync!$K1260),Sync!$K1260&gt;=0,Sync!$K1260&lt;1),RIGHT("00"&amp;HOUR(Sync!$K1260),2)&amp;RIGHT("00"&amp;MINUTE(Sync!$K1260),2),IFERROR(RIGHT("00"&amp;VALUE(LEFT(Sync!$K1260,FIND(":",Sync!$K1260)-1)),2)&amp;RIGHT("00"&amp;VALUE(MID(Sync!$K1260,FIND(":",Sync!$K1260)+1,2)),2),"0000")))&amp;"|"&amp;"2"&amp;RIGHT("00000"&amp;1255,5))</f>
        <v/>
      </c>
      <c r="Q1260" t="str">
        <f>IF(Sync!$J1260="","",IF(ISNUMBER(Sync!$J1260),IF(AND(Sync!$J1260&gt;=10000101,Sync!$J1260&lt;=99991231),INT(Sync!$J1260/10000)&amp;"/"&amp;RIGHT("00"&amp;INT(MOD(Sync!$J1260,10000)/100),2)&amp;"/"&amp;RIGHT("00"&amp;MOD(Sync!$J1260,100),2),"نامعتبر"),IF(LEN(Sync!$J1260)=10,Sync!$J1260,"نامعتبر")))</f>
        <v/>
      </c>
      <c r="R1260" t="str">
        <f t="shared" si="122"/>
        <v/>
      </c>
      <c r="S1260" t="str">
        <f t="shared" si="123"/>
        <v/>
      </c>
      <c r="T1260" t="str">
        <f>IF($N1260="","",IF(Sync!$N1260="",0,Sync!$N1260))</f>
        <v/>
      </c>
      <c r="U1260" t="str">
        <f>IF($N1260="","",IF(Sync!$O1260="",0,Sync!$O1260))</f>
        <v/>
      </c>
      <c r="V1260" t="str">
        <f>IF($N1260="","",Sync!$L1260)</f>
        <v/>
      </c>
      <c r="W1260" t="str">
        <f>IF($N1260="","",Sync!$P1260)</f>
        <v/>
      </c>
    </row>
    <row r="1261" spans="14:23" x14ac:dyDescent="0.2">
      <c r="N1261" t="str">
        <f>IF(OR(Sync!$M1261="",$Q1261="",$Q1261="نامعتبر"),"",Sync!$M1261)</f>
        <v/>
      </c>
      <c r="O1261" t="str">
        <f t="shared" si="121"/>
        <v/>
      </c>
      <c r="P1261" t="str">
        <f>IF($N1261="","",LEFT($Q1261,4)&amp;MID($Q1261,6,2)&amp;RIGHT($Q1261,2)&amp;IF(Sync!$K1261="","0000",IF(AND(ISNUMBER(Sync!$K1261),Sync!$K1261&gt;=0,Sync!$K1261&lt;1),RIGHT("00"&amp;HOUR(Sync!$K1261),2)&amp;RIGHT("00"&amp;MINUTE(Sync!$K1261),2),IFERROR(RIGHT("00"&amp;VALUE(LEFT(Sync!$K1261,FIND(":",Sync!$K1261)-1)),2)&amp;RIGHT("00"&amp;VALUE(MID(Sync!$K1261,FIND(":",Sync!$K1261)+1,2)),2),"0000")))&amp;"|"&amp;"2"&amp;RIGHT("00000"&amp;1256,5))</f>
        <v/>
      </c>
      <c r="Q1261" t="str">
        <f>IF(Sync!$J1261="","",IF(ISNUMBER(Sync!$J1261),IF(AND(Sync!$J1261&gt;=10000101,Sync!$J1261&lt;=99991231),INT(Sync!$J1261/10000)&amp;"/"&amp;RIGHT("00"&amp;INT(MOD(Sync!$J1261,10000)/100),2)&amp;"/"&amp;RIGHT("00"&amp;MOD(Sync!$J1261,100),2),"نامعتبر"),IF(LEN(Sync!$J1261)=10,Sync!$J1261,"نامعتبر")))</f>
        <v/>
      </c>
      <c r="R1261" t="str">
        <f t="shared" si="122"/>
        <v/>
      </c>
      <c r="S1261" t="str">
        <f t="shared" si="123"/>
        <v/>
      </c>
      <c r="T1261" t="str">
        <f>IF($N1261="","",IF(Sync!$N1261="",0,Sync!$N1261))</f>
        <v/>
      </c>
      <c r="U1261" t="str">
        <f>IF($N1261="","",IF(Sync!$O1261="",0,Sync!$O1261))</f>
        <v/>
      </c>
      <c r="V1261" t="str">
        <f>IF($N1261="","",Sync!$L1261)</f>
        <v/>
      </c>
      <c r="W1261" t="str">
        <f>IF($N1261="","",Sync!$P1261)</f>
        <v/>
      </c>
    </row>
    <row r="1262" spans="14:23" x14ac:dyDescent="0.2">
      <c r="N1262" t="str">
        <f>IF(OR(Sync!$M1262="",$Q1262="",$Q1262="نامعتبر"),"",Sync!$M1262)</f>
        <v/>
      </c>
      <c r="O1262" t="str">
        <f t="shared" si="121"/>
        <v/>
      </c>
      <c r="P1262" t="str">
        <f>IF($N1262="","",LEFT($Q1262,4)&amp;MID($Q1262,6,2)&amp;RIGHT($Q1262,2)&amp;IF(Sync!$K1262="","0000",IF(AND(ISNUMBER(Sync!$K1262),Sync!$K1262&gt;=0,Sync!$K1262&lt;1),RIGHT("00"&amp;HOUR(Sync!$K1262),2)&amp;RIGHT("00"&amp;MINUTE(Sync!$K1262),2),IFERROR(RIGHT("00"&amp;VALUE(LEFT(Sync!$K1262,FIND(":",Sync!$K1262)-1)),2)&amp;RIGHT("00"&amp;VALUE(MID(Sync!$K1262,FIND(":",Sync!$K1262)+1,2)),2),"0000")))&amp;"|"&amp;"2"&amp;RIGHT("00000"&amp;1257,5))</f>
        <v/>
      </c>
      <c r="Q1262" t="str">
        <f>IF(Sync!$J1262="","",IF(ISNUMBER(Sync!$J1262),IF(AND(Sync!$J1262&gt;=10000101,Sync!$J1262&lt;=99991231),INT(Sync!$J1262/10000)&amp;"/"&amp;RIGHT("00"&amp;INT(MOD(Sync!$J1262,10000)/100),2)&amp;"/"&amp;RIGHT("00"&amp;MOD(Sync!$J1262,100),2),"نامعتبر"),IF(LEN(Sync!$J1262)=10,Sync!$J1262,"نامعتبر")))</f>
        <v/>
      </c>
      <c r="R1262" t="str">
        <f t="shared" si="122"/>
        <v/>
      </c>
      <c r="S1262" t="str">
        <f t="shared" si="123"/>
        <v/>
      </c>
      <c r="T1262" t="str">
        <f>IF($N1262="","",IF(Sync!$N1262="",0,Sync!$N1262))</f>
        <v/>
      </c>
      <c r="U1262" t="str">
        <f>IF($N1262="","",IF(Sync!$O1262="",0,Sync!$O1262))</f>
        <v/>
      </c>
      <c r="V1262" t="str">
        <f>IF($N1262="","",Sync!$L1262)</f>
        <v/>
      </c>
      <c r="W1262" t="str">
        <f>IF($N1262="","",Sync!$P1262)</f>
        <v/>
      </c>
    </row>
    <row r="1263" spans="14:23" x14ac:dyDescent="0.2">
      <c r="N1263" t="str">
        <f>IF(OR(Sync!$M1263="",$Q1263="",$Q1263="نامعتبر"),"",Sync!$M1263)</f>
        <v/>
      </c>
      <c r="O1263" t="str">
        <f t="shared" si="121"/>
        <v/>
      </c>
      <c r="P1263" t="str">
        <f>IF($N1263="","",LEFT($Q1263,4)&amp;MID($Q1263,6,2)&amp;RIGHT($Q1263,2)&amp;IF(Sync!$K1263="","0000",IF(AND(ISNUMBER(Sync!$K1263),Sync!$K1263&gt;=0,Sync!$K1263&lt;1),RIGHT("00"&amp;HOUR(Sync!$K1263),2)&amp;RIGHT("00"&amp;MINUTE(Sync!$K1263),2),IFERROR(RIGHT("00"&amp;VALUE(LEFT(Sync!$K1263,FIND(":",Sync!$K1263)-1)),2)&amp;RIGHT("00"&amp;VALUE(MID(Sync!$K1263,FIND(":",Sync!$K1263)+1,2)),2),"0000")))&amp;"|"&amp;"2"&amp;RIGHT("00000"&amp;1258,5))</f>
        <v/>
      </c>
      <c r="Q1263" t="str">
        <f>IF(Sync!$J1263="","",IF(ISNUMBER(Sync!$J1263),IF(AND(Sync!$J1263&gt;=10000101,Sync!$J1263&lt;=99991231),INT(Sync!$J1263/10000)&amp;"/"&amp;RIGHT("00"&amp;INT(MOD(Sync!$J1263,10000)/100),2)&amp;"/"&amp;RIGHT("00"&amp;MOD(Sync!$J1263,100),2),"نامعتبر"),IF(LEN(Sync!$J1263)=10,Sync!$J1263,"نامعتبر")))</f>
        <v/>
      </c>
      <c r="R1263" t="str">
        <f t="shared" si="122"/>
        <v/>
      </c>
      <c r="S1263" t="str">
        <f t="shared" si="123"/>
        <v/>
      </c>
      <c r="T1263" t="str">
        <f>IF($N1263="","",IF(Sync!$N1263="",0,Sync!$N1263))</f>
        <v/>
      </c>
      <c r="U1263" t="str">
        <f>IF($N1263="","",IF(Sync!$O1263="",0,Sync!$O1263))</f>
        <v/>
      </c>
      <c r="V1263" t="str">
        <f>IF($N1263="","",Sync!$L1263)</f>
        <v/>
      </c>
      <c r="W1263" t="str">
        <f>IF($N1263="","",Sync!$P1263)</f>
        <v/>
      </c>
    </row>
    <row r="1264" spans="14:23" x14ac:dyDescent="0.2">
      <c r="N1264" t="str">
        <f>IF(OR(Sync!$M1264="",$Q1264="",$Q1264="نامعتبر"),"",Sync!$M1264)</f>
        <v/>
      </c>
      <c r="O1264" t="str">
        <f t="shared" si="121"/>
        <v/>
      </c>
      <c r="P1264" t="str">
        <f>IF($N1264="","",LEFT($Q1264,4)&amp;MID($Q1264,6,2)&amp;RIGHT($Q1264,2)&amp;IF(Sync!$K1264="","0000",IF(AND(ISNUMBER(Sync!$K1264),Sync!$K1264&gt;=0,Sync!$K1264&lt;1),RIGHT("00"&amp;HOUR(Sync!$K1264),2)&amp;RIGHT("00"&amp;MINUTE(Sync!$K1264),2),IFERROR(RIGHT("00"&amp;VALUE(LEFT(Sync!$K1264,FIND(":",Sync!$K1264)-1)),2)&amp;RIGHT("00"&amp;VALUE(MID(Sync!$K1264,FIND(":",Sync!$K1264)+1,2)),2),"0000")))&amp;"|"&amp;"2"&amp;RIGHT("00000"&amp;1259,5))</f>
        <v/>
      </c>
      <c r="Q1264" t="str">
        <f>IF(Sync!$J1264="","",IF(ISNUMBER(Sync!$J1264),IF(AND(Sync!$J1264&gt;=10000101,Sync!$J1264&lt;=99991231),INT(Sync!$J1264/10000)&amp;"/"&amp;RIGHT("00"&amp;INT(MOD(Sync!$J1264,10000)/100),2)&amp;"/"&amp;RIGHT("00"&amp;MOD(Sync!$J1264,100),2),"نامعتبر"),IF(LEN(Sync!$J1264)=10,Sync!$J1264,"نامعتبر")))</f>
        <v/>
      </c>
      <c r="R1264" t="str">
        <f t="shared" si="122"/>
        <v/>
      </c>
      <c r="S1264" t="str">
        <f t="shared" si="123"/>
        <v/>
      </c>
      <c r="T1264" t="str">
        <f>IF($N1264="","",IF(Sync!$N1264="",0,Sync!$N1264))</f>
        <v/>
      </c>
      <c r="U1264" t="str">
        <f>IF($N1264="","",IF(Sync!$O1264="",0,Sync!$O1264))</f>
        <v/>
      </c>
      <c r="V1264" t="str">
        <f>IF($N1264="","",Sync!$L1264)</f>
        <v/>
      </c>
      <c r="W1264" t="str">
        <f>IF($N1264="","",Sync!$P1264)</f>
        <v/>
      </c>
    </row>
    <row r="1265" spans="14:23" x14ac:dyDescent="0.2">
      <c r="N1265" t="str">
        <f>IF(OR(Sync!$M1265="",$Q1265="",$Q1265="نامعتبر"),"",Sync!$M1265)</f>
        <v/>
      </c>
      <c r="O1265" t="str">
        <f t="shared" si="121"/>
        <v/>
      </c>
      <c r="P1265" t="str">
        <f>IF($N1265="","",LEFT($Q1265,4)&amp;MID($Q1265,6,2)&amp;RIGHT($Q1265,2)&amp;IF(Sync!$K1265="","0000",IF(AND(ISNUMBER(Sync!$K1265),Sync!$K1265&gt;=0,Sync!$K1265&lt;1),RIGHT("00"&amp;HOUR(Sync!$K1265),2)&amp;RIGHT("00"&amp;MINUTE(Sync!$K1265),2),IFERROR(RIGHT("00"&amp;VALUE(LEFT(Sync!$K1265,FIND(":",Sync!$K1265)-1)),2)&amp;RIGHT("00"&amp;VALUE(MID(Sync!$K1265,FIND(":",Sync!$K1265)+1,2)),2),"0000")))&amp;"|"&amp;"2"&amp;RIGHT("00000"&amp;1260,5))</f>
        <v/>
      </c>
      <c r="Q1265" t="str">
        <f>IF(Sync!$J1265="","",IF(ISNUMBER(Sync!$J1265),IF(AND(Sync!$J1265&gt;=10000101,Sync!$J1265&lt;=99991231),INT(Sync!$J1265/10000)&amp;"/"&amp;RIGHT("00"&amp;INT(MOD(Sync!$J1265,10000)/100),2)&amp;"/"&amp;RIGHT("00"&amp;MOD(Sync!$J1265,100),2),"نامعتبر"),IF(LEN(Sync!$J1265)=10,Sync!$J1265,"نامعتبر")))</f>
        <v/>
      </c>
      <c r="R1265" t="str">
        <f t="shared" si="122"/>
        <v/>
      </c>
      <c r="S1265" t="str">
        <f t="shared" si="123"/>
        <v/>
      </c>
      <c r="T1265" t="str">
        <f>IF($N1265="","",IF(Sync!$N1265="",0,Sync!$N1265))</f>
        <v/>
      </c>
      <c r="U1265" t="str">
        <f>IF($N1265="","",IF(Sync!$O1265="",0,Sync!$O1265))</f>
        <v/>
      </c>
      <c r="V1265" t="str">
        <f>IF($N1265="","",Sync!$L1265)</f>
        <v/>
      </c>
      <c r="W1265" t="str">
        <f>IF($N1265="","",Sync!$P1265)</f>
        <v/>
      </c>
    </row>
    <row r="1266" spans="14:23" x14ac:dyDescent="0.2">
      <c r="N1266" t="str">
        <f>IF(OR(Sync!$M1266="",$Q1266="",$Q1266="نامعتبر"),"",Sync!$M1266)</f>
        <v/>
      </c>
      <c r="O1266" t="str">
        <f t="shared" si="121"/>
        <v/>
      </c>
      <c r="P1266" t="str">
        <f>IF($N1266="","",LEFT($Q1266,4)&amp;MID($Q1266,6,2)&amp;RIGHT($Q1266,2)&amp;IF(Sync!$K1266="","0000",IF(AND(ISNUMBER(Sync!$K1266),Sync!$K1266&gt;=0,Sync!$K1266&lt;1),RIGHT("00"&amp;HOUR(Sync!$K1266),2)&amp;RIGHT("00"&amp;MINUTE(Sync!$K1266),2),IFERROR(RIGHT("00"&amp;VALUE(LEFT(Sync!$K1266,FIND(":",Sync!$K1266)-1)),2)&amp;RIGHT("00"&amp;VALUE(MID(Sync!$K1266,FIND(":",Sync!$K1266)+1,2)),2),"0000")))&amp;"|"&amp;"2"&amp;RIGHT("00000"&amp;1261,5))</f>
        <v/>
      </c>
      <c r="Q1266" t="str">
        <f>IF(Sync!$J1266="","",IF(ISNUMBER(Sync!$J1266),IF(AND(Sync!$J1266&gt;=10000101,Sync!$J1266&lt;=99991231),INT(Sync!$J1266/10000)&amp;"/"&amp;RIGHT("00"&amp;INT(MOD(Sync!$J1266,10000)/100),2)&amp;"/"&amp;RIGHT("00"&amp;MOD(Sync!$J1266,100),2),"نامعتبر"),IF(LEN(Sync!$J1266)=10,Sync!$J1266,"نامعتبر")))</f>
        <v/>
      </c>
      <c r="R1266" t="str">
        <f t="shared" si="122"/>
        <v/>
      </c>
      <c r="S1266" t="str">
        <f t="shared" si="123"/>
        <v/>
      </c>
      <c r="T1266" t="str">
        <f>IF($N1266="","",IF(Sync!$N1266="",0,Sync!$N1266))</f>
        <v/>
      </c>
      <c r="U1266" t="str">
        <f>IF($N1266="","",IF(Sync!$O1266="",0,Sync!$O1266))</f>
        <v/>
      </c>
      <c r="V1266" t="str">
        <f>IF($N1266="","",Sync!$L1266)</f>
        <v/>
      </c>
      <c r="W1266" t="str">
        <f>IF($N1266="","",Sync!$P1266)</f>
        <v/>
      </c>
    </row>
    <row r="1267" spans="14:23" x14ac:dyDescent="0.2">
      <c r="N1267" t="str">
        <f>IF(OR(Sync!$M1267="",$Q1267="",$Q1267="نامعتبر"),"",Sync!$M1267)</f>
        <v/>
      </c>
      <c r="O1267" t="str">
        <f t="shared" si="121"/>
        <v/>
      </c>
      <c r="P1267" t="str">
        <f>IF($N1267="","",LEFT($Q1267,4)&amp;MID($Q1267,6,2)&amp;RIGHT($Q1267,2)&amp;IF(Sync!$K1267="","0000",IF(AND(ISNUMBER(Sync!$K1267),Sync!$K1267&gt;=0,Sync!$K1267&lt;1),RIGHT("00"&amp;HOUR(Sync!$K1267),2)&amp;RIGHT("00"&amp;MINUTE(Sync!$K1267),2),IFERROR(RIGHT("00"&amp;VALUE(LEFT(Sync!$K1267,FIND(":",Sync!$K1267)-1)),2)&amp;RIGHT("00"&amp;VALUE(MID(Sync!$K1267,FIND(":",Sync!$K1267)+1,2)),2),"0000")))&amp;"|"&amp;"2"&amp;RIGHT("00000"&amp;1262,5))</f>
        <v/>
      </c>
      <c r="Q1267" t="str">
        <f>IF(Sync!$J1267="","",IF(ISNUMBER(Sync!$J1267),IF(AND(Sync!$J1267&gt;=10000101,Sync!$J1267&lt;=99991231),INT(Sync!$J1267/10000)&amp;"/"&amp;RIGHT("00"&amp;INT(MOD(Sync!$J1267,10000)/100),2)&amp;"/"&amp;RIGHT("00"&amp;MOD(Sync!$J1267,100),2),"نامعتبر"),IF(LEN(Sync!$J1267)=10,Sync!$J1267,"نامعتبر")))</f>
        <v/>
      </c>
      <c r="R1267" t="str">
        <f t="shared" si="122"/>
        <v/>
      </c>
      <c r="S1267" t="str">
        <f t="shared" si="123"/>
        <v/>
      </c>
      <c r="T1267" t="str">
        <f>IF($N1267="","",IF(Sync!$N1267="",0,Sync!$N1267))</f>
        <v/>
      </c>
      <c r="U1267" t="str">
        <f>IF($N1267="","",IF(Sync!$O1267="",0,Sync!$O1267))</f>
        <v/>
      </c>
      <c r="V1267" t="str">
        <f>IF($N1267="","",Sync!$L1267)</f>
        <v/>
      </c>
      <c r="W1267" t="str">
        <f>IF($N1267="","",Sync!$P1267)</f>
        <v/>
      </c>
    </row>
    <row r="1268" spans="14:23" x14ac:dyDescent="0.2">
      <c r="N1268" t="str">
        <f>IF(OR(Sync!$M1268="",$Q1268="",$Q1268="نامعتبر"),"",Sync!$M1268)</f>
        <v/>
      </c>
      <c r="O1268" t="str">
        <f t="shared" si="121"/>
        <v/>
      </c>
      <c r="P1268" t="str">
        <f>IF($N1268="","",LEFT($Q1268,4)&amp;MID($Q1268,6,2)&amp;RIGHT($Q1268,2)&amp;IF(Sync!$K1268="","0000",IF(AND(ISNUMBER(Sync!$K1268),Sync!$K1268&gt;=0,Sync!$K1268&lt;1),RIGHT("00"&amp;HOUR(Sync!$K1268),2)&amp;RIGHT("00"&amp;MINUTE(Sync!$K1268),2),IFERROR(RIGHT("00"&amp;VALUE(LEFT(Sync!$K1268,FIND(":",Sync!$K1268)-1)),2)&amp;RIGHT("00"&amp;VALUE(MID(Sync!$K1268,FIND(":",Sync!$K1268)+1,2)),2),"0000")))&amp;"|"&amp;"2"&amp;RIGHT("00000"&amp;1263,5))</f>
        <v/>
      </c>
      <c r="Q1268" t="str">
        <f>IF(Sync!$J1268="","",IF(ISNUMBER(Sync!$J1268),IF(AND(Sync!$J1268&gt;=10000101,Sync!$J1268&lt;=99991231),INT(Sync!$J1268/10000)&amp;"/"&amp;RIGHT("00"&amp;INT(MOD(Sync!$J1268,10000)/100),2)&amp;"/"&amp;RIGHT("00"&amp;MOD(Sync!$J1268,100),2),"نامعتبر"),IF(LEN(Sync!$J1268)=10,Sync!$J1268,"نامعتبر")))</f>
        <v/>
      </c>
      <c r="R1268" t="str">
        <f t="shared" si="122"/>
        <v/>
      </c>
      <c r="S1268" t="str">
        <f t="shared" si="123"/>
        <v/>
      </c>
      <c r="T1268" t="str">
        <f>IF($N1268="","",IF(Sync!$N1268="",0,Sync!$N1268))</f>
        <v/>
      </c>
      <c r="U1268" t="str">
        <f>IF($N1268="","",IF(Sync!$O1268="",0,Sync!$O1268))</f>
        <v/>
      </c>
      <c r="V1268" t="str">
        <f>IF($N1268="","",Sync!$L1268)</f>
        <v/>
      </c>
      <c r="W1268" t="str">
        <f>IF($N1268="","",Sync!$P1268)</f>
        <v/>
      </c>
    </row>
    <row r="1269" spans="14:23" x14ac:dyDescent="0.2">
      <c r="N1269" t="str">
        <f>IF(OR(Sync!$M1269="",$Q1269="",$Q1269="نامعتبر"),"",Sync!$M1269)</f>
        <v/>
      </c>
      <c r="O1269" t="str">
        <f t="shared" si="121"/>
        <v/>
      </c>
      <c r="P1269" t="str">
        <f>IF($N1269="","",LEFT($Q1269,4)&amp;MID($Q1269,6,2)&amp;RIGHT($Q1269,2)&amp;IF(Sync!$K1269="","0000",IF(AND(ISNUMBER(Sync!$K1269),Sync!$K1269&gt;=0,Sync!$K1269&lt;1),RIGHT("00"&amp;HOUR(Sync!$K1269),2)&amp;RIGHT("00"&amp;MINUTE(Sync!$K1269),2),IFERROR(RIGHT("00"&amp;VALUE(LEFT(Sync!$K1269,FIND(":",Sync!$K1269)-1)),2)&amp;RIGHT("00"&amp;VALUE(MID(Sync!$K1269,FIND(":",Sync!$K1269)+1,2)),2),"0000")))&amp;"|"&amp;"2"&amp;RIGHT("00000"&amp;1264,5))</f>
        <v/>
      </c>
      <c r="Q1269" t="str">
        <f>IF(Sync!$J1269="","",IF(ISNUMBER(Sync!$J1269),IF(AND(Sync!$J1269&gt;=10000101,Sync!$J1269&lt;=99991231),INT(Sync!$J1269/10000)&amp;"/"&amp;RIGHT("00"&amp;INT(MOD(Sync!$J1269,10000)/100),2)&amp;"/"&amp;RIGHT("00"&amp;MOD(Sync!$J1269,100),2),"نامعتبر"),IF(LEN(Sync!$J1269)=10,Sync!$J1269,"نامعتبر")))</f>
        <v/>
      </c>
      <c r="R1269" t="str">
        <f t="shared" si="122"/>
        <v/>
      </c>
      <c r="S1269" t="str">
        <f t="shared" si="123"/>
        <v/>
      </c>
      <c r="T1269" t="str">
        <f>IF($N1269="","",IF(Sync!$N1269="",0,Sync!$N1269))</f>
        <v/>
      </c>
      <c r="U1269" t="str">
        <f>IF($N1269="","",IF(Sync!$O1269="",0,Sync!$O1269))</f>
        <v/>
      </c>
      <c r="V1269" t="str">
        <f>IF($N1269="","",Sync!$L1269)</f>
        <v/>
      </c>
      <c r="W1269" t="str">
        <f>IF($N1269="","",Sync!$P1269)</f>
        <v/>
      </c>
    </row>
    <row r="1270" spans="14:23" x14ac:dyDescent="0.2">
      <c r="N1270" t="str">
        <f>IF(OR(Sync!$M1270="",$Q1270="",$Q1270="نامعتبر"),"",Sync!$M1270)</f>
        <v/>
      </c>
      <c r="O1270" t="str">
        <f t="shared" si="121"/>
        <v/>
      </c>
      <c r="P1270" t="str">
        <f>IF($N1270="","",LEFT($Q1270,4)&amp;MID($Q1270,6,2)&amp;RIGHT($Q1270,2)&amp;IF(Sync!$K1270="","0000",IF(AND(ISNUMBER(Sync!$K1270),Sync!$K1270&gt;=0,Sync!$K1270&lt;1),RIGHT("00"&amp;HOUR(Sync!$K1270),2)&amp;RIGHT("00"&amp;MINUTE(Sync!$K1270),2),IFERROR(RIGHT("00"&amp;VALUE(LEFT(Sync!$K1270,FIND(":",Sync!$K1270)-1)),2)&amp;RIGHT("00"&amp;VALUE(MID(Sync!$K1270,FIND(":",Sync!$K1270)+1,2)),2),"0000")))&amp;"|"&amp;"2"&amp;RIGHT("00000"&amp;1265,5))</f>
        <v/>
      </c>
      <c r="Q1270" t="str">
        <f>IF(Sync!$J1270="","",IF(ISNUMBER(Sync!$J1270),IF(AND(Sync!$J1270&gt;=10000101,Sync!$J1270&lt;=99991231),INT(Sync!$J1270/10000)&amp;"/"&amp;RIGHT("00"&amp;INT(MOD(Sync!$J1270,10000)/100),2)&amp;"/"&amp;RIGHT("00"&amp;MOD(Sync!$J1270,100),2),"نامعتبر"),IF(LEN(Sync!$J1270)=10,Sync!$J1270,"نامعتبر")))</f>
        <v/>
      </c>
      <c r="R1270" t="str">
        <f t="shared" si="122"/>
        <v/>
      </c>
      <c r="S1270" t="str">
        <f t="shared" si="123"/>
        <v/>
      </c>
      <c r="T1270" t="str">
        <f>IF($N1270="","",IF(Sync!$N1270="",0,Sync!$N1270))</f>
        <v/>
      </c>
      <c r="U1270" t="str">
        <f>IF($N1270="","",IF(Sync!$O1270="",0,Sync!$O1270))</f>
        <v/>
      </c>
      <c r="V1270" t="str">
        <f>IF($N1270="","",Sync!$L1270)</f>
        <v/>
      </c>
      <c r="W1270" t="str">
        <f>IF($N1270="","",Sync!$P1270)</f>
        <v/>
      </c>
    </row>
    <row r="1271" spans="14:23" x14ac:dyDescent="0.2">
      <c r="N1271" t="str">
        <f>IF(OR(Sync!$M1271="",$Q1271="",$Q1271="نامعتبر"),"",Sync!$M1271)</f>
        <v/>
      </c>
      <c r="O1271" t="str">
        <f t="shared" si="121"/>
        <v/>
      </c>
      <c r="P1271" t="str">
        <f>IF($N1271="","",LEFT($Q1271,4)&amp;MID($Q1271,6,2)&amp;RIGHT($Q1271,2)&amp;IF(Sync!$K1271="","0000",IF(AND(ISNUMBER(Sync!$K1271),Sync!$K1271&gt;=0,Sync!$K1271&lt;1),RIGHT("00"&amp;HOUR(Sync!$K1271),2)&amp;RIGHT("00"&amp;MINUTE(Sync!$K1271),2),IFERROR(RIGHT("00"&amp;VALUE(LEFT(Sync!$K1271,FIND(":",Sync!$K1271)-1)),2)&amp;RIGHT("00"&amp;VALUE(MID(Sync!$K1271,FIND(":",Sync!$K1271)+1,2)),2),"0000")))&amp;"|"&amp;"2"&amp;RIGHT("00000"&amp;1266,5))</f>
        <v/>
      </c>
      <c r="Q1271" t="str">
        <f>IF(Sync!$J1271="","",IF(ISNUMBER(Sync!$J1271),IF(AND(Sync!$J1271&gt;=10000101,Sync!$J1271&lt;=99991231),INT(Sync!$J1271/10000)&amp;"/"&amp;RIGHT("00"&amp;INT(MOD(Sync!$J1271,10000)/100),2)&amp;"/"&amp;RIGHT("00"&amp;MOD(Sync!$J1271,100),2),"نامعتبر"),IF(LEN(Sync!$J1271)=10,Sync!$J1271,"نامعتبر")))</f>
        <v/>
      </c>
      <c r="R1271" t="str">
        <f t="shared" si="122"/>
        <v/>
      </c>
      <c r="S1271" t="str">
        <f t="shared" si="123"/>
        <v/>
      </c>
      <c r="T1271" t="str">
        <f>IF($N1271="","",IF(Sync!$N1271="",0,Sync!$N1271))</f>
        <v/>
      </c>
      <c r="U1271" t="str">
        <f>IF($N1271="","",IF(Sync!$O1271="",0,Sync!$O1271))</f>
        <v/>
      </c>
      <c r="V1271" t="str">
        <f>IF($N1271="","",Sync!$L1271)</f>
        <v/>
      </c>
      <c r="W1271" t="str">
        <f>IF($N1271="","",Sync!$P1271)</f>
        <v/>
      </c>
    </row>
    <row r="1272" spans="14:23" x14ac:dyDescent="0.2">
      <c r="N1272" t="str">
        <f>IF(OR(Sync!$M1272="",$Q1272="",$Q1272="نامعتبر"),"",Sync!$M1272)</f>
        <v/>
      </c>
      <c r="O1272" t="str">
        <f t="shared" si="121"/>
        <v/>
      </c>
      <c r="P1272" t="str">
        <f>IF($N1272="","",LEFT($Q1272,4)&amp;MID($Q1272,6,2)&amp;RIGHT($Q1272,2)&amp;IF(Sync!$K1272="","0000",IF(AND(ISNUMBER(Sync!$K1272),Sync!$K1272&gt;=0,Sync!$K1272&lt;1),RIGHT("00"&amp;HOUR(Sync!$K1272),2)&amp;RIGHT("00"&amp;MINUTE(Sync!$K1272),2),IFERROR(RIGHT("00"&amp;VALUE(LEFT(Sync!$K1272,FIND(":",Sync!$K1272)-1)),2)&amp;RIGHT("00"&amp;VALUE(MID(Sync!$K1272,FIND(":",Sync!$K1272)+1,2)),2),"0000")))&amp;"|"&amp;"2"&amp;RIGHT("00000"&amp;1267,5))</f>
        <v/>
      </c>
      <c r="Q1272" t="str">
        <f>IF(Sync!$J1272="","",IF(ISNUMBER(Sync!$J1272),IF(AND(Sync!$J1272&gt;=10000101,Sync!$J1272&lt;=99991231),INT(Sync!$J1272/10000)&amp;"/"&amp;RIGHT("00"&amp;INT(MOD(Sync!$J1272,10000)/100),2)&amp;"/"&amp;RIGHT("00"&amp;MOD(Sync!$J1272,100),2),"نامعتبر"),IF(LEN(Sync!$J1272)=10,Sync!$J1272,"نامعتبر")))</f>
        <v/>
      </c>
      <c r="R1272" t="str">
        <f t="shared" si="122"/>
        <v/>
      </c>
      <c r="S1272" t="str">
        <f t="shared" si="123"/>
        <v/>
      </c>
      <c r="T1272" t="str">
        <f>IF($N1272="","",IF(Sync!$N1272="",0,Sync!$N1272))</f>
        <v/>
      </c>
      <c r="U1272" t="str">
        <f>IF($N1272="","",IF(Sync!$O1272="",0,Sync!$O1272))</f>
        <v/>
      </c>
      <c r="V1272" t="str">
        <f>IF($N1272="","",Sync!$L1272)</f>
        <v/>
      </c>
      <c r="W1272" t="str">
        <f>IF($N1272="","",Sync!$P1272)</f>
        <v/>
      </c>
    </row>
    <row r="1273" spans="14:23" x14ac:dyDescent="0.2">
      <c r="N1273" t="str">
        <f>IF(OR(Sync!$M1273="",$Q1273="",$Q1273="نامعتبر"),"",Sync!$M1273)</f>
        <v/>
      </c>
      <c r="O1273" t="str">
        <f t="shared" si="121"/>
        <v/>
      </c>
      <c r="P1273" t="str">
        <f>IF($N1273="","",LEFT($Q1273,4)&amp;MID($Q1273,6,2)&amp;RIGHT($Q1273,2)&amp;IF(Sync!$K1273="","0000",IF(AND(ISNUMBER(Sync!$K1273),Sync!$K1273&gt;=0,Sync!$K1273&lt;1),RIGHT("00"&amp;HOUR(Sync!$K1273),2)&amp;RIGHT("00"&amp;MINUTE(Sync!$K1273),2),IFERROR(RIGHT("00"&amp;VALUE(LEFT(Sync!$K1273,FIND(":",Sync!$K1273)-1)),2)&amp;RIGHT("00"&amp;VALUE(MID(Sync!$K1273,FIND(":",Sync!$K1273)+1,2)),2),"0000")))&amp;"|"&amp;"2"&amp;RIGHT("00000"&amp;1268,5))</f>
        <v/>
      </c>
      <c r="Q1273" t="str">
        <f>IF(Sync!$J1273="","",IF(ISNUMBER(Sync!$J1273),IF(AND(Sync!$J1273&gt;=10000101,Sync!$J1273&lt;=99991231),INT(Sync!$J1273/10000)&amp;"/"&amp;RIGHT("00"&amp;INT(MOD(Sync!$J1273,10000)/100),2)&amp;"/"&amp;RIGHT("00"&amp;MOD(Sync!$J1273,100),2),"نامعتبر"),IF(LEN(Sync!$J1273)=10,Sync!$J1273,"نامعتبر")))</f>
        <v/>
      </c>
      <c r="R1273" t="str">
        <f t="shared" si="122"/>
        <v/>
      </c>
      <c r="S1273" t="str">
        <f t="shared" si="123"/>
        <v/>
      </c>
      <c r="T1273" t="str">
        <f>IF($N1273="","",IF(Sync!$N1273="",0,Sync!$N1273))</f>
        <v/>
      </c>
      <c r="U1273" t="str">
        <f>IF($N1273="","",IF(Sync!$O1273="",0,Sync!$O1273))</f>
        <v/>
      </c>
      <c r="V1273" t="str">
        <f>IF($N1273="","",Sync!$L1273)</f>
        <v/>
      </c>
      <c r="W1273" t="str">
        <f>IF($N1273="","",Sync!$P1273)</f>
        <v/>
      </c>
    </row>
    <row r="1274" spans="14:23" x14ac:dyDescent="0.2">
      <c r="N1274" t="str">
        <f>IF(OR(Sync!$M1274="",$Q1274="",$Q1274="نامعتبر"),"",Sync!$M1274)</f>
        <v/>
      </c>
      <c r="O1274" t="str">
        <f t="shared" si="121"/>
        <v/>
      </c>
      <c r="P1274" t="str">
        <f>IF($N1274="","",LEFT($Q1274,4)&amp;MID($Q1274,6,2)&amp;RIGHT($Q1274,2)&amp;IF(Sync!$K1274="","0000",IF(AND(ISNUMBER(Sync!$K1274),Sync!$K1274&gt;=0,Sync!$K1274&lt;1),RIGHT("00"&amp;HOUR(Sync!$K1274),2)&amp;RIGHT("00"&amp;MINUTE(Sync!$K1274),2),IFERROR(RIGHT("00"&amp;VALUE(LEFT(Sync!$K1274,FIND(":",Sync!$K1274)-1)),2)&amp;RIGHT("00"&amp;VALUE(MID(Sync!$K1274,FIND(":",Sync!$K1274)+1,2)),2),"0000")))&amp;"|"&amp;"2"&amp;RIGHT("00000"&amp;1269,5))</f>
        <v/>
      </c>
      <c r="Q1274" t="str">
        <f>IF(Sync!$J1274="","",IF(ISNUMBER(Sync!$J1274),IF(AND(Sync!$J1274&gt;=10000101,Sync!$J1274&lt;=99991231),INT(Sync!$J1274/10000)&amp;"/"&amp;RIGHT("00"&amp;INT(MOD(Sync!$J1274,10000)/100),2)&amp;"/"&amp;RIGHT("00"&amp;MOD(Sync!$J1274,100),2),"نامعتبر"),IF(LEN(Sync!$J1274)=10,Sync!$J1274,"نامعتبر")))</f>
        <v/>
      </c>
      <c r="R1274" t="str">
        <f t="shared" si="122"/>
        <v/>
      </c>
      <c r="S1274" t="str">
        <f t="shared" si="123"/>
        <v/>
      </c>
      <c r="T1274" t="str">
        <f>IF($N1274="","",IF(Sync!$N1274="",0,Sync!$N1274))</f>
        <v/>
      </c>
      <c r="U1274" t="str">
        <f>IF($N1274="","",IF(Sync!$O1274="",0,Sync!$O1274))</f>
        <v/>
      </c>
      <c r="V1274" t="str">
        <f>IF($N1274="","",Sync!$L1274)</f>
        <v/>
      </c>
      <c r="W1274" t="str">
        <f>IF($N1274="","",Sync!$P1274)</f>
        <v/>
      </c>
    </row>
    <row r="1275" spans="14:23" x14ac:dyDescent="0.2">
      <c r="N1275" t="str">
        <f>IF(OR(Sync!$M1275="",$Q1275="",$Q1275="نامعتبر"),"",Sync!$M1275)</f>
        <v/>
      </c>
      <c r="O1275" t="str">
        <f t="shared" si="121"/>
        <v/>
      </c>
      <c r="P1275" t="str">
        <f>IF($N1275="","",LEFT($Q1275,4)&amp;MID($Q1275,6,2)&amp;RIGHT($Q1275,2)&amp;IF(Sync!$K1275="","0000",IF(AND(ISNUMBER(Sync!$K1275),Sync!$K1275&gt;=0,Sync!$K1275&lt;1),RIGHT("00"&amp;HOUR(Sync!$K1275),2)&amp;RIGHT("00"&amp;MINUTE(Sync!$K1275),2),IFERROR(RIGHT("00"&amp;VALUE(LEFT(Sync!$K1275,FIND(":",Sync!$K1275)-1)),2)&amp;RIGHT("00"&amp;VALUE(MID(Sync!$K1275,FIND(":",Sync!$K1275)+1,2)),2),"0000")))&amp;"|"&amp;"2"&amp;RIGHT("00000"&amp;1270,5))</f>
        <v/>
      </c>
      <c r="Q1275" t="str">
        <f>IF(Sync!$J1275="","",IF(ISNUMBER(Sync!$J1275),IF(AND(Sync!$J1275&gt;=10000101,Sync!$J1275&lt;=99991231),INT(Sync!$J1275/10000)&amp;"/"&amp;RIGHT("00"&amp;INT(MOD(Sync!$J1275,10000)/100),2)&amp;"/"&amp;RIGHT("00"&amp;MOD(Sync!$J1275,100),2),"نامعتبر"),IF(LEN(Sync!$J1275)=10,Sync!$J1275,"نامعتبر")))</f>
        <v/>
      </c>
      <c r="R1275" t="str">
        <f t="shared" si="122"/>
        <v/>
      </c>
      <c r="S1275" t="str">
        <f t="shared" si="123"/>
        <v/>
      </c>
      <c r="T1275" t="str">
        <f>IF($N1275="","",IF(Sync!$N1275="",0,Sync!$N1275))</f>
        <v/>
      </c>
      <c r="U1275" t="str">
        <f>IF($N1275="","",IF(Sync!$O1275="",0,Sync!$O1275))</f>
        <v/>
      </c>
      <c r="V1275" t="str">
        <f>IF($N1275="","",Sync!$L1275)</f>
        <v/>
      </c>
      <c r="W1275" t="str">
        <f>IF($N1275="","",Sync!$P1275)</f>
        <v/>
      </c>
    </row>
    <row r="1276" spans="14:23" x14ac:dyDescent="0.2">
      <c r="N1276" t="str">
        <f>IF(OR(Sync!$M1276="",$Q1276="",$Q1276="نامعتبر"),"",Sync!$M1276)</f>
        <v/>
      </c>
      <c r="O1276" t="str">
        <f t="shared" si="121"/>
        <v/>
      </c>
      <c r="P1276" t="str">
        <f>IF($N1276="","",LEFT($Q1276,4)&amp;MID($Q1276,6,2)&amp;RIGHT($Q1276,2)&amp;IF(Sync!$K1276="","0000",IF(AND(ISNUMBER(Sync!$K1276),Sync!$K1276&gt;=0,Sync!$K1276&lt;1),RIGHT("00"&amp;HOUR(Sync!$K1276),2)&amp;RIGHT("00"&amp;MINUTE(Sync!$K1276),2),IFERROR(RIGHT("00"&amp;VALUE(LEFT(Sync!$K1276,FIND(":",Sync!$K1276)-1)),2)&amp;RIGHT("00"&amp;VALUE(MID(Sync!$K1276,FIND(":",Sync!$K1276)+1,2)),2),"0000")))&amp;"|"&amp;"2"&amp;RIGHT("00000"&amp;1271,5))</f>
        <v/>
      </c>
      <c r="Q1276" t="str">
        <f>IF(Sync!$J1276="","",IF(ISNUMBER(Sync!$J1276),IF(AND(Sync!$J1276&gt;=10000101,Sync!$J1276&lt;=99991231),INT(Sync!$J1276/10000)&amp;"/"&amp;RIGHT("00"&amp;INT(MOD(Sync!$J1276,10000)/100),2)&amp;"/"&amp;RIGHT("00"&amp;MOD(Sync!$J1276,100),2),"نامعتبر"),IF(LEN(Sync!$J1276)=10,Sync!$J1276,"نامعتبر")))</f>
        <v/>
      </c>
      <c r="R1276" t="str">
        <f t="shared" si="122"/>
        <v/>
      </c>
      <c r="S1276" t="str">
        <f t="shared" si="123"/>
        <v/>
      </c>
      <c r="T1276" t="str">
        <f>IF($N1276="","",IF(Sync!$N1276="",0,Sync!$N1276))</f>
        <v/>
      </c>
      <c r="U1276" t="str">
        <f>IF($N1276="","",IF(Sync!$O1276="",0,Sync!$O1276))</f>
        <v/>
      </c>
      <c r="V1276" t="str">
        <f>IF($N1276="","",Sync!$L1276)</f>
        <v/>
      </c>
      <c r="W1276" t="str">
        <f>IF($N1276="","",Sync!$P1276)</f>
        <v/>
      </c>
    </row>
    <row r="1277" spans="14:23" x14ac:dyDescent="0.2">
      <c r="N1277" t="str">
        <f>IF(OR(Sync!$M1277="",$Q1277="",$Q1277="نامعتبر"),"",Sync!$M1277)</f>
        <v/>
      </c>
      <c r="O1277" t="str">
        <f t="shared" si="121"/>
        <v/>
      </c>
      <c r="P1277" t="str">
        <f>IF($N1277="","",LEFT($Q1277,4)&amp;MID($Q1277,6,2)&amp;RIGHT($Q1277,2)&amp;IF(Sync!$K1277="","0000",IF(AND(ISNUMBER(Sync!$K1277),Sync!$K1277&gt;=0,Sync!$K1277&lt;1),RIGHT("00"&amp;HOUR(Sync!$K1277),2)&amp;RIGHT("00"&amp;MINUTE(Sync!$K1277),2),IFERROR(RIGHT("00"&amp;VALUE(LEFT(Sync!$K1277,FIND(":",Sync!$K1277)-1)),2)&amp;RIGHT("00"&amp;VALUE(MID(Sync!$K1277,FIND(":",Sync!$K1277)+1,2)),2),"0000")))&amp;"|"&amp;"2"&amp;RIGHT("00000"&amp;1272,5))</f>
        <v/>
      </c>
      <c r="Q1277" t="str">
        <f>IF(Sync!$J1277="","",IF(ISNUMBER(Sync!$J1277),IF(AND(Sync!$J1277&gt;=10000101,Sync!$J1277&lt;=99991231),INT(Sync!$J1277/10000)&amp;"/"&amp;RIGHT("00"&amp;INT(MOD(Sync!$J1277,10000)/100),2)&amp;"/"&amp;RIGHT("00"&amp;MOD(Sync!$J1277,100),2),"نامعتبر"),IF(LEN(Sync!$J1277)=10,Sync!$J1277,"نامعتبر")))</f>
        <v/>
      </c>
      <c r="R1277" t="str">
        <f t="shared" si="122"/>
        <v/>
      </c>
      <c r="S1277" t="str">
        <f t="shared" si="123"/>
        <v/>
      </c>
      <c r="T1277" t="str">
        <f>IF($N1277="","",IF(Sync!$N1277="",0,Sync!$N1277))</f>
        <v/>
      </c>
      <c r="U1277" t="str">
        <f>IF($N1277="","",IF(Sync!$O1277="",0,Sync!$O1277))</f>
        <v/>
      </c>
      <c r="V1277" t="str">
        <f>IF($N1277="","",Sync!$L1277)</f>
        <v/>
      </c>
      <c r="W1277" t="str">
        <f>IF($N1277="","",Sync!$P1277)</f>
        <v/>
      </c>
    </row>
    <row r="1278" spans="14:23" x14ac:dyDescent="0.2">
      <c r="N1278" t="str">
        <f>IF(OR(Sync!$M1278="",$Q1278="",$Q1278="نامعتبر"),"",Sync!$M1278)</f>
        <v/>
      </c>
      <c r="O1278" t="str">
        <f t="shared" si="121"/>
        <v/>
      </c>
      <c r="P1278" t="str">
        <f>IF($N1278="","",LEFT($Q1278,4)&amp;MID($Q1278,6,2)&amp;RIGHT($Q1278,2)&amp;IF(Sync!$K1278="","0000",IF(AND(ISNUMBER(Sync!$K1278),Sync!$K1278&gt;=0,Sync!$K1278&lt;1),RIGHT("00"&amp;HOUR(Sync!$K1278),2)&amp;RIGHT("00"&amp;MINUTE(Sync!$K1278),2),IFERROR(RIGHT("00"&amp;VALUE(LEFT(Sync!$K1278,FIND(":",Sync!$K1278)-1)),2)&amp;RIGHT("00"&amp;VALUE(MID(Sync!$K1278,FIND(":",Sync!$K1278)+1,2)),2),"0000")))&amp;"|"&amp;"2"&amp;RIGHT("00000"&amp;1273,5))</f>
        <v/>
      </c>
      <c r="Q1278" t="str">
        <f>IF(Sync!$J1278="","",IF(ISNUMBER(Sync!$J1278),IF(AND(Sync!$J1278&gt;=10000101,Sync!$J1278&lt;=99991231),INT(Sync!$J1278/10000)&amp;"/"&amp;RIGHT("00"&amp;INT(MOD(Sync!$J1278,10000)/100),2)&amp;"/"&amp;RIGHT("00"&amp;MOD(Sync!$J1278,100),2),"نامعتبر"),IF(LEN(Sync!$J1278)=10,Sync!$J1278,"نامعتبر")))</f>
        <v/>
      </c>
      <c r="R1278" t="str">
        <f t="shared" si="122"/>
        <v/>
      </c>
      <c r="S1278" t="str">
        <f t="shared" si="123"/>
        <v/>
      </c>
      <c r="T1278" t="str">
        <f>IF($N1278="","",IF(Sync!$N1278="",0,Sync!$N1278))</f>
        <v/>
      </c>
      <c r="U1278" t="str">
        <f>IF($N1278="","",IF(Sync!$O1278="",0,Sync!$O1278))</f>
        <v/>
      </c>
      <c r="V1278" t="str">
        <f>IF($N1278="","",Sync!$L1278)</f>
        <v/>
      </c>
      <c r="W1278" t="str">
        <f>IF($N1278="","",Sync!$P1278)</f>
        <v/>
      </c>
    </row>
    <row r="1279" spans="14:23" x14ac:dyDescent="0.2">
      <c r="N1279" t="str">
        <f>IF(OR(Sync!$M1279="",$Q1279="",$Q1279="نامعتبر"),"",Sync!$M1279)</f>
        <v/>
      </c>
      <c r="O1279" t="str">
        <f t="shared" si="121"/>
        <v/>
      </c>
      <c r="P1279" t="str">
        <f>IF($N1279="","",LEFT($Q1279,4)&amp;MID($Q1279,6,2)&amp;RIGHT($Q1279,2)&amp;IF(Sync!$K1279="","0000",IF(AND(ISNUMBER(Sync!$K1279),Sync!$K1279&gt;=0,Sync!$K1279&lt;1),RIGHT("00"&amp;HOUR(Sync!$K1279),2)&amp;RIGHT("00"&amp;MINUTE(Sync!$K1279),2),IFERROR(RIGHT("00"&amp;VALUE(LEFT(Sync!$K1279,FIND(":",Sync!$K1279)-1)),2)&amp;RIGHT("00"&amp;VALUE(MID(Sync!$K1279,FIND(":",Sync!$K1279)+1,2)),2),"0000")))&amp;"|"&amp;"2"&amp;RIGHT("00000"&amp;1274,5))</f>
        <v/>
      </c>
      <c r="Q1279" t="str">
        <f>IF(Sync!$J1279="","",IF(ISNUMBER(Sync!$J1279),IF(AND(Sync!$J1279&gt;=10000101,Sync!$J1279&lt;=99991231),INT(Sync!$J1279/10000)&amp;"/"&amp;RIGHT("00"&amp;INT(MOD(Sync!$J1279,10000)/100),2)&amp;"/"&amp;RIGHT("00"&amp;MOD(Sync!$J1279,100),2),"نامعتبر"),IF(LEN(Sync!$J1279)=10,Sync!$J1279,"نامعتبر")))</f>
        <v/>
      </c>
      <c r="R1279" t="str">
        <f t="shared" si="122"/>
        <v/>
      </c>
      <c r="S1279" t="str">
        <f t="shared" si="123"/>
        <v/>
      </c>
      <c r="T1279" t="str">
        <f>IF($N1279="","",IF(Sync!$N1279="",0,Sync!$N1279))</f>
        <v/>
      </c>
      <c r="U1279" t="str">
        <f>IF($N1279="","",IF(Sync!$O1279="",0,Sync!$O1279))</f>
        <v/>
      </c>
      <c r="V1279" t="str">
        <f>IF($N1279="","",Sync!$L1279)</f>
        <v/>
      </c>
      <c r="W1279" t="str">
        <f>IF($N1279="","",Sync!$P1279)</f>
        <v/>
      </c>
    </row>
    <row r="1280" spans="14:23" x14ac:dyDescent="0.2">
      <c r="N1280" t="str">
        <f>IF(OR(Sync!$M1280="",$Q1280="",$Q1280="نامعتبر"),"",Sync!$M1280)</f>
        <v/>
      </c>
      <c r="O1280" t="str">
        <f t="shared" si="121"/>
        <v/>
      </c>
      <c r="P1280" t="str">
        <f>IF($N1280="","",LEFT($Q1280,4)&amp;MID($Q1280,6,2)&amp;RIGHT($Q1280,2)&amp;IF(Sync!$K1280="","0000",IF(AND(ISNUMBER(Sync!$K1280),Sync!$K1280&gt;=0,Sync!$K1280&lt;1),RIGHT("00"&amp;HOUR(Sync!$K1280),2)&amp;RIGHT("00"&amp;MINUTE(Sync!$K1280),2),IFERROR(RIGHT("00"&amp;VALUE(LEFT(Sync!$K1280,FIND(":",Sync!$K1280)-1)),2)&amp;RIGHT("00"&amp;VALUE(MID(Sync!$K1280,FIND(":",Sync!$K1280)+1,2)),2),"0000")))&amp;"|"&amp;"2"&amp;RIGHT("00000"&amp;1275,5))</f>
        <v/>
      </c>
      <c r="Q1280" t="str">
        <f>IF(Sync!$J1280="","",IF(ISNUMBER(Sync!$J1280),IF(AND(Sync!$J1280&gt;=10000101,Sync!$J1280&lt;=99991231),INT(Sync!$J1280/10000)&amp;"/"&amp;RIGHT("00"&amp;INT(MOD(Sync!$J1280,10000)/100),2)&amp;"/"&amp;RIGHT("00"&amp;MOD(Sync!$J1280,100),2),"نامعتبر"),IF(LEN(Sync!$J1280)=10,Sync!$J1280,"نامعتبر")))</f>
        <v/>
      </c>
      <c r="R1280" t="str">
        <f t="shared" si="122"/>
        <v/>
      </c>
      <c r="S1280" t="str">
        <f t="shared" si="123"/>
        <v/>
      </c>
      <c r="T1280" t="str">
        <f>IF($N1280="","",IF(Sync!$N1280="",0,Sync!$N1280))</f>
        <v/>
      </c>
      <c r="U1280" t="str">
        <f>IF($N1280="","",IF(Sync!$O1280="",0,Sync!$O1280))</f>
        <v/>
      </c>
      <c r="V1280" t="str">
        <f>IF($N1280="","",Sync!$L1280)</f>
        <v/>
      </c>
      <c r="W1280" t="str">
        <f>IF($N1280="","",Sync!$P1280)</f>
        <v/>
      </c>
    </row>
    <row r="1281" spans="14:23" x14ac:dyDescent="0.2">
      <c r="N1281" t="str">
        <f>IF(OR(Sync!$M1281="",$Q1281="",$Q1281="نامعتبر"),"",Sync!$M1281)</f>
        <v/>
      </c>
      <c r="O1281" t="str">
        <f t="shared" si="121"/>
        <v/>
      </c>
      <c r="P1281" t="str">
        <f>IF($N1281="","",LEFT($Q1281,4)&amp;MID($Q1281,6,2)&amp;RIGHT($Q1281,2)&amp;IF(Sync!$K1281="","0000",IF(AND(ISNUMBER(Sync!$K1281),Sync!$K1281&gt;=0,Sync!$K1281&lt;1),RIGHT("00"&amp;HOUR(Sync!$K1281),2)&amp;RIGHT("00"&amp;MINUTE(Sync!$K1281),2),IFERROR(RIGHT("00"&amp;VALUE(LEFT(Sync!$K1281,FIND(":",Sync!$K1281)-1)),2)&amp;RIGHT("00"&amp;VALUE(MID(Sync!$K1281,FIND(":",Sync!$K1281)+1,2)),2),"0000")))&amp;"|"&amp;"2"&amp;RIGHT("00000"&amp;1276,5))</f>
        <v/>
      </c>
      <c r="Q1281" t="str">
        <f>IF(Sync!$J1281="","",IF(ISNUMBER(Sync!$J1281),IF(AND(Sync!$J1281&gt;=10000101,Sync!$J1281&lt;=99991231),INT(Sync!$J1281/10000)&amp;"/"&amp;RIGHT("00"&amp;INT(MOD(Sync!$J1281,10000)/100),2)&amp;"/"&amp;RIGHT("00"&amp;MOD(Sync!$J1281,100),2),"نامعتبر"),IF(LEN(Sync!$J1281)=10,Sync!$J1281,"نامعتبر")))</f>
        <v/>
      </c>
      <c r="R1281" t="str">
        <f t="shared" si="122"/>
        <v/>
      </c>
      <c r="S1281" t="str">
        <f t="shared" si="123"/>
        <v/>
      </c>
      <c r="T1281" t="str">
        <f>IF($N1281="","",IF(Sync!$N1281="",0,Sync!$N1281))</f>
        <v/>
      </c>
      <c r="U1281" t="str">
        <f>IF($N1281="","",IF(Sync!$O1281="",0,Sync!$O1281))</f>
        <v/>
      </c>
      <c r="V1281" t="str">
        <f>IF($N1281="","",Sync!$L1281)</f>
        <v/>
      </c>
      <c r="W1281" t="str">
        <f>IF($N1281="","",Sync!$P1281)</f>
        <v/>
      </c>
    </row>
    <row r="1282" spans="14:23" x14ac:dyDescent="0.2">
      <c r="N1282" t="str">
        <f>IF(OR(Sync!$M1282="",$Q1282="",$Q1282="نامعتبر"),"",Sync!$M1282)</f>
        <v/>
      </c>
      <c r="O1282" t="str">
        <f t="shared" si="121"/>
        <v/>
      </c>
      <c r="P1282" t="str">
        <f>IF($N1282="","",LEFT($Q1282,4)&amp;MID($Q1282,6,2)&amp;RIGHT($Q1282,2)&amp;IF(Sync!$K1282="","0000",IF(AND(ISNUMBER(Sync!$K1282),Sync!$K1282&gt;=0,Sync!$K1282&lt;1),RIGHT("00"&amp;HOUR(Sync!$K1282),2)&amp;RIGHT("00"&amp;MINUTE(Sync!$K1282),2),IFERROR(RIGHT("00"&amp;VALUE(LEFT(Sync!$K1282,FIND(":",Sync!$K1282)-1)),2)&amp;RIGHT("00"&amp;VALUE(MID(Sync!$K1282,FIND(":",Sync!$K1282)+1,2)),2),"0000")))&amp;"|"&amp;"2"&amp;RIGHT("00000"&amp;1277,5))</f>
        <v/>
      </c>
      <c r="Q1282" t="str">
        <f>IF(Sync!$J1282="","",IF(ISNUMBER(Sync!$J1282),IF(AND(Sync!$J1282&gt;=10000101,Sync!$J1282&lt;=99991231),INT(Sync!$J1282/10000)&amp;"/"&amp;RIGHT("00"&amp;INT(MOD(Sync!$J1282,10000)/100),2)&amp;"/"&amp;RIGHT("00"&amp;MOD(Sync!$J1282,100),2),"نامعتبر"),IF(LEN(Sync!$J1282)=10,Sync!$J1282,"نامعتبر")))</f>
        <v/>
      </c>
      <c r="R1282" t="str">
        <f t="shared" si="122"/>
        <v/>
      </c>
      <c r="S1282" t="str">
        <f t="shared" si="123"/>
        <v/>
      </c>
      <c r="T1282" t="str">
        <f>IF($N1282="","",IF(Sync!$N1282="",0,Sync!$N1282))</f>
        <v/>
      </c>
      <c r="U1282" t="str">
        <f>IF($N1282="","",IF(Sync!$O1282="",0,Sync!$O1282))</f>
        <v/>
      </c>
      <c r="V1282" t="str">
        <f>IF($N1282="","",Sync!$L1282)</f>
        <v/>
      </c>
      <c r="W1282" t="str">
        <f>IF($N1282="","",Sync!$P1282)</f>
        <v/>
      </c>
    </row>
    <row r="1283" spans="14:23" x14ac:dyDescent="0.2">
      <c r="N1283" t="str">
        <f>IF(OR(Sync!$M1283="",$Q1283="",$Q1283="نامعتبر"),"",Sync!$M1283)</f>
        <v/>
      </c>
      <c r="O1283" t="str">
        <f t="shared" si="121"/>
        <v/>
      </c>
      <c r="P1283" t="str">
        <f>IF($N1283="","",LEFT($Q1283,4)&amp;MID($Q1283,6,2)&amp;RIGHT($Q1283,2)&amp;IF(Sync!$K1283="","0000",IF(AND(ISNUMBER(Sync!$K1283),Sync!$K1283&gt;=0,Sync!$K1283&lt;1),RIGHT("00"&amp;HOUR(Sync!$K1283),2)&amp;RIGHT("00"&amp;MINUTE(Sync!$K1283),2),IFERROR(RIGHT("00"&amp;VALUE(LEFT(Sync!$K1283,FIND(":",Sync!$K1283)-1)),2)&amp;RIGHT("00"&amp;VALUE(MID(Sync!$K1283,FIND(":",Sync!$K1283)+1,2)),2),"0000")))&amp;"|"&amp;"2"&amp;RIGHT("00000"&amp;1278,5))</f>
        <v/>
      </c>
      <c r="Q1283" t="str">
        <f>IF(Sync!$J1283="","",IF(ISNUMBER(Sync!$J1283),IF(AND(Sync!$J1283&gt;=10000101,Sync!$J1283&lt;=99991231),INT(Sync!$J1283/10000)&amp;"/"&amp;RIGHT("00"&amp;INT(MOD(Sync!$J1283,10000)/100),2)&amp;"/"&amp;RIGHT("00"&amp;MOD(Sync!$J1283,100),2),"نامعتبر"),IF(LEN(Sync!$J1283)=10,Sync!$J1283,"نامعتبر")))</f>
        <v/>
      </c>
      <c r="R1283" t="str">
        <f t="shared" si="122"/>
        <v/>
      </c>
      <c r="S1283" t="str">
        <f t="shared" si="123"/>
        <v/>
      </c>
      <c r="T1283" t="str">
        <f>IF($N1283="","",IF(Sync!$N1283="",0,Sync!$N1283))</f>
        <v/>
      </c>
      <c r="U1283" t="str">
        <f>IF($N1283="","",IF(Sync!$O1283="",0,Sync!$O1283))</f>
        <v/>
      </c>
      <c r="V1283" t="str">
        <f>IF($N1283="","",Sync!$L1283)</f>
        <v/>
      </c>
      <c r="W1283" t="str">
        <f>IF($N1283="","",Sync!$P1283)</f>
        <v/>
      </c>
    </row>
    <row r="1284" spans="14:23" x14ac:dyDescent="0.2">
      <c r="N1284" t="str">
        <f>IF(OR(Sync!$M1284="",$Q1284="",$Q1284="نامعتبر"),"",Sync!$M1284)</f>
        <v/>
      </c>
      <c r="O1284" t="str">
        <f t="shared" si="121"/>
        <v/>
      </c>
      <c r="P1284" t="str">
        <f>IF($N1284="","",LEFT($Q1284,4)&amp;MID($Q1284,6,2)&amp;RIGHT($Q1284,2)&amp;IF(Sync!$K1284="","0000",IF(AND(ISNUMBER(Sync!$K1284),Sync!$K1284&gt;=0,Sync!$K1284&lt;1),RIGHT("00"&amp;HOUR(Sync!$K1284),2)&amp;RIGHT("00"&amp;MINUTE(Sync!$K1284),2),IFERROR(RIGHT("00"&amp;VALUE(LEFT(Sync!$K1284,FIND(":",Sync!$K1284)-1)),2)&amp;RIGHT("00"&amp;VALUE(MID(Sync!$K1284,FIND(":",Sync!$K1284)+1,2)),2),"0000")))&amp;"|"&amp;"2"&amp;RIGHT("00000"&amp;1279,5))</f>
        <v/>
      </c>
      <c r="Q1284" t="str">
        <f>IF(Sync!$J1284="","",IF(ISNUMBER(Sync!$J1284),IF(AND(Sync!$J1284&gt;=10000101,Sync!$J1284&lt;=99991231),INT(Sync!$J1284/10000)&amp;"/"&amp;RIGHT("00"&amp;INT(MOD(Sync!$J1284,10000)/100),2)&amp;"/"&amp;RIGHT("00"&amp;MOD(Sync!$J1284,100),2),"نامعتبر"),IF(LEN(Sync!$J1284)=10,Sync!$J1284,"نامعتبر")))</f>
        <v/>
      </c>
      <c r="R1284" t="str">
        <f t="shared" si="122"/>
        <v/>
      </c>
      <c r="S1284" t="str">
        <f t="shared" si="123"/>
        <v/>
      </c>
      <c r="T1284" t="str">
        <f>IF($N1284="","",IF(Sync!$N1284="",0,Sync!$N1284))</f>
        <v/>
      </c>
      <c r="U1284" t="str">
        <f>IF($N1284="","",IF(Sync!$O1284="",0,Sync!$O1284))</f>
        <v/>
      </c>
      <c r="V1284" t="str">
        <f>IF($N1284="","",Sync!$L1284)</f>
        <v/>
      </c>
      <c r="W1284" t="str">
        <f>IF($N1284="","",Sync!$P1284)</f>
        <v/>
      </c>
    </row>
    <row r="1285" spans="14:23" x14ac:dyDescent="0.2">
      <c r="N1285" t="str">
        <f>IF(OR(Sync!$M1285="",$Q1285="",$Q1285="نامعتبر"),"",Sync!$M1285)</f>
        <v/>
      </c>
      <c r="O1285" t="str">
        <f t="shared" si="121"/>
        <v/>
      </c>
      <c r="P1285" t="str">
        <f>IF($N1285="","",LEFT($Q1285,4)&amp;MID($Q1285,6,2)&amp;RIGHT($Q1285,2)&amp;IF(Sync!$K1285="","0000",IF(AND(ISNUMBER(Sync!$K1285),Sync!$K1285&gt;=0,Sync!$K1285&lt;1),RIGHT("00"&amp;HOUR(Sync!$K1285),2)&amp;RIGHT("00"&amp;MINUTE(Sync!$K1285),2),IFERROR(RIGHT("00"&amp;VALUE(LEFT(Sync!$K1285,FIND(":",Sync!$K1285)-1)),2)&amp;RIGHT("00"&amp;VALUE(MID(Sync!$K1285,FIND(":",Sync!$K1285)+1,2)),2),"0000")))&amp;"|"&amp;"2"&amp;RIGHT("00000"&amp;1280,5))</f>
        <v/>
      </c>
      <c r="Q1285" t="str">
        <f>IF(Sync!$J1285="","",IF(ISNUMBER(Sync!$J1285),IF(AND(Sync!$J1285&gt;=10000101,Sync!$J1285&lt;=99991231),INT(Sync!$J1285/10000)&amp;"/"&amp;RIGHT("00"&amp;INT(MOD(Sync!$J1285,10000)/100),2)&amp;"/"&amp;RIGHT("00"&amp;MOD(Sync!$J1285,100),2),"نامعتبر"),IF(LEN(Sync!$J1285)=10,Sync!$J1285,"نامعتبر")))</f>
        <v/>
      </c>
      <c r="R1285" t="str">
        <f t="shared" si="122"/>
        <v/>
      </c>
      <c r="S1285" t="str">
        <f t="shared" si="123"/>
        <v/>
      </c>
      <c r="T1285" t="str">
        <f>IF($N1285="","",IF(Sync!$N1285="",0,Sync!$N1285))</f>
        <v/>
      </c>
      <c r="U1285" t="str">
        <f>IF($N1285="","",IF(Sync!$O1285="",0,Sync!$O1285))</f>
        <v/>
      </c>
      <c r="V1285" t="str">
        <f>IF($N1285="","",Sync!$L1285)</f>
        <v/>
      </c>
      <c r="W1285" t="str">
        <f>IF($N1285="","",Sync!$P1285)</f>
        <v/>
      </c>
    </row>
    <row r="1286" spans="14:23" x14ac:dyDescent="0.2">
      <c r="N1286" t="str">
        <f>IF(OR(Sync!$M1286="",$Q1286="",$Q1286="نامعتبر"),"",Sync!$M1286)</f>
        <v/>
      </c>
      <c r="O1286" t="str">
        <f t="shared" ref="O1286:O1349" si="124">IF($N1286="","",$Q1286)</f>
        <v/>
      </c>
      <c r="P1286" t="str">
        <f>IF($N1286="","",LEFT($Q1286,4)&amp;MID($Q1286,6,2)&amp;RIGHT($Q1286,2)&amp;IF(Sync!$K1286="","0000",IF(AND(ISNUMBER(Sync!$K1286),Sync!$K1286&gt;=0,Sync!$K1286&lt;1),RIGHT("00"&amp;HOUR(Sync!$K1286),2)&amp;RIGHT("00"&amp;MINUTE(Sync!$K1286),2),IFERROR(RIGHT("00"&amp;VALUE(LEFT(Sync!$K1286,FIND(":",Sync!$K1286)-1)),2)&amp;RIGHT("00"&amp;VALUE(MID(Sync!$K1286,FIND(":",Sync!$K1286)+1,2)),2),"0000")))&amp;"|"&amp;"2"&amp;RIGHT("00000"&amp;1281,5))</f>
        <v/>
      </c>
      <c r="Q1286" t="str">
        <f>IF(Sync!$J1286="","",IF(ISNUMBER(Sync!$J1286),IF(AND(Sync!$J1286&gt;=10000101,Sync!$J1286&lt;=99991231),INT(Sync!$J1286/10000)&amp;"/"&amp;RIGHT("00"&amp;INT(MOD(Sync!$J1286,10000)/100),2)&amp;"/"&amp;RIGHT("00"&amp;MOD(Sync!$J1286,100),2),"نامعتبر"),IF(LEN(Sync!$J1286)=10,Sync!$J1286,"نامعتبر")))</f>
        <v/>
      </c>
      <c r="R1286" t="str">
        <f t="shared" ref="R1286:R1349" si="125">IF($P1286="","",COUNTIFS($N$6:$N$2005,$N1286,$P$6:$P$2005,"&lt;"&amp;$P1286)+COUNTIFS($A$6:$A$1005,$N1286,$B$6:$B$1005,"&lt;"&amp;$P1286)+1)</f>
        <v/>
      </c>
      <c r="S1286" t="str">
        <f t="shared" ref="S1286:S1349" si="126">IF($N1286="","",$N1286&amp;"|"&amp;RIGHT("000000"&amp;$R1286,6))</f>
        <v/>
      </c>
      <c r="T1286" t="str">
        <f>IF($N1286="","",IF(Sync!$N1286="",0,Sync!$N1286))</f>
        <v/>
      </c>
      <c r="U1286" t="str">
        <f>IF($N1286="","",IF(Sync!$O1286="",0,Sync!$O1286))</f>
        <v/>
      </c>
      <c r="V1286" t="str">
        <f>IF($N1286="","",Sync!$L1286)</f>
        <v/>
      </c>
      <c r="W1286" t="str">
        <f>IF($N1286="","",Sync!$P1286)</f>
        <v/>
      </c>
    </row>
    <row r="1287" spans="14:23" x14ac:dyDescent="0.2">
      <c r="N1287" t="str">
        <f>IF(OR(Sync!$M1287="",$Q1287="",$Q1287="نامعتبر"),"",Sync!$M1287)</f>
        <v/>
      </c>
      <c r="O1287" t="str">
        <f t="shared" si="124"/>
        <v/>
      </c>
      <c r="P1287" t="str">
        <f>IF($N1287="","",LEFT($Q1287,4)&amp;MID($Q1287,6,2)&amp;RIGHT($Q1287,2)&amp;IF(Sync!$K1287="","0000",IF(AND(ISNUMBER(Sync!$K1287),Sync!$K1287&gt;=0,Sync!$K1287&lt;1),RIGHT("00"&amp;HOUR(Sync!$K1287),2)&amp;RIGHT("00"&amp;MINUTE(Sync!$K1287),2),IFERROR(RIGHT("00"&amp;VALUE(LEFT(Sync!$K1287,FIND(":",Sync!$K1287)-1)),2)&amp;RIGHT("00"&amp;VALUE(MID(Sync!$K1287,FIND(":",Sync!$K1287)+1,2)),2),"0000")))&amp;"|"&amp;"2"&amp;RIGHT("00000"&amp;1282,5))</f>
        <v/>
      </c>
      <c r="Q1287" t="str">
        <f>IF(Sync!$J1287="","",IF(ISNUMBER(Sync!$J1287),IF(AND(Sync!$J1287&gt;=10000101,Sync!$J1287&lt;=99991231),INT(Sync!$J1287/10000)&amp;"/"&amp;RIGHT("00"&amp;INT(MOD(Sync!$J1287,10000)/100),2)&amp;"/"&amp;RIGHT("00"&amp;MOD(Sync!$J1287,100),2),"نامعتبر"),IF(LEN(Sync!$J1287)=10,Sync!$J1287,"نامعتبر")))</f>
        <v/>
      </c>
      <c r="R1287" t="str">
        <f t="shared" si="125"/>
        <v/>
      </c>
      <c r="S1287" t="str">
        <f t="shared" si="126"/>
        <v/>
      </c>
      <c r="T1287" t="str">
        <f>IF($N1287="","",IF(Sync!$N1287="",0,Sync!$N1287))</f>
        <v/>
      </c>
      <c r="U1287" t="str">
        <f>IF($N1287="","",IF(Sync!$O1287="",0,Sync!$O1287))</f>
        <v/>
      </c>
      <c r="V1287" t="str">
        <f>IF($N1287="","",Sync!$L1287)</f>
        <v/>
      </c>
      <c r="W1287" t="str">
        <f>IF($N1287="","",Sync!$P1287)</f>
        <v/>
      </c>
    </row>
    <row r="1288" spans="14:23" x14ac:dyDescent="0.2">
      <c r="N1288" t="str">
        <f>IF(OR(Sync!$M1288="",$Q1288="",$Q1288="نامعتبر"),"",Sync!$M1288)</f>
        <v/>
      </c>
      <c r="O1288" t="str">
        <f t="shared" si="124"/>
        <v/>
      </c>
      <c r="P1288" t="str">
        <f>IF($N1288="","",LEFT($Q1288,4)&amp;MID($Q1288,6,2)&amp;RIGHT($Q1288,2)&amp;IF(Sync!$K1288="","0000",IF(AND(ISNUMBER(Sync!$K1288),Sync!$K1288&gt;=0,Sync!$K1288&lt;1),RIGHT("00"&amp;HOUR(Sync!$K1288),2)&amp;RIGHT("00"&amp;MINUTE(Sync!$K1288),2),IFERROR(RIGHT("00"&amp;VALUE(LEFT(Sync!$K1288,FIND(":",Sync!$K1288)-1)),2)&amp;RIGHT("00"&amp;VALUE(MID(Sync!$K1288,FIND(":",Sync!$K1288)+1,2)),2),"0000")))&amp;"|"&amp;"2"&amp;RIGHT("00000"&amp;1283,5))</f>
        <v/>
      </c>
      <c r="Q1288" t="str">
        <f>IF(Sync!$J1288="","",IF(ISNUMBER(Sync!$J1288),IF(AND(Sync!$J1288&gt;=10000101,Sync!$J1288&lt;=99991231),INT(Sync!$J1288/10000)&amp;"/"&amp;RIGHT("00"&amp;INT(MOD(Sync!$J1288,10000)/100),2)&amp;"/"&amp;RIGHT("00"&amp;MOD(Sync!$J1288,100),2),"نامعتبر"),IF(LEN(Sync!$J1288)=10,Sync!$J1288,"نامعتبر")))</f>
        <v/>
      </c>
      <c r="R1288" t="str">
        <f t="shared" si="125"/>
        <v/>
      </c>
      <c r="S1288" t="str">
        <f t="shared" si="126"/>
        <v/>
      </c>
      <c r="T1288" t="str">
        <f>IF($N1288="","",IF(Sync!$N1288="",0,Sync!$N1288))</f>
        <v/>
      </c>
      <c r="U1288" t="str">
        <f>IF($N1288="","",IF(Sync!$O1288="",0,Sync!$O1288))</f>
        <v/>
      </c>
      <c r="V1288" t="str">
        <f>IF($N1288="","",Sync!$L1288)</f>
        <v/>
      </c>
      <c r="W1288" t="str">
        <f>IF($N1288="","",Sync!$P1288)</f>
        <v/>
      </c>
    </row>
    <row r="1289" spans="14:23" x14ac:dyDescent="0.2">
      <c r="N1289" t="str">
        <f>IF(OR(Sync!$M1289="",$Q1289="",$Q1289="نامعتبر"),"",Sync!$M1289)</f>
        <v/>
      </c>
      <c r="O1289" t="str">
        <f t="shared" si="124"/>
        <v/>
      </c>
      <c r="P1289" t="str">
        <f>IF($N1289="","",LEFT($Q1289,4)&amp;MID($Q1289,6,2)&amp;RIGHT($Q1289,2)&amp;IF(Sync!$K1289="","0000",IF(AND(ISNUMBER(Sync!$K1289),Sync!$K1289&gt;=0,Sync!$K1289&lt;1),RIGHT("00"&amp;HOUR(Sync!$K1289),2)&amp;RIGHT("00"&amp;MINUTE(Sync!$K1289),2),IFERROR(RIGHT("00"&amp;VALUE(LEFT(Sync!$K1289,FIND(":",Sync!$K1289)-1)),2)&amp;RIGHT("00"&amp;VALUE(MID(Sync!$K1289,FIND(":",Sync!$K1289)+1,2)),2),"0000")))&amp;"|"&amp;"2"&amp;RIGHT("00000"&amp;1284,5))</f>
        <v/>
      </c>
      <c r="Q1289" t="str">
        <f>IF(Sync!$J1289="","",IF(ISNUMBER(Sync!$J1289),IF(AND(Sync!$J1289&gt;=10000101,Sync!$J1289&lt;=99991231),INT(Sync!$J1289/10000)&amp;"/"&amp;RIGHT("00"&amp;INT(MOD(Sync!$J1289,10000)/100),2)&amp;"/"&amp;RIGHT("00"&amp;MOD(Sync!$J1289,100),2),"نامعتبر"),IF(LEN(Sync!$J1289)=10,Sync!$J1289,"نامعتبر")))</f>
        <v/>
      </c>
      <c r="R1289" t="str">
        <f t="shared" si="125"/>
        <v/>
      </c>
      <c r="S1289" t="str">
        <f t="shared" si="126"/>
        <v/>
      </c>
      <c r="T1289" t="str">
        <f>IF($N1289="","",IF(Sync!$N1289="",0,Sync!$N1289))</f>
        <v/>
      </c>
      <c r="U1289" t="str">
        <f>IF($N1289="","",IF(Sync!$O1289="",0,Sync!$O1289))</f>
        <v/>
      </c>
      <c r="V1289" t="str">
        <f>IF($N1289="","",Sync!$L1289)</f>
        <v/>
      </c>
      <c r="W1289" t="str">
        <f>IF($N1289="","",Sync!$P1289)</f>
        <v/>
      </c>
    </row>
    <row r="1290" spans="14:23" x14ac:dyDescent="0.2">
      <c r="N1290" t="str">
        <f>IF(OR(Sync!$M1290="",$Q1290="",$Q1290="نامعتبر"),"",Sync!$M1290)</f>
        <v/>
      </c>
      <c r="O1290" t="str">
        <f t="shared" si="124"/>
        <v/>
      </c>
      <c r="P1290" t="str">
        <f>IF($N1290="","",LEFT($Q1290,4)&amp;MID($Q1290,6,2)&amp;RIGHT($Q1290,2)&amp;IF(Sync!$K1290="","0000",IF(AND(ISNUMBER(Sync!$K1290),Sync!$K1290&gt;=0,Sync!$K1290&lt;1),RIGHT("00"&amp;HOUR(Sync!$K1290),2)&amp;RIGHT("00"&amp;MINUTE(Sync!$K1290),2),IFERROR(RIGHT("00"&amp;VALUE(LEFT(Sync!$K1290,FIND(":",Sync!$K1290)-1)),2)&amp;RIGHT("00"&amp;VALUE(MID(Sync!$K1290,FIND(":",Sync!$K1290)+1,2)),2),"0000")))&amp;"|"&amp;"2"&amp;RIGHT("00000"&amp;1285,5))</f>
        <v/>
      </c>
      <c r="Q1290" t="str">
        <f>IF(Sync!$J1290="","",IF(ISNUMBER(Sync!$J1290),IF(AND(Sync!$J1290&gt;=10000101,Sync!$J1290&lt;=99991231),INT(Sync!$J1290/10000)&amp;"/"&amp;RIGHT("00"&amp;INT(MOD(Sync!$J1290,10000)/100),2)&amp;"/"&amp;RIGHT("00"&amp;MOD(Sync!$J1290,100),2),"نامعتبر"),IF(LEN(Sync!$J1290)=10,Sync!$J1290,"نامعتبر")))</f>
        <v/>
      </c>
      <c r="R1290" t="str">
        <f t="shared" si="125"/>
        <v/>
      </c>
      <c r="S1290" t="str">
        <f t="shared" si="126"/>
        <v/>
      </c>
      <c r="T1290" t="str">
        <f>IF($N1290="","",IF(Sync!$N1290="",0,Sync!$N1290))</f>
        <v/>
      </c>
      <c r="U1290" t="str">
        <f>IF($N1290="","",IF(Sync!$O1290="",0,Sync!$O1290))</f>
        <v/>
      </c>
      <c r="V1290" t="str">
        <f>IF($N1290="","",Sync!$L1290)</f>
        <v/>
      </c>
      <c r="W1290" t="str">
        <f>IF($N1290="","",Sync!$P1290)</f>
        <v/>
      </c>
    </row>
    <row r="1291" spans="14:23" x14ac:dyDescent="0.2">
      <c r="N1291" t="str">
        <f>IF(OR(Sync!$M1291="",$Q1291="",$Q1291="نامعتبر"),"",Sync!$M1291)</f>
        <v/>
      </c>
      <c r="O1291" t="str">
        <f t="shared" si="124"/>
        <v/>
      </c>
      <c r="P1291" t="str">
        <f>IF($N1291="","",LEFT($Q1291,4)&amp;MID($Q1291,6,2)&amp;RIGHT($Q1291,2)&amp;IF(Sync!$K1291="","0000",IF(AND(ISNUMBER(Sync!$K1291),Sync!$K1291&gt;=0,Sync!$K1291&lt;1),RIGHT("00"&amp;HOUR(Sync!$K1291),2)&amp;RIGHT("00"&amp;MINUTE(Sync!$K1291),2),IFERROR(RIGHT("00"&amp;VALUE(LEFT(Sync!$K1291,FIND(":",Sync!$K1291)-1)),2)&amp;RIGHT("00"&amp;VALUE(MID(Sync!$K1291,FIND(":",Sync!$K1291)+1,2)),2),"0000")))&amp;"|"&amp;"2"&amp;RIGHT("00000"&amp;1286,5))</f>
        <v/>
      </c>
      <c r="Q1291" t="str">
        <f>IF(Sync!$J1291="","",IF(ISNUMBER(Sync!$J1291),IF(AND(Sync!$J1291&gt;=10000101,Sync!$J1291&lt;=99991231),INT(Sync!$J1291/10000)&amp;"/"&amp;RIGHT("00"&amp;INT(MOD(Sync!$J1291,10000)/100),2)&amp;"/"&amp;RIGHT("00"&amp;MOD(Sync!$J1291,100),2),"نامعتبر"),IF(LEN(Sync!$J1291)=10,Sync!$J1291,"نامعتبر")))</f>
        <v/>
      </c>
      <c r="R1291" t="str">
        <f t="shared" si="125"/>
        <v/>
      </c>
      <c r="S1291" t="str">
        <f t="shared" si="126"/>
        <v/>
      </c>
      <c r="T1291" t="str">
        <f>IF($N1291="","",IF(Sync!$N1291="",0,Sync!$N1291))</f>
        <v/>
      </c>
      <c r="U1291" t="str">
        <f>IF($N1291="","",IF(Sync!$O1291="",0,Sync!$O1291))</f>
        <v/>
      </c>
      <c r="V1291" t="str">
        <f>IF($N1291="","",Sync!$L1291)</f>
        <v/>
      </c>
      <c r="W1291" t="str">
        <f>IF($N1291="","",Sync!$P1291)</f>
        <v/>
      </c>
    </row>
    <row r="1292" spans="14:23" x14ac:dyDescent="0.2">
      <c r="N1292" t="str">
        <f>IF(OR(Sync!$M1292="",$Q1292="",$Q1292="نامعتبر"),"",Sync!$M1292)</f>
        <v/>
      </c>
      <c r="O1292" t="str">
        <f t="shared" si="124"/>
        <v/>
      </c>
      <c r="P1292" t="str">
        <f>IF($N1292="","",LEFT($Q1292,4)&amp;MID($Q1292,6,2)&amp;RIGHT($Q1292,2)&amp;IF(Sync!$K1292="","0000",IF(AND(ISNUMBER(Sync!$K1292),Sync!$K1292&gt;=0,Sync!$K1292&lt;1),RIGHT("00"&amp;HOUR(Sync!$K1292),2)&amp;RIGHT("00"&amp;MINUTE(Sync!$K1292),2),IFERROR(RIGHT("00"&amp;VALUE(LEFT(Sync!$K1292,FIND(":",Sync!$K1292)-1)),2)&amp;RIGHT("00"&amp;VALUE(MID(Sync!$K1292,FIND(":",Sync!$K1292)+1,2)),2),"0000")))&amp;"|"&amp;"2"&amp;RIGHT("00000"&amp;1287,5))</f>
        <v/>
      </c>
      <c r="Q1292" t="str">
        <f>IF(Sync!$J1292="","",IF(ISNUMBER(Sync!$J1292),IF(AND(Sync!$J1292&gt;=10000101,Sync!$J1292&lt;=99991231),INT(Sync!$J1292/10000)&amp;"/"&amp;RIGHT("00"&amp;INT(MOD(Sync!$J1292,10000)/100),2)&amp;"/"&amp;RIGHT("00"&amp;MOD(Sync!$J1292,100),2),"نامعتبر"),IF(LEN(Sync!$J1292)=10,Sync!$J1292,"نامعتبر")))</f>
        <v/>
      </c>
      <c r="R1292" t="str">
        <f t="shared" si="125"/>
        <v/>
      </c>
      <c r="S1292" t="str">
        <f t="shared" si="126"/>
        <v/>
      </c>
      <c r="T1292" t="str">
        <f>IF($N1292="","",IF(Sync!$N1292="",0,Sync!$N1292))</f>
        <v/>
      </c>
      <c r="U1292" t="str">
        <f>IF($N1292="","",IF(Sync!$O1292="",0,Sync!$O1292))</f>
        <v/>
      </c>
      <c r="V1292" t="str">
        <f>IF($N1292="","",Sync!$L1292)</f>
        <v/>
      </c>
      <c r="W1292" t="str">
        <f>IF($N1292="","",Sync!$P1292)</f>
        <v/>
      </c>
    </row>
    <row r="1293" spans="14:23" x14ac:dyDescent="0.2">
      <c r="N1293" t="str">
        <f>IF(OR(Sync!$M1293="",$Q1293="",$Q1293="نامعتبر"),"",Sync!$M1293)</f>
        <v/>
      </c>
      <c r="O1293" t="str">
        <f t="shared" si="124"/>
        <v/>
      </c>
      <c r="P1293" t="str">
        <f>IF($N1293="","",LEFT($Q1293,4)&amp;MID($Q1293,6,2)&amp;RIGHT($Q1293,2)&amp;IF(Sync!$K1293="","0000",IF(AND(ISNUMBER(Sync!$K1293),Sync!$K1293&gt;=0,Sync!$K1293&lt;1),RIGHT("00"&amp;HOUR(Sync!$K1293),2)&amp;RIGHT("00"&amp;MINUTE(Sync!$K1293),2),IFERROR(RIGHT("00"&amp;VALUE(LEFT(Sync!$K1293,FIND(":",Sync!$K1293)-1)),2)&amp;RIGHT("00"&amp;VALUE(MID(Sync!$K1293,FIND(":",Sync!$K1293)+1,2)),2),"0000")))&amp;"|"&amp;"2"&amp;RIGHT("00000"&amp;1288,5))</f>
        <v/>
      </c>
      <c r="Q1293" t="str">
        <f>IF(Sync!$J1293="","",IF(ISNUMBER(Sync!$J1293),IF(AND(Sync!$J1293&gt;=10000101,Sync!$J1293&lt;=99991231),INT(Sync!$J1293/10000)&amp;"/"&amp;RIGHT("00"&amp;INT(MOD(Sync!$J1293,10000)/100),2)&amp;"/"&amp;RIGHT("00"&amp;MOD(Sync!$J1293,100),2),"نامعتبر"),IF(LEN(Sync!$J1293)=10,Sync!$J1293,"نامعتبر")))</f>
        <v/>
      </c>
      <c r="R1293" t="str">
        <f t="shared" si="125"/>
        <v/>
      </c>
      <c r="S1293" t="str">
        <f t="shared" si="126"/>
        <v/>
      </c>
      <c r="T1293" t="str">
        <f>IF($N1293="","",IF(Sync!$N1293="",0,Sync!$N1293))</f>
        <v/>
      </c>
      <c r="U1293" t="str">
        <f>IF($N1293="","",IF(Sync!$O1293="",0,Sync!$O1293))</f>
        <v/>
      </c>
      <c r="V1293" t="str">
        <f>IF($N1293="","",Sync!$L1293)</f>
        <v/>
      </c>
      <c r="W1293" t="str">
        <f>IF($N1293="","",Sync!$P1293)</f>
        <v/>
      </c>
    </row>
    <row r="1294" spans="14:23" x14ac:dyDescent="0.2">
      <c r="N1294" t="str">
        <f>IF(OR(Sync!$M1294="",$Q1294="",$Q1294="نامعتبر"),"",Sync!$M1294)</f>
        <v/>
      </c>
      <c r="O1294" t="str">
        <f t="shared" si="124"/>
        <v/>
      </c>
      <c r="P1294" t="str">
        <f>IF($N1294="","",LEFT($Q1294,4)&amp;MID($Q1294,6,2)&amp;RIGHT($Q1294,2)&amp;IF(Sync!$K1294="","0000",IF(AND(ISNUMBER(Sync!$K1294),Sync!$K1294&gt;=0,Sync!$K1294&lt;1),RIGHT("00"&amp;HOUR(Sync!$K1294),2)&amp;RIGHT("00"&amp;MINUTE(Sync!$K1294),2),IFERROR(RIGHT("00"&amp;VALUE(LEFT(Sync!$K1294,FIND(":",Sync!$K1294)-1)),2)&amp;RIGHT("00"&amp;VALUE(MID(Sync!$K1294,FIND(":",Sync!$K1294)+1,2)),2),"0000")))&amp;"|"&amp;"2"&amp;RIGHT("00000"&amp;1289,5))</f>
        <v/>
      </c>
      <c r="Q1294" t="str">
        <f>IF(Sync!$J1294="","",IF(ISNUMBER(Sync!$J1294),IF(AND(Sync!$J1294&gt;=10000101,Sync!$J1294&lt;=99991231),INT(Sync!$J1294/10000)&amp;"/"&amp;RIGHT("00"&amp;INT(MOD(Sync!$J1294,10000)/100),2)&amp;"/"&amp;RIGHT("00"&amp;MOD(Sync!$J1294,100),2),"نامعتبر"),IF(LEN(Sync!$J1294)=10,Sync!$J1294,"نامعتبر")))</f>
        <v/>
      </c>
      <c r="R1294" t="str">
        <f t="shared" si="125"/>
        <v/>
      </c>
      <c r="S1294" t="str">
        <f t="shared" si="126"/>
        <v/>
      </c>
      <c r="T1294" t="str">
        <f>IF($N1294="","",IF(Sync!$N1294="",0,Sync!$N1294))</f>
        <v/>
      </c>
      <c r="U1294" t="str">
        <f>IF($N1294="","",IF(Sync!$O1294="",0,Sync!$O1294))</f>
        <v/>
      </c>
      <c r="V1294" t="str">
        <f>IF($N1294="","",Sync!$L1294)</f>
        <v/>
      </c>
      <c r="W1294" t="str">
        <f>IF($N1294="","",Sync!$P1294)</f>
        <v/>
      </c>
    </row>
    <row r="1295" spans="14:23" x14ac:dyDescent="0.2">
      <c r="N1295" t="str">
        <f>IF(OR(Sync!$M1295="",$Q1295="",$Q1295="نامعتبر"),"",Sync!$M1295)</f>
        <v/>
      </c>
      <c r="O1295" t="str">
        <f t="shared" si="124"/>
        <v/>
      </c>
      <c r="P1295" t="str">
        <f>IF($N1295="","",LEFT($Q1295,4)&amp;MID($Q1295,6,2)&amp;RIGHT($Q1295,2)&amp;IF(Sync!$K1295="","0000",IF(AND(ISNUMBER(Sync!$K1295),Sync!$K1295&gt;=0,Sync!$K1295&lt;1),RIGHT("00"&amp;HOUR(Sync!$K1295),2)&amp;RIGHT("00"&amp;MINUTE(Sync!$K1295),2),IFERROR(RIGHT("00"&amp;VALUE(LEFT(Sync!$K1295,FIND(":",Sync!$K1295)-1)),2)&amp;RIGHT("00"&amp;VALUE(MID(Sync!$K1295,FIND(":",Sync!$K1295)+1,2)),2),"0000")))&amp;"|"&amp;"2"&amp;RIGHT("00000"&amp;1290,5))</f>
        <v/>
      </c>
      <c r="Q1295" t="str">
        <f>IF(Sync!$J1295="","",IF(ISNUMBER(Sync!$J1295),IF(AND(Sync!$J1295&gt;=10000101,Sync!$J1295&lt;=99991231),INT(Sync!$J1295/10000)&amp;"/"&amp;RIGHT("00"&amp;INT(MOD(Sync!$J1295,10000)/100),2)&amp;"/"&amp;RIGHT("00"&amp;MOD(Sync!$J1295,100),2),"نامعتبر"),IF(LEN(Sync!$J1295)=10,Sync!$J1295,"نامعتبر")))</f>
        <v/>
      </c>
      <c r="R1295" t="str">
        <f t="shared" si="125"/>
        <v/>
      </c>
      <c r="S1295" t="str">
        <f t="shared" si="126"/>
        <v/>
      </c>
      <c r="T1295" t="str">
        <f>IF($N1295="","",IF(Sync!$N1295="",0,Sync!$N1295))</f>
        <v/>
      </c>
      <c r="U1295" t="str">
        <f>IF($N1295="","",IF(Sync!$O1295="",0,Sync!$O1295))</f>
        <v/>
      </c>
      <c r="V1295" t="str">
        <f>IF($N1295="","",Sync!$L1295)</f>
        <v/>
      </c>
      <c r="W1295" t="str">
        <f>IF($N1295="","",Sync!$P1295)</f>
        <v/>
      </c>
    </row>
    <row r="1296" spans="14:23" x14ac:dyDescent="0.2">
      <c r="N1296" t="str">
        <f>IF(OR(Sync!$M1296="",$Q1296="",$Q1296="نامعتبر"),"",Sync!$M1296)</f>
        <v/>
      </c>
      <c r="O1296" t="str">
        <f t="shared" si="124"/>
        <v/>
      </c>
      <c r="P1296" t="str">
        <f>IF($N1296="","",LEFT($Q1296,4)&amp;MID($Q1296,6,2)&amp;RIGHT($Q1296,2)&amp;IF(Sync!$K1296="","0000",IF(AND(ISNUMBER(Sync!$K1296),Sync!$K1296&gt;=0,Sync!$K1296&lt;1),RIGHT("00"&amp;HOUR(Sync!$K1296),2)&amp;RIGHT("00"&amp;MINUTE(Sync!$K1296),2),IFERROR(RIGHT("00"&amp;VALUE(LEFT(Sync!$K1296,FIND(":",Sync!$K1296)-1)),2)&amp;RIGHT("00"&amp;VALUE(MID(Sync!$K1296,FIND(":",Sync!$K1296)+1,2)),2),"0000")))&amp;"|"&amp;"2"&amp;RIGHT("00000"&amp;1291,5))</f>
        <v/>
      </c>
      <c r="Q1296" t="str">
        <f>IF(Sync!$J1296="","",IF(ISNUMBER(Sync!$J1296),IF(AND(Sync!$J1296&gt;=10000101,Sync!$J1296&lt;=99991231),INT(Sync!$J1296/10000)&amp;"/"&amp;RIGHT("00"&amp;INT(MOD(Sync!$J1296,10000)/100),2)&amp;"/"&amp;RIGHT("00"&amp;MOD(Sync!$J1296,100),2),"نامعتبر"),IF(LEN(Sync!$J1296)=10,Sync!$J1296,"نامعتبر")))</f>
        <v/>
      </c>
      <c r="R1296" t="str">
        <f t="shared" si="125"/>
        <v/>
      </c>
      <c r="S1296" t="str">
        <f t="shared" si="126"/>
        <v/>
      </c>
      <c r="T1296" t="str">
        <f>IF($N1296="","",IF(Sync!$N1296="",0,Sync!$N1296))</f>
        <v/>
      </c>
      <c r="U1296" t="str">
        <f>IF($N1296="","",IF(Sync!$O1296="",0,Sync!$O1296))</f>
        <v/>
      </c>
      <c r="V1296" t="str">
        <f>IF($N1296="","",Sync!$L1296)</f>
        <v/>
      </c>
      <c r="W1296" t="str">
        <f>IF($N1296="","",Sync!$P1296)</f>
        <v/>
      </c>
    </row>
    <row r="1297" spans="14:23" x14ac:dyDescent="0.2">
      <c r="N1297" t="str">
        <f>IF(OR(Sync!$M1297="",$Q1297="",$Q1297="نامعتبر"),"",Sync!$M1297)</f>
        <v/>
      </c>
      <c r="O1297" t="str">
        <f t="shared" si="124"/>
        <v/>
      </c>
      <c r="P1297" t="str">
        <f>IF($N1297="","",LEFT($Q1297,4)&amp;MID($Q1297,6,2)&amp;RIGHT($Q1297,2)&amp;IF(Sync!$K1297="","0000",IF(AND(ISNUMBER(Sync!$K1297),Sync!$K1297&gt;=0,Sync!$K1297&lt;1),RIGHT("00"&amp;HOUR(Sync!$K1297),2)&amp;RIGHT("00"&amp;MINUTE(Sync!$K1297),2),IFERROR(RIGHT("00"&amp;VALUE(LEFT(Sync!$K1297,FIND(":",Sync!$K1297)-1)),2)&amp;RIGHT("00"&amp;VALUE(MID(Sync!$K1297,FIND(":",Sync!$K1297)+1,2)),2),"0000")))&amp;"|"&amp;"2"&amp;RIGHT("00000"&amp;1292,5))</f>
        <v/>
      </c>
      <c r="Q1297" t="str">
        <f>IF(Sync!$J1297="","",IF(ISNUMBER(Sync!$J1297),IF(AND(Sync!$J1297&gt;=10000101,Sync!$J1297&lt;=99991231),INT(Sync!$J1297/10000)&amp;"/"&amp;RIGHT("00"&amp;INT(MOD(Sync!$J1297,10000)/100),2)&amp;"/"&amp;RIGHT("00"&amp;MOD(Sync!$J1297,100),2),"نامعتبر"),IF(LEN(Sync!$J1297)=10,Sync!$J1297,"نامعتبر")))</f>
        <v/>
      </c>
      <c r="R1297" t="str">
        <f t="shared" si="125"/>
        <v/>
      </c>
      <c r="S1297" t="str">
        <f t="shared" si="126"/>
        <v/>
      </c>
      <c r="T1297" t="str">
        <f>IF($N1297="","",IF(Sync!$N1297="",0,Sync!$N1297))</f>
        <v/>
      </c>
      <c r="U1297" t="str">
        <f>IF($N1297="","",IF(Sync!$O1297="",0,Sync!$O1297))</f>
        <v/>
      </c>
      <c r="V1297" t="str">
        <f>IF($N1297="","",Sync!$L1297)</f>
        <v/>
      </c>
      <c r="W1297" t="str">
        <f>IF($N1297="","",Sync!$P1297)</f>
        <v/>
      </c>
    </row>
    <row r="1298" spans="14:23" x14ac:dyDescent="0.2">
      <c r="N1298" t="str">
        <f>IF(OR(Sync!$M1298="",$Q1298="",$Q1298="نامعتبر"),"",Sync!$M1298)</f>
        <v/>
      </c>
      <c r="O1298" t="str">
        <f t="shared" si="124"/>
        <v/>
      </c>
      <c r="P1298" t="str">
        <f>IF($N1298="","",LEFT($Q1298,4)&amp;MID($Q1298,6,2)&amp;RIGHT($Q1298,2)&amp;IF(Sync!$K1298="","0000",IF(AND(ISNUMBER(Sync!$K1298),Sync!$K1298&gt;=0,Sync!$K1298&lt;1),RIGHT("00"&amp;HOUR(Sync!$K1298),2)&amp;RIGHT("00"&amp;MINUTE(Sync!$K1298),2),IFERROR(RIGHT("00"&amp;VALUE(LEFT(Sync!$K1298,FIND(":",Sync!$K1298)-1)),2)&amp;RIGHT("00"&amp;VALUE(MID(Sync!$K1298,FIND(":",Sync!$K1298)+1,2)),2),"0000")))&amp;"|"&amp;"2"&amp;RIGHT("00000"&amp;1293,5))</f>
        <v/>
      </c>
      <c r="Q1298" t="str">
        <f>IF(Sync!$J1298="","",IF(ISNUMBER(Sync!$J1298),IF(AND(Sync!$J1298&gt;=10000101,Sync!$J1298&lt;=99991231),INT(Sync!$J1298/10000)&amp;"/"&amp;RIGHT("00"&amp;INT(MOD(Sync!$J1298,10000)/100),2)&amp;"/"&amp;RIGHT("00"&amp;MOD(Sync!$J1298,100),2),"نامعتبر"),IF(LEN(Sync!$J1298)=10,Sync!$J1298,"نامعتبر")))</f>
        <v/>
      </c>
      <c r="R1298" t="str">
        <f t="shared" si="125"/>
        <v/>
      </c>
      <c r="S1298" t="str">
        <f t="shared" si="126"/>
        <v/>
      </c>
      <c r="T1298" t="str">
        <f>IF($N1298="","",IF(Sync!$N1298="",0,Sync!$N1298))</f>
        <v/>
      </c>
      <c r="U1298" t="str">
        <f>IF($N1298="","",IF(Sync!$O1298="",0,Sync!$O1298))</f>
        <v/>
      </c>
      <c r="V1298" t="str">
        <f>IF($N1298="","",Sync!$L1298)</f>
        <v/>
      </c>
      <c r="W1298" t="str">
        <f>IF($N1298="","",Sync!$P1298)</f>
        <v/>
      </c>
    </row>
    <row r="1299" spans="14:23" x14ac:dyDescent="0.2">
      <c r="N1299" t="str">
        <f>IF(OR(Sync!$M1299="",$Q1299="",$Q1299="نامعتبر"),"",Sync!$M1299)</f>
        <v/>
      </c>
      <c r="O1299" t="str">
        <f t="shared" si="124"/>
        <v/>
      </c>
      <c r="P1299" t="str">
        <f>IF($N1299="","",LEFT($Q1299,4)&amp;MID($Q1299,6,2)&amp;RIGHT($Q1299,2)&amp;IF(Sync!$K1299="","0000",IF(AND(ISNUMBER(Sync!$K1299),Sync!$K1299&gt;=0,Sync!$K1299&lt;1),RIGHT("00"&amp;HOUR(Sync!$K1299),2)&amp;RIGHT("00"&amp;MINUTE(Sync!$K1299),2),IFERROR(RIGHT("00"&amp;VALUE(LEFT(Sync!$K1299,FIND(":",Sync!$K1299)-1)),2)&amp;RIGHT("00"&amp;VALUE(MID(Sync!$K1299,FIND(":",Sync!$K1299)+1,2)),2),"0000")))&amp;"|"&amp;"2"&amp;RIGHT("00000"&amp;1294,5))</f>
        <v/>
      </c>
      <c r="Q1299" t="str">
        <f>IF(Sync!$J1299="","",IF(ISNUMBER(Sync!$J1299),IF(AND(Sync!$J1299&gt;=10000101,Sync!$J1299&lt;=99991231),INT(Sync!$J1299/10000)&amp;"/"&amp;RIGHT("00"&amp;INT(MOD(Sync!$J1299,10000)/100),2)&amp;"/"&amp;RIGHT("00"&amp;MOD(Sync!$J1299,100),2),"نامعتبر"),IF(LEN(Sync!$J1299)=10,Sync!$J1299,"نامعتبر")))</f>
        <v/>
      </c>
      <c r="R1299" t="str">
        <f t="shared" si="125"/>
        <v/>
      </c>
      <c r="S1299" t="str">
        <f t="shared" si="126"/>
        <v/>
      </c>
      <c r="T1299" t="str">
        <f>IF($N1299="","",IF(Sync!$N1299="",0,Sync!$N1299))</f>
        <v/>
      </c>
      <c r="U1299" t="str">
        <f>IF($N1299="","",IF(Sync!$O1299="",0,Sync!$O1299))</f>
        <v/>
      </c>
      <c r="V1299" t="str">
        <f>IF($N1299="","",Sync!$L1299)</f>
        <v/>
      </c>
      <c r="W1299" t="str">
        <f>IF($N1299="","",Sync!$P1299)</f>
        <v/>
      </c>
    </row>
    <row r="1300" spans="14:23" x14ac:dyDescent="0.2">
      <c r="N1300" t="str">
        <f>IF(OR(Sync!$M1300="",$Q1300="",$Q1300="نامعتبر"),"",Sync!$M1300)</f>
        <v/>
      </c>
      <c r="O1300" t="str">
        <f t="shared" si="124"/>
        <v/>
      </c>
      <c r="P1300" t="str">
        <f>IF($N1300="","",LEFT($Q1300,4)&amp;MID($Q1300,6,2)&amp;RIGHT($Q1300,2)&amp;IF(Sync!$K1300="","0000",IF(AND(ISNUMBER(Sync!$K1300),Sync!$K1300&gt;=0,Sync!$K1300&lt;1),RIGHT("00"&amp;HOUR(Sync!$K1300),2)&amp;RIGHT("00"&amp;MINUTE(Sync!$K1300),2),IFERROR(RIGHT("00"&amp;VALUE(LEFT(Sync!$K1300,FIND(":",Sync!$K1300)-1)),2)&amp;RIGHT("00"&amp;VALUE(MID(Sync!$K1300,FIND(":",Sync!$K1300)+1,2)),2),"0000")))&amp;"|"&amp;"2"&amp;RIGHT("00000"&amp;1295,5))</f>
        <v/>
      </c>
      <c r="Q1300" t="str">
        <f>IF(Sync!$J1300="","",IF(ISNUMBER(Sync!$J1300),IF(AND(Sync!$J1300&gt;=10000101,Sync!$J1300&lt;=99991231),INT(Sync!$J1300/10000)&amp;"/"&amp;RIGHT("00"&amp;INT(MOD(Sync!$J1300,10000)/100),2)&amp;"/"&amp;RIGHT("00"&amp;MOD(Sync!$J1300,100),2),"نامعتبر"),IF(LEN(Sync!$J1300)=10,Sync!$J1300,"نامعتبر")))</f>
        <v/>
      </c>
      <c r="R1300" t="str">
        <f t="shared" si="125"/>
        <v/>
      </c>
      <c r="S1300" t="str">
        <f t="shared" si="126"/>
        <v/>
      </c>
      <c r="T1300" t="str">
        <f>IF($N1300="","",IF(Sync!$N1300="",0,Sync!$N1300))</f>
        <v/>
      </c>
      <c r="U1300" t="str">
        <f>IF($N1300="","",IF(Sync!$O1300="",0,Sync!$O1300))</f>
        <v/>
      </c>
      <c r="V1300" t="str">
        <f>IF($N1300="","",Sync!$L1300)</f>
        <v/>
      </c>
      <c r="W1300" t="str">
        <f>IF($N1300="","",Sync!$P1300)</f>
        <v/>
      </c>
    </row>
    <row r="1301" spans="14:23" x14ac:dyDescent="0.2">
      <c r="N1301" t="str">
        <f>IF(OR(Sync!$M1301="",$Q1301="",$Q1301="نامعتبر"),"",Sync!$M1301)</f>
        <v/>
      </c>
      <c r="O1301" t="str">
        <f t="shared" si="124"/>
        <v/>
      </c>
      <c r="P1301" t="str">
        <f>IF($N1301="","",LEFT($Q1301,4)&amp;MID($Q1301,6,2)&amp;RIGHT($Q1301,2)&amp;IF(Sync!$K1301="","0000",IF(AND(ISNUMBER(Sync!$K1301),Sync!$K1301&gt;=0,Sync!$K1301&lt;1),RIGHT("00"&amp;HOUR(Sync!$K1301),2)&amp;RIGHT("00"&amp;MINUTE(Sync!$K1301),2),IFERROR(RIGHT("00"&amp;VALUE(LEFT(Sync!$K1301,FIND(":",Sync!$K1301)-1)),2)&amp;RIGHT("00"&amp;VALUE(MID(Sync!$K1301,FIND(":",Sync!$K1301)+1,2)),2),"0000")))&amp;"|"&amp;"2"&amp;RIGHT("00000"&amp;1296,5))</f>
        <v/>
      </c>
      <c r="Q1301" t="str">
        <f>IF(Sync!$J1301="","",IF(ISNUMBER(Sync!$J1301),IF(AND(Sync!$J1301&gt;=10000101,Sync!$J1301&lt;=99991231),INT(Sync!$J1301/10000)&amp;"/"&amp;RIGHT("00"&amp;INT(MOD(Sync!$J1301,10000)/100),2)&amp;"/"&amp;RIGHT("00"&amp;MOD(Sync!$J1301,100),2),"نامعتبر"),IF(LEN(Sync!$J1301)=10,Sync!$J1301,"نامعتبر")))</f>
        <v/>
      </c>
      <c r="R1301" t="str">
        <f t="shared" si="125"/>
        <v/>
      </c>
      <c r="S1301" t="str">
        <f t="shared" si="126"/>
        <v/>
      </c>
      <c r="T1301" t="str">
        <f>IF($N1301="","",IF(Sync!$N1301="",0,Sync!$N1301))</f>
        <v/>
      </c>
      <c r="U1301" t="str">
        <f>IF($N1301="","",IF(Sync!$O1301="",0,Sync!$O1301))</f>
        <v/>
      </c>
      <c r="V1301" t="str">
        <f>IF($N1301="","",Sync!$L1301)</f>
        <v/>
      </c>
      <c r="W1301" t="str">
        <f>IF($N1301="","",Sync!$P1301)</f>
        <v/>
      </c>
    </row>
    <row r="1302" spans="14:23" x14ac:dyDescent="0.2">
      <c r="N1302" t="str">
        <f>IF(OR(Sync!$M1302="",$Q1302="",$Q1302="نامعتبر"),"",Sync!$M1302)</f>
        <v/>
      </c>
      <c r="O1302" t="str">
        <f t="shared" si="124"/>
        <v/>
      </c>
      <c r="P1302" t="str">
        <f>IF($N1302="","",LEFT($Q1302,4)&amp;MID($Q1302,6,2)&amp;RIGHT($Q1302,2)&amp;IF(Sync!$K1302="","0000",IF(AND(ISNUMBER(Sync!$K1302),Sync!$K1302&gt;=0,Sync!$K1302&lt;1),RIGHT("00"&amp;HOUR(Sync!$K1302),2)&amp;RIGHT("00"&amp;MINUTE(Sync!$K1302),2),IFERROR(RIGHT("00"&amp;VALUE(LEFT(Sync!$K1302,FIND(":",Sync!$K1302)-1)),2)&amp;RIGHT("00"&amp;VALUE(MID(Sync!$K1302,FIND(":",Sync!$K1302)+1,2)),2),"0000")))&amp;"|"&amp;"2"&amp;RIGHT("00000"&amp;1297,5))</f>
        <v/>
      </c>
      <c r="Q1302" t="str">
        <f>IF(Sync!$J1302="","",IF(ISNUMBER(Sync!$J1302),IF(AND(Sync!$J1302&gt;=10000101,Sync!$J1302&lt;=99991231),INT(Sync!$J1302/10000)&amp;"/"&amp;RIGHT("00"&amp;INT(MOD(Sync!$J1302,10000)/100),2)&amp;"/"&amp;RIGHT("00"&amp;MOD(Sync!$J1302,100),2),"نامعتبر"),IF(LEN(Sync!$J1302)=10,Sync!$J1302,"نامعتبر")))</f>
        <v/>
      </c>
      <c r="R1302" t="str">
        <f t="shared" si="125"/>
        <v/>
      </c>
      <c r="S1302" t="str">
        <f t="shared" si="126"/>
        <v/>
      </c>
      <c r="T1302" t="str">
        <f>IF($N1302="","",IF(Sync!$N1302="",0,Sync!$N1302))</f>
        <v/>
      </c>
      <c r="U1302" t="str">
        <f>IF($N1302="","",IF(Sync!$O1302="",0,Sync!$O1302))</f>
        <v/>
      </c>
      <c r="V1302" t="str">
        <f>IF($N1302="","",Sync!$L1302)</f>
        <v/>
      </c>
      <c r="W1302" t="str">
        <f>IF($N1302="","",Sync!$P1302)</f>
        <v/>
      </c>
    </row>
    <row r="1303" spans="14:23" x14ac:dyDescent="0.2">
      <c r="N1303" t="str">
        <f>IF(OR(Sync!$M1303="",$Q1303="",$Q1303="نامعتبر"),"",Sync!$M1303)</f>
        <v/>
      </c>
      <c r="O1303" t="str">
        <f t="shared" si="124"/>
        <v/>
      </c>
      <c r="P1303" t="str">
        <f>IF($N1303="","",LEFT($Q1303,4)&amp;MID($Q1303,6,2)&amp;RIGHT($Q1303,2)&amp;IF(Sync!$K1303="","0000",IF(AND(ISNUMBER(Sync!$K1303),Sync!$K1303&gt;=0,Sync!$K1303&lt;1),RIGHT("00"&amp;HOUR(Sync!$K1303),2)&amp;RIGHT("00"&amp;MINUTE(Sync!$K1303),2),IFERROR(RIGHT("00"&amp;VALUE(LEFT(Sync!$K1303,FIND(":",Sync!$K1303)-1)),2)&amp;RIGHT("00"&amp;VALUE(MID(Sync!$K1303,FIND(":",Sync!$K1303)+1,2)),2),"0000")))&amp;"|"&amp;"2"&amp;RIGHT("00000"&amp;1298,5))</f>
        <v/>
      </c>
      <c r="Q1303" t="str">
        <f>IF(Sync!$J1303="","",IF(ISNUMBER(Sync!$J1303),IF(AND(Sync!$J1303&gt;=10000101,Sync!$J1303&lt;=99991231),INT(Sync!$J1303/10000)&amp;"/"&amp;RIGHT("00"&amp;INT(MOD(Sync!$J1303,10000)/100),2)&amp;"/"&amp;RIGHT("00"&amp;MOD(Sync!$J1303,100),2),"نامعتبر"),IF(LEN(Sync!$J1303)=10,Sync!$J1303,"نامعتبر")))</f>
        <v/>
      </c>
      <c r="R1303" t="str">
        <f t="shared" si="125"/>
        <v/>
      </c>
      <c r="S1303" t="str">
        <f t="shared" si="126"/>
        <v/>
      </c>
      <c r="T1303" t="str">
        <f>IF($N1303="","",IF(Sync!$N1303="",0,Sync!$N1303))</f>
        <v/>
      </c>
      <c r="U1303" t="str">
        <f>IF($N1303="","",IF(Sync!$O1303="",0,Sync!$O1303))</f>
        <v/>
      </c>
      <c r="V1303" t="str">
        <f>IF($N1303="","",Sync!$L1303)</f>
        <v/>
      </c>
      <c r="W1303" t="str">
        <f>IF($N1303="","",Sync!$P1303)</f>
        <v/>
      </c>
    </row>
    <row r="1304" spans="14:23" x14ac:dyDescent="0.2">
      <c r="N1304" t="str">
        <f>IF(OR(Sync!$M1304="",$Q1304="",$Q1304="نامعتبر"),"",Sync!$M1304)</f>
        <v/>
      </c>
      <c r="O1304" t="str">
        <f t="shared" si="124"/>
        <v/>
      </c>
      <c r="P1304" t="str">
        <f>IF($N1304="","",LEFT($Q1304,4)&amp;MID($Q1304,6,2)&amp;RIGHT($Q1304,2)&amp;IF(Sync!$K1304="","0000",IF(AND(ISNUMBER(Sync!$K1304),Sync!$K1304&gt;=0,Sync!$K1304&lt;1),RIGHT("00"&amp;HOUR(Sync!$K1304),2)&amp;RIGHT("00"&amp;MINUTE(Sync!$K1304),2),IFERROR(RIGHT("00"&amp;VALUE(LEFT(Sync!$K1304,FIND(":",Sync!$K1304)-1)),2)&amp;RIGHT("00"&amp;VALUE(MID(Sync!$K1304,FIND(":",Sync!$K1304)+1,2)),2),"0000")))&amp;"|"&amp;"2"&amp;RIGHT("00000"&amp;1299,5))</f>
        <v/>
      </c>
      <c r="Q1304" t="str">
        <f>IF(Sync!$J1304="","",IF(ISNUMBER(Sync!$J1304),IF(AND(Sync!$J1304&gt;=10000101,Sync!$J1304&lt;=99991231),INT(Sync!$J1304/10000)&amp;"/"&amp;RIGHT("00"&amp;INT(MOD(Sync!$J1304,10000)/100),2)&amp;"/"&amp;RIGHT("00"&amp;MOD(Sync!$J1304,100),2),"نامعتبر"),IF(LEN(Sync!$J1304)=10,Sync!$J1304,"نامعتبر")))</f>
        <v/>
      </c>
      <c r="R1304" t="str">
        <f t="shared" si="125"/>
        <v/>
      </c>
      <c r="S1304" t="str">
        <f t="shared" si="126"/>
        <v/>
      </c>
      <c r="T1304" t="str">
        <f>IF($N1304="","",IF(Sync!$N1304="",0,Sync!$N1304))</f>
        <v/>
      </c>
      <c r="U1304" t="str">
        <f>IF($N1304="","",IF(Sync!$O1304="",0,Sync!$O1304))</f>
        <v/>
      </c>
      <c r="V1304" t="str">
        <f>IF($N1304="","",Sync!$L1304)</f>
        <v/>
      </c>
      <c r="W1304" t="str">
        <f>IF($N1304="","",Sync!$P1304)</f>
        <v/>
      </c>
    </row>
    <row r="1305" spans="14:23" x14ac:dyDescent="0.2">
      <c r="N1305" t="str">
        <f>IF(OR(Sync!$M1305="",$Q1305="",$Q1305="نامعتبر"),"",Sync!$M1305)</f>
        <v/>
      </c>
      <c r="O1305" t="str">
        <f t="shared" si="124"/>
        <v/>
      </c>
      <c r="P1305" t="str">
        <f>IF($N1305="","",LEFT($Q1305,4)&amp;MID($Q1305,6,2)&amp;RIGHT($Q1305,2)&amp;IF(Sync!$K1305="","0000",IF(AND(ISNUMBER(Sync!$K1305),Sync!$K1305&gt;=0,Sync!$K1305&lt;1),RIGHT("00"&amp;HOUR(Sync!$K1305),2)&amp;RIGHT("00"&amp;MINUTE(Sync!$K1305),2),IFERROR(RIGHT("00"&amp;VALUE(LEFT(Sync!$K1305,FIND(":",Sync!$K1305)-1)),2)&amp;RIGHT("00"&amp;VALUE(MID(Sync!$K1305,FIND(":",Sync!$K1305)+1,2)),2),"0000")))&amp;"|"&amp;"2"&amp;RIGHT("00000"&amp;1300,5))</f>
        <v/>
      </c>
      <c r="Q1305" t="str">
        <f>IF(Sync!$J1305="","",IF(ISNUMBER(Sync!$J1305),IF(AND(Sync!$J1305&gt;=10000101,Sync!$J1305&lt;=99991231),INT(Sync!$J1305/10000)&amp;"/"&amp;RIGHT("00"&amp;INT(MOD(Sync!$J1305,10000)/100),2)&amp;"/"&amp;RIGHT("00"&amp;MOD(Sync!$J1305,100),2),"نامعتبر"),IF(LEN(Sync!$J1305)=10,Sync!$J1305,"نامعتبر")))</f>
        <v/>
      </c>
      <c r="R1305" t="str">
        <f t="shared" si="125"/>
        <v/>
      </c>
      <c r="S1305" t="str">
        <f t="shared" si="126"/>
        <v/>
      </c>
      <c r="T1305" t="str">
        <f>IF($N1305="","",IF(Sync!$N1305="",0,Sync!$N1305))</f>
        <v/>
      </c>
      <c r="U1305" t="str">
        <f>IF($N1305="","",IF(Sync!$O1305="",0,Sync!$O1305))</f>
        <v/>
      </c>
      <c r="V1305" t="str">
        <f>IF($N1305="","",Sync!$L1305)</f>
        <v/>
      </c>
      <c r="W1305" t="str">
        <f>IF($N1305="","",Sync!$P1305)</f>
        <v/>
      </c>
    </row>
    <row r="1306" spans="14:23" x14ac:dyDescent="0.2">
      <c r="N1306" t="str">
        <f>IF(OR(Sync!$M1306="",$Q1306="",$Q1306="نامعتبر"),"",Sync!$M1306)</f>
        <v/>
      </c>
      <c r="O1306" t="str">
        <f t="shared" si="124"/>
        <v/>
      </c>
      <c r="P1306" t="str">
        <f>IF($N1306="","",LEFT($Q1306,4)&amp;MID($Q1306,6,2)&amp;RIGHT($Q1306,2)&amp;IF(Sync!$K1306="","0000",IF(AND(ISNUMBER(Sync!$K1306),Sync!$K1306&gt;=0,Sync!$K1306&lt;1),RIGHT("00"&amp;HOUR(Sync!$K1306),2)&amp;RIGHT("00"&amp;MINUTE(Sync!$K1306),2),IFERROR(RIGHT("00"&amp;VALUE(LEFT(Sync!$K1306,FIND(":",Sync!$K1306)-1)),2)&amp;RIGHT("00"&amp;VALUE(MID(Sync!$K1306,FIND(":",Sync!$K1306)+1,2)),2),"0000")))&amp;"|"&amp;"2"&amp;RIGHT("00000"&amp;1301,5))</f>
        <v/>
      </c>
      <c r="Q1306" t="str">
        <f>IF(Sync!$J1306="","",IF(ISNUMBER(Sync!$J1306),IF(AND(Sync!$J1306&gt;=10000101,Sync!$J1306&lt;=99991231),INT(Sync!$J1306/10000)&amp;"/"&amp;RIGHT("00"&amp;INT(MOD(Sync!$J1306,10000)/100),2)&amp;"/"&amp;RIGHT("00"&amp;MOD(Sync!$J1306,100),2),"نامعتبر"),IF(LEN(Sync!$J1306)=10,Sync!$J1306,"نامعتبر")))</f>
        <v/>
      </c>
      <c r="R1306" t="str">
        <f t="shared" si="125"/>
        <v/>
      </c>
      <c r="S1306" t="str">
        <f t="shared" si="126"/>
        <v/>
      </c>
      <c r="T1306" t="str">
        <f>IF($N1306="","",IF(Sync!$N1306="",0,Sync!$N1306))</f>
        <v/>
      </c>
      <c r="U1306" t="str">
        <f>IF($N1306="","",IF(Sync!$O1306="",0,Sync!$O1306))</f>
        <v/>
      </c>
      <c r="V1306" t="str">
        <f>IF($N1306="","",Sync!$L1306)</f>
        <v/>
      </c>
      <c r="W1306" t="str">
        <f>IF($N1306="","",Sync!$P1306)</f>
        <v/>
      </c>
    </row>
    <row r="1307" spans="14:23" x14ac:dyDescent="0.2">
      <c r="N1307" t="str">
        <f>IF(OR(Sync!$M1307="",$Q1307="",$Q1307="نامعتبر"),"",Sync!$M1307)</f>
        <v/>
      </c>
      <c r="O1307" t="str">
        <f t="shared" si="124"/>
        <v/>
      </c>
      <c r="P1307" t="str">
        <f>IF($N1307="","",LEFT($Q1307,4)&amp;MID($Q1307,6,2)&amp;RIGHT($Q1307,2)&amp;IF(Sync!$K1307="","0000",IF(AND(ISNUMBER(Sync!$K1307),Sync!$K1307&gt;=0,Sync!$K1307&lt;1),RIGHT("00"&amp;HOUR(Sync!$K1307),2)&amp;RIGHT("00"&amp;MINUTE(Sync!$K1307),2),IFERROR(RIGHT("00"&amp;VALUE(LEFT(Sync!$K1307,FIND(":",Sync!$K1307)-1)),2)&amp;RIGHT("00"&amp;VALUE(MID(Sync!$K1307,FIND(":",Sync!$K1307)+1,2)),2),"0000")))&amp;"|"&amp;"2"&amp;RIGHT("00000"&amp;1302,5))</f>
        <v/>
      </c>
      <c r="Q1307" t="str">
        <f>IF(Sync!$J1307="","",IF(ISNUMBER(Sync!$J1307),IF(AND(Sync!$J1307&gt;=10000101,Sync!$J1307&lt;=99991231),INT(Sync!$J1307/10000)&amp;"/"&amp;RIGHT("00"&amp;INT(MOD(Sync!$J1307,10000)/100),2)&amp;"/"&amp;RIGHT("00"&amp;MOD(Sync!$J1307,100),2),"نامعتبر"),IF(LEN(Sync!$J1307)=10,Sync!$J1307,"نامعتبر")))</f>
        <v/>
      </c>
      <c r="R1307" t="str">
        <f t="shared" si="125"/>
        <v/>
      </c>
      <c r="S1307" t="str">
        <f t="shared" si="126"/>
        <v/>
      </c>
      <c r="T1307" t="str">
        <f>IF($N1307="","",IF(Sync!$N1307="",0,Sync!$N1307))</f>
        <v/>
      </c>
      <c r="U1307" t="str">
        <f>IF($N1307="","",IF(Sync!$O1307="",0,Sync!$O1307))</f>
        <v/>
      </c>
      <c r="V1307" t="str">
        <f>IF($N1307="","",Sync!$L1307)</f>
        <v/>
      </c>
      <c r="W1307" t="str">
        <f>IF($N1307="","",Sync!$P1307)</f>
        <v/>
      </c>
    </row>
    <row r="1308" spans="14:23" x14ac:dyDescent="0.2">
      <c r="N1308" t="str">
        <f>IF(OR(Sync!$M1308="",$Q1308="",$Q1308="نامعتبر"),"",Sync!$M1308)</f>
        <v/>
      </c>
      <c r="O1308" t="str">
        <f t="shared" si="124"/>
        <v/>
      </c>
      <c r="P1308" t="str">
        <f>IF($N1308="","",LEFT($Q1308,4)&amp;MID($Q1308,6,2)&amp;RIGHT($Q1308,2)&amp;IF(Sync!$K1308="","0000",IF(AND(ISNUMBER(Sync!$K1308),Sync!$K1308&gt;=0,Sync!$K1308&lt;1),RIGHT("00"&amp;HOUR(Sync!$K1308),2)&amp;RIGHT("00"&amp;MINUTE(Sync!$K1308),2),IFERROR(RIGHT("00"&amp;VALUE(LEFT(Sync!$K1308,FIND(":",Sync!$K1308)-1)),2)&amp;RIGHT("00"&amp;VALUE(MID(Sync!$K1308,FIND(":",Sync!$K1308)+1,2)),2),"0000")))&amp;"|"&amp;"2"&amp;RIGHT("00000"&amp;1303,5))</f>
        <v/>
      </c>
      <c r="Q1308" t="str">
        <f>IF(Sync!$J1308="","",IF(ISNUMBER(Sync!$J1308),IF(AND(Sync!$J1308&gt;=10000101,Sync!$J1308&lt;=99991231),INT(Sync!$J1308/10000)&amp;"/"&amp;RIGHT("00"&amp;INT(MOD(Sync!$J1308,10000)/100),2)&amp;"/"&amp;RIGHT("00"&amp;MOD(Sync!$J1308,100),2),"نامعتبر"),IF(LEN(Sync!$J1308)=10,Sync!$J1308,"نامعتبر")))</f>
        <v/>
      </c>
      <c r="R1308" t="str">
        <f t="shared" si="125"/>
        <v/>
      </c>
      <c r="S1308" t="str">
        <f t="shared" si="126"/>
        <v/>
      </c>
      <c r="T1308" t="str">
        <f>IF($N1308="","",IF(Sync!$N1308="",0,Sync!$N1308))</f>
        <v/>
      </c>
      <c r="U1308" t="str">
        <f>IF($N1308="","",IF(Sync!$O1308="",0,Sync!$O1308))</f>
        <v/>
      </c>
      <c r="V1308" t="str">
        <f>IF($N1308="","",Sync!$L1308)</f>
        <v/>
      </c>
      <c r="W1308" t="str">
        <f>IF($N1308="","",Sync!$P1308)</f>
        <v/>
      </c>
    </row>
    <row r="1309" spans="14:23" x14ac:dyDescent="0.2">
      <c r="N1309" t="str">
        <f>IF(OR(Sync!$M1309="",$Q1309="",$Q1309="نامعتبر"),"",Sync!$M1309)</f>
        <v/>
      </c>
      <c r="O1309" t="str">
        <f t="shared" si="124"/>
        <v/>
      </c>
      <c r="P1309" t="str">
        <f>IF($N1309="","",LEFT($Q1309,4)&amp;MID($Q1309,6,2)&amp;RIGHT($Q1309,2)&amp;IF(Sync!$K1309="","0000",IF(AND(ISNUMBER(Sync!$K1309),Sync!$K1309&gt;=0,Sync!$K1309&lt;1),RIGHT("00"&amp;HOUR(Sync!$K1309),2)&amp;RIGHT("00"&amp;MINUTE(Sync!$K1309),2),IFERROR(RIGHT("00"&amp;VALUE(LEFT(Sync!$K1309,FIND(":",Sync!$K1309)-1)),2)&amp;RIGHT("00"&amp;VALUE(MID(Sync!$K1309,FIND(":",Sync!$K1309)+1,2)),2),"0000")))&amp;"|"&amp;"2"&amp;RIGHT("00000"&amp;1304,5))</f>
        <v/>
      </c>
      <c r="Q1309" t="str">
        <f>IF(Sync!$J1309="","",IF(ISNUMBER(Sync!$J1309),IF(AND(Sync!$J1309&gt;=10000101,Sync!$J1309&lt;=99991231),INT(Sync!$J1309/10000)&amp;"/"&amp;RIGHT("00"&amp;INT(MOD(Sync!$J1309,10000)/100),2)&amp;"/"&amp;RIGHT("00"&amp;MOD(Sync!$J1309,100),2),"نامعتبر"),IF(LEN(Sync!$J1309)=10,Sync!$J1309,"نامعتبر")))</f>
        <v/>
      </c>
      <c r="R1309" t="str">
        <f t="shared" si="125"/>
        <v/>
      </c>
      <c r="S1309" t="str">
        <f t="shared" si="126"/>
        <v/>
      </c>
      <c r="T1309" t="str">
        <f>IF($N1309="","",IF(Sync!$N1309="",0,Sync!$N1309))</f>
        <v/>
      </c>
      <c r="U1309" t="str">
        <f>IF($N1309="","",IF(Sync!$O1309="",0,Sync!$O1309))</f>
        <v/>
      </c>
      <c r="V1309" t="str">
        <f>IF($N1309="","",Sync!$L1309)</f>
        <v/>
      </c>
      <c r="W1309" t="str">
        <f>IF($N1309="","",Sync!$P1309)</f>
        <v/>
      </c>
    </row>
    <row r="1310" spans="14:23" x14ac:dyDescent="0.2">
      <c r="N1310" t="str">
        <f>IF(OR(Sync!$M1310="",$Q1310="",$Q1310="نامعتبر"),"",Sync!$M1310)</f>
        <v/>
      </c>
      <c r="O1310" t="str">
        <f t="shared" si="124"/>
        <v/>
      </c>
      <c r="P1310" t="str">
        <f>IF($N1310="","",LEFT($Q1310,4)&amp;MID($Q1310,6,2)&amp;RIGHT($Q1310,2)&amp;IF(Sync!$K1310="","0000",IF(AND(ISNUMBER(Sync!$K1310),Sync!$K1310&gt;=0,Sync!$K1310&lt;1),RIGHT("00"&amp;HOUR(Sync!$K1310),2)&amp;RIGHT("00"&amp;MINUTE(Sync!$K1310),2),IFERROR(RIGHT("00"&amp;VALUE(LEFT(Sync!$K1310,FIND(":",Sync!$K1310)-1)),2)&amp;RIGHT("00"&amp;VALUE(MID(Sync!$K1310,FIND(":",Sync!$K1310)+1,2)),2),"0000")))&amp;"|"&amp;"2"&amp;RIGHT("00000"&amp;1305,5))</f>
        <v/>
      </c>
      <c r="Q1310" t="str">
        <f>IF(Sync!$J1310="","",IF(ISNUMBER(Sync!$J1310),IF(AND(Sync!$J1310&gt;=10000101,Sync!$J1310&lt;=99991231),INT(Sync!$J1310/10000)&amp;"/"&amp;RIGHT("00"&amp;INT(MOD(Sync!$J1310,10000)/100),2)&amp;"/"&amp;RIGHT("00"&amp;MOD(Sync!$J1310,100),2),"نامعتبر"),IF(LEN(Sync!$J1310)=10,Sync!$J1310,"نامعتبر")))</f>
        <v/>
      </c>
      <c r="R1310" t="str">
        <f t="shared" si="125"/>
        <v/>
      </c>
      <c r="S1310" t="str">
        <f t="shared" si="126"/>
        <v/>
      </c>
      <c r="T1310" t="str">
        <f>IF($N1310="","",IF(Sync!$N1310="",0,Sync!$N1310))</f>
        <v/>
      </c>
      <c r="U1310" t="str">
        <f>IF($N1310="","",IF(Sync!$O1310="",0,Sync!$O1310))</f>
        <v/>
      </c>
      <c r="V1310" t="str">
        <f>IF($N1310="","",Sync!$L1310)</f>
        <v/>
      </c>
      <c r="W1310" t="str">
        <f>IF($N1310="","",Sync!$P1310)</f>
        <v/>
      </c>
    </row>
    <row r="1311" spans="14:23" x14ac:dyDescent="0.2">
      <c r="N1311" t="str">
        <f>IF(OR(Sync!$M1311="",$Q1311="",$Q1311="نامعتبر"),"",Sync!$M1311)</f>
        <v/>
      </c>
      <c r="O1311" t="str">
        <f t="shared" si="124"/>
        <v/>
      </c>
      <c r="P1311" t="str">
        <f>IF($N1311="","",LEFT($Q1311,4)&amp;MID($Q1311,6,2)&amp;RIGHT($Q1311,2)&amp;IF(Sync!$K1311="","0000",IF(AND(ISNUMBER(Sync!$K1311),Sync!$K1311&gt;=0,Sync!$K1311&lt;1),RIGHT("00"&amp;HOUR(Sync!$K1311),2)&amp;RIGHT("00"&amp;MINUTE(Sync!$K1311),2),IFERROR(RIGHT("00"&amp;VALUE(LEFT(Sync!$K1311,FIND(":",Sync!$K1311)-1)),2)&amp;RIGHT("00"&amp;VALUE(MID(Sync!$K1311,FIND(":",Sync!$K1311)+1,2)),2),"0000")))&amp;"|"&amp;"2"&amp;RIGHT("00000"&amp;1306,5))</f>
        <v/>
      </c>
      <c r="Q1311" t="str">
        <f>IF(Sync!$J1311="","",IF(ISNUMBER(Sync!$J1311),IF(AND(Sync!$J1311&gt;=10000101,Sync!$J1311&lt;=99991231),INT(Sync!$J1311/10000)&amp;"/"&amp;RIGHT("00"&amp;INT(MOD(Sync!$J1311,10000)/100),2)&amp;"/"&amp;RIGHT("00"&amp;MOD(Sync!$J1311,100),2),"نامعتبر"),IF(LEN(Sync!$J1311)=10,Sync!$J1311,"نامعتبر")))</f>
        <v/>
      </c>
      <c r="R1311" t="str">
        <f t="shared" si="125"/>
        <v/>
      </c>
      <c r="S1311" t="str">
        <f t="shared" si="126"/>
        <v/>
      </c>
      <c r="T1311" t="str">
        <f>IF($N1311="","",IF(Sync!$N1311="",0,Sync!$N1311))</f>
        <v/>
      </c>
      <c r="U1311" t="str">
        <f>IF($N1311="","",IF(Sync!$O1311="",0,Sync!$O1311))</f>
        <v/>
      </c>
      <c r="V1311" t="str">
        <f>IF($N1311="","",Sync!$L1311)</f>
        <v/>
      </c>
      <c r="W1311" t="str">
        <f>IF($N1311="","",Sync!$P1311)</f>
        <v/>
      </c>
    </row>
    <row r="1312" spans="14:23" x14ac:dyDescent="0.2">
      <c r="N1312" t="str">
        <f>IF(OR(Sync!$M1312="",$Q1312="",$Q1312="نامعتبر"),"",Sync!$M1312)</f>
        <v/>
      </c>
      <c r="O1312" t="str">
        <f t="shared" si="124"/>
        <v/>
      </c>
      <c r="P1312" t="str">
        <f>IF($N1312="","",LEFT($Q1312,4)&amp;MID($Q1312,6,2)&amp;RIGHT($Q1312,2)&amp;IF(Sync!$K1312="","0000",IF(AND(ISNUMBER(Sync!$K1312),Sync!$K1312&gt;=0,Sync!$K1312&lt;1),RIGHT("00"&amp;HOUR(Sync!$K1312),2)&amp;RIGHT("00"&amp;MINUTE(Sync!$K1312),2),IFERROR(RIGHT("00"&amp;VALUE(LEFT(Sync!$K1312,FIND(":",Sync!$K1312)-1)),2)&amp;RIGHT("00"&amp;VALUE(MID(Sync!$K1312,FIND(":",Sync!$K1312)+1,2)),2),"0000")))&amp;"|"&amp;"2"&amp;RIGHT("00000"&amp;1307,5))</f>
        <v/>
      </c>
      <c r="Q1312" t="str">
        <f>IF(Sync!$J1312="","",IF(ISNUMBER(Sync!$J1312),IF(AND(Sync!$J1312&gt;=10000101,Sync!$J1312&lt;=99991231),INT(Sync!$J1312/10000)&amp;"/"&amp;RIGHT("00"&amp;INT(MOD(Sync!$J1312,10000)/100),2)&amp;"/"&amp;RIGHT("00"&amp;MOD(Sync!$J1312,100),2),"نامعتبر"),IF(LEN(Sync!$J1312)=10,Sync!$J1312,"نامعتبر")))</f>
        <v/>
      </c>
      <c r="R1312" t="str">
        <f t="shared" si="125"/>
        <v/>
      </c>
      <c r="S1312" t="str">
        <f t="shared" si="126"/>
        <v/>
      </c>
      <c r="T1312" t="str">
        <f>IF($N1312="","",IF(Sync!$N1312="",0,Sync!$N1312))</f>
        <v/>
      </c>
      <c r="U1312" t="str">
        <f>IF($N1312="","",IF(Sync!$O1312="",0,Sync!$O1312))</f>
        <v/>
      </c>
      <c r="V1312" t="str">
        <f>IF($N1312="","",Sync!$L1312)</f>
        <v/>
      </c>
      <c r="W1312" t="str">
        <f>IF($N1312="","",Sync!$P1312)</f>
        <v/>
      </c>
    </row>
    <row r="1313" spans="14:23" x14ac:dyDescent="0.2">
      <c r="N1313" t="str">
        <f>IF(OR(Sync!$M1313="",$Q1313="",$Q1313="نامعتبر"),"",Sync!$M1313)</f>
        <v/>
      </c>
      <c r="O1313" t="str">
        <f t="shared" si="124"/>
        <v/>
      </c>
      <c r="P1313" t="str">
        <f>IF($N1313="","",LEFT($Q1313,4)&amp;MID($Q1313,6,2)&amp;RIGHT($Q1313,2)&amp;IF(Sync!$K1313="","0000",IF(AND(ISNUMBER(Sync!$K1313),Sync!$K1313&gt;=0,Sync!$K1313&lt;1),RIGHT("00"&amp;HOUR(Sync!$K1313),2)&amp;RIGHT("00"&amp;MINUTE(Sync!$K1313),2),IFERROR(RIGHT("00"&amp;VALUE(LEFT(Sync!$K1313,FIND(":",Sync!$K1313)-1)),2)&amp;RIGHT("00"&amp;VALUE(MID(Sync!$K1313,FIND(":",Sync!$K1313)+1,2)),2),"0000")))&amp;"|"&amp;"2"&amp;RIGHT("00000"&amp;1308,5))</f>
        <v/>
      </c>
      <c r="Q1313" t="str">
        <f>IF(Sync!$J1313="","",IF(ISNUMBER(Sync!$J1313),IF(AND(Sync!$J1313&gt;=10000101,Sync!$J1313&lt;=99991231),INT(Sync!$J1313/10000)&amp;"/"&amp;RIGHT("00"&amp;INT(MOD(Sync!$J1313,10000)/100),2)&amp;"/"&amp;RIGHT("00"&amp;MOD(Sync!$J1313,100),2),"نامعتبر"),IF(LEN(Sync!$J1313)=10,Sync!$J1313,"نامعتبر")))</f>
        <v/>
      </c>
      <c r="R1313" t="str">
        <f t="shared" si="125"/>
        <v/>
      </c>
      <c r="S1313" t="str">
        <f t="shared" si="126"/>
        <v/>
      </c>
      <c r="T1313" t="str">
        <f>IF($N1313="","",IF(Sync!$N1313="",0,Sync!$N1313))</f>
        <v/>
      </c>
      <c r="U1313" t="str">
        <f>IF($N1313="","",IF(Sync!$O1313="",0,Sync!$O1313))</f>
        <v/>
      </c>
      <c r="V1313" t="str">
        <f>IF($N1313="","",Sync!$L1313)</f>
        <v/>
      </c>
      <c r="W1313" t="str">
        <f>IF($N1313="","",Sync!$P1313)</f>
        <v/>
      </c>
    </row>
    <row r="1314" spans="14:23" x14ac:dyDescent="0.2">
      <c r="N1314" t="str">
        <f>IF(OR(Sync!$M1314="",$Q1314="",$Q1314="نامعتبر"),"",Sync!$M1314)</f>
        <v/>
      </c>
      <c r="O1314" t="str">
        <f t="shared" si="124"/>
        <v/>
      </c>
      <c r="P1314" t="str">
        <f>IF($N1314="","",LEFT($Q1314,4)&amp;MID($Q1314,6,2)&amp;RIGHT($Q1314,2)&amp;IF(Sync!$K1314="","0000",IF(AND(ISNUMBER(Sync!$K1314),Sync!$K1314&gt;=0,Sync!$K1314&lt;1),RIGHT("00"&amp;HOUR(Sync!$K1314),2)&amp;RIGHT("00"&amp;MINUTE(Sync!$K1314),2),IFERROR(RIGHT("00"&amp;VALUE(LEFT(Sync!$K1314,FIND(":",Sync!$K1314)-1)),2)&amp;RIGHT("00"&amp;VALUE(MID(Sync!$K1314,FIND(":",Sync!$K1314)+1,2)),2),"0000")))&amp;"|"&amp;"2"&amp;RIGHT("00000"&amp;1309,5))</f>
        <v/>
      </c>
      <c r="Q1314" t="str">
        <f>IF(Sync!$J1314="","",IF(ISNUMBER(Sync!$J1314),IF(AND(Sync!$J1314&gt;=10000101,Sync!$J1314&lt;=99991231),INT(Sync!$J1314/10000)&amp;"/"&amp;RIGHT("00"&amp;INT(MOD(Sync!$J1314,10000)/100),2)&amp;"/"&amp;RIGHT("00"&amp;MOD(Sync!$J1314,100),2),"نامعتبر"),IF(LEN(Sync!$J1314)=10,Sync!$J1314,"نامعتبر")))</f>
        <v/>
      </c>
      <c r="R1314" t="str">
        <f t="shared" si="125"/>
        <v/>
      </c>
      <c r="S1314" t="str">
        <f t="shared" si="126"/>
        <v/>
      </c>
      <c r="T1314" t="str">
        <f>IF($N1314="","",IF(Sync!$N1314="",0,Sync!$N1314))</f>
        <v/>
      </c>
      <c r="U1314" t="str">
        <f>IF($N1314="","",IF(Sync!$O1314="",0,Sync!$O1314))</f>
        <v/>
      </c>
      <c r="V1314" t="str">
        <f>IF($N1314="","",Sync!$L1314)</f>
        <v/>
      </c>
      <c r="W1314" t="str">
        <f>IF($N1314="","",Sync!$P1314)</f>
        <v/>
      </c>
    </row>
    <row r="1315" spans="14:23" x14ac:dyDescent="0.2">
      <c r="N1315" t="str">
        <f>IF(OR(Sync!$M1315="",$Q1315="",$Q1315="نامعتبر"),"",Sync!$M1315)</f>
        <v/>
      </c>
      <c r="O1315" t="str">
        <f t="shared" si="124"/>
        <v/>
      </c>
      <c r="P1315" t="str">
        <f>IF($N1315="","",LEFT($Q1315,4)&amp;MID($Q1315,6,2)&amp;RIGHT($Q1315,2)&amp;IF(Sync!$K1315="","0000",IF(AND(ISNUMBER(Sync!$K1315),Sync!$K1315&gt;=0,Sync!$K1315&lt;1),RIGHT("00"&amp;HOUR(Sync!$K1315),2)&amp;RIGHT("00"&amp;MINUTE(Sync!$K1315),2),IFERROR(RIGHT("00"&amp;VALUE(LEFT(Sync!$K1315,FIND(":",Sync!$K1315)-1)),2)&amp;RIGHT("00"&amp;VALUE(MID(Sync!$K1315,FIND(":",Sync!$K1315)+1,2)),2),"0000")))&amp;"|"&amp;"2"&amp;RIGHT("00000"&amp;1310,5))</f>
        <v/>
      </c>
      <c r="Q1315" t="str">
        <f>IF(Sync!$J1315="","",IF(ISNUMBER(Sync!$J1315),IF(AND(Sync!$J1315&gt;=10000101,Sync!$J1315&lt;=99991231),INT(Sync!$J1315/10000)&amp;"/"&amp;RIGHT("00"&amp;INT(MOD(Sync!$J1315,10000)/100),2)&amp;"/"&amp;RIGHT("00"&amp;MOD(Sync!$J1315,100),2),"نامعتبر"),IF(LEN(Sync!$J1315)=10,Sync!$J1315,"نامعتبر")))</f>
        <v/>
      </c>
      <c r="R1315" t="str">
        <f t="shared" si="125"/>
        <v/>
      </c>
      <c r="S1315" t="str">
        <f t="shared" si="126"/>
        <v/>
      </c>
      <c r="T1315" t="str">
        <f>IF($N1315="","",IF(Sync!$N1315="",0,Sync!$N1315))</f>
        <v/>
      </c>
      <c r="U1315" t="str">
        <f>IF($N1315="","",IF(Sync!$O1315="",0,Sync!$O1315))</f>
        <v/>
      </c>
      <c r="V1315" t="str">
        <f>IF($N1315="","",Sync!$L1315)</f>
        <v/>
      </c>
      <c r="W1315" t="str">
        <f>IF($N1315="","",Sync!$P1315)</f>
        <v/>
      </c>
    </row>
    <row r="1316" spans="14:23" x14ac:dyDescent="0.2">
      <c r="N1316" t="str">
        <f>IF(OR(Sync!$M1316="",$Q1316="",$Q1316="نامعتبر"),"",Sync!$M1316)</f>
        <v/>
      </c>
      <c r="O1316" t="str">
        <f t="shared" si="124"/>
        <v/>
      </c>
      <c r="P1316" t="str">
        <f>IF($N1316="","",LEFT($Q1316,4)&amp;MID($Q1316,6,2)&amp;RIGHT($Q1316,2)&amp;IF(Sync!$K1316="","0000",IF(AND(ISNUMBER(Sync!$K1316),Sync!$K1316&gt;=0,Sync!$K1316&lt;1),RIGHT("00"&amp;HOUR(Sync!$K1316),2)&amp;RIGHT("00"&amp;MINUTE(Sync!$K1316),2),IFERROR(RIGHT("00"&amp;VALUE(LEFT(Sync!$K1316,FIND(":",Sync!$K1316)-1)),2)&amp;RIGHT("00"&amp;VALUE(MID(Sync!$K1316,FIND(":",Sync!$K1316)+1,2)),2),"0000")))&amp;"|"&amp;"2"&amp;RIGHT("00000"&amp;1311,5))</f>
        <v/>
      </c>
      <c r="Q1316" t="str">
        <f>IF(Sync!$J1316="","",IF(ISNUMBER(Sync!$J1316),IF(AND(Sync!$J1316&gt;=10000101,Sync!$J1316&lt;=99991231),INT(Sync!$J1316/10000)&amp;"/"&amp;RIGHT("00"&amp;INT(MOD(Sync!$J1316,10000)/100),2)&amp;"/"&amp;RIGHT("00"&amp;MOD(Sync!$J1316,100),2),"نامعتبر"),IF(LEN(Sync!$J1316)=10,Sync!$J1316,"نامعتبر")))</f>
        <v/>
      </c>
      <c r="R1316" t="str">
        <f t="shared" si="125"/>
        <v/>
      </c>
      <c r="S1316" t="str">
        <f t="shared" si="126"/>
        <v/>
      </c>
      <c r="T1316" t="str">
        <f>IF($N1316="","",IF(Sync!$N1316="",0,Sync!$N1316))</f>
        <v/>
      </c>
      <c r="U1316" t="str">
        <f>IF($N1316="","",IF(Sync!$O1316="",0,Sync!$O1316))</f>
        <v/>
      </c>
      <c r="V1316" t="str">
        <f>IF($N1316="","",Sync!$L1316)</f>
        <v/>
      </c>
      <c r="W1316" t="str">
        <f>IF($N1316="","",Sync!$P1316)</f>
        <v/>
      </c>
    </row>
    <row r="1317" spans="14:23" x14ac:dyDescent="0.2">
      <c r="N1317" t="str">
        <f>IF(OR(Sync!$M1317="",$Q1317="",$Q1317="نامعتبر"),"",Sync!$M1317)</f>
        <v/>
      </c>
      <c r="O1317" t="str">
        <f t="shared" si="124"/>
        <v/>
      </c>
      <c r="P1317" t="str">
        <f>IF($N1317="","",LEFT($Q1317,4)&amp;MID($Q1317,6,2)&amp;RIGHT($Q1317,2)&amp;IF(Sync!$K1317="","0000",IF(AND(ISNUMBER(Sync!$K1317),Sync!$K1317&gt;=0,Sync!$K1317&lt;1),RIGHT("00"&amp;HOUR(Sync!$K1317),2)&amp;RIGHT("00"&amp;MINUTE(Sync!$K1317),2),IFERROR(RIGHT("00"&amp;VALUE(LEFT(Sync!$K1317,FIND(":",Sync!$K1317)-1)),2)&amp;RIGHT("00"&amp;VALUE(MID(Sync!$K1317,FIND(":",Sync!$K1317)+1,2)),2),"0000")))&amp;"|"&amp;"2"&amp;RIGHT("00000"&amp;1312,5))</f>
        <v/>
      </c>
      <c r="Q1317" t="str">
        <f>IF(Sync!$J1317="","",IF(ISNUMBER(Sync!$J1317),IF(AND(Sync!$J1317&gt;=10000101,Sync!$J1317&lt;=99991231),INT(Sync!$J1317/10000)&amp;"/"&amp;RIGHT("00"&amp;INT(MOD(Sync!$J1317,10000)/100),2)&amp;"/"&amp;RIGHT("00"&amp;MOD(Sync!$J1317,100),2),"نامعتبر"),IF(LEN(Sync!$J1317)=10,Sync!$J1317,"نامعتبر")))</f>
        <v/>
      </c>
      <c r="R1317" t="str">
        <f t="shared" si="125"/>
        <v/>
      </c>
      <c r="S1317" t="str">
        <f t="shared" si="126"/>
        <v/>
      </c>
      <c r="T1317" t="str">
        <f>IF($N1317="","",IF(Sync!$N1317="",0,Sync!$N1317))</f>
        <v/>
      </c>
      <c r="U1317" t="str">
        <f>IF($N1317="","",IF(Sync!$O1317="",0,Sync!$O1317))</f>
        <v/>
      </c>
      <c r="V1317" t="str">
        <f>IF($N1317="","",Sync!$L1317)</f>
        <v/>
      </c>
      <c r="W1317" t="str">
        <f>IF($N1317="","",Sync!$P1317)</f>
        <v/>
      </c>
    </row>
    <row r="1318" spans="14:23" x14ac:dyDescent="0.2">
      <c r="N1318" t="str">
        <f>IF(OR(Sync!$M1318="",$Q1318="",$Q1318="نامعتبر"),"",Sync!$M1318)</f>
        <v/>
      </c>
      <c r="O1318" t="str">
        <f t="shared" si="124"/>
        <v/>
      </c>
      <c r="P1318" t="str">
        <f>IF($N1318="","",LEFT($Q1318,4)&amp;MID($Q1318,6,2)&amp;RIGHT($Q1318,2)&amp;IF(Sync!$K1318="","0000",IF(AND(ISNUMBER(Sync!$K1318),Sync!$K1318&gt;=0,Sync!$K1318&lt;1),RIGHT("00"&amp;HOUR(Sync!$K1318),2)&amp;RIGHT("00"&amp;MINUTE(Sync!$K1318),2),IFERROR(RIGHT("00"&amp;VALUE(LEFT(Sync!$K1318,FIND(":",Sync!$K1318)-1)),2)&amp;RIGHT("00"&amp;VALUE(MID(Sync!$K1318,FIND(":",Sync!$K1318)+1,2)),2),"0000")))&amp;"|"&amp;"2"&amp;RIGHT("00000"&amp;1313,5))</f>
        <v/>
      </c>
      <c r="Q1318" t="str">
        <f>IF(Sync!$J1318="","",IF(ISNUMBER(Sync!$J1318),IF(AND(Sync!$J1318&gt;=10000101,Sync!$J1318&lt;=99991231),INT(Sync!$J1318/10000)&amp;"/"&amp;RIGHT("00"&amp;INT(MOD(Sync!$J1318,10000)/100),2)&amp;"/"&amp;RIGHT("00"&amp;MOD(Sync!$J1318,100),2),"نامعتبر"),IF(LEN(Sync!$J1318)=10,Sync!$J1318,"نامعتبر")))</f>
        <v/>
      </c>
      <c r="R1318" t="str">
        <f t="shared" si="125"/>
        <v/>
      </c>
      <c r="S1318" t="str">
        <f t="shared" si="126"/>
        <v/>
      </c>
      <c r="T1318" t="str">
        <f>IF($N1318="","",IF(Sync!$N1318="",0,Sync!$N1318))</f>
        <v/>
      </c>
      <c r="U1318" t="str">
        <f>IF($N1318="","",IF(Sync!$O1318="",0,Sync!$O1318))</f>
        <v/>
      </c>
      <c r="V1318" t="str">
        <f>IF($N1318="","",Sync!$L1318)</f>
        <v/>
      </c>
      <c r="W1318" t="str">
        <f>IF($N1318="","",Sync!$P1318)</f>
        <v/>
      </c>
    </row>
    <row r="1319" spans="14:23" x14ac:dyDescent="0.2">
      <c r="N1319" t="str">
        <f>IF(OR(Sync!$M1319="",$Q1319="",$Q1319="نامعتبر"),"",Sync!$M1319)</f>
        <v/>
      </c>
      <c r="O1319" t="str">
        <f t="shared" si="124"/>
        <v/>
      </c>
      <c r="P1319" t="str">
        <f>IF($N1319="","",LEFT($Q1319,4)&amp;MID($Q1319,6,2)&amp;RIGHT($Q1319,2)&amp;IF(Sync!$K1319="","0000",IF(AND(ISNUMBER(Sync!$K1319),Sync!$K1319&gt;=0,Sync!$K1319&lt;1),RIGHT("00"&amp;HOUR(Sync!$K1319),2)&amp;RIGHT("00"&amp;MINUTE(Sync!$K1319),2),IFERROR(RIGHT("00"&amp;VALUE(LEFT(Sync!$K1319,FIND(":",Sync!$K1319)-1)),2)&amp;RIGHT("00"&amp;VALUE(MID(Sync!$K1319,FIND(":",Sync!$K1319)+1,2)),2),"0000")))&amp;"|"&amp;"2"&amp;RIGHT("00000"&amp;1314,5))</f>
        <v/>
      </c>
      <c r="Q1319" t="str">
        <f>IF(Sync!$J1319="","",IF(ISNUMBER(Sync!$J1319),IF(AND(Sync!$J1319&gt;=10000101,Sync!$J1319&lt;=99991231),INT(Sync!$J1319/10000)&amp;"/"&amp;RIGHT("00"&amp;INT(MOD(Sync!$J1319,10000)/100),2)&amp;"/"&amp;RIGHT("00"&amp;MOD(Sync!$J1319,100),2),"نامعتبر"),IF(LEN(Sync!$J1319)=10,Sync!$J1319,"نامعتبر")))</f>
        <v/>
      </c>
      <c r="R1319" t="str">
        <f t="shared" si="125"/>
        <v/>
      </c>
      <c r="S1319" t="str">
        <f t="shared" si="126"/>
        <v/>
      </c>
      <c r="T1319" t="str">
        <f>IF($N1319="","",IF(Sync!$N1319="",0,Sync!$N1319))</f>
        <v/>
      </c>
      <c r="U1319" t="str">
        <f>IF($N1319="","",IF(Sync!$O1319="",0,Sync!$O1319))</f>
        <v/>
      </c>
      <c r="V1319" t="str">
        <f>IF($N1319="","",Sync!$L1319)</f>
        <v/>
      </c>
      <c r="W1319" t="str">
        <f>IF($N1319="","",Sync!$P1319)</f>
        <v/>
      </c>
    </row>
    <row r="1320" spans="14:23" x14ac:dyDescent="0.2">
      <c r="N1320" t="str">
        <f>IF(OR(Sync!$M1320="",$Q1320="",$Q1320="نامعتبر"),"",Sync!$M1320)</f>
        <v/>
      </c>
      <c r="O1320" t="str">
        <f t="shared" si="124"/>
        <v/>
      </c>
      <c r="P1320" t="str">
        <f>IF($N1320="","",LEFT($Q1320,4)&amp;MID($Q1320,6,2)&amp;RIGHT($Q1320,2)&amp;IF(Sync!$K1320="","0000",IF(AND(ISNUMBER(Sync!$K1320),Sync!$K1320&gt;=0,Sync!$K1320&lt;1),RIGHT("00"&amp;HOUR(Sync!$K1320),2)&amp;RIGHT("00"&amp;MINUTE(Sync!$K1320),2),IFERROR(RIGHT("00"&amp;VALUE(LEFT(Sync!$K1320,FIND(":",Sync!$K1320)-1)),2)&amp;RIGHT("00"&amp;VALUE(MID(Sync!$K1320,FIND(":",Sync!$K1320)+1,2)),2),"0000")))&amp;"|"&amp;"2"&amp;RIGHT("00000"&amp;1315,5))</f>
        <v/>
      </c>
      <c r="Q1320" t="str">
        <f>IF(Sync!$J1320="","",IF(ISNUMBER(Sync!$J1320),IF(AND(Sync!$J1320&gt;=10000101,Sync!$J1320&lt;=99991231),INT(Sync!$J1320/10000)&amp;"/"&amp;RIGHT("00"&amp;INT(MOD(Sync!$J1320,10000)/100),2)&amp;"/"&amp;RIGHT("00"&amp;MOD(Sync!$J1320,100),2),"نامعتبر"),IF(LEN(Sync!$J1320)=10,Sync!$J1320,"نامعتبر")))</f>
        <v/>
      </c>
      <c r="R1320" t="str">
        <f t="shared" si="125"/>
        <v/>
      </c>
      <c r="S1320" t="str">
        <f t="shared" si="126"/>
        <v/>
      </c>
      <c r="T1320" t="str">
        <f>IF($N1320="","",IF(Sync!$N1320="",0,Sync!$N1320))</f>
        <v/>
      </c>
      <c r="U1320" t="str">
        <f>IF($N1320="","",IF(Sync!$O1320="",0,Sync!$O1320))</f>
        <v/>
      </c>
      <c r="V1320" t="str">
        <f>IF($N1320="","",Sync!$L1320)</f>
        <v/>
      </c>
      <c r="W1320" t="str">
        <f>IF($N1320="","",Sync!$P1320)</f>
        <v/>
      </c>
    </row>
    <row r="1321" spans="14:23" x14ac:dyDescent="0.2">
      <c r="N1321" t="str">
        <f>IF(OR(Sync!$M1321="",$Q1321="",$Q1321="نامعتبر"),"",Sync!$M1321)</f>
        <v/>
      </c>
      <c r="O1321" t="str">
        <f t="shared" si="124"/>
        <v/>
      </c>
      <c r="P1321" t="str">
        <f>IF($N1321="","",LEFT($Q1321,4)&amp;MID($Q1321,6,2)&amp;RIGHT($Q1321,2)&amp;IF(Sync!$K1321="","0000",IF(AND(ISNUMBER(Sync!$K1321),Sync!$K1321&gt;=0,Sync!$K1321&lt;1),RIGHT("00"&amp;HOUR(Sync!$K1321),2)&amp;RIGHT("00"&amp;MINUTE(Sync!$K1321),2),IFERROR(RIGHT("00"&amp;VALUE(LEFT(Sync!$K1321,FIND(":",Sync!$K1321)-1)),2)&amp;RIGHT("00"&amp;VALUE(MID(Sync!$K1321,FIND(":",Sync!$K1321)+1,2)),2),"0000")))&amp;"|"&amp;"2"&amp;RIGHT("00000"&amp;1316,5))</f>
        <v/>
      </c>
      <c r="Q1321" t="str">
        <f>IF(Sync!$J1321="","",IF(ISNUMBER(Sync!$J1321),IF(AND(Sync!$J1321&gt;=10000101,Sync!$J1321&lt;=99991231),INT(Sync!$J1321/10000)&amp;"/"&amp;RIGHT("00"&amp;INT(MOD(Sync!$J1321,10000)/100),2)&amp;"/"&amp;RIGHT("00"&amp;MOD(Sync!$J1321,100),2),"نامعتبر"),IF(LEN(Sync!$J1321)=10,Sync!$J1321,"نامعتبر")))</f>
        <v/>
      </c>
      <c r="R1321" t="str">
        <f t="shared" si="125"/>
        <v/>
      </c>
      <c r="S1321" t="str">
        <f t="shared" si="126"/>
        <v/>
      </c>
      <c r="T1321" t="str">
        <f>IF($N1321="","",IF(Sync!$N1321="",0,Sync!$N1321))</f>
        <v/>
      </c>
      <c r="U1321" t="str">
        <f>IF($N1321="","",IF(Sync!$O1321="",0,Sync!$O1321))</f>
        <v/>
      </c>
      <c r="V1321" t="str">
        <f>IF($N1321="","",Sync!$L1321)</f>
        <v/>
      </c>
      <c r="W1321" t="str">
        <f>IF($N1321="","",Sync!$P1321)</f>
        <v/>
      </c>
    </row>
    <row r="1322" spans="14:23" x14ac:dyDescent="0.2">
      <c r="N1322" t="str">
        <f>IF(OR(Sync!$M1322="",$Q1322="",$Q1322="نامعتبر"),"",Sync!$M1322)</f>
        <v/>
      </c>
      <c r="O1322" t="str">
        <f t="shared" si="124"/>
        <v/>
      </c>
      <c r="P1322" t="str">
        <f>IF($N1322="","",LEFT($Q1322,4)&amp;MID($Q1322,6,2)&amp;RIGHT($Q1322,2)&amp;IF(Sync!$K1322="","0000",IF(AND(ISNUMBER(Sync!$K1322),Sync!$K1322&gt;=0,Sync!$K1322&lt;1),RIGHT("00"&amp;HOUR(Sync!$K1322),2)&amp;RIGHT("00"&amp;MINUTE(Sync!$K1322),2),IFERROR(RIGHT("00"&amp;VALUE(LEFT(Sync!$K1322,FIND(":",Sync!$K1322)-1)),2)&amp;RIGHT("00"&amp;VALUE(MID(Sync!$K1322,FIND(":",Sync!$K1322)+1,2)),2),"0000")))&amp;"|"&amp;"2"&amp;RIGHT("00000"&amp;1317,5))</f>
        <v/>
      </c>
      <c r="Q1322" t="str">
        <f>IF(Sync!$J1322="","",IF(ISNUMBER(Sync!$J1322),IF(AND(Sync!$J1322&gt;=10000101,Sync!$J1322&lt;=99991231),INT(Sync!$J1322/10000)&amp;"/"&amp;RIGHT("00"&amp;INT(MOD(Sync!$J1322,10000)/100),2)&amp;"/"&amp;RIGHT("00"&amp;MOD(Sync!$J1322,100),2),"نامعتبر"),IF(LEN(Sync!$J1322)=10,Sync!$J1322,"نامعتبر")))</f>
        <v/>
      </c>
      <c r="R1322" t="str">
        <f t="shared" si="125"/>
        <v/>
      </c>
      <c r="S1322" t="str">
        <f t="shared" si="126"/>
        <v/>
      </c>
      <c r="T1322" t="str">
        <f>IF($N1322="","",IF(Sync!$N1322="",0,Sync!$N1322))</f>
        <v/>
      </c>
      <c r="U1322" t="str">
        <f>IF($N1322="","",IF(Sync!$O1322="",0,Sync!$O1322))</f>
        <v/>
      </c>
      <c r="V1322" t="str">
        <f>IF($N1322="","",Sync!$L1322)</f>
        <v/>
      </c>
      <c r="W1322" t="str">
        <f>IF($N1322="","",Sync!$P1322)</f>
        <v/>
      </c>
    </row>
    <row r="1323" spans="14:23" x14ac:dyDescent="0.2">
      <c r="N1323" t="str">
        <f>IF(OR(Sync!$M1323="",$Q1323="",$Q1323="نامعتبر"),"",Sync!$M1323)</f>
        <v/>
      </c>
      <c r="O1323" t="str">
        <f t="shared" si="124"/>
        <v/>
      </c>
      <c r="P1323" t="str">
        <f>IF($N1323="","",LEFT($Q1323,4)&amp;MID($Q1323,6,2)&amp;RIGHT($Q1323,2)&amp;IF(Sync!$K1323="","0000",IF(AND(ISNUMBER(Sync!$K1323),Sync!$K1323&gt;=0,Sync!$K1323&lt;1),RIGHT("00"&amp;HOUR(Sync!$K1323),2)&amp;RIGHT("00"&amp;MINUTE(Sync!$K1323),2),IFERROR(RIGHT("00"&amp;VALUE(LEFT(Sync!$K1323,FIND(":",Sync!$K1323)-1)),2)&amp;RIGHT("00"&amp;VALUE(MID(Sync!$K1323,FIND(":",Sync!$K1323)+1,2)),2),"0000")))&amp;"|"&amp;"2"&amp;RIGHT("00000"&amp;1318,5))</f>
        <v/>
      </c>
      <c r="Q1323" t="str">
        <f>IF(Sync!$J1323="","",IF(ISNUMBER(Sync!$J1323),IF(AND(Sync!$J1323&gt;=10000101,Sync!$J1323&lt;=99991231),INT(Sync!$J1323/10000)&amp;"/"&amp;RIGHT("00"&amp;INT(MOD(Sync!$J1323,10000)/100),2)&amp;"/"&amp;RIGHT("00"&amp;MOD(Sync!$J1323,100),2),"نامعتبر"),IF(LEN(Sync!$J1323)=10,Sync!$J1323,"نامعتبر")))</f>
        <v/>
      </c>
      <c r="R1323" t="str">
        <f t="shared" si="125"/>
        <v/>
      </c>
      <c r="S1323" t="str">
        <f t="shared" si="126"/>
        <v/>
      </c>
      <c r="T1323" t="str">
        <f>IF($N1323="","",IF(Sync!$N1323="",0,Sync!$N1323))</f>
        <v/>
      </c>
      <c r="U1323" t="str">
        <f>IF($N1323="","",IF(Sync!$O1323="",0,Sync!$O1323))</f>
        <v/>
      </c>
      <c r="V1323" t="str">
        <f>IF($N1323="","",Sync!$L1323)</f>
        <v/>
      </c>
      <c r="W1323" t="str">
        <f>IF($N1323="","",Sync!$P1323)</f>
        <v/>
      </c>
    </row>
    <row r="1324" spans="14:23" x14ac:dyDescent="0.2">
      <c r="N1324" t="str">
        <f>IF(OR(Sync!$M1324="",$Q1324="",$Q1324="نامعتبر"),"",Sync!$M1324)</f>
        <v/>
      </c>
      <c r="O1324" t="str">
        <f t="shared" si="124"/>
        <v/>
      </c>
      <c r="P1324" t="str">
        <f>IF($N1324="","",LEFT($Q1324,4)&amp;MID($Q1324,6,2)&amp;RIGHT($Q1324,2)&amp;IF(Sync!$K1324="","0000",IF(AND(ISNUMBER(Sync!$K1324),Sync!$K1324&gt;=0,Sync!$K1324&lt;1),RIGHT("00"&amp;HOUR(Sync!$K1324),2)&amp;RIGHT("00"&amp;MINUTE(Sync!$K1324),2),IFERROR(RIGHT("00"&amp;VALUE(LEFT(Sync!$K1324,FIND(":",Sync!$K1324)-1)),2)&amp;RIGHT("00"&amp;VALUE(MID(Sync!$K1324,FIND(":",Sync!$K1324)+1,2)),2),"0000")))&amp;"|"&amp;"2"&amp;RIGHT("00000"&amp;1319,5))</f>
        <v/>
      </c>
      <c r="Q1324" t="str">
        <f>IF(Sync!$J1324="","",IF(ISNUMBER(Sync!$J1324),IF(AND(Sync!$J1324&gt;=10000101,Sync!$J1324&lt;=99991231),INT(Sync!$J1324/10000)&amp;"/"&amp;RIGHT("00"&amp;INT(MOD(Sync!$J1324,10000)/100),2)&amp;"/"&amp;RIGHT("00"&amp;MOD(Sync!$J1324,100),2),"نامعتبر"),IF(LEN(Sync!$J1324)=10,Sync!$J1324,"نامعتبر")))</f>
        <v/>
      </c>
      <c r="R1324" t="str">
        <f t="shared" si="125"/>
        <v/>
      </c>
      <c r="S1324" t="str">
        <f t="shared" si="126"/>
        <v/>
      </c>
      <c r="T1324" t="str">
        <f>IF($N1324="","",IF(Sync!$N1324="",0,Sync!$N1324))</f>
        <v/>
      </c>
      <c r="U1324" t="str">
        <f>IF($N1324="","",IF(Sync!$O1324="",0,Sync!$O1324))</f>
        <v/>
      </c>
      <c r="V1324" t="str">
        <f>IF($N1324="","",Sync!$L1324)</f>
        <v/>
      </c>
      <c r="W1324" t="str">
        <f>IF($N1324="","",Sync!$P1324)</f>
        <v/>
      </c>
    </row>
    <row r="1325" spans="14:23" x14ac:dyDescent="0.2">
      <c r="N1325" t="str">
        <f>IF(OR(Sync!$M1325="",$Q1325="",$Q1325="نامعتبر"),"",Sync!$M1325)</f>
        <v/>
      </c>
      <c r="O1325" t="str">
        <f t="shared" si="124"/>
        <v/>
      </c>
      <c r="P1325" t="str">
        <f>IF($N1325="","",LEFT($Q1325,4)&amp;MID($Q1325,6,2)&amp;RIGHT($Q1325,2)&amp;IF(Sync!$K1325="","0000",IF(AND(ISNUMBER(Sync!$K1325),Sync!$K1325&gt;=0,Sync!$K1325&lt;1),RIGHT("00"&amp;HOUR(Sync!$K1325),2)&amp;RIGHT("00"&amp;MINUTE(Sync!$K1325),2),IFERROR(RIGHT("00"&amp;VALUE(LEFT(Sync!$K1325,FIND(":",Sync!$K1325)-1)),2)&amp;RIGHT("00"&amp;VALUE(MID(Sync!$K1325,FIND(":",Sync!$K1325)+1,2)),2),"0000")))&amp;"|"&amp;"2"&amp;RIGHT("00000"&amp;1320,5))</f>
        <v/>
      </c>
      <c r="Q1325" t="str">
        <f>IF(Sync!$J1325="","",IF(ISNUMBER(Sync!$J1325),IF(AND(Sync!$J1325&gt;=10000101,Sync!$J1325&lt;=99991231),INT(Sync!$J1325/10000)&amp;"/"&amp;RIGHT("00"&amp;INT(MOD(Sync!$J1325,10000)/100),2)&amp;"/"&amp;RIGHT("00"&amp;MOD(Sync!$J1325,100),2),"نامعتبر"),IF(LEN(Sync!$J1325)=10,Sync!$J1325,"نامعتبر")))</f>
        <v/>
      </c>
      <c r="R1325" t="str">
        <f t="shared" si="125"/>
        <v/>
      </c>
      <c r="S1325" t="str">
        <f t="shared" si="126"/>
        <v/>
      </c>
      <c r="T1325" t="str">
        <f>IF($N1325="","",IF(Sync!$N1325="",0,Sync!$N1325))</f>
        <v/>
      </c>
      <c r="U1325" t="str">
        <f>IF($N1325="","",IF(Sync!$O1325="",0,Sync!$O1325))</f>
        <v/>
      </c>
      <c r="V1325" t="str">
        <f>IF($N1325="","",Sync!$L1325)</f>
        <v/>
      </c>
      <c r="W1325" t="str">
        <f>IF($N1325="","",Sync!$P1325)</f>
        <v/>
      </c>
    </row>
    <row r="1326" spans="14:23" x14ac:dyDescent="0.2">
      <c r="N1326" t="str">
        <f>IF(OR(Sync!$M1326="",$Q1326="",$Q1326="نامعتبر"),"",Sync!$M1326)</f>
        <v/>
      </c>
      <c r="O1326" t="str">
        <f t="shared" si="124"/>
        <v/>
      </c>
      <c r="P1326" t="str">
        <f>IF($N1326="","",LEFT($Q1326,4)&amp;MID($Q1326,6,2)&amp;RIGHT($Q1326,2)&amp;IF(Sync!$K1326="","0000",IF(AND(ISNUMBER(Sync!$K1326),Sync!$K1326&gt;=0,Sync!$K1326&lt;1),RIGHT("00"&amp;HOUR(Sync!$K1326),2)&amp;RIGHT("00"&amp;MINUTE(Sync!$K1326),2),IFERROR(RIGHT("00"&amp;VALUE(LEFT(Sync!$K1326,FIND(":",Sync!$K1326)-1)),2)&amp;RIGHT("00"&amp;VALUE(MID(Sync!$K1326,FIND(":",Sync!$K1326)+1,2)),2),"0000")))&amp;"|"&amp;"2"&amp;RIGHT("00000"&amp;1321,5))</f>
        <v/>
      </c>
      <c r="Q1326" t="str">
        <f>IF(Sync!$J1326="","",IF(ISNUMBER(Sync!$J1326),IF(AND(Sync!$J1326&gt;=10000101,Sync!$J1326&lt;=99991231),INT(Sync!$J1326/10000)&amp;"/"&amp;RIGHT("00"&amp;INT(MOD(Sync!$J1326,10000)/100),2)&amp;"/"&amp;RIGHT("00"&amp;MOD(Sync!$J1326,100),2),"نامعتبر"),IF(LEN(Sync!$J1326)=10,Sync!$J1326,"نامعتبر")))</f>
        <v/>
      </c>
      <c r="R1326" t="str">
        <f t="shared" si="125"/>
        <v/>
      </c>
      <c r="S1326" t="str">
        <f t="shared" si="126"/>
        <v/>
      </c>
      <c r="T1326" t="str">
        <f>IF($N1326="","",IF(Sync!$N1326="",0,Sync!$N1326))</f>
        <v/>
      </c>
      <c r="U1326" t="str">
        <f>IF($N1326="","",IF(Sync!$O1326="",0,Sync!$O1326))</f>
        <v/>
      </c>
      <c r="V1326" t="str">
        <f>IF($N1326="","",Sync!$L1326)</f>
        <v/>
      </c>
      <c r="W1326" t="str">
        <f>IF($N1326="","",Sync!$P1326)</f>
        <v/>
      </c>
    </row>
    <row r="1327" spans="14:23" x14ac:dyDescent="0.2">
      <c r="N1327" t="str">
        <f>IF(OR(Sync!$M1327="",$Q1327="",$Q1327="نامعتبر"),"",Sync!$M1327)</f>
        <v/>
      </c>
      <c r="O1327" t="str">
        <f t="shared" si="124"/>
        <v/>
      </c>
      <c r="P1327" t="str">
        <f>IF($N1327="","",LEFT($Q1327,4)&amp;MID($Q1327,6,2)&amp;RIGHT($Q1327,2)&amp;IF(Sync!$K1327="","0000",IF(AND(ISNUMBER(Sync!$K1327),Sync!$K1327&gt;=0,Sync!$K1327&lt;1),RIGHT("00"&amp;HOUR(Sync!$K1327),2)&amp;RIGHT("00"&amp;MINUTE(Sync!$K1327),2),IFERROR(RIGHT("00"&amp;VALUE(LEFT(Sync!$K1327,FIND(":",Sync!$K1327)-1)),2)&amp;RIGHT("00"&amp;VALUE(MID(Sync!$K1327,FIND(":",Sync!$K1327)+1,2)),2),"0000")))&amp;"|"&amp;"2"&amp;RIGHT("00000"&amp;1322,5))</f>
        <v/>
      </c>
      <c r="Q1327" t="str">
        <f>IF(Sync!$J1327="","",IF(ISNUMBER(Sync!$J1327),IF(AND(Sync!$J1327&gt;=10000101,Sync!$J1327&lt;=99991231),INT(Sync!$J1327/10000)&amp;"/"&amp;RIGHT("00"&amp;INT(MOD(Sync!$J1327,10000)/100),2)&amp;"/"&amp;RIGHT("00"&amp;MOD(Sync!$J1327,100),2),"نامعتبر"),IF(LEN(Sync!$J1327)=10,Sync!$J1327,"نامعتبر")))</f>
        <v/>
      </c>
      <c r="R1327" t="str">
        <f t="shared" si="125"/>
        <v/>
      </c>
      <c r="S1327" t="str">
        <f t="shared" si="126"/>
        <v/>
      </c>
      <c r="T1327" t="str">
        <f>IF($N1327="","",IF(Sync!$N1327="",0,Sync!$N1327))</f>
        <v/>
      </c>
      <c r="U1327" t="str">
        <f>IF($N1327="","",IF(Sync!$O1327="",0,Sync!$O1327))</f>
        <v/>
      </c>
      <c r="V1327" t="str">
        <f>IF($N1327="","",Sync!$L1327)</f>
        <v/>
      </c>
      <c r="W1327" t="str">
        <f>IF($N1327="","",Sync!$P1327)</f>
        <v/>
      </c>
    </row>
    <row r="1328" spans="14:23" x14ac:dyDescent="0.2">
      <c r="N1328" t="str">
        <f>IF(OR(Sync!$M1328="",$Q1328="",$Q1328="نامعتبر"),"",Sync!$M1328)</f>
        <v/>
      </c>
      <c r="O1328" t="str">
        <f t="shared" si="124"/>
        <v/>
      </c>
      <c r="P1328" t="str">
        <f>IF($N1328="","",LEFT($Q1328,4)&amp;MID($Q1328,6,2)&amp;RIGHT($Q1328,2)&amp;IF(Sync!$K1328="","0000",IF(AND(ISNUMBER(Sync!$K1328),Sync!$K1328&gt;=0,Sync!$K1328&lt;1),RIGHT("00"&amp;HOUR(Sync!$K1328),2)&amp;RIGHT("00"&amp;MINUTE(Sync!$K1328),2),IFERROR(RIGHT("00"&amp;VALUE(LEFT(Sync!$K1328,FIND(":",Sync!$K1328)-1)),2)&amp;RIGHT("00"&amp;VALUE(MID(Sync!$K1328,FIND(":",Sync!$K1328)+1,2)),2),"0000")))&amp;"|"&amp;"2"&amp;RIGHT("00000"&amp;1323,5))</f>
        <v/>
      </c>
      <c r="Q1328" t="str">
        <f>IF(Sync!$J1328="","",IF(ISNUMBER(Sync!$J1328),IF(AND(Sync!$J1328&gt;=10000101,Sync!$J1328&lt;=99991231),INT(Sync!$J1328/10000)&amp;"/"&amp;RIGHT("00"&amp;INT(MOD(Sync!$J1328,10000)/100),2)&amp;"/"&amp;RIGHT("00"&amp;MOD(Sync!$J1328,100),2),"نامعتبر"),IF(LEN(Sync!$J1328)=10,Sync!$J1328,"نامعتبر")))</f>
        <v/>
      </c>
      <c r="R1328" t="str">
        <f t="shared" si="125"/>
        <v/>
      </c>
      <c r="S1328" t="str">
        <f t="shared" si="126"/>
        <v/>
      </c>
      <c r="T1328" t="str">
        <f>IF($N1328="","",IF(Sync!$N1328="",0,Sync!$N1328))</f>
        <v/>
      </c>
      <c r="U1328" t="str">
        <f>IF($N1328="","",IF(Sync!$O1328="",0,Sync!$O1328))</f>
        <v/>
      </c>
      <c r="V1328" t="str">
        <f>IF($N1328="","",Sync!$L1328)</f>
        <v/>
      </c>
      <c r="W1328" t="str">
        <f>IF($N1328="","",Sync!$P1328)</f>
        <v/>
      </c>
    </row>
    <row r="1329" spans="14:23" x14ac:dyDescent="0.2">
      <c r="N1329" t="str">
        <f>IF(OR(Sync!$M1329="",$Q1329="",$Q1329="نامعتبر"),"",Sync!$M1329)</f>
        <v/>
      </c>
      <c r="O1329" t="str">
        <f t="shared" si="124"/>
        <v/>
      </c>
      <c r="P1329" t="str">
        <f>IF($N1329="","",LEFT($Q1329,4)&amp;MID($Q1329,6,2)&amp;RIGHT($Q1329,2)&amp;IF(Sync!$K1329="","0000",IF(AND(ISNUMBER(Sync!$K1329),Sync!$K1329&gt;=0,Sync!$K1329&lt;1),RIGHT("00"&amp;HOUR(Sync!$K1329),2)&amp;RIGHT("00"&amp;MINUTE(Sync!$K1329),2),IFERROR(RIGHT("00"&amp;VALUE(LEFT(Sync!$K1329,FIND(":",Sync!$K1329)-1)),2)&amp;RIGHT("00"&amp;VALUE(MID(Sync!$K1329,FIND(":",Sync!$K1329)+1,2)),2),"0000")))&amp;"|"&amp;"2"&amp;RIGHT("00000"&amp;1324,5))</f>
        <v/>
      </c>
      <c r="Q1329" t="str">
        <f>IF(Sync!$J1329="","",IF(ISNUMBER(Sync!$J1329),IF(AND(Sync!$J1329&gt;=10000101,Sync!$J1329&lt;=99991231),INT(Sync!$J1329/10000)&amp;"/"&amp;RIGHT("00"&amp;INT(MOD(Sync!$J1329,10000)/100),2)&amp;"/"&amp;RIGHT("00"&amp;MOD(Sync!$J1329,100),2),"نامعتبر"),IF(LEN(Sync!$J1329)=10,Sync!$J1329,"نامعتبر")))</f>
        <v/>
      </c>
      <c r="R1329" t="str">
        <f t="shared" si="125"/>
        <v/>
      </c>
      <c r="S1329" t="str">
        <f t="shared" si="126"/>
        <v/>
      </c>
      <c r="T1329" t="str">
        <f>IF($N1329="","",IF(Sync!$N1329="",0,Sync!$N1329))</f>
        <v/>
      </c>
      <c r="U1329" t="str">
        <f>IF($N1329="","",IF(Sync!$O1329="",0,Sync!$O1329))</f>
        <v/>
      </c>
      <c r="V1329" t="str">
        <f>IF($N1329="","",Sync!$L1329)</f>
        <v/>
      </c>
      <c r="W1329" t="str">
        <f>IF($N1329="","",Sync!$P1329)</f>
        <v/>
      </c>
    </row>
    <row r="1330" spans="14:23" x14ac:dyDescent="0.2">
      <c r="N1330" t="str">
        <f>IF(OR(Sync!$M1330="",$Q1330="",$Q1330="نامعتبر"),"",Sync!$M1330)</f>
        <v/>
      </c>
      <c r="O1330" t="str">
        <f t="shared" si="124"/>
        <v/>
      </c>
      <c r="P1330" t="str">
        <f>IF($N1330="","",LEFT($Q1330,4)&amp;MID($Q1330,6,2)&amp;RIGHT($Q1330,2)&amp;IF(Sync!$K1330="","0000",IF(AND(ISNUMBER(Sync!$K1330),Sync!$K1330&gt;=0,Sync!$K1330&lt;1),RIGHT("00"&amp;HOUR(Sync!$K1330),2)&amp;RIGHT("00"&amp;MINUTE(Sync!$K1330),2),IFERROR(RIGHT("00"&amp;VALUE(LEFT(Sync!$K1330,FIND(":",Sync!$K1330)-1)),2)&amp;RIGHT("00"&amp;VALUE(MID(Sync!$K1330,FIND(":",Sync!$K1330)+1,2)),2),"0000")))&amp;"|"&amp;"2"&amp;RIGHT("00000"&amp;1325,5))</f>
        <v/>
      </c>
      <c r="Q1330" t="str">
        <f>IF(Sync!$J1330="","",IF(ISNUMBER(Sync!$J1330),IF(AND(Sync!$J1330&gt;=10000101,Sync!$J1330&lt;=99991231),INT(Sync!$J1330/10000)&amp;"/"&amp;RIGHT("00"&amp;INT(MOD(Sync!$J1330,10000)/100),2)&amp;"/"&amp;RIGHT("00"&amp;MOD(Sync!$J1330,100),2),"نامعتبر"),IF(LEN(Sync!$J1330)=10,Sync!$J1330,"نامعتبر")))</f>
        <v/>
      </c>
      <c r="R1330" t="str">
        <f t="shared" si="125"/>
        <v/>
      </c>
      <c r="S1330" t="str">
        <f t="shared" si="126"/>
        <v/>
      </c>
      <c r="T1330" t="str">
        <f>IF($N1330="","",IF(Sync!$N1330="",0,Sync!$N1330))</f>
        <v/>
      </c>
      <c r="U1330" t="str">
        <f>IF($N1330="","",IF(Sync!$O1330="",0,Sync!$O1330))</f>
        <v/>
      </c>
      <c r="V1330" t="str">
        <f>IF($N1330="","",Sync!$L1330)</f>
        <v/>
      </c>
      <c r="W1330" t="str">
        <f>IF($N1330="","",Sync!$P1330)</f>
        <v/>
      </c>
    </row>
    <row r="1331" spans="14:23" x14ac:dyDescent="0.2">
      <c r="N1331" t="str">
        <f>IF(OR(Sync!$M1331="",$Q1331="",$Q1331="نامعتبر"),"",Sync!$M1331)</f>
        <v/>
      </c>
      <c r="O1331" t="str">
        <f t="shared" si="124"/>
        <v/>
      </c>
      <c r="P1331" t="str">
        <f>IF($N1331="","",LEFT($Q1331,4)&amp;MID($Q1331,6,2)&amp;RIGHT($Q1331,2)&amp;IF(Sync!$K1331="","0000",IF(AND(ISNUMBER(Sync!$K1331),Sync!$K1331&gt;=0,Sync!$K1331&lt;1),RIGHT("00"&amp;HOUR(Sync!$K1331),2)&amp;RIGHT("00"&amp;MINUTE(Sync!$K1331),2),IFERROR(RIGHT("00"&amp;VALUE(LEFT(Sync!$K1331,FIND(":",Sync!$K1331)-1)),2)&amp;RIGHT("00"&amp;VALUE(MID(Sync!$K1331,FIND(":",Sync!$K1331)+1,2)),2),"0000")))&amp;"|"&amp;"2"&amp;RIGHT("00000"&amp;1326,5))</f>
        <v/>
      </c>
      <c r="Q1331" t="str">
        <f>IF(Sync!$J1331="","",IF(ISNUMBER(Sync!$J1331),IF(AND(Sync!$J1331&gt;=10000101,Sync!$J1331&lt;=99991231),INT(Sync!$J1331/10000)&amp;"/"&amp;RIGHT("00"&amp;INT(MOD(Sync!$J1331,10000)/100),2)&amp;"/"&amp;RIGHT("00"&amp;MOD(Sync!$J1331,100),2),"نامعتبر"),IF(LEN(Sync!$J1331)=10,Sync!$J1331,"نامعتبر")))</f>
        <v/>
      </c>
      <c r="R1331" t="str">
        <f t="shared" si="125"/>
        <v/>
      </c>
      <c r="S1331" t="str">
        <f t="shared" si="126"/>
        <v/>
      </c>
      <c r="T1331" t="str">
        <f>IF($N1331="","",IF(Sync!$N1331="",0,Sync!$N1331))</f>
        <v/>
      </c>
      <c r="U1331" t="str">
        <f>IF($N1331="","",IF(Sync!$O1331="",0,Sync!$O1331))</f>
        <v/>
      </c>
      <c r="V1331" t="str">
        <f>IF($N1331="","",Sync!$L1331)</f>
        <v/>
      </c>
      <c r="W1331" t="str">
        <f>IF($N1331="","",Sync!$P1331)</f>
        <v/>
      </c>
    </row>
    <row r="1332" spans="14:23" x14ac:dyDescent="0.2">
      <c r="N1332" t="str">
        <f>IF(OR(Sync!$M1332="",$Q1332="",$Q1332="نامعتبر"),"",Sync!$M1332)</f>
        <v/>
      </c>
      <c r="O1332" t="str">
        <f t="shared" si="124"/>
        <v/>
      </c>
      <c r="P1332" t="str">
        <f>IF($N1332="","",LEFT($Q1332,4)&amp;MID($Q1332,6,2)&amp;RIGHT($Q1332,2)&amp;IF(Sync!$K1332="","0000",IF(AND(ISNUMBER(Sync!$K1332),Sync!$K1332&gt;=0,Sync!$K1332&lt;1),RIGHT("00"&amp;HOUR(Sync!$K1332),2)&amp;RIGHT("00"&amp;MINUTE(Sync!$K1332),2),IFERROR(RIGHT("00"&amp;VALUE(LEFT(Sync!$K1332,FIND(":",Sync!$K1332)-1)),2)&amp;RIGHT("00"&amp;VALUE(MID(Sync!$K1332,FIND(":",Sync!$K1332)+1,2)),2),"0000")))&amp;"|"&amp;"2"&amp;RIGHT("00000"&amp;1327,5))</f>
        <v/>
      </c>
      <c r="Q1332" t="str">
        <f>IF(Sync!$J1332="","",IF(ISNUMBER(Sync!$J1332),IF(AND(Sync!$J1332&gt;=10000101,Sync!$J1332&lt;=99991231),INT(Sync!$J1332/10000)&amp;"/"&amp;RIGHT("00"&amp;INT(MOD(Sync!$J1332,10000)/100),2)&amp;"/"&amp;RIGHT("00"&amp;MOD(Sync!$J1332,100),2),"نامعتبر"),IF(LEN(Sync!$J1332)=10,Sync!$J1332,"نامعتبر")))</f>
        <v/>
      </c>
      <c r="R1332" t="str">
        <f t="shared" si="125"/>
        <v/>
      </c>
      <c r="S1332" t="str">
        <f t="shared" si="126"/>
        <v/>
      </c>
      <c r="T1332" t="str">
        <f>IF($N1332="","",IF(Sync!$N1332="",0,Sync!$N1332))</f>
        <v/>
      </c>
      <c r="U1332" t="str">
        <f>IF($N1332="","",IF(Sync!$O1332="",0,Sync!$O1332))</f>
        <v/>
      </c>
      <c r="V1332" t="str">
        <f>IF($N1332="","",Sync!$L1332)</f>
        <v/>
      </c>
      <c r="W1332" t="str">
        <f>IF($N1332="","",Sync!$P1332)</f>
        <v/>
      </c>
    </row>
    <row r="1333" spans="14:23" x14ac:dyDescent="0.2">
      <c r="N1333" t="str">
        <f>IF(OR(Sync!$M1333="",$Q1333="",$Q1333="نامعتبر"),"",Sync!$M1333)</f>
        <v/>
      </c>
      <c r="O1333" t="str">
        <f t="shared" si="124"/>
        <v/>
      </c>
      <c r="P1333" t="str">
        <f>IF($N1333="","",LEFT($Q1333,4)&amp;MID($Q1333,6,2)&amp;RIGHT($Q1333,2)&amp;IF(Sync!$K1333="","0000",IF(AND(ISNUMBER(Sync!$K1333),Sync!$K1333&gt;=0,Sync!$K1333&lt;1),RIGHT("00"&amp;HOUR(Sync!$K1333),2)&amp;RIGHT("00"&amp;MINUTE(Sync!$K1333),2),IFERROR(RIGHT("00"&amp;VALUE(LEFT(Sync!$K1333,FIND(":",Sync!$K1333)-1)),2)&amp;RIGHT("00"&amp;VALUE(MID(Sync!$K1333,FIND(":",Sync!$K1333)+1,2)),2),"0000")))&amp;"|"&amp;"2"&amp;RIGHT("00000"&amp;1328,5))</f>
        <v/>
      </c>
      <c r="Q1333" t="str">
        <f>IF(Sync!$J1333="","",IF(ISNUMBER(Sync!$J1333),IF(AND(Sync!$J1333&gt;=10000101,Sync!$J1333&lt;=99991231),INT(Sync!$J1333/10000)&amp;"/"&amp;RIGHT("00"&amp;INT(MOD(Sync!$J1333,10000)/100),2)&amp;"/"&amp;RIGHT("00"&amp;MOD(Sync!$J1333,100),2),"نامعتبر"),IF(LEN(Sync!$J1333)=10,Sync!$J1333,"نامعتبر")))</f>
        <v/>
      </c>
      <c r="R1333" t="str">
        <f t="shared" si="125"/>
        <v/>
      </c>
      <c r="S1333" t="str">
        <f t="shared" si="126"/>
        <v/>
      </c>
      <c r="T1333" t="str">
        <f>IF($N1333="","",IF(Sync!$N1333="",0,Sync!$N1333))</f>
        <v/>
      </c>
      <c r="U1333" t="str">
        <f>IF($N1333="","",IF(Sync!$O1333="",0,Sync!$O1333))</f>
        <v/>
      </c>
      <c r="V1333" t="str">
        <f>IF($N1333="","",Sync!$L1333)</f>
        <v/>
      </c>
      <c r="W1333" t="str">
        <f>IF($N1333="","",Sync!$P1333)</f>
        <v/>
      </c>
    </row>
    <row r="1334" spans="14:23" x14ac:dyDescent="0.2">
      <c r="N1334" t="str">
        <f>IF(OR(Sync!$M1334="",$Q1334="",$Q1334="نامعتبر"),"",Sync!$M1334)</f>
        <v/>
      </c>
      <c r="O1334" t="str">
        <f t="shared" si="124"/>
        <v/>
      </c>
      <c r="P1334" t="str">
        <f>IF($N1334="","",LEFT($Q1334,4)&amp;MID($Q1334,6,2)&amp;RIGHT($Q1334,2)&amp;IF(Sync!$K1334="","0000",IF(AND(ISNUMBER(Sync!$K1334),Sync!$K1334&gt;=0,Sync!$K1334&lt;1),RIGHT("00"&amp;HOUR(Sync!$K1334),2)&amp;RIGHT("00"&amp;MINUTE(Sync!$K1334),2),IFERROR(RIGHT("00"&amp;VALUE(LEFT(Sync!$K1334,FIND(":",Sync!$K1334)-1)),2)&amp;RIGHT("00"&amp;VALUE(MID(Sync!$K1334,FIND(":",Sync!$K1334)+1,2)),2),"0000")))&amp;"|"&amp;"2"&amp;RIGHT("00000"&amp;1329,5))</f>
        <v/>
      </c>
      <c r="Q1334" t="str">
        <f>IF(Sync!$J1334="","",IF(ISNUMBER(Sync!$J1334),IF(AND(Sync!$J1334&gt;=10000101,Sync!$J1334&lt;=99991231),INT(Sync!$J1334/10000)&amp;"/"&amp;RIGHT("00"&amp;INT(MOD(Sync!$J1334,10000)/100),2)&amp;"/"&amp;RIGHT("00"&amp;MOD(Sync!$J1334,100),2),"نامعتبر"),IF(LEN(Sync!$J1334)=10,Sync!$J1334,"نامعتبر")))</f>
        <v/>
      </c>
      <c r="R1334" t="str">
        <f t="shared" si="125"/>
        <v/>
      </c>
      <c r="S1334" t="str">
        <f t="shared" si="126"/>
        <v/>
      </c>
      <c r="T1334" t="str">
        <f>IF($N1334="","",IF(Sync!$N1334="",0,Sync!$N1334))</f>
        <v/>
      </c>
      <c r="U1334" t="str">
        <f>IF($N1334="","",IF(Sync!$O1334="",0,Sync!$O1334))</f>
        <v/>
      </c>
      <c r="V1334" t="str">
        <f>IF($N1334="","",Sync!$L1334)</f>
        <v/>
      </c>
      <c r="W1334" t="str">
        <f>IF($N1334="","",Sync!$P1334)</f>
        <v/>
      </c>
    </row>
    <row r="1335" spans="14:23" x14ac:dyDescent="0.2">
      <c r="N1335" t="str">
        <f>IF(OR(Sync!$M1335="",$Q1335="",$Q1335="نامعتبر"),"",Sync!$M1335)</f>
        <v/>
      </c>
      <c r="O1335" t="str">
        <f t="shared" si="124"/>
        <v/>
      </c>
      <c r="P1335" t="str">
        <f>IF($N1335="","",LEFT($Q1335,4)&amp;MID($Q1335,6,2)&amp;RIGHT($Q1335,2)&amp;IF(Sync!$K1335="","0000",IF(AND(ISNUMBER(Sync!$K1335),Sync!$K1335&gt;=0,Sync!$K1335&lt;1),RIGHT("00"&amp;HOUR(Sync!$K1335),2)&amp;RIGHT("00"&amp;MINUTE(Sync!$K1335),2),IFERROR(RIGHT("00"&amp;VALUE(LEFT(Sync!$K1335,FIND(":",Sync!$K1335)-1)),2)&amp;RIGHT("00"&amp;VALUE(MID(Sync!$K1335,FIND(":",Sync!$K1335)+1,2)),2),"0000")))&amp;"|"&amp;"2"&amp;RIGHT("00000"&amp;1330,5))</f>
        <v/>
      </c>
      <c r="Q1335" t="str">
        <f>IF(Sync!$J1335="","",IF(ISNUMBER(Sync!$J1335),IF(AND(Sync!$J1335&gt;=10000101,Sync!$J1335&lt;=99991231),INT(Sync!$J1335/10000)&amp;"/"&amp;RIGHT("00"&amp;INT(MOD(Sync!$J1335,10000)/100),2)&amp;"/"&amp;RIGHT("00"&amp;MOD(Sync!$J1335,100),2),"نامعتبر"),IF(LEN(Sync!$J1335)=10,Sync!$J1335,"نامعتبر")))</f>
        <v/>
      </c>
      <c r="R1335" t="str">
        <f t="shared" si="125"/>
        <v/>
      </c>
      <c r="S1335" t="str">
        <f t="shared" si="126"/>
        <v/>
      </c>
      <c r="T1335" t="str">
        <f>IF($N1335="","",IF(Sync!$N1335="",0,Sync!$N1335))</f>
        <v/>
      </c>
      <c r="U1335" t="str">
        <f>IF($N1335="","",IF(Sync!$O1335="",0,Sync!$O1335))</f>
        <v/>
      </c>
      <c r="V1335" t="str">
        <f>IF($N1335="","",Sync!$L1335)</f>
        <v/>
      </c>
      <c r="W1335" t="str">
        <f>IF($N1335="","",Sync!$P1335)</f>
        <v/>
      </c>
    </row>
    <row r="1336" spans="14:23" x14ac:dyDescent="0.2">
      <c r="N1336" t="str">
        <f>IF(OR(Sync!$M1336="",$Q1336="",$Q1336="نامعتبر"),"",Sync!$M1336)</f>
        <v/>
      </c>
      <c r="O1336" t="str">
        <f t="shared" si="124"/>
        <v/>
      </c>
      <c r="P1336" t="str">
        <f>IF($N1336="","",LEFT($Q1336,4)&amp;MID($Q1336,6,2)&amp;RIGHT($Q1336,2)&amp;IF(Sync!$K1336="","0000",IF(AND(ISNUMBER(Sync!$K1336),Sync!$K1336&gt;=0,Sync!$K1336&lt;1),RIGHT("00"&amp;HOUR(Sync!$K1336),2)&amp;RIGHT("00"&amp;MINUTE(Sync!$K1336),2),IFERROR(RIGHT("00"&amp;VALUE(LEFT(Sync!$K1336,FIND(":",Sync!$K1336)-1)),2)&amp;RIGHT("00"&amp;VALUE(MID(Sync!$K1336,FIND(":",Sync!$K1336)+1,2)),2),"0000")))&amp;"|"&amp;"2"&amp;RIGHT("00000"&amp;1331,5))</f>
        <v/>
      </c>
      <c r="Q1336" t="str">
        <f>IF(Sync!$J1336="","",IF(ISNUMBER(Sync!$J1336),IF(AND(Sync!$J1336&gt;=10000101,Sync!$J1336&lt;=99991231),INT(Sync!$J1336/10000)&amp;"/"&amp;RIGHT("00"&amp;INT(MOD(Sync!$J1336,10000)/100),2)&amp;"/"&amp;RIGHT("00"&amp;MOD(Sync!$J1336,100),2),"نامعتبر"),IF(LEN(Sync!$J1336)=10,Sync!$J1336,"نامعتبر")))</f>
        <v/>
      </c>
      <c r="R1336" t="str">
        <f t="shared" si="125"/>
        <v/>
      </c>
      <c r="S1336" t="str">
        <f t="shared" si="126"/>
        <v/>
      </c>
      <c r="T1336" t="str">
        <f>IF($N1336="","",IF(Sync!$N1336="",0,Sync!$N1336))</f>
        <v/>
      </c>
      <c r="U1336" t="str">
        <f>IF($N1336="","",IF(Sync!$O1336="",0,Sync!$O1336))</f>
        <v/>
      </c>
      <c r="V1336" t="str">
        <f>IF($N1336="","",Sync!$L1336)</f>
        <v/>
      </c>
      <c r="W1336" t="str">
        <f>IF($N1336="","",Sync!$P1336)</f>
        <v/>
      </c>
    </row>
    <row r="1337" spans="14:23" x14ac:dyDescent="0.2">
      <c r="N1337" t="str">
        <f>IF(OR(Sync!$M1337="",$Q1337="",$Q1337="نامعتبر"),"",Sync!$M1337)</f>
        <v/>
      </c>
      <c r="O1337" t="str">
        <f t="shared" si="124"/>
        <v/>
      </c>
      <c r="P1337" t="str">
        <f>IF($N1337="","",LEFT($Q1337,4)&amp;MID($Q1337,6,2)&amp;RIGHT($Q1337,2)&amp;IF(Sync!$K1337="","0000",IF(AND(ISNUMBER(Sync!$K1337),Sync!$K1337&gt;=0,Sync!$K1337&lt;1),RIGHT("00"&amp;HOUR(Sync!$K1337),2)&amp;RIGHT("00"&amp;MINUTE(Sync!$K1337),2),IFERROR(RIGHT("00"&amp;VALUE(LEFT(Sync!$K1337,FIND(":",Sync!$K1337)-1)),2)&amp;RIGHT("00"&amp;VALUE(MID(Sync!$K1337,FIND(":",Sync!$K1337)+1,2)),2),"0000")))&amp;"|"&amp;"2"&amp;RIGHT("00000"&amp;1332,5))</f>
        <v/>
      </c>
      <c r="Q1337" t="str">
        <f>IF(Sync!$J1337="","",IF(ISNUMBER(Sync!$J1337),IF(AND(Sync!$J1337&gt;=10000101,Sync!$J1337&lt;=99991231),INT(Sync!$J1337/10000)&amp;"/"&amp;RIGHT("00"&amp;INT(MOD(Sync!$J1337,10000)/100),2)&amp;"/"&amp;RIGHT("00"&amp;MOD(Sync!$J1337,100),2),"نامعتبر"),IF(LEN(Sync!$J1337)=10,Sync!$J1337,"نامعتبر")))</f>
        <v/>
      </c>
      <c r="R1337" t="str">
        <f t="shared" si="125"/>
        <v/>
      </c>
      <c r="S1337" t="str">
        <f t="shared" si="126"/>
        <v/>
      </c>
      <c r="T1337" t="str">
        <f>IF($N1337="","",IF(Sync!$N1337="",0,Sync!$N1337))</f>
        <v/>
      </c>
      <c r="U1337" t="str">
        <f>IF($N1337="","",IF(Sync!$O1337="",0,Sync!$O1337))</f>
        <v/>
      </c>
      <c r="V1337" t="str">
        <f>IF($N1337="","",Sync!$L1337)</f>
        <v/>
      </c>
      <c r="W1337" t="str">
        <f>IF($N1337="","",Sync!$P1337)</f>
        <v/>
      </c>
    </row>
    <row r="1338" spans="14:23" x14ac:dyDescent="0.2">
      <c r="N1338" t="str">
        <f>IF(OR(Sync!$M1338="",$Q1338="",$Q1338="نامعتبر"),"",Sync!$M1338)</f>
        <v/>
      </c>
      <c r="O1338" t="str">
        <f t="shared" si="124"/>
        <v/>
      </c>
      <c r="P1338" t="str">
        <f>IF($N1338="","",LEFT($Q1338,4)&amp;MID($Q1338,6,2)&amp;RIGHT($Q1338,2)&amp;IF(Sync!$K1338="","0000",IF(AND(ISNUMBER(Sync!$K1338),Sync!$K1338&gt;=0,Sync!$K1338&lt;1),RIGHT("00"&amp;HOUR(Sync!$K1338),2)&amp;RIGHT("00"&amp;MINUTE(Sync!$K1338),2),IFERROR(RIGHT("00"&amp;VALUE(LEFT(Sync!$K1338,FIND(":",Sync!$K1338)-1)),2)&amp;RIGHT("00"&amp;VALUE(MID(Sync!$K1338,FIND(":",Sync!$K1338)+1,2)),2),"0000")))&amp;"|"&amp;"2"&amp;RIGHT("00000"&amp;1333,5))</f>
        <v/>
      </c>
      <c r="Q1338" t="str">
        <f>IF(Sync!$J1338="","",IF(ISNUMBER(Sync!$J1338),IF(AND(Sync!$J1338&gt;=10000101,Sync!$J1338&lt;=99991231),INT(Sync!$J1338/10000)&amp;"/"&amp;RIGHT("00"&amp;INT(MOD(Sync!$J1338,10000)/100),2)&amp;"/"&amp;RIGHT("00"&amp;MOD(Sync!$J1338,100),2),"نامعتبر"),IF(LEN(Sync!$J1338)=10,Sync!$J1338,"نامعتبر")))</f>
        <v/>
      </c>
      <c r="R1338" t="str">
        <f t="shared" si="125"/>
        <v/>
      </c>
      <c r="S1338" t="str">
        <f t="shared" si="126"/>
        <v/>
      </c>
      <c r="T1338" t="str">
        <f>IF($N1338="","",IF(Sync!$N1338="",0,Sync!$N1338))</f>
        <v/>
      </c>
      <c r="U1338" t="str">
        <f>IF($N1338="","",IF(Sync!$O1338="",0,Sync!$O1338))</f>
        <v/>
      </c>
      <c r="V1338" t="str">
        <f>IF($N1338="","",Sync!$L1338)</f>
        <v/>
      </c>
      <c r="W1338" t="str">
        <f>IF($N1338="","",Sync!$P1338)</f>
        <v/>
      </c>
    </row>
    <row r="1339" spans="14:23" x14ac:dyDescent="0.2">
      <c r="N1339" t="str">
        <f>IF(OR(Sync!$M1339="",$Q1339="",$Q1339="نامعتبر"),"",Sync!$M1339)</f>
        <v/>
      </c>
      <c r="O1339" t="str">
        <f t="shared" si="124"/>
        <v/>
      </c>
      <c r="P1339" t="str">
        <f>IF($N1339="","",LEFT($Q1339,4)&amp;MID($Q1339,6,2)&amp;RIGHT($Q1339,2)&amp;IF(Sync!$K1339="","0000",IF(AND(ISNUMBER(Sync!$K1339),Sync!$K1339&gt;=0,Sync!$K1339&lt;1),RIGHT("00"&amp;HOUR(Sync!$K1339),2)&amp;RIGHT("00"&amp;MINUTE(Sync!$K1339),2),IFERROR(RIGHT("00"&amp;VALUE(LEFT(Sync!$K1339,FIND(":",Sync!$K1339)-1)),2)&amp;RIGHT("00"&amp;VALUE(MID(Sync!$K1339,FIND(":",Sync!$K1339)+1,2)),2),"0000")))&amp;"|"&amp;"2"&amp;RIGHT("00000"&amp;1334,5))</f>
        <v/>
      </c>
      <c r="Q1339" t="str">
        <f>IF(Sync!$J1339="","",IF(ISNUMBER(Sync!$J1339),IF(AND(Sync!$J1339&gt;=10000101,Sync!$J1339&lt;=99991231),INT(Sync!$J1339/10000)&amp;"/"&amp;RIGHT("00"&amp;INT(MOD(Sync!$J1339,10000)/100),2)&amp;"/"&amp;RIGHT("00"&amp;MOD(Sync!$J1339,100),2),"نامعتبر"),IF(LEN(Sync!$J1339)=10,Sync!$J1339,"نامعتبر")))</f>
        <v/>
      </c>
      <c r="R1339" t="str">
        <f t="shared" si="125"/>
        <v/>
      </c>
      <c r="S1339" t="str">
        <f t="shared" si="126"/>
        <v/>
      </c>
      <c r="T1339" t="str">
        <f>IF($N1339="","",IF(Sync!$N1339="",0,Sync!$N1339))</f>
        <v/>
      </c>
      <c r="U1339" t="str">
        <f>IF($N1339="","",IF(Sync!$O1339="",0,Sync!$O1339))</f>
        <v/>
      </c>
      <c r="V1339" t="str">
        <f>IF($N1339="","",Sync!$L1339)</f>
        <v/>
      </c>
      <c r="W1339" t="str">
        <f>IF($N1339="","",Sync!$P1339)</f>
        <v/>
      </c>
    </row>
    <row r="1340" spans="14:23" x14ac:dyDescent="0.2">
      <c r="N1340" t="str">
        <f>IF(OR(Sync!$M1340="",$Q1340="",$Q1340="نامعتبر"),"",Sync!$M1340)</f>
        <v/>
      </c>
      <c r="O1340" t="str">
        <f t="shared" si="124"/>
        <v/>
      </c>
      <c r="P1340" t="str">
        <f>IF($N1340="","",LEFT($Q1340,4)&amp;MID($Q1340,6,2)&amp;RIGHT($Q1340,2)&amp;IF(Sync!$K1340="","0000",IF(AND(ISNUMBER(Sync!$K1340),Sync!$K1340&gt;=0,Sync!$K1340&lt;1),RIGHT("00"&amp;HOUR(Sync!$K1340),2)&amp;RIGHT("00"&amp;MINUTE(Sync!$K1340),2),IFERROR(RIGHT("00"&amp;VALUE(LEFT(Sync!$K1340,FIND(":",Sync!$K1340)-1)),2)&amp;RIGHT("00"&amp;VALUE(MID(Sync!$K1340,FIND(":",Sync!$K1340)+1,2)),2),"0000")))&amp;"|"&amp;"2"&amp;RIGHT("00000"&amp;1335,5))</f>
        <v/>
      </c>
      <c r="Q1340" t="str">
        <f>IF(Sync!$J1340="","",IF(ISNUMBER(Sync!$J1340),IF(AND(Sync!$J1340&gt;=10000101,Sync!$J1340&lt;=99991231),INT(Sync!$J1340/10000)&amp;"/"&amp;RIGHT("00"&amp;INT(MOD(Sync!$J1340,10000)/100),2)&amp;"/"&amp;RIGHT("00"&amp;MOD(Sync!$J1340,100),2),"نامعتبر"),IF(LEN(Sync!$J1340)=10,Sync!$J1340,"نامعتبر")))</f>
        <v/>
      </c>
      <c r="R1340" t="str">
        <f t="shared" si="125"/>
        <v/>
      </c>
      <c r="S1340" t="str">
        <f t="shared" si="126"/>
        <v/>
      </c>
      <c r="T1340" t="str">
        <f>IF($N1340="","",IF(Sync!$N1340="",0,Sync!$N1340))</f>
        <v/>
      </c>
      <c r="U1340" t="str">
        <f>IF($N1340="","",IF(Sync!$O1340="",0,Sync!$O1340))</f>
        <v/>
      </c>
      <c r="V1340" t="str">
        <f>IF($N1340="","",Sync!$L1340)</f>
        <v/>
      </c>
      <c r="W1340" t="str">
        <f>IF($N1340="","",Sync!$P1340)</f>
        <v/>
      </c>
    </row>
    <row r="1341" spans="14:23" x14ac:dyDescent="0.2">
      <c r="N1341" t="str">
        <f>IF(OR(Sync!$M1341="",$Q1341="",$Q1341="نامعتبر"),"",Sync!$M1341)</f>
        <v/>
      </c>
      <c r="O1341" t="str">
        <f t="shared" si="124"/>
        <v/>
      </c>
      <c r="P1341" t="str">
        <f>IF($N1341="","",LEFT($Q1341,4)&amp;MID($Q1341,6,2)&amp;RIGHT($Q1341,2)&amp;IF(Sync!$K1341="","0000",IF(AND(ISNUMBER(Sync!$K1341),Sync!$K1341&gt;=0,Sync!$K1341&lt;1),RIGHT("00"&amp;HOUR(Sync!$K1341),2)&amp;RIGHT("00"&amp;MINUTE(Sync!$K1341),2),IFERROR(RIGHT("00"&amp;VALUE(LEFT(Sync!$K1341,FIND(":",Sync!$K1341)-1)),2)&amp;RIGHT("00"&amp;VALUE(MID(Sync!$K1341,FIND(":",Sync!$K1341)+1,2)),2),"0000")))&amp;"|"&amp;"2"&amp;RIGHT("00000"&amp;1336,5))</f>
        <v/>
      </c>
      <c r="Q1341" t="str">
        <f>IF(Sync!$J1341="","",IF(ISNUMBER(Sync!$J1341),IF(AND(Sync!$J1341&gt;=10000101,Sync!$J1341&lt;=99991231),INT(Sync!$J1341/10000)&amp;"/"&amp;RIGHT("00"&amp;INT(MOD(Sync!$J1341,10000)/100),2)&amp;"/"&amp;RIGHT("00"&amp;MOD(Sync!$J1341,100),2),"نامعتبر"),IF(LEN(Sync!$J1341)=10,Sync!$J1341,"نامعتبر")))</f>
        <v/>
      </c>
      <c r="R1341" t="str">
        <f t="shared" si="125"/>
        <v/>
      </c>
      <c r="S1341" t="str">
        <f t="shared" si="126"/>
        <v/>
      </c>
      <c r="T1341" t="str">
        <f>IF($N1341="","",IF(Sync!$N1341="",0,Sync!$N1341))</f>
        <v/>
      </c>
      <c r="U1341" t="str">
        <f>IF($N1341="","",IF(Sync!$O1341="",0,Sync!$O1341))</f>
        <v/>
      </c>
      <c r="V1341" t="str">
        <f>IF($N1341="","",Sync!$L1341)</f>
        <v/>
      </c>
      <c r="W1341" t="str">
        <f>IF($N1341="","",Sync!$P1341)</f>
        <v/>
      </c>
    </row>
    <row r="1342" spans="14:23" x14ac:dyDescent="0.2">
      <c r="N1342" t="str">
        <f>IF(OR(Sync!$M1342="",$Q1342="",$Q1342="نامعتبر"),"",Sync!$M1342)</f>
        <v/>
      </c>
      <c r="O1342" t="str">
        <f t="shared" si="124"/>
        <v/>
      </c>
      <c r="P1342" t="str">
        <f>IF($N1342="","",LEFT($Q1342,4)&amp;MID($Q1342,6,2)&amp;RIGHT($Q1342,2)&amp;IF(Sync!$K1342="","0000",IF(AND(ISNUMBER(Sync!$K1342),Sync!$K1342&gt;=0,Sync!$K1342&lt;1),RIGHT("00"&amp;HOUR(Sync!$K1342),2)&amp;RIGHT("00"&amp;MINUTE(Sync!$K1342),2),IFERROR(RIGHT("00"&amp;VALUE(LEFT(Sync!$K1342,FIND(":",Sync!$K1342)-1)),2)&amp;RIGHT("00"&amp;VALUE(MID(Sync!$K1342,FIND(":",Sync!$K1342)+1,2)),2),"0000")))&amp;"|"&amp;"2"&amp;RIGHT("00000"&amp;1337,5))</f>
        <v/>
      </c>
      <c r="Q1342" t="str">
        <f>IF(Sync!$J1342="","",IF(ISNUMBER(Sync!$J1342),IF(AND(Sync!$J1342&gt;=10000101,Sync!$J1342&lt;=99991231),INT(Sync!$J1342/10000)&amp;"/"&amp;RIGHT("00"&amp;INT(MOD(Sync!$J1342,10000)/100),2)&amp;"/"&amp;RIGHT("00"&amp;MOD(Sync!$J1342,100),2),"نامعتبر"),IF(LEN(Sync!$J1342)=10,Sync!$J1342,"نامعتبر")))</f>
        <v/>
      </c>
      <c r="R1342" t="str">
        <f t="shared" si="125"/>
        <v/>
      </c>
      <c r="S1342" t="str">
        <f t="shared" si="126"/>
        <v/>
      </c>
      <c r="T1342" t="str">
        <f>IF($N1342="","",IF(Sync!$N1342="",0,Sync!$N1342))</f>
        <v/>
      </c>
      <c r="U1342" t="str">
        <f>IF($N1342="","",IF(Sync!$O1342="",0,Sync!$O1342))</f>
        <v/>
      </c>
      <c r="V1342" t="str">
        <f>IF($N1342="","",Sync!$L1342)</f>
        <v/>
      </c>
      <c r="W1342" t="str">
        <f>IF($N1342="","",Sync!$P1342)</f>
        <v/>
      </c>
    </row>
    <row r="1343" spans="14:23" x14ac:dyDescent="0.2">
      <c r="N1343" t="str">
        <f>IF(OR(Sync!$M1343="",$Q1343="",$Q1343="نامعتبر"),"",Sync!$M1343)</f>
        <v/>
      </c>
      <c r="O1343" t="str">
        <f t="shared" si="124"/>
        <v/>
      </c>
      <c r="P1343" t="str">
        <f>IF($N1343="","",LEFT($Q1343,4)&amp;MID($Q1343,6,2)&amp;RIGHT($Q1343,2)&amp;IF(Sync!$K1343="","0000",IF(AND(ISNUMBER(Sync!$K1343),Sync!$K1343&gt;=0,Sync!$K1343&lt;1),RIGHT("00"&amp;HOUR(Sync!$K1343),2)&amp;RIGHT("00"&amp;MINUTE(Sync!$K1343),2),IFERROR(RIGHT("00"&amp;VALUE(LEFT(Sync!$K1343,FIND(":",Sync!$K1343)-1)),2)&amp;RIGHT("00"&amp;VALUE(MID(Sync!$K1343,FIND(":",Sync!$K1343)+1,2)),2),"0000")))&amp;"|"&amp;"2"&amp;RIGHT("00000"&amp;1338,5))</f>
        <v/>
      </c>
      <c r="Q1343" t="str">
        <f>IF(Sync!$J1343="","",IF(ISNUMBER(Sync!$J1343),IF(AND(Sync!$J1343&gt;=10000101,Sync!$J1343&lt;=99991231),INT(Sync!$J1343/10000)&amp;"/"&amp;RIGHT("00"&amp;INT(MOD(Sync!$J1343,10000)/100),2)&amp;"/"&amp;RIGHT("00"&amp;MOD(Sync!$J1343,100),2),"نامعتبر"),IF(LEN(Sync!$J1343)=10,Sync!$J1343,"نامعتبر")))</f>
        <v/>
      </c>
      <c r="R1343" t="str">
        <f t="shared" si="125"/>
        <v/>
      </c>
      <c r="S1343" t="str">
        <f t="shared" si="126"/>
        <v/>
      </c>
      <c r="T1343" t="str">
        <f>IF($N1343="","",IF(Sync!$N1343="",0,Sync!$N1343))</f>
        <v/>
      </c>
      <c r="U1343" t="str">
        <f>IF($N1343="","",IF(Sync!$O1343="",0,Sync!$O1343))</f>
        <v/>
      </c>
      <c r="V1343" t="str">
        <f>IF($N1343="","",Sync!$L1343)</f>
        <v/>
      </c>
      <c r="W1343" t="str">
        <f>IF($N1343="","",Sync!$P1343)</f>
        <v/>
      </c>
    </row>
    <row r="1344" spans="14:23" x14ac:dyDescent="0.2">
      <c r="N1344" t="str">
        <f>IF(OR(Sync!$M1344="",$Q1344="",$Q1344="نامعتبر"),"",Sync!$M1344)</f>
        <v/>
      </c>
      <c r="O1344" t="str">
        <f t="shared" si="124"/>
        <v/>
      </c>
      <c r="P1344" t="str">
        <f>IF($N1344="","",LEFT($Q1344,4)&amp;MID($Q1344,6,2)&amp;RIGHT($Q1344,2)&amp;IF(Sync!$K1344="","0000",IF(AND(ISNUMBER(Sync!$K1344),Sync!$K1344&gt;=0,Sync!$K1344&lt;1),RIGHT("00"&amp;HOUR(Sync!$K1344),2)&amp;RIGHT("00"&amp;MINUTE(Sync!$K1344),2),IFERROR(RIGHT("00"&amp;VALUE(LEFT(Sync!$K1344,FIND(":",Sync!$K1344)-1)),2)&amp;RIGHT("00"&amp;VALUE(MID(Sync!$K1344,FIND(":",Sync!$K1344)+1,2)),2),"0000")))&amp;"|"&amp;"2"&amp;RIGHT("00000"&amp;1339,5))</f>
        <v/>
      </c>
      <c r="Q1344" t="str">
        <f>IF(Sync!$J1344="","",IF(ISNUMBER(Sync!$J1344),IF(AND(Sync!$J1344&gt;=10000101,Sync!$J1344&lt;=99991231),INT(Sync!$J1344/10000)&amp;"/"&amp;RIGHT("00"&amp;INT(MOD(Sync!$J1344,10000)/100),2)&amp;"/"&amp;RIGHT("00"&amp;MOD(Sync!$J1344,100),2),"نامعتبر"),IF(LEN(Sync!$J1344)=10,Sync!$J1344,"نامعتبر")))</f>
        <v/>
      </c>
      <c r="R1344" t="str">
        <f t="shared" si="125"/>
        <v/>
      </c>
      <c r="S1344" t="str">
        <f t="shared" si="126"/>
        <v/>
      </c>
      <c r="T1344" t="str">
        <f>IF($N1344="","",IF(Sync!$N1344="",0,Sync!$N1344))</f>
        <v/>
      </c>
      <c r="U1344" t="str">
        <f>IF($N1344="","",IF(Sync!$O1344="",0,Sync!$O1344))</f>
        <v/>
      </c>
      <c r="V1344" t="str">
        <f>IF($N1344="","",Sync!$L1344)</f>
        <v/>
      </c>
      <c r="W1344" t="str">
        <f>IF($N1344="","",Sync!$P1344)</f>
        <v/>
      </c>
    </row>
    <row r="1345" spans="14:23" x14ac:dyDescent="0.2">
      <c r="N1345" t="str">
        <f>IF(OR(Sync!$M1345="",$Q1345="",$Q1345="نامعتبر"),"",Sync!$M1345)</f>
        <v/>
      </c>
      <c r="O1345" t="str">
        <f t="shared" si="124"/>
        <v/>
      </c>
      <c r="P1345" t="str">
        <f>IF($N1345="","",LEFT($Q1345,4)&amp;MID($Q1345,6,2)&amp;RIGHT($Q1345,2)&amp;IF(Sync!$K1345="","0000",IF(AND(ISNUMBER(Sync!$K1345),Sync!$K1345&gt;=0,Sync!$K1345&lt;1),RIGHT("00"&amp;HOUR(Sync!$K1345),2)&amp;RIGHT("00"&amp;MINUTE(Sync!$K1345),2),IFERROR(RIGHT("00"&amp;VALUE(LEFT(Sync!$K1345,FIND(":",Sync!$K1345)-1)),2)&amp;RIGHT("00"&amp;VALUE(MID(Sync!$K1345,FIND(":",Sync!$K1345)+1,2)),2),"0000")))&amp;"|"&amp;"2"&amp;RIGHT("00000"&amp;1340,5))</f>
        <v/>
      </c>
      <c r="Q1345" t="str">
        <f>IF(Sync!$J1345="","",IF(ISNUMBER(Sync!$J1345),IF(AND(Sync!$J1345&gt;=10000101,Sync!$J1345&lt;=99991231),INT(Sync!$J1345/10000)&amp;"/"&amp;RIGHT("00"&amp;INT(MOD(Sync!$J1345,10000)/100),2)&amp;"/"&amp;RIGHT("00"&amp;MOD(Sync!$J1345,100),2),"نامعتبر"),IF(LEN(Sync!$J1345)=10,Sync!$J1345,"نامعتبر")))</f>
        <v/>
      </c>
      <c r="R1345" t="str">
        <f t="shared" si="125"/>
        <v/>
      </c>
      <c r="S1345" t="str">
        <f t="shared" si="126"/>
        <v/>
      </c>
      <c r="T1345" t="str">
        <f>IF($N1345="","",IF(Sync!$N1345="",0,Sync!$N1345))</f>
        <v/>
      </c>
      <c r="U1345" t="str">
        <f>IF($N1345="","",IF(Sync!$O1345="",0,Sync!$O1345))</f>
        <v/>
      </c>
      <c r="V1345" t="str">
        <f>IF($N1345="","",Sync!$L1345)</f>
        <v/>
      </c>
      <c r="W1345" t="str">
        <f>IF($N1345="","",Sync!$P1345)</f>
        <v/>
      </c>
    </row>
    <row r="1346" spans="14:23" x14ac:dyDescent="0.2">
      <c r="N1346" t="str">
        <f>IF(OR(Sync!$M1346="",$Q1346="",$Q1346="نامعتبر"),"",Sync!$M1346)</f>
        <v/>
      </c>
      <c r="O1346" t="str">
        <f t="shared" si="124"/>
        <v/>
      </c>
      <c r="P1346" t="str">
        <f>IF($N1346="","",LEFT($Q1346,4)&amp;MID($Q1346,6,2)&amp;RIGHT($Q1346,2)&amp;IF(Sync!$K1346="","0000",IF(AND(ISNUMBER(Sync!$K1346),Sync!$K1346&gt;=0,Sync!$K1346&lt;1),RIGHT("00"&amp;HOUR(Sync!$K1346),2)&amp;RIGHT("00"&amp;MINUTE(Sync!$K1346),2),IFERROR(RIGHT("00"&amp;VALUE(LEFT(Sync!$K1346,FIND(":",Sync!$K1346)-1)),2)&amp;RIGHT("00"&amp;VALUE(MID(Sync!$K1346,FIND(":",Sync!$K1346)+1,2)),2),"0000")))&amp;"|"&amp;"2"&amp;RIGHT("00000"&amp;1341,5))</f>
        <v/>
      </c>
      <c r="Q1346" t="str">
        <f>IF(Sync!$J1346="","",IF(ISNUMBER(Sync!$J1346),IF(AND(Sync!$J1346&gt;=10000101,Sync!$J1346&lt;=99991231),INT(Sync!$J1346/10000)&amp;"/"&amp;RIGHT("00"&amp;INT(MOD(Sync!$J1346,10000)/100),2)&amp;"/"&amp;RIGHT("00"&amp;MOD(Sync!$J1346,100),2),"نامعتبر"),IF(LEN(Sync!$J1346)=10,Sync!$J1346,"نامعتبر")))</f>
        <v/>
      </c>
      <c r="R1346" t="str">
        <f t="shared" si="125"/>
        <v/>
      </c>
      <c r="S1346" t="str">
        <f t="shared" si="126"/>
        <v/>
      </c>
      <c r="T1346" t="str">
        <f>IF($N1346="","",IF(Sync!$N1346="",0,Sync!$N1346))</f>
        <v/>
      </c>
      <c r="U1346" t="str">
        <f>IF($N1346="","",IF(Sync!$O1346="",0,Sync!$O1346))</f>
        <v/>
      </c>
      <c r="V1346" t="str">
        <f>IF($N1346="","",Sync!$L1346)</f>
        <v/>
      </c>
      <c r="W1346" t="str">
        <f>IF($N1346="","",Sync!$P1346)</f>
        <v/>
      </c>
    </row>
    <row r="1347" spans="14:23" x14ac:dyDescent="0.2">
      <c r="N1347" t="str">
        <f>IF(OR(Sync!$M1347="",$Q1347="",$Q1347="نامعتبر"),"",Sync!$M1347)</f>
        <v/>
      </c>
      <c r="O1347" t="str">
        <f t="shared" si="124"/>
        <v/>
      </c>
      <c r="P1347" t="str">
        <f>IF($N1347="","",LEFT($Q1347,4)&amp;MID($Q1347,6,2)&amp;RIGHT($Q1347,2)&amp;IF(Sync!$K1347="","0000",IF(AND(ISNUMBER(Sync!$K1347),Sync!$K1347&gt;=0,Sync!$K1347&lt;1),RIGHT("00"&amp;HOUR(Sync!$K1347),2)&amp;RIGHT("00"&amp;MINUTE(Sync!$K1347),2),IFERROR(RIGHT("00"&amp;VALUE(LEFT(Sync!$K1347,FIND(":",Sync!$K1347)-1)),2)&amp;RIGHT("00"&amp;VALUE(MID(Sync!$K1347,FIND(":",Sync!$K1347)+1,2)),2),"0000")))&amp;"|"&amp;"2"&amp;RIGHT("00000"&amp;1342,5))</f>
        <v/>
      </c>
      <c r="Q1347" t="str">
        <f>IF(Sync!$J1347="","",IF(ISNUMBER(Sync!$J1347),IF(AND(Sync!$J1347&gt;=10000101,Sync!$J1347&lt;=99991231),INT(Sync!$J1347/10000)&amp;"/"&amp;RIGHT("00"&amp;INT(MOD(Sync!$J1347,10000)/100),2)&amp;"/"&amp;RIGHT("00"&amp;MOD(Sync!$J1347,100),2),"نامعتبر"),IF(LEN(Sync!$J1347)=10,Sync!$J1347,"نامعتبر")))</f>
        <v/>
      </c>
      <c r="R1347" t="str">
        <f t="shared" si="125"/>
        <v/>
      </c>
      <c r="S1347" t="str">
        <f t="shared" si="126"/>
        <v/>
      </c>
      <c r="T1347" t="str">
        <f>IF($N1347="","",IF(Sync!$N1347="",0,Sync!$N1347))</f>
        <v/>
      </c>
      <c r="U1347" t="str">
        <f>IF($N1347="","",IF(Sync!$O1347="",0,Sync!$O1347))</f>
        <v/>
      </c>
      <c r="V1347" t="str">
        <f>IF($N1347="","",Sync!$L1347)</f>
        <v/>
      </c>
      <c r="W1347" t="str">
        <f>IF($N1347="","",Sync!$P1347)</f>
        <v/>
      </c>
    </row>
    <row r="1348" spans="14:23" x14ac:dyDescent="0.2">
      <c r="N1348" t="str">
        <f>IF(OR(Sync!$M1348="",$Q1348="",$Q1348="نامعتبر"),"",Sync!$M1348)</f>
        <v/>
      </c>
      <c r="O1348" t="str">
        <f t="shared" si="124"/>
        <v/>
      </c>
      <c r="P1348" t="str">
        <f>IF($N1348="","",LEFT($Q1348,4)&amp;MID($Q1348,6,2)&amp;RIGHT($Q1348,2)&amp;IF(Sync!$K1348="","0000",IF(AND(ISNUMBER(Sync!$K1348),Sync!$K1348&gt;=0,Sync!$K1348&lt;1),RIGHT("00"&amp;HOUR(Sync!$K1348),2)&amp;RIGHT("00"&amp;MINUTE(Sync!$K1348),2),IFERROR(RIGHT("00"&amp;VALUE(LEFT(Sync!$K1348,FIND(":",Sync!$K1348)-1)),2)&amp;RIGHT("00"&amp;VALUE(MID(Sync!$K1348,FIND(":",Sync!$K1348)+1,2)),2),"0000")))&amp;"|"&amp;"2"&amp;RIGHT("00000"&amp;1343,5))</f>
        <v/>
      </c>
      <c r="Q1348" t="str">
        <f>IF(Sync!$J1348="","",IF(ISNUMBER(Sync!$J1348),IF(AND(Sync!$J1348&gt;=10000101,Sync!$J1348&lt;=99991231),INT(Sync!$J1348/10000)&amp;"/"&amp;RIGHT("00"&amp;INT(MOD(Sync!$J1348,10000)/100),2)&amp;"/"&amp;RIGHT("00"&amp;MOD(Sync!$J1348,100),2),"نامعتبر"),IF(LEN(Sync!$J1348)=10,Sync!$J1348,"نامعتبر")))</f>
        <v/>
      </c>
      <c r="R1348" t="str">
        <f t="shared" si="125"/>
        <v/>
      </c>
      <c r="S1348" t="str">
        <f t="shared" si="126"/>
        <v/>
      </c>
      <c r="T1348" t="str">
        <f>IF($N1348="","",IF(Sync!$N1348="",0,Sync!$N1348))</f>
        <v/>
      </c>
      <c r="U1348" t="str">
        <f>IF($N1348="","",IF(Sync!$O1348="",0,Sync!$O1348))</f>
        <v/>
      </c>
      <c r="V1348" t="str">
        <f>IF($N1348="","",Sync!$L1348)</f>
        <v/>
      </c>
      <c r="W1348" t="str">
        <f>IF($N1348="","",Sync!$P1348)</f>
        <v/>
      </c>
    </row>
    <row r="1349" spans="14:23" x14ac:dyDescent="0.2">
      <c r="N1349" t="str">
        <f>IF(OR(Sync!$M1349="",$Q1349="",$Q1349="نامعتبر"),"",Sync!$M1349)</f>
        <v/>
      </c>
      <c r="O1349" t="str">
        <f t="shared" si="124"/>
        <v/>
      </c>
      <c r="P1349" t="str">
        <f>IF($N1349="","",LEFT($Q1349,4)&amp;MID($Q1349,6,2)&amp;RIGHT($Q1349,2)&amp;IF(Sync!$K1349="","0000",IF(AND(ISNUMBER(Sync!$K1349),Sync!$K1349&gt;=0,Sync!$K1349&lt;1),RIGHT("00"&amp;HOUR(Sync!$K1349),2)&amp;RIGHT("00"&amp;MINUTE(Sync!$K1349),2),IFERROR(RIGHT("00"&amp;VALUE(LEFT(Sync!$K1349,FIND(":",Sync!$K1349)-1)),2)&amp;RIGHT("00"&amp;VALUE(MID(Sync!$K1349,FIND(":",Sync!$K1349)+1,2)),2),"0000")))&amp;"|"&amp;"2"&amp;RIGHT("00000"&amp;1344,5))</f>
        <v/>
      </c>
      <c r="Q1349" t="str">
        <f>IF(Sync!$J1349="","",IF(ISNUMBER(Sync!$J1349),IF(AND(Sync!$J1349&gt;=10000101,Sync!$J1349&lt;=99991231),INT(Sync!$J1349/10000)&amp;"/"&amp;RIGHT("00"&amp;INT(MOD(Sync!$J1349,10000)/100),2)&amp;"/"&amp;RIGHT("00"&amp;MOD(Sync!$J1349,100),2),"نامعتبر"),IF(LEN(Sync!$J1349)=10,Sync!$J1349,"نامعتبر")))</f>
        <v/>
      </c>
      <c r="R1349" t="str">
        <f t="shared" si="125"/>
        <v/>
      </c>
      <c r="S1349" t="str">
        <f t="shared" si="126"/>
        <v/>
      </c>
      <c r="T1349" t="str">
        <f>IF($N1349="","",IF(Sync!$N1349="",0,Sync!$N1349))</f>
        <v/>
      </c>
      <c r="U1349" t="str">
        <f>IF($N1349="","",IF(Sync!$O1349="",0,Sync!$O1349))</f>
        <v/>
      </c>
      <c r="V1349" t="str">
        <f>IF($N1349="","",Sync!$L1349)</f>
        <v/>
      </c>
      <c r="W1349" t="str">
        <f>IF($N1349="","",Sync!$P1349)</f>
        <v/>
      </c>
    </row>
    <row r="1350" spans="14:23" x14ac:dyDescent="0.2">
      <c r="N1350" t="str">
        <f>IF(OR(Sync!$M1350="",$Q1350="",$Q1350="نامعتبر"),"",Sync!$M1350)</f>
        <v/>
      </c>
      <c r="O1350" t="str">
        <f t="shared" ref="O1350:O1413" si="127">IF($N1350="","",$Q1350)</f>
        <v/>
      </c>
      <c r="P1350" t="str">
        <f>IF($N1350="","",LEFT($Q1350,4)&amp;MID($Q1350,6,2)&amp;RIGHT($Q1350,2)&amp;IF(Sync!$K1350="","0000",IF(AND(ISNUMBER(Sync!$K1350),Sync!$K1350&gt;=0,Sync!$K1350&lt;1),RIGHT("00"&amp;HOUR(Sync!$K1350),2)&amp;RIGHT("00"&amp;MINUTE(Sync!$K1350),2),IFERROR(RIGHT("00"&amp;VALUE(LEFT(Sync!$K1350,FIND(":",Sync!$K1350)-1)),2)&amp;RIGHT("00"&amp;VALUE(MID(Sync!$K1350,FIND(":",Sync!$K1350)+1,2)),2),"0000")))&amp;"|"&amp;"2"&amp;RIGHT("00000"&amp;1345,5))</f>
        <v/>
      </c>
      <c r="Q1350" t="str">
        <f>IF(Sync!$J1350="","",IF(ISNUMBER(Sync!$J1350),IF(AND(Sync!$J1350&gt;=10000101,Sync!$J1350&lt;=99991231),INT(Sync!$J1350/10000)&amp;"/"&amp;RIGHT("00"&amp;INT(MOD(Sync!$J1350,10000)/100),2)&amp;"/"&amp;RIGHT("00"&amp;MOD(Sync!$J1350,100),2),"نامعتبر"),IF(LEN(Sync!$J1350)=10,Sync!$J1350,"نامعتبر")))</f>
        <v/>
      </c>
      <c r="R1350" t="str">
        <f t="shared" ref="R1350:R1413" si="128">IF($P1350="","",COUNTIFS($N$6:$N$2005,$N1350,$P$6:$P$2005,"&lt;"&amp;$P1350)+COUNTIFS($A$6:$A$1005,$N1350,$B$6:$B$1005,"&lt;"&amp;$P1350)+1)</f>
        <v/>
      </c>
      <c r="S1350" t="str">
        <f t="shared" ref="S1350:S1413" si="129">IF($N1350="","",$N1350&amp;"|"&amp;RIGHT("000000"&amp;$R1350,6))</f>
        <v/>
      </c>
      <c r="T1350" t="str">
        <f>IF($N1350="","",IF(Sync!$N1350="",0,Sync!$N1350))</f>
        <v/>
      </c>
      <c r="U1350" t="str">
        <f>IF($N1350="","",IF(Sync!$O1350="",0,Sync!$O1350))</f>
        <v/>
      </c>
      <c r="V1350" t="str">
        <f>IF($N1350="","",Sync!$L1350)</f>
        <v/>
      </c>
      <c r="W1350" t="str">
        <f>IF($N1350="","",Sync!$P1350)</f>
        <v/>
      </c>
    </row>
    <row r="1351" spans="14:23" x14ac:dyDescent="0.2">
      <c r="N1351" t="str">
        <f>IF(OR(Sync!$M1351="",$Q1351="",$Q1351="نامعتبر"),"",Sync!$M1351)</f>
        <v/>
      </c>
      <c r="O1351" t="str">
        <f t="shared" si="127"/>
        <v/>
      </c>
      <c r="P1351" t="str">
        <f>IF($N1351="","",LEFT($Q1351,4)&amp;MID($Q1351,6,2)&amp;RIGHT($Q1351,2)&amp;IF(Sync!$K1351="","0000",IF(AND(ISNUMBER(Sync!$K1351),Sync!$K1351&gt;=0,Sync!$K1351&lt;1),RIGHT("00"&amp;HOUR(Sync!$K1351),2)&amp;RIGHT("00"&amp;MINUTE(Sync!$K1351),2),IFERROR(RIGHT("00"&amp;VALUE(LEFT(Sync!$K1351,FIND(":",Sync!$K1351)-1)),2)&amp;RIGHT("00"&amp;VALUE(MID(Sync!$K1351,FIND(":",Sync!$K1351)+1,2)),2),"0000")))&amp;"|"&amp;"2"&amp;RIGHT("00000"&amp;1346,5))</f>
        <v/>
      </c>
      <c r="Q1351" t="str">
        <f>IF(Sync!$J1351="","",IF(ISNUMBER(Sync!$J1351),IF(AND(Sync!$J1351&gt;=10000101,Sync!$J1351&lt;=99991231),INT(Sync!$J1351/10000)&amp;"/"&amp;RIGHT("00"&amp;INT(MOD(Sync!$J1351,10000)/100),2)&amp;"/"&amp;RIGHT("00"&amp;MOD(Sync!$J1351,100),2),"نامعتبر"),IF(LEN(Sync!$J1351)=10,Sync!$J1351,"نامعتبر")))</f>
        <v/>
      </c>
      <c r="R1351" t="str">
        <f t="shared" si="128"/>
        <v/>
      </c>
      <c r="S1351" t="str">
        <f t="shared" si="129"/>
        <v/>
      </c>
      <c r="T1351" t="str">
        <f>IF($N1351="","",IF(Sync!$N1351="",0,Sync!$N1351))</f>
        <v/>
      </c>
      <c r="U1351" t="str">
        <f>IF($N1351="","",IF(Sync!$O1351="",0,Sync!$O1351))</f>
        <v/>
      </c>
      <c r="V1351" t="str">
        <f>IF($N1351="","",Sync!$L1351)</f>
        <v/>
      </c>
      <c r="W1351" t="str">
        <f>IF($N1351="","",Sync!$P1351)</f>
        <v/>
      </c>
    </row>
    <row r="1352" spans="14:23" x14ac:dyDescent="0.2">
      <c r="N1352" t="str">
        <f>IF(OR(Sync!$M1352="",$Q1352="",$Q1352="نامعتبر"),"",Sync!$M1352)</f>
        <v/>
      </c>
      <c r="O1352" t="str">
        <f t="shared" si="127"/>
        <v/>
      </c>
      <c r="P1352" t="str">
        <f>IF($N1352="","",LEFT($Q1352,4)&amp;MID($Q1352,6,2)&amp;RIGHT($Q1352,2)&amp;IF(Sync!$K1352="","0000",IF(AND(ISNUMBER(Sync!$K1352),Sync!$K1352&gt;=0,Sync!$K1352&lt;1),RIGHT("00"&amp;HOUR(Sync!$K1352),2)&amp;RIGHT("00"&amp;MINUTE(Sync!$K1352),2),IFERROR(RIGHT("00"&amp;VALUE(LEFT(Sync!$K1352,FIND(":",Sync!$K1352)-1)),2)&amp;RIGHT("00"&amp;VALUE(MID(Sync!$K1352,FIND(":",Sync!$K1352)+1,2)),2),"0000")))&amp;"|"&amp;"2"&amp;RIGHT("00000"&amp;1347,5))</f>
        <v/>
      </c>
      <c r="Q1352" t="str">
        <f>IF(Sync!$J1352="","",IF(ISNUMBER(Sync!$J1352),IF(AND(Sync!$J1352&gt;=10000101,Sync!$J1352&lt;=99991231),INT(Sync!$J1352/10000)&amp;"/"&amp;RIGHT("00"&amp;INT(MOD(Sync!$J1352,10000)/100),2)&amp;"/"&amp;RIGHT("00"&amp;MOD(Sync!$J1352,100),2),"نامعتبر"),IF(LEN(Sync!$J1352)=10,Sync!$J1352,"نامعتبر")))</f>
        <v/>
      </c>
      <c r="R1352" t="str">
        <f t="shared" si="128"/>
        <v/>
      </c>
      <c r="S1352" t="str">
        <f t="shared" si="129"/>
        <v/>
      </c>
      <c r="T1352" t="str">
        <f>IF($N1352="","",IF(Sync!$N1352="",0,Sync!$N1352))</f>
        <v/>
      </c>
      <c r="U1352" t="str">
        <f>IF($N1352="","",IF(Sync!$O1352="",0,Sync!$O1352))</f>
        <v/>
      </c>
      <c r="V1352" t="str">
        <f>IF($N1352="","",Sync!$L1352)</f>
        <v/>
      </c>
      <c r="W1352" t="str">
        <f>IF($N1352="","",Sync!$P1352)</f>
        <v/>
      </c>
    </row>
    <row r="1353" spans="14:23" x14ac:dyDescent="0.2">
      <c r="N1353" t="str">
        <f>IF(OR(Sync!$M1353="",$Q1353="",$Q1353="نامعتبر"),"",Sync!$M1353)</f>
        <v/>
      </c>
      <c r="O1353" t="str">
        <f t="shared" si="127"/>
        <v/>
      </c>
      <c r="P1353" t="str">
        <f>IF($N1353="","",LEFT($Q1353,4)&amp;MID($Q1353,6,2)&amp;RIGHT($Q1353,2)&amp;IF(Sync!$K1353="","0000",IF(AND(ISNUMBER(Sync!$K1353),Sync!$K1353&gt;=0,Sync!$K1353&lt;1),RIGHT("00"&amp;HOUR(Sync!$K1353),2)&amp;RIGHT("00"&amp;MINUTE(Sync!$K1353),2),IFERROR(RIGHT("00"&amp;VALUE(LEFT(Sync!$K1353,FIND(":",Sync!$K1353)-1)),2)&amp;RIGHT("00"&amp;VALUE(MID(Sync!$K1353,FIND(":",Sync!$K1353)+1,2)),2),"0000")))&amp;"|"&amp;"2"&amp;RIGHT("00000"&amp;1348,5))</f>
        <v/>
      </c>
      <c r="Q1353" t="str">
        <f>IF(Sync!$J1353="","",IF(ISNUMBER(Sync!$J1353),IF(AND(Sync!$J1353&gt;=10000101,Sync!$J1353&lt;=99991231),INT(Sync!$J1353/10000)&amp;"/"&amp;RIGHT("00"&amp;INT(MOD(Sync!$J1353,10000)/100),2)&amp;"/"&amp;RIGHT("00"&amp;MOD(Sync!$J1353,100),2),"نامعتبر"),IF(LEN(Sync!$J1353)=10,Sync!$J1353,"نامعتبر")))</f>
        <v/>
      </c>
      <c r="R1353" t="str">
        <f t="shared" si="128"/>
        <v/>
      </c>
      <c r="S1353" t="str">
        <f t="shared" si="129"/>
        <v/>
      </c>
      <c r="T1353" t="str">
        <f>IF($N1353="","",IF(Sync!$N1353="",0,Sync!$N1353))</f>
        <v/>
      </c>
      <c r="U1353" t="str">
        <f>IF($N1353="","",IF(Sync!$O1353="",0,Sync!$O1353))</f>
        <v/>
      </c>
      <c r="V1353" t="str">
        <f>IF($N1353="","",Sync!$L1353)</f>
        <v/>
      </c>
      <c r="W1353" t="str">
        <f>IF($N1353="","",Sync!$P1353)</f>
        <v/>
      </c>
    </row>
    <row r="1354" spans="14:23" x14ac:dyDescent="0.2">
      <c r="N1354" t="str">
        <f>IF(OR(Sync!$M1354="",$Q1354="",$Q1354="نامعتبر"),"",Sync!$M1354)</f>
        <v/>
      </c>
      <c r="O1354" t="str">
        <f t="shared" si="127"/>
        <v/>
      </c>
      <c r="P1354" t="str">
        <f>IF($N1354="","",LEFT($Q1354,4)&amp;MID($Q1354,6,2)&amp;RIGHT($Q1354,2)&amp;IF(Sync!$K1354="","0000",IF(AND(ISNUMBER(Sync!$K1354),Sync!$K1354&gt;=0,Sync!$K1354&lt;1),RIGHT("00"&amp;HOUR(Sync!$K1354),2)&amp;RIGHT("00"&amp;MINUTE(Sync!$K1354),2),IFERROR(RIGHT("00"&amp;VALUE(LEFT(Sync!$K1354,FIND(":",Sync!$K1354)-1)),2)&amp;RIGHT("00"&amp;VALUE(MID(Sync!$K1354,FIND(":",Sync!$K1354)+1,2)),2),"0000")))&amp;"|"&amp;"2"&amp;RIGHT("00000"&amp;1349,5))</f>
        <v/>
      </c>
      <c r="Q1354" t="str">
        <f>IF(Sync!$J1354="","",IF(ISNUMBER(Sync!$J1354),IF(AND(Sync!$J1354&gt;=10000101,Sync!$J1354&lt;=99991231),INT(Sync!$J1354/10000)&amp;"/"&amp;RIGHT("00"&amp;INT(MOD(Sync!$J1354,10000)/100),2)&amp;"/"&amp;RIGHT("00"&amp;MOD(Sync!$J1354,100),2),"نامعتبر"),IF(LEN(Sync!$J1354)=10,Sync!$J1354,"نامعتبر")))</f>
        <v/>
      </c>
      <c r="R1354" t="str">
        <f t="shared" si="128"/>
        <v/>
      </c>
      <c r="S1354" t="str">
        <f t="shared" si="129"/>
        <v/>
      </c>
      <c r="T1354" t="str">
        <f>IF($N1354="","",IF(Sync!$N1354="",0,Sync!$N1354))</f>
        <v/>
      </c>
      <c r="U1354" t="str">
        <f>IF($N1354="","",IF(Sync!$O1354="",0,Sync!$O1354))</f>
        <v/>
      </c>
      <c r="V1354" t="str">
        <f>IF($N1354="","",Sync!$L1354)</f>
        <v/>
      </c>
      <c r="W1354" t="str">
        <f>IF($N1354="","",Sync!$P1354)</f>
        <v/>
      </c>
    </row>
    <row r="1355" spans="14:23" x14ac:dyDescent="0.2">
      <c r="N1355" t="str">
        <f>IF(OR(Sync!$M1355="",$Q1355="",$Q1355="نامعتبر"),"",Sync!$M1355)</f>
        <v/>
      </c>
      <c r="O1355" t="str">
        <f t="shared" si="127"/>
        <v/>
      </c>
      <c r="P1355" t="str">
        <f>IF($N1355="","",LEFT($Q1355,4)&amp;MID($Q1355,6,2)&amp;RIGHT($Q1355,2)&amp;IF(Sync!$K1355="","0000",IF(AND(ISNUMBER(Sync!$K1355),Sync!$K1355&gt;=0,Sync!$K1355&lt;1),RIGHT("00"&amp;HOUR(Sync!$K1355),2)&amp;RIGHT("00"&amp;MINUTE(Sync!$K1355),2),IFERROR(RIGHT("00"&amp;VALUE(LEFT(Sync!$K1355,FIND(":",Sync!$K1355)-1)),2)&amp;RIGHT("00"&amp;VALUE(MID(Sync!$K1355,FIND(":",Sync!$K1355)+1,2)),2),"0000")))&amp;"|"&amp;"2"&amp;RIGHT("00000"&amp;1350,5))</f>
        <v/>
      </c>
      <c r="Q1355" t="str">
        <f>IF(Sync!$J1355="","",IF(ISNUMBER(Sync!$J1355),IF(AND(Sync!$J1355&gt;=10000101,Sync!$J1355&lt;=99991231),INT(Sync!$J1355/10000)&amp;"/"&amp;RIGHT("00"&amp;INT(MOD(Sync!$J1355,10000)/100),2)&amp;"/"&amp;RIGHT("00"&amp;MOD(Sync!$J1355,100),2),"نامعتبر"),IF(LEN(Sync!$J1355)=10,Sync!$J1355,"نامعتبر")))</f>
        <v/>
      </c>
      <c r="R1355" t="str">
        <f t="shared" si="128"/>
        <v/>
      </c>
      <c r="S1355" t="str">
        <f t="shared" si="129"/>
        <v/>
      </c>
      <c r="T1355" t="str">
        <f>IF($N1355="","",IF(Sync!$N1355="",0,Sync!$N1355))</f>
        <v/>
      </c>
      <c r="U1355" t="str">
        <f>IF($N1355="","",IF(Sync!$O1355="",0,Sync!$O1355))</f>
        <v/>
      </c>
      <c r="V1355" t="str">
        <f>IF($N1355="","",Sync!$L1355)</f>
        <v/>
      </c>
      <c r="W1355" t="str">
        <f>IF($N1355="","",Sync!$P1355)</f>
        <v/>
      </c>
    </row>
    <row r="1356" spans="14:23" x14ac:dyDescent="0.2">
      <c r="N1356" t="str">
        <f>IF(OR(Sync!$M1356="",$Q1356="",$Q1356="نامعتبر"),"",Sync!$M1356)</f>
        <v/>
      </c>
      <c r="O1356" t="str">
        <f t="shared" si="127"/>
        <v/>
      </c>
      <c r="P1356" t="str">
        <f>IF($N1356="","",LEFT($Q1356,4)&amp;MID($Q1356,6,2)&amp;RIGHT($Q1356,2)&amp;IF(Sync!$K1356="","0000",IF(AND(ISNUMBER(Sync!$K1356),Sync!$K1356&gt;=0,Sync!$K1356&lt;1),RIGHT("00"&amp;HOUR(Sync!$K1356),2)&amp;RIGHT("00"&amp;MINUTE(Sync!$K1356),2),IFERROR(RIGHT("00"&amp;VALUE(LEFT(Sync!$K1356,FIND(":",Sync!$K1356)-1)),2)&amp;RIGHT("00"&amp;VALUE(MID(Sync!$K1356,FIND(":",Sync!$K1356)+1,2)),2),"0000")))&amp;"|"&amp;"2"&amp;RIGHT("00000"&amp;1351,5))</f>
        <v/>
      </c>
      <c r="Q1356" t="str">
        <f>IF(Sync!$J1356="","",IF(ISNUMBER(Sync!$J1356),IF(AND(Sync!$J1356&gt;=10000101,Sync!$J1356&lt;=99991231),INT(Sync!$J1356/10000)&amp;"/"&amp;RIGHT("00"&amp;INT(MOD(Sync!$J1356,10000)/100),2)&amp;"/"&amp;RIGHT("00"&amp;MOD(Sync!$J1356,100),2),"نامعتبر"),IF(LEN(Sync!$J1356)=10,Sync!$J1356,"نامعتبر")))</f>
        <v/>
      </c>
      <c r="R1356" t="str">
        <f t="shared" si="128"/>
        <v/>
      </c>
      <c r="S1356" t="str">
        <f t="shared" si="129"/>
        <v/>
      </c>
      <c r="T1356" t="str">
        <f>IF($N1356="","",IF(Sync!$N1356="",0,Sync!$N1356))</f>
        <v/>
      </c>
      <c r="U1356" t="str">
        <f>IF($N1356="","",IF(Sync!$O1356="",0,Sync!$O1356))</f>
        <v/>
      </c>
      <c r="V1356" t="str">
        <f>IF($N1356="","",Sync!$L1356)</f>
        <v/>
      </c>
      <c r="W1356" t="str">
        <f>IF($N1356="","",Sync!$P1356)</f>
        <v/>
      </c>
    </row>
    <row r="1357" spans="14:23" x14ac:dyDescent="0.2">
      <c r="N1357" t="str">
        <f>IF(OR(Sync!$M1357="",$Q1357="",$Q1357="نامعتبر"),"",Sync!$M1357)</f>
        <v/>
      </c>
      <c r="O1357" t="str">
        <f t="shared" si="127"/>
        <v/>
      </c>
      <c r="P1357" t="str">
        <f>IF($N1357="","",LEFT($Q1357,4)&amp;MID($Q1357,6,2)&amp;RIGHT($Q1357,2)&amp;IF(Sync!$K1357="","0000",IF(AND(ISNUMBER(Sync!$K1357),Sync!$K1357&gt;=0,Sync!$K1357&lt;1),RIGHT("00"&amp;HOUR(Sync!$K1357),2)&amp;RIGHT("00"&amp;MINUTE(Sync!$K1357),2),IFERROR(RIGHT("00"&amp;VALUE(LEFT(Sync!$K1357,FIND(":",Sync!$K1357)-1)),2)&amp;RIGHT("00"&amp;VALUE(MID(Sync!$K1357,FIND(":",Sync!$K1357)+1,2)),2),"0000")))&amp;"|"&amp;"2"&amp;RIGHT("00000"&amp;1352,5))</f>
        <v/>
      </c>
      <c r="Q1357" t="str">
        <f>IF(Sync!$J1357="","",IF(ISNUMBER(Sync!$J1357),IF(AND(Sync!$J1357&gt;=10000101,Sync!$J1357&lt;=99991231),INT(Sync!$J1357/10000)&amp;"/"&amp;RIGHT("00"&amp;INT(MOD(Sync!$J1357,10000)/100),2)&amp;"/"&amp;RIGHT("00"&amp;MOD(Sync!$J1357,100),2),"نامعتبر"),IF(LEN(Sync!$J1357)=10,Sync!$J1357,"نامعتبر")))</f>
        <v/>
      </c>
      <c r="R1357" t="str">
        <f t="shared" si="128"/>
        <v/>
      </c>
      <c r="S1357" t="str">
        <f t="shared" si="129"/>
        <v/>
      </c>
      <c r="T1357" t="str">
        <f>IF($N1357="","",IF(Sync!$N1357="",0,Sync!$N1357))</f>
        <v/>
      </c>
      <c r="U1357" t="str">
        <f>IF($N1357="","",IF(Sync!$O1357="",0,Sync!$O1357))</f>
        <v/>
      </c>
      <c r="V1357" t="str">
        <f>IF($N1357="","",Sync!$L1357)</f>
        <v/>
      </c>
      <c r="W1357" t="str">
        <f>IF($N1357="","",Sync!$P1357)</f>
        <v/>
      </c>
    </row>
    <row r="1358" spans="14:23" x14ac:dyDescent="0.2">
      <c r="N1358" t="str">
        <f>IF(OR(Sync!$M1358="",$Q1358="",$Q1358="نامعتبر"),"",Sync!$M1358)</f>
        <v/>
      </c>
      <c r="O1358" t="str">
        <f t="shared" si="127"/>
        <v/>
      </c>
      <c r="P1358" t="str">
        <f>IF($N1358="","",LEFT($Q1358,4)&amp;MID($Q1358,6,2)&amp;RIGHT($Q1358,2)&amp;IF(Sync!$K1358="","0000",IF(AND(ISNUMBER(Sync!$K1358),Sync!$K1358&gt;=0,Sync!$K1358&lt;1),RIGHT("00"&amp;HOUR(Sync!$K1358),2)&amp;RIGHT("00"&amp;MINUTE(Sync!$K1358),2),IFERROR(RIGHT("00"&amp;VALUE(LEFT(Sync!$K1358,FIND(":",Sync!$K1358)-1)),2)&amp;RIGHT("00"&amp;VALUE(MID(Sync!$K1358,FIND(":",Sync!$K1358)+1,2)),2),"0000")))&amp;"|"&amp;"2"&amp;RIGHT("00000"&amp;1353,5))</f>
        <v/>
      </c>
      <c r="Q1358" t="str">
        <f>IF(Sync!$J1358="","",IF(ISNUMBER(Sync!$J1358),IF(AND(Sync!$J1358&gt;=10000101,Sync!$J1358&lt;=99991231),INT(Sync!$J1358/10000)&amp;"/"&amp;RIGHT("00"&amp;INT(MOD(Sync!$J1358,10000)/100),2)&amp;"/"&amp;RIGHT("00"&amp;MOD(Sync!$J1358,100),2),"نامعتبر"),IF(LEN(Sync!$J1358)=10,Sync!$J1358,"نامعتبر")))</f>
        <v/>
      </c>
      <c r="R1358" t="str">
        <f t="shared" si="128"/>
        <v/>
      </c>
      <c r="S1358" t="str">
        <f t="shared" si="129"/>
        <v/>
      </c>
      <c r="T1358" t="str">
        <f>IF($N1358="","",IF(Sync!$N1358="",0,Sync!$N1358))</f>
        <v/>
      </c>
      <c r="U1358" t="str">
        <f>IF($N1358="","",IF(Sync!$O1358="",0,Sync!$O1358))</f>
        <v/>
      </c>
      <c r="V1358" t="str">
        <f>IF($N1358="","",Sync!$L1358)</f>
        <v/>
      </c>
      <c r="W1358" t="str">
        <f>IF($N1358="","",Sync!$P1358)</f>
        <v/>
      </c>
    </row>
    <row r="1359" spans="14:23" x14ac:dyDescent="0.2">
      <c r="N1359" t="str">
        <f>IF(OR(Sync!$M1359="",$Q1359="",$Q1359="نامعتبر"),"",Sync!$M1359)</f>
        <v/>
      </c>
      <c r="O1359" t="str">
        <f t="shared" si="127"/>
        <v/>
      </c>
      <c r="P1359" t="str">
        <f>IF($N1359="","",LEFT($Q1359,4)&amp;MID($Q1359,6,2)&amp;RIGHT($Q1359,2)&amp;IF(Sync!$K1359="","0000",IF(AND(ISNUMBER(Sync!$K1359),Sync!$K1359&gt;=0,Sync!$K1359&lt;1),RIGHT("00"&amp;HOUR(Sync!$K1359),2)&amp;RIGHT("00"&amp;MINUTE(Sync!$K1359),2),IFERROR(RIGHT("00"&amp;VALUE(LEFT(Sync!$K1359,FIND(":",Sync!$K1359)-1)),2)&amp;RIGHT("00"&amp;VALUE(MID(Sync!$K1359,FIND(":",Sync!$K1359)+1,2)),2),"0000")))&amp;"|"&amp;"2"&amp;RIGHT("00000"&amp;1354,5))</f>
        <v/>
      </c>
      <c r="Q1359" t="str">
        <f>IF(Sync!$J1359="","",IF(ISNUMBER(Sync!$J1359),IF(AND(Sync!$J1359&gt;=10000101,Sync!$J1359&lt;=99991231),INT(Sync!$J1359/10000)&amp;"/"&amp;RIGHT("00"&amp;INT(MOD(Sync!$J1359,10000)/100),2)&amp;"/"&amp;RIGHT("00"&amp;MOD(Sync!$J1359,100),2),"نامعتبر"),IF(LEN(Sync!$J1359)=10,Sync!$J1359,"نامعتبر")))</f>
        <v/>
      </c>
      <c r="R1359" t="str">
        <f t="shared" si="128"/>
        <v/>
      </c>
      <c r="S1359" t="str">
        <f t="shared" si="129"/>
        <v/>
      </c>
      <c r="T1359" t="str">
        <f>IF($N1359="","",IF(Sync!$N1359="",0,Sync!$N1359))</f>
        <v/>
      </c>
      <c r="U1359" t="str">
        <f>IF($N1359="","",IF(Sync!$O1359="",0,Sync!$O1359))</f>
        <v/>
      </c>
      <c r="V1359" t="str">
        <f>IF($N1359="","",Sync!$L1359)</f>
        <v/>
      </c>
      <c r="W1359" t="str">
        <f>IF($N1359="","",Sync!$P1359)</f>
        <v/>
      </c>
    </row>
    <row r="1360" spans="14:23" x14ac:dyDescent="0.2">
      <c r="N1360" t="str">
        <f>IF(OR(Sync!$M1360="",$Q1360="",$Q1360="نامعتبر"),"",Sync!$M1360)</f>
        <v/>
      </c>
      <c r="O1360" t="str">
        <f t="shared" si="127"/>
        <v/>
      </c>
      <c r="P1360" t="str">
        <f>IF($N1360="","",LEFT($Q1360,4)&amp;MID($Q1360,6,2)&amp;RIGHT($Q1360,2)&amp;IF(Sync!$K1360="","0000",IF(AND(ISNUMBER(Sync!$K1360),Sync!$K1360&gt;=0,Sync!$K1360&lt;1),RIGHT("00"&amp;HOUR(Sync!$K1360),2)&amp;RIGHT("00"&amp;MINUTE(Sync!$K1360),2),IFERROR(RIGHT("00"&amp;VALUE(LEFT(Sync!$K1360,FIND(":",Sync!$K1360)-1)),2)&amp;RIGHT("00"&amp;VALUE(MID(Sync!$K1360,FIND(":",Sync!$K1360)+1,2)),2),"0000")))&amp;"|"&amp;"2"&amp;RIGHT("00000"&amp;1355,5))</f>
        <v/>
      </c>
      <c r="Q1360" t="str">
        <f>IF(Sync!$J1360="","",IF(ISNUMBER(Sync!$J1360),IF(AND(Sync!$J1360&gt;=10000101,Sync!$J1360&lt;=99991231),INT(Sync!$J1360/10000)&amp;"/"&amp;RIGHT("00"&amp;INT(MOD(Sync!$J1360,10000)/100),2)&amp;"/"&amp;RIGHT("00"&amp;MOD(Sync!$J1360,100),2),"نامعتبر"),IF(LEN(Sync!$J1360)=10,Sync!$J1360,"نامعتبر")))</f>
        <v/>
      </c>
      <c r="R1360" t="str">
        <f t="shared" si="128"/>
        <v/>
      </c>
      <c r="S1360" t="str">
        <f t="shared" si="129"/>
        <v/>
      </c>
      <c r="T1360" t="str">
        <f>IF($N1360="","",IF(Sync!$N1360="",0,Sync!$N1360))</f>
        <v/>
      </c>
      <c r="U1360" t="str">
        <f>IF($N1360="","",IF(Sync!$O1360="",0,Sync!$O1360))</f>
        <v/>
      </c>
      <c r="V1360" t="str">
        <f>IF($N1360="","",Sync!$L1360)</f>
        <v/>
      </c>
      <c r="W1360" t="str">
        <f>IF($N1360="","",Sync!$P1360)</f>
        <v/>
      </c>
    </row>
    <row r="1361" spans="14:23" x14ac:dyDescent="0.2">
      <c r="N1361" t="str">
        <f>IF(OR(Sync!$M1361="",$Q1361="",$Q1361="نامعتبر"),"",Sync!$M1361)</f>
        <v/>
      </c>
      <c r="O1361" t="str">
        <f t="shared" si="127"/>
        <v/>
      </c>
      <c r="P1361" t="str">
        <f>IF($N1361="","",LEFT($Q1361,4)&amp;MID($Q1361,6,2)&amp;RIGHT($Q1361,2)&amp;IF(Sync!$K1361="","0000",IF(AND(ISNUMBER(Sync!$K1361),Sync!$K1361&gt;=0,Sync!$K1361&lt;1),RIGHT("00"&amp;HOUR(Sync!$K1361),2)&amp;RIGHT("00"&amp;MINUTE(Sync!$K1361),2),IFERROR(RIGHT("00"&amp;VALUE(LEFT(Sync!$K1361,FIND(":",Sync!$K1361)-1)),2)&amp;RIGHT("00"&amp;VALUE(MID(Sync!$K1361,FIND(":",Sync!$K1361)+1,2)),2),"0000")))&amp;"|"&amp;"2"&amp;RIGHT("00000"&amp;1356,5))</f>
        <v/>
      </c>
      <c r="Q1361" t="str">
        <f>IF(Sync!$J1361="","",IF(ISNUMBER(Sync!$J1361),IF(AND(Sync!$J1361&gt;=10000101,Sync!$J1361&lt;=99991231),INT(Sync!$J1361/10000)&amp;"/"&amp;RIGHT("00"&amp;INT(MOD(Sync!$J1361,10000)/100),2)&amp;"/"&amp;RIGHT("00"&amp;MOD(Sync!$J1361,100),2),"نامعتبر"),IF(LEN(Sync!$J1361)=10,Sync!$J1361,"نامعتبر")))</f>
        <v/>
      </c>
      <c r="R1361" t="str">
        <f t="shared" si="128"/>
        <v/>
      </c>
      <c r="S1361" t="str">
        <f t="shared" si="129"/>
        <v/>
      </c>
      <c r="T1361" t="str">
        <f>IF($N1361="","",IF(Sync!$N1361="",0,Sync!$N1361))</f>
        <v/>
      </c>
      <c r="U1361" t="str">
        <f>IF($N1361="","",IF(Sync!$O1361="",0,Sync!$O1361))</f>
        <v/>
      </c>
      <c r="V1361" t="str">
        <f>IF($N1361="","",Sync!$L1361)</f>
        <v/>
      </c>
      <c r="W1361" t="str">
        <f>IF($N1361="","",Sync!$P1361)</f>
        <v/>
      </c>
    </row>
    <row r="1362" spans="14:23" x14ac:dyDescent="0.2">
      <c r="N1362" t="str">
        <f>IF(OR(Sync!$M1362="",$Q1362="",$Q1362="نامعتبر"),"",Sync!$M1362)</f>
        <v/>
      </c>
      <c r="O1362" t="str">
        <f t="shared" si="127"/>
        <v/>
      </c>
      <c r="P1362" t="str">
        <f>IF($N1362="","",LEFT($Q1362,4)&amp;MID($Q1362,6,2)&amp;RIGHT($Q1362,2)&amp;IF(Sync!$K1362="","0000",IF(AND(ISNUMBER(Sync!$K1362),Sync!$K1362&gt;=0,Sync!$K1362&lt;1),RIGHT("00"&amp;HOUR(Sync!$K1362),2)&amp;RIGHT("00"&amp;MINUTE(Sync!$K1362),2),IFERROR(RIGHT("00"&amp;VALUE(LEFT(Sync!$K1362,FIND(":",Sync!$K1362)-1)),2)&amp;RIGHT("00"&amp;VALUE(MID(Sync!$K1362,FIND(":",Sync!$K1362)+1,2)),2),"0000")))&amp;"|"&amp;"2"&amp;RIGHT("00000"&amp;1357,5))</f>
        <v/>
      </c>
      <c r="Q1362" t="str">
        <f>IF(Sync!$J1362="","",IF(ISNUMBER(Sync!$J1362),IF(AND(Sync!$J1362&gt;=10000101,Sync!$J1362&lt;=99991231),INT(Sync!$J1362/10000)&amp;"/"&amp;RIGHT("00"&amp;INT(MOD(Sync!$J1362,10000)/100),2)&amp;"/"&amp;RIGHT("00"&amp;MOD(Sync!$J1362,100),2),"نامعتبر"),IF(LEN(Sync!$J1362)=10,Sync!$J1362,"نامعتبر")))</f>
        <v/>
      </c>
      <c r="R1362" t="str">
        <f t="shared" si="128"/>
        <v/>
      </c>
      <c r="S1362" t="str">
        <f t="shared" si="129"/>
        <v/>
      </c>
      <c r="T1362" t="str">
        <f>IF($N1362="","",IF(Sync!$N1362="",0,Sync!$N1362))</f>
        <v/>
      </c>
      <c r="U1362" t="str">
        <f>IF($N1362="","",IF(Sync!$O1362="",0,Sync!$O1362))</f>
        <v/>
      </c>
      <c r="V1362" t="str">
        <f>IF($N1362="","",Sync!$L1362)</f>
        <v/>
      </c>
      <c r="W1362" t="str">
        <f>IF($N1362="","",Sync!$P1362)</f>
        <v/>
      </c>
    </row>
    <row r="1363" spans="14:23" x14ac:dyDescent="0.2">
      <c r="N1363" t="str">
        <f>IF(OR(Sync!$M1363="",$Q1363="",$Q1363="نامعتبر"),"",Sync!$M1363)</f>
        <v/>
      </c>
      <c r="O1363" t="str">
        <f t="shared" si="127"/>
        <v/>
      </c>
      <c r="P1363" t="str">
        <f>IF($N1363="","",LEFT($Q1363,4)&amp;MID($Q1363,6,2)&amp;RIGHT($Q1363,2)&amp;IF(Sync!$K1363="","0000",IF(AND(ISNUMBER(Sync!$K1363),Sync!$K1363&gt;=0,Sync!$K1363&lt;1),RIGHT("00"&amp;HOUR(Sync!$K1363),2)&amp;RIGHT("00"&amp;MINUTE(Sync!$K1363),2),IFERROR(RIGHT("00"&amp;VALUE(LEFT(Sync!$K1363,FIND(":",Sync!$K1363)-1)),2)&amp;RIGHT("00"&amp;VALUE(MID(Sync!$K1363,FIND(":",Sync!$K1363)+1,2)),2),"0000")))&amp;"|"&amp;"2"&amp;RIGHT("00000"&amp;1358,5))</f>
        <v/>
      </c>
      <c r="Q1363" t="str">
        <f>IF(Sync!$J1363="","",IF(ISNUMBER(Sync!$J1363),IF(AND(Sync!$J1363&gt;=10000101,Sync!$J1363&lt;=99991231),INT(Sync!$J1363/10000)&amp;"/"&amp;RIGHT("00"&amp;INT(MOD(Sync!$J1363,10000)/100),2)&amp;"/"&amp;RIGHT("00"&amp;MOD(Sync!$J1363,100),2),"نامعتبر"),IF(LEN(Sync!$J1363)=10,Sync!$J1363,"نامعتبر")))</f>
        <v/>
      </c>
      <c r="R1363" t="str">
        <f t="shared" si="128"/>
        <v/>
      </c>
      <c r="S1363" t="str">
        <f t="shared" si="129"/>
        <v/>
      </c>
      <c r="T1363" t="str">
        <f>IF($N1363="","",IF(Sync!$N1363="",0,Sync!$N1363))</f>
        <v/>
      </c>
      <c r="U1363" t="str">
        <f>IF($N1363="","",IF(Sync!$O1363="",0,Sync!$O1363))</f>
        <v/>
      </c>
      <c r="V1363" t="str">
        <f>IF($N1363="","",Sync!$L1363)</f>
        <v/>
      </c>
      <c r="W1363" t="str">
        <f>IF($N1363="","",Sync!$P1363)</f>
        <v/>
      </c>
    </row>
    <row r="1364" spans="14:23" x14ac:dyDescent="0.2">
      <c r="N1364" t="str">
        <f>IF(OR(Sync!$M1364="",$Q1364="",$Q1364="نامعتبر"),"",Sync!$M1364)</f>
        <v/>
      </c>
      <c r="O1364" t="str">
        <f t="shared" si="127"/>
        <v/>
      </c>
      <c r="P1364" t="str">
        <f>IF($N1364="","",LEFT($Q1364,4)&amp;MID($Q1364,6,2)&amp;RIGHT($Q1364,2)&amp;IF(Sync!$K1364="","0000",IF(AND(ISNUMBER(Sync!$K1364),Sync!$K1364&gt;=0,Sync!$K1364&lt;1),RIGHT("00"&amp;HOUR(Sync!$K1364),2)&amp;RIGHT("00"&amp;MINUTE(Sync!$K1364),2),IFERROR(RIGHT("00"&amp;VALUE(LEFT(Sync!$K1364,FIND(":",Sync!$K1364)-1)),2)&amp;RIGHT("00"&amp;VALUE(MID(Sync!$K1364,FIND(":",Sync!$K1364)+1,2)),2),"0000")))&amp;"|"&amp;"2"&amp;RIGHT("00000"&amp;1359,5))</f>
        <v/>
      </c>
      <c r="Q1364" t="str">
        <f>IF(Sync!$J1364="","",IF(ISNUMBER(Sync!$J1364),IF(AND(Sync!$J1364&gt;=10000101,Sync!$J1364&lt;=99991231),INT(Sync!$J1364/10000)&amp;"/"&amp;RIGHT("00"&amp;INT(MOD(Sync!$J1364,10000)/100),2)&amp;"/"&amp;RIGHT("00"&amp;MOD(Sync!$J1364,100),2),"نامعتبر"),IF(LEN(Sync!$J1364)=10,Sync!$J1364,"نامعتبر")))</f>
        <v/>
      </c>
      <c r="R1364" t="str">
        <f t="shared" si="128"/>
        <v/>
      </c>
      <c r="S1364" t="str">
        <f t="shared" si="129"/>
        <v/>
      </c>
      <c r="T1364" t="str">
        <f>IF($N1364="","",IF(Sync!$N1364="",0,Sync!$N1364))</f>
        <v/>
      </c>
      <c r="U1364" t="str">
        <f>IF($N1364="","",IF(Sync!$O1364="",0,Sync!$O1364))</f>
        <v/>
      </c>
      <c r="V1364" t="str">
        <f>IF($N1364="","",Sync!$L1364)</f>
        <v/>
      </c>
      <c r="W1364" t="str">
        <f>IF($N1364="","",Sync!$P1364)</f>
        <v/>
      </c>
    </row>
    <row r="1365" spans="14:23" x14ac:dyDescent="0.2">
      <c r="N1365" t="str">
        <f>IF(OR(Sync!$M1365="",$Q1365="",$Q1365="نامعتبر"),"",Sync!$M1365)</f>
        <v/>
      </c>
      <c r="O1365" t="str">
        <f t="shared" si="127"/>
        <v/>
      </c>
      <c r="P1365" t="str">
        <f>IF($N1365="","",LEFT($Q1365,4)&amp;MID($Q1365,6,2)&amp;RIGHT($Q1365,2)&amp;IF(Sync!$K1365="","0000",IF(AND(ISNUMBER(Sync!$K1365),Sync!$K1365&gt;=0,Sync!$K1365&lt;1),RIGHT("00"&amp;HOUR(Sync!$K1365),2)&amp;RIGHT("00"&amp;MINUTE(Sync!$K1365),2),IFERROR(RIGHT("00"&amp;VALUE(LEFT(Sync!$K1365,FIND(":",Sync!$K1365)-1)),2)&amp;RIGHT("00"&amp;VALUE(MID(Sync!$K1365,FIND(":",Sync!$K1365)+1,2)),2),"0000")))&amp;"|"&amp;"2"&amp;RIGHT("00000"&amp;1360,5))</f>
        <v/>
      </c>
      <c r="Q1365" t="str">
        <f>IF(Sync!$J1365="","",IF(ISNUMBER(Sync!$J1365),IF(AND(Sync!$J1365&gt;=10000101,Sync!$J1365&lt;=99991231),INT(Sync!$J1365/10000)&amp;"/"&amp;RIGHT("00"&amp;INT(MOD(Sync!$J1365,10000)/100),2)&amp;"/"&amp;RIGHT("00"&amp;MOD(Sync!$J1365,100),2),"نامعتبر"),IF(LEN(Sync!$J1365)=10,Sync!$J1365,"نامعتبر")))</f>
        <v/>
      </c>
      <c r="R1365" t="str">
        <f t="shared" si="128"/>
        <v/>
      </c>
      <c r="S1365" t="str">
        <f t="shared" si="129"/>
        <v/>
      </c>
      <c r="T1365" t="str">
        <f>IF($N1365="","",IF(Sync!$N1365="",0,Sync!$N1365))</f>
        <v/>
      </c>
      <c r="U1365" t="str">
        <f>IF($N1365="","",IF(Sync!$O1365="",0,Sync!$O1365))</f>
        <v/>
      </c>
      <c r="V1365" t="str">
        <f>IF($N1365="","",Sync!$L1365)</f>
        <v/>
      </c>
      <c r="W1365" t="str">
        <f>IF($N1365="","",Sync!$P1365)</f>
        <v/>
      </c>
    </row>
    <row r="1366" spans="14:23" x14ac:dyDescent="0.2">
      <c r="N1366" t="str">
        <f>IF(OR(Sync!$M1366="",$Q1366="",$Q1366="نامعتبر"),"",Sync!$M1366)</f>
        <v/>
      </c>
      <c r="O1366" t="str">
        <f t="shared" si="127"/>
        <v/>
      </c>
      <c r="P1366" t="str">
        <f>IF($N1366="","",LEFT($Q1366,4)&amp;MID($Q1366,6,2)&amp;RIGHT($Q1366,2)&amp;IF(Sync!$K1366="","0000",IF(AND(ISNUMBER(Sync!$K1366),Sync!$K1366&gt;=0,Sync!$K1366&lt;1),RIGHT("00"&amp;HOUR(Sync!$K1366),2)&amp;RIGHT("00"&amp;MINUTE(Sync!$K1366),2),IFERROR(RIGHT("00"&amp;VALUE(LEFT(Sync!$K1366,FIND(":",Sync!$K1366)-1)),2)&amp;RIGHT("00"&amp;VALUE(MID(Sync!$K1366,FIND(":",Sync!$K1366)+1,2)),2),"0000")))&amp;"|"&amp;"2"&amp;RIGHT("00000"&amp;1361,5))</f>
        <v/>
      </c>
      <c r="Q1366" t="str">
        <f>IF(Sync!$J1366="","",IF(ISNUMBER(Sync!$J1366),IF(AND(Sync!$J1366&gt;=10000101,Sync!$J1366&lt;=99991231),INT(Sync!$J1366/10000)&amp;"/"&amp;RIGHT("00"&amp;INT(MOD(Sync!$J1366,10000)/100),2)&amp;"/"&amp;RIGHT("00"&amp;MOD(Sync!$J1366,100),2),"نامعتبر"),IF(LEN(Sync!$J1366)=10,Sync!$J1366,"نامعتبر")))</f>
        <v/>
      </c>
      <c r="R1366" t="str">
        <f t="shared" si="128"/>
        <v/>
      </c>
      <c r="S1366" t="str">
        <f t="shared" si="129"/>
        <v/>
      </c>
      <c r="T1366" t="str">
        <f>IF($N1366="","",IF(Sync!$N1366="",0,Sync!$N1366))</f>
        <v/>
      </c>
      <c r="U1366" t="str">
        <f>IF($N1366="","",IF(Sync!$O1366="",0,Sync!$O1366))</f>
        <v/>
      </c>
      <c r="V1366" t="str">
        <f>IF($N1366="","",Sync!$L1366)</f>
        <v/>
      </c>
      <c r="W1366" t="str">
        <f>IF($N1366="","",Sync!$P1366)</f>
        <v/>
      </c>
    </row>
    <row r="1367" spans="14:23" x14ac:dyDescent="0.2">
      <c r="N1367" t="str">
        <f>IF(OR(Sync!$M1367="",$Q1367="",$Q1367="نامعتبر"),"",Sync!$M1367)</f>
        <v/>
      </c>
      <c r="O1367" t="str">
        <f t="shared" si="127"/>
        <v/>
      </c>
      <c r="P1367" t="str">
        <f>IF($N1367="","",LEFT($Q1367,4)&amp;MID($Q1367,6,2)&amp;RIGHT($Q1367,2)&amp;IF(Sync!$K1367="","0000",IF(AND(ISNUMBER(Sync!$K1367),Sync!$K1367&gt;=0,Sync!$K1367&lt;1),RIGHT("00"&amp;HOUR(Sync!$K1367),2)&amp;RIGHT("00"&amp;MINUTE(Sync!$K1367),2),IFERROR(RIGHT("00"&amp;VALUE(LEFT(Sync!$K1367,FIND(":",Sync!$K1367)-1)),2)&amp;RIGHT("00"&amp;VALUE(MID(Sync!$K1367,FIND(":",Sync!$K1367)+1,2)),2),"0000")))&amp;"|"&amp;"2"&amp;RIGHT("00000"&amp;1362,5))</f>
        <v/>
      </c>
      <c r="Q1367" t="str">
        <f>IF(Sync!$J1367="","",IF(ISNUMBER(Sync!$J1367),IF(AND(Sync!$J1367&gt;=10000101,Sync!$J1367&lt;=99991231),INT(Sync!$J1367/10000)&amp;"/"&amp;RIGHT("00"&amp;INT(MOD(Sync!$J1367,10000)/100),2)&amp;"/"&amp;RIGHT("00"&amp;MOD(Sync!$J1367,100),2),"نامعتبر"),IF(LEN(Sync!$J1367)=10,Sync!$J1367,"نامعتبر")))</f>
        <v/>
      </c>
      <c r="R1367" t="str">
        <f t="shared" si="128"/>
        <v/>
      </c>
      <c r="S1367" t="str">
        <f t="shared" si="129"/>
        <v/>
      </c>
      <c r="T1367" t="str">
        <f>IF($N1367="","",IF(Sync!$N1367="",0,Sync!$N1367))</f>
        <v/>
      </c>
      <c r="U1367" t="str">
        <f>IF($N1367="","",IF(Sync!$O1367="",0,Sync!$O1367))</f>
        <v/>
      </c>
      <c r="V1367" t="str">
        <f>IF($N1367="","",Sync!$L1367)</f>
        <v/>
      </c>
      <c r="W1367" t="str">
        <f>IF($N1367="","",Sync!$P1367)</f>
        <v/>
      </c>
    </row>
    <row r="1368" spans="14:23" x14ac:dyDescent="0.2">
      <c r="N1368" t="str">
        <f>IF(OR(Sync!$M1368="",$Q1368="",$Q1368="نامعتبر"),"",Sync!$M1368)</f>
        <v/>
      </c>
      <c r="O1368" t="str">
        <f t="shared" si="127"/>
        <v/>
      </c>
      <c r="P1368" t="str">
        <f>IF($N1368="","",LEFT($Q1368,4)&amp;MID($Q1368,6,2)&amp;RIGHT($Q1368,2)&amp;IF(Sync!$K1368="","0000",IF(AND(ISNUMBER(Sync!$K1368),Sync!$K1368&gt;=0,Sync!$K1368&lt;1),RIGHT("00"&amp;HOUR(Sync!$K1368),2)&amp;RIGHT("00"&amp;MINUTE(Sync!$K1368),2),IFERROR(RIGHT("00"&amp;VALUE(LEFT(Sync!$K1368,FIND(":",Sync!$K1368)-1)),2)&amp;RIGHT("00"&amp;VALUE(MID(Sync!$K1368,FIND(":",Sync!$K1368)+1,2)),2),"0000")))&amp;"|"&amp;"2"&amp;RIGHT("00000"&amp;1363,5))</f>
        <v/>
      </c>
      <c r="Q1368" t="str">
        <f>IF(Sync!$J1368="","",IF(ISNUMBER(Sync!$J1368),IF(AND(Sync!$J1368&gt;=10000101,Sync!$J1368&lt;=99991231),INT(Sync!$J1368/10000)&amp;"/"&amp;RIGHT("00"&amp;INT(MOD(Sync!$J1368,10000)/100),2)&amp;"/"&amp;RIGHT("00"&amp;MOD(Sync!$J1368,100),2),"نامعتبر"),IF(LEN(Sync!$J1368)=10,Sync!$J1368,"نامعتبر")))</f>
        <v/>
      </c>
      <c r="R1368" t="str">
        <f t="shared" si="128"/>
        <v/>
      </c>
      <c r="S1368" t="str">
        <f t="shared" si="129"/>
        <v/>
      </c>
      <c r="T1368" t="str">
        <f>IF($N1368="","",IF(Sync!$N1368="",0,Sync!$N1368))</f>
        <v/>
      </c>
      <c r="U1368" t="str">
        <f>IF($N1368="","",IF(Sync!$O1368="",0,Sync!$O1368))</f>
        <v/>
      </c>
      <c r="V1368" t="str">
        <f>IF($N1368="","",Sync!$L1368)</f>
        <v/>
      </c>
      <c r="W1368" t="str">
        <f>IF($N1368="","",Sync!$P1368)</f>
        <v/>
      </c>
    </row>
    <row r="1369" spans="14:23" x14ac:dyDescent="0.2">
      <c r="N1369" t="str">
        <f>IF(OR(Sync!$M1369="",$Q1369="",$Q1369="نامعتبر"),"",Sync!$M1369)</f>
        <v/>
      </c>
      <c r="O1369" t="str">
        <f t="shared" si="127"/>
        <v/>
      </c>
      <c r="P1369" t="str">
        <f>IF($N1369="","",LEFT($Q1369,4)&amp;MID($Q1369,6,2)&amp;RIGHT($Q1369,2)&amp;IF(Sync!$K1369="","0000",IF(AND(ISNUMBER(Sync!$K1369),Sync!$K1369&gt;=0,Sync!$K1369&lt;1),RIGHT("00"&amp;HOUR(Sync!$K1369),2)&amp;RIGHT("00"&amp;MINUTE(Sync!$K1369),2),IFERROR(RIGHT("00"&amp;VALUE(LEFT(Sync!$K1369,FIND(":",Sync!$K1369)-1)),2)&amp;RIGHT("00"&amp;VALUE(MID(Sync!$K1369,FIND(":",Sync!$K1369)+1,2)),2),"0000")))&amp;"|"&amp;"2"&amp;RIGHT("00000"&amp;1364,5))</f>
        <v/>
      </c>
      <c r="Q1369" t="str">
        <f>IF(Sync!$J1369="","",IF(ISNUMBER(Sync!$J1369),IF(AND(Sync!$J1369&gt;=10000101,Sync!$J1369&lt;=99991231),INT(Sync!$J1369/10000)&amp;"/"&amp;RIGHT("00"&amp;INT(MOD(Sync!$J1369,10000)/100),2)&amp;"/"&amp;RIGHT("00"&amp;MOD(Sync!$J1369,100),2),"نامعتبر"),IF(LEN(Sync!$J1369)=10,Sync!$J1369,"نامعتبر")))</f>
        <v/>
      </c>
      <c r="R1369" t="str">
        <f t="shared" si="128"/>
        <v/>
      </c>
      <c r="S1369" t="str">
        <f t="shared" si="129"/>
        <v/>
      </c>
      <c r="T1369" t="str">
        <f>IF($N1369="","",IF(Sync!$N1369="",0,Sync!$N1369))</f>
        <v/>
      </c>
      <c r="U1369" t="str">
        <f>IF($N1369="","",IF(Sync!$O1369="",0,Sync!$O1369))</f>
        <v/>
      </c>
      <c r="V1369" t="str">
        <f>IF($N1369="","",Sync!$L1369)</f>
        <v/>
      </c>
      <c r="W1369" t="str">
        <f>IF($N1369="","",Sync!$P1369)</f>
        <v/>
      </c>
    </row>
    <row r="1370" spans="14:23" x14ac:dyDescent="0.2">
      <c r="N1370" t="str">
        <f>IF(OR(Sync!$M1370="",$Q1370="",$Q1370="نامعتبر"),"",Sync!$M1370)</f>
        <v/>
      </c>
      <c r="O1370" t="str">
        <f t="shared" si="127"/>
        <v/>
      </c>
      <c r="P1370" t="str">
        <f>IF($N1370="","",LEFT($Q1370,4)&amp;MID($Q1370,6,2)&amp;RIGHT($Q1370,2)&amp;IF(Sync!$K1370="","0000",IF(AND(ISNUMBER(Sync!$K1370),Sync!$K1370&gt;=0,Sync!$K1370&lt;1),RIGHT("00"&amp;HOUR(Sync!$K1370),2)&amp;RIGHT("00"&amp;MINUTE(Sync!$K1370),2),IFERROR(RIGHT("00"&amp;VALUE(LEFT(Sync!$K1370,FIND(":",Sync!$K1370)-1)),2)&amp;RIGHT("00"&amp;VALUE(MID(Sync!$K1370,FIND(":",Sync!$K1370)+1,2)),2),"0000")))&amp;"|"&amp;"2"&amp;RIGHT("00000"&amp;1365,5))</f>
        <v/>
      </c>
      <c r="Q1370" t="str">
        <f>IF(Sync!$J1370="","",IF(ISNUMBER(Sync!$J1370),IF(AND(Sync!$J1370&gt;=10000101,Sync!$J1370&lt;=99991231),INT(Sync!$J1370/10000)&amp;"/"&amp;RIGHT("00"&amp;INT(MOD(Sync!$J1370,10000)/100),2)&amp;"/"&amp;RIGHT("00"&amp;MOD(Sync!$J1370,100),2),"نامعتبر"),IF(LEN(Sync!$J1370)=10,Sync!$J1370,"نامعتبر")))</f>
        <v/>
      </c>
      <c r="R1370" t="str">
        <f t="shared" si="128"/>
        <v/>
      </c>
      <c r="S1370" t="str">
        <f t="shared" si="129"/>
        <v/>
      </c>
      <c r="T1370" t="str">
        <f>IF($N1370="","",IF(Sync!$N1370="",0,Sync!$N1370))</f>
        <v/>
      </c>
      <c r="U1370" t="str">
        <f>IF($N1370="","",IF(Sync!$O1370="",0,Sync!$O1370))</f>
        <v/>
      </c>
      <c r="V1370" t="str">
        <f>IF($N1370="","",Sync!$L1370)</f>
        <v/>
      </c>
      <c r="W1370" t="str">
        <f>IF($N1370="","",Sync!$P1370)</f>
        <v/>
      </c>
    </row>
    <row r="1371" spans="14:23" x14ac:dyDescent="0.2">
      <c r="N1371" t="str">
        <f>IF(OR(Sync!$M1371="",$Q1371="",$Q1371="نامعتبر"),"",Sync!$M1371)</f>
        <v/>
      </c>
      <c r="O1371" t="str">
        <f t="shared" si="127"/>
        <v/>
      </c>
      <c r="P1371" t="str">
        <f>IF($N1371="","",LEFT($Q1371,4)&amp;MID($Q1371,6,2)&amp;RIGHT($Q1371,2)&amp;IF(Sync!$K1371="","0000",IF(AND(ISNUMBER(Sync!$K1371),Sync!$K1371&gt;=0,Sync!$K1371&lt;1),RIGHT("00"&amp;HOUR(Sync!$K1371),2)&amp;RIGHT("00"&amp;MINUTE(Sync!$K1371),2),IFERROR(RIGHT("00"&amp;VALUE(LEFT(Sync!$K1371,FIND(":",Sync!$K1371)-1)),2)&amp;RIGHT("00"&amp;VALUE(MID(Sync!$K1371,FIND(":",Sync!$K1371)+1,2)),2),"0000")))&amp;"|"&amp;"2"&amp;RIGHT("00000"&amp;1366,5))</f>
        <v/>
      </c>
      <c r="Q1371" t="str">
        <f>IF(Sync!$J1371="","",IF(ISNUMBER(Sync!$J1371),IF(AND(Sync!$J1371&gt;=10000101,Sync!$J1371&lt;=99991231),INT(Sync!$J1371/10000)&amp;"/"&amp;RIGHT("00"&amp;INT(MOD(Sync!$J1371,10000)/100),2)&amp;"/"&amp;RIGHT("00"&amp;MOD(Sync!$J1371,100),2),"نامعتبر"),IF(LEN(Sync!$J1371)=10,Sync!$J1371,"نامعتبر")))</f>
        <v/>
      </c>
      <c r="R1371" t="str">
        <f t="shared" si="128"/>
        <v/>
      </c>
      <c r="S1371" t="str">
        <f t="shared" si="129"/>
        <v/>
      </c>
      <c r="T1371" t="str">
        <f>IF($N1371="","",IF(Sync!$N1371="",0,Sync!$N1371))</f>
        <v/>
      </c>
      <c r="U1371" t="str">
        <f>IF($N1371="","",IF(Sync!$O1371="",0,Sync!$O1371))</f>
        <v/>
      </c>
      <c r="V1371" t="str">
        <f>IF($N1371="","",Sync!$L1371)</f>
        <v/>
      </c>
      <c r="W1371" t="str">
        <f>IF($N1371="","",Sync!$P1371)</f>
        <v/>
      </c>
    </row>
    <row r="1372" spans="14:23" x14ac:dyDescent="0.2">
      <c r="N1372" t="str">
        <f>IF(OR(Sync!$M1372="",$Q1372="",$Q1372="نامعتبر"),"",Sync!$M1372)</f>
        <v/>
      </c>
      <c r="O1372" t="str">
        <f t="shared" si="127"/>
        <v/>
      </c>
      <c r="P1372" t="str">
        <f>IF($N1372="","",LEFT($Q1372,4)&amp;MID($Q1372,6,2)&amp;RIGHT($Q1372,2)&amp;IF(Sync!$K1372="","0000",IF(AND(ISNUMBER(Sync!$K1372),Sync!$K1372&gt;=0,Sync!$K1372&lt;1),RIGHT("00"&amp;HOUR(Sync!$K1372),2)&amp;RIGHT("00"&amp;MINUTE(Sync!$K1372),2),IFERROR(RIGHT("00"&amp;VALUE(LEFT(Sync!$K1372,FIND(":",Sync!$K1372)-1)),2)&amp;RIGHT("00"&amp;VALUE(MID(Sync!$K1372,FIND(":",Sync!$K1372)+1,2)),2),"0000")))&amp;"|"&amp;"2"&amp;RIGHT("00000"&amp;1367,5))</f>
        <v/>
      </c>
      <c r="Q1372" t="str">
        <f>IF(Sync!$J1372="","",IF(ISNUMBER(Sync!$J1372),IF(AND(Sync!$J1372&gt;=10000101,Sync!$J1372&lt;=99991231),INT(Sync!$J1372/10000)&amp;"/"&amp;RIGHT("00"&amp;INT(MOD(Sync!$J1372,10000)/100),2)&amp;"/"&amp;RIGHT("00"&amp;MOD(Sync!$J1372,100),2),"نامعتبر"),IF(LEN(Sync!$J1372)=10,Sync!$J1372,"نامعتبر")))</f>
        <v/>
      </c>
      <c r="R1372" t="str">
        <f t="shared" si="128"/>
        <v/>
      </c>
      <c r="S1372" t="str">
        <f t="shared" si="129"/>
        <v/>
      </c>
      <c r="T1372" t="str">
        <f>IF($N1372="","",IF(Sync!$N1372="",0,Sync!$N1372))</f>
        <v/>
      </c>
      <c r="U1372" t="str">
        <f>IF($N1372="","",IF(Sync!$O1372="",0,Sync!$O1372))</f>
        <v/>
      </c>
      <c r="V1372" t="str">
        <f>IF($N1372="","",Sync!$L1372)</f>
        <v/>
      </c>
      <c r="W1372" t="str">
        <f>IF($N1372="","",Sync!$P1372)</f>
        <v/>
      </c>
    </row>
    <row r="1373" spans="14:23" x14ac:dyDescent="0.2">
      <c r="N1373" t="str">
        <f>IF(OR(Sync!$M1373="",$Q1373="",$Q1373="نامعتبر"),"",Sync!$M1373)</f>
        <v/>
      </c>
      <c r="O1373" t="str">
        <f t="shared" si="127"/>
        <v/>
      </c>
      <c r="P1373" t="str">
        <f>IF($N1373="","",LEFT($Q1373,4)&amp;MID($Q1373,6,2)&amp;RIGHT($Q1373,2)&amp;IF(Sync!$K1373="","0000",IF(AND(ISNUMBER(Sync!$K1373),Sync!$K1373&gt;=0,Sync!$K1373&lt;1),RIGHT("00"&amp;HOUR(Sync!$K1373),2)&amp;RIGHT("00"&amp;MINUTE(Sync!$K1373),2),IFERROR(RIGHT("00"&amp;VALUE(LEFT(Sync!$K1373,FIND(":",Sync!$K1373)-1)),2)&amp;RIGHT("00"&amp;VALUE(MID(Sync!$K1373,FIND(":",Sync!$K1373)+1,2)),2),"0000")))&amp;"|"&amp;"2"&amp;RIGHT("00000"&amp;1368,5))</f>
        <v/>
      </c>
      <c r="Q1373" t="str">
        <f>IF(Sync!$J1373="","",IF(ISNUMBER(Sync!$J1373),IF(AND(Sync!$J1373&gt;=10000101,Sync!$J1373&lt;=99991231),INT(Sync!$J1373/10000)&amp;"/"&amp;RIGHT("00"&amp;INT(MOD(Sync!$J1373,10000)/100),2)&amp;"/"&amp;RIGHT("00"&amp;MOD(Sync!$J1373,100),2),"نامعتبر"),IF(LEN(Sync!$J1373)=10,Sync!$J1373,"نامعتبر")))</f>
        <v/>
      </c>
      <c r="R1373" t="str">
        <f t="shared" si="128"/>
        <v/>
      </c>
      <c r="S1373" t="str">
        <f t="shared" si="129"/>
        <v/>
      </c>
      <c r="T1373" t="str">
        <f>IF($N1373="","",IF(Sync!$N1373="",0,Sync!$N1373))</f>
        <v/>
      </c>
      <c r="U1373" t="str">
        <f>IF($N1373="","",IF(Sync!$O1373="",0,Sync!$O1373))</f>
        <v/>
      </c>
      <c r="V1373" t="str">
        <f>IF($N1373="","",Sync!$L1373)</f>
        <v/>
      </c>
      <c r="W1373" t="str">
        <f>IF($N1373="","",Sync!$P1373)</f>
        <v/>
      </c>
    </row>
    <row r="1374" spans="14:23" x14ac:dyDescent="0.2">
      <c r="N1374" t="str">
        <f>IF(OR(Sync!$M1374="",$Q1374="",$Q1374="نامعتبر"),"",Sync!$M1374)</f>
        <v/>
      </c>
      <c r="O1374" t="str">
        <f t="shared" si="127"/>
        <v/>
      </c>
      <c r="P1374" t="str">
        <f>IF($N1374="","",LEFT($Q1374,4)&amp;MID($Q1374,6,2)&amp;RIGHT($Q1374,2)&amp;IF(Sync!$K1374="","0000",IF(AND(ISNUMBER(Sync!$K1374),Sync!$K1374&gt;=0,Sync!$K1374&lt;1),RIGHT("00"&amp;HOUR(Sync!$K1374),2)&amp;RIGHT("00"&amp;MINUTE(Sync!$K1374),2),IFERROR(RIGHT("00"&amp;VALUE(LEFT(Sync!$K1374,FIND(":",Sync!$K1374)-1)),2)&amp;RIGHT("00"&amp;VALUE(MID(Sync!$K1374,FIND(":",Sync!$K1374)+1,2)),2),"0000")))&amp;"|"&amp;"2"&amp;RIGHT("00000"&amp;1369,5))</f>
        <v/>
      </c>
      <c r="Q1374" t="str">
        <f>IF(Sync!$J1374="","",IF(ISNUMBER(Sync!$J1374),IF(AND(Sync!$J1374&gt;=10000101,Sync!$J1374&lt;=99991231),INT(Sync!$J1374/10000)&amp;"/"&amp;RIGHT("00"&amp;INT(MOD(Sync!$J1374,10000)/100),2)&amp;"/"&amp;RIGHT("00"&amp;MOD(Sync!$J1374,100),2),"نامعتبر"),IF(LEN(Sync!$J1374)=10,Sync!$J1374,"نامعتبر")))</f>
        <v/>
      </c>
      <c r="R1374" t="str">
        <f t="shared" si="128"/>
        <v/>
      </c>
      <c r="S1374" t="str">
        <f t="shared" si="129"/>
        <v/>
      </c>
      <c r="T1374" t="str">
        <f>IF($N1374="","",IF(Sync!$N1374="",0,Sync!$N1374))</f>
        <v/>
      </c>
      <c r="U1374" t="str">
        <f>IF($N1374="","",IF(Sync!$O1374="",0,Sync!$O1374))</f>
        <v/>
      </c>
      <c r="V1374" t="str">
        <f>IF($N1374="","",Sync!$L1374)</f>
        <v/>
      </c>
      <c r="W1374" t="str">
        <f>IF($N1374="","",Sync!$P1374)</f>
        <v/>
      </c>
    </row>
    <row r="1375" spans="14:23" x14ac:dyDescent="0.2">
      <c r="N1375" t="str">
        <f>IF(OR(Sync!$M1375="",$Q1375="",$Q1375="نامعتبر"),"",Sync!$M1375)</f>
        <v/>
      </c>
      <c r="O1375" t="str">
        <f t="shared" si="127"/>
        <v/>
      </c>
      <c r="P1375" t="str">
        <f>IF($N1375="","",LEFT($Q1375,4)&amp;MID($Q1375,6,2)&amp;RIGHT($Q1375,2)&amp;IF(Sync!$K1375="","0000",IF(AND(ISNUMBER(Sync!$K1375),Sync!$K1375&gt;=0,Sync!$K1375&lt;1),RIGHT("00"&amp;HOUR(Sync!$K1375),2)&amp;RIGHT("00"&amp;MINUTE(Sync!$K1375),2),IFERROR(RIGHT("00"&amp;VALUE(LEFT(Sync!$K1375,FIND(":",Sync!$K1375)-1)),2)&amp;RIGHT("00"&amp;VALUE(MID(Sync!$K1375,FIND(":",Sync!$K1375)+1,2)),2),"0000")))&amp;"|"&amp;"2"&amp;RIGHT("00000"&amp;1370,5))</f>
        <v/>
      </c>
      <c r="Q1375" t="str">
        <f>IF(Sync!$J1375="","",IF(ISNUMBER(Sync!$J1375),IF(AND(Sync!$J1375&gt;=10000101,Sync!$J1375&lt;=99991231),INT(Sync!$J1375/10000)&amp;"/"&amp;RIGHT("00"&amp;INT(MOD(Sync!$J1375,10000)/100),2)&amp;"/"&amp;RIGHT("00"&amp;MOD(Sync!$J1375,100),2),"نامعتبر"),IF(LEN(Sync!$J1375)=10,Sync!$J1375,"نامعتبر")))</f>
        <v/>
      </c>
      <c r="R1375" t="str">
        <f t="shared" si="128"/>
        <v/>
      </c>
      <c r="S1375" t="str">
        <f t="shared" si="129"/>
        <v/>
      </c>
      <c r="T1375" t="str">
        <f>IF($N1375="","",IF(Sync!$N1375="",0,Sync!$N1375))</f>
        <v/>
      </c>
      <c r="U1375" t="str">
        <f>IF($N1375="","",IF(Sync!$O1375="",0,Sync!$O1375))</f>
        <v/>
      </c>
      <c r="V1375" t="str">
        <f>IF($N1375="","",Sync!$L1375)</f>
        <v/>
      </c>
      <c r="W1375" t="str">
        <f>IF($N1375="","",Sync!$P1375)</f>
        <v/>
      </c>
    </row>
    <row r="1376" spans="14:23" x14ac:dyDescent="0.2">
      <c r="N1376" t="str">
        <f>IF(OR(Sync!$M1376="",$Q1376="",$Q1376="نامعتبر"),"",Sync!$M1376)</f>
        <v/>
      </c>
      <c r="O1376" t="str">
        <f t="shared" si="127"/>
        <v/>
      </c>
      <c r="P1376" t="str">
        <f>IF($N1376="","",LEFT($Q1376,4)&amp;MID($Q1376,6,2)&amp;RIGHT($Q1376,2)&amp;IF(Sync!$K1376="","0000",IF(AND(ISNUMBER(Sync!$K1376),Sync!$K1376&gt;=0,Sync!$K1376&lt;1),RIGHT("00"&amp;HOUR(Sync!$K1376),2)&amp;RIGHT("00"&amp;MINUTE(Sync!$K1376),2),IFERROR(RIGHT("00"&amp;VALUE(LEFT(Sync!$K1376,FIND(":",Sync!$K1376)-1)),2)&amp;RIGHT("00"&amp;VALUE(MID(Sync!$K1376,FIND(":",Sync!$K1376)+1,2)),2),"0000")))&amp;"|"&amp;"2"&amp;RIGHT("00000"&amp;1371,5))</f>
        <v/>
      </c>
      <c r="Q1376" t="str">
        <f>IF(Sync!$J1376="","",IF(ISNUMBER(Sync!$J1376),IF(AND(Sync!$J1376&gt;=10000101,Sync!$J1376&lt;=99991231),INT(Sync!$J1376/10000)&amp;"/"&amp;RIGHT("00"&amp;INT(MOD(Sync!$J1376,10000)/100),2)&amp;"/"&amp;RIGHT("00"&amp;MOD(Sync!$J1376,100),2),"نامعتبر"),IF(LEN(Sync!$J1376)=10,Sync!$J1376,"نامعتبر")))</f>
        <v/>
      </c>
      <c r="R1376" t="str">
        <f t="shared" si="128"/>
        <v/>
      </c>
      <c r="S1376" t="str">
        <f t="shared" si="129"/>
        <v/>
      </c>
      <c r="T1376" t="str">
        <f>IF($N1376="","",IF(Sync!$N1376="",0,Sync!$N1376))</f>
        <v/>
      </c>
      <c r="U1376" t="str">
        <f>IF($N1376="","",IF(Sync!$O1376="",0,Sync!$O1376))</f>
        <v/>
      </c>
      <c r="V1376" t="str">
        <f>IF($N1376="","",Sync!$L1376)</f>
        <v/>
      </c>
      <c r="W1376" t="str">
        <f>IF($N1376="","",Sync!$P1376)</f>
        <v/>
      </c>
    </row>
    <row r="1377" spans="14:23" x14ac:dyDescent="0.2">
      <c r="N1377" t="str">
        <f>IF(OR(Sync!$M1377="",$Q1377="",$Q1377="نامعتبر"),"",Sync!$M1377)</f>
        <v/>
      </c>
      <c r="O1377" t="str">
        <f t="shared" si="127"/>
        <v/>
      </c>
      <c r="P1377" t="str">
        <f>IF($N1377="","",LEFT($Q1377,4)&amp;MID($Q1377,6,2)&amp;RIGHT($Q1377,2)&amp;IF(Sync!$K1377="","0000",IF(AND(ISNUMBER(Sync!$K1377),Sync!$K1377&gt;=0,Sync!$K1377&lt;1),RIGHT("00"&amp;HOUR(Sync!$K1377),2)&amp;RIGHT("00"&amp;MINUTE(Sync!$K1377),2),IFERROR(RIGHT("00"&amp;VALUE(LEFT(Sync!$K1377,FIND(":",Sync!$K1377)-1)),2)&amp;RIGHT("00"&amp;VALUE(MID(Sync!$K1377,FIND(":",Sync!$K1377)+1,2)),2),"0000")))&amp;"|"&amp;"2"&amp;RIGHT("00000"&amp;1372,5))</f>
        <v/>
      </c>
      <c r="Q1377" t="str">
        <f>IF(Sync!$J1377="","",IF(ISNUMBER(Sync!$J1377),IF(AND(Sync!$J1377&gt;=10000101,Sync!$J1377&lt;=99991231),INT(Sync!$J1377/10000)&amp;"/"&amp;RIGHT("00"&amp;INT(MOD(Sync!$J1377,10000)/100),2)&amp;"/"&amp;RIGHT("00"&amp;MOD(Sync!$J1377,100),2),"نامعتبر"),IF(LEN(Sync!$J1377)=10,Sync!$J1377,"نامعتبر")))</f>
        <v/>
      </c>
      <c r="R1377" t="str">
        <f t="shared" si="128"/>
        <v/>
      </c>
      <c r="S1377" t="str">
        <f t="shared" si="129"/>
        <v/>
      </c>
      <c r="T1377" t="str">
        <f>IF($N1377="","",IF(Sync!$N1377="",0,Sync!$N1377))</f>
        <v/>
      </c>
      <c r="U1377" t="str">
        <f>IF($N1377="","",IF(Sync!$O1377="",0,Sync!$O1377))</f>
        <v/>
      </c>
      <c r="V1377" t="str">
        <f>IF($N1377="","",Sync!$L1377)</f>
        <v/>
      </c>
      <c r="W1377" t="str">
        <f>IF($N1377="","",Sync!$P1377)</f>
        <v/>
      </c>
    </row>
    <row r="1378" spans="14:23" x14ac:dyDescent="0.2">
      <c r="N1378" t="str">
        <f>IF(OR(Sync!$M1378="",$Q1378="",$Q1378="نامعتبر"),"",Sync!$M1378)</f>
        <v/>
      </c>
      <c r="O1378" t="str">
        <f t="shared" si="127"/>
        <v/>
      </c>
      <c r="P1378" t="str">
        <f>IF($N1378="","",LEFT($Q1378,4)&amp;MID($Q1378,6,2)&amp;RIGHT($Q1378,2)&amp;IF(Sync!$K1378="","0000",IF(AND(ISNUMBER(Sync!$K1378),Sync!$K1378&gt;=0,Sync!$K1378&lt;1),RIGHT("00"&amp;HOUR(Sync!$K1378),2)&amp;RIGHT("00"&amp;MINUTE(Sync!$K1378),2),IFERROR(RIGHT("00"&amp;VALUE(LEFT(Sync!$K1378,FIND(":",Sync!$K1378)-1)),2)&amp;RIGHT("00"&amp;VALUE(MID(Sync!$K1378,FIND(":",Sync!$K1378)+1,2)),2),"0000")))&amp;"|"&amp;"2"&amp;RIGHT("00000"&amp;1373,5))</f>
        <v/>
      </c>
      <c r="Q1378" t="str">
        <f>IF(Sync!$J1378="","",IF(ISNUMBER(Sync!$J1378),IF(AND(Sync!$J1378&gt;=10000101,Sync!$J1378&lt;=99991231),INT(Sync!$J1378/10000)&amp;"/"&amp;RIGHT("00"&amp;INT(MOD(Sync!$J1378,10000)/100),2)&amp;"/"&amp;RIGHT("00"&amp;MOD(Sync!$J1378,100),2),"نامعتبر"),IF(LEN(Sync!$J1378)=10,Sync!$J1378,"نامعتبر")))</f>
        <v/>
      </c>
      <c r="R1378" t="str">
        <f t="shared" si="128"/>
        <v/>
      </c>
      <c r="S1378" t="str">
        <f t="shared" si="129"/>
        <v/>
      </c>
      <c r="T1378" t="str">
        <f>IF($N1378="","",IF(Sync!$N1378="",0,Sync!$N1378))</f>
        <v/>
      </c>
      <c r="U1378" t="str">
        <f>IF($N1378="","",IF(Sync!$O1378="",0,Sync!$O1378))</f>
        <v/>
      </c>
      <c r="V1378" t="str">
        <f>IF($N1378="","",Sync!$L1378)</f>
        <v/>
      </c>
      <c r="W1378" t="str">
        <f>IF($N1378="","",Sync!$P1378)</f>
        <v/>
      </c>
    </row>
    <row r="1379" spans="14:23" x14ac:dyDescent="0.2">
      <c r="N1379" t="str">
        <f>IF(OR(Sync!$M1379="",$Q1379="",$Q1379="نامعتبر"),"",Sync!$M1379)</f>
        <v/>
      </c>
      <c r="O1379" t="str">
        <f t="shared" si="127"/>
        <v/>
      </c>
      <c r="P1379" t="str">
        <f>IF($N1379="","",LEFT($Q1379,4)&amp;MID($Q1379,6,2)&amp;RIGHT($Q1379,2)&amp;IF(Sync!$K1379="","0000",IF(AND(ISNUMBER(Sync!$K1379),Sync!$K1379&gt;=0,Sync!$K1379&lt;1),RIGHT("00"&amp;HOUR(Sync!$K1379),2)&amp;RIGHT("00"&amp;MINUTE(Sync!$K1379),2),IFERROR(RIGHT("00"&amp;VALUE(LEFT(Sync!$K1379,FIND(":",Sync!$K1379)-1)),2)&amp;RIGHT("00"&amp;VALUE(MID(Sync!$K1379,FIND(":",Sync!$K1379)+1,2)),2),"0000")))&amp;"|"&amp;"2"&amp;RIGHT("00000"&amp;1374,5))</f>
        <v/>
      </c>
      <c r="Q1379" t="str">
        <f>IF(Sync!$J1379="","",IF(ISNUMBER(Sync!$J1379),IF(AND(Sync!$J1379&gt;=10000101,Sync!$J1379&lt;=99991231),INT(Sync!$J1379/10000)&amp;"/"&amp;RIGHT("00"&amp;INT(MOD(Sync!$J1379,10000)/100),2)&amp;"/"&amp;RIGHT("00"&amp;MOD(Sync!$J1379,100),2),"نامعتبر"),IF(LEN(Sync!$J1379)=10,Sync!$J1379,"نامعتبر")))</f>
        <v/>
      </c>
      <c r="R1379" t="str">
        <f t="shared" si="128"/>
        <v/>
      </c>
      <c r="S1379" t="str">
        <f t="shared" si="129"/>
        <v/>
      </c>
      <c r="T1379" t="str">
        <f>IF($N1379="","",IF(Sync!$N1379="",0,Sync!$N1379))</f>
        <v/>
      </c>
      <c r="U1379" t="str">
        <f>IF($N1379="","",IF(Sync!$O1379="",0,Sync!$O1379))</f>
        <v/>
      </c>
      <c r="V1379" t="str">
        <f>IF($N1379="","",Sync!$L1379)</f>
        <v/>
      </c>
      <c r="W1379" t="str">
        <f>IF($N1379="","",Sync!$P1379)</f>
        <v/>
      </c>
    </row>
    <row r="1380" spans="14:23" x14ac:dyDescent="0.2">
      <c r="N1380" t="str">
        <f>IF(OR(Sync!$M1380="",$Q1380="",$Q1380="نامعتبر"),"",Sync!$M1380)</f>
        <v/>
      </c>
      <c r="O1380" t="str">
        <f t="shared" si="127"/>
        <v/>
      </c>
      <c r="P1380" t="str">
        <f>IF($N1380="","",LEFT($Q1380,4)&amp;MID($Q1380,6,2)&amp;RIGHT($Q1380,2)&amp;IF(Sync!$K1380="","0000",IF(AND(ISNUMBER(Sync!$K1380),Sync!$K1380&gt;=0,Sync!$K1380&lt;1),RIGHT("00"&amp;HOUR(Sync!$K1380),2)&amp;RIGHT("00"&amp;MINUTE(Sync!$K1380),2),IFERROR(RIGHT("00"&amp;VALUE(LEFT(Sync!$K1380,FIND(":",Sync!$K1380)-1)),2)&amp;RIGHT("00"&amp;VALUE(MID(Sync!$K1380,FIND(":",Sync!$K1380)+1,2)),2),"0000")))&amp;"|"&amp;"2"&amp;RIGHT("00000"&amp;1375,5))</f>
        <v/>
      </c>
      <c r="Q1380" t="str">
        <f>IF(Sync!$J1380="","",IF(ISNUMBER(Sync!$J1380),IF(AND(Sync!$J1380&gt;=10000101,Sync!$J1380&lt;=99991231),INT(Sync!$J1380/10000)&amp;"/"&amp;RIGHT("00"&amp;INT(MOD(Sync!$J1380,10000)/100),2)&amp;"/"&amp;RIGHT("00"&amp;MOD(Sync!$J1380,100),2),"نامعتبر"),IF(LEN(Sync!$J1380)=10,Sync!$J1380,"نامعتبر")))</f>
        <v/>
      </c>
      <c r="R1380" t="str">
        <f t="shared" si="128"/>
        <v/>
      </c>
      <c r="S1380" t="str">
        <f t="shared" si="129"/>
        <v/>
      </c>
      <c r="T1380" t="str">
        <f>IF($N1380="","",IF(Sync!$N1380="",0,Sync!$N1380))</f>
        <v/>
      </c>
      <c r="U1380" t="str">
        <f>IF($N1380="","",IF(Sync!$O1380="",0,Sync!$O1380))</f>
        <v/>
      </c>
      <c r="V1380" t="str">
        <f>IF($N1380="","",Sync!$L1380)</f>
        <v/>
      </c>
      <c r="W1380" t="str">
        <f>IF($N1380="","",Sync!$P1380)</f>
        <v/>
      </c>
    </row>
    <row r="1381" spans="14:23" x14ac:dyDescent="0.2">
      <c r="N1381" t="str">
        <f>IF(OR(Sync!$M1381="",$Q1381="",$Q1381="نامعتبر"),"",Sync!$M1381)</f>
        <v/>
      </c>
      <c r="O1381" t="str">
        <f t="shared" si="127"/>
        <v/>
      </c>
      <c r="P1381" t="str">
        <f>IF($N1381="","",LEFT($Q1381,4)&amp;MID($Q1381,6,2)&amp;RIGHT($Q1381,2)&amp;IF(Sync!$K1381="","0000",IF(AND(ISNUMBER(Sync!$K1381),Sync!$K1381&gt;=0,Sync!$K1381&lt;1),RIGHT("00"&amp;HOUR(Sync!$K1381),2)&amp;RIGHT("00"&amp;MINUTE(Sync!$K1381),2),IFERROR(RIGHT("00"&amp;VALUE(LEFT(Sync!$K1381,FIND(":",Sync!$K1381)-1)),2)&amp;RIGHT("00"&amp;VALUE(MID(Sync!$K1381,FIND(":",Sync!$K1381)+1,2)),2),"0000")))&amp;"|"&amp;"2"&amp;RIGHT("00000"&amp;1376,5))</f>
        <v/>
      </c>
      <c r="Q1381" t="str">
        <f>IF(Sync!$J1381="","",IF(ISNUMBER(Sync!$J1381),IF(AND(Sync!$J1381&gt;=10000101,Sync!$J1381&lt;=99991231),INT(Sync!$J1381/10000)&amp;"/"&amp;RIGHT("00"&amp;INT(MOD(Sync!$J1381,10000)/100),2)&amp;"/"&amp;RIGHT("00"&amp;MOD(Sync!$J1381,100),2),"نامعتبر"),IF(LEN(Sync!$J1381)=10,Sync!$J1381,"نامعتبر")))</f>
        <v/>
      </c>
      <c r="R1381" t="str">
        <f t="shared" si="128"/>
        <v/>
      </c>
      <c r="S1381" t="str">
        <f t="shared" si="129"/>
        <v/>
      </c>
      <c r="T1381" t="str">
        <f>IF($N1381="","",IF(Sync!$N1381="",0,Sync!$N1381))</f>
        <v/>
      </c>
      <c r="U1381" t="str">
        <f>IF($N1381="","",IF(Sync!$O1381="",0,Sync!$O1381))</f>
        <v/>
      </c>
      <c r="V1381" t="str">
        <f>IF($N1381="","",Sync!$L1381)</f>
        <v/>
      </c>
      <c r="W1381" t="str">
        <f>IF($N1381="","",Sync!$P1381)</f>
        <v/>
      </c>
    </row>
    <row r="1382" spans="14:23" x14ac:dyDescent="0.2">
      <c r="N1382" t="str">
        <f>IF(OR(Sync!$M1382="",$Q1382="",$Q1382="نامعتبر"),"",Sync!$M1382)</f>
        <v/>
      </c>
      <c r="O1382" t="str">
        <f t="shared" si="127"/>
        <v/>
      </c>
      <c r="P1382" t="str">
        <f>IF($N1382="","",LEFT($Q1382,4)&amp;MID($Q1382,6,2)&amp;RIGHT($Q1382,2)&amp;IF(Sync!$K1382="","0000",IF(AND(ISNUMBER(Sync!$K1382),Sync!$K1382&gt;=0,Sync!$K1382&lt;1),RIGHT("00"&amp;HOUR(Sync!$K1382),2)&amp;RIGHT("00"&amp;MINUTE(Sync!$K1382),2),IFERROR(RIGHT("00"&amp;VALUE(LEFT(Sync!$K1382,FIND(":",Sync!$K1382)-1)),2)&amp;RIGHT("00"&amp;VALUE(MID(Sync!$K1382,FIND(":",Sync!$K1382)+1,2)),2),"0000")))&amp;"|"&amp;"2"&amp;RIGHT("00000"&amp;1377,5))</f>
        <v/>
      </c>
      <c r="Q1382" t="str">
        <f>IF(Sync!$J1382="","",IF(ISNUMBER(Sync!$J1382),IF(AND(Sync!$J1382&gt;=10000101,Sync!$J1382&lt;=99991231),INT(Sync!$J1382/10000)&amp;"/"&amp;RIGHT("00"&amp;INT(MOD(Sync!$J1382,10000)/100),2)&amp;"/"&amp;RIGHT("00"&amp;MOD(Sync!$J1382,100),2),"نامعتبر"),IF(LEN(Sync!$J1382)=10,Sync!$J1382,"نامعتبر")))</f>
        <v/>
      </c>
      <c r="R1382" t="str">
        <f t="shared" si="128"/>
        <v/>
      </c>
      <c r="S1382" t="str">
        <f t="shared" si="129"/>
        <v/>
      </c>
      <c r="T1382" t="str">
        <f>IF($N1382="","",IF(Sync!$N1382="",0,Sync!$N1382))</f>
        <v/>
      </c>
      <c r="U1382" t="str">
        <f>IF($N1382="","",IF(Sync!$O1382="",0,Sync!$O1382))</f>
        <v/>
      </c>
      <c r="V1382" t="str">
        <f>IF($N1382="","",Sync!$L1382)</f>
        <v/>
      </c>
      <c r="W1382" t="str">
        <f>IF($N1382="","",Sync!$P1382)</f>
        <v/>
      </c>
    </row>
    <row r="1383" spans="14:23" x14ac:dyDescent="0.2">
      <c r="N1383" t="str">
        <f>IF(OR(Sync!$M1383="",$Q1383="",$Q1383="نامعتبر"),"",Sync!$M1383)</f>
        <v/>
      </c>
      <c r="O1383" t="str">
        <f t="shared" si="127"/>
        <v/>
      </c>
      <c r="P1383" t="str">
        <f>IF($N1383="","",LEFT($Q1383,4)&amp;MID($Q1383,6,2)&amp;RIGHT($Q1383,2)&amp;IF(Sync!$K1383="","0000",IF(AND(ISNUMBER(Sync!$K1383),Sync!$K1383&gt;=0,Sync!$K1383&lt;1),RIGHT("00"&amp;HOUR(Sync!$K1383),2)&amp;RIGHT("00"&amp;MINUTE(Sync!$K1383),2),IFERROR(RIGHT("00"&amp;VALUE(LEFT(Sync!$K1383,FIND(":",Sync!$K1383)-1)),2)&amp;RIGHT("00"&amp;VALUE(MID(Sync!$K1383,FIND(":",Sync!$K1383)+1,2)),2),"0000")))&amp;"|"&amp;"2"&amp;RIGHT("00000"&amp;1378,5))</f>
        <v/>
      </c>
      <c r="Q1383" t="str">
        <f>IF(Sync!$J1383="","",IF(ISNUMBER(Sync!$J1383),IF(AND(Sync!$J1383&gt;=10000101,Sync!$J1383&lt;=99991231),INT(Sync!$J1383/10000)&amp;"/"&amp;RIGHT("00"&amp;INT(MOD(Sync!$J1383,10000)/100),2)&amp;"/"&amp;RIGHT("00"&amp;MOD(Sync!$J1383,100),2),"نامعتبر"),IF(LEN(Sync!$J1383)=10,Sync!$J1383,"نامعتبر")))</f>
        <v/>
      </c>
      <c r="R1383" t="str">
        <f t="shared" si="128"/>
        <v/>
      </c>
      <c r="S1383" t="str">
        <f t="shared" si="129"/>
        <v/>
      </c>
      <c r="T1383" t="str">
        <f>IF($N1383="","",IF(Sync!$N1383="",0,Sync!$N1383))</f>
        <v/>
      </c>
      <c r="U1383" t="str">
        <f>IF($N1383="","",IF(Sync!$O1383="",0,Sync!$O1383))</f>
        <v/>
      </c>
      <c r="V1383" t="str">
        <f>IF($N1383="","",Sync!$L1383)</f>
        <v/>
      </c>
      <c r="W1383" t="str">
        <f>IF($N1383="","",Sync!$P1383)</f>
        <v/>
      </c>
    </row>
    <row r="1384" spans="14:23" x14ac:dyDescent="0.2">
      <c r="N1384" t="str">
        <f>IF(OR(Sync!$M1384="",$Q1384="",$Q1384="نامعتبر"),"",Sync!$M1384)</f>
        <v/>
      </c>
      <c r="O1384" t="str">
        <f t="shared" si="127"/>
        <v/>
      </c>
      <c r="P1384" t="str">
        <f>IF($N1384="","",LEFT($Q1384,4)&amp;MID($Q1384,6,2)&amp;RIGHT($Q1384,2)&amp;IF(Sync!$K1384="","0000",IF(AND(ISNUMBER(Sync!$K1384),Sync!$K1384&gt;=0,Sync!$K1384&lt;1),RIGHT("00"&amp;HOUR(Sync!$K1384),2)&amp;RIGHT("00"&amp;MINUTE(Sync!$K1384),2),IFERROR(RIGHT("00"&amp;VALUE(LEFT(Sync!$K1384,FIND(":",Sync!$K1384)-1)),2)&amp;RIGHT("00"&amp;VALUE(MID(Sync!$K1384,FIND(":",Sync!$K1384)+1,2)),2),"0000")))&amp;"|"&amp;"2"&amp;RIGHT("00000"&amp;1379,5))</f>
        <v/>
      </c>
      <c r="Q1384" t="str">
        <f>IF(Sync!$J1384="","",IF(ISNUMBER(Sync!$J1384),IF(AND(Sync!$J1384&gt;=10000101,Sync!$J1384&lt;=99991231),INT(Sync!$J1384/10000)&amp;"/"&amp;RIGHT("00"&amp;INT(MOD(Sync!$J1384,10000)/100),2)&amp;"/"&amp;RIGHT("00"&amp;MOD(Sync!$J1384,100),2),"نامعتبر"),IF(LEN(Sync!$J1384)=10,Sync!$J1384,"نامعتبر")))</f>
        <v/>
      </c>
      <c r="R1384" t="str">
        <f t="shared" si="128"/>
        <v/>
      </c>
      <c r="S1384" t="str">
        <f t="shared" si="129"/>
        <v/>
      </c>
      <c r="T1384" t="str">
        <f>IF($N1384="","",IF(Sync!$N1384="",0,Sync!$N1384))</f>
        <v/>
      </c>
      <c r="U1384" t="str">
        <f>IF($N1384="","",IF(Sync!$O1384="",0,Sync!$O1384))</f>
        <v/>
      </c>
      <c r="V1384" t="str">
        <f>IF($N1384="","",Sync!$L1384)</f>
        <v/>
      </c>
      <c r="W1384" t="str">
        <f>IF($N1384="","",Sync!$P1384)</f>
        <v/>
      </c>
    </row>
    <row r="1385" spans="14:23" x14ac:dyDescent="0.2">
      <c r="N1385" t="str">
        <f>IF(OR(Sync!$M1385="",$Q1385="",$Q1385="نامعتبر"),"",Sync!$M1385)</f>
        <v/>
      </c>
      <c r="O1385" t="str">
        <f t="shared" si="127"/>
        <v/>
      </c>
      <c r="P1385" t="str">
        <f>IF($N1385="","",LEFT($Q1385,4)&amp;MID($Q1385,6,2)&amp;RIGHT($Q1385,2)&amp;IF(Sync!$K1385="","0000",IF(AND(ISNUMBER(Sync!$K1385),Sync!$K1385&gt;=0,Sync!$K1385&lt;1),RIGHT("00"&amp;HOUR(Sync!$K1385),2)&amp;RIGHT("00"&amp;MINUTE(Sync!$K1385),2),IFERROR(RIGHT("00"&amp;VALUE(LEFT(Sync!$K1385,FIND(":",Sync!$K1385)-1)),2)&amp;RIGHT("00"&amp;VALUE(MID(Sync!$K1385,FIND(":",Sync!$K1385)+1,2)),2),"0000")))&amp;"|"&amp;"2"&amp;RIGHT("00000"&amp;1380,5))</f>
        <v/>
      </c>
      <c r="Q1385" t="str">
        <f>IF(Sync!$J1385="","",IF(ISNUMBER(Sync!$J1385),IF(AND(Sync!$J1385&gt;=10000101,Sync!$J1385&lt;=99991231),INT(Sync!$J1385/10000)&amp;"/"&amp;RIGHT("00"&amp;INT(MOD(Sync!$J1385,10000)/100),2)&amp;"/"&amp;RIGHT("00"&amp;MOD(Sync!$J1385,100),2),"نامعتبر"),IF(LEN(Sync!$J1385)=10,Sync!$J1385,"نامعتبر")))</f>
        <v/>
      </c>
      <c r="R1385" t="str">
        <f t="shared" si="128"/>
        <v/>
      </c>
      <c r="S1385" t="str">
        <f t="shared" si="129"/>
        <v/>
      </c>
      <c r="T1385" t="str">
        <f>IF($N1385="","",IF(Sync!$N1385="",0,Sync!$N1385))</f>
        <v/>
      </c>
      <c r="U1385" t="str">
        <f>IF($N1385="","",IF(Sync!$O1385="",0,Sync!$O1385))</f>
        <v/>
      </c>
      <c r="V1385" t="str">
        <f>IF($N1385="","",Sync!$L1385)</f>
        <v/>
      </c>
      <c r="W1385" t="str">
        <f>IF($N1385="","",Sync!$P1385)</f>
        <v/>
      </c>
    </row>
    <row r="1386" spans="14:23" x14ac:dyDescent="0.2">
      <c r="N1386" t="str">
        <f>IF(OR(Sync!$M1386="",$Q1386="",$Q1386="نامعتبر"),"",Sync!$M1386)</f>
        <v/>
      </c>
      <c r="O1386" t="str">
        <f t="shared" si="127"/>
        <v/>
      </c>
      <c r="P1386" t="str">
        <f>IF($N1386="","",LEFT($Q1386,4)&amp;MID($Q1386,6,2)&amp;RIGHT($Q1386,2)&amp;IF(Sync!$K1386="","0000",IF(AND(ISNUMBER(Sync!$K1386),Sync!$K1386&gt;=0,Sync!$K1386&lt;1),RIGHT("00"&amp;HOUR(Sync!$K1386),2)&amp;RIGHT("00"&amp;MINUTE(Sync!$K1386),2),IFERROR(RIGHT("00"&amp;VALUE(LEFT(Sync!$K1386,FIND(":",Sync!$K1386)-1)),2)&amp;RIGHT("00"&amp;VALUE(MID(Sync!$K1386,FIND(":",Sync!$K1386)+1,2)),2),"0000")))&amp;"|"&amp;"2"&amp;RIGHT("00000"&amp;1381,5))</f>
        <v/>
      </c>
      <c r="Q1386" t="str">
        <f>IF(Sync!$J1386="","",IF(ISNUMBER(Sync!$J1386),IF(AND(Sync!$J1386&gt;=10000101,Sync!$J1386&lt;=99991231),INT(Sync!$J1386/10000)&amp;"/"&amp;RIGHT("00"&amp;INT(MOD(Sync!$J1386,10000)/100),2)&amp;"/"&amp;RIGHT("00"&amp;MOD(Sync!$J1386,100),2),"نامعتبر"),IF(LEN(Sync!$J1386)=10,Sync!$J1386,"نامعتبر")))</f>
        <v/>
      </c>
      <c r="R1386" t="str">
        <f t="shared" si="128"/>
        <v/>
      </c>
      <c r="S1386" t="str">
        <f t="shared" si="129"/>
        <v/>
      </c>
      <c r="T1386" t="str">
        <f>IF($N1386="","",IF(Sync!$N1386="",0,Sync!$N1386))</f>
        <v/>
      </c>
      <c r="U1386" t="str">
        <f>IF($N1386="","",IF(Sync!$O1386="",0,Sync!$O1386))</f>
        <v/>
      </c>
      <c r="V1386" t="str">
        <f>IF($N1386="","",Sync!$L1386)</f>
        <v/>
      </c>
      <c r="W1386" t="str">
        <f>IF($N1386="","",Sync!$P1386)</f>
        <v/>
      </c>
    </row>
    <row r="1387" spans="14:23" x14ac:dyDescent="0.2">
      <c r="N1387" t="str">
        <f>IF(OR(Sync!$M1387="",$Q1387="",$Q1387="نامعتبر"),"",Sync!$M1387)</f>
        <v/>
      </c>
      <c r="O1387" t="str">
        <f t="shared" si="127"/>
        <v/>
      </c>
      <c r="P1387" t="str">
        <f>IF($N1387="","",LEFT($Q1387,4)&amp;MID($Q1387,6,2)&amp;RIGHT($Q1387,2)&amp;IF(Sync!$K1387="","0000",IF(AND(ISNUMBER(Sync!$K1387),Sync!$K1387&gt;=0,Sync!$K1387&lt;1),RIGHT("00"&amp;HOUR(Sync!$K1387),2)&amp;RIGHT("00"&amp;MINUTE(Sync!$K1387),2),IFERROR(RIGHT("00"&amp;VALUE(LEFT(Sync!$K1387,FIND(":",Sync!$K1387)-1)),2)&amp;RIGHT("00"&amp;VALUE(MID(Sync!$K1387,FIND(":",Sync!$K1387)+1,2)),2),"0000")))&amp;"|"&amp;"2"&amp;RIGHT("00000"&amp;1382,5))</f>
        <v/>
      </c>
      <c r="Q1387" t="str">
        <f>IF(Sync!$J1387="","",IF(ISNUMBER(Sync!$J1387),IF(AND(Sync!$J1387&gt;=10000101,Sync!$J1387&lt;=99991231),INT(Sync!$J1387/10000)&amp;"/"&amp;RIGHT("00"&amp;INT(MOD(Sync!$J1387,10000)/100),2)&amp;"/"&amp;RIGHT("00"&amp;MOD(Sync!$J1387,100),2),"نامعتبر"),IF(LEN(Sync!$J1387)=10,Sync!$J1387,"نامعتبر")))</f>
        <v/>
      </c>
      <c r="R1387" t="str">
        <f t="shared" si="128"/>
        <v/>
      </c>
      <c r="S1387" t="str">
        <f t="shared" si="129"/>
        <v/>
      </c>
      <c r="T1387" t="str">
        <f>IF($N1387="","",IF(Sync!$N1387="",0,Sync!$N1387))</f>
        <v/>
      </c>
      <c r="U1387" t="str">
        <f>IF($N1387="","",IF(Sync!$O1387="",0,Sync!$O1387))</f>
        <v/>
      </c>
      <c r="V1387" t="str">
        <f>IF($N1387="","",Sync!$L1387)</f>
        <v/>
      </c>
      <c r="W1387" t="str">
        <f>IF($N1387="","",Sync!$P1387)</f>
        <v/>
      </c>
    </row>
    <row r="1388" spans="14:23" x14ac:dyDescent="0.2">
      <c r="N1388" t="str">
        <f>IF(OR(Sync!$M1388="",$Q1388="",$Q1388="نامعتبر"),"",Sync!$M1388)</f>
        <v/>
      </c>
      <c r="O1388" t="str">
        <f t="shared" si="127"/>
        <v/>
      </c>
      <c r="P1388" t="str">
        <f>IF($N1388="","",LEFT($Q1388,4)&amp;MID($Q1388,6,2)&amp;RIGHT($Q1388,2)&amp;IF(Sync!$K1388="","0000",IF(AND(ISNUMBER(Sync!$K1388),Sync!$K1388&gt;=0,Sync!$K1388&lt;1),RIGHT("00"&amp;HOUR(Sync!$K1388),2)&amp;RIGHT("00"&amp;MINUTE(Sync!$K1388),2),IFERROR(RIGHT("00"&amp;VALUE(LEFT(Sync!$K1388,FIND(":",Sync!$K1388)-1)),2)&amp;RIGHT("00"&amp;VALUE(MID(Sync!$K1388,FIND(":",Sync!$K1388)+1,2)),2),"0000")))&amp;"|"&amp;"2"&amp;RIGHT("00000"&amp;1383,5))</f>
        <v/>
      </c>
      <c r="Q1388" t="str">
        <f>IF(Sync!$J1388="","",IF(ISNUMBER(Sync!$J1388),IF(AND(Sync!$J1388&gt;=10000101,Sync!$J1388&lt;=99991231),INT(Sync!$J1388/10000)&amp;"/"&amp;RIGHT("00"&amp;INT(MOD(Sync!$J1388,10000)/100),2)&amp;"/"&amp;RIGHT("00"&amp;MOD(Sync!$J1388,100),2),"نامعتبر"),IF(LEN(Sync!$J1388)=10,Sync!$J1388,"نامعتبر")))</f>
        <v/>
      </c>
      <c r="R1388" t="str">
        <f t="shared" si="128"/>
        <v/>
      </c>
      <c r="S1388" t="str">
        <f t="shared" si="129"/>
        <v/>
      </c>
      <c r="T1388" t="str">
        <f>IF($N1388="","",IF(Sync!$N1388="",0,Sync!$N1388))</f>
        <v/>
      </c>
      <c r="U1388" t="str">
        <f>IF($N1388="","",IF(Sync!$O1388="",0,Sync!$O1388))</f>
        <v/>
      </c>
      <c r="V1388" t="str">
        <f>IF($N1388="","",Sync!$L1388)</f>
        <v/>
      </c>
      <c r="W1388" t="str">
        <f>IF($N1388="","",Sync!$P1388)</f>
        <v/>
      </c>
    </row>
    <row r="1389" spans="14:23" x14ac:dyDescent="0.2">
      <c r="N1389" t="str">
        <f>IF(OR(Sync!$M1389="",$Q1389="",$Q1389="نامعتبر"),"",Sync!$M1389)</f>
        <v/>
      </c>
      <c r="O1389" t="str">
        <f t="shared" si="127"/>
        <v/>
      </c>
      <c r="P1389" t="str">
        <f>IF($N1389="","",LEFT($Q1389,4)&amp;MID($Q1389,6,2)&amp;RIGHT($Q1389,2)&amp;IF(Sync!$K1389="","0000",IF(AND(ISNUMBER(Sync!$K1389),Sync!$K1389&gt;=0,Sync!$K1389&lt;1),RIGHT("00"&amp;HOUR(Sync!$K1389),2)&amp;RIGHT("00"&amp;MINUTE(Sync!$K1389),2),IFERROR(RIGHT("00"&amp;VALUE(LEFT(Sync!$K1389,FIND(":",Sync!$K1389)-1)),2)&amp;RIGHT("00"&amp;VALUE(MID(Sync!$K1389,FIND(":",Sync!$K1389)+1,2)),2),"0000")))&amp;"|"&amp;"2"&amp;RIGHT("00000"&amp;1384,5))</f>
        <v/>
      </c>
      <c r="Q1389" t="str">
        <f>IF(Sync!$J1389="","",IF(ISNUMBER(Sync!$J1389),IF(AND(Sync!$J1389&gt;=10000101,Sync!$J1389&lt;=99991231),INT(Sync!$J1389/10000)&amp;"/"&amp;RIGHT("00"&amp;INT(MOD(Sync!$J1389,10000)/100),2)&amp;"/"&amp;RIGHT("00"&amp;MOD(Sync!$J1389,100),2),"نامعتبر"),IF(LEN(Sync!$J1389)=10,Sync!$J1389,"نامعتبر")))</f>
        <v/>
      </c>
      <c r="R1389" t="str">
        <f t="shared" si="128"/>
        <v/>
      </c>
      <c r="S1389" t="str">
        <f t="shared" si="129"/>
        <v/>
      </c>
      <c r="T1389" t="str">
        <f>IF($N1389="","",IF(Sync!$N1389="",0,Sync!$N1389))</f>
        <v/>
      </c>
      <c r="U1389" t="str">
        <f>IF($N1389="","",IF(Sync!$O1389="",0,Sync!$O1389))</f>
        <v/>
      </c>
      <c r="V1389" t="str">
        <f>IF($N1389="","",Sync!$L1389)</f>
        <v/>
      </c>
      <c r="W1389" t="str">
        <f>IF($N1389="","",Sync!$P1389)</f>
        <v/>
      </c>
    </row>
    <row r="1390" spans="14:23" x14ac:dyDescent="0.2">
      <c r="N1390" t="str">
        <f>IF(OR(Sync!$M1390="",$Q1390="",$Q1390="نامعتبر"),"",Sync!$M1390)</f>
        <v/>
      </c>
      <c r="O1390" t="str">
        <f t="shared" si="127"/>
        <v/>
      </c>
      <c r="P1390" t="str">
        <f>IF($N1390="","",LEFT($Q1390,4)&amp;MID($Q1390,6,2)&amp;RIGHT($Q1390,2)&amp;IF(Sync!$K1390="","0000",IF(AND(ISNUMBER(Sync!$K1390),Sync!$K1390&gt;=0,Sync!$K1390&lt;1),RIGHT("00"&amp;HOUR(Sync!$K1390),2)&amp;RIGHT("00"&amp;MINUTE(Sync!$K1390),2),IFERROR(RIGHT("00"&amp;VALUE(LEFT(Sync!$K1390,FIND(":",Sync!$K1390)-1)),2)&amp;RIGHT("00"&amp;VALUE(MID(Sync!$K1390,FIND(":",Sync!$K1390)+1,2)),2),"0000")))&amp;"|"&amp;"2"&amp;RIGHT("00000"&amp;1385,5))</f>
        <v/>
      </c>
      <c r="Q1390" t="str">
        <f>IF(Sync!$J1390="","",IF(ISNUMBER(Sync!$J1390),IF(AND(Sync!$J1390&gt;=10000101,Sync!$J1390&lt;=99991231),INT(Sync!$J1390/10000)&amp;"/"&amp;RIGHT("00"&amp;INT(MOD(Sync!$J1390,10000)/100),2)&amp;"/"&amp;RIGHT("00"&amp;MOD(Sync!$J1390,100),2),"نامعتبر"),IF(LEN(Sync!$J1390)=10,Sync!$J1390,"نامعتبر")))</f>
        <v/>
      </c>
      <c r="R1390" t="str">
        <f t="shared" si="128"/>
        <v/>
      </c>
      <c r="S1390" t="str">
        <f t="shared" si="129"/>
        <v/>
      </c>
      <c r="T1390" t="str">
        <f>IF($N1390="","",IF(Sync!$N1390="",0,Sync!$N1390))</f>
        <v/>
      </c>
      <c r="U1390" t="str">
        <f>IF($N1390="","",IF(Sync!$O1390="",0,Sync!$O1390))</f>
        <v/>
      </c>
      <c r="V1390" t="str">
        <f>IF($N1390="","",Sync!$L1390)</f>
        <v/>
      </c>
      <c r="W1390" t="str">
        <f>IF($N1390="","",Sync!$P1390)</f>
        <v/>
      </c>
    </row>
    <row r="1391" spans="14:23" x14ac:dyDescent="0.2">
      <c r="N1391" t="str">
        <f>IF(OR(Sync!$M1391="",$Q1391="",$Q1391="نامعتبر"),"",Sync!$M1391)</f>
        <v/>
      </c>
      <c r="O1391" t="str">
        <f t="shared" si="127"/>
        <v/>
      </c>
      <c r="P1391" t="str">
        <f>IF($N1391="","",LEFT($Q1391,4)&amp;MID($Q1391,6,2)&amp;RIGHT($Q1391,2)&amp;IF(Sync!$K1391="","0000",IF(AND(ISNUMBER(Sync!$K1391),Sync!$K1391&gt;=0,Sync!$K1391&lt;1),RIGHT("00"&amp;HOUR(Sync!$K1391),2)&amp;RIGHT("00"&amp;MINUTE(Sync!$K1391),2),IFERROR(RIGHT("00"&amp;VALUE(LEFT(Sync!$K1391,FIND(":",Sync!$K1391)-1)),2)&amp;RIGHT("00"&amp;VALUE(MID(Sync!$K1391,FIND(":",Sync!$K1391)+1,2)),2),"0000")))&amp;"|"&amp;"2"&amp;RIGHT("00000"&amp;1386,5))</f>
        <v/>
      </c>
      <c r="Q1391" t="str">
        <f>IF(Sync!$J1391="","",IF(ISNUMBER(Sync!$J1391),IF(AND(Sync!$J1391&gt;=10000101,Sync!$J1391&lt;=99991231),INT(Sync!$J1391/10000)&amp;"/"&amp;RIGHT("00"&amp;INT(MOD(Sync!$J1391,10000)/100),2)&amp;"/"&amp;RIGHT("00"&amp;MOD(Sync!$J1391,100),2),"نامعتبر"),IF(LEN(Sync!$J1391)=10,Sync!$J1391,"نامعتبر")))</f>
        <v/>
      </c>
      <c r="R1391" t="str">
        <f t="shared" si="128"/>
        <v/>
      </c>
      <c r="S1391" t="str">
        <f t="shared" si="129"/>
        <v/>
      </c>
      <c r="T1391" t="str">
        <f>IF($N1391="","",IF(Sync!$N1391="",0,Sync!$N1391))</f>
        <v/>
      </c>
      <c r="U1391" t="str">
        <f>IF($N1391="","",IF(Sync!$O1391="",0,Sync!$O1391))</f>
        <v/>
      </c>
      <c r="V1391" t="str">
        <f>IF($N1391="","",Sync!$L1391)</f>
        <v/>
      </c>
      <c r="W1391" t="str">
        <f>IF($N1391="","",Sync!$P1391)</f>
        <v/>
      </c>
    </row>
    <row r="1392" spans="14:23" x14ac:dyDescent="0.2">
      <c r="N1392" t="str">
        <f>IF(OR(Sync!$M1392="",$Q1392="",$Q1392="نامعتبر"),"",Sync!$M1392)</f>
        <v/>
      </c>
      <c r="O1392" t="str">
        <f t="shared" si="127"/>
        <v/>
      </c>
      <c r="P1392" t="str">
        <f>IF($N1392="","",LEFT($Q1392,4)&amp;MID($Q1392,6,2)&amp;RIGHT($Q1392,2)&amp;IF(Sync!$K1392="","0000",IF(AND(ISNUMBER(Sync!$K1392),Sync!$K1392&gt;=0,Sync!$K1392&lt;1),RIGHT("00"&amp;HOUR(Sync!$K1392),2)&amp;RIGHT("00"&amp;MINUTE(Sync!$K1392),2),IFERROR(RIGHT("00"&amp;VALUE(LEFT(Sync!$K1392,FIND(":",Sync!$K1392)-1)),2)&amp;RIGHT("00"&amp;VALUE(MID(Sync!$K1392,FIND(":",Sync!$K1392)+1,2)),2),"0000")))&amp;"|"&amp;"2"&amp;RIGHT("00000"&amp;1387,5))</f>
        <v/>
      </c>
      <c r="Q1392" t="str">
        <f>IF(Sync!$J1392="","",IF(ISNUMBER(Sync!$J1392),IF(AND(Sync!$J1392&gt;=10000101,Sync!$J1392&lt;=99991231),INT(Sync!$J1392/10000)&amp;"/"&amp;RIGHT("00"&amp;INT(MOD(Sync!$J1392,10000)/100),2)&amp;"/"&amp;RIGHT("00"&amp;MOD(Sync!$J1392,100),2),"نامعتبر"),IF(LEN(Sync!$J1392)=10,Sync!$J1392,"نامعتبر")))</f>
        <v/>
      </c>
      <c r="R1392" t="str">
        <f t="shared" si="128"/>
        <v/>
      </c>
      <c r="S1392" t="str">
        <f t="shared" si="129"/>
        <v/>
      </c>
      <c r="T1392" t="str">
        <f>IF($N1392="","",IF(Sync!$N1392="",0,Sync!$N1392))</f>
        <v/>
      </c>
      <c r="U1392" t="str">
        <f>IF($N1392="","",IF(Sync!$O1392="",0,Sync!$O1392))</f>
        <v/>
      </c>
      <c r="V1392" t="str">
        <f>IF($N1392="","",Sync!$L1392)</f>
        <v/>
      </c>
      <c r="W1392" t="str">
        <f>IF($N1392="","",Sync!$P1392)</f>
        <v/>
      </c>
    </row>
    <row r="1393" spans="14:23" x14ac:dyDescent="0.2">
      <c r="N1393" t="str">
        <f>IF(OR(Sync!$M1393="",$Q1393="",$Q1393="نامعتبر"),"",Sync!$M1393)</f>
        <v/>
      </c>
      <c r="O1393" t="str">
        <f t="shared" si="127"/>
        <v/>
      </c>
      <c r="P1393" t="str">
        <f>IF($N1393="","",LEFT($Q1393,4)&amp;MID($Q1393,6,2)&amp;RIGHT($Q1393,2)&amp;IF(Sync!$K1393="","0000",IF(AND(ISNUMBER(Sync!$K1393),Sync!$K1393&gt;=0,Sync!$K1393&lt;1),RIGHT("00"&amp;HOUR(Sync!$K1393),2)&amp;RIGHT("00"&amp;MINUTE(Sync!$K1393),2),IFERROR(RIGHT("00"&amp;VALUE(LEFT(Sync!$K1393,FIND(":",Sync!$K1393)-1)),2)&amp;RIGHT("00"&amp;VALUE(MID(Sync!$K1393,FIND(":",Sync!$K1393)+1,2)),2),"0000")))&amp;"|"&amp;"2"&amp;RIGHT("00000"&amp;1388,5))</f>
        <v/>
      </c>
      <c r="Q1393" t="str">
        <f>IF(Sync!$J1393="","",IF(ISNUMBER(Sync!$J1393),IF(AND(Sync!$J1393&gt;=10000101,Sync!$J1393&lt;=99991231),INT(Sync!$J1393/10000)&amp;"/"&amp;RIGHT("00"&amp;INT(MOD(Sync!$J1393,10000)/100),2)&amp;"/"&amp;RIGHT("00"&amp;MOD(Sync!$J1393,100),2),"نامعتبر"),IF(LEN(Sync!$J1393)=10,Sync!$J1393,"نامعتبر")))</f>
        <v/>
      </c>
      <c r="R1393" t="str">
        <f t="shared" si="128"/>
        <v/>
      </c>
      <c r="S1393" t="str">
        <f t="shared" si="129"/>
        <v/>
      </c>
      <c r="T1393" t="str">
        <f>IF($N1393="","",IF(Sync!$N1393="",0,Sync!$N1393))</f>
        <v/>
      </c>
      <c r="U1393" t="str">
        <f>IF($N1393="","",IF(Sync!$O1393="",0,Sync!$O1393))</f>
        <v/>
      </c>
      <c r="V1393" t="str">
        <f>IF($N1393="","",Sync!$L1393)</f>
        <v/>
      </c>
      <c r="W1393" t="str">
        <f>IF($N1393="","",Sync!$P1393)</f>
        <v/>
      </c>
    </row>
    <row r="1394" spans="14:23" x14ac:dyDescent="0.2">
      <c r="N1394" t="str">
        <f>IF(OR(Sync!$M1394="",$Q1394="",$Q1394="نامعتبر"),"",Sync!$M1394)</f>
        <v/>
      </c>
      <c r="O1394" t="str">
        <f t="shared" si="127"/>
        <v/>
      </c>
      <c r="P1394" t="str">
        <f>IF($N1394="","",LEFT($Q1394,4)&amp;MID($Q1394,6,2)&amp;RIGHT($Q1394,2)&amp;IF(Sync!$K1394="","0000",IF(AND(ISNUMBER(Sync!$K1394),Sync!$K1394&gt;=0,Sync!$K1394&lt;1),RIGHT("00"&amp;HOUR(Sync!$K1394),2)&amp;RIGHT("00"&amp;MINUTE(Sync!$K1394),2),IFERROR(RIGHT("00"&amp;VALUE(LEFT(Sync!$K1394,FIND(":",Sync!$K1394)-1)),2)&amp;RIGHT("00"&amp;VALUE(MID(Sync!$K1394,FIND(":",Sync!$K1394)+1,2)),2),"0000")))&amp;"|"&amp;"2"&amp;RIGHT("00000"&amp;1389,5))</f>
        <v/>
      </c>
      <c r="Q1394" t="str">
        <f>IF(Sync!$J1394="","",IF(ISNUMBER(Sync!$J1394),IF(AND(Sync!$J1394&gt;=10000101,Sync!$J1394&lt;=99991231),INT(Sync!$J1394/10000)&amp;"/"&amp;RIGHT("00"&amp;INT(MOD(Sync!$J1394,10000)/100),2)&amp;"/"&amp;RIGHT("00"&amp;MOD(Sync!$J1394,100),2),"نامعتبر"),IF(LEN(Sync!$J1394)=10,Sync!$J1394,"نامعتبر")))</f>
        <v/>
      </c>
      <c r="R1394" t="str">
        <f t="shared" si="128"/>
        <v/>
      </c>
      <c r="S1394" t="str">
        <f t="shared" si="129"/>
        <v/>
      </c>
      <c r="T1394" t="str">
        <f>IF($N1394="","",IF(Sync!$N1394="",0,Sync!$N1394))</f>
        <v/>
      </c>
      <c r="U1394" t="str">
        <f>IF($N1394="","",IF(Sync!$O1394="",0,Sync!$O1394))</f>
        <v/>
      </c>
      <c r="V1394" t="str">
        <f>IF($N1394="","",Sync!$L1394)</f>
        <v/>
      </c>
      <c r="W1394" t="str">
        <f>IF($N1394="","",Sync!$P1394)</f>
        <v/>
      </c>
    </row>
    <row r="1395" spans="14:23" x14ac:dyDescent="0.2">
      <c r="N1395" t="str">
        <f>IF(OR(Sync!$M1395="",$Q1395="",$Q1395="نامعتبر"),"",Sync!$M1395)</f>
        <v/>
      </c>
      <c r="O1395" t="str">
        <f t="shared" si="127"/>
        <v/>
      </c>
      <c r="P1395" t="str">
        <f>IF($N1395="","",LEFT($Q1395,4)&amp;MID($Q1395,6,2)&amp;RIGHT($Q1395,2)&amp;IF(Sync!$K1395="","0000",IF(AND(ISNUMBER(Sync!$K1395),Sync!$K1395&gt;=0,Sync!$K1395&lt;1),RIGHT("00"&amp;HOUR(Sync!$K1395),2)&amp;RIGHT("00"&amp;MINUTE(Sync!$K1395),2),IFERROR(RIGHT("00"&amp;VALUE(LEFT(Sync!$K1395,FIND(":",Sync!$K1395)-1)),2)&amp;RIGHT("00"&amp;VALUE(MID(Sync!$K1395,FIND(":",Sync!$K1395)+1,2)),2),"0000")))&amp;"|"&amp;"2"&amp;RIGHT("00000"&amp;1390,5))</f>
        <v/>
      </c>
      <c r="Q1395" t="str">
        <f>IF(Sync!$J1395="","",IF(ISNUMBER(Sync!$J1395),IF(AND(Sync!$J1395&gt;=10000101,Sync!$J1395&lt;=99991231),INT(Sync!$J1395/10000)&amp;"/"&amp;RIGHT("00"&amp;INT(MOD(Sync!$J1395,10000)/100),2)&amp;"/"&amp;RIGHT("00"&amp;MOD(Sync!$J1395,100),2),"نامعتبر"),IF(LEN(Sync!$J1395)=10,Sync!$J1395,"نامعتبر")))</f>
        <v/>
      </c>
      <c r="R1395" t="str">
        <f t="shared" si="128"/>
        <v/>
      </c>
      <c r="S1395" t="str">
        <f t="shared" si="129"/>
        <v/>
      </c>
      <c r="T1395" t="str">
        <f>IF($N1395="","",IF(Sync!$N1395="",0,Sync!$N1395))</f>
        <v/>
      </c>
      <c r="U1395" t="str">
        <f>IF($N1395="","",IF(Sync!$O1395="",0,Sync!$O1395))</f>
        <v/>
      </c>
      <c r="V1395" t="str">
        <f>IF($N1395="","",Sync!$L1395)</f>
        <v/>
      </c>
      <c r="W1395" t="str">
        <f>IF($N1395="","",Sync!$P1395)</f>
        <v/>
      </c>
    </row>
    <row r="1396" spans="14:23" x14ac:dyDescent="0.2">
      <c r="N1396" t="str">
        <f>IF(OR(Sync!$M1396="",$Q1396="",$Q1396="نامعتبر"),"",Sync!$M1396)</f>
        <v/>
      </c>
      <c r="O1396" t="str">
        <f t="shared" si="127"/>
        <v/>
      </c>
      <c r="P1396" t="str">
        <f>IF($N1396="","",LEFT($Q1396,4)&amp;MID($Q1396,6,2)&amp;RIGHT($Q1396,2)&amp;IF(Sync!$K1396="","0000",IF(AND(ISNUMBER(Sync!$K1396),Sync!$K1396&gt;=0,Sync!$K1396&lt;1),RIGHT("00"&amp;HOUR(Sync!$K1396),2)&amp;RIGHT("00"&amp;MINUTE(Sync!$K1396),2),IFERROR(RIGHT("00"&amp;VALUE(LEFT(Sync!$K1396,FIND(":",Sync!$K1396)-1)),2)&amp;RIGHT("00"&amp;VALUE(MID(Sync!$K1396,FIND(":",Sync!$K1396)+1,2)),2),"0000")))&amp;"|"&amp;"2"&amp;RIGHT("00000"&amp;1391,5))</f>
        <v/>
      </c>
      <c r="Q1396" t="str">
        <f>IF(Sync!$J1396="","",IF(ISNUMBER(Sync!$J1396),IF(AND(Sync!$J1396&gt;=10000101,Sync!$J1396&lt;=99991231),INT(Sync!$J1396/10000)&amp;"/"&amp;RIGHT("00"&amp;INT(MOD(Sync!$J1396,10000)/100),2)&amp;"/"&amp;RIGHT("00"&amp;MOD(Sync!$J1396,100),2),"نامعتبر"),IF(LEN(Sync!$J1396)=10,Sync!$J1396,"نامعتبر")))</f>
        <v/>
      </c>
      <c r="R1396" t="str">
        <f t="shared" si="128"/>
        <v/>
      </c>
      <c r="S1396" t="str">
        <f t="shared" si="129"/>
        <v/>
      </c>
      <c r="T1396" t="str">
        <f>IF($N1396="","",IF(Sync!$N1396="",0,Sync!$N1396))</f>
        <v/>
      </c>
      <c r="U1396" t="str">
        <f>IF($N1396="","",IF(Sync!$O1396="",0,Sync!$O1396))</f>
        <v/>
      </c>
      <c r="V1396" t="str">
        <f>IF($N1396="","",Sync!$L1396)</f>
        <v/>
      </c>
      <c r="W1396" t="str">
        <f>IF($N1396="","",Sync!$P1396)</f>
        <v/>
      </c>
    </row>
    <row r="1397" spans="14:23" x14ac:dyDescent="0.2">
      <c r="N1397" t="str">
        <f>IF(OR(Sync!$M1397="",$Q1397="",$Q1397="نامعتبر"),"",Sync!$M1397)</f>
        <v/>
      </c>
      <c r="O1397" t="str">
        <f t="shared" si="127"/>
        <v/>
      </c>
      <c r="P1397" t="str">
        <f>IF($N1397="","",LEFT($Q1397,4)&amp;MID($Q1397,6,2)&amp;RIGHT($Q1397,2)&amp;IF(Sync!$K1397="","0000",IF(AND(ISNUMBER(Sync!$K1397),Sync!$K1397&gt;=0,Sync!$K1397&lt;1),RIGHT("00"&amp;HOUR(Sync!$K1397),2)&amp;RIGHT("00"&amp;MINUTE(Sync!$K1397),2),IFERROR(RIGHT("00"&amp;VALUE(LEFT(Sync!$K1397,FIND(":",Sync!$K1397)-1)),2)&amp;RIGHT("00"&amp;VALUE(MID(Sync!$K1397,FIND(":",Sync!$K1397)+1,2)),2),"0000")))&amp;"|"&amp;"2"&amp;RIGHT("00000"&amp;1392,5))</f>
        <v/>
      </c>
      <c r="Q1397" t="str">
        <f>IF(Sync!$J1397="","",IF(ISNUMBER(Sync!$J1397),IF(AND(Sync!$J1397&gt;=10000101,Sync!$J1397&lt;=99991231),INT(Sync!$J1397/10000)&amp;"/"&amp;RIGHT("00"&amp;INT(MOD(Sync!$J1397,10000)/100),2)&amp;"/"&amp;RIGHT("00"&amp;MOD(Sync!$J1397,100),2),"نامعتبر"),IF(LEN(Sync!$J1397)=10,Sync!$J1397,"نامعتبر")))</f>
        <v/>
      </c>
      <c r="R1397" t="str">
        <f t="shared" si="128"/>
        <v/>
      </c>
      <c r="S1397" t="str">
        <f t="shared" si="129"/>
        <v/>
      </c>
      <c r="T1397" t="str">
        <f>IF($N1397="","",IF(Sync!$N1397="",0,Sync!$N1397))</f>
        <v/>
      </c>
      <c r="U1397" t="str">
        <f>IF($N1397="","",IF(Sync!$O1397="",0,Sync!$O1397))</f>
        <v/>
      </c>
      <c r="V1397" t="str">
        <f>IF($N1397="","",Sync!$L1397)</f>
        <v/>
      </c>
      <c r="W1397" t="str">
        <f>IF($N1397="","",Sync!$P1397)</f>
        <v/>
      </c>
    </row>
    <row r="1398" spans="14:23" x14ac:dyDescent="0.2">
      <c r="N1398" t="str">
        <f>IF(OR(Sync!$M1398="",$Q1398="",$Q1398="نامعتبر"),"",Sync!$M1398)</f>
        <v/>
      </c>
      <c r="O1398" t="str">
        <f t="shared" si="127"/>
        <v/>
      </c>
      <c r="P1398" t="str">
        <f>IF($N1398="","",LEFT($Q1398,4)&amp;MID($Q1398,6,2)&amp;RIGHT($Q1398,2)&amp;IF(Sync!$K1398="","0000",IF(AND(ISNUMBER(Sync!$K1398),Sync!$K1398&gt;=0,Sync!$K1398&lt;1),RIGHT("00"&amp;HOUR(Sync!$K1398),2)&amp;RIGHT("00"&amp;MINUTE(Sync!$K1398),2),IFERROR(RIGHT("00"&amp;VALUE(LEFT(Sync!$K1398,FIND(":",Sync!$K1398)-1)),2)&amp;RIGHT("00"&amp;VALUE(MID(Sync!$K1398,FIND(":",Sync!$K1398)+1,2)),2),"0000")))&amp;"|"&amp;"2"&amp;RIGHT("00000"&amp;1393,5))</f>
        <v/>
      </c>
      <c r="Q1398" t="str">
        <f>IF(Sync!$J1398="","",IF(ISNUMBER(Sync!$J1398),IF(AND(Sync!$J1398&gt;=10000101,Sync!$J1398&lt;=99991231),INT(Sync!$J1398/10000)&amp;"/"&amp;RIGHT("00"&amp;INT(MOD(Sync!$J1398,10000)/100),2)&amp;"/"&amp;RIGHT("00"&amp;MOD(Sync!$J1398,100),2),"نامعتبر"),IF(LEN(Sync!$J1398)=10,Sync!$J1398,"نامعتبر")))</f>
        <v/>
      </c>
      <c r="R1398" t="str">
        <f t="shared" si="128"/>
        <v/>
      </c>
      <c r="S1398" t="str">
        <f t="shared" si="129"/>
        <v/>
      </c>
      <c r="T1398" t="str">
        <f>IF($N1398="","",IF(Sync!$N1398="",0,Sync!$N1398))</f>
        <v/>
      </c>
      <c r="U1398" t="str">
        <f>IF($N1398="","",IF(Sync!$O1398="",0,Sync!$O1398))</f>
        <v/>
      </c>
      <c r="V1398" t="str">
        <f>IF($N1398="","",Sync!$L1398)</f>
        <v/>
      </c>
      <c r="W1398" t="str">
        <f>IF($N1398="","",Sync!$P1398)</f>
        <v/>
      </c>
    </row>
    <row r="1399" spans="14:23" x14ac:dyDescent="0.2">
      <c r="N1399" t="str">
        <f>IF(OR(Sync!$M1399="",$Q1399="",$Q1399="نامعتبر"),"",Sync!$M1399)</f>
        <v/>
      </c>
      <c r="O1399" t="str">
        <f t="shared" si="127"/>
        <v/>
      </c>
      <c r="P1399" t="str">
        <f>IF($N1399="","",LEFT($Q1399,4)&amp;MID($Q1399,6,2)&amp;RIGHT($Q1399,2)&amp;IF(Sync!$K1399="","0000",IF(AND(ISNUMBER(Sync!$K1399),Sync!$K1399&gt;=0,Sync!$K1399&lt;1),RIGHT("00"&amp;HOUR(Sync!$K1399),2)&amp;RIGHT("00"&amp;MINUTE(Sync!$K1399),2),IFERROR(RIGHT("00"&amp;VALUE(LEFT(Sync!$K1399,FIND(":",Sync!$K1399)-1)),2)&amp;RIGHT("00"&amp;VALUE(MID(Sync!$K1399,FIND(":",Sync!$K1399)+1,2)),2),"0000")))&amp;"|"&amp;"2"&amp;RIGHT("00000"&amp;1394,5))</f>
        <v/>
      </c>
      <c r="Q1399" t="str">
        <f>IF(Sync!$J1399="","",IF(ISNUMBER(Sync!$J1399),IF(AND(Sync!$J1399&gt;=10000101,Sync!$J1399&lt;=99991231),INT(Sync!$J1399/10000)&amp;"/"&amp;RIGHT("00"&amp;INT(MOD(Sync!$J1399,10000)/100),2)&amp;"/"&amp;RIGHT("00"&amp;MOD(Sync!$J1399,100),2),"نامعتبر"),IF(LEN(Sync!$J1399)=10,Sync!$J1399,"نامعتبر")))</f>
        <v/>
      </c>
      <c r="R1399" t="str">
        <f t="shared" si="128"/>
        <v/>
      </c>
      <c r="S1399" t="str">
        <f t="shared" si="129"/>
        <v/>
      </c>
      <c r="T1399" t="str">
        <f>IF($N1399="","",IF(Sync!$N1399="",0,Sync!$N1399))</f>
        <v/>
      </c>
      <c r="U1399" t="str">
        <f>IF($N1399="","",IF(Sync!$O1399="",0,Sync!$O1399))</f>
        <v/>
      </c>
      <c r="V1399" t="str">
        <f>IF($N1399="","",Sync!$L1399)</f>
        <v/>
      </c>
      <c r="W1399" t="str">
        <f>IF($N1399="","",Sync!$P1399)</f>
        <v/>
      </c>
    </row>
    <row r="1400" spans="14:23" x14ac:dyDescent="0.2">
      <c r="N1400" t="str">
        <f>IF(OR(Sync!$M1400="",$Q1400="",$Q1400="نامعتبر"),"",Sync!$M1400)</f>
        <v/>
      </c>
      <c r="O1400" t="str">
        <f t="shared" si="127"/>
        <v/>
      </c>
      <c r="P1400" t="str">
        <f>IF($N1400="","",LEFT($Q1400,4)&amp;MID($Q1400,6,2)&amp;RIGHT($Q1400,2)&amp;IF(Sync!$K1400="","0000",IF(AND(ISNUMBER(Sync!$K1400),Sync!$K1400&gt;=0,Sync!$K1400&lt;1),RIGHT("00"&amp;HOUR(Sync!$K1400),2)&amp;RIGHT("00"&amp;MINUTE(Sync!$K1400),2),IFERROR(RIGHT("00"&amp;VALUE(LEFT(Sync!$K1400,FIND(":",Sync!$K1400)-1)),2)&amp;RIGHT("00"&amp;VALUE(MID(Sync!$K1400,FIND(":",Sync!$K1400)+1,2)),2),"0000")))&amp;"|"&amp;"2"&amp;RIGHT("00000"&amp;1395,5))</f>
        <v/>
      </c>
      <c r="Q1400" t="str">
        <f>IF(Sync!$J1400="","",IF(ISNUMBER(Sync!$J1400),IF(AND(Sync!$J1400&gt;=10000101,Sync!$J1400&lt;=99991231),INT(Sync!$J1400/10000)&amp;"/"&amp;RIGHT("00"&amp;INT(MOD(Sync!$J1400,10000)/100),2)&amp;"/"&amp;RIGHT("00"&amp;MOD(Sync!$J1400,100),2),"نامعتبر"),IF(LEN(Sync!$J1400)=10,Sync!$J1400,"نامعتبر")))</f>
        <v/>
      </c>
      <c r="R1400" t="str">
        <f t="shared" si="128"/>
        <v/>
      </c>
      <c r="S1400" t="str">
        <f t="shared" si="129"/>
        <v/>
      </c>
      <c r="T1400" t="str">
        <f>IF($N1400="","",IF(Sync!$N1400="",0,Sync!$N1400))</f>
        <v/>
      </c>
      <c r="U1400" t="str">
        <f>IF($N1400="","",IF(Sync!$O1400="",0,Sync!$O1400))</f>
        <v/>
      </c>
      <c r="V1400" t="str">
        <f>IF($N1400="","",Sync!$L1400)</f>
        <v/>
      </c>
      <c r="W1400" t="str">
        <f>IF($N1400="","",Sync!$P1400)</f>
        <v/>
      </c>
    </row>
    <row r="1401" spans="14:23" x14ac:dyDescent="0.2">
      <c r="N1401" t="str">
        <f>IF(OR(Sync!$M1401="",$Q1401="",$Q1401="نامعتبر"),"",Sync!$M1401)</f>
        <v/>
      </c>
      <c r="O1401" t="str">
        <f t="shared" si="127"/>
        <v/>
      </c>
      <c r="P1401" t="str">
        <f>IF($N1401="","",LEFT($Q1401,4)&amp;MID($Q1401,6,2)&amp;RIGHT($Q1401,2)&amp;IF(Sync!$K1401="","0000",IF(AND(ISNUMBER(Sync!$K1401),Sync!$K1401&gt;=0,Sync!$K1401&lt;1),RIGHT("00"&amp;HOUR(Sync!$K1401),2)&amp;RIGHT("00"&amp;MINUTE(Sync!$K1401),2),IFERROR(RIGHT("00"&amp;VALUE(LEFT(Sync!$K1401,FIND(":",Sync!$K1401)-1)),2)&amp;RIGHT("00"&amp;VALUE(MID(Sync!$K1401,FIND(":",Sync!$K1401)+1,2)),2),"0000")))&amp;"|"&amp;"2"&amp;RIGHT("00000"&amp;1396,5))</f>
        <v/>
      </c>
      <c r="Q1401" t="str">
        <f>IF(Sync!$J1401="","",IF(ISNUMBER(Sync!$J1401),IF(AND(Sync!$J1401&gt;=10000101,Sync!$J1401&lt;=99991231),INT(Sync!$J1401/10000)&amp;"/"&amp;RIGHT("00"&amp;INT(MOD(Sync!$J1401,10000)/100),2)&amp;"/"&amp;RIGHT("00"&amp;MOD(Sync!$J1401,100),2),"نامعتبر"),IF(LEN(Sync!$J1401)=10,Sync!$J1401,"نامعتبر")))</f>
        <v/>
      </c>
      <c r="R1401" t="str">
        <f t="shared" si="128"/>
        <v/>
      </c>
      <c r="S1401" t="str">
        <f t="shared" si="129"/>
        <v/>
      </c>
      <c r="T1401" t="str">
        <f>IF($N1401="","",IF(Sync!$N1401="",0,Sync!$N1401))</f>
        <v/>
      </c>
      <c r="U1401" t="str">
        <f>IF($N1401="","",IF(Sync!$O1401="",0,Sync!$O1401))</f>
        <v/>
      </c>
      <c r="V1401" t="str">
        <f>IF($N1401="","",Sync!$L1401)</f>
        <v/>
      </c>
      <c r="W1401" t="str">
        <f>IF($N1401="","",Sync!$P1401)</f>
        <v/>
      </c>
    </row>
    <row r="1402" spans="14:23" x14ac:dyDescent="0.2">
      <c r="N1402" t="str">
        <f>IF(OR(Sync!$M1402="",$Q1402="",$Q1402="نامعتبر"),"",Sync!$M1402)</f>
        <v/>
      </c>
      <c r="O1402" t="str">
        <f t="shared" si="127"/>
        <v/>
      </c>
      <c r="P1402" t="str">
        <f>IF($N1402="","",LEFT($Q1402,4)&amp;MID($Q1402,6,2)&amp;RIGHT($Q1402,2)&amp;IF(Sync!$K1402="","0000",IF(AND(ISNUMBER(Sync!$K1402),Sync!$K1402&gt;=0,Sync!$K1402&lt;1),RIGHT("00"&amp;HOUR(Sync!$K1402),2)&amp;RIGHT("00"&amp;MINUTE(Sync!$K1402),2),IFERROR(RIGHT("00"&amp;VALUE(LEFT(Sync!$K1402,FIND(":",Sync!$K1402)-1)),2)&amp;RIGHT("00"&amp;VALUE(MID(Sync!$K1402,FIND(":",Sync!$K1402)+1,2)),2),"0000")))&amp;"|"&amp;"2"&amp;RIGHT("00000"&amp;1397,5))</f>
        <v/>
      </c>
      <c r="Q1402" t="str">
        <f>IF(Sync!$J1402="","",IF(ISNUMBER(Sync!$J1402),IF(AND(Sync!$J1402&gt;=10000101,Sync!$J1402&lt;=99991231),INT(Sync!$J1402/10000)&amp;"/"&amp;RIGHT("00"&amp;INT(MOD(Sync!$J1402,10000)/100),2)&amp;"/"&amp;RIGHT("00"&amp;MOD(Sync!$J1402,100),2),"نامعتبر"),IF(LEN(Sync!$J1402)=10,Sync!$J1402,"نامعتبر")))</f>
        <v/>
      </c>
      <c r="R1402" t="str">
        <f t="shared" si="128"/>
        <v/>
      </c>
      <c r="S1402" t="str">
        <f t="shared" si="129"/>
        <v/>
      </c>
      <c r="T1402" t="str">
        <f>IF($N1402="","",IF(Sync!$N1402="",0,Sync!$N1402))</f>
        <v/>
      </c>
      <c r="U1402" t="str">
        <f>IF($N1402="","",IF(Sync!$O1402="",0,Sync!$O1402))</f>
        <v/>
      </c>
      <c r="V1402" t="str">
        <f>IF($N1402="","",Sync!$L1402)</f>
        <v/>
      </c>
      <c r="W1402" t="str">
        <f>IF($N1402="","",Sync!$P1402)</f>
        <v/>
      </c>
    </row>
    <row r="1403" spans="14:23" x14ac:dyDescent="0.2">
      <c r="N1403" t="str">
        <f>IF(OR(Sync!$M1403="",$Q1403="",$Q1403="نامعتبر"),"",Sync!$M1403)</f>
        <v/>
      </c>
      <c r="O1403" t="str">
        <f t="shared" si="127"/>
        <v/>
      </c>
      <c r="P1403" t="str">
        <f>IF($N1403="","",LEFT($Q1403,4)&amp;MID($Q1403,6,2)&amp;RIGHT($Q1403,2)&amp;IF(Sync!$K1403="","0000",IF(AND(ISNUMBER(Sync!$K1403),Sync!$K1403&gt;=0,Sync!$K1403&lt;1),RIGHT("00"&amp;HOUR(Sync!$K1403),2)&amp;RIGHT("00"&amp;MINUTE(Sync!$K1403),2),IFERROR(RIGHT("00"&amp;VALUE(LEFT(Sync!$K1403,FIND(":",Sync!$K1403)-1)),2)&amp;RIGHT("00"&amp;VALUE(MID(Sync!$K1403,FIND(":",Sync!$K1403)+1,2)),2),"0000")))&amp;"|"&amp;"2"&amp;RIGHT("00000"&amp;1398,5))</f>
        <v/>
      </c>
      <c r="Q1403" t="str">
        <f>IF(Sync!$J1403="","",IF(ISNUMBER(Sync!$J1403),IF(AND(Sync!$J1403&gt;=10000101,Sync!$J1403&lt;=99991231),INT(Sync!$J1403/10000)&amp;"/"&amp;RIGHT("00"&amp;INT(MOD(Sync!$J1403,10000)/100),2)&amp;"/"&amp;RIGHT("00"&amp;MOD(Sync!$J1403,100),2),"نامعتبر"),IF(LEN(Sync!$J1403)=10,Sync!$J1403,"نامعتبر")))</f>
        <v/>
      </c>
      <c r="R1403" t="str">
        <f t="shared" si="128"/>
        <v/>
      </c>
      <c r="S1403" t="str">
        <f t="shared" si="129"/>
        <v/>
      </c>
      <c r="T1403" t="str">
        <f>IF($N1403="","",IF(Sync!$N1403="",0,Sync!$N1403))</f>
        <v/>
      </c>
      <c r="U1403" t="str">
        <f>IF($N1403="","",IF(Sync!$O1403="",0,Sync!$O1403))</f>
        <v/>
      </c>
      <c r="V1403" t="str">
        <f>IF($N1403="","",Sync!$L1403)</f>
        <v/>
      </c>
      <c r="W1403" t="str">
        <f>IF($N1403="","",Sync!$P1403)</f>
        <v/>
      </c>
    </row>
    <row r="1404" spans="14:23" x14ac:dyDescent="0.2">
      <c r="N1404" t="str">
        <f>IF(OR(Sync!$M1404="",$Q1404="",$Q1404="نامعتبر"),"",Sync!$M1404)</f>
        <v/>
      </c>
      <c r="O1404" t="str">
        <f t="shared" si="127"/>
        <v/>
      </c>
      <c r="P1404" t="str">
        <f>IF($N1404="","",LEFT($Q1404,4)&amp;MID($Q1404,6,2)&amp;RIGHT($Q1404,2)&amp;IF(Sync!$K1404="","0000",IF(AND(ISNUMBER(Sync!$K1404),Sync!$K1404&gt;=0,Sync!$K1404&lt;1),RIGHT("00"&amp;HOUR(Sync!$K1404),2)&amp;RIGHT("00"&amp;MINUTE(Sync!$K1404),2),IFERROR(RIGHT("00"&amp;VALUE(LEFT(Sync!$K1404,FIND(":",Sync!$K1404)-1)),2)&amp;RIGHT("00"&amp;VALUE(MID(Sync!$K1404,FIND(":",Sync!$K1404)+1,2)),2),"0000")))&amp;"|"&amp;"2"&amp;RIGHT("00000"&amp;1399,5))</f>
        <v/>
      </c>
      <c r="Q1404" t="str">
        <f>IF(Sync!$J1404="","",IF(ISNUMBER(Sync!$J1404),IF(AND(Sync!$J1404&gt;=10000101,Sync!$J1404&lt;=99991231),INT(Sync!$J1404/10000)&amp;"/"&amp;RIGHT("00"&amp;INT(MOD(Sync!$J1404,10000)/100),2)&amp;"/"&amp;RIGHT("00"&amp;MOD(Sync!$J1404,100),2),"نامعتبر"),IF(LEN(Sync!$J1404)=10,Sync!$J1404,"نامعتبر")))</f>
        <v/>
      </c>
      <c r="R1404" t="str">
        <f t="shared" si="128"/>
        <v/>
      </c>
      <c r="S1404" t="str">
        <f t="shared" si="129"/>
        <v/>
      </c>
      <c r="T1404" t="str">
        <f>IF($N1404="","",IF(Sync!$N1404="",0,Sync!$N1404))</f>
        <v/>
      </c>
      <c r="U1404" t="str">
        <f>IF($N1404="","",IF(Sync!$O1404="",0,Sync!$O1404))</f>
        <v/>
      </c>
      <c r="V1404" t="str">
        <f>IF($N1404="","",Sync!$L1404)</f>
        <v/>
      </c>
      <c r="W1404" t="str">
        <f>IF($N1404="","",Sync!$P1404)</f>
        <v/>
      </c>
    </row>
    <row r="1405" spans="14:23" x14ac:dyDescent="0.2">
      <c r="N1405" t="str">
        <f>IF(OR(Sync!$M1405="",$Q1405="",$Q1405="نامعتبر"),"",Sync!$M1405)</f>
        <v/>
      </c>
      <c r="O1405" t="str">
        <f t="shared" si="127"/>
        <v/>
      </c>
      <c r="P1405" t="str">
        <f>IF($N1405="","",LEFT($Q1405,4)&amp;MID($Q1405,6,2)&amp;RIGHT($Q1405,2)&amp;IF(Sync!$K1405="","0000",IF(AND(ISNUMBER(Sync!$K1405),Sync!$K1405&gt;=0,Sync!$K1405&lt;1),RIGHT("00"&amp;HOUR(Sync!$K1405),2)&amp;RIGHT("00"&amp;MINUTE(Sync!$K1405),2),IFERROR(RIGHT("00"&amp;VALUE(LEFT(Sync!$K1405,FIND(":",Sync!$K1405)-1)),2)&amp;RIGHT("00"&amp;VALUE(MID(Sync!$K1405,FIND(":",Sync!$K1405)+1,2)),2),"0000")))&amp;"|"&amp;"2"&amp;RIGHT("00000"&amp;1400,5))</f>
        <v/>
      </c>
      <c r="Q1405" t="str">
        <f>IF(Sync!$J1405="","",IF(ISNUMBER(Sync!$J1405),IF(AND(Sync!$J1405&gt;=10000101,Sync!$J1405&lt;=99991231),INT(Sync!$J1405/10000)&amp;"/"&amp;RIGHT("00"&amp;INT(MOD(Sync!$J1405,10000)/100),2)&amp;"/"&amp;RIGHT("00"&amp;MOD(Sync!$J1405,100),2),"نامعتبر"),IF(LEN(Sync!$J1405)=10,Sync!$J1405,"نامعتبر")))</f>
        <v/>
      </c>
      <c r="R1405" t="str">
        <f t="shared" si="128"/>
        <v/>
      </c>
      <c r="S1405" t="str">
        <f t="shared" si="129"/>
        <v/>
      </c>
      <c r="T1405" t="str">
        <f>IF($N1405="","",IF(Sync!$N1405="",0,Sync!$N1405))</f>
        <v/>
      </c>
      <c r="U1405" t="str">
        <f>IF($N1405="","",IF(Sync!$O1405="",0,Sync!$O1405))</f>
        <v/>
      </c>
      <c r="V1405" t="str">
        <f>IF($N1405="","",Sync!$L1405)</f>
        <v/>
      </c>
      <c r="W1405" t="str">
        <f>IF($N1405="","",Sync!$P1405)</f>
        <v/>
      </c>
    </row>
    <row r="1406" spans="14:23" x14ac:dyDescent="0.2">
      <c r="N1406" t="str">
        <f>IF(OR(Sync!$M1406="",$Q1406="",$Q1406="نامعتبر"),"",Sync!$M1406)</f>
        <v/>
      </c>
      <c r="O1406" t="str">
        <f t="shared" si="127"/>
        <v/>
      </c>
      <c r="P1406" t="str">
        <f>IF($N1406="","",LEFT($Q1406,4)&amp;MID($Q1406,6,2)&amp;RIGHT($Q1406,2)&amp;IF(Sync!$K1406="","0000",IF(AND(ISNUMBER(Sync!$K1406),Sync!$K1406&gt;=0,Sync!$K1406&lt;1),RIGHT("00"&amp;HOUR(Sync!$K1406),2)&amp;RIGHT("00"&amp;MINUTE(Sync!$K1406),2),IFERROR(RIGHT("00"&amp;VALUE(LEFT(Sync!$K1406,FIND(":",Sync!$K1406)-1)),2)&amp;RIGHT("00"&amp;VALUE(MID(Sync!$K1406,FIND(":",Sync!$K1406)+1,2)),2),"0000")))&amp;"|"&amp;"2"&amp;RIGHT("00000"&amp;1401,5))</f>
        <v/>
      </c>
      <c r="Q1406" t="str">
        <f>IF(Sync!$J1406="","",IF(ISNUMBER(Sync!$J1406),IF(AND(Sync!$J1406&gt;=10000101,Sync!$J1406&lt;=99991231),INT(Sync!$J1406/10000)&amp;"/"&amp;RIGHT("00"&amp;INT(MOD(Sync!$J1406,10000)/100),2)&amp;"/"&amp;RIGHT("00"&amp;MOD(Sync!$J1406,100),2),"نامعتبر"),IF(LEN(Sync!$J1406)=10,Sync!$J1406,"نامعتبر")))</f>
        <v/>
      </c>
      <c r="R1406" t="str">
        <f t="shared" si="128"/>
        <v/>
      </c>
      <c r="S1406" t="str">
        <f t="shared" si="129"/>
        <v/>
      </c>
      <c r="T1406" t="str">
        <f>IF($N1406="","",IF(Sync!$N1406="",0,Sync!$N1406))</f>
        <v/>
      </c>
      <c r="U1406" t="str">
        <f>IF($N1406="","",IF(Sync!$O1406="",0,Sync!$O1406))</f>
        <v/>
      </c>
      <c r="V1406" t="str">
        <f>IF($N1406="","",Sync!$L1406)</f>
        <v/>
      </c>
      <c r="W1406" t="str">
        <f>IF($N1406="","",Sync!$P1406)</f>
        <v/>
      </c>
    </row>
    <row r="1407" spans="14:23" x14ac:dyDescent="0.2">
      <c r="N1407" t="str">
        <f>IF(OR(Sync!$M1407="",$Q1407="",$Q1407="نامعتبر"),"",Sync!$M1407)</f>
        <v/>
      </c>
      <c r="O1407" t="str">
        <f t="shared" si="127"/>
        <v/>
      </c>
      <c r="P1407" t="str">
        <f>IF($N1407="","",LEFT($Q1407,4)&amp;MID($Q1407,6,2)&amp;RIGHT($Q1407,2)&amp;IF(Sync!$K1407="","0000",IF(AND(ISNUMBER(Sync!$K1407),Sync!$K1407&gt;=0,Sync!$K1407&lt;1),RIGHT("00"&amp;HOUR(Sync!$K1407),2)&amp;RIGHT("00"&amp;MINUTE(Sync!$K1407),2),IFERROR(RIGHT("00"&amp;VALUE(LEFT(Sync!$K1407,FIND(":",Sync!$K1407)-1)),2)&amp;RIGHT("00"&amp;VALUE(MID(Sync!$K1407,FIND(":",Sync!$K1407)+1,2)),2),"0000")))&amp;"|"&amp;"2"&amp;RIGHT("00000"&amp;1402,5))</f>
        <v/>
      </c>
      <c r="Q1407" t="str">
        <f>IF(Sync!$J1407="","",IF(ISNUMBER(Sync!$J1407),IF(AND(Sync!$J1407&gt;=10000101,Sync!$J1407&lt;=99991231),INT(Sync!$J1407/10000)&amp;"/"&amp;RIGHT("00"&amp;INT(MOD(Sync!$J1407,10000)/100),2)&amp;"/"&amp;RIGHT("00"&amp;MOD(Sync!$J1407,100),2),"نامعتبر"),IF(LEN(Sync!$J1407)=10,Sync!$J1407,"نامعتبر")))</f>
        <v/>
      </c>
      <c r="R1407" t="str">
        <f t="shared" si="128"/>
        <v/>
      </c>
      <c r="S1407" t="str">
        <f t="shared" si="129"/>
        <v/>
      </c>
      <c r="T1407" t="str">
        <f>IF($N1407="","",IF(Sync!$N1407="",0,Sync!$N1407))</f>
        <v/>
      </c>
      <c r="U1407" t="str">
        <f>IF($N1407="","",IF(Sync!$O1407="",0,Sync!$O1407))</f>
        <v/>
      </c>
      <c r="V1407" t="str">
        <f>IF($N1407="","",Sync!$L1407)</f>
        <v/>
      </c>
      <c r="W1407" t="str">
        <f>IF($N1407="","",Sync!$P1407)</f>
        <v/>
      </c>
    </row>
    <row r="1408" spans="14:23" x14ac:dyDescent="0.2">
      <c r="N1408" t="str">
        <f>IF(OR(Sync!$M1408="",$Q1408="",$Q1408="نامعتبر"),"",Sync!$M1408)</f>
        <v/>
      </c>
      <c r="O1408" t="str">
        <f t="shared" si="127"/>
        <v/>
      </c>
      <c r="P1408" t="str">
        <f>IF($N1408="","",LEFT($Q1408,4)&amp;MID($Q1408,6,2)&amp;RIGHT($Q1408,2)&amp;IF(Sync!$K1408="","0000",IF(AND(ISNUMBER(Sync!$K1408),Sync!$K1408&gt;=0,Sync!$K1408&lt;1),RIGHT("00"&amp;HOUR(Sync!$K1408),2)&amp;RIGHT("00"&amp;MINUTE(Sync!$K1408),2),IFERROR(RIGHT("00"&amp;VALUE(LEFT(Sync!$K1408,FIND(":",Sync!$K1408)-1)),2)&amp;RIGHT("00"&amp;VALUE(MID(Sync!$K1408,FIND(":",Sync!$K1408)+1,2)),2),"0000")))&amp;"|"&amp;"2"&amp;RIGHT("00000"&amp;1403,5))</f>
        <v/>
      </c>
      <c r="Q1408" t="str">
        <f>IF(Sync!$J1408="","",IF(ISNUMBER(Sync!$J1408),IF(AND(Sync!$J1408&gt;=10000101,Sync!$J1408&lt;=99991231),INT(Sync!$J1408/10000)&amp;"/"&amp;RIGHT("00"&amp;INT(MOD(Sync!$J1408,10000)/100),2)&amp;"/"&amp;RIGHT("00"&amp;MOD(Sync!$J1408,100),2),"نامعتبر"),IF(LEN(Sync!$J1408)=10,Sync!$J1408,"نامعتبر")))</f>
        <v/>
      </c>
      <c r="R1408" t="str">
        <f t="shared" si="128"/>
        <v/>
      </c>
      <c r="S1408" t="str">
        <f t="shared" si="129"/>
        <v/>
      </c>
      <c r="T1408" t="str">
        <f>IF($N1408="","",IF(Sync!$N1408="",0,Sync!$N1408))</f>
        <v/>
      </c>
      <c r="U1408" t="str">
        <f>IF($N1408="","",IF(Sync!$O1408="",0,Sync!$O1408))</f>
        <v/>
      </c>
      <c r="V1408" t="str">
        <f>IF($N1408="","",Sync!$L1408)</f>
        <v/>
      </c>
      <c r="W1408" t="str">
        <f>IF($N1408="","",Sync!$P1408)</f>
        <v/>
      </c>
    </row>
    <row r="1409" spans="14:23" x14ac:dyDescent="0.2">
      <c r="N1409" t="str">
        <f>IF(OR(Sync!$M1409="",$Q1409="",$Q1409="نامعتبر"),"",Sync!$M1409)</f>
        <v/>
      </c>
      <c r="O1409" t="str">
        <f t="shared" si="127"/>
        <v/>
      </c>
      <c r="P1409" t="str">
        <f>IF($N1409="","",LEFT($Q1409,4)&amp;MID($Q1409,6,2)&amp;RIGHT($Q1409,2)&amp;IF(Sync!$K1409="","0000",IF(AND(ISNUMBER(Sync!$K1409),Sync!$K1409&gt;=0,Sync!$K1409&lt;1),RIGHT("00"&amp;HOUR(Sync!$K1409),2)&amp;RIGHT("00"&amp;MINUTE(Sync!$K1409),2),IFERROR(RIGHT("00"&amp;VALUE(LEFT(Sync!$K1409,FIND(":",Sync!$K1409)-1)),2)&amp;RIGHT("00"&amp;VALUE(MID(Sync!$K1409,FIND(":",Sync!$K1409)+1,2)),2),"0000")))&amp;"|"&amp;"2"&amp;RIGHT("00000"&amp;1404,5))</f>
        <v/>
      </c>
      <c r="Q1409" t="str">
        <f>IF(Sync!$J1409="","",IF(ISNUMBER(Sync!$J1409),IF(AND(Sync!$J1409&gt;=10000101,Sync!$J1409&lt;=99991231),INT(Sync!$J1409/10000)&amp;"/"&amp;RIGHT("00"&amp;INT(MOD(Sync!$J1409,10000)/100),2)&amp;"/"&amp;RIGHT("00"&amp;MOD(Sync!$J1409,100),2),"نامعتبر"),IF(LEN(Sync!$J1409)=10,Sync!$J1409,"نامعتبر")))</f>
        <v/>
      </c>
      <c r="R1409" t="str">
        <f t="shared" si="128"/>
        <v/>
      </c>
      <c r="S1409" t="str">
        <f t="shared" si="129"/>
        <v/>
      </c>
      <c r="T1409" t="str">
        <f>IF($N1409="","",IF(Sync!$N1409="",0,Sync!$N1409))</f>
        <v/>
      </c>
      <c r="U1409" t="str">
        <f>IF($N1409="","",IF(Sync!$O1409="",0,Sync!$O1409))</f>
        <v/>
      </c>
      <c r="V1409" t="str">
        <f>IF($N1409="","",Sync!$L1409)</f>
        <v/>
      </c>
      <c r="W1409" t="str">
        <f>IF($N1409="","",Sync!$P1409)</f>
        <v/>
      </c>
    </row>
    <row r="1410" spans="14:23" x14ac:dyDescent="0.2">
      <c r="N1410" t="str">
        <f>IF(OR(Sync!$M1410="",$Q1410="",$Q1410="نامعتبر"),"",Sync!$M1410)</f>
        <v/>
      </c>
      <c r="O1410" t="str">
        <f t="shared" si="127"/>
        <v/>
      </c>
      <c r="P1410" t="str">
        <f>IF($N1410="","",LEFT($Q1410,4)&amp;MID($Q1410,6,2)&amp;RIGHT($Q1410,2)&amp;IF(Sync!$K1410="","0000",IF(AND(ISNUMBER(Sync!$K1410),Sync!$K1410&gt;=0,Sync!$K1410&lt;1),RIGHT("00"&amp;HOUR(Sync!$K1410),2)&amp;RIGHT("00"&amp;MINUTE(Sync!$K1410),2),IFERROR(RIGHT("00"&amp;VALUE(LEFT(Sync!$K1410,FIND(":",Sync!$K1410)-1)),2)&amp;RIGHT("00"&amp;VALUE(MID(Sync!$K1410,FIND(":",Sync!$K1410)+1,2)),2),"0000")))&amp;"|"&amp;"2"&amp;RIGHT("00000"&amp;1405,5))</f>
        <v/>
      </c>
      <c r="Q1410" t="str">
        <f>IF(Sync!$J1410="","",IF(ISNUMBER(Sync!$J1410),IF(AND(Sync!$J1410&gt;=10000101,Sync!$J1410&lt;=99991231),INT(Sync!$J1410/10000)&amp;"/"&amp;RIGHT("00"&amp;INT(MOD(Sync!$J1410,10000)/100),2)&amp;"/"&amp;RIGHT("00"&amp;MOD(Sync!$J1410,100),2),"نامعتبر"),IF(LEN(Sync!$J1410)=10,Sync!$J1410,"نامعتبر")))</f>
        <v/>
      </c>
      <c r="R1410" t="str">
        <f t="shared" si="128"/>
        <v/>
      </c>
      <c r="S1410" t="str">
        <f t="shared" si="129"/>
        <v/>
      </c>
      <c r="T1410" t="str">
        <f>IF($N1410="","",IF(Sync!$N1410="",0,Sync!$N1410))</f>
        <v/>
      </c>
      <c r="U1410" t="str">
        <f>IF($N1410="","",IF(Sync!$O1410="",0,Sync!$O1410))</f>
        <v/>
      </c>
      <c r="V1410" t="str">
        <f>IF($N1410="","",Sync!$L1410)</f>
        <v/>
      </c>
      <c r="W1410" t="str">
        <f>IF($N1410="","",Sync!$P1410)</f>
        <v/>
      </c>
    </row>
    <row r="1411" spans="14:23" x14ac:dyDescent="0.2">
      <c r="N1411" t="str">
        <f>IF(OR(Sync!$M1411="",$Q1411="",$Q1411="نامعتبر"),"",Sync!$M1411)</f>
        <v/>
      </c>
      <c r="O1411" t="str">
        <f t="shared" si="127"/>
        <v/>
      </c>
      <c r="P1411" t="str">
        <f>IF($N1411="","",LEFT($Q1411,4)&amp;MID($Q1411,6,2)&amp;RIGHT($Q1411,2)&amp;IF(Sync!$K1411="","0000",IF(AND(ISNUMBER(Sync!$K1411),Sync!$K1411&gt;=0,Sync!$K1411&lt;1),RIGHT("00"&amp;HOUR(Sync!$K1411),2)&amp;RIGHT("00"&amp;MINUTE(Sync!$K1411),2),IFERROR(RIGHT("00"&amp;VALUE(LEFT(Sync!$K1411,FIND(":",Sync!$K1411)-1)),2)&amp;RIGHT("00"&amp;VALUE(MID(Sync!$K1411,FIND(":",Sync!$K1411)+1,2)),2),"0000")))&amp;"|"&amp;"2"&amp;RIGHT("00000"&amp;1406,5))</f>
        <v/>
      </c>
      <c r="Q1411" t="str">
        <f>IF(Sync!$J1411="","",IF(ISNUMBER(Sync!$J1411),IF(AND(Sync!$J1411&gt;=10000101,Sync!$J1411&lt;=99991231),INT(Sync!$J1411/10000)&amp;"/"&amp;RIGHT("00"&amp;INT(MOD(Sync!$J1411,10000)/100),2)&amp;"/"&amp;RIGHT("00"&amp;MOD(Sync!$J1411,100),2),"نامعتبر"),IF(LEN(Sync!$J1411)=10,Sync!$J1411,"نامعتبر")))</f>
        <v/>
      </c>
      <c r="R1411" t="str">
        <f t="shared" si="128"/>
        <v/>
      </c>
      <c r="S1411" t="str">
        <f t="shared" si="129"/>
        <v/>
      </c>
      <c r="T1411" t="str">
        <f>IF($N1411="","",IF(Sync!$N1411="",0,Sync!$N1411))</f>
        <v/>
      </c>
      <c r="U1411" t="str">
        <f>IF($N1411="","",IF(Sync!$O1411="",0,Sync!$O1411))</f>
        <v/>
      </c>
      <c r="V1411" t="str">
        <f>IF($N1411="","",Sync!$L1411)</f>
        <v/>
      </c>
      <c r="W1411" t="str">
        <f>IF($N1411="","",Sync!$P1411)</f>
        <v/>
      </c>
    </row>
    <row r="1412" spans="14:23" x14ac:dyDescent="0.2">
      <c r="N1412" t="str">
        <f>IF(OR(Sync!$M1412="",$Q1412="",$Q1412="نامعتبر"),"",Sync!$M1412)</f>
        <v/>
      </c>
      <c r="O1412" t="str">
        <f t="shared" si="127"/>
        <v/>
      </c>
      <c r="P1412" t="str">
        <f>IF($N1412="","",LEFT($Q1412,4)&amp;MID($Q1412,6,2)&amp;RIGHT($Q1412,2)&amp;IF(Sync!$K1412="","0000",IF(AND(ISNUMBER(Sync!$K1412),Sync!$K1412&gt;=0,Sync!$K1412&lt;1),RIGHT("00"&amp;HOUR(Sync!$K1412),2)&amp;RIGHT("00"&amp;MINUTE(Sync!$K1412),2),IFERROR(RIGHT("00"&amp;VALUE(LEFT(Sync!$K1412,FIND(":",Sync!$K1412)-1)),2)&amp;RIGHT("00"&amp;VALUE(MID(Sync!$K1412,FIND(":",Sync!$K1412)+1,2)),2),"0000")))&amp;"|"&amp;"2"&amp;RIGHT("00000"&amp;1407,5))</f>
        <v/>
      </c>
      <c r="Q1412" t="str">
        <f>IF(Sync!$J1412="","",IF(ISNUMBER(Sync!$J1412),IF(AND(Sync!$J1412&gt;=10000101,Sync!$J1412&lt;=99991231),INT(Sync!$J1412/10000)&amp;"/"&amp;RIGHT("00"&amp;INT(MOD(Sync!$J1412,10000)/100),2)&amp;"/"&amp;RIGHT("00"&amp;MOD(Sync!$J1412,100),2),"نامعتبر"),IF(LEN(Sync!$J1412)=10,Sync!$J1412,"نامعتبر")))</f>
        <v/>
      </c>
      <c r="R1412" t="str">
        <f t="shared" si="128"/>
        <v/>
      </c>
      <c r="S1412" t="str">
        <f t="shared" si="129"/>
        <v/>
      </c>
      <c r="T1412" t="str">
        <f>IF($N1412="","",IF(Sync!$N1412="",0,Sync!$N1412))</f>
        <v/>
      </c>
      <c r="U1412" t="str">
        <f>IF($N1412="","",IF(Sync!$O1412="",0,Sync!$O1412))</f>
        <v/>
      </c>
      <c r="V1412" t="str">
        <f>IF($N1412="","",Sync!$L1412)</f>
        <v/>
      </c>
      <c r="W1412" t="str">
        <f>IF($N1412="","",Sync!$P1412)</f>
        <v/>
      </c>
    </row>
    <row r="1413" spans="14:23" x14ac:dyDescent="0.2">
      <c r="N1413" t="str">
        <f>IF(OR(Sync!$M1413="",$Q1413="",$Q1413="نامعتبر"),"",Sync!$M1413)</f>
        <v/>
      </c>
      <c r="O1413" t="str">
        <f t="shared" si="127"/>
        <v/>
      </c>
      <c r="P1413" t="str">
        <f>IF($N1413="","",LEFT($Q1413,4)&amp;MID($Q1413,6,2)&amp;RIGHT($Q1413,2)&amp;IF(Sync!$K1413="","0000",IF(AND(ISNUMBER(Sync!$K1413),Sync!$K1413&gt;=0,Sync!$K1413&lt;1),RIGHT("00"&amp;HOUR(Sync!$K1413),2)&amp;RIGHT("00"&amp;MINUTE(Sync!$K1413),2),IFERROR(RIGHT("00"&amp;VALUE(LEFT(Sync!$K1413,FIND(":",Sync!$K1413)-1)),2)&amp;RIGHT("00"&amp;VALUE(MID(Sync!$K1413,FIND(":",Sync!$K1413)+1,2)),2),"0000")))&amp;"|"&amp;"2"&amp;RIGHT("00000"&amp;1408,5))</f>
        <v/>
      </c>
      <c r="Q1413" t="str">
        <f>IF(Sync!$J1413="","",IF(ISNUMBER(Sync!$J1413),IF(AND(Sync!$J1413&gt;=10000101,Sync!$J1413&lt;=99991231),INT(Sync!$J1413/10000)&amp;"/"&amp;RIGHT("00"&amp;INT(MOD(Sync!$J1413,10000)/100),2)&amp;"/"&amp;RIGHT("00"&amp;MOD(Sync!$J1413,100),2),"نامعتبر"),IF(LEN(Sync!$J1413)=10,Sync!$J1413,"نامعتبر")))</f>
        <v/>
      </c>
      <c r="R1413" t="str">
        <f t="shared" si="128"/>
        <v/>
      </c>
      <c r="S1413" t="str">
        <f t="shared" si="129"/>
        <v/>
      </c>
      <c r="T1413" t="str">
        <f>IF($N1413="","",IF(Sync!$N1413="",0,Sync!$N1413))</f>
        <v/>
      </c>
      <c r="U1413" t="str">
        <f>IF($N1413="","",IF(Sync!$O1413="",0,Sync!$O1413))</f>
        <v/>
      </c>
      <c r="V1413" t="str">
        <f>IF($N1413="","",Sync!$L1413)</f>
        <v/>
      </c>
      <c r="W1413" t="str">
        <f>IF($N1413="","",Sync!$P1413)</f>
        <v/>
      </c>
    </row>
    <row r="1414" spans="14:23" x14ac:dyDescent="0.2">
      <c r="N1414" t="str">
        <f>IF(OR(Sync!$M1414="",$Q1414="",$Q1414="نامعتبر"),"",Sync!$M1414)</f>
        <v/>
      </c>
      <c r="O1414" t="str">
        <f t="shared" ref="O1414:O1477" si="130">IF($N1414="","",$Q1414)</f>
        <v/>
      </c>
      <c r="P1414" t="str">
        <f>IF($N1414="","",LEFT($Q1414,4)&amp;MID($Q1414,6,2)&amp;RIGHT($Q1414,2)&amp;IF(Sync!$K1414="","0000",IF(AND(ISNUMBER(Sync!$K1414),Sync!$K1414&gt;=0,Sync!$K1414&lt;1),RIGHT("00"&amp;HOUR(Sync!$K1414),2)&amp;RIGHT("00"&amp;MINUTE(Sync!$K1414),2),IFERROR(RIGHT("00"&amp;VALUE(LEFT(Sync!$K1414,FIND(":",Sync!$K1414)-1)),2)&amp;RIGHT("00"&amp;VALUE(MID(Sync!$K1414,FIND(":",Sync!$K1414)+1,2)),2),"0000")))&amp;"|"&amp;"2"&amp;RIGHT("00000"&amp;1409,5))</f>
        <v/>
      </c>
      <c r="Q1414" t="str">
        <f>IF(Sync!$J1414="","",IF(ISNUMBER(Sync!$J1414),IF(AND(Sync!$J1414&gt;=10000101,Sync!$J1414&lt;=99991231),INT(Sync!$J1414/10000)&amp;"/"&amp;RIGHT("00"&amp;INT(MOD(Sync!$J1414,10000)/100),2)&amp;"/"&amp;RIGHT("00"&amp;MOD(Sync!$J1414,100),2),"نامعتبر"),IF(LEN(Sync!$J1414)=10,Sync!$J1414,"نامعتبر")))</f>
        <v/>
      </c>
      <c r="R1414" t="str">
        <f t="shared" ref="R1414:R1477" si="131">IF($P1414="","",COUNTIFS($N$6:$N$2005,$N1414,$P$6:$P$2005,"&lt;"&amp;$P1414)+COUNTIFS($A$6:$A$1005,$N1414,$B$6:$B$1005,"&lt;"&amp;$P1414)+1)</f>
        <v/>
      </c>
      <c r="S1414" t="str">
        <f t="shared" ref="S1414:S1477" si="132">IF($N1414="","",$N1414&amp;"|"&amp;RIGHT("000000"&amp;$R1414,6))</f>
        <v/>
      </c>
      <c r="T1414" t="str">
        <f>IF($N1414="","",IF(Sync!$N1414="",0,Sync!$N1414))</f>
        <v/>
      </c>
      <c r="U1414" t="str">
        <f>IF($N1414="","",IF(Sync!$O1414="",0,Sync!$O1414))</f>
        <v/>
      </c>
      <c r="V1414" t="str">
        <f>IF($N1414="","",Sync!$L1414)</f>
        <v/>
      </c>
      <c r="W1414" t="str">
        <f>IF($N1414="","",Sync!$P1414)</f>
        <v/>
      </c>
    </row>
    <row r="1415" spans="14:23" x14ac:dyDescent="0.2">
      <c r="N1415" t="str">
        <f>IF(OR(Sync!$M1415="",$Q1415="",$Q1415="نامعتبر"),"",Sync!$M1415)</f>
        <v/>
      </c>
      <c r="O1415" t="str">
        <f t="shared" si="130"/>
        <v/>
      </c>
      <c r="P1415" t="str">
        <f>IF($N1415="","",LEFT($Q1415,4)&amp;MID($Q1415,6,2)&amp;RIGHT($Q1415,2)&amp;IF(Sync!$K1415="","0000",IF(AND(ISNUMBER(Sync!$K1415),Sync!$K1415&gt;=0,Sync!$K1415&lt;1),RIGHT("00"&amp;HOUR(Sync!$K1415),2)&amp;RIGHT("00"&amp;MINUTE(Sync!$K1415),2),IFERROR(RIGHT("00"&amp;VALUE(LEFT(Sync!$K1415,FIND(":",Sync!$K1415)-1)),2)&amp;RIGHT("00"&amp;VALUE(MID(Sync!$K1415,FIND(":",Sync!$K1415)+1,2)),2),"0000")))&amp;"|"&amp;"2"&amp;RIGHT("00000"&amp;1410,5))</f>
        <v/>
      </c>
      <c r="Q1415" t="str">
        <f>IF(Sync!$J1415="","",IF(ISNUMBER(Sync!$J1415),IF(AND(Sync!$J1415&gt;=10000101,Sync!$J1415&lt;=99991231),INT(Sync!$J1415/10000)&amp;"/"&amp;RIGHT("00"&amp;INT(MOD(Sync!$J1415,10000)/100),2)&amp;"/"&amp;RIGHT("00"&amp;MOD(Sync!$J1415,100),2),"نامعتبر"),IF(LEN(Sync!$J1415)=10,Sync!$J1415,"نامعتبر")))</f>
        <v/>
      </c>
      <c r="R1415" t="str">
        <f t="shared" si="131"/>
        <v/>
      </c>
      <c r="S1415" t="str">
        <f t="shared" si="132"/>
        <v/>
      </c>
      <c r="T1415" t="str">
        <f>IF($N1415="","",IF(Sync!$N1415="",0,Sync!$N1415))</f>
        <v/>
      </c>
      <c r="U1415" t="str">
        <f>IF($N1415="","",IF(Sync!$O1415="",0,Sync!$O1415))</f>
        <v/>
      </c>
      <c r="V1415" t="str">
        <f>IF($N1415="","",Sync!$L1415)</f>
        <v/>
      </c>
      <c r="W1415" t="str">
        <f>IF($N1415="","",Sync!$P1415)</f>
        <v/>
      </c>
    </row>
    <row r="1416" spans="14:23" x14ac:dyDescent="0.2">
      <c r="N1416" t="str">
        <f>IF(OR(Sync!$M1416="",$Q1416="",$Q1416="نامعتبر"),"",Sync!$M1416)</f>
        <v/>
      </c>
      <c r="O1416" t="str">
        <f t="shared" si="130"/>
        <v/>
      </c>
      <c r="P1416" t="str">
        <f>IF($N1416="","",LEFT($Q1416,4)&amp;MID($Q1416,6,2)&amp;RIGHT($Q1416,2)&amp;IF(Sync!$K1416="","0000",IF(AND(ISNUMBER(Sync!$K1416),Sync!$K1416&gt;=0,Sync!$K1416&lt;1),RIGHT("00"&amp;HOUR(Sync!$K1416),2)&amp;RIGHT("00"&amp;MINUTE(Sync!$K1416),2),IFERROR(RIGHT("00"&amp;VALUE(LEFT(Sync!$K1416,FIND(":",Sync!$K1416)-1)),2)&amp;RIGHT("00"&amp;VALUE(MID(Sync!$K1416,FIND(":",Sync!$K1416)+1,2)),2),"0000")))&amp;"|"&amp;"2"&amp;RIGHT("00000"&amp;1411,5))</f>
        <v/>
      </c>
      <c r="Q1416" t="str">
        <f>IF(Sync!$J1416="","",IF(ISNUMBER(Sync!$J1416),IF(AND(Sync!$J1416&gt;=10000101,Sync!$J1416&lt;=99991231),INT(Sync!$J1416/10000)&amp;"/"&amp;RIGHT("00"&amp;INT(MOD(Sync!$J1416,10000)/100),2)&amp;"/"&amp;RIGHT("00"&amp;MOD(Sync!$J1416,100),2),"نامعتبر"),IF(LEN(Sync!$J1416)=10,Sync!$J1416,"نامعتبر")))</f>
        <v/>
      </c>
      <c r="R1416" t="str">
        <f t="shared" si="131"/>
        <v/>
      </c>
      <c r="S1416" t="str">
        <f t="shared" si="132"/>
        <v/>
      </c>
      <c r="T1416" t="str">
        <f>IF($N1416="","",IF(Sync!$N1416="",0,Sync!$N1416))</f>
        <v/>
      </c>
      <c r="U1416" t="str">
        <f>IF($N1416="","",IF(Sync!$O1416="",0,Sync!$O1416))</f>
        <v/>
      </c>
      <c r="V1416" t="str">
        <f>IF($N1416="","",Sync!$L1416)</f>
        <v/>
      </c>
      <c r="W1416" t="str">
        <f>IF($N1416="","",Sync!$P1416)</f>
        <v/>
      </c>
    </row>
    <row r="1417" spans="14:23" x14ac:dyDescent="0.2">
      <c r="N1417" t="str">
        <f>IF(OR(Sync!$M1417="",$Q1417="",$Q1417="نامعتبر"),"",Sync!$M1417)</f>
        <v/>
      </c>
      <c r="O1417" t="str">
        <f t="shared" si="130"/>
        <v/>
      </c>
      <c r="P1417" t="str">
        <f>IF($N1417="","",LEFT($Q1417,4)&amp;MID($Q1417,6,2)&amp;RIGHT($Q1417,2)&amp;IF(Sync!$K1417="","0000",IF(AND(ISNUMBER(Sync!$K1417),Sync!$K1417&gt;=0,Sync!$K1417&lt;1),RIGHT("00"&amp;HOUR(Sync!$K1417),2)&amp;RIGHT("00"&amp;MINUTE(Sync!$K1417),2),IFERROR(RIGHT("00"&amp;VALUE(LEFT(Sync!$K1417,FIND(":",Sync!$K1417)-1)),2)&amp;RIGHT("00"&amp;VALUE(MID(Sync!$K1417,FIND(":",Sync!$K1417)+1,2)),2),"0000")))&amp;"|"&amp;"2"&amp;RIGHT("00000"&amp;1412,5))</f>
        <v/>
      </c>
      <c r="Q1417" t="str">
        <f>IF(Sync!$J1417="","",IF(ISNUMBER(Sync!$J1417),IF(AND(Sync!$J1417&gt;=10000101,Sync!$J1417&lt;=99991231),INT(Sync!$J1417/10000)&amp;"/"&amp;RIGHT("00"&amp;INT(MOD(Sync!$J1417,10000)/100),2)&amp;"/"&amp;RIGHT("00"&amp;MOD(Sync!$J1417,100),2),"نامعتبر"),IF(LEN(Sync!$J1417)=10,Sync!$J1417,"نامعتبر")))</f>
        <v/>
      </c>
      <c r="R1417" t="str">
        <f t="shared" si="131"/>
        <v/>
      </c>
      <c r="S1417" t="str">
        <f t="shared" si="132"/>
        <v/>
      </c>
      <c r="T1417" t="str">
        <f>IF($N1417="","",IF(Sync!$N1417="",0,Sync!$N1417))</f>
        <v/>
      </c>
      <c r="U1417" t="str">
        <f>IF($N1417="","",IF(Sync!$O1417="",0,Sync!$O1417))</f>
        <v/>
      </c>
      <c r="V1417" t="str">
        <f>IF($N1417="","",Sync!$L1417)</f>
        <v/>
      </c>
      <c r="W1417" t="str">
        <f>IF($N1417="","",Sync!$P1417)</f>
        <v/>
      </c>
    </row>
    <row r="1418" spans="14:23" x14ac:dyDescent="0.2">
      <c r="N1418" t="str">
        <f>IF(OR(Sync!$M1418="",$Q1418="",$Q1418="نامعتبر"),"",Sync!$M1418)</f>
        <v/>
      </c>
      <c r="O1418" t="str">
        <f t="shared" si="130"/>
        <v/>
      </c>
      <c r="P1418" t="str">
        <f>IF($N1418="","",LEFT($Q1418,4)&amp;MID($Q1418,6,2)&amp;RIGHT($Q1418,2)&amp;IF(Sync!$K1418="","0000",IF(AND(ISNUMBER(Sync!$K1418),Sync!$K1418&gt;=0,Sync!$K1418&lt;1),RIGHT("00"&amp;HOUR(Sync!$K1418),2)&amp;RIGHT("00"&amp;MINUTE(Sync!$K1418),2),IFERROR(RIGHT("00"&amp;VALUE(LEFT(Sync!$K1418,FIND(":",Sync!$K1418)-1)),2)&amp;RIGHT("00"&amp;VALUE(MID(Sync!$K1418,FIND(":",Sync!$K1418)+1,2)),2),"0000")))&amp;"|"&amp;"2"&amp;RIGHT("00000"&amp;1413,5))</f>
        <v/>
      </c>
      <c r="Q1418" t="str">
        <f>IF(Sync!$J1418="","",IF(ISNUMBER(Sync!$J1418),IF(AND(Sync!$J1418&gt;=10000101,Sync!$J1418&lt;=99991231),INT(Sync!$J1418/10000)&amp;"/"&amp;RIGHT("00"&amp;INT(MOD(Sync!$J1418,10000)/100),2)&amp;"/"&amp;RIGHT("00"&amp;MOD(Sync!$J1418,100),2),"نامعتبر"),IF(LEN(Sync!$J1418)=10,Sync!$J1418,"نامعتبر")))</f>
        <v/>
      </c>
      <c r="R1418" t="str">
        <f t="shared" si="131"/>
        <v/>
      </c>
      <c r="S1418" t="str">
        <f t="shared" si="132"/>
        <v/>
      </c>
      <c r="T1418" t="str">
        <f>IF($N1418="","",IF(Sync!$N1418="",0,Sync!$N1418))</f>
        <v/>
      </c>
      <c r="U1418" t="str">
        <f>IF($N1418="","",IF(Sync!$O1418="",0,Sync!$O1418))</f>
        <v/>
      </c>
      <c r="V1418" t="str">
        <f>IF($N1418="","",Sync!$L1418)</f>
        <v/>
      </c>
      <c r="W1418" t="str">
        <f>IF($N1418="","",Sync!$P1418)</f>
        <v/>
      </c>
    </row>
    <row r="1419" spans="14:23" x14ac:dyDescent="0.2">
      <c r="N1419" t="str">
        <f>IF(OR(Sync!$M1419="",$Q1419="",$Q1419="نامعتبر"),"",Sync!$M1419)</f>
        <v/>
      </c>
      <c r="O1419" t="str">
        <f t="shared" si="130"/>
        <v/>
      </c>
      <c r="P1419" t="str">
        <f>IF($N1419="","",LEFT($Q1419,4)&amp;MID($Q1419,6,2)&amp;RIGHT($Q1419,2)&amp;IF(Sync!$K1419="","0000",IF(AND(ISNUMBER(Sync!$K1419),Sync!$K1419&gt;=0,Sync!$K1419&lt;1),RIGHT("00"&amp;HOUR(Sync!$K1419),2)&amp;RIGHT("00"&amp;MINUTE(Sync!$K1419),2),IFERROR(RIGHT("00"&amp;VALUE(LEFT(Sync!$K1419,FIND(":",Sync!$K1419)-1)),2)&amp;RIGHT("00"&amp;VALUE(MID(Sync!$K1419,FIND(":",Sync!$K1419)+1,2)),2),"0000")))&amp;"|"&amp;"2"&amp;RIGHT("00000"&amp;1414,5))</f>
        <v/>
      </c>
      <c r="Q1419" t="str">
        <f>IF(Sync!$J1419="","",IF(ISNUMBER(Sync!$J1419),IF(AND(Sync!$J1419&gt;=10000101,Sync!$J1419&lt;=99991231),INT(Sync!$J1419/10000)&amp;"/"&amp;RIGHT("00"&amp;INT(MOD(Sync!$J1419,10000)/100),2)&amp;"/"&amp;RIGHT("00"&amp;MOD(Sync!$J1419,100),2),"نامعتبر"),IF(LEN(Sync!$J1419)=10,Sync!$J1419,"نامعتبر")))</f>
        <v/>
      </c>
      <c r="R1419" t="str">
        <f t="shared" si="131"/>
        <v/>
      </c>
      <c r="S1419" t="str">
        <f t="shared" si="132"/>
        <v/>
      </c>
      <c r="T1419" t="str">
        <f>IF($N1419="","",IF(Sync!$N1419="",0,Sync!$N1419))</f>
        <v/>
      </c>
      <c r="U1419" t="str">
        <f>IF($N1419="","",IF(Sync!$O1419="",0,Sync!$O1419))</f>
        <v/>
      </c>
      <c r="V1419" t="str">
        <f>IF($N1419="","",Sync!$L1419)</f>
        <v/>
      </c>
      <c r="W1419" t="str">
        <f>IF($N1419="","",Sync!$P1419)</f>
        <v/>
      </c>
    </row>
    <row r="1420" spans="14:23" x14ac:dyDescent="0.2">
      <c r="N1420" t="str">
        <f>IF(OR(Sync!$M1420="",$Q1420="",$Q1420="نامعتبر"),"",Sync!$M1420)</f>
        <v/>
      </c>
      <c r="O1420" t="str">
        <f t="shared" si="130"/>
        <v/>
      </c>
      <c r="P1420" t="str">
        <f>IF($N1420="","",LEFT($Q1420,4)&amp;MID($Q1420,6,2)&amp;RIGHT($Q1420,2)&amp;IF(Sync!$K1420="","0000",IF(AND(ISNUMBER(Sync!$K1420),Sync!$K1420&gt;=0,Sync!$K1420&lt;1),RIGHT("00"&amp;HOUR(Sync!$K1420),2)&amp;RIGHT("00"&amp;MINUTE(Sync!$K1420),2),IFERROR(RIGHT("00"&amp;VALUE(LEFT(Sync!$K1420,FIND(":",Sync!$K1420)-1)),2)&amp;RIGHT("00"&amp;VALUE(MID(Sync!$K1420,FIND(":",Sync!$K1420)+1,2)),2),"0000")))&amp;"|"&amp;"2"&amp;RIGHT("00000"&amp;1415,5))</f>
        <v/>
      </c>
      <c r="Q1420" t="str">
        <f>IF(Sync!$J1420="","",IF(ISNUMBER(Sync!$J1420),IF(AND(Sync!$J1420&gt;=10000101,Sync!$J1420&lt;=99991231),INT(Sync!$J1420/10000)&amp;"/"&amp;RIGHT("00"&amp;INT(MOD(Sync!$J1420,10000)/100),2)&amp;"/"&amp;RIGHT("00"&amp;MOD(Sync!$J1420,100),2),"نامعتبر"),IF(LEN(Sync!$J1420)=10,Sync!$J1420,"نامعتبر")))</f>
        <v/>
      </c>
      <c r="R1420" t="str">
        <f t="shared" si="131"/>
        <v/>
      </c>
      <c r="S1420" t="str">
        <f t="shared" si="132"/>
        <v/>
      </c>
      <c r="T1420" t="str">
        <f>IF($N1420="","",IF(Sync!$N1420="",0,Sync!$N1420))</f>
        <v/>
      </c>
      <c r="U1420" t="str">
        <f>IF($N1420="","",IF(Sync!$O1420="",0,Sync!$O1420))</f>
        <v/>
      </c>
      <c r="V1420" t="str">
        <f>IF($N1420="","",Sync!$L1420)</f>
        <v/>
      </c>
      <c r="W1420" t="str">
        <f>IF($N1420="","",Sync!$P1420)</f>
        <v/>
      </c>
    </row>
    <row r="1421" spans="14:23" x14ac:dyDescent="0.2">
      <c r="N1421" t="str">
        <f>IF(OR(Sync!$M1421="",$Q1421="",$Q1421="نامعتبر"),"",Sync!$M1421)</f>
        <v/>
      </c>
      <c r="O1421" t="str">
        <f t="shared" si="130"/>
        <v/>
      </c>
      <c r="P1421" t="str">
        <f>IF($N1421="","",LEFT($Q1421,4)&amp;MID($Q1421,6,2)&amp;RIGHT($Q1421,2)&amp;IF(Sync!$K1421="","0000",IF(AND(ISNUMBER(Sync!$K1421),Sync!$K1421&gt;=0,Sync!$K1421&lt;1),RIGHT("00"&amp;HOUR(Sync!$K1421),2)&amp;RIGHT("00"&amp;MINUTE(Sync!$K1421),2),IFERROR(RIGHT("00"&amp;VALUE(LEFT(Sync!$K1421,FIND(":",Sync!$K1421)-1)),2)&amp;RIGHT("00"&amp;VALUE(MID(Sync!$K1421,FIND(":",Sync!$K1421)+1,2)),2),"0000")))&amp;"|"&amp;"2"&amp;RIGHT("00000"&amp;1416,5))</f>
        <v/>
      </c>
      <c r="Q1421" t="str">
        <f>IF(Sync!$J1421="","",IF(ISNUMBER(Sync!$J1421),IF(AND(Sync!$J1421&gt;=10000101,Sync!$J1421&lt;=99991231),INT(Sync!$J1421/10000)&amp;"/"&amp;RIGHT("00"&amp;INT(MOD(Sync!$J1421,10000)/100),2)&amp;"/"&amp;RIGHT("00"&amp;MOD(Sync!$J1421,100),2),"نامعتبر"),IF(LEN(Sync!$J1421)=10,Sync!$J1421,"نامعتبر")))</f>
        <v/>
      </c>
      <c r="R1421" t="str">
        <f t="shared" si="131"/>
        <v/>
      </c>
      <c r="S1421" t="str">
        <f t="shared" si="132"/>
        <v/>
      </c>
      <c r="T1421" t="str">
        <f>IF($N1421="","",IF(Sync!$N1421="",0,Sync!$N1421))</f>
        <v/>
      </c>
      <c r="U1421" t="str">
        <f>IF($N1421="","",IF(Sync!$O1421="",0,Sync!$O1421))</f>
        <v/>
      </c>
      <c r="V1421" t="str">
        <f>IF($N1421="","",Sync!$L1421)</f>
        <v/>
      </c>
      <c r="W1421" t="str">
        <f>IF($N1421="","",Sync!$P1421)</f>
        <v/>
      </c>
    </row>
    <row r="1422" spans="14:23" x14ac:dyDescent="0.2">
      <c r="N1422" t="str">
        <f>IF(OR(Sync!$M1422="",$Q1422="",$Q1422="نامعتبر"),"",Sync!$M1422)</f>
        <v/>
      </c>
      <c r="O1422" t="str">
        <f t="shared" si="130"/>
        <v/>
      </c>
      <c r="P1422" t="str">
        <f>IF($N1422="","",LEFT($Q1422,4)&amp;MID($Q1422,6,2)&amp;RIGHT($Q1422,2)&amp;IF(Sync!$K1422="","0000",IF(AND(ISNUMBER(Sync!$K1422),Sync!$K1422&gt;=0,Sync!$K1422&lt;1),RIGHT("00"&amp;HOUR(Sync!$K1422),2)&amp;RIGHT("00"&amp;MINUTE(Sync!$K1422),2),IFERROR(RIGHT("00"&amp;VALUE(LEFT(Sync!$K1422,FIND(":",Sync!$K1422)-1)),2)&amp;RIGHT("00"&amp;VALUE(MID(Sync!$K1422,FIND(":",Sync!$K1422)+1,2)),2),"0000")))&amp;"|"&amp;"2"&amp;RIGHT("00000"&amp;1417,5))</f>
        <v/>
      </c>
      <c r="Q1422" t="str">
        <f>IF(Sync!$J1422="","",IF(ISNUMBER(Sync!$J1422),IF(AND(Sync!$J1422&gt;=10000101,Sync!$J1422&lt;=99991231),INT(Sync!$J1422/10000)&amp;"/"&amp;RIGHT("00"&amp;INT(MOD(Sync!$J1422,10000)/100),2)&amp;"/"&amp;RIGHT("00"&amp;MOD(Sync!$J1422,100),2),"نامعتبر"),IF(LEN(Sync!$J1422)=10,Sync!$J1422,"نامعتبر")))</f>
        <v/>
      </c>
      <c r="R1422" t="str">
        <f t="shared" si="131"/>
        <v/>
      </c>
      <c r="S1422" t="str">
        <f t="shared" si="132"/>
        <v/>
      </c>
      <c r="T1422" t="str">
        <f>IF($N1422="","",IF(Sync!$N1422="",0,Sync!$N1422))</f>
        <v/>
      </c>
      <c r="U1422" t="str">
        <f>IF($N1422="","",IF(Sync!$O1422="",0,Sync!$O1422))</f>
        <v/>
      </c>
      <c r="V1422" t="str">
        <f>IF($N1422="","",Sync!$L1422)</f>
        <v/>
      </c>
      <c r="W1422" t="str">
        <f>IF($N1422="","",Sync!$P1422)</f>
        <v/>
      </c>
    </row>
    <row r="1423" spans="14:23" x14ac:dyDescent="0.2">
      <c r="N1423" t="str">
        <f>IF(OR(Sync!$M1423="",$Q1423="",$Q1423="نامعتبر"),"",Sync!$M1423)</f>
        <v/>
      </c>
      <c r="O1423" t="str">
        <f t="shared" si="130"/>
        <v/>
      </c>
      <c r="P1423" t="str">
        <f>IF($N1423="","",LEFT($Q1423,4)&amp;MID($Q1423,6,2)&amp;RIGHT($Q1423,2)&amp;IF(Sync!$K1423="","0000",IF(AND(ISNUMBER(Sync!$K1423),Sync!$K1423&gt;=0,Sync!$K1423&lt;1),RIGHT("00"&amp;HOUR(Sync!$K1423),2)&amp;RIGHT("00"&amp;MINUTE(Sync!$K1423),2),IFERROR(RIGHT("00"&amp;VALUE(LEFT(Sync!$K1423,FIND(":",Sync!$K1423)-1)),2)&amp;RIGHT("00"&amp;VALUE(MID(Sync!$K1423,FIND(":",Sync!$K1423)+1,2)),2),"0000")))&amp;"|"&amp;"2"&amp;RIGHT("00000"&amp;1418,5))</f>
        <v/>
      </c>
      <c r="Q1423" t="str">
        <f>IF(Sync!$J1423="","",IF(ISNUMBER(Sync!$J1423),IF(AND(Sync!$J1423&gt;=10000101,Sync!$J1423&lt;=99991231),INT(Sync!$J1423/10000)&amp;"/"&amp;RIGHT("00"&amp;INT(MOD(Sync!$J1423,10000)/100),2)&amp;"/"&amp;RIGHT("00"&amp;MOD(Sync!$J1423,100),2),"نامعتبر"),IF(LEN(Sync!$J1423)=10,Sync!$J1423,"نامعتبر")))</f>
        <v/>
      </c>
      <c r="R1423" t="str">
        <f t="shared" si="131"/>
        <v/>
      </c>
      <c r="S1423" t="str">
        <f t="shared" si="132"/>
        <v/>
      </c>
      <c r="T1423" t="str">
        <f>IF($N1423="","",IF(Sync!$N1423="",0,Sync!$N1423))</f>
        <v/>
      </c>
      <c r="U1423" t="str">
        <f>IF($N1423="","",IF(Sync!$O1423="",0,Sync!$O1423))</f>
        <v/>
      </c>
      <c r="V1423" t="str">
        <f>IF($N1423="","",Sync!$L1423)</f>
        <v/>
      </c>
      <c r="W1423" t="str">
        <f>IF($N1423="","",Sync!$P1423)</f>
        <v/>
      </c>
    </row>
    <row r="1424" spans="14:23" x14ac:dyDescent="0.2">
      <c r="N1424" t="str">
        <f>IF(OR(Sync!$M1424="",$Q1424="",$Q1424="نامعتبر"),"",Sync!$M1424)</f>
        <v/>
      </c>
      <c r="O1424" t="str">
        <f t="shared" si="130"/>
        <v/>
      </c>
      <c r="P1424" t="str">
        <f>IF($N1424="","",LEFT($Q1424,4)&amp;MID($Q1424,6,2)&amp;RIGHT($Q1424,2)&amp;IF(Sync!$K1424="","0000",IF(AND(ISNUMBER(Sync!$K1424),Sync!$K1424&gt;=0,Sync!$K1424&lt;1),RIGHT("00"&amp;HOUR(Sync!$K1424),2)&amp;RIGHT("00"&amp;MINUTE(Sync!$K1424),2),IFERROR(RIGHT("00"&amp;VALUE(LEFT(Sync!$K1424,FIND(":",Sync!$K1424)-1)),2)&amp;RIGHT("00"&amp;VALUE(MID(Sync!$K1424,FIND(":",Sync!$K1424)+1,2)),2),"0000")))&amp;"|"&amp;"2"&amp;RIGHT("00000"&amp;1419,5))</f>
        <v/>
      </c>
      <c r="Q1424" t="str">
        <f>IF(Sync!$J1424="","",IF(ISNUMBER(Sync!$J1424),IF(AND(Sync!$J1424&gt;=10000101,Sync!$J1424&lt;=99991231),INT(Sync!$J1424/10000)&amp;"/"&amp;RIGHT("00"&amp;INT(MOD(Sync!$J1424,10000)/100),2)&amp;"/"&amp;RIGHT("00"&amp;MOD(Sync!$J1424,100),2),"نامعتبر"),IF(LEN(Sync!$J1424)=10,Sync!$J1424,"نامعتبر")))</f>
        <v/>
      </c>
      <c r="R1424" t="str">
        <f t="shared" si="131"/>
        <v/>
      </c>
      <c r="S1424" t="str">
        <f t="shared" si="132"/>
        <v/>
      </c>
      <c r="T1424" t="str">
        <f>IF($N1424="","",IF(Sync!$N1424="",0,Sync!$N1424))</f>
        <v/>
      </c>
      <c r="U1424" t="str">
        <f>IF($N1424="","",IF(Sync!$O1424="",0,Sync!$O1424))</f>
        <v/>
      </c>
      <c r="V1424" t="str">
        <f>IF($N1424="","",Sync!$L1424)</f>
        <v/>
      </c>
      <c r="W1424" t="str">
        <f>IF($N1424="","",Sync!$P1424)</f>
        <v/>
      </c>
    </row>
    <row r="1425" spans="14:23" x14ac:dyDescent="0.2">
      <c r="N1425" t="str">
        <f>IF(OR(Sync!$M1425="",$Q1425="",$Q1425="نامعتبر"),"",Sync!$M1425)</f>
        <v/>
      </c>
      <c r="O1425" t="str">
        <f t="shared" si="130"/>
        <v/>
      </c>
      <c r="P1425" t="str">
        <f>IF($N1425="","",LEFT($Q1425,4)&amp;MID($Q1425,6,2)&amp;RIGHT($Q1425,2)&amp;IF(Sync!$K1425="","0000",IF(AND(ISNUMBER(Sync!$K1425),Sync!$K1425&gt;=0,Sync!$K1425&lt;1),RIGHT("00"&amp;HOUR(Sync!$K1425),2)&amp;RIGHT("00"&amp;MINUTE(Sync!$K1425),2),IFERROR(RIGHT("00"&amp;VALUE(LEFT(Sync!$K1425,FIND(":",Sync!$K1425)-1)),2)&amp;RIGHT("00"&amp;VALUE(MID(Sync!$K1425,FIND(":",Sync!$K1425)+1,2)),2),"0000")))&amp;"|"&amp;"2"&amp;RIGHT("00000"&amp;1420,5))</f>
        <v/>
      </c>
      <c r="Q1425" t="str">
        <f>IF(Sync!$J1425="","",IF(ISNUMBER(Sync!$J1425),IF(AND(Sync!$J1425&gt;=10000101,Sync!$J1425&lt;=99991231),INT(Sync!$J1425/10000)&amp;"/"&amp;RIGHT("00"&amp;INT(MOD(Sync!$J1425,10000)/100),2)&amp;"/"&amp;RIGHT("00"&amp;MOD(Sync!$J1425,100),2),"نامعتبر"),IF(LEN(Sync!$J1425)=10,Sync!$J1425,"نامعتبر")))</f>
        <v/>
      </c>
      <c r="R1425" t="str">
        <f t="shared" si="131"/>
        <v/>
      </c>
      <c r="S1425" t="str">
        <f t="shared" si="132"/>
        <v/>
      </c>
      <c r="T1425" t="str">
        <f>IF($N1425="","",IF(Sync!$N1425="",0,Sync!$N1425))</f>
        <v/>
      </c>
      <c r="U1425" t="str">
        <f>IF($N1425="","",IF(Sync!$O1425="",0,Sync!$O1425))</f>
        <v/>
      </c>
      <c r="V1425" t="str">
        <f>IF($N1425="","",Sync!$L1425)</f>
        <v/>
      </c>
      <c r="W1425" t="str">
        <f>IF($N1425="","",Sync!$P1425)</f>
        <v/>
      </c>
    </row>
    <row r="1426" spans="14:23" x14ac:dyDescent="0.2">
      <c r="N1426" t="str">
        <f>IF(OR(Sync!$M1426="",$Q1426="",$Q1426="نامعتبر"),"",Sync!$M1426)</f>
        <v/>
      </c>
      <c r="O1426" t="str">
        <f t="shared" si="130"/>
        <v/>
      </c>
      <c r="P1426" t="str">
        <f>IF($N1426="","",LEFT($Q1426,4)&amp;MID($Q1426,6,2)&amp;RIGHT($Q1426,2)&amp;IF(Sync!$K1426="","0000",IF(AND(ISNUMBER(Sync!$K1426),Sync!$K1426&gt;=0,Sync!$K1426&lt;1),RIGHT("00"&amp;HOUR(Sync!$K1426),2)&amp;RIGHT("00"&amp;MINUTE(Sync!$K1426),2),IFERROR(RIGHT("00"&amp;VALUE(LEFT(Sync!$K1426,FIND(":",Sync!$K1426)-1)),2)&amp;RIGHT("00"&amp;VALUE(MID(Sync!$K1426,FIND(":",Sync!$K1426)+1,2)),2),"0000")))&amp;"|"&amp;"2"&amp;RIGHT("00000"&amp;1421,5))</f>
        <v/>
      </c>
      <c r="Q1426" t="str">
        <f>IF(Sync!$J1426="","",IF(ISNUMBER(Sync!$J1426),IF(AND(Sync!$J1426&gt;=10000101,Sync!$J1426&lt;=99991231),INT(Sync!$J1426/10000)&amp;"/"&amp;RIGHT("00"&amp;INT(MOD(Sync!$J1426,10000)/100),2)&amp;"/"&amp;RIGHT("00"&amp;MOD(Sync!$J1426,100),2),"نامعتبر"),IF(LEN(Sync!$J1426)=10,Sync!$J1426,"نامعتبر")))</f>
        <v/>
      </c>
      <c r="R1426" t="str">
        <f t="shared" si="131"/>
        <v/>
      </c>
      <c r="S1426" t="str">
        <f t="shared" si="132"/>
        <v/>
      </c>
      <c r="T1426" t="str">
        <f>IF($N1426="","",IF(Sync!$N1426="",0,Sync!$N1426))</f>
        <v/>
      </c>
      <c r="U1426" t="str">
        <f>IF($N1426="","",IF(Sync!$O1426="",0,Sync!$O1426))</f>
        <v/>
      </c>
      <c r="V1426" t="str">
        <f>IF($N1426="","",Sync!$L1426)</f>
        <v/>
      </c>
      <c r="W1426" t="str">
        <f>IF($N1426="","",Sync!$P1426)</f>
        <v/>
      </c>
    </row>
    <row r="1427" spans="14:23" x14ac:dyDescent="0.2">
      <c r="N1427" t="str">
        <f>IF(OR(Sync!$M1427="",$Q1427="",$Q1427="نامعتبر"),"",Sync!$M1427)</f>
        <v/>
      </c>
      <c r="O1427" t="str">
        <f t="shared" si="130"/>
        <v/>
      </c>
      <c r="P1427" t="str">
        <f>IF($N1427="","",LEFT($Q1427,4)&amp;MID($Q1427,6,2)&amp;RIGHT($Q1427,2)&amp;IF(Sync!$K1427="","0000",IF(AND(ISNUMBER(Sync!$K1427),Sync!$K1427&gt;=0,Sync!$K1427&lt;1),RIGHT("00"&amp;HOUR(Sync!$K1427),2)&amp;RIGHT("00"&amp;MINUTE(Sync!$K1427),2),IFERROR(RIGHT("00"&amp;VALUE(LEFT(Sync!$K1427,FIND(":",Sync!$K1427)-1)),2)&amp;RIGHT("00"&amp;VALUE(MID(Sync!$K1427,FIND(":",Sync!$K1427)+1,2)),2),"0000")))&amp;"|"&amp;"2"&amp;RIGHT("00000"&amp;1422,5))</f>
        <v/>
      </c>
      <c r="Q1427" t="str">
        <f>IF(Sync!$J1427="","",IF(ISNUMBER(Sync!$J1427),IF(AND(Sync!$J1427&gt;=10000101,Sync!$J1427&lt;=99991231),INT(Sync!$J1427/10000)&amp;"/"&amp;RIGHT("00"&amp;INT(MOD(Sync!$J1427,10000)/100),2)&amp;"/"&amp;RIGHT("00"&amp;MOD(Sync!$J1427,100),2),"نامعتبر"),IF(LEN(Sync!$J1427)=10,Sync!$J1427,"نامعتبر")))</f>
        <v/>
      </c>
      <c r="R1427" t="str">
        <f t="shared" si="131"/>
        <v/>
      </c>
      <c r="S1427" t="str">
        <f t="shared" si="132"/>
        <v/>
      </c>
      <c r="T1427" t="str">
        <f>IF($N1427="","",IF(Sync!$N1427="",0,Sync!$N1427))</f>
        <v/>
      </c>
      <c r="U1427" t="str">
        <f>IF($N1427="","",IF(Sync!$O1427="",0,Sync!$O1427))</f>
        <v/>
      </c>
      <c r="V1427" t="str">
        <f>IF($N1427="","",Sync!$L1427)</f>
        <v/>
      </c>
      <c r="W1427" t="str">
        <f>IF($N1427="","",Sync!$P1427)</f>
        <v/>
      </c>
    </row>
    <row r="1428" spans="14:23" x14ac:dyDescent="0.2">
      <c r="N1428" t="str">
        <f>IF(OR(Sync!$M1428="",$Q1428="",$Q1428="نامعتبر"),"",Sync!$M1428)</f>
        <v/>
      </c>
      <c r="O1428" t="str">
        <f t="shared" si="130"/>
        <v/>
      </c>
      <c r="P1428" t="str">
        <f>IF($N1428="","",LEFT($Q1428,4)&amp;MID($Q1428,6,2)&amp;RIGHT($Q1428,2)&amp;IF(Sync!$K1428="","0000",IF(AND(ISNUMBER(Sync!$K1428),Sync!$K1428&gt;=0,Sync!$K1428&lt;1),RIGHT("00"&amp;HOUR(Sync!$K1428),2)&amp;RIGHT("00"&amp;MINUTE(Sync!$K1428),2),IFERROR(RIGHT("00"&amp;VALUE(LEFT(Sync!$K1428,FIND(":",Sync!$K1428)-1)),2)&amp;RIGHT("00"&amp;VALUE(MID(Sync!$K1428,FIND(":",Sync!$K1428)+1,2)),2),"0000")))&amp;"|"&amp;"2"&amp;RIGHT("00000"&amp;1423,5))</f>
        <v/>
      </c>
      <c r="Q1428" t="str">
        <f>IF(Sync!$J1428="","",IF(ISNUMBER(Sync!$J1428),IF(AND(Sync!$J1428&gt;=10000101,Sync!$J1428&lt;=99991231),INT(Sync!$J1428/10000)&amp;"/"&amp;RIGHT("00"&amp;INT(MOD(Sync!$J1428,10000)/100),2)&amp;"/"&amp;RIGHT("00"&amp;MOD(Sync!$J1428,100),2),"نامعتبر"),IF(LEN(Sync!$J1428)=10,Sync!$J1428,"نامعتبر")))</f>
        <v/>
      </c>
      <c r="R1428" t="str">
        <f t="shared" si="131"/>
        <v/>
      </c>
      <c r="S1428" t="str">
        <f t="shared" si="132"/>
        <v/>
      </c>
      <c r="T1428" t="str">
        <f>IF($N1428="","",IF(Sync!$N1428="",0,Sync!$N1428))</f>
        <v/>
      </c>
      <c r="U1428" t="str">
        <f>IF($N1428="","",IF(Sync!$O1428="",0,Sync!$O1428))</f>
        <v/>
      </c>
      <c r="V1428" t="str">
        <f>IF($N1428="","",Sync!$L1428)</f>
        <v/>
      </c>
      <c r="W1428" t="str">
        <f>IF($N1428="","",Sync!$P1428)</f>
        <v/>
      </c>
    </row>
    <row r="1429" spans="14:23" x14ac:dyDescent="0.2">
      <c r="N1429" t="str">
        <f>IF(OR(Sync!$M1429="",$Q1429="",$Q1429="نامعتبر"),"",Sync!$M1429)</f>
        <v/>
      </c>
      <c r="O1429" t="str">
        <f t="shared" si="130"/>
        <v/>
      </c>
      <c r="P1429" t="str">
        <f>IF($N1429="","",LEFT($Q1429,4)&amp;MID($Q1429,6,2)&amp;RIGHT($Q1429,2)&amp;IF(Sync!$K1429="","0000",IF(AND(ISNUMBER(Sync!$K1429),Sync!$K1429&gt;=0,Sync!$K1429&lt;1),RIGHT("00"&amp;HOUR(Sync!$K1429),2)&amp;RIGHT("00"&amp;MINUTE(Sync!$K1429),2),IFERROR(RIGHT("00"&amp;VALUE(LEFT(Sync!$K1429,FIND(":",Sync!$K1429)-1)),2)&amp;RIGHT("00"&amp;VALUE(MID(Sync!$K1429,FIND(":",Sync!$K1429)+1,2)),2),"0000")))&amp;"|"&amp;"2"&amp;RIGHT("00000"&amp;1424,5))</f>
        <v/>
      </c>
      <c r="Q1429" t="str">
        <f>IF(Sync!$J1429="","",IF(ISNUMBER(Sync!$J1429),IF(AND(Sync!$J1429&gt;=10000101,Sync!$J1429&lt;=99991231),INT(Sync!$J1429/10000)&amp;"/"&amp;RIGHT("00"&amp;INT(MOD(Sync!$J1429,10000)/100),2)&amp;"/"&amp;RIGHT("00"&amp;MOD(Sync!$J1429,100),2),"نامعتبر"),IF(LEN(Sync!$J1429)=10,Sync!$J1429,"نامعتبر")))</f>
        <v/>
      </c>
      <c r="R1429" t="str">
        <f t="shared" si="131"/>
        <v/>
      </c>
      <c r="S1429" t="str">
        <f t="shared" si="132"/>
        <v/>
      </c>
      <c r="T1429" t="str">
        <f>IF($N1429="","",IF(Sync!$N1429="",0,Sync!$N1429))</f>
        <v/>
      </c>
      <c r="U1429" t="str">
        <f>IF($N1429="","",IF(Sync!$O1429="",0,Sync!$O1429))</f>
        <v/>
      </c>
      <c r="V1429" t="str">
        <f>IF($N1429="","",Sync!$L1429)</f>
        <v/>
      </c>
      <c r="W1429" t="str">
        <f>IF($N1429="","",Sync!$P1429)</f>
        <v/>
      </c>
    </row>
    <row r="1430" spans="14:23" x14ac:dyDescent="0.2">
      <c r="N1430" t="str">
        <f>IF(OR(Sync!$M1430="",$Q1430="",$Q1430="نامعتبر"),"",Sync!$M1430)</f>
        <v/>
      </c>
      <c r="O1430" t="str">
        <f t="shared" si="130"/>
        <v/>
      </c>
      <c r="P1430" t="str">
        <f>IF($N1430="","",LEFT($Q1430,4)&amp;MID($Q1430,6,2)&amp;RIGHT($Q1430,2)&amp;IF(Sync!$K1430="","0000",IF(AND(ISNUMBER(Sync!$K1430),Sync!$K1430&gt;=0,Sync!$K1430&lt;1),RIGHT("00"&amp;HOUR(Sync!$K1430),2)&amp;RIGHT("00"&amp;MINUTE(Sync!$K1430),2),IFERROR(RIGHT("00"&amp;VALUE(LEFT(Sync!$K1430,FIND(":",Sync!$K1430)-1)),2)&amp;RIGHT("00"&amp;VALUE(MID(Sync!$K1430,FIND(":",Sync!$K1430)+1,2)),2),"0000")))&amp;"|"&amp;"2"&amp;RIGHT("00000"&amp;1425,5))</f>
        <v/>
      </c>
      <c r="Q1430" t="str">
        <f>IF(Sync!$J1430="","",IF(ISNUMBER(Sync!$J1430),IF(AND(Sync!$J1430&gt;=10000101,Sync!$J1430&lt;=99991231),INT(Sync!$J1430/10000)&amp;"/"&amp;RIGHT("00"&amp;INT(MOD(Sync!$J1430,10000)/100),2)&amp;"/"&amp;RIGHT("00"&amp;MOD(Sync!$J1430,100),2),"نامعتبر"),IF(LEN(Sync!$J1430)=10,Sync!$J1430,"نامعتبر")))</f>
        <v/>
      </c>
      <c r="R1430" t="str">
        <f t="shared" si="131"/>
        <v/>
      </c>
      <c r="S1430" t="str">
        <f t="shared" si="132"/>
        <v/>
      </c>
      <c r="T1430" t="str">
        <f>IF($N1430="","",IF(Sync!$N1430="",0,Sync!$N1430))</f>
        <v/>
      </c>
      <c r="U1430" t="str">
        <f>IF($N1430="","",IF(Sync!$O1430="",0,Sync!$O1430))</f>
        <v/>
      </c>
      <c r="V1430" t="str">
        <f>IF($N1430="","",Sync!$L1430)</f>
        <v/>
      </c>
      <c r="W1430" t="str">
        <f>IF($N1430="","",Sync!$P1430)</f>
        <v/>
      </c>
    </row>
    <row r="1431" spans="14:23" x14ac:dyDescent="0.2">
      <c r="N1431" t="str">
        <f>IF(OR(Sync!$M1431="",$Q1431="",$Q1431="نامعتبر"),"",Sync!$M1431)</f>
        <v/>
      </c>
      <c r="O1431" t="str">
        <f t="shared" si="130"/>
        <v/>
      </c>
      <c r="P1431" t="str">
        <f>IF($N1431="","",LEFT($Q1431,4)&amp;MID($Q1431,6,2)&amp;RIGHT($Q1431,2)&amp;IF(Sync!$K1431="","0000",IF(AND(ISNUMBER(Sync!$K1431),Sync!$K1431&gt;=0,Sync!$K1431&lt;1),RIGHT("00"&amp;HOUR(Sync!$K1431),2)&amp;RIGHT("00"&amp;MINUTE(Sync!$K1431),2),IFERROR(RIGHT("00"&amp;VALUE(LEFT(Sync!$K1431,FIND(":",Sync!$K1431)-1)),2)&amp;RIGHT("00"&amp;VALUE(MID(Sync!$K1431,FIND(":",Sync!$K1431)+1,2)),2),"0000")))&amp;"|"&amp;"2"&amp;RIGHT("00000"&amp;1426,5))</f>
        <v/>
      </c>
      <c r="Q1431" t="str">
        <f>IF(Sync!$J1431="","",IF(ISNUMBER(Sync!$J1431),IF(AND(Sync!$J1431&gt;=10000101,Sync!$J1431&lt;=99991231),INT(Sync!$J1431/10000)&amp;"/"&amp;RIGHT("00"&amp;INT(MOD(Sync!$J1431,10000)/100),2)&amp;"/"&amp;RIGHT("00"&amp;MOD(Sync!$J1431,100),2),"نامعتبر"),IF(LEN(Sync!$J1431)=10,Sync!$J1431,"نامعتبر")))</f>
        <v/>
      </c>
      <c r="R1431" t="str">
        <f t="shared" si="131"/>
        <v/>
      </c>
      <c r="S1431" t="str">
        <f t="shared" si="132"/>
        <v/>
      </c>
      <c r="T1431" t="str">
        <f>IF($N1431="","",IF(Sync!$N1431="",0,Sync!$N1431))</f>
        <v/>
      </c>
      <c r="U1431" t="str">
        <f>IF($N1431="","",IF(Sync!$O1431="",0,Sync!$O1431))</f>
        <v/>
      </c>
      <c r="V1431" t="str">
        <f>IF($N1431="","",Sync!$L1431)</f>
        <v/>
      </c>
      <c r="W1431" t="str">
        <f>IF($N1431="","",Sync!$P1431)</f>
        <v/>
      </c>
    </row>
    <row r="1432" spans="14:23" x14ac:dyDescent="0.2">
      <c r="N1432" t="str">
        <f>IF(OR(Sync!$M1432="",$Q1432="",$Q1432="نامعتبر"),"",Sync!$M1432)</f>
        <v/>
      </c>
      <c r="O1432" t="str">
        <f t="shared" si="130"/>
        <v/>
      </c>
      <c r="P1432" t="str">
        <f>IF($N1432="","",LEFT($Q1432,4)&amp;MID($Q1432,6,2)&amp;RIGHT($Q1432,2)&amp;IF(Sync!$K1432="","0000",IF(AND(ISNUMBER(Sync!$K1432),Sync!$K1432&gt;=0,Sync!$K1432&lt;1),RIGHT("00"&amp;HOUR(Sync!$K1432),2)&amp;RIGHT("00"&amp;MINUTE(Sync!$K1432),2),IFERROR(RIGHT("00"&amp;VALUE(LEFT(Sync!$K1432,FIND(":",Sync!$K1432)-1)),2)&amp;RIGHT("00"&amp;VALUE(MID(Sync!$K1432,FIND(":",Sync!$K1432)+1,2)),2),"0000")))&amp;"|"&amp;"2"&amp;RIGHT("00000"&amp;1427,5))</f>
        <v/>
      </c>
      <c r="Q1432" t="str">
        <f>IF(Sync!$J1432="","",IF(ISNUMBER(Sync!$J1432),IF(AND(Sync!$J1432&gt;=10000101,Sync!$J1432&lt;=99991231),INT(Sync!$J1432/10000)&amp;"/"&amp;RIGHT("00"&amp;INT(MOD(Sync!$J1432,10000)/100),2)&amp;"/"&amp;RIGHT("00"&amp;MOD(Sync!$J1432,100),2),"نامعتبر"),IF(LEN(Sync!$J1432)=10,Sync!$J1432,"نامعتبر")))</f>
        <v/>
      </c>
      <c r="R1432" t="str">
        <f t="shared" si="131"/>
        <v/>
      </c>
      <c r="S1432" t="str">
        <f t="shared" si="132"/>
        <v/>
      </c>
      <c r="T1432" t="str">
        <f>IF($N1432="","",IF(Sync!$N1432="",0,Sync!$N1432))</f>
        <v/>
      </c>
      <c r="U1432" t="str">
        <f>IF($N1432="","",IF(Sync!$O1432="",0,Sync!$O1432))</f>
        <v/>
      </c>
      <c r="V1432" t="str">
        <f>IF($N1432="","",Sync!$L1432)</f>
        <v/>
      </c>
      <c r="W1432" t="str">
        <f>IF($N1432="","",Sync!$P1432)</f>
        <v/>
      </c>
    </row>
    <row r="1433" spans="14:23" x14ac:dyDescent="0.2">
      <c r="N1433" t="str">
        <f>IF(OR(Sync!$M1433="",$Q1433="",$Q1433="نامعتبر"),"",Sync!$M1433)</f>
        <v/>
      </c>
      <c r="O1433" t="str">
        <f t="shared" si="130"/>
        <v/>
      </c>
      <c r="P1433" t="str">
        <f>IF($N1433="","",LEFT($Q1433,4)&amp;MID($Q1433,6,2)&amp;RIGHT($Q1433,2)&amp;IF(Sync!$K1433="","0000",IF(AND(ISNUMBER(Sync!$K1433),Sync!$K1433&gt;=0,Sync!$K1433&lt;1),RIGHT("00"&amp;HOUR(Sync!$K1433),2)&amp;RIGHT("00"&amp;MINUTE(Sync!$K1433),2),IFERROR(RIGHT("00"&amp;VALUE(LEFT(Sync!$K1433,FIND(":",Sync!$K1433)-1)),2)&amp;RIGHT("00"&amp;VALUE(MID(Sync!$K1433,FIND(":",Sync!$K1433)+1,2)),2),"0000")))&amp;"|"&amp;"2"&amp;RIGHT("00000"&amp;1428,5))</f>
        <v/>
      </c>
      <c r="Q1433" t="str">
        <f>IF(Sync!$J1433="","",IF(ISNUMBER(Sync!$J1433),IF(AND(Sync!$J1433&gt;=10000101,Sync!$J1433&lt;=99991231),INT(Sync!$J1433/10000)&amp;"/"&amp;RIGHT("00"&amp;INT(MOD(Sync!$J1433,10000)/100),2)&amp;"/"&amp;RIGHT("00"&amp;MOD(Sync!$J1433,100),2),"نامعتبر"),IF(LEN(Sync!$J1433)=10,Sync!$J1433,"نامعتبر")))</f>
        <v/>
      </c>
      <c r="R1433" t="str">
        <f t="shared" si="131"/>
        <v/>
      </c>
      <c r="S1433" t="str">
        <f t="shared" si="132"/>
        <v/>
      </c>
      <c r="T1433" t="str">
        <f>IF($N1433="","",IF(Sync!$N1433="",0,Sync!$N1433))</f>
        <v/>
      </c>
      <c r="U1433" t="str">
        <f>IF($N1433="","",IF(Sync!$O1433="",0,Sync!$O1433))</f>
        <v/>
      </c>
      <c r="V1433" t="str">
        <f>IF($N1433="","",Sync!$L1433)</f>
        <v/>
      </c>
      <c r="W1433" t="str">
        <f>IF($N1433="","",Sync!$P1433)</f>
        <v/>
      </c>
    </row>
    <row r="1434" spans="14:23" x14ac:dyDescent="0.2">
      <c r="N1434" t="str">
        <f>IF(OR(Sync!$M1434="",$Q1434="",$Q1434="نامعتبر"),"",Sync!$M1434)</f>
        <v/>
      </c>
      <c r="O1434" t="str">
        <f t="shared" si="130"/>
        <v/>
      </c>
      <c r="P1434" t="str">
        <f>IF($N1434="","",LEFT($Q1434,4)&amp;MID($Q1434,6,2)&amp;RIGHT($Q1434,2)&amp;IF(Sync!$K1434="","0000",IF(AND(ISNUMBER(Sync!$K1434),Sync!$K1434&gt;=0,Sync!$K1434&lt;1),RIGHT("00"&amp;HOUR(Sync!$K1434),2)&amp;RIGHT("00"&amp;MINUTE(Sync!$K1434),2),IFERROR(RIGHT("00"&amp;VALUE(LEFT(Sync!$K1434,FIND(":",Sync!$K1434)-1)),2)&amp;RIGHT("00"&amp;VALUE(MID(Sync!$K1434,FIND(":",Sync!$K1434)+1,2)),2),"0000")))&amp;"|"&amp;"2"&amp;RIGHT("00000"&amp;1429,5))</f>
        <v/>
      </c>
      <c r="Q1434" t="str">
        <f>IF(Sync!$J1434="","",IF(ISNUMBER(Sync!$J1434),IF(AND(Sync!$J1434&gt;=10000101,Sync!$J1434&lt;=99991231),INT(Sync!$J1434/10000)&amp;"/"&amp;RIGHT("00"&amp;INT(MOD(Sync!$J1434,10000)/100),2)&amp;"/"&amp;RIGHT("00"&amp;MOD(Sync!$J1434,100),2),"نامعتبر"),IF(LEN(Sync!$J1434)=10,Sync!$J1434,"نامعتبر")))</f>
        <v/>
      </c>
      <c r="R1434" t="str">
        <f t="shared" si="131"/>
        <v/>
      </c>
      <c r="S1434" t="str">
        <f t="shared" si="132"/>
        <v/>
      </c>
      <c r="T1434" t="str">
        <f>IF($N1434="","",IF(Sync!$N1434="",0,Sync!$N1434))</f>
        <v/>
      </c>
      <c r="U1434" t="str">
        <f>IF($N1434="","",IF(Sync!$O1434="",0,Sync!$O1434))</f>
        <v/>
      </c>
      <c r="V1434" t="str">
        <f>IF($N1434="","",Sync!$L1434)</f>
        <v/>
      </c>
      <c r="W1434" t="str">
        <f>IF($N1434="","",Sync!$P1434)</f>
        <v/>
      </c>
    </row>
    <row r="1435" spans="14:23" x14ac:dyDescent="0.2">
      <c r="N1435" t="str">
        <f>IF(OR(Sync!$M1435="",$Q1435="",$Q1435="نامعتبر"),"",Sync!$M1435)</f>
        <v/>
      </c>
      <c r="O1435" t="str">
        <f t="shared" si="130"/>
        <v/>
      </c>
      <c r="P1435" t="str">
        <f>IF($N1435="","",LEFT($Q1435,4)&amp;MID($Q1435,6,2)&amp;RIGHT($Q1435,2)&amp;IF(Sync!$K1435="","0000",IF(AND(ISNUMBER(Sync!$K1435),Sync!$K1435&gt;=0,Sync!$K1435&lt;1),RIGHT("00"&amp;HOUR(Sync!$K1435),2)&amp;RIGHT("00"&amp;MINUTE(Sync!$K1435),2),IFERROR(RIGHT("00"&amp;VALUE(LEFT(Sync!$K1435,FIND(":",Sync!$K1435)-1)),2)&amp;RIGHT("00"&amp;VALUE(MID(Sync!$K1435,FIND(":",Sync!$K1435)+1,2)),2),"0000")))&amp;"|"&amp;"2"&amp;RIGHT("00000"&amp;1430,5))</f>
        <v/>
      </c>
      <c r="Q1435" t="str">
        <f>IF(Sync!$J1435="","",IF(ISNUMBER(Sync!$J1435),IF(AND(Sync!$J1435&gt;=10000101,Sync!$J1435&lt;=99991231),INT(Sync!$J1435/10000)&amp;"/"&amp;RIGHT("00"&amp;INT(MOD(Sync!$J1435,10000)/100),2)&amp;"/"&amp;RIGHT("00"&amp;MOD(Sync!$J1435,100),2),"نامعتبر"),IF(LEN(Sync!$J1435)=10,Sync!$J1435,"نامعتبر")))</f>
        <v/>
      </c>
      <c r="R1435" t="str">
        <f t="shared" si="131"/>
        <v/>
      </c>
      <c r="S1435" t="str">
        <f t="shared" si="132"/>
        <v/>
      </c>
      <c r="T1435" t="str">
        <f>IF($N1435="","",IF(Sync!$N1435="",0,Sync!$N1435))</f>
        <v/>
      </c>
      <c r="U1435" t="str">
        <f>IF($N1435="","",IF(Sync!$O1435="",0,Sync!$O1435))</f>
        <v/>
      </c>
      <c r="V1435" t="str">
        <f>IF($N1435="","",Sync!$L1435)</f>
        <v/>
      </c>
      <c r="W1435" t="str">
        <f>IF($N1435="","",Sync!$P1435)</f>
        <v/>
      </c>
    </row>
    <row r="1436" spans="14:23" x14ac:dyDescent="0.2">
      <c r="N1436" t="str">
        <f>IF(OR(Sync!$M1436="",$Q1436="",$Q1436="نامعتبر"),"",Sync!$M1436)</f>
        <v/>
      </c>
      <c r="O1436" t="str">
        <f t="shared" si="130"/>
        <v/>
      </c>
      <c r="P1436" t="str">
        <f>IF($N1436="","",LEFT($Q1436,4)&amp;MID($Q1436,6,2)&amp;RIGHT($Q1436,2)&amp;IF(Sync!$K1436="","0000",IF(AND(ISNUMBER(Sync!$K1436),Sync!$K1436&gt;=0,Sync!$K1436&lt;1),RIGHT("00"&amp;HOUR(Sync!$K1436),2)&amp;RIGHT("00"&amp;MINUTE(Sync!$K1436),2),IFERROR(RIGHT("00"&amp;VALUE(LEFT(Sync!$K1436,FIND(":",Sync!$K1436)-1)),2)&amp;RIGHT("00"&amp;VALUE(MID(Sync!$K1436,FIND(":",Sync!$K1436)+1,2)),2),"0000")))&amp;"|"&amp;"2"&amp;RIGHT("00000"&amp;1431,5))</f>
        <v/>
      </c>
      <c r="Q1436" t="str">
        <f>IF(Sync!$J1436="","",IF(ISNUMBER(Sync!$J1436),IF(AND(Sync!$J1436&gt;=10000101,Sync!$J1436&lt;=99991231),INT(Sync!$J1436/10000)&amp;"/"&amp;RIGHT("00"&amp;INT(MOD(Sync!$J1436,10000)/100),2)&amp;"/"&amp;RIGHT("00"&amp;MOD(Sync!$J1436,100),2),"نامعتبر"),IF(LEN(Sync!$J1436)=10,Sync!$J1436,"نامعتبر")))</f>
        <v/>
      </c>
      <c r="R1436" t="str">
        <f t="shared" si="131"/>
        <v/>
      </c>
      <c r="S1436" t="str">
        <f t="shared" si="132"/>
        <v/>
      </c>
      <c r="T1436" t="str">
        <f>IF($N1436="","",IF(Sync!$N1436="",0,Sync!$N1436))</f>
        <v/>
      </c>
      <c r="U1436" t="str">
        <f>IF($N1436="","",IF(Sync!$O1436="",0,Sync!$O1436))</f>
        <v/>
      </c>
      <c r="V1436" t="str">
        <f>IF($N1436="","",Sync!$L1436)</f>
        <v/>
      </c>
      <c r="W1436" t="str">
        <f>IF($N1436="","",Sync!$P1436)</f>
        <v/>
      </c>
    </row>
    <row r="1437" spans="14:23" x14ac:dyDescent="0.2">
      <c r="N1437" t="str">
        <f>IF(OR(Sync!$M1437="",$Q1437="",$Q1437="نامعتبر"),"",Sync!$M1437)</f>
        <v/>
      </c>
      <c r="O1437" t="str">
        <f t="shared" si="130"/>
        <v/>
      </c>
      <c r="P1437" t="str">
        <f>IF($N1437="","",LEFT($Q1437,4)&amp;MID($Q1437,6,2)&amp;RIGHT($Q1437,2)&amp;IF(Sync!$K1437="","0000",IF(AND(ISNUMBER(Sync!$K1437),Sync!$K1437&gt;=0,Sync!$K1437&lt;1),RIGHT("00"&amp;HOUR(Sync!$K1437),2)&amp;RIGHT("00"&amp;MINUTE(Sync!$K1437),2),IFERROR(RIGHT("00"&amp;VALUE(LEFT(Sync!$K1437,FIND(":",Sync!$K1437)-1)),2)&amp;RIGHT("00"&amp;VALUE(MID(Sync!$K1437,FIND(":",Sync!$K1437)+1,2)),2),"0000")))&amp;"|"&amp;"2"&amp;RIGHT("00000"&amp;1432,5))</f>
        <v/>
      </c>
      <c r="Q1437" t="str">
        <f>IF(Sync!$J1437="","",IF(ISNUMBER(Sync!$J1437),IF(AND(Sync!$J1437&gt;=10000101,Sync!$J1437&lt;=99991231),INT(Sync!$J1437/10000)&amp;"/"&amp;RIGHT("00"&amp;INT(MOD(Sync!$J1437,10000)/100),2)&amp;"/"&amp;RIGHT("00"&amp;MOD(Sync!$J1437,100),2),"نامعتبر"),IF(LEN(Sync!$J1437)=10,Sync!$J1437,"نامعتبر")))</f>
        <v/>
      </c>
      <c r="R1437" t="str">
        <f t="shared" si="131"/>
        <v/>
      </c>
      <c r="S1437" t="str">
        <f t="shared" si="132"/>
        <v/>
      </c>
      <c r="T1437" t="str">
        <f>IF($N1437="","",IF(Sync!$N1437="",0,Sync!$N1437))</f>
        <v/>
      </c>
      <c r="U1437" t="str">
        <f>IF($N1437="","",IF(Sync!$O1437="",0,Sync!$O1437))</f>
        <v/>
      </c>
      <c r="V1437" t="str">
        <f>IF($N1437="","",Sync!$L1437)</f>
        <v/>
      </c>
      <c r="W1437" t="str">
        <f>IF($N1437="","",Sync!$P1437)</f>
        <v/>
      </c>
    </row>
    <row r="1438" spans="14:23" x14ac:dyDescent="0.2">
      <c r="N1438" t="str">
        <f>IF(OR(Sync!$M1438="",$Q1438="",$Q1438="نامعتبر"),"",Sync!$M1438)</f>
        <v/>
      </c>
      <c r="O1438" t="str">
        <f t="shared" si="130"/>
        <v/>
      </c>
      <c r="P1438" t="str">
        <f>IF($N1438="","",LEFT($Q1438,4)&amp;MID($Q1438,6,2)&amp;RIGHT($Q1438,2)&amp;IF(Sync!$K1438="","0000",IF(AND(ISNUMBER(Sync!$K1438),Sync!$K1438&gt;=0,Sync!$K1438&lt;1),RIGHT("00"&amp;HOUR(Sync!$K1438),2)&amp;RIGHT("00"&amp;MINUTE(Sync!$K1438),2),IFERROR(RIGHT("00"&amp;VALUE(LEFT(Sync!$K1438,FIND(":",Sync!$K1438)-1)),2)&amp;RIGHT("00"&amp;VALUE(MID(Sync!$K1438,FIND(":",Sync!$K1438)+1,2)),2),"0000")))&amp;"|"&amp;"2"&amp;RIGHT("00000"&amp;1433,5))</f>
        <v/>
      </c>
      <c r="Q1438" t="str">
        <f>IF(Sync!$J1438="","",IF(ISNUMBER(Sync!$J1438),IF(AND(Sync!$J1438&gt;=10000101,Sync!$J1438&lt;=99991231),INT(Sync!$J1438/10000)&amp;"/"&amp;RIGHT("00"&amp;INT(MOD(Sync!$J1438,10000)/100),2)&amp;"/"&amp;RIGHT("00"&amp;MOD(Sync!$J1438,100),2),"نامعتبر"),IF(LEN(Sync!$J1438)=10,Sync!$J1438,"نامعتبر")))</f>
        <v/>
      </c>
      <c r="R1438" t="str">
        <f t="shared" si="131"/>
        <v/>
      </c>
      <c r="S1438" t="str">
        <f t="shared" si="132"/>
        <v/>
      </c>
      <c r="T1438" t="str">
        <f>IF($N1438="","",IF(Sync!$N1438="",0,Sync!$N1438))</f>
        <v/>
      </c>
      <c r="U1438" t="str">
        <f>IF($N1438="","",IF(Sync!$O1438="",0,Sync!$O1438))</f>
        <v/>
      </c>
      <c r="V1438" t="str">
        <f>IF($N1438="","",Sync!$L1438)</f>
        <v/>
      </c>
      <c r="W1438" t="str">
        <f>IF($N1438="","",Sync!$P1438)</f>
        <v/>
      </c>
    </row>
    <row r="1439" spans="14:23" x14ac:dyDescent="0.2">
      <c r="N1439" t="str">
        <f>IF(OR(Sync!$M1439="",$Q1439="",$Q1439="نامعتبر"),"",Sync!$M1439)</f>
        <v/>
      </c>
      <c r="O1439" t="str">
        <f t="shared" si="130"/>
        <v/>
      </c>
      <c r="P1439" t="str">
        <f>IF($N1439="","",LEFT($Q1439,4)&amp;MID($Q1439,6,2)&amp;RIGHT($Q1439,2)&amp;IF(Sync!$K1439="","0000",IF(AND(ISNUMBER(Sync!$K1439),Sync!$K1439&gt;=0,Sync!$K1439&lt;1),RIGHT("00"&amp;HOUR(Sync!$K1439),2)&amp;RIGHT("00"&amp;MINUTE(Sync!$K1439),2),IFERROR(RIGHT("00"&amp;VALUE(LEFT(Sync!$K1439,FIND(":",Sync!$K1439)-1)),2)&amp;RIGHT("00"&amp;VALUE(MID(Sync!$K1439,FIND(":",Sync!$K1439)+1,2)),2),"0000")))&amp;"|"&amp;"2"&amp;RIGHT("00000"&amp;1434,5))</f>
        <v/>
      </c>
      <c r="Q1439" t="str">
        <f>IF(Sync!$J1439="","",IF(ISNUMBER(Sync!$J1439),IF(AND(Sync!$J1439&gt;=10000101,Sync!$J1439&lt;=99991231),INT(Sync!$J1439/10000)&amp;"/"&amp;RIGHT("00"&amp;INT(MOD(Sync!$J1439,10000)/100),2)&amp;"/"&amp;RIGHT("00"&amp;MOD(Sync!$J1439,100),2),"نامعتبر"),IF(LEN(Sync!$J1439)=10,Sync!$J1439,"نامعتبر")))</f>
        <v/>
      </c>
      <c r="R1439" t="str">
        <f t="shared" si="131"/>
        <v/>
      </c>
      <c r="S1439" t="str">
        <f t="shared" si="132"/>
        <v/>
      </c>
      <c r="T1439" t="str">
        <f>IF($N1439="","",IF(Sync!$N1439="",0,Sync!$N1439))</f>
        <v/>
      </c>
      <c r="U1439" t="str">
        <f>IF($N1439="","",IF(Sync!$O1439="",0,Sync!$O1439))</f>
        <v/>
      </c>
      <c r="V1439" t="str">
        <f>IF($N1439="","",Sync!$L1439)</f>
        <v/>
      </c>
      <c r="W1439" t="str">
        <f>IF($N1439="","",Sync!$P1439)</f>
        <v/>
      </c>
    </row>
    <row r="1440" spans="14:23" x14ac:dyDescent="0.2">
      <c r="N1440" t="str">
        <f>IF(OR(Sync!$M1440="",$Q1440="",$Q1440="نامعتبر"),"",Sync!$M1440)</f>
        <v/>
      </c>
      <c r="O1440" t="str">
        <f t="shared" si="130"/>
        <v/>
      </c>
      <c r="P1440" t="str">
        <f>IF($N1440="","",LEFT($Q1440,4)&amp;MID($Q1440,6,2)&amp;RIGHT($Q1440,2)&amp;IF(Sync!$K1440="","0000",IF(AND(ISNUMBER(Sync!$K1440),Sync!$K1440&gt;=0,Sync!$K1440&lt;1),RIGHT("00"&amp;HOUR(Sync!$K1440),2)&amp;RIGHT("00"&amp;MINUTE(Sync!$K1440),2),IFERROR(RIGHT("00"&amp;VALUE(LEFT(Sync!$K1440,FIND(":",Sync!$K1440)-1)),2)&amp;RIGHT("00"&amp;VALUE(MID(Sync!$K1440,FIND(":",Sync!$K1440)+1,2)),2),"0000")))&amp;"|"&amp;"2"&amp;RIGHT("00000"&amp;1435,5))</f>
        <v/>
      </c>
      <c r="Q1440" t="str">
        <f>IF(Sync!$J1440="","",IF(ISNUMBER(Sync!$J1440),IF(AND(Sync!$J1440&gt;=10000101,Sync!$J1440&lt;=99991231),INT(Sync!$J1440/10000)&amp;"/"&amp;RIGHT("00"&amp;INT(MOD(Sync!$J1440,10000)/100),2)&amp;"/"&amp;RIGHT("00"&amp;MOD(Sync!$J1440,100),2),"نامعتبر"),IF(LEN(Sync!$J1440)=10,Sync!$J1440,"نامعتبر")))</f>
        <v/>
      </c>
      <c r="R1440" t="str">
        <f t="shared" si="131"/>
        <v/>
      </c>
      <c r="S1440" t="str">
        <f t="shared" si="132"/>
        <v/>
      </c>
      <c r="T1440" t="str">
        <f>IF($N1440="","",IF(Sync!$N1440="",0,Sync!$N1440))</f>
        <v/>
      </c>
      <c r="U1440" t="str">
        <f>IF($N1440="","",IF(Sync!$O1440="",0,Sync!$O1440))</f>
        <v/>
      </c>
      <c r="V1440" t="str">
        <f>IF($N1440="","",Sync!$L1440)</f>
        <v/>
      </c>
      <c r="W1440" t="str">
        <f>IF($N1440="","",Sync!$P1440)</f>
        <v/>
      </c>
    </row>
    <row r="1441" spans="14:23" x14ac:dyDescent="0.2">
      <c r="N1441" t="str">
        <f>IF(OR(Sync!$M1441="",$Q1441="",$Q1441="نامعتبر"),"",Sync!$M1441)</f>
        <v/>
      </c>
      <c r="O1441" t="str">
        <f t="shared" si="130"/>
        <v/>
      </c>
      <c r="P1441" t="str">
        <f>IF($N1441="","",LEFT($Q1441,4)&amp;MID($Q1441,6,2)&amp;RIGHT($Q1441,2)&amp;IF(Sync!$K1441="","0000",IF(AND(ISNUMBER(Sync!$K1441),Sync!$K1441&gt;=0,Sync!$K1441&lt;1),RIGHT("00"&amp;HOUR(Sync!$K1441),2)&amp;RIGHT("00"&amp;MINUTE(Sync!$K1441),2),IFERROR(RIGHT("00"&amp;VALUE(LEFT(Sync!$K1441,FIND(":",Sync!$K1441)-1)),2)&amp;RIGHT("00"&amp;VALUE(MID(Sync!$K1441,FIND(":",Sync!$K1441)+1,2)),2),"0000")))&amp;"|"&amp;"2"&amp;RIGHT("00000"&amp;1436,5))</f>
        <v/>
      </c>
      <c r="Q1441" t="str">
        <f>IF(Sync!$J1441="","",IF(ISNUMBER(Sync!$J1441),IF(AND(Sync!$J1441&gt;=10000101,Sync!$J1441&lt;=99991231),INT(Sync!$J1441/10000)&amp;"/"&amp;RIGHT("00"&amp;INT(MOD(Sync!$J1441,10000)/100),2)&amp;"/"&amp;RIGHT("00"&amp;MOD(Sync!$J1441,100),2),"نامعتبر"),IF(LEN(Sync!$J1441)=10,Sync!$J1441,"نامعتبر")))</f>
        <v/>
      </c>
      <c r="R1441" t="str">
        <f t="shared" si="131"/>
        <v/>
      </c>
      <c r="S1441" t="str">
        <f t="shared" si="132"/>
        <v/>
      </c>
      <c r="T1441" t="str">
        <f>IF($N1441="","",IF(Sync!$N1441="",0,Sync!$N1441))</f>
        <v/>
      </c>
      <c r="U1441" t="str">
        <f>IF($N1441="","",IF(Sync!$O1441="",0,Sync!$O1441))</f>
        <v/>
      </c>
      <c r="V1441" t="str">
        <f>IF($N1441="","",Sync!$L1441)</f>
        <v/>
      </c>
      <c r="W1441" t="str">
        <f>IF($N1441="","",Sync!$P1441)</f>
        <v/>
      </c>
    </row>
    <row r="1442" spans="14:23" x14ac:dyDescent="0.2">
      <c r="N1442" t="str">
        <f>IF(OR(Sync!$M1442="",$Q1442="",$Q1442="نامعتبر"),"",Sync!$M1442)</f>
        <v/>
      </c>
      <c r="O1442" t="str">
        <f t="shared" si="130"/>
        <v/>
      </c>
      <c r="P1442" t="str">
        <f>IF($N1442="","",LEFT($Q1442,4)&amp;MID($Q1442,6,2)&amp;RIGHT($Q1442,2)&amp;IF(Sync!$K1442="","0000",IF(AND(ISNUMBER(Sync!$K1442),Sync!$K1442&gt;=0,Sync!$K1442&lt;1),RIGHT("00"&amp;HOUR(Sync!$K1442),2)&amp;RIGHT("00"&amp;MINUTE(Sync!$K1442),2),IFERROR(RIGHT("00"&amp;VALUE(LEFT(Sync!$K1442,FIND(":",Sync!$K1442)-1)),2)&amp;RIGHT("00"&amp;VALUE(MID(Sync!$K1442,FIND(":",Sync!$K1442)+1,2)),2),"0000")))&amp;"|"&amp;"2"&amp;RIGHT("00000"&amp;1437,5))</f>
        <v/>
      </c>
      <c r="Q1442" t="str">
        <f>IF(Sync!$J1442="","",IF(ISNUMBER(Sync!$J1442),IF(AND(Sync!$J1442&gt;=10000101,Sync!$J1442&lt;=99991231),INT(Sync!$J1442/10000)&amp;"/"&amp;RIGHT("00"&amp;INT(MOD(Sync!$J1442,10000)/100),2)&amp;"/"&amp;RIGHT("00"&amp;MOD(Sync!$J1442,100),2),"نامعتبر"),IF(LEN(Sync!$J1442)=10,Sync!$J1442,"نامعتبر")))</f>
        <v/>
      </c>
      <c r="R1442" t="str">
        <f t="shared" si="131"/>
        <v/>
      </c>
      <c r="S1442" t="str">
        <f t="shared" si="132"/>
        <v/>
      </c>
      <c r="T1442" t="str">
        <f>IF($N1442="","",IF(Sync!$N1442="",0,Sync!$N1442))</f>
        <v/>
      </c>
      <c r="U1442" t="str">
        <f>IF($N1442="","",IF(Sync!$O1442="",0,Sync!$O1442))</f>
        <v/>
      </c>
      <c r="V1442" t="str">
        <f>IF($N1442="","",Sync!$L1442)</f>
        <v/>
      </c>
      <c r="W1442" t="str">
        <f>IF($N1442="","",Sync!$P1442)</f>
        <v/>
      </c>
    </row>
    <row r="1443" spans="14:23" x14ac:dyDescent="0.2">
      <c r="N1443" t="str">
        <f>IF(OR(Sync!$M1443="",$Q1443="",$Q1443="نامعتبر"),"",Sync!$M1443)</f>
        <v/>
      </c>
      <c r="O1443" t="str">
        <f t="shared" si="130"/>
        <v/>
      </c>
      <c r="P1443" t="str">
        <f>IF($N1443="","",LEFT($Q1443,4)&amp;MID($Q1443,6,2)&amp;RIGHT($Q1443,2)&amp;IF(Sync!$K1443="","0000",IF(AND(ISNUMBER(Sync!$K1443),Sync!$K1443&gt;=0,Sync!$K1443&lt;1),RIGHT("00"&amp;HOUR(Sync!$K1443),2)&amp;RIGHT("00"&amp;MINUTE(Sync!$K1443),2),IFERROR(RIGHT("00"&amp;VALUE(LEFT(Sync!$K1443,FIND(":",Sync!$K1443)-1)),2)&amp;RIGHT("00"&amp;VALUE(MID(Sync!$K1443,FIND(":",Sync!$K1443)+1,2)),2),"0000")))&amp;"|"&amp;"2"&amp;RIGHT("00000"&amp;1438,5))</f>
        <v/>
      </c>
      <c r="Q1443" t="str">
        <f>IF(Sync!$J1443="","",IF(ISNUMBER(Sync!$J1443),IF(AND(Sync!$J1443&gt;=10000101,Sync!$J1443&lt;=99991231),INT(Sync!$J1443/10000)&amp;"/"&amp;RIGHT("00"&amp;INT(MOD(Sync!$J1443,10000)/100),2)&amp;"/"&amp;RIGHT("00"&amp;MOD(Sync!$J1443,100),2),"نامعتبر"),IF(LEN(Sync!$J1443)=10,Sync!$J1443,"نامعتبر")))</f>
        <v/>
      </c>
      <c r="R1443" t="str">
        <f t="shared" si="131"/>
        <v/>
      </c>
      <c r="S1443" t="str">
        <f t="shared" si="132"/>
        <v/>
      </c>
      <c r="T1443" t="str">
        <f>IF($N1443="","",IF(Sync!$N1443="",0,Sync!$N1443))</f>
        <v/>
      </c>
      <c r="U1443" t="str">
        <f>IF($N1443="","",IF(Sync!$O1443="",0,Sync!$O1443))</f>
        <v/>
      </c>
      <c r="V1443" t="str">
        <f>IF($N1443="","",Sync!$L1443)</f>
        <v/>
      </c>
      <c r="W1443" t="str">
        <f>IF($N1443="","",Sync!$P1443)</f>
        <v/>
      </c>
    </row>
    <row r="1444" spans="14:23" x14ac:dyDescent="0.2">
      <c r="N1444" t="str">
        <f>IF(OR(Sync!$M1444="",$Q1444="",$Q1444="نامعتبر"),"",Sync!$M1444)</f>
        <v/>
      </c>
      <c r="O1444" t="str">
        <f t="shared" si="130"/>
        <v/>
      </c>
      <c r="P1444" t="str">
        <f>IF($N1444="","",LEFT($Q1444,4)&amp;MID($Q1444,6,2)&amp;RIGHT($Q1444,2)&amp;IF(Sync!$K1444="","0000",IF(AND(ISNUMBER(Sync!$K1444),Sync!$K1444&gt;=0,Sync!$K1444&lt;1),RIGHT("00"&amp;HOUR(Sync!$K1444),2)&amp;RIGHT("00"&amp;MINUTE(Sync!$K1444),2),IFERROR(RIGHT("00"&amp;VALUE(LEFT(Sync!$K1444,FIND(":",Sync!$K1444)-1)),2)&amp;RIGHT("00"&amp;VALUE(MID(Sync!$K1444,FIND(":",Sync!$K1444)+1,2)),2),"0000")))&amp;"|"&amp;"2"&amp;RIGHT("00000"&amp;1439,5))</f>
        <v/>
      </c>
      <c r="Q1444" t="str">
        <f>IF(Sync!$J1444="","",IF(ISNUMBER(Sync!$J1444),IF(AND(Sync!$J1444&gt;=10000101,Sync!$J1444&lt;=99991231),INT(Sync!$J1444/10000)&amp;"/"&amp;RIGHT("00"&amp;INT(MOD(Sync!$J1444,10000)/100),2)&amp;"/"&amp;RIGHT("00"&amp;MOD(Sync!$J1444,100),2),"نامعتبر"),IF(LEN(Sync!$J1444)=10,Sync!$J1444,"نامعتبر")))</f>
        <v/>
      </c>
      <c r="R1444" t="str">
        <f t="shared" si="131"/>
        <v/>
      </c>
      <c r="S1444" t="str">
        <f t="shared" si="132"/>
        <v/>
      </c>
      <c r="T1444" t="str">
        <f>IF($N1444="","",IF(Sync!$N1444="",0,Sync!$N1444))</f>
        <v/>
      </c>
      <c r="U1444" t="str">
        <f>IF($N1444="","",IF(Sync!$O1444="",0,Sync!$O1444))</f>
        <v/>
      </c>
      <c r="V1444" t="str">
        <f>IF($N1444="","",Sync!$L1444)</f>
        <v/>
      </c>
      <c r="W1444" t="str">
        <f>IF($N1444="","",Sync!$P1444)</f>
        <v/>
      </c>
    </row>
    <row r="1445" spans="14:23" x14ac:dyDescent="0.2">
      <c r="N1445" t="str">
        <f>IF(OR(Sync!$M1445="",$Q1445="",$Q1445="نامعتبر"),"",Sync!$M1445)</f>
        <v/>
      </c>
      <c r="O1445" t="str">
        <f t="shared" si="130"/>
        <v/>
      </c>
      <c r="P1445" t="str">
        <f>IF($N1445="","",LEFT($Q1445,4)&amp;MID($Q1445,6,2)&amp;RIGHT($Q1445,2)&amp;IF(Sync!$K1445="","0000",IF(AND(ISNUMBER(Sync!$K1445),Sync!$K1445&gt;=0,Sync!$K1445&lt;1),RIGHT("00"&amp;HOUR(Sync!$K1445),2)&amp;RIGHT("00"&amp;MINUTE(Sync!$K1445),2),IFERROR(RIGHT("00"&amp;VALUE(LEFT(Sync!$K1445,FIND(":",Sync!$K1445)-1)),2)&amp;RIGHT("00"&amp;VALUE(MID(Sync!$K1445,FIND(":",Sync!$K1445)+1,2)),2),"0000")))&amp;"|"&amp;"2"&amp;RIGHT("00000"&amp;1440,5))</f>
        <v/>
      </c>
      <c r="Q1445" t="str">
        <f>IF(Sync!$J1445="","",IF(ISNUMBER(Sync!$J1445),IF(AND(Sync!$J1445&gt;=10000101,Sync!$J1445&lt;=99991231),INT(Sync!$J1445/10000)&amp;"/"&amp;RIGHT("00"&amp;INT(MOD(Sync!$J1445,10000)/100),2)&amp;"/"&amp;RIGHT("00"&amp;MOD(Sync!$J1445,100),2),"نامعتبر"),IF(LEN(Sync!$J1445)=10,Sync!$J1445,"نامعتبر")))</f>
        <v/>
      </c>
      <c r="R1445" t="str">
        <f t="shared" si="131"/>
        <v/>
      </c>
      <c r="S1445" t="str">
        <f t="shared" si="132"/>
        <v/>
      </c>
      <c r="T1445" t="str">
        <f>IF($N1445="","",IF(Sync!$N1445="",0,Sync!$N1445))</f>
        <v/>
      </c>
      <c r="U1445" t="str">
        <f>IF($N1445="","",IF(Sync!$O1445="",0,Sync!$O1445))</f>
        <v/>
      </c>
      <c r="V1445" t="str">
        <f>IF($N1445="","",Sync!$L1445)</f>
        <v/>
      </c>
      <c r="W1445" t="str">
        <f>IF($N1445="","",Sync!$P1445)</f>
        <v/>
      </c>
    </row>
    <row r="1446" spans="14:23" x14ac:dyDescent="0.2">
      <c r="N1446" t="str">
        <f>IF(OR(Sync!$M1446="",$Q1446="",$Q1446="نامعتبر"),"",Sync!$M1446)</f>
        <v/>
      </c>
      <c r="O1446" t="str">
        <f t="shared" si="130"/>
        <v/>
      </c>
      <c r="P1446" t="str">
        <f>IF($N1446="","",LEFT($Q1446,4)&amp;MID($Q1446,6,2)&amp;RIGHT($Q1446,2)&amp;IF(Sync!$K1446="","0000",IF(AND(ISNUMBER(Sync!$K1446),Sync!$K1446&gt;=0,Sync!$K1446&lt;1),RIGHT("00"&amp;HOUR(Sync!$K1446),2)&amp;RIGHT("00"&amp;MINUTE(Sync!$K1446),2),IFERROR(RIGHT("00"&amp;VALUE(LEFT(Sync!$K1446,FIND(":",Sync!$K1446)-1)),2)&amp;RIGHT("00"&amp;VALUE(MID(Sync!$K1446,FIND(":",Sync!$K1446)+1,2)),2),"0000")))&amp;"|"&amp;"2"&amp;RIGHT("00000"&amp;1441,5))</f>
        <v/>
      </c>
      <c r="Q1446" t="str">
        <f>IF(Sync!$J1446="","",IF(ISNUMBER(Sync!$J1446),IF(AND(Sync!$J1446&gt;=10000101,Sync!$J1446&lt;=99991231),INT(Sync!$J1446/10000)&amp;"/"&amp;RIGHT("00"&amp;INT(MOD(Sync!$J1446,10000)/100),2)&amp;"/"&amp;RIGHT("00"&amp;MOD(Sync!$J1446,100),2),"نامعتبر"),IF(LEN(Sync!$J1446)=10,Sync!$J1446,"نامعتبر")))</f>
        <v/>
      </c>
      <c r="R1446" t="str">
        <f t="shared" si="131"/>
        <v/>
      </c>
      <c r="S1446" t="str">
        <f t="shared" si="132"/>
        <v/>
      </c>
      <c r="T1446" t="str">
        <f>IF($N1446="","",IF(Sync!$N1446="",0,Sync!$N1446))</f>
        <v/>
      </c>
      <c r="U1446" t="str">
        <f>IF($N1446="","",IF(Sync!$O1446="",0,Sync!$O1446))</f>
        <v/>
      </c>
      <c r="V1446" t="str">
        <f>IF($N1446="","",Sync!$L1446)</f>
        <v/>
      </c>
      <c r="W1446" t="str">
        <f>IF($N1446="","",Sync!$P1446)</f>
        <v/>
      </c>
    </row>
    <row r="1447" spans="14:23" x14ac:dyDescent="0.2">
      <c r="N1447" t="str">
        <f>IF(OR(Sync!$M1447="",$Q1447="",$Q1447="نامعتبر"),"",Sync!$M1447)</f>
        <v/>
      </c>
      <c r="O1447" t="str">
        <f t="shared" si="130"/>
        <v/>
      </c>
      <c r="P1447" t="str">
        <f>IF($N1447="","",LEFT($Q1447,4)&amp;MID($Q1447,6,2)&amp;RIGHT($Q1447,2)&amp;IF(Sync!$K1447="","0000",IF(AND(ISNUMBER(Sync!$K1447),Sync!$K1447&gt;=0,Sync!$K1447&lt;1),RIGHT("00"&amp;HOUR(Sync!$K1447),2)&amp;RIGHT("00"&amp;MINUTE(Sync!$K1447),2),IFERROR(RIGHT("00"&amp;VALUE(LEFT(Sync!$K1447,FIND(":",Sync!$K1447)-1)),2)&amp;RIGHT("00"&amp;VALUE(MID(Sync!$K1447,FIND(":",Sync!$K1447)+1,2)),2),"0000")))&amp;"|"&amp;"2"&amp;RIGHT("00000"&amp;1442,5))</f>
        <v/>
      </c>
      <c r="Q1447" t="str">
        <f>IF(Sync!$J1447="","",IF(ISNUMBER(Sync!$J1447),IF(AND(Sync!$J1447&gt;=10000101,Sync!$J1447&lt;=99991231),INT(Sync!$J1447/10000)&amp;"/"&amp;RIGHT("00"&amp;INT(MOD(Sync!$J1447,10000)/100),2)&amp;"/"&amp;RIGHT("00"&amp;MOD(Sync!$J1447,100),2),"نامعتبر"),IF(LEN(Sync!$J1447)=10,Sync!$J1447,"نامعتبر")))</f>
        <v/>
      </c>
      <c r="R1447" t="str">
        <f t="shared" si="131"/>
        <v/>
      </c>
      <c r="S1447" t="str">
        <f t="shared" si="132"/>
        <v/>
      </c>
      <c r="T1447" t="str">
        <f>IF($N1447="","",IF(Sync!$N1447="",0,Sync!$N1447))</f>
        <v/>
      </c>
      <c r="U1447" t="str">
        <f>IF($N1447="","",IF(Sync!$O1447="",0,Sync!$O1447))</f>
        <v/>
      </c>
      <c r="V1447" t="str">
        <f>IF($N1447="","",Sync!$L1447)</f>
        <v/>
      </c>
      <c r="W1447" t="str">
        <f>IF($N1447="","",Sync!$P1447)</f>
        <v/>
      </c>
    </row>
    <row r="1448" spans="14:23" x14ac:dyDescent="0.2">
      <c r="N1448" t="str">
        <f>IF(OR(Sync!$M1448="",$Q1448="",$Q1448="نامعتبر"),"",Sync!$M1448)</f>
        <v/>
      </c>
      <c r="O1448" t="str">
        <f t="shared" si="130"/>
        <v/>
      </c>
      <c r="P1448" t="str">
        <f>IF($N1448="","",LEFT($Q1448,4)&amp;MID($Q1448,6,2)&amp;RIGHT($Q1448,2)&amp;IF(Sync!$K1448="","0000",IF(AND(ISNUMBER(Sync!$K1448),Sync!$K1448&gt;=0,Sync!$K1448&lt;1),RIGHT("00"&amp;HOUR(Sync!$K1448),2)&amp;RIGHT("00"&amp;MINUTE(Sync!$K1448),2),IFERROR(RIGHT("00"&amp;VALUE(LEFT(Sync!$K1448,FIND(":",Sync!$K1448)-1)),2)&amp;RIGHT("00"&amp;VALUE(MID(Sync!$K1448,FIND(":",Sync!$K1448)+1,2)),2),"0000")))&amp;"|"&amp;"2"&amp;RIGHT("00000"&amp;1443,5))</f>
        <v/>
      </c>
      <c r="Q1448" t="str">
        <f>IF(Sync!$J1448="","",IF(ISNUMBER(Sync!$J1448),IF(AND(Sync!$J1448&gt;=10000101,Sync!$J1448&lt;=99991231),INT(Sync!$J1448/10000)&amp;"/"&amp;RIGHT("00"&amp;INT(MOD(Sync!$J1448,10000)/100),2)&amp;"/"&amp;RIGHT("00"&amp;MOD(Sync!$J1448,100),2),"نامعتبر"),IF(LEN(Sync!$J1448)=10,Sync!$J1448,"نامعتبر")))</f>
        <v/>
      </c>
      <c r="R1448" t="str">
        <f t="shared" si="131"/>
        <v/>
      </c>
      <c r="S1448" t="str">
        <f t="shared" si="132"/>
        <v/>
      </c>
      <c r="T1448" t="str">
        <f>IF($N1448="","",IF(Sync!$N1448="",0,Sync!$N1448))</f>
        <v/>
      </c>
      <c r="U1448" t="str">
        <f>IF($N1448="","",IF(Sync!$O1448="",0,Sync!$O1448))</f>
        <v/>
      </c>
      <c r="V1448" t="str">
        <f>IF($N1448="","",Sync!$L1448)</f>
        <v/>
      </c>
      <c r="W1448" t="str">
        <f>IF($N1448="","",Sync!$P1448)</f>
        <v/>
      </c>
    </row>
    <row r="1449" spans="14:23" x14ac:dyDescent="0.2">
      <c r="N1449" t="str">
        <f>IF(OR(Sync!$M1449="",$Q1449="",$Q1449="نامعتبر"),"",Sync!$M1449)</f>
        <v/>
      </c>
      <c r="O1449" t="str">
        <f t="shared" si="130"/>
        <v/>
      </c>
      <c r="P1449" t="str">
        <f>IF($N1449="","",LEFT($Q1449,4)&amp;MID($Q1449,6,2)&amp;RIGHT($Q1449,2)&amp;IF(Sync!$K1449="","0000",IF(AND(ISNUMBER(Sync!$K1449),Sync!$K1449&gt;=0,Sync!$K1449&lt;1),RIGHT("00"&amp;HOUR(Sync!$K1449),2)&amp;RIGHT("00"&amp;MINUTE(Sync!$K1449),2),IFERROR(RIGHT("00"&amp;VALUE(LEFT(Sync!$K1449,FIND(":",Sync!$K1449)-1)),2)&amp;RIGHT("00"&amp;VALUE(MID(Sync!$K1449,FIND(":",Sync!$K1449)+1,2)),2),"0000")))&amp;"|"&amp;"2"&amp;RIGHT("00000"&amp;1444,5))</f>
        <v/>
      </c>
      <c r="Q1449" t="str">
        <f>IF(Sync!$J1449="","",IF(ISNUMBER(Sync!$J1449),IF(AND(Sync!$J1449&gt;=10000101,Sync!$J1449&lt;=99991231),INT(Sync!$J1449/10000)&amp;"/"&amp;RIGHT("00"&amp;INT(MOD(Sync!$J1449,10000)/100),2)&amp;"/"&amp;RIGHT("00"&amp;MOD(Sync!$J1449,100),2),"نامعتبر"),IF(LEN(Sync!$J1449)=10,Sync!$J1449,"نامعتبر")))</f>
        <v/>
      </c>
      <c r="R1449" t="str">
        <f t="shared" si="131"/>
        <v/>
      </c>
      <c r="S1449" t="str">
        <f t="shared" si="132"/>
        <v/>
      </c>
      <c r="T1449" t="str">
        <f>IF($N1449="","",IF(Sync!$N1449="",0,Sync!$N1449))</f>
        <v/>
      </c>
      <c r="U1449" t="str">
        <f>IF($N1449="","",IF(Sync!$O1449="",0,Sync!$O1449))</f>
        <v/>
      </c>
      <c r="V1449" t="str">
        <f>IF($N1449="","",Sync!$L1449)</f>
        <v/>
      </c>
      <c r="W1449" t="str">
        <f>IF($N1449="","",Sync!$P1449)</f>
        <v/>
      </c>
    </row>
    <row r="1450" spans="14:23" x14ac:dyDescent="0.2">
      <c r="N1450" t="str">
        <f>IF(OR(Sync!$M1450="",$Q1450="",$Q1450="نامعتبر"),"",Sync!$M1450)</f>
        <v/>
      </c>
      <c r="O1450" t="str">
        <f t="shared" si="130"/>
        <v/>
      </c>
      <c r="P1450" t="str">
        <f>IF($N1450="","",LEFT($Q1450,4)&amp;MID($Q1450,6,2)&amp;RIGHT($Q1450,2)&amp;IF(Sync!$K1450="","0000",IF(AND(ISNUMBER(Sync!$K1450),Sync!$K1450&gt;=0,Sync!$K1450&lt;1),RIGHT("00"&amp;HOUR(Sync!$K1450),2)&amp;RIGHT("00"&amp;MINUTE(Sync!$K1450),2),IFERROR(RIGHT("00"&amp;VALUE(LEFT(Sync!$K1450,FIND(":",Sync!$K1450)-1)),2)&amp;RIGHT("00"&amp;VALUE(MID(Sync!$K1450,FIND(":",Sync!$K1450)+1,2)),2),"0000")))&amp;"|"&amp;"2"&amp;RIGHT("00000"&amp;1445,5))</f>
        <v/>
      </c>
      <c r="Q1450" t="str">
        <f>IF(Sync!$J1450="","",IF(ISNUMBER(Sync!$J1450),IF(AND(Sync!$J1450&gt;=10000101,Sync!$J1450&lt;=99991231),INT(Sync!$J1450/10000)&amp;"/"&amp;RIGHT("00"&amp;INT(MOD(Sync!$J1450,10000)/100),2)&amp;"/"&amp;RIGHT("00"&amp;MOD(Sync!$J1450,100),2),"نامعتبر"),IF(LEN(Sync!$J1450)=10,Sync!$J1450,"نامعتبر")))</f>
        <v/>
      </c>
      <c r="R1450" t="str">
        <f t="shared" si="131"/>
        <v/>
      </c>
      <c r="S1450" t="str">
        <f t="shared" si="132"/>
        <v/>
      </c>
      <c r="T1450" t="str">
        <f>IF($N1450="","",IF(Sync!$N1450="",0,Sync!$N1450))</f>
        <v/>
      </c>
      <c r="U1450" t="str">
        <f>IF($N1450="","",IF(Sync!$O1450="",0,Sync!$O1450))</f>
        <v/>
      </c>
      <c r="V1450" t="str">
        <f>IF($N1450="","",Sync!$L1450)</f>
        <v/>
      </c>
      <c r="W1450" t="str">
        <f>IF($N1450="","",Sync!$P1450)</f>
        <v/>
      </c>
    </row>
    <row r="1451" spans="14:23" x14ac:dyDescent="0.2">
      <c r="N1451" t="str">
        <f>IF(OR(Sync!$M1451="",$Q1451="",$Q1451="نامعتبر"),"",Sync!$M1451)</f>
        <v/>
      </c>
      <c r="O1451" t="str">
        <f t="shared" si="130"/>
        <v/>
      </c>
      <c r="P1451" t="str">
        <f>IF($N1451="","",LEFT($Q1451,4)&amp;MID($Q1451,6,2)&amp;RIGHT($Q1451,2)&amp;IF(Sync!$K1451="","0000",IF(AND(ISNUMBER(Sync!$K1451),Sync!$K1451&gt;=0,Sync!$K1451&lt;1),RIGHT("00"&amp;HOUR(Sync!$K1451),2)&amp;RIGHT("00"&amp;MINUTE(Sync!$K1451),2),IFERROR(RIGHT("00"&amp;VALUE(LEFT(Sync!$K1451,FIND(":",Sync!$K1451)-1)),2)&amp;RIGHT("00"&amp;VALUE(MID(Sync!$K1451,FIND(":",Sync!$K1451)+1,2)),2),"0000")))&amp;"|"&amp;"2"&amp;RIGHT("00000"&amp;1446,5))</f>
        <v/>
      </c>
      <c r="Q1451" t="str">
        <f>IF(Sync!$J1451="","",IF(ISNUMBER(Sync!$J1451),IF(AND(Sync!$J1451&gt;=10000101,Sync!$J1451&lt;=99991231),INT(Sync!$J1451/10000)&amp;"/"&amp;RIGHT("00"&amp;INT(MOD(Sync!$J1451,10000)/100),2)&amp;"/"&amp;RIGHT("00"&amp;MOD(Sync!$J1451,100),2),"نامعتبر"),IF(LEN(Sync!$J1451)=10,Sync!$J1451,"نامعتبر")))</f>
        <v/>
      </c>
      <c r="R1451" t="str">
        <f t="shared" si="131"/>
        <v/>
      </c>
      <c r="S1451" t="str">
        <f t="shared" si="132"/>
        <v/>
      </c>
      <c r="T1451" t="str">
        <f>IF($N1451="","",IF(Sync!$N1451="",0,Sync!$N1451))</f>
        <v/>
      </c>
      <c r="U1451" t="str">
        <f>IF($N1451="","",IF(Sync!$O1451="",0,Sync!$O1451))</f>
        <v/>
      </c>
      <c r="V1451" t="str">
        <f>IF($N1451="","",Sync!$L1451)</f>
        <v/>
      </c>
      <c r="W1451" t="str">
        <f>IF($N1451="","",Sync!$P1451)</f>
        <v/>
      </c>
    </row>
    <row r="1452" spans="14:23" x14ac:dyDescent="0.2">
      <c r="N1452" t="str">
        <f>IF(OR(Sync!$M1452="",$Q1452="",$Q1452="نامعتبر"),"",Sync!$M1452)</f>
        <v/>
      </c>
      <c r="O1452" t="str">
        <f t="shared" si="130"/>
        <v/>
      </c>
      <c r="P1452" t="str">
        <f>IF($N1452="","",LEFT($Q1452,4)&amp;MID($Q1452,6,2)&amp;RIGHT($Q1452,2)&amp;IF(Sync!$K1452="","0000",IF(AND(ISNUMBER(Sync!$K1452),Sync!$K1452&gt;=0,Sync!$K1452&lt;1),RIGHT("00"&amp;HOUR(Sync!$K1452),2)&amp;RIGHT("00"&amp;MINUTE(Sync!$K1452),2),IFERROR(RIGHT("00"&amp;VALUE(LEFT(Sync!$K1452,FIND(":",Sync!$K1452)-1)),2)&amp;RIGHT("00"&amp;VALUE(MID(Sync!$K1452,FIND(":",Sync!$K1452)+1,2)),2),"0000")))&amp;"|"&amp;"2"&amp;RIGHT("00000"&amp;1447,5))</f>
        <v/>
      </c>
      <c r="Q1452" t="str">
        <f>IF(Sync!$J1452="","",IF(ISNUMBER(Sync!$J1452),IF(AND(Sync!$J1452&gt;=10000101,Sync!$J1452&lt;=99991231),INT(Sync!$J1452/10000)&amp;"/"&amp;RIGHT("00"&amp;INT(MOD(Sync!$J1452,10000)/100),2)&amp;"/"&amp;RIGHT("00"&amp;MOD(Sync!$J1452,100),2),"نامعتبر"),IF(LEN(Sync!$J1452)=10,Sync!$J1452,"نامعتبر")))</f>
        <v/>
      </c>
      <c r="R1452" t="str">
        <f t="shared" si="131"/>
        <v/>
      </c>
      <c r="S1452" t="str">
        <f t="shared" si="132"/>
        <v/>
      </c>
      <c r="T1452" t="str">
        <f>IF($N1452="","",IF(Sync!$N1452="",0,Sync!$N1452))</f>
        <v/>
      </c>
      <c r="U1452" t="str">
        <f>IF($N1452="","",IF(Sync!$O1452="",0,Sync!$O1452))</f>
        <v/>
      </c>
      <c r="V1452" t="str">
        <f>IF($N1452="","",Sync!$L1452)</f>
        <v/>
      </c>
      <c r="W1452" t="str">
        <f>IF($N1452="","",Sync!$P1452)</f>
        <v/>
      </c>
    </row>
    <row r="1453" spans="14:23" x14ac:dyDescent="0.2">
      <c r="N1453" t="str">
        <f>IF(OR(Sync!$M1453="",$Q1453="",$Q1453="نامعتبر"),"",Sync!$M1453)</f>
        <v/>
      </c>
      <c r="O1453" t="str">
        <f t="shared" si="130"/>
        <v/>
      </c>
      <c r="P1453" t="str">
        <f>IF($N1453="","",LEFT($Q1453,4)&amp;MID($Q1453,6,2)&amp;RIGHT($Q1453,2)&amp;IF(Sync!$K1453="","0000",IF(AND(ISNUMBER(Sync!$K1453),Sync!$K1453&gt;=0,Sync!$K1453&lt;1),RIGHT("00"&amp;HOUR(Sync!$K1453),2)&amp;RIGHT("00"&amp;MINUTE(Sync!$K1453),2),IFERROR(RIGHT("00"&amp;VALUE(LEFT(Sync!$K1453,FIND(":",Sync!$K1453)-1)),2)&amp;RIGHT("00"&amp;VALUE(MID(Sync!$K1453,FIND(":",Sync!$K1453)+1,2)),2),"0000")))&amp;"|"&amp;"2"&amp;RIGHT("00000"&amp;1448,5))</f>
        <v/>
      </c>
      <c r="Q1453" t="str">
        <f>IF(Sync!$J1453="","",IF(ISNUMBER(Sync!$J1453),IF(AND(Sync!$J1453&gt;=10000101,Sync!$J1453&lt;=99991231),INT(Sync!$J1453/10000)&amp;"/"&amp;RIGHT("00"&amp;INT(MOD(Sync!$J1453,10000)/100),2)&amp;"/"&amp;RIGHT("00"&amp;MOD(Sync!$J1453,100),2),"نامعتبر"),IF(LEN(Sync!$J1453)=10,Sync!$J1453,"نامعتبر")))</f>
        <v/>
      </c>
      <c r="R1453" t="str">
        <f t="shared" si="131"/>
        <v/>
      </c>
      <c r="S1453" t="str">
        <f t="shared" si="132"/>
        <v/>
      </c>
      <c r="T1453" t="str">
        <f>IF($N1453="","",IF(Sync!$N1453="",0,Sync!$N1453))</f>
        <v/>
      </c>
      <c r="U1453" t="str">
        <f>IF($N1453="","",IF(Sync!$O1453="",0,Sync!$O1453))</f>
        <v/>
      </c>
      <c r="V1453" t="str">
        <f>IF($N1453="","",Sync!$L1453)</f>
        <v/>
      </c>
      <c r="W1453" t="str">
        <f>IF($N1453="","",Sync!$P1453)</f>
        <v/>
      </c>
    </row>
    <row r="1454" spans="14:23" x14ac:dyDescent="0.2">
      <c r="N1454" t="str">
        <f>IF(OR(Sync!$M1454="",$Q1454="",$Q1454="نامعتبر"),"",Sync!$M1454)</f>
        <v/>
      </c>
      <c r="O1454" t="str">
        <f t="shared" si="130"/>
        <v/>
      </c>
      <c r="P1454" t="str">
        <f>IF($N1454="","",LEFT($Q1454,4)&amp;MID($Q1454,6,2)&amp;RIGHT($Q1454,2)&amp;IF(Sync!$K1454="","0000",IF(AND(ISNUMBER(Sync!$K1454),Sync!$K1454&gt;=0,Sync!$K1454&lt;1),RIGHT("00"&amp;HOUR(Sync!$K1454),2)&amp;RIGHT("00"&amp;MINUTE(Sync!$K1454),2),IFERROR(RIGHT("00"&amp;VALUE(LEFT(Sync!$K1454,FIND(":",Sync!$K1454)-1)),2)&amp;RIGHT("00"&amp;VALUE(MID(Sync!$K1454,FIND(":",Sync!$K1454)+1,2)),2),"0000")))&amp;"|"&amp;"2"&amp;RIGHT("00000"&amp;1449,5))</f>
        <v/>
      </c>
      <c r="Q1454" t="str">
        <f>IF(Sync!$J1454="","",IF(ISNUMBER(Sync!$J1454),IF(AND(Sync!$J1454&gt;=10000101,Sync!$J1454&lt;=99991231),INT(Sync!$J1454/10000)&amp;"/"&amp;RIGHT("00"&amp;INT(MOD(Sync!$J1454,10000)/100),2)&amp;"/"&amp;RIGHT("00"&amp;MOD(Sync!$J1454,100),2),"نامعتبر"),IF(LEN(Sync!$J1454)=10,Sync!$J1454,"نامعتبر")))</f>
        <v/>
      </c>
      <c r="R1454" t="str">
        <f t="shared" si="131"/>
        <v/>
      </c>
      <c r="S1454" t="str">
        <f t="shared" si="132"/>
        <v/>
      </c>
      <c r="T1454" t="str">
        <f>IF($N1454="","",IF(Sync!$N1454="",0,Sync!$N1454))</f>
        <v/>
      </c>
      <c r="U1454" t="str">
        <f>IF($N1454="","",IF(Sync!$O1454="",0,Sync!$O1454))</f>
        <v/>
      </c>
      <c r="V1454" t="str">
        <f>IF($N1454="","",Sync!$L1454)</f>
        <v/>
      </c>
      <c r="W1454" t="str">
        <f>IF($N1454="","",Sync!$P1454)</f>
        <v/>
      </c>
    </row>
    <row r="1455" spans="14:23" x14ac:dyDescent="0.2">
      <c r="N1455" t="str">
        <f>IF(OR(Sync!$M1455="",$Q1455="",$Q1455="نامعتبر"),"",Sync!$M1455)</f>
        <v/>
      </c>
      <c r="O1455" t="str">
        <f t="shared" si="130"/>
        <v/>
      </c>
      <c r="P1455" t="str">
        <f>IF($N1455="","",LEFT($Q1455,4)&amp;MID($Q1455,6,2)&amp;RIGHT($Q1455,2)&amp;IF(Sync!$K1455="","0000",IF(AND(ISNUMBER(Sync!$K1455),Sync!$K1455&gt;=0,Sync!$K1455&lt;1),RIGHT("00"&amp;HOUR(Sync!$K1455),2)&amp;RIGHT("00"&amp;MINUTE(Sync!$K1455),2),IFERROR(RIGHT("00"&amp;VALUE(LEFT(Sync!$K1455,FIND(":",Sync!$K1455)-1)),2)&amp;RIGHT("00"&amp;VALUE(MID(Sync!$K1455,FIND(":",Sync!$K1455)+1,2)),2),"0000")))&amp;"|"&amp;"2"&amp;RIGHT("00000"&amp;1450,5))</f>
        <v/>
      </c>
      <c r="Q1455" t="str">
        <f>IF(Sync!$J1455="","",IF(ISNUMBER(Sync!$J1455),IF(AND(Sync!$J1455&gt;=10000101,Sync!$J1455&lt;=99991231),INT(Sync!$J1455/10000)&amp;"/"&amp;RIGHT("00"&amp;INT(MOD(Sync!$J1455,10000)/100),2)&amp;"/"&amp;RIGHT("00"&amp;MOD(Sync!$J1455,100),2),"نامعتبر"),IF(LEN(Sync!$J1455)=10,Sync!$J1455,"نامعتبر")))</f>
        <v/>
      </c>
      <c r="R1455" t="str">
        <f t="shared" si="131"/>
        <v/>
      </c>
      <c r="S1455" t="str">
        <f t="shared" si="132"/>
        <v/>
      </c>
      <c r="T1455" t="str">
        <f>IF($N1455="","",IF(Sync!$N1455="",0,Sync!$N1455))</f>
        <v/>
      </c>
      <c r="U1455" t="str">
        <f>IF($N1455="","",IF(Sync!$O1455="",0,Sync!$O1455))</f>
        <v/>
      </c>
      <c r="V1455" t="str">
        <f>IF($N1455="","",Sync!$L1455)</f>
        <v/>
      </c>
      <c r="W1455" t="str">
        <f>IF($N1455="","",Sync!$P1455)</f>
        <v/>
      </c>
    </row>
    <row r="1456" spans="14:23" x14ac:dyDescent="0.2">
      <c r="N1456" t="str">
        <f>IF(OR(Sync!$M1456="",$Q1456="",$Q1456="نامعتبر"),"",Sync!$M1456)</f>
        <v/>
      </c>
      <c r="O1456" t="str">
        <f t="shared" si="130"/>
        <v/>
      </c>
      <c r="P1456" t="str">
        <f>IF($N1456="","",LEFT($Q1456,4)&amp;MID($Q1456,6,2)&amp;RIGHT($Q1456,2)&amp;IF(Sync!$K1456="","0000",IF(AND(ISNUMBER(Sync!$K1456),Sync!$K1456&gt;=0,Sync!$K1456&lt;1),RIGHT("00"&amp;HOUR(Sync!$K1456),2)&amp;RIGHT("00"&amp;MINUTE(Sync!$K1456),2),IFERROR(RIGHT("00"&amp;VALUE(LEFT(Sync!$K1456,FIND(":",Sync!$K1456)-1)),2)&amp;RIGHT("00"&amp;VALUE(MID(Sync!$K1456,FIND(":",Sync!$K1456)+1,2)),2),"0000")))&amp;"|"&amp;"2"&amp;RIGHT("00000"&amp;1451,5))</f>
        <v/>
      </c>
      <c r="Q1456" t="str">
        <f>IF(Sync!$J1456="","",IF(ISNUMBER(Sync!$J1456),IF(AND(Sync!$J1456&gt;=10000101,Sync!$J1456&lt;=99991231),INT(Sync!$J1456/10000)&amp;"/"&amp;RIGHT("00"&amp;INT(MOD(Sync!$J1456,10000)/100),2)&amp;"/"&amp;RIGHT("00"&amp;MOD(Sync!$J1456,100),2),"نامعتبر"),IF(LEN(Sync!$J1456)=10,Sync!$J1456,"نامعتبر")))</f>
        <v/>
      </c>
      <c r="R1456" t="str">
        <f t="shared" si="131"/>
        <v/>
      </c>
      <c r="S1456" t="str">
        <f t="shared" si="132"/>
        <v/>
      </c>
      <c r="T1456" t="str">
        <f>IF($N1456="","",IF(Sync!$N1456="",0,Sync!$N1456))</f>
        <v/>
      </c>
      <c r="U1456" t="str">
        <f>IF($N1456="","",IF(Sync!$O1456="",0,Sync!$O1456))</f>
        <v/>
      </c>
      <c r="V1456" t="str">
        <f>IF($N1456="","",Sync!$L1456)</f>
        <v/>
      </c>
      <c r="W1456" t="str">
        <f>IF($N1456="","",Sync!$P1456)</f>
        <v/>
      </c>
    </row>
    <row r="1457" spans="14:23" x14ac:dyDescent="0.2">
      <c r="N1457" t="str">
        <f>IF(OR(Sync!$M1457="",$Q1457="",$Q1457="نامعتبر"),"",Sync!$M1457)</f>
        <v/>
      </c>
      <c r="O1457" t="str">
        <f t="shared" si="130"/>
        <v/>
      </c>
      <c r="P1457" t="str">
        <f>IF($N1457="","",LEFT($Q1457,4)&amp;MID($Q1457,6,2)&amp;RIGHT($Q1457,2)&amp;IF(Sync!$K1457="","0000",IF(AND(ISNUMBER(Sync!$K1457),Sync!$K1457&gt;=0,Sync!$K1457&lt;1),RIGHT("00"&amp;HOUR(Sync!$K1457),2)&amp;RIGHT("00"&amp;MINUTE(Sync!$K1457),2),IFERROR(RIGHT("00"&amp;VALUE(LEFT(Sync!$K1457,FIND(":",Sync!$K1457)-1)),2)&amp;RIGHT("00"&amp;VALUE(MID(Sync!$K1457,FIND(":",Sync!$K1457)+1,2)),2),"0000")))&amp;"|"&amp;"2"&amp;RIGHT("00000"&amp;1452,5))</f>
        <v/>
      </c>
      <c r="Q1457" t="str">
        <f>IF(Sync!$J1457="","",IF(ISNUMBER(Sync!$J1457),IF(AND(Sync!$J1457&gt;=10000101,Sync!$J1457&lt;=99991231),INT(Sync!$J1457/10000)&amp;"/"&amp;RIGHT("00"&amp;INT(MOD(Sync!$J1457,10000)/100),2)&amp;"/"&amp;RIGHT("00"&amp;MOD(Sync!$J1457,100),2),"نامعتبر"),IF(LEN(Sync!$J1457)=10,Sync!$J1457,"نامعتبر")))</f>
        <v/>
      </c>
      <c r="R1457" t="str">
        <f t="shared" si="131"/>
        <v/>
      </c>
      <c r="S1457" t="str">
        <f t="shared" si="132"/>
        <v/>
      </c>
      <c r="T1457" t="str">
        <f>IF($N1457="","",IF(Sync!$N1457="",0,Sync!$N1457))</f>
        <v/>
      </c>
      <c r="U1457" t="str">
        <f>IF($N1457="","",IF(Sync!$O1457="",0,Sync!$O1457))</f>
        <v/>
      </c>
      <c r="V1457" t="str">
        <f>IF($N1457="","",Sync!$L1457)</f>
        <v/>
      </c>
      <c r="W1457" t="str">
        <f>IF($N1457="","",Sync!$P1457)</f>
        <v/>
      </c>
    </row>
    <row r="1458" spans="14:23" x14ac:dyDescent="0.2">
      <c r="N1458" t="str">
        <f>IF(OR(Sync!$M1458="",$Q1458="",$Q1458="نامعتبر"),"",Sync!$M1458)</f>
        <v/>
      </c>
      <c r="O1458" t="str">
        <f t="shared" si="130"/>
        <v/>
      </c>
      <c r="P1458" t="str">
        <f>IF($N1458="","",LEFT($Q1458,4)&amp;MID($Q1458,6,2)&amp;RIGHT($Q1458,2)&amp;IF(Sync!$K1458="","0000",IF(AND(ISNUMBER(Sync!$K1458),Sync!$K1458&gt;=0,Sync!$K1458&lt;1),RIGHT("00"&amp;HOUR(Sync!$K1458),2)&amp;RIGHT("00"&amp;MINUTE(Sync!$K1458),2),IFERROR(RIGHT("00"&amp;VALUE(LEFT(Sync!$K1458,FIND(":",Sync!$K1458)-1)),2)&amp;RIGHT("00"&amp;VALUE(MID(Sync!$K1458,FIND(":",Sync!$K1458)+1,2)),2),"0000")))&amp;"|"&amp;"2"&amp;RIGHT("00000"&amp;1453,5))</f>
        <v/>
      </c>
      <c r="Q1458" t="str">
        <f>IF(Sync!$J1458="","",IF(ISNUMBER(Sync!$J1458),IF(AND(Sync!$J1458&gt;=10000101,Sync!$J1458&lt;=99991231),INT(Sync!$J1458/10000)&amp;"/"&amp;RIGHT("00"&amp;INT(MOD(Sync!$J1458,10000)/100),2)&amp;"/"&amp;RIGHT("00"&amp;MOD(Sync!$J1458,100),2),"نامعتبر"),IF(LEN(Sync!$J1458)=10,Sync!$J1458,"نامعتبر")))</f>
        <v/>
      </c>
      <c r="R1458" t="str">
        <f t="shared" si="131"/>
        <v/>
      </c>
      <c r="S1458" t="str">
        <f t="shared" si="132"/>
        <v/>
      </c>
      <c r="T1458" t="str">
        <f>IF($N1458="","",IF(Sync!$N1458="",0,Sync!$N1458))</f>
        <v/>
      </c>
      <c r="U1458" t="str">
        <f>IF($N1458="","",IF(Sync!$O1458="",0,Sync!$O1458))</f>
        <v/>
      </c>
      <c r="V1458" t="str">
        <f>IF($N1458="","",Sync!$L1458)</f>
        <v/>
      </c>
      <c r="W1458" t="str">
        <f>IF($N1458="","",Sync!$P1458)</f>
        <v/>
      </c>
    </row>
    <row r="1459" spans="14:23" x14ac:dyDescent="0.2">
      <c r="N1459" t="str">
        <f>IF(OR(Sync!$M1459="",$Q1459="",$Q1459="نامعتبر"),"",Sync!$M1459)</f>
        <v/>
      </c>
      <c r="O1459" t="str">
        <f t="shared" si="130"/>
        <v/>
      </c>
      <c r="P1459" t="str">
        <f>IF($N1459="","",LEFT($Q1459,4)&amp;MID($Q1459,6,2)&amp;RIGHT($Q1459,2)&amp;IF(Sync!$K1459="","0000",IF(AND(ISNUMBER(Sync!$K1459),Sync!$K1459&gt;=0,Sync!$K1459&lt;1),RIGHT("00"&amp;HOUR(Sync!$K1459),2)&amp;RIGHT("00"&amp;MINUTE(Sync!$K1459),2),IFERROR(RIGHT("00"&amp;VALUE(LEFT(Sync!$K1459,FIND(":",Sync!$K1459)-1)),2)&amp;RIGHT("00"&amp;VALUE(MID(Sync!$K1459,FIND(":",Sync!$K1459)+1,2)),2),"0000")))&amp;"|"&amp;"2"&amp;RIGHT("00000"&amp;1454,5))</f>
        <v/>
      </c>
      <c r="Q1459" t="str">
        <f>IF(Sync!$J1459="","",IF(ISNUMBER(Sync!$J1459),IF(AND(Sync!$J1459&gt;=10000101,Sync!$J1459&lt;=99991231),INT(Sync!$J1459/10000)&amp;"/"&amp;RIGHT("00"&amp;INT(MOD(Sync!$J1459,10000)/100),2)&amp;"/"&amp;RIGHT("00"&amp;MOD(Sync!$J1459,100),2),"نامعتبر"),IF(LEN(Sync!$J1459)=10,Sync!$J1459,"نامعتبر")))</f>
        <v/>
      </c>
      <c r="R1459" t="str">
        <f t="shared" si="131"/>
        <v/>
      </c>
      <c r="S1459" t="str">
        <f t="shared" si="132"/>
        <v/>
      </c>
      <c r="T1459" t="str">
        <f>IF($N1459="","",IF(Sync!$N1459="",0,Sync!$N1459))</f>
        <v/>
      </c>
      <c r="U1459" t="str">
        <f>IF($N1459="","",IF(Sync!$O1459="",0,Sync!$O1459))</f>
        <v/>
      </c>
      <c r="V1459" t="str">
        <f>IF($N1459="","",Sync!$L1459)</f>
        <v/>
      </c>
      <c r="W1459" t="str">
        <f>IF($N1459="","",Sync!$P1459)</f>
        <v/>
      </c>
    </row>
    <row r="1460" spans="14:23" x14ac:dyDescent="0.2">
      <c r="N1460" t="str">
        <f>IF(OR(Sync!$M1460="",$Q1460="",$Q1460="نامعتبر"),"",Sync!$M1460)</f>
        <v/>
      </c>
      <c r="O1460" t="str">
        <f t="shared" si="130"/>
        <v/>
      </c>
      <c r="P1460" t="str">
        <f>IF($N1460="","",LEFT($Q1460,4)&amp;MID($Q1460,6,2)&amp;RIGHT($Q1460,2)&amp;IF(Sync!$K1460="","0000",IF(AND(ISNUMBER(Sync!$K1460),Sync!$K1460&gt;=0,Sync!$K1460&lt;1),RIGHT("00"&amp;HOUR(Sync!$K1460),2)&amp;RIGHT("00"&amp;MINUTE(Sync!$K1460),2),IFERROR(RIGHT("00"&amp;VALUE(LEFT(Sync!$K1460,FIND(":",Sync!$K1460)-1)),2)&amp;RIGHT("00"&amp;VALUE(MID(Sync!$K1460,FIND(":",Sync!$K1460)+1,2)),2),"0000")))&amp;"|"&amp;"2"&amp;RIGHT("00000"&amp;1455,5))</f>
        <v/>
      </c>
      <c r="Q1460" t="str">
        <f>IF(Sync!$J1460="","",IF(ISNUMBER(Sync!$J1460),IF(AND(Sync!$J1460&gt;=10000101,Sync!$J1460&lt;=99991231),INT(Sync!$J1460/10000)&amp;"/"&amp;RIGHT("00"&amp;INT(MOD(Sync!$J1460,10000)/100),2)&amp;"/"&amp;RIGHT("00"&amp;MOD(Sync!$J1460,100),2),"نامعتبر"),IF(LEN(Sync!$J1460)=10,Sync!$J1460,"نامعتبر")))</f>
        <v/>
      </c>
      <c r="R1460" t="str">
        <f t="shared" si="131"/>
        <v/>
      </c>
      <c r="S1460" t="str">
        <f t="shared" si="132"/>
        <v/>
      </c>
      <c r="T1460" t="str">
        <f>IF($N1460="","",IF(Sync!$N1460="",0,Sync!$N1460))</f>
        <v/>
      </c>
      <c r="U1460" t="str">
        <f>IF($N1460="","",IF(Sync!$O1460="",0,Sync!$O1460))</f>
        <v/>
      </c>
      <c r="V1460" t="str">
        <f>IF($N1460="","",Sync!$L1460)</f>
        <v/>
      </c>
      <c r="W1460" t="str">
        <f>IF($N1460="","",Sync!$P1460)</f>
        <v/>
      </c>
    </row>
    <row r="1461" spans="14:23" x14ac:dyDescent="0.2">
      <c r="N1461" t="str">
        <f>IF(OR(Sync!$M1461="",$Q1461="",$Q1461="نامعتبر"),"",Sync!$M1461)</f>
        <v/>
      </c>
      <c r="O1461" t="str">
        <f t="shared" si="130"/>
        <v/>
      </c>
      <c r="P1461" t="str">
        <f>IF($N1461="","",LEFT($Q1461,4)&amp;MID($Q1461,6,2)&amp;RIGHT($Q1461,2)&amp;IF(Sync!$K1461="","0000",IF(AND(ISNUMBER(Sync!$K1461),Sync!$K1461&gt;=0,Sync!$K1461&lt;1),RIGHT("00"&amp;HOUR(Sync!$K1461),2)&amp;RIGHT("00"&amp;MINUTE(Sync!$K1461),2),IFERROR(RIGHT("00"&amp;VALUE(LEFT(Sync!$K1461,FIND(":",Sync!$K1461)-1)),2)&amp;RIGHT("00"&amp;VALUE(MID(Sync!$K1461,FIND(":",Sync!$K1461)+1,2)),2),"0000")))&amp;"|"&amp;"2"&amp;RIGHT("00000"&amp;1456,5))</f>
        <v/>
      </c>
      <c r="Q1461" t="str">
        <f>IF(Sync!$J1461="","",IF(ISNUMBER(Sync!$J1461),IF(AND(Sync!$J1461&gt;=10000101,Sync!$J1461&lt;=99991231),INT(Sync!$J1461/10000)&amp;"/"&amp;RIGHT("00"&amp;INT(MOD(Sync!$J1461,10000)/100),2)&amp;"/"&amp;RIGHT("00"&amp;MOD(Sync!$J1461,100),2),"نامعتبر"),IF(LEN(Sync!$J1461)=10,Sync!$J1461,"نامعتبر")))</f>
        <v/>
      </c>
      <c r="R1461" t="str">
        <f t="shared" si="131"/>
        <v/>
      </c>
      <c r="S1461" t="str">
        <f t="shared" si="132"/>
        <v/>
      </c>
      <c r="T1461" t="str">
        <f>IF($N1461="","",IF(Sync!$N1461="",0,Sync!$N1461))</f>
        <v/>
      </c>
      <c r="U1461" t="str">
        <f>IF($N1461="","",IF(Sync!$O1461="",0,Sync!$O1461))</f>
        <v/>
      </c>
      <c r="V1461" t="str">
        <f>IF($N1461="","",Sync!$L1461)</f>
        <v/>
      </c>
      <c r="W1461" t="str">
        <f>IF($N1461="","",Sync!$P1461)</f>
        <v/>
      </c>
    </row>
    <row r="1462" spans="14:23" x14ac:dyDescent="0.2">
      <c r="N1462" t="str">
        <f>IF(OR(Sync!$M1462="",$Q1462="",$Q1462="نامعتبر"),"",Sync!$M1462)</f>
        <v/>
      </c>
      <c r="O1462" t="str">
        <f t="shared" si="130"/>
        <v/>
      </c>
      <c r="P1462" t="str">
        <f>IF($N1462="","",LEFT($Q1462,4)&amp;MID($Q1462,6,2)&amp;RIGHT($Q1462,2)&amp;IF(Sync!$K1462="","0000",IF(AND(ISNUMBER(Sync!$K1462),Sync!$K1462&gt;=0,Sync!$K1462&lt;1),RIGHT("00"&amp;HOUR(Sync!$K1462),2)&amp;RIGHT("00"&amp;MINUTE(Sync!$K1462),2),IFERROR(RIGHT("00"&amp;VALUE(LEFT(Sync!$K1462,FIND(":",Sync!$K1462)-1)),2)&amp;RIGHT("00"&amp;VALUE(MID(Sync!$K1462,FIND(":",Sync!$K1462)+1,2)),2),"0000")))&amp;"|"&amp;"2"&amp;RIGHT("00000"&amp;1457,5))</f>
        <v/>
      </c>
      <c r="Q1462" t="str">
        <f>IF(Sync!$J1462="","",IF(ISNUMBER(Sync!$J1462),IF(AND(Sync!$J1462&gt;=10000101,Sync!$J1462&lt;=99991231),INT(Sync!$J1462/10000)&amp;"/"&amp;RIGHT("00"&amp;INT(MOD(Sync!$J1462,10000)/100),2)&amp;"/"&amp;RIGHT("00"&amp;MOD(Sync!$J1462,100),2),"نامعتبر"),IF(LEN(Sync!$J1462)=10,Sync!$J1462,"نامعتبر")))</f>
        <v/>
      </c>
      <c r="R1462" t="str">
        <f t="shared" si="131"/>
        <v/>
      </c>
      <c r="S1462" t="str">
        <f t="shared" si="132"/>
        <v/>
      </c>
      <c r="T1462" t="str">
        <f>IF($N1462="","",IF(Sync!$N1462="",0,Sync!$N1462))</f>
        <v/>
      </c>
      <c r="U1462" t="str">
        <f>IF($N1462="","",IF(Sync!$O1462="",0,Sync!$O1462))</f>
        <v/>
      </c>
      <c r="V1462" t="str">
        <f>IF($N1462="","",Sync!$L1462)</f>
        <v/>
      </c>
      <c r="W1462" t="str">
        <f>IF($N1462="","",Sync!$P1462)</f>
        <v/>
      </c>
    </row>
    <row r="1463" spans="14:23" x14ac:dyDescent="0.2">
      <c r="N1463" t="str">
        <f>IF(OR(Sync!$M1463="",$Q1463="",$Q1463="نامعتبر"),"",Sync!$M1463)</f>
        <v/>
      </c>
      <c r="O1463" t="str">
        <f t="shared" si="130"/>
        <v/>
      </c>
      <c r="P1463" t="str">
        <f>IF($N1463="","",LEFT($Q1463,4)&amp;MID($Q1463,6,2)&amp;RIGHT($Q1463,2)&amp;IF(Sync!$K1463="","0000",IF(AND(ISNUMBER(Sync!$K1463),Sync!$K1463&gt;=0,Sync!$K1463&lt;1),RIGHT("00"&amp;HOUR(Sync!$K1463),2)&amp;RIGHT("00"&amp;MINUTE(Sync!$K1463),2),IFERROR(RIGHT("00"&amp;VALUE(LEFT(Sync!$K1463,FIND(":",Sync!$K1463)-1)),2)&amp;RIGHT("00"&amp;VALUE(MID(Sync!$K1463,FIND(":",Sync!$K1463)+1,2)),2),"0000")))&amp;"|"&amp;"2"&amp;RIGHT("00000"&amp;1458,5))</f>
        <v/>
      </c>
      <c r="Q1463" t="str">
        <f>IF(Sync!$J1463="","",IF(ISNUMBER(Sync!$J1463),IF(AND(Sync!$J1463&gt;=10000101,Sync!$J1463&lt;=99991231),INT(Sync!$J1463/10000)&amp;"/"&amp;RIGHT("00"&amp;INT(MOD(Sync!$J1463,10000)/100),2)&amp;"/"&amp;RIGHT("00"&amp;MOD(Sync!$J1463,100),2),"نامعتبر"),IF(LEN(Sync!$J1463)=10,Sync!$J1463,"نامعتبر")))</f>
        <v/>
      </c>
      <c r="R1463" t="str">
        <f t="shared" si="131"/>
        <v/>
      </c>
      <c r="S1463" t="str">
        <f t="shared" si="132"/>
        <v/>
      </c>
      <c r="T1463" t="str">
        <f>IF($N1463="","",IF(Sync!$N1463="",0,Sync!$N1463))</f>
        <v/>
      </c>
      <c r="U1463" t="str">
        <f>IF($N1463="","",IF(Sync!$O1463="",0,Sync!$O1463))</f>
        <v/>
      </c>
      <c r="V1463" t="str">
        <f>IF($N1463="","",Sync!$L1463)</f>
        <v/>
      </c>
      <c r="W1463" t="str">
        <f>IF($N1463="","",Sync!$P1463)</f>
        <v/>
      </c>
    </row>
    <row r="1464" spans="14:23" x14ac:dyDescent="0.2">
      <c r="N1464" t="str">
        <f>IF(OR(Sync!$M1464="",$Q1464="",$Q1464="نامعتبر"),"",Sync!$M1464)</f>
        <v/>
      </c>
      <c r="O1464" t="str">
        <f t="shared" si="130"/>
        <v/>
      </c>
      <c r="P1464" t="str">
        <f>IF($N1464="","",LEFT($Q1464,4)&amp;MID($Q1464,6,2)&amp;RIGHT($Q1464,2)&amp;IF(Sync!$K1464="","0000",IF(AND(ISNUMBER(Sync!$K1464),Sync!$K1464&gt;=0,Sync!$K1464&lt;1),RIGHT("00"&amp;HOUR(Sync!$K1464),2)&amp;RIGHT("00"&amp;MINUTE(Sync!$K1464),2),IFERROR(RIGHT("00"&amp;VALUE(LEFT(Sync!$K1464,FIND(":",Sync!$K1464)-1)),2)&amp;RIGHT("00"&amp;VALUE(MID(Sync!$K1464,FIND(":",Sync!$K1464)+1,2)),2),"0000")))&amp;"|"&amp;"2"&amp;RIGHT("00000"&amp;1459,5))</f>
        <v/>
      </c>
      <c r="Q1464" t="str">
        <f>IF(Sync!$J1464="","",IF(ISNUMBER(Sync!$J1464),IF(AND(Sync!$J1464&gt;=10000101,Sync!$J1464&lt;=99991231),INT(Sync!$J1464/10000)&amp;"/"&amp;RIGHT("00"&amp;INT(MOD(Sync!$J1464,10000)/100),2)&amp;"/"&amp;RIGHT("00"&amp;MOD(Sync!$J1464,100),2),"نامعتبر"),IF(LEN(Sync!$J1464)=10,Sync!$J1464,"نامعتبر")))</f>
        <v/>
      </c>
      <c r="R1464" t="str">
        <f t="shared" si="131"/>
        <v/>
      </c>
      <c r="S1464" t="str">
        <f t="shared" si="132"/>
        <v/>
      </c>
      <c r="T1464" t="str">
        <f>IF($N1464="","",IF(Sync!$N1464="",0,Sync!$N1464))</f>
        <v/>
      </c>
      <c r="U1464" t="str">
        <f>IF($N1464="","",IF(Sync!$O1464="",0,Sync!$O1464))</f>
        <v/>
      </c>
      <c r="V1464" t="str">
        <f>IF($N1464="","",Sync!$L1464)</f>
        <v/>
      </c>
      <c r="W1464" t="str">
        <f>IF($N1464="","",Sync!$P1464)</f>
        <v/>
      </c>
    </row>
    <row r="1465" spans="14:23" x14ac:dyDescent="0.2">
      <c r="N1465" t="str">
        <f>IF(OR(Sync!$M1465="",$Q1465="",$Q1465="نامعتبر"),"",Sync!$M1465)</f>
        <v/>
      </c>
      <c r="O1465" t="str">
        <f t="shared" si="130"/>
        <v/>
      </c>
      <c r="P1465" t="str">
        <f>IF($N1465="","",LEFT($Q1465,4)&amp;MID($Q1465,6,2)&amp;RIGHT($Q1465,2)&amp;IF(Sync!$K1465="","0000",IF(AND(ISNUMBER(Sync!$K1465),Sync!$K1465&gt;=0,Sync!$K1465&lt;1),RIGHT("00"&amp;HOUR(Sync!$K1465),2)&amp;RIGHT("00"&amp;MINUTE(Sync!$K1465),2),IFERROR(RIGHT("00"&amp;VALUE(LEFT(Sync!$K1465,FIND(":",Sync!$K1465)-1)),2)&amp;RIGHT("00"&amp;VALUE(MID(Sync!$K1465,FIND(":",Sync!$K1465)+1,2)),2),"0000")))&amp;"|"&amp;"2"&amp;RIGHT("00000"&amp;1460,5))</f>
        <v/>
      </c>
      <c r="Q1465" t="str">
        <f>IF(Sync!$J1465="","",IF(ISNUMBER(Sync!$J1465),IF(AND(Sync!$J1465&gt;=10000101,Sync!$J1465&lt;=99991231),INT(Sync!$J1465/10000)&amp;"/"&amp;RIGHT("00"&amp;INT(MOD(Sync!$J1465,10000)/100),2)&amp;"/"&amp;RIGHT("00"&amp;MOD(Sync!$J1465,100),2),"نامعتبر"),IF(LEN(Sync!$J1465)=10,Sync!$J1465,"نامعتبر")))</f>
        <v/>
      </c>
      <c r="R1465" t="str">
        <f t="shared" si="131"/>
        <v/>
      </c>
      <c r="S1465" t="str">
        <f t="shared" si="132"/>
        <v/>
      </c>
      <c r="T1465" t="str">
        <f>IF($N1465="","",IF(Sync!$N1465="",0,Sync!$N1465))</f>
        <v/>
      </c>
      <c r="U1465" t="str">
        <f>IF($N1465="","",IF(Sync!$O1465="",0,Sync!$O1465))</f>
        <v/>
      </c>
      <c r="V1465" t="str">
        <f>IF($N1465="","",Sync!$L1465)</f>
        <v/>
      </c>
      <c r="W1465" t="str">
        <f>IF($N1465="","",Sync!$P1465)</f>
        <v/>
      </c>
    </row>
    <row r="1466" spans="14:23" x14ac:dyDescent="0.2">
      <c r="N1466" t="str">
        <f>IF(OR(Sync!$M1466="",$Q1466="",$Q1466="نامعتبر"),"",Sync!$M1466)</f>
        <v/>
      </c>
      <c r="O1466" t="str">
        <f t="shared" si="130"/>
        <v/>
      </c>
      <c r="P1466" t="str">
        <f>IF($N1466="","",LEFT($Q1466,4)&amp;MID($Q1466,6,2)&amp;RIGHT($Q1466,2)&amp;IF(Sync!$K1466="","0000",IF(AND(ISNUMBER(Sync!$K1466),Sync!$K1466&gt;=0,Sync!$K1466&lt;1),RIGHT("00"&amp;HOUR(Sync!$K1466),2)&amp;RIGHT("00"&amp;MINUTE(Sync!$K1466),2),IFERROR(RIGHT("00"&amp;VALUE(LEFT(Sync!$K1466,FIND(":",Sync!$K1466)-1)),2)&amp;RIGHT("00"&amp;VALUE(MID(Sync!$K1466,FIND(":",Sync!$K1466)+1,2)),2),"0000")))&amp;"|"&amp;"2"&amp;RIGHT("00000"&amp;1461,5))</f>
        <v/>
      </c>
      <c r="Q1466" t="str">
        <f>IF(Sync!$J1466="","",IF(ISNUMBER(Sync!$J1466),IF(AND(Sync!$J1466&gt;=10000101,Sync!$J1466&lt;=99991231),INT(Sync!$J1466/10000)&amp;"/"&amp;RIGHT("00"&amp;INT(MOD(Sync!$J1466,10000)/100),2)&amp;"/"&amp;RIGHT("00"&amp;MOD(Sync!$J1466,100),2),"نامعتبر"),IF(LEN(Sync!$J1466)=10,Sync!$J1466,"نامعتبر")))</f>
        <v/>
      </c>
      <c r="R1466" t="str">
        <f t="shared" si="131"/>
        <v/>
      </c>
      <c r="S1466" t="str">
        <f t="shared" si="132"/>
        <v/>
      </c>
      <c r="T1466" t="str">
        <f>IF($N1466="","",IF(Sync!$N1466="",0,Sync!$N1466))</f>
        <v/>
      </c>
      <c r="U1466" t="str">
        <f>IF($N1466="","",IF(Sync!$O1466="",0,Sync!$O1466))</f>
        <v/>
      </c>
      <c r="V1466" t="str">
        <f>IF($N1466="","",Sync!$L1466)</f>
        <v/>
      </c>
      <c r="W1466" t="str">
        <f>IF($N1466="","",Sync!$P1466)</f>
        <v/>
      </c>
    </row>
    <row r="1467" spans="14:23" x14ac:dyDescent="0.2">
      <c r="N1467" t="str">
        <f>IF(OR(Sync!$M1467="",$Q1467="",$Q1467="نامعتبر"),"",Sync!$M1467)</f>
        <v/>
      </c>
      <c r="O1467" t="str">
        <f t="shared" si="130"/>
        <v/>
      </c>
      <c r="P1467" t="str">
        <f>IF($N1467="","",LEFT($Q1467,4)&amp;MID($Q1467,6,2)&amp;RIGHT($Q1467,2)&amp;IF(Sync!$K1467="","0000",IF(AND(ISNUMBER(Sync!$K1467),Sync!$K1467&gt;=0,Sync!$K1467&lt;1),RIGHT("00"&amp;HOUR(Sync!$K1467),2)&amp;RIGHT("00"&amp;MINUTE(Sync!$K1467),2),IFERROR(RIGHT("00"&amp;VALUE(LEFT(Sync!$K1467,FIND(":",Sync!$K1467)-1)),2)&amp;RIGHT("00"&amp;VALUE(MID(Sync!$K1467,FIND(":",Sync!$K1467)+1,2)),2),"0000")))&amp;"|"&amp;"2"&amp;RIGHT("00000"&amp;1462,5))</f>
        <v/>
      </c>
      <c r="Q1467" t="str">
        <f>IF(Sync!$J1467="","",IF(ISNUMBER(Sync!$J1467),IF(AND(Sync!$J1467&gt;=10000101,Sync!$J1467&lt;=99991231),INT(Sync!$J1467/10000)&amp;"/"&amp;RIGHT("00"&amp;INT(MOD(Sync!$J1467,10000)/100),2)&amp;"/"&amp;RIGHT("00"&amp;MOD(Sync!$J1467,100),2),"نامعتبر"),IF(LEN(Sync!$J1467)=10,Sync!$J1467,"نامعتبر")))</f>
        <v/>
      </c>
      <c r="R1467" t="str">
        <f t="shared" si="131"/>
        <v/>
      </c>
      <c r="S1467" t="str">
        <f t="shared" si="132"/>
        <v/>
      </c>
      <c r="T1467" t="str">
        <f>IF($N1467="","",IF(Sync!$N1467="",0,Sync!$N1467))</f>
        <v/>
      </c>
      <c r="U1467" t="str">
        <f>IF($N1467="","",IF(Sync!$O1467="",0,Sync!$O1467))</f>
        <v/>
      </c>
      <c r="V1467" t="str">
        <f>IF($N1467="","",Sync!$L1467)</f>
        <v/>
      </c>
      <c r="W1467" t="str">
        <f>IF($N1467="","",Sync!$P1467)</f>
        <v/>
      </c>
    </row>
    <row r="1468" spans="14:23" x14ac:dyDescent="0.2">
      <c r="N1468" t="str">
        <f>IF(OR(Sync!$M1468="",$Q1468="",$Q1468="نامعتبر"),"",Sync!$M1468)</f>
        <v/>
      </c>
      <c r="O1468" t="str">
        <f t="shared" si="130"/>
        <v/>
      </c>
      <c r="P1468" t="str">
        <f>IF($N1468="","",LEFT($Q1468,4)&amp;MID($Q1468,6,2)&amp;RIGHT($Q1468,2)&amp;IF(Sync!$K1468="","0000",IF(AND(ISNUMBER(Sync!$K1468),Sync!$K1468&gt;=0,Sync!$K1468&lt;1),RIGHT("00"&amp;HOUR(Sync!$K1468),2)&amp;RIGHT("00"&amp;MINUTE(Sync!$K1468),2),IFERROR(RIGHT("00"&amp;VALUE(LEFT(Sync!$K1468,FIND(":",Sync!$K1468)-1)),2)&amp;RIGHT("00"&amp;VALUE(MID(Sync!$K1468,FIND(":",Sync!$K1468)+1,2)),2),"0000")))&amp;"|"&amp;"2"&amp;RIGHT("00000"&amp;1463,5))</f>
        <v/>
      </c>
      <c r="Q1468" t="str">
        <f>IF(Sync!$J1468="","",IF(ISNUMBER(Sync!$J1468),IF(AND(Sync!$J1468&gt;=10000101,Sync!$J1468&lt;=99991231),INT(Sync!$J1468/10000)&amp;"/"&amp;RIGHT("00"&amp;INT(MOD(Sync!$J1468,10000)/100),2)&amp;"/"&amp;RIGHT("00"&amp;MOD(Sync!$J1468,100),2),"نامعتبر"),IF(LEN(Sync!$J1468)=10,Sync!$J1468,"نامعتبر")))</f>
        <v/>
      </c>
      <c r="R1468" t="str">
        <f t="shared" si="131"/>
        <v/>
      </c>
      <c r="S1468" t="str">
        <f t="shared" si="132"/>
        <v/>
      </c>
      <c r="T1468" t="str">
        <f>IF($N1468="","",IF(Sync!$N1468="",0,Sync!$N1468))</f>
        <v/>
      </c>
      <c r="U1468" t="str">
        <f>IF($N1468="","",IF(Sync!$O1468="",0,Sync!$O1468))</f>
        <v/>
      </c>
      <c r="V1468" t="str">
        <f>IF($N1468="","",Sync!$L1468)</f>
        <v/>
      </c>
      <c r="W1468" t="str">
        <f>IF($N1468="","",Sync!$P1468)</f>
        <v/>
      </c>
    </row>
    <row r="1469" spans="14:23" x14ac:dyDescent="0.2">
      <c r="N1469" t="str">
        <f>IF(OR(Sync!$M1469="",$Q1469="",$Q1469="نامعتبر"),"",Sync!$M1469)</f>
        <v/>
      </c>
      <c r="O1469" t="str">
        <f t="shared" si="130"/>
        <v/>
      </c>
      <c r="P1469" t="str">
        <f>IF($N1469="","",LEFT($Q1469,4)&amp;MID($Q1469,6,2)&amp;RIGHT($Q1469,2)&amp;IF(Sync!$K1469="","0000",IF(AND(ISNUMBER(Sync!$K1469),Sync!$K1469&gt;=0,Sync!$K1469&lt;1),RIGHT("00"&amp;HOUR(Sync!$K1469),2)&amp;RIGHT("00"&amp;MINUTE(Sync!$K1469),2),IFERROR(RIGHT("00"&amp;VALUE(LEFT(Sync!$K1469,FIND(":",Sync!$K1469)-1)),2)&amp;RIGHT("00"&amp;VALUE(MID(Sync!$K1469,FIND(":",Sync!$K1469)+1,2)),2),"0000")))&amp;"|"&amp;"2"&amp;RIGHT("00000"&amp;1464,5))</f>
        <v/>
      </c>
      <c r="Q1469" t="str">
        <f>IF(Sync!$J1469="","",IF(ISNUMBER(Sync!$J1469),IF(AND(Sync!$J1469&gt;=10000101,Sync!$J1469&lt;=99991231),INT(Sync!$J1469/10000)&amp;"/"&amp;RIGHT("00"&amp;INT(MOD(Sync!$J1469,10000)/100),2)&amp;"/"&amp;RIGHT("00"&amp;MOD(Sync!$J1469,100),2),"نامعتبر"),IF(LEN(Sync!$J1469)=10,Sync!$J1469,"نامعتبر")))</f>
        <v/>
      </c>
      <c r="R1469" t="str">
        <f t="shared" si="131"/>
        <v/>
      </c>
      <c r="S1469" t="str">
        <f t="shared" si="132"/>
        <v/>
      </c>
      <c r="T1469" t="str">
        <f>IF($N1469="","",IF(Sync!$N1469="",0,Sync!$N1469))</f>
        <v/>
      </c>
      <c r="U1469" t="str">
        <f>IF($N1469="","",IF(Sync!$O1469="",0,Sync!$O1469))</f>
        <v/>
      </c>
      <c r="V1469" t="str">
        <f>IF($N1469="","",Sync!$L1469)</f>
        <v/>
      </c>
      <c r="W1469" t="str">
        <f>IF($N1469="","",Sync!$P1469)</f>
        <v/>
      </c>
    </row>
    <row r="1470" spans="14:23" x14ac:dyDescent="0.2">
      <c r="N1470" t="str">
        <f>IF(OR(Sync!$M1470="",$Q1470="",$Q1470="نامعتبر"),"",Sync!$M1470)</f>
        <v/>
      </c>
      <c r="O1470" t="str">
        <f t="shared" si="130"/>
        <v/>
      </c>
      <c r="P1470" t="str">
        <f>IF($N1470="","",LEFT($Q1470,4)&amp;MID($Q1470,6,2)&amp;RIGHT($Q1470,2)&amp;IF(Sync!$K1470="","0000",IF(AND(ISNUMBER(Sync!$K1470),Sync!$K1470&gt;=0,Sync!$K1470&lt;1),RIGHT("00"&amp;HOUR(Sync!$K1470),2)&amp;RIGHT("00"&amp;MINUTE(Sync!$K1470),2),IFERROR(RIGHT("00"&amp;VALUE(LEFT(Sync!$K1470,FIND(":",Sync!$K1470)-1)),2)&amp;RIGHT("00"&amp;VALUE(MID(Sync!$K1470,FIND(":",Sync!$K1470)+1,2)),2),"0000")))&amp;"|"&amp;"2"&amp;RIGHT("00000"&amp;1465,5))</f>
        <v/>
      </c>
      <c r="Q1470" t="str">
        <f>IF(Sync!$J1470="","",IF(ISNUMBER(Sync!$J1470),IF(AND(Sync!$J1470&gt;=10000101,Sync!$J1470&lt;=99991231),INT(Sync!$J1470/10000)&amp;"/"&amp;RIGHT("00"&amp;INT(MOD(Sync!$J1470,10000)/100),2)&amp;"/"&amp;RIGHT("00"&amp;MOD(Sync!$J1470,100),2),"نامعتبر"),IF(LEN(Sync!$J1470)=10,Sync!$J1470,"نامعتبر")))</f>
        <v/>
      </c>
      <c r="R1470" t="str">
        <f t="shared" si="131"/>
        <v/>
      </c>
      <c r="S1470" t="str">
        <f t="shared" si="132"/>
        <v/>
      </c>
      <c r="T1470" t="str">
        <f>IF($N1470="","",IF(Sync!$N1470="",0,Sync!$N1470))</f>
        <v/>
      </c>
      <c r="U1470" t="str">
        <f>IF($N1470="","",IF(Sync!$O1470="",0,Sync!$O1470))</f>
        <v/>
      </c>
      <c r="V1470" t="str">
        <f>IF($N1470="","",Sync!$L1470)</f>
        <v/>
      </c>
      <c r="W1470" t="str">
        <f>IF($N1470="","",Sync!$P1470)</f>
        <v/>
      </c>
    </row>
    <row r="1471" spans="14:23" x14ac:dyDescent="0.2">
      <c r="N1471" t="str">
        <f>IF(OR(Sync!$M1471="",$Q1471="",$Q1471="نامعتبر"),"",Sync!$M1471)</f>
        <v/>
      </c>
      <c r="O1471" t="str">
        <f t="shared" si="130"/>
        <v/>
      </c>
      <c r="P1471" t="str">
        <f>IF($N1471="","",LEFT($Q1471,4)&amp;MID($Q1471,6,2)&amp;RIGHT($Q1471,2)&amp;IF(Sync!$K1471="","0000",IF(AND(ISNUMBER(Sync!$K1471),Sync!$K1471&gt;=0,Sync!$K1471&lt;1),RIGHT("00"&amp;HOUR(Sync!$K1471),2)&amp;RIGHT("00"&amp;MINUTE(Sync!$K1471),2),IFERROR(RIGHT("00"&amp;VALUE(LEFT(Sync!$K1471,FIND(":",Sync!$K1471)-1)),2)&amp;RIGHT("00"&amp;VALUE(MID(Sync!$K1471,FIND(":",Sync!$K1471)+1,2)),2),"0000")))&amp;"|"&amp;"2"&amp;RIGHT("00000"&amp;1466,5))</f>
        <v/>
      </c>
      <c r="Q1471" t="str">
        <f>IF(Sync!$J1471="","",IF(ISNUMBER(Sync!$J1471),IF(AND(Sync!$J1471&gt;=10000101,Sync!$J1471&lt;=99991231),INT(Sync!$J1471/10000)&amp;"/"&amp;RIGHT("00"&amp;INT(MOD(Sync!$J1471,10000)/100),2)&amp;"/"&amp;RIGHT("00"&amp;MOD(Sync!$J1471,100),2),"نامعتبر"),IF(LEN(Sync!$J1471)=10,Sync!$J1471,"نامعتبر")))</f>
        <v/>
      </c>
      <c r="R1471" t="str">
        <f t="shared" si="131"/>
        <v/>
      </c>
      <c r="S1471" t="str">
        <f t="shared" si="132"/>
        <v/>
      </c>
      <c r="T1471" t="str">
        <f>IF($N1471="","",IF(Sync!$N1471="",0,Sync!$N1471))</f>
        <v/>
      </c>
      <c r="U1471" t="str">
        <f>IF($N1471="","",IF(Sync!$O1471="",0,Sync!$O1471))</f>
        <v/>
      </c>
      <c r="V1471" t="str">
        <f>IF($N1471="","",Sync!$L1471)</f>
        <v/>
      </c>
      <c r="W1471" t="str">
        <f>IF($N1471="","",Sync!$P1471)</f>
        <v/>
      </c>
    </row>
    <row r="1472" spans="14:23" x14ac:dyDescent="0.2">
      <c r="N1472" t="str">
        <f>IF(OR(Sync!$M1472="",$Q1472="",$Q1472="نامعتبر"),"",Sync!$M1472)</f>
        <v/>
      </c>
      <c r="O1472" t="str">
        <f t="shared" si="130"/>
        <v/>
      </c>
      <c r="P1472" t="str">
        <f>IF($N1472="","",LEFT($Q1472,4)&amp;MID($Q1472,6,2)&amp;RIGHT($Q1472,2)&amp;IF(Sync!$K1472="","0000",IF(AND(ISNUMBER(Sync!$K1472),Sync!$K1472&gt;=0,Sync!$K1472&lt;1),RIGHT("00"&amp;HOUR(Sync!$K1472),2)&amp;RIGHT("00"&amp;MINUTE(Sync!$K1472),2),IFERROR(RIGHT("00"&amp;VALUE(LEFT(Sync!$K1472,FIND(":",Sync!$K1472)-1)),2)&amp;RIGHT("00"&amp;VALUE(MID(Sync!$K1472,FIND(":",Sync!$K1472)+1,2)),2),"0000")))&amp;"|"&amp;"2"&amp;RIGHT("00000"&amp;1467,5))</f>
        <v/>
      </c>
      <c r="Q1472" t="str">
        <f>IF(Sync!$J1472="","",IF(ISNUMBER(Sync!$J1472),IF(AND(Sync!$J1472&gt;=10000101,Sync!$J1472&lt;=99991231),INT(Sync!$J1472/10000)&amp;"/"&amp;RIGHT("00"&amp;INT(MOD(Sync!$J1472,10000)/100),2)&amp;"/"&amp;RIGHT("00"&amp;MOD(Sync!$J1472,100),2),"نامعتبر"),IF(LEN(Sync!$J1472)=10,Sync!$J1472,"نامعتبر")))</f>
        <v/>
      </c>
      <c r="R1472" t="str">
        <f t="shared" si="131"/>
        <v/>
      </c>
      <c r="S1472" t="str">
        <f t="shared" si="132"/>
        <v/>
      </c>
      <c r="T1472" t="str">
        <f>IF($N1472="","",IF(Sync!$N1472="",0,Sync!$N1472))</f>
        <v/>
      </c>
      <c r="U1472" t="str">
        <f>IF($N1472="","",IF(Sync!$O1472="",0,Sync!$O1472))</f>
        <v/>
      </c>
      <c r="V1472" t="str">
        <f>IF($N1472="","",Sync!$L1472)</f>
        <v/>
      </c>
      <c r="W1472" t="str">
        <f>IF($N1472="","",Sync!$P1472)</f>
        <v/>
      </c>
    </row>
    <row r="1473" spans="14:23" x14ac:dyDescent="0.2">
      <c r="N1473" t="str">
        <f>IF(OR(Sync!$M1473="",$Q1473="",$Q1473="نامعتبر"),"",Sync!$M1473)</f>
        <v/>
      </c>
      <c r="O1473" t="str">
        <f t="shared" si="130"/>
        <v/>
      </c>
      <c r="P1473" t="str">
        <f>IF($N1473="","",LEFT($Q1473,4)&amp;MID($Q1473,6,2)&amp;RIGHT($Q1473,2)&amp;IF(Sync!$K1473="","0000",IF(AND(ISNUMBER(Sync!$K1473),Sync!$K1473&gt;=0,Sync!$K1473&lt;1),RIGHT("00"&amp;HOUR(Sync!$K1473),2)&amp;RIGHT("00"&amp;MINUTE(Sync!$K1473),2),IFERROR(RIGHT("00"&amp;VALUE(LEFT(Sync!$K1473,FIND(":",Sync!$K1473)-1)),2)&amp;RIGHT("00"&amp;VALUE(MID(Sync!$K1473,FIND(":",Sync!$K1473)+1,2)),2),"0000")))&amp;"|"&amp;"2"&amp;RIGHT("00000"&amp;1468,5))</f>
        <v/>
      </c>
      <c r="Q1473" t="str">
        <f>IF(Sync!$J1473="","",IF(ISNUMBER(Sync!$J1473),IF(AND(Sync!$J1473&gt;=10000101,Sync!$J1473&lt;=99991231),INT(Sync!$J1473/10000)&amp;"/"&amp;RIGHT("00"&amp;INT(MOD(Sync!$J1473,10000)/100),2)&amp;"/"&amp;RIGHT("00"&amp;MOD(Sync!$J1473,100),2),"نامعتبر"),IF(LEN(Sync!$J1473)=10,Sync!$J1473,"نامعتبر")))</f>
        <v/>
      </c>
      <c r="R1473" t="str">
        <f t="shared" si="131"/>
        <v/>
      </c>
      <c r="S1473" t="str">
        <f t="shared" si="132"/>
        <v/>
      </c>
      <c r="T1473" t="str">
        <f>IF($N1473="","",IF(Sync!$N1473="",0,Sync!$N1473))</f>
        <v/>
      </c>
      <c r="U1473" t="str">
        <f>IF($N1473="","",IF(Sync!$O1473="",0,Sync!$O1473))</f>
        <v/>
      </c>
      <c r="V1473" t="str">
        <f>IF($N1473="","",Sync!$L1473)</f>
        <v/>
      </c>
      <c r="W1473" t="str">
        <f>IF($N1473="","",Sync!$P1473)</f>
        <v/>
      </c>
    </row>
    <row r="1474" spans="14:23" x14ac:dyDescent="0.2">
      <c r="N1474" t="str">
        <f>IF(OR(Sync!$M1474="",$Q1474="",$Q1474="نامعتبر"),"",Sync!$M1474)</f>
        <v/>
      </c>
      <c r="O1474" t="str">
        <f t="shared" si="130"/>
        <v/>
      </c>
      <c r="P1474" t="str">
        <f>IF($N1474="","",LEFT($Q1474,4)&amp;MID($Q1474,6,2)&amp;RIGHT($Q1474,2)&amp;IF(Sync!$K1474="","0000",IF(AND(ISNUMBER(Sync!$K1474),Sync!$K1474&gt;=0,Sync!$K1474&lt;1),RIGHT("00"&amp;HOUR(Sync!$K1474),2)&amp;RIGHT("00"&amp;MINUTE(Sync!$K1474),2),IFERROR(RIGHT("00"&amp;VALUE(LEFT(Sync!$K1474,FIND(":",Sync!$K1474)-1)),2)&amp;RIGHT("00"&amp;VALUE(MID(Sync!$K1474,FIND(":",Sync!$K1474)+1,2)),2),"0000")))&amp;"|"&amp;"2"&amp;RIGHT("00000"&amp;1469,5))</f>
        <v/>
      </c>
      <c r="Q1474" t="str">
        <f>IF(Sync!$J1474="","",IF(ISNUMBER(Sync!$J1474),IF(AND(Sync!$J1474&gt;=10000101,Sync!$J1474&lt;=99991231),INT(Sync!$J1474/10000)&amp;"/"&amp;RIGHT("00"&amp;INT(MOD(Sync!$J1474,10000)/100),2)&amp;"/"&amp;RIGHT("00"&amp;MOD(Sync!$J1474,100),2),"نامعتبر"),IF(LEN(Sync!$J1474)=10,Sync!$J1474,"نامعتبر")))</f>
        <v/>
      </c>
      <c r="R1474" t="str">
        <f t="shared" si="131"/>
        <v/>
      </c>
      <c r="S1474" t="str">
        <f t="shared" si="132"/>
        <v/>
      </c>
      <c r="T1474" t="str">
        <f>IF($N1474="","",IF(Sync!$N1474="",0,Sync!$N1474))</f>
        <v/>
      </c>
      <c r="U1474" t="str">
        <f>IF($N1474="","",IF(Sync!$O1474="",0,Sync!$O1474))</f>
        <v/>
      </c>
      <c r="V1474" t="str">
        <f>IF($N1474="","",Sync!$L1474)</f>
        <v/>
      </c>
      <c r="W1474" t="str">
        <f>IF($N1474="","",Sync!$P1474)</f>
        <v/>
      </c>
    </row>
    <row r="1475" spans="14:23" x14ac:dyDescent="0.2">
      <c r="N1475" t="str">
        <f>IF(OR(Sync!$M1475="",$Q1475="",$Q1475="نامعتبر"),"",Sync!$M1475)</f>
        <v/>
      </c>
      <c r="O1475" t="str">
        <f t="shared" si="130"/>
        <v/>
      </c>
      <c r="P1475" t="str">
        <f>IF($N1475="","",LEFT($Q1475,4)&amp;MID($Q1475,6,2)&amp;RIGHT($Q1475,2)&amp;IF(Sync!$K1475="","0000",IF(AND(ISNUMBER(Sync!$K1475),Sync!$K1475&gt;=0,Sync!$K1475&lt;1),RIGHT("00"&amp;HOUR(Sync!$K1475),2)&amp;RIGHT("00"&amp;MINUTE(Sync!$K1475),2),IFERROR(RIGHT("00"&amp;VALUE(LEFT(Sync!$K1475,FIND(":",Sync!$K1475)-1)),2)&amp;RIGHT("00"&amp;VALUE(MID(Sync!$K1475,FIND(":",Sync!$K1475)+1,2)),2),"0000")))&amp;"|"&amp;"2"&amp;RIGHT("00000"&amp;1470,5))</f>
        <v/>
      </c>
      <c r="Q1475" t="str">
        <f>IF(Sync!$J1475="","",IF(ISNUMBER(Sync!$J1475),IF(AND(Sync!$J1475&gt;=10000101,Sync!$J1475&lt;=99991231),INT(Sync!$J1475/10000)&amp;"/"&amp;RIGHT("00"&amp;INT(MOD(Sync!$J1475,10000)/100),2)&amp;"/"&amp;RIGHT("00"&amp;MOD(Sync!$J1475,100),2),"نامعتبر"),IF(LEN(Sync!$J1475)=10,Sync!$J1475,"نامعتبر")))</f>
        <v/>
      </c>
      <c r="R1475" t="str">
        <f t="shared" si="131"/>
        <v/>
      </c>
      <c r="S1475" t="str">
        <f t="shared" si="132"/>
        <v/>
      </c>
      <c r="T1475" t="str">
        <f>IF($N1475="","",IF(Sync!$N1475="",0,Sync!$N1475))</f>
        <v/>
      </c>
      <c r="U1475" t="str">
        <f>IF($N1475="","",IF(Sync!$O1475="",0,Sync!$O1475))</f>
        <v/>
      </c>
      <c r="V1475" t="str">
        <f>IF($N1475="","",Sync!$L1475)</f>
        <v/>
      </c>
      <c r="W1475" t="str">
        <f>IF($N1475="","",Sync!$P1475)</f>
        <v/>
      </c>
    </row>
    <row r="1476" spans="14:23" x14ac:dyDescent="0.2">
      <c r="N1476" t="str">
        <f>IF(OR(Sync!$M1476="",$Q1476="",$Q1476="نامعتبر"),"",Sync!$M1476)</f>
        <v/>
      </c>
      <c r="O1476" t="str">
        <f t="shared" si="130"/>
        <v/>
      </c>
      <c r="P1476" t="str">
        <f>IF($N1476="","",LEFT($Q1476,4)&amp;MID($Q1476,6,2)&amp;RIGHT($Q1476,2)&amp;IF(Sync!$K1476="","0000",IF(AND(ISNUMBER(Sync!$K1476),Sync!$K1476&gt;=0,Sync!$K1476&lt;1),RIGHT("00"&amp;HOUR(Sync!$K1476),2)&amp;RIGHT("00"&amp;MINUTE(Sync!$K1476),2),IFERROR(RIGHT("00"&amp;VALUE(LEFT(Sync!$K1476,FIND(":",Sync!$K1476)-1)),2)&amp;RIGHT("00"&amp;VALUE(MID(Sync!$K1476,FIND(":",Sync!$K1476)+1,2)),2),"0000")))&amp;"|"&amp;"2"&amp;RIGHT("00000"&amp;1471,5))</f>
        <v/>
      </c>
      <c r="Q1476" t="str">
        <f>IF(Sync!$J1476="","",IF(ISNUMBER(Sync!$J1476),IF(AND(Sync!$J1476&gt;=10000101,Sync!$J1476&lt;=99991231),INT(Sync!$J1476/10000)&amp;"/"&amp;RIGHT("00"&amp;INT(MOD(Sync!$J1476,10000)/100),2)&amp;"/"&amp;RIGHT("00"&amp;MOD(Sync!$J1476,100),2),"نامعتبر"),IF(LEN(Sync!$J1476)=10,Sync!$J1476,"نامعتبر")))</f>
        <v/>
      </c>
      <c r="R1476" t="str">
        <f t="shared" si="131"/>
        <v/>
      </c>
      <c r="S1476" t="str">
        <f t="shared" si="132"/>
        <v/>
      </c>
      <c r="T1476" t="str">
        <f>IF($N1476="","",IF(Sync!$N1476="",0,Sync!$N1476))</f>
        <v/>
      </c>
      <c r="U1476" t="str">
        <f>IF($N1476="","",IF(Sync!$O1476="",0,Sync!$O1476))</f>
        <v/>
      </c>
      <c r="V1476" t="str">
        <f>IF($N1476="","",Sync!$L1476)</f>
        <v/>
      </c>
      <c r="W1476" t="str">
        <f>IF($N1476="","",Sync!$P1476)</f>
        <v/>
      </c>
    </row>
    <row r="1477" spans="14:23" x14ac:dyDescent="0.2">
      <c r="N1477" t="str">
        <f>IF(OR(Sync!$M1477="",$Q1477="",$Q1477="نامعتبر"),"",Sync!$M1477)</f>
        <v/>
      </c>
      <c r="O1477" t="str">
        <f t="shared" si="130"/>
        <v/>
      </c>
      <c r="P1477" t="str">
        <f>IF($N1477="","",LEFT($Q1477,4)&amp;MID($Q1477,6,2)&amp;RIGHT($Q1477,2)&amp;IF(Sync!$K1477="","0000",IF(AND(ISNUMBER(Sync!$K1477),Sync!$K1477&gt;=0,Sync!$K1477&lt;1),RIGHT("00"&amp;HOUR(Sync!$K1477),2)&amp;RIGHT("00"&amp;MINUTE(Sync!$K1477),2),IFERROR(RIGHT("00"&amp;VALUE(LEFT(Sync!$K1477,FIND(":",Sync!$K1477)-1)),2)&amp;RIGHT("00"&amp;VALUE(MID(Sync!$K1477,FIND(":",Sync!$K1477)+1,2)),2),"0000")))&amp;"|"&amp;"2"&amp;RIGHT("00000"&amp;1472,5))</f>
        <v/>
      </c>
      <c r="Q1477" t="str">
        <f>IF(Sync!$J1477="","",IF(ISNUMBER(Sync!$J1477),IF(AND(Sync!$J1477&gt;=10000101,Sync!$J1477&lt;=99991231),INT(Sync!$J1477/10000)&amp;"/"&amp;RIGHT("00"&amp;INT(MOD(Sync!$J1477,10000)/100),2)&amp;"/"&amp;RIGHT("00"&amp;MOD(Sync!$J1477,100),2),"نامعتبر"),IF(LEN(Sync!$J1477)=10,Sync!$J1477,"نامعتبر")))</f>
        <v/>
      </c>
      <c r="R1477" t="str">
        <f t="shared" si="131"/>
        <v/>
      </c>
      <c r="S1477" t="str">
        <f t="shared" si="132"/>
        <v/>
      </c>
      <c r="T1477" t="str">
        <f>IF($N1477="","",IF(Sync!$N1477="",0,Sync!$N1477))</f>
        <v/>
      </c>
      <c r="U1477" t="str">
        <f>IF($N1477="","",IF(Sync!$O1477="",0,Sync!$O1477))</f>
        <v/>
      </c>
      <c r="V1477" t="str">
        <f>IF($N1477="","",Sync!$L1477)</f>
        <v/>
      </c>
      <c r="W1477" t="str">
        <f>IF($N1477="","",Sync!$P1477)</f>
        <v/>
      </c>
    </row>
    <row r="1478" spans="14:23" x14ac:dyDescent="0.2">
      <c r="N1478" t="str">
        <f>IF(OR(Sync!$M1478="",$Q1478="",$Q1478="نامعتبر"),"",Sync!$M1478)</f>
        <v/>
      </c>
      <c r="O1478" t="str">
        <f t="shared" ref="O1478:O1541" si="133">IF($N1478="","",$Q1478)</f>
        <v/>
      </c>
      <c r="P1478" t="str">
        <f>IF($N1478="","",LEFT($Q1478,4)&amp;MID($Q1478,6,2)&amp;RIGHT($Q1478,2)&amp;IF(Sync!$K1478="","0000",IF(AND(ISNUMBER(Sync!$K1478),Sync!$K1478&gt;=0,Sync!$K1478&lt;1),RIGHT("00"&amp;HOUR(Sync!$K1478),2)&amp;RIGHT("00"&amp;MINUTE(Sync!$K1478),2),IFERROR(RIGHT("00"&amp;VALUE(LEFT(Sync!$K1478,FIND(":",Sync!$K1478)-1)),2)&amp;RIGHT("00"&amp;VALUE(MID(Sync!$K1478,FIND(":",Sync!$K1478)+1,2)),2),"0000")))&amp;"|"&amp;"2"&amp;RIGHT("00000"&amp;1473,5))</f>
        <v/>
      </c>
      <c r="Q1478" t="str">
        <f>IF(Sync!$J1478="","",IF(ISNUMBER(Sync!$J1478),IF(AND(Sync!$J1478&gt;=10000101,Sync!$J1478&lt;=99991231),INT(Sync!$J1478/10000)&amp;"/"&amp;RIGHT("00"&amp;INT(MOD(Sync!$J1478,10000)/100),2)&amp;"/"&amp;RIGHT("00"&amp;MOD(Sync!$J1478,100),2),"نامعتبر"),IF(LEN(Sync!$J1478)=10,Sync!$J1478,"نامعتبر")))</f>
        <v/>
      </c>
      <c r="R1478" t="str">
        <f t="shared" ref="R1478:R1541" si="134">IF($P1478="","",COUNTIFS($N$6:$N$2005,$N1478,$P$6:$P$2005,"&lt;"&amp;$P1478)+COUNTIFS($A$6:$A$1005,$N1478,$B$6:$B$1005,"&lt;"&amp;$P1478)+1)</f>
        <v/>
      </c>
      <c r="S1478" t="str">
        <f t="shared" ref="S1478:S1541" si="135">IF($N1478="","",$N1478&amp;"|"&amp;RIGHT("000000"&amp;$R1478,6))</f>
        <v/>
      </c>
      <c r="T1478" t="str">
        <f>IF($N1478="","",IF(Sync!$N1478="",0,Sync!$N1478))</f>
        <v/>
      </c>
      <c r="U1478" t="str">
        <f>IF($N1478="","",IF(Sync!$O1478="",0,Sync!$O1478))</f>
        <v/>
      </c>
      <c r="V1478" t="str">
        <f>IF($N1478="","",Sync!$L1478)</f>
        <v/>
      </c>
      <c r="W1478" t="str">
        <f>IF($N1478="","",Sync!$P1478)</f>
        <v/>
      </c>
    </row>
    <row r="1479" spans="14:23" x14ac:dyDescent="0.2">
      <c r="N1479" t="str">
        <f>IF(OR(Sync!$M1479="",$Q1479="",$Q1479="نامعتبر"),"",Sync!$M1479)</f>
        <v/>
      </c>
      <c r="O1479" t="str">
        <f t="shared" si="133"/>
        <v/>
      </c>
      <c r="P1479" t="str">
        <f>IF($N1479="","",LEFT($Q1479,4)&amp;MID($Q1479,6,2)&amp;RIGHT($Q1479,2)&amp;IF(Sync!$K1479="","0000",IF(AND(ISNUMBER(Sync!$K1479),Sync!$K1479&gt;=0,Sync!$K1479&lt;1),RIGHT("00"&amp;HOUR(Sync!$K1479),2)&amp;RIGHT("00"&amp;MINUTE(Sync!$K1479),2),IFERROR(RIGHT("00"&amp;VALUE(LEFT(Sync!$K1479,FIND(":",Sync!$K1479)-1)),2)&amp;RIGHT("00"&amp;VALUE(MID(Sync!$K1479,FIND(":",Sync!$K1479)+1,2)),2),"0000")))&amp;"|"&amp;"2"&amp;RIGHT("00000"&amp;1474,5))</f>
        <v/>
      </c>
      <c r="Q1479" t="str">
        <f>IF(Sync!$J1479="","",IF(ISNUMBER(Sync!$J1479),IF(AND(Sync!$J1479&gt;=10000101,Sync!$J1479&lt;=99991231),INT(Sync!$J1479/10000)&amp;"/"&amp;RIGHT("00"&amp;INT(MOD(Sync!$J1479,10000)/100),2)&amp;"/"&amp;RIGHT("00"&amp;MOD(Sync!$J1479,100),2),"نامعتبر"),IF(LEN(Sync!$J1479)=10,Sync!$J1479,"نامعتبر")))</f>
        <v/>
      </c>
      <c r="R1479" t="str">
        <f t="shared" si="134"/>
        <v/>
      </c>
      <c r="S1479" t="str">
        <f t="shared" si="135"/>
        <v/>
      </c>
      <c r="T1479" t="str">
        <f>IF($N1479="","",IF(Sync!$N1479="",0,Sync!$N1479))</f>
        <v/>
      </c>
      <c r="U1479" t="str">
        <f>IF($N1479="","",IF(Sync!$O1479="",0,Sync!$O1479))</f>
        <v/>
      </c>
      <c r="V1479" t="str">
        <f>IF($N1479="","",Sync!$L1479)</f>
        <v/>
      </c>
      <c r="W1479" t="str">
        <f>IF($N1479="","",Sync!$P1479)</f>
        <v/>
      </c>
    </row>
    <row r="1480" spans="14:23" x14ac:dyDescent="0.2">
      <c r="N1480" t="str">
        <f>IF(OR(Sync!$M1480="",$Q1480="",$Q1480="نامعتبر"),"",Sync!$M1480)</f>
        <v/>
      </c>
      <c r="O1480" t="str">
        <f t="shared" si="133"/>
        <v/>
      </c>
      <c r="P1480" t="str">
        <f>IF($N1480="","",LEFT($Q1480,4)&amp;MID($Q1480,6,2)&amp;RIGHT($Q1480,2)&amp;IF(Sync!$K1480="","0000",IF(AND(ISNUMBER(Sync!$K1480),Sync!$K1480&gt;=0,Sync!$K1480&lt;1),RIGHT("00"&amp;HOUR(Sync!$K1480),2)&amp;RIGHT("00"&amp;MINUTE(Sync!$K1480),2),IFERROR(RIGHT("00"&amp;VALUE(LEFT(Sync!$K1480,FIND(":",Sync!$K1480)-1)),2)&amp;RIGHT("00"&amp;VALUE(MID(Sync!$K1480,FIND(":",Sync!$K1480)+1,2)),2),"0000")))&amp;"|"&amp;"2"&amp;RIGHT("00000"&amp;1475,5))</f>
        <v/>
      </c>
      <c r="Q1480" t="str">
        <f>IF(Sync!$J1480="","",IF(ISNUMBER(Sync!$J1480),IF(AND(Sync!$J1480&gt;=10000101,Sync!$J1480&lt;=99991231),INT(Sync!$J1480/10000)&amp;"/"&amp;RIGHT("00"&amp;INT(MOD(Sync!$J1480,10000)/100),2)&amp;"/"&amp;RIGHT("00"&amp;MOD(Sync!$J1480,100),2),"نامعتبر"),IF(LEN(Sync!$J1480)=10,Sync!$J1480,"نامعتبر")))</f>
        <v/>
      </c>
      <c r="R1480" t="str">
        <f t="shared" si="134"/>
        <v/>
      </c>
      <c r="S1480" t="str">
        <f t="shared" si="135"/>
        <v/>
      </c>
      <c r="T1480" t="str">
        <f>IF($N1480="","",IF(Sync!$N1480="",0,Sync!$N1480))</f>
        <v/>
      </c>
      <c r="U1480" t="str">
        <f>IF($N1480="","",IF(Sync!$O1480="",0,Sync!$O1480))</f>
        <v/>
      </c>
      <c r="V1480" t="str">
        <f>IF($N1480="","",Sync!$L1480)</f>
        <v/>
      </c>
      <c r="W1480" t="str">
        <f>IF($N1480="","",Sync!$P1480)</f>
        <v/>
      </c>
    </row>
    <row r="1481" spans="14:23" x14ac:dyDescent="0.2">
      <c r="N1481" t="str">
        <f>IF(OR(Sync!$M1481="",$Q1481="",$Q1481="نامعتبر"),"",Sync!$M1481)</f>
        <v/>
      </c>
      <c r="O1481" t="str">
        <f t="shared" si="133"/>
        <v/>
      </c>
      <c r="P1481" t="str">
        <f>IF($N1481="","",LEFT($Q1481,4)&amp;MID($Q1481,6,2)&amp;RIGHT($Q1481,2)&amp;IF(Sync!$K1481="","0000",IF(AND(ISNUMBER(Sync!$K1481),Sync!$K1481&gt;=0,Sync!$K1481&lt;1),RIGHT("00"&amp;HOUR(Sync!$K1481),2)&amp;RIGHT("00"&amp;MINUTE(Sync!$K1481),2),IFERROR(RIGHT("00"&amp;VALUE(LEFT(Sync!$K1481,FIND(":",Sync!$K1481)-1)),2)&amp;RIGHT("00"&amp;VALUE(MID(Sync!$K1481,FIND(":",Sync!$K1481)+1,2)),2),"0000")))&amp;"|"&amp;"2"&amp;RIGHT("00000"&amp;1476,5))</f>
        <v/>
      </c>
      <c r="Q1481" t="str">
        <f>IF(Sync!$J1481="","",IF(ISNUMBER(Sync!$J1481),IF(AND(Sync!$J1481&gt;=10000101,Sync!$J1481&lt;=99991231),INT(Sync!$J1481/10000)&amp;"/"&amp;RIGHT("00"&amp;INT(MOD(Sync!$J1481,10000)/100),2)&amp;"/"&amp;RIGHT("00"&amp;MOD(Sync!$J1481,100),2),"نامعتبر"),IF(LEN(Sync!$J1481)=10,Sync!$J1481,"نامعتبر")))</f>
        <v/>
      </c>
      <c r="R1481" t="str">
        <f t="shared" si="134"/>
        <v/>
      </c>
      <c r="S1481" t="str">
        <f t="shared" si="135"/>
        <v/>
      </c>
      <c r="T1481" t="str">
        <f>IF($N1481="","",IF(Sync!$N1481="",0,Sync!$N1481))</f>
        <v/>
      </c>
      <c r="U1481" t="str">
        <f>IF($N1481="","",IF(Sync!$O1481="",0,Sync!$O1481))</f>
        <v/>
      </c>
      <c r="V1481" t="str">
        <f>IF($N1481="","",Sync!$L1481)</f>
        <v/>
      </c>
      <c r="W1481" t="str">
        <f>IF($N1481="","",Sync!$P1481)</f>
        <v/>
      </c>
    </row>
    <row r="1482" spans="14:23" x14ac:dyDescent="0.2">
      <c r="N1482" t="str">
        <f>IF(OR(Sync!$M1482="",$Q1482="",$Q1482="نامعتبر"),"",Sync!$M1482)</f>
        <v/>
      </c>
      <c r="O1482" t="str">
        <f t="shared" si="133"/>
        <v/>
      </c>
      <c r="P1482" t="str">
        <f>IF($N1482="","",LEFT($Q1482,4)&amp;MID($Q1482,6,2)&amp;RIGHT($Q1482,2)&amp;IF(Sync!$K1482="","0000",IF(AND(ISNUMBER(Sync!$K1482),Sync!$K1482&gt;=0,Sync!$K1482&lt;1),RIGHT("00"&amp;HOUR(Sync!$K1482),2)&amp;RIGHT("00"&amp;MINUTE(Sync!$K1482),2),IFERROR(RIGHT("00"&amp;VALUE(LEFT(Sync!$K1482,FIND(":",Sync!$K1482)-1)),2)&amp;RIGHT("00"&amp;VALUE(MID(Sync!$K1482,FIND(":",Sync!$K1482)+1,2)),2),"0000")))&amp;"|"&amp;"2"&amp;RIGHT("00000"&amp;1477,5))</f>
        <v/>
      </c>
      <c r="Q1482" t="str">
        <f>IF(Sync!$J1482="","",IF(ISNUMBER(Sync!$J1482),IF(AND(Sync!$J1482&gt;=10000101,Sync!$J1482&lt;=99991231),INT(Sync!$J1482/10000)&amp;"/"&amp;RIGHT("00"&amp;INT(MOD(Sync!$J1482,10000)/100),2)&amp;"/"&amp;RIGHT("00"&amp;MOD(Sync!$J1482,100),2),"نامعتبر"),IF(LEN(Sync!$J1482)=10,Sync!$J1482,"نامعتبر")))</f>
        <v/>
      </c>
      <c r="R1482" t="str">
        <f t="shared" si="134"/>
        <v/>
      </c>
      <c r="S1482" t="str">
        <f t="shared" si="135"/>
        <v/>
      </c>
      <c r="T1482" t="str">
        <f>IF($N1482="","",IF(Sync!$N1482="",0,Sync!$N1482))</f>
        <v/>
      </c>
      <c r="U1482" t="str">
        <f>IF($N1482="","",IF(Sync!$O1482="",0,Sync!$O1482))</f>
        <v/>
      </c>
      <c r="V1482" t="str">
        <f>IF($N1482="","",Sync!$L1482)</f>
        <v/>
      </c>
      <c r="W1482" t="str">
        <f>IF($N1482="","",Sync!$P1482)</f>
        <v/>
      </c>
    </row>
    <row r="1483" spans="14:23" x14ac:dyDescent="0.2">
      <c r="N1483" t="str">
        <f>IF(OR(Sync!$M1483="",$Q1483="",$Q1483="نامعتبر"),"",Sync!$M1483)</f>
        <v/>
      </c>
      <c r="O1483" t="str">
        <f t="shared" si="133"/>
        <v/>
      </c>
      <c r="P1483" t="str">
        <f>IF($N1483="","",LEFT($Q1483,4)&amp;MID($Q1483,6,2)&amp;RIGHT($Q1483,2)&amp;IF(Sync!$K1483="","0000",IF(AND(ISNUMBER(Sync!$K1483),Sync!$K1483&gt;=0,Sync!$K1483&lt;1),RIGHT("00"&amp;HOUR(Sync!$K1483),2)&amp;RIGHT("00"&amp;MINUTE(Sync!$K1483),2),IFERROR(RIGHT("00"&amp;VALUE(LEFT(Sync!$K1483,FIND(":",Sync!$K1483)-1)),2)&amp;RIGHT("00"&amp;VALUE(MID(Sync!$K1483,FIND(":",Sync!$K1483)+1,2)),2),"0000")))&amp;"|"&amp;"2"&amp;RIGHT("00000"&amp;1478,5))</f>
        <v/>
      </c>
      <c r="Q1483" t="str">
        <f>IF(Sync!$J1483="","",IF(ISNUMBER(Sync!$J1483),IF(AND(Sync!$J1483&gt;=10000101,Sync!$J1483&lt;=99991231),INT(Sync!$J1483/10000)&amp;"/"&amp;RIGHT("00"&amp;INT(MOD(Sync!$J1483,10000)/100),2)&amp;"/"&amp;RIGHT("00"&amp;MOD(Sync!$J1483,100),2),"نامعتبر"),IF(LEN(Sync!$J1483)=10,Sync!$J1483,"نامعتبر")))</f>
        <v/>
      </c>
      <c r="R1483" t="str">
        <f t="shared" si="134"/>
        <v/>
      </c>
      <c r="S1483" t="str">
        <f t="shared" si="135"/>
        <v/>
      </c>
      <c r="T1483" t="str">
        <f>IF($N1483="","",IF(Sync!$N1483="",0,Sync!$N1483))</f>
        <v/>
      </c>
      <c r="U1483" t="str">
        <f>IF($N1483="","",IF(Sync!$O1483="",0,Sync!$O1483))</f>
        <v/>
      </c>
      <c r="V1483" t="str">
        <f>IF($N1483="","",Sync!$L1483)</f>
        <v/>
      </c>
      <c r="W1483" t="str">
        <f>IF($N1483="","",Sync!$P1483)</f>
        <v/>
      </c>
    </row>
    <row r="1484" spans="14:23" x14ac:dyDescent="0.2">
      <c r="N1484" t="str">
        <f>IF(OR(Sync!$M1484="",$Q1484="",$Q1484="نامعتبر"),"",Sync!$M1484)</f>
        <v/>
      </c>
      <c r="O1484" t="str">
        <f t="shared" si="133"/>
        <v/>
      </c>
      <c r="P1484" t="str">
        <f>IF($N1484="","",LEFT($Q1484,4)&amp;MID($Q1484,6,2)&amp;RIGHT($Q1484,2)&amp;IF(Sync!$K1484="","0000",IF(AND(ISNUMBER(Sync!$K1484),Sync!$K1484&gt;=0,Sync!$K1484&lt;1),RIGHT("00"&amp;HOUR(Sync!$K1484),2)&amp;RIGHT("00"&amp;MINUTE(Sync!$K1484),2),IFERROR(RIGHT("00"&amp;VALUE(LEFT(Sync!$K1484,FIND(":",Sync!$K1484)-1)),2)&amp;RIGHT("00"&amp;VALUE(MID(Sync!$K1484,FIND(":",Sync!$K1484)+1,2)),2),"0000")))&amp;"|"&amp;"2"&amp;RIGHT("00000"&amp;1479,5))</f>
        <v/>
      </c>
      <c r="Q1484" t="str">
        <f>IF(Sync!$J1484="","",IF(ISNUMBER(Sync!$J1484),IF(AND(Sync!$J1484&gt;=10000101,Sync!$J1484&lt;=99991231),INT(Sync!$J1484/10000)&amp;"/"&amp;RIGHT("00"&amp;INT(MOD(Sync!$J1484,10000)/100),2)&amp;"/"&amp;RIGHT("00"&amp;MOD(Sync!$J1484,100),2),"نامعتبر"),IF(LEN(Sync!$J1484)=10,Sync!$J1484,"نامعتبر")))</f>
        <v/>
      </c>
      <c r="R1484" t="str">
        <f t="shared" si="134"/>
        <v/>
      </c>
      <c r="S1484" t="str">
        <f t="shared" si="135"/>
        <v/>
      </c>
      <c r="T1484" t="str">
        <f>IF($N1484="","",IF(Sync!$N1484="",0,Sync!$N1484))</f>
        <v/>
      </c>
      <c r="U1484" t="str">
        <f>IF($N1484="","",IF(Sync!$O1484="",0,Sync!$O1484))</f>
        <v/>
      </c>
      <c r="V1484" t="str">
        <f>IF($N1484="","",Sync!$L1484)</f>
        <v/>
      </c>
      <c r="W1484" t="str">
        <f>IF($N1484="","",Sync!$P1484)</f>
        <v/>
      </c>
    </row>
    <row r="1485" spans="14:23" x14ac:dyDescent="0.2">
      <c r="N1485" t="str">
        <f>IF(OR(Sync!$M1485="",$Q1485="",$Q1485="نامعتبر"),"",Sync!$M1485)</f>
        <v/>
      </c>
      <c r="O1485" t="str">
        <f t="shared" si="133"/>
        <v/>
      </c>
      <c r="P1485" t="str">
        <f>IF($N1485="","",LEFT($Q1485,4)&amp;MID($Q1485,6,2)&amp;RIGHT($Q1485,2)&amp;IF(Sync!$K1485="","0000",IF(AND(ISNUMBER(Sync!$K1485),Sync!$K1485&gt;=0,Sync!$K1485&lt;1),RIGHT("00"&amp;HOUR(Sync!$K1485),2)&amp;RIGHT("00"&amp;MINUTE(Sync!$K1485),2),IFERROR(RIGHT("00"&amp;VALUE(LEFT(Sync!$K1485,FIND(":",Sync!$K1485)-1)),2)&amp;RIGHT("00"&amp;VALUE(MID(Sync!$K1485,FIND(":",Sync!$K1485)+1,2)),2),"0000")))&amp;"|"&amp;"2"&amp;RIGHT("00000"&amp;1480,5))</f>
        <v/>
      </c>
      <c r="Q1485" t="str">
        <f>IF(Sync!$J1485="","",IF(ISNUMBER(Sync!$J1485),IF(AND(Sync!$J1485&gt;=10000101,Sync!$J1485&lt;=99991231),INT(Sync!$J1485/10000)&amp;"/"&amp;RIGHT("00"&amp;INT(MOD(Sync!$J1485,10000)/100),2)&amp;"/"&amp;RIGHT("00"&amp;MOD(Sync!$J1485,100),2),"نامعتبر"),IF(LEN(Sync!$J1485)=10,Sync!$J1485,"نامعتبر")))</f>
        <v/>
      </c>
      <c r="R1485" t="str">
        <f t="shared" si="134"/>
        <v/>
      </c>
      <c r="S1485" t="str">
        <f t="shared" si="135"/>
        <v/>
      </c>
      <c r="T1485" t="str">
        <f>IF($N1485="","",IF(Sync!$N1485="",0,Sync!$N1485))</f>
        <v/>
      </c>
      <c r="U1485" t="str">
        <f>IF($N1485="","",IF(Sync!$O1485="",0,Sync!$O1485))</f>
        <v/>
      </c>
      <c r="V1485" t="str">
        <f>IF($N1485="","",Sync!$L1485)</f>
        <v/>
      </c>
      <c r="W1485" t="str">
        <f>IF($N1485="","",Sync!$P1485)</f>
        <v/>
      </c>
    </row>
    <row r="1486" spans="14:23" x14ac:dyDescent="0.2">
      <c r="N1486" t="str">
        <f>IF(OR(Sync!$M1486="",$Q1486="",$Q1486="نامعتبر"),"",Sync!$M1486)</f>
        <v/>
      </c>
      <c r="O1486" t="str">
        <f t="shared" si="133"/>
        <v/>
      </c>
      <c r="P1486" t="str">
        <f>IF($N1486="","",LEFT($Q1486,4)&amp;MID($Q1486,6,2)&amp;RIGHT($Q1486,2)&amp;IF(Sync!$K1486="","0000",IF(AND(ISNUMBER(Sync!$K1486),Sync!$K1486&gt;=0,Sync!$K1486&lt;1),RIGHT("00"&amp;HOUR(Sync!$K1486),2)&amp;RIGHT("00"&amp;MINUTE(Sync!$K1486),2),IFERROR(RIGHT("00"&amp;VALUE(LEFT(Sync!$K1486,FIND(":",Sync!$K1486)-1)),2)&amp;RIGHT("00"&amp;VALUE(MID(Sync!$K1486,FIND(":",Sync!$K1486)+1,2)),2),"0000")))&amp;"|"&amp;"2"&amp;RIGHT("00000"&amp;1481,5))</f>
        <v/>
      </c>
      <c r="Q1486" t="str">
        <f>IF(Sync!$J1486="","",IF(ISNUMBER(Sync!$J1486),IF(AND(Sync!$J1486&gt;=10000101,Sync!$J1486&lt;=99991231),INT(Sync!$J1486/10000)&amp;"/"&amp;RIGHT("00"&amp;INT(MOD(Sync!$J1486,10000)/100),2)&amp;"/"&amp;RIGHT("00"&amp;MOD(Sync!$J1486,100),2),"نامعتبر"),IF(LEN(Sync!$J1486)=10,Sync!$J1486,"نامعتبر")))</f>
        <v/>
      </c>
      <c r="R1486" t="str">
        <f t="shared" si="134"/>
        <v/>
      </c>
      <c r="S1486" t="str">
        <f t="shared" si="135"/>
        <v/>
      </c>
      <c r="T1486" t="str">
        <f>IF($N1486="","",IF(Sync!$N1486="",0,Sync!$N1486))</f>
        <v/>
      </c>
      <c r="U1486" t="str">
        <f>IF($N1486="","",IF(Sync!$O1486="",0,Sync!$O1486))</f>
        <v/>
      </c>
      <c r="V1486" t="str">
        <f>IF($N1486="","",Sync!$L1486)</f>
        <v/>
      </c>
      <c r="W1486" t="str">
        <f>IF($N1486="","",Sync!$P1486)</f>
        <v/>
      </c>
    </row>
    <row r="1487" spans="14:23" x14ac:dyDescent="0.2">
      <c r="N1487" t="str">
        <f>IF(OR(Sync!$M1487="",$Q1487="",$Q1487="نامعتبر"),"",Sync!$M1487)</f>
        <v/>
      </c>
      <c r="O1487" t="str">
        <f t="shared" si="133"/>
        <v/>
      </c>
      <c r="P1487" t="str">
        <f>IF($N1487="","",LEFT($Q1487,4)&amp;MID($Q1487,6,2)&amp;RIGHT($Q1487,2)&amp;IF(Sync!$K1487="","0000",IF(AND(ISNUMBER(Sync!$K1487),Sync!$K1487&gt;=0,Sync!$K1487&lt;1),RIGHT("00"&amp;HOUR(Sync!$K1487),2)&amp;RIGHT("00"&amp;MINUTE(Sync!$K1487),2),IFERROR(RIGHT("00"&amp;VALUE(LEFT(Sync!$K1487,FIND(":",Sync!$K1487)-1)),2)&amp;RIGHT("00"&amp;VALUE(MID(Sync!$K1487,FIND(":",Sync!$K1487)+1,2)),2),"0000")))&amp;"|"&amp;"2"&amp;RIGHT("00000"&amp;1482,5))</f>
        <v/>
      </c>
      <c r="Q1487" t="str">
        <f>IF(Sync!$J1487="","",IF(ISNUMBER(Sync!$J1487),IF(AND(Sync!$J1487&gt;=10000101,Sync!$J1487&lt;=99991231),INT(Sync!$J1487/10000)&amp;"/"&amp;RIGHT("00"&amp;INT(MOD(Sync!$J1487,10000)/100),2)&amp;"/"&amp;RIGHT("00"&amp;MOD(Sync!$J1487,100),2),"نامعتبر"),IF(LEN(Sync!$J1487)=10,Sync!$J1487,"نامعتبر")))</f>
        <v/>
      </c>
      <c r="R1487" t="str">
        <f t="shared" si="134"/>
        <v/>
      </c>
      <c r="S1487" t="str">
        <f t="shared" si="135"/>
        <v/>
      </c>
      <c r="T1487" t="str">
        <f>IF($N1487="","",IF(Sync!$N1487="",0,Sync!$N1487))</f>
        <v/>
      </c>
      <c r="U1487" t="str">
        <f>IF($N1487="","",IF(Sync!$O1487="",0,Sync!$O1487))</f>
        <v/>
      </c>
      <c r="V1487" t="str">
        <f>IF($N1487="","",Sync!$L1487)</f>
        <v/>
      </c>
      <c r="W1487" t="str">
        <f>IF($N1487="","",Sync!$P1487)</f>
        <v/>
      </c>
    </row>
    <row r="1488" spans="14:23" x14ac:dyDescent="0.2">
      <c r="N1488" t="str">
        <f>IF(OR(Sync!$M1488="",$Q1488="",$Q1488="نامعتبر"),"",Sync!$M1488)</f>
        <v/>
      </c>
      <c r="O1488" t="str">
        <f t="shared" si="133"/>
        <v/>
      </c>
      <c r="P1488" t="str">
        <f>IF($N1488="","",LEFT($Q1488,4)&amp;MID($Q1488,6,2)&amp;RIGHT($Q1488,2)&amp;IF(Sync!$K1488="","0000",IF(AND(ISNUMBER(Sync!$K1488),Sync!$K1488&gt;=0,Sync!$K1488&lt;1),RIGHT("00"&amp;HOUR(Sync!$K1488),2)&amp;RIGHT("00"&amp;MINUTE(Sync!$K1488),2),IFERROR(RIGHT("00"&amp;VALUE(LEFT(Sync!$K1488,FIND(":",Sync!$K1488)-1)),2)&amp;RIGHT("00"&amp;VALUE(MID(Sync!$K1488,FIND(":",Sync!$K1488)+1,2)),2),"0000")))&amp;"|"&amp;"2"&amp;RIGHT("00000"&amp;1483,5))</f>
        <v/>
      </c>
      <c r="Q1488" t="str">
        <f>IF(Sync!$J1488="","",IF(ISNUMBER(Sync!$J1488),IF(AND(Sync!$J1488&gt;=10000101,Sync!$J1488&lt;=99991231),INT(Sync!$J1488/10000)&amp;"/"&amp;RIGHT("00"&amp;INT(MOD(Sync!$J1488,10000)/100),2)&amp;"/"&amp;RIGHT("00"&amp;MOD(Sync!$J1488,100),2),"نامعتبر"),IF(LEN(Sync!$J1488)=10,Sync!$J1488,"نامعتبر")))</f>
        <v/>
      </c>
      <c r="R1488" t="str">
        <f t="shared" si="134"/>
        <v/>
      </c>
      <c r="S1488" t="str">
        <f t="shared" si="135"/>
        <v/>
      </c>
      <c r="T1488" t="str">
        <f>IF($N1488="","",IF(Sync!$N1488="",0,Sync!$N1488))</f>
        <v/>
      </c>
      <c r="U1488" t="str">
        <f>IF($N1488="","",IF(Sync!$O1488="",0,Sync!$O1488))</f>
        <v/>
      </c>
      <c r="V1488" t="str">
        <f>IF($N1488="","",Sync!$L1488)</f>
        <v/>
      </c>
      <c r="W1488" t="str">
        <f>IF($N1488="","",Sync!$P1488)</f>
        <v/>
      </c>
    </row>
    <row r="1489" spans="14:23" x14ac:dyDescent="0.2">
      <c r="N1489" t="str">
        <f>IF(OR(Sync!$M1489="",$Q1489="",$Q1489="نامعتبر"),"",Sync!$M1489)</f>
        <v/>
      </c>
      <c r="O1489" t="str">
        <f t="shared" si="133"/>
        <v/>
      </c>
      <c r="P1489" t="str">
        <f>IF($N1489="","",LEFT($Q1489,4)&amp;MID($Q1489,6,2)&amp;RIGHT($Q1489,2)&amp;IF(Sync!$K1489="","0000",IF(AND(ISNUMBER(Sync!$K1489),Sync!$K1489&gt;=0,Sync!$K1489&lt;1),RIGHT("00"&amp;HOUR(Sync!$K1489),2)&amp;RIGHT("00"&amp;MINUTE(Sync!$K1489),2),IFERROR(RIGHT("00"&amp;VALUE(LEFT(Sync!$K1489,FIND(":",Sync!$K1489)-1)),2)&amp;RIGHT("00"&amp;VALUE(MID(Sync!$K1489,FIND(":",Sync!$K1489)+1,2)),2),"0000")))&amp;"|"&amp;"2"&amp;RIGHT("00000"&amp;1484,5))</f>
        <v/>
      </c>
      <c r="Q1489" t="str">
        <f>IF(Sync!$J1489="","",IF(ISNUMBER(Sync!$J1489),IF(AND(Sync!$J1489&gt;=10000101,Sync!$J1489&lt;=99991231),INT(Sync!$J1489/10000)&amp;"/"&amp;RIGHT("00"&amp;INT(MOD(Sync!$J1489,10000)/100),2)&amp;"/"&amp;RIGHT("00"&amp;MOD(Sync!$J1489,100),2),"نامعتبر"),IF(LEN(Sync!$J1489)=10,Sync!$J1489,"نامعتبر")))</f>
        <v/>
      </c>
      <c r="R1489" t="str">
        <f t="shared" si="134"/>
        <v/>
      </c>
      <c r="S1489" t="str">
        <f t="shared" si="135"/>
        <v/>
      </c>
      <c r="T1489" t="str">
        <f>IF($N1489="","",IF(Sync!$N1489="",0,Sync!$N1489))</f>
        <v/>
      </c>
      <c r="U1489" t="str">
        <f>IF($N1489="","",IF(Sync!$O1489="",0,Sync!$O1489))</f>
        <v/>
      </c>
      <c r="V1489" t="str">
        <f>IF($N1489="","",Sync!$L1489)</f>
        <v/>
      </c>
      <c r="W1489" t="str">
        <f>IF($N1489="","",Sync!$P1489)</f>
        <v/>
      </c>
    </row>
    <row r="1490" spans="14:23" x14ac:dyDescent="0.2">
      <c r="N1490" t="str">
        <f>IF(OR(Sync!$M1490="",$Q1490="",$Q1490="نامعتبر"),"",Sync!$M1490)</f>
        <v/>
      </c>
      <c r="O1490" t="str">
        <f t="shared" si="133"/>
        <v/>
      </c>
      <c r="P1490" t="str">
        <f>IF($N1490="","",LEFT($Q1490,4)&amp;MID($Q1490,6,2)&amp;RIGHT($Q1490,2)&amp;IF(Sync!$K1490="","0000",IF(AND(ISNUMBER(Sync!$K1490),Sync!$K1490&gt;=0,Sync!$K1490&lt;1),RIGHT("00"&amp;HOUR(Sync!$K1490),2)&amp;RIGHT("00"&amp;MINUTE(Sync!$K1490),2),IFERROR(RIGHT("00"&amp;VALUE(LEFT(Sync!$K1490,FIND(":",Sync!$K1490)-1)),2)&amp;RIGHT("00"&amp;VALUE(MID(Sync!$K1490,FIND(":",Sync!$K1490)+1,2)),2),"0000")))&amp;"|"&amp;"2"&amp;RIGHT("00000"&amp;1485,5))</f>
        <v/>
      </c>
      <c r="Q1490" t="str">
        <f>IF(Sync!$J1490="","",IF(ISNUMBER(Sync!$J1490),IF(AND(Sync!$J1490&gt;=10000101,Sync!$J1490&lt;=99991231),INT(Sync!$J1490/10000)&amp;"/"&amp;RIGHT("00"&amp;INT(MOD(Sync!$J1490,10000)/100),2)&amp;"/"&amp;RIGHT("00"&amp;MOD(Sync!$J1490,100),2),"نامعتبر"),IF(LEN(Sync!$J1490)=10,Sync!$J1490,"نامعتبر")))</f>
        <v/>
      </c>
      <c r="R1490" t="str">
        <f t="shared" si="134"/>
        <v/>
      </c>
      <c r="S1490" t="str">
        <f t="shared" si="135"/>
        <v/>
      </c>
      <c r="T1490" t="str">
        <f>IF($N1490="","",IF(Sync!$N1490="",0,Sync!$N1490))</f>
        <v/>
      </c>
      <c r="U1490" t="str">
        <f>IF($N1490="","",IF(Sync!$O1490="",0,Sync!$O1490))</f>
        <v/>
      </c>
      <c r="V1490" t="str">
        <f>IF($N1490="","",Sync!$L1490)</f>
        <v/>
      </c>
      <c r="W1490" t="str">
        <f>IF($N1490="","",Sync!$P1490)</f>
        <v/>
      </c>
    </row>
    <row r="1491" spans="14:23" x14ac:dyDescent="0.2">
      <c r="N1491" t="str">
        <f>IF(OR(Sync!$M1491="",$Q1491="",$Q1491="نامعتبر"),"",Sync!$M1491)</f>
        <v/>
      </c>
      <c r="O1491" t="str">
        <f t="shared" si="133"/>
        <v/>
      </c>
      <c r="P1491" t="str">
        <f>IF($N1491="","",LEFT($Q1491,4)&amp;MID($Q1491,6,2)&amp;RIGHT($Q1491,2)&amp;IF(Sync!$K1491="","0000",IF(AND(ISNUMBER(Sync!$K1491),Sync!$K1491&gt;=0,Sync!$K1491&lt;1),RIGHT("00"&amp;HOUR(Sync!$K1491),2)&amp;RIGHT("00"&amp;MINUTE(Sync!$K1491),2),IFERROR(RIGHT("00"&amp;VALUE(LEFT(Sync!$K1491,FIND(":",Sync!$K1491)-1)),2)&amp;RIGHT("00"&amp;VALUE(MID(Sync!$K1491,FIND(":",Sync!$K1491)+1,2)),2),"0000")))&amp;"|"&amp;"2"&amp;RIGHT("00000"&amp;1486,5))</f>
        <v/>
      </c>
      <c r="Q1491" t="str">
        <f>IF(Sync!$J1491="","",IF(ISNUMBER(Sync!$J1491),IF(AND(Sync!$J1491&gt;=10000101,Sync!$J1491&lt;=99991231),INT(Sync!$J1491/10000)&amp;"/"&amp;RIGHT("00"&amp;INT(MOD(Sync!$J1491,10000)/100),2)&amp;"/"&amp;RIGHT("00"&amp;MOD(Sync!$J1491,100),2),"نامعتبر"),IF(LEN(Sync!$J1491)=10,Sync!$J1491,"نامعتبر")))</f>
        <v/>
      </c>
      <c r="R1491" t="str">
        <f t="shared" si="134"/>
        <v/>
      </c>
      <c r="S1491" t="str">
        <f t="shared" si="135"/>
        <v/>
      </c>
      <c r="T1491" t="str">
        <f>IF($N1491="","",IF(Sync!$N1491="",0,Sync!$N1491))</f>
        <v/>
      </c>
      <c r="U1491" t="str">
        <f>IF($N1491="","",IF(Sync!$O1491="",0,Sync!$O1491))</f>
        <v/>
      </c>
      <c r="V1491" t="str">
        <f>IF($N1491="","",Sync!$L1491)</f>
        <v/>
      </c>
      <c r="W1491" t="str">
        <f>IF($N1491="","",Sync!$P1491)</f>
        <v/>
      </c>
    </row>
    <row r="1492" spans="14:23" x14ac:dyDescent="0.2">
      <c r="N1492" t="str">
        <f>IF(OR(Sync!$M1492="",$Q1492="",$Q1492="نامعتبر"),"",Sync!$M1492)</f>
        <v/>
      </c>
      <c r="O1492" t="str">
        <f t="shared" si="133"/>
        <v/>
      </c>
      <c r="P1492" t="str">
        <f>IF($N1492="","",LEFT($Q1492,4)&amp;MID($Q1492,6,2)&amp;RIGHT($Q1492,2)&amp;IF(Sync!$K1492="","0000",IF(AND(ISNUMBER(Sync!$K1492),Sync!$K1492&gt;=0,Sync!$K1492&lt;1),RIGHT("00"&amp;HOUR(Sync!$K1492),2)&amp;RIGHT("00"&amp;MINUTE(Sync!$K1492),2),IFERROR(RIGHT("00"&amp;VALUE(LEFT(Sync!$K1492,FIND(":",Sync!$K1492)-1)),2)&amp;RIGHT("00"&amp;VALUE(MID(Sync!$K1492,FIND(":",Sync!$K1492)+1,2)),2),"0000")))&amp;"|"&amp;"2"&amp;RIGHT("00000"&amp;1487,5))</f>
        <v/>
      </c>
      <c r="Q1492" t="str">
        <f>IF(Sync!$J1492="","",IF(ISNUMBER(Sync!$J1492),IF(AND(Sync!$J1492&gt;=10000101,Sync!$J1492&lt;=99991231),INT(Sync!$J1492/10000)&amp;"/"&amp;RIGHT("00"&amp;INT(MOD(Sync!$J1492,10000)/100),2)&amp;"/"&amp;RIGHT("00"&amp;MOD(Sync!$J1492,100),2),"نامعتبر"),IF(LEN(Sync!$J1492)=10,Sync!$J1492,"نامعتبر")))</f>
        <v/>
      </c>
      <c r="R1492" t="str">
        <f t="shared" si="134"/>
        <v/>
      </c>
      <c r="S1492" t="str">
        <f t="shared" si="135"/>
        <v/>
      </c>
      <c r="T1492" t="str">
        <f>IF($N1492="","",IF(Sync!$N1492="",0,Sync!$N1492))</f>
        <v/>
      </c>
      <c r="U1492" t="str">
        <f>IF($N1492="","",IF(Sync!$O1492="",0,Sync!$O1492))</f>
        <v/>
      </c>
      <c r="V1492" t="str">
        <f>IF($N1492="","",Sync!$L1492)</f>
        <v/>
      </c>
      <c r="W1492" t="str">
        <f>IF($N1492="","",Sync!$P1492)</f>
        <v/>
      </c>
    </row>
    <row r="1493" spans="14:23" x14ac:dyDescent="0.2">
      <c r="N1493" t="str">
        <f>IF(OR(Sync!$M1493="",$Q1493="",$Q1493="نامعتبر"),"",Sync!$M1493)</f>
        <v/>
      </c>
      <c r="O1493" t="str">
        <f t="shared" si="133"/>
        <v/>
      </c>
      <c r="P1493" t="str">
        <f>IF($N1493="","",LEFT($Q1493,4)&amp;MID($Q1493,6,2)&amp;RIGHT($Q1493,2)&amp;IF(Sync!$K1493="","0000",IF(AND(ISNUMBER(Sync!$K1493),Sync!$K1493&gt;=0,Sync!$K1493&lt;1),RIGHT("00"&amp;HOUR(Sync!$K1493),2)&amp;RIGHT("00"&amp;MINUTE(Sync!$K1493),2),IFERROR(RIGHT("00"&amp;VALUE(LEFT(Sync!$K1493,FIND(":",Sync!$K1493)-1)),2)&amp;RIGHT("00"&amp;VALUE(MID(Sync!$K1493,FIND(":",Sync!$K1493)+1,2)),2),"0000")))&amp;"|"&amp;"2"&amp;RIGHT("00000"&amp;1488,5))</f>
        <v/>
      </c>
      <c r="Q1493" t="str">
        <f>IF(Sync!$J1493="","",IF(ISNUMBER(Sync!$J1493),IF(AND(Sync!$J1493&gt;=10000101,Sync!$J1493&lt;=99991231),INT(Sync!$J1493/10000)&amp;"/"&amp;RIGHT("00"&amp;INT(MOD(Sync!$J1493,10000)/100),2)&amp;"/"&amp;RIGHT("00"&amp;MOD(Sync!$J1493,100),2),"نامعتبر"),IF(LEN(Sync!$J1493)=10,Sync!$J1493,"نامعتبر")))</f>
        <v/>
      </c>
      <c r="R1493" t="str">
        <f t="shared" si="134"/>
        <v/>
      </c>
      <c r="S1493" t="str">
        <f t="shared" si="135"/>
        <v/>
      </c>
      <c r="T1493" t="str">
        <f>IF($N1493="","",IF(Sync!$N1493="",0,Sync!$N1493))</f>
        <v/>
      </c>
      <c r="U1493" t="str">
        <f>IF($N1493="","",IF(Sync!$O1493="",0,Sync!$O1493))</f>
        <v/>
      </c>
      <c r="V1493" t="str">
        <f>IF($N1493="","",Sync!$L1493)</f>
        <v/>
      </c>
      <c r="W1493" t="str">
        <f>IF($N1493="","",Sync!$P1493)</f>
        <v/>
      </c>
    </row>
    <row r="1494" spans="14:23" x14ac:dyDescent="0.2">
      <c r="N1494" t="str">
        <f>IF(OR(Sync!$M1494="",$Q1494="",$Q1494="نامعتبر"),"",Sync!$M1494)</f>
        <v/>
      </c>
      <c r="O1494" t="str">
        <f t="shared" si="133"/>
        <v/>
      </c>
      <c r="P1494" t="str">
        <f>IF($N1494="","",LEFT($Q1494,4)&amp;MID($Q1494,6,2)&amp;RIGHT($Q1494,2)&amp;IF(Sync!$K1494="","0000",IF(AND(ISNUMBER(Sync!$K1494),Sync!$K1494&gt;=0,Sync!$K1494&lt;1),RIGHT("00"&amp;HOUR(Sync!$K1494),2)&amp;RIGHT("00"&amp;MINUTE(Sync!$K1494),2),IFERROR(RIGHT("00"&amp;VALUE(LEFT(Sync!$K1494,FIND(":",Sync!$K1494)-1)),2)&amp;RIGHT("00"&amp;VALUE(MID(Sync!$K1494,FIND(":",Sync!$K1494)+1,2)),2),"0000")))&amp;"|"&amp;"2"&amp;RIGHT("00000"&amp;1489,5))</f>
        <v/>
      </c>
      <c r="Q1494" t="str">
        <f>IF(Sync!$J1494="","",IF(ISNUMBER(Sync!$J1494),IF(AND(Sync!$J1494&gt;=10000101,Sync!$J1494&lt;=99991231),INT(Sync!$J1494/10000)&amp;"/"&amp;RIGHT("00"&amp;INT(MOD(Sync!$J1494,10000)/100),2)&amp;"/"&amp;RIGHT("00"&amp;MOD(Sync!$J1494,100),2),"نامعتبر"),IF(LEN(Sync!$J1494)=10,Sync!$J1494,"نامعتبر")))</f>
        <v/>
      </c>
      <c r="R1494" t="str">
        <f t="shared" si="134"/>
        <v/>
      </c>
      <c r="S1494" t="str">
        <f t="shared" si="135"/>
        <v/>
      </c>
      <c r="T1494" t="str">
        <f>IF($N1494="","",IF(Sync!$N1494="",0,Sync!$N1494))</f>
        <v/>
      </c>
      <c r="U1494" t="str">
        <f>IF($N1494="","",IF(Sync!$O1494="",0,Sync!$O1494))</f>
        <v/>
      </c>
      <c r="V1494" t="str">
        <f>IF($N1494="","",Sync!$L1494)</f>
        <v/>
      </c>
      <c r="W1494" t="str">
        <f>IF($N1494="","",Sync!$P1494)</f>
        <v/>
      </c>
    </row>
    <row r="1495" spans="14:23" x14ac:dyDescent="0.2">
      <c r="N1495" t="str">
        <f>IF(OR(Sync!$M1495="",$Q1495="",$Q1495="نامعتبر"),"",Sync!$M1495)</f>
        <v/>
      </c>
      <c r="O1495" t="str">
        <f t="shared" si="133"/>
        <v/>
      </c>
      <c r="P1495" t="str">
        <f>IF($N1495="","",LEFT($Q1495,4)&amp;MID($Q1495,6,2)&amp;RIGHT($Q1495,2)&amp;IF(Sync!$K1495="","0000",IF(AND(ISNUMBER(Sync!$K1495),Sync!$K1495&gt;=0,Sync!$K1495&lt;1),RIGHT("00"&amp;HOUR(Sync!$K1495),2)&amp;RIGHT("00"&amp;MINUTE(Sync!$K1495),2),IFERROR(RIGHT("00"&amp;VALUE(LEFT(Sync!$K1495,FIND(":",Sync!$K1495)-1)),2)&amp;RIGHT("00"&amp;VALUE(MID(Sync!$K1495,FIND(":",Sync!$K1495)+1,2)),2),"0000")))&amp;"|"&amp;"2"&amp;RIGHT("00000"&amp;1490,5))</f>
        <v/>
      </c>
      <c r="Q1495" t="str">
        <f>IF(Sync!$J1495="","",IF(ISNUMBER(Sync!$J1495),IF(AND(Sync!$J1495&gt;=10000101,Sync!$J1495&lt;=99991231),INT(Sync!$J1495/10000)&amp;"/"&amp;RIGHT("00"&amp;INT(MOD(Sync!$J1495,10000)/100),2)&amp;"/"&amp;RIGHT("00"&amp;MOD(Sync!$J1495,100),2),"نامعتبر"),IF(LEN(Sync!$J1495)=10,Sync!$J1495,"نامعتبر")))</f>
        <v/>
      </c>
      <c r="R1495" t="str">
        <f t="shared" si="134"/>
        <v/>
      </c>
      <c r="S1495" t="str">
        <f t="shared" si="135"/>
        <v/>
      </c>
      <c r="T1495" t="str">
        <f>IF($N1495="","",IF(Sync!$N1495="",0,Sync!$N1495))</f>
        <v/>
      </c>
      <c r="U1495" t="str">
        <f>IF($N1495="","",IF(Sync!$O1495="",0,Sync!$O1495))</f>
        <v/>
      </c>
      <c r="V1495" t="str">
        <f>IF($N1495="","",Sync!$L1495)</f>
        <v/>
      </c>
      <c r="W1495" t="str">
        <f>IF($N1495="","",Sync!$P1495)</f>
        <v/>
      </c>
    </row>
    <row r="1496" spans="14:23" x14ac:dyDescent="0.2">
      <c r="N1496" t="str">
        <f>IF(OR(Sync!$M1496="",$Q1496="",$Q1496="نامعتبر"),"",Sync!$M1496)</f>
        <v/>
      </c>
      <c r="O1496" t="str">
        <f t="shared" si="133"/>
        <v/>
      </c>
      <c r="P1496" t="str">
        <f>IF($N1496="","",LEFT($Q1496,4)&amp;MID($Q1496,6,2)&amp;RIGHT($Q1496,2)&amp;IF(Sync!$K1496="","0000",IF(AND(ISNUMBER(Sync!$K1496),Sync!$K1496&gt;=0,Sync!$K1496&lt;1),RIGHT("00"&amp;HOUR(Sync!$K1496),2)&amp;RIGHT("00"&amp;MINUTE(Sync!$K1496),2),IFERROR(RIGHT("00"&amp;VALUE(LEFT(Sync!$K1496,FIND(":",Sync!$K1496)-1)),2)&amp;RIGHT("00"&amp;VALUE(MID(Sync!$K1496,FIND(":",Sync!$K1496)+1,2)),2),"0000")))&amp;"|"&amp;"2"&amp;RIGHT("00000"&amp;1491,5))</f>
        <v/>
      </c>
      <c r="Q1496" t="str">
        <f>IF(Sync!$J1496="","",IF(ISNUMBER(Sync!$J1496),IF(AND(Sync!$J1496&gt;=10000101,Sync!$J1496&lt;=99991231),INT(Sync!$J1496/10000)&amp;"/"&amp;RIGHT("00"&amp;INT(MOD(Sync!$J1496,10000)/100),2)&amp;"/"&amp;RIGHT("00"&amp;MOD(Sync!$J1496,100),2),"نامعتبر"),IF(LEN(Sync!$J1496)=10,Sync!$J1496,"نامعتبر")))</f>
        <v/>
      </c>
      <c r="R1496" t="str">
        <f t="shared" si="134"/>
        <v/>
      </c>
      <c r="S1496" t="str">
        <f t="shared" si="135"/>
        <v/>
      </c>
      <c r="T1496" t="str">
        <f>IF($N1496="","",IF(Sync!$N1496="",0,Sync!$N1496))</f>
        <v/>
      </c>
      <c r="U1496" t="str">
        <f>IF($N1496="","",IF(Sync!$O1496="",0,Sync!$O1496))</f>
        <v/>
      </c>
      <c r="V1496" t="str">
        <f>IF($N1496="","",Sync!$L1496)</f>
        <v/>
      </c>
      <c r="W1496" t="str">
        <f>IF($N1496="","",Sync!$P1496)</f>
        <v/>
      </c>
    </row>
    <row r="1497" spans="14:23" x14ac:dyDescent="0.2">
      <c r="N1497" t="str">
        <f>IF(OR(Sync!$M1497="",$Q1497="",$Q1497="نامعتبر"),"",Sync!$M1497)</f>
        <v/>
      </c>
      <c r="O1497" t="str">
        <f t="shared" si="133"/>
        <v/>
      </c>
      <c r="P1497" t="str">
        <f>IF($N1497="","",LEFT($Q1497,4)&amp;MID($Q1497,6,2)&amp;RIGHT($Q1497,2)&amp;IF(Sync!$K1497="","0000",IF(AND(ISNUMBER(Sync!$K1497),Sync!$K1497&gt;=0,Sync!$K1497&lt;1),RIGHT("00"&amp;HOUR(Sync!$K1497),2)&amp;RIGHT("00"&amp;MINUTE(Sync!$K1497),2),IFERROR(RIGHT("00"&amp;VALUE(LEFT(Sync!$K1497,FIND(":",Sync!$K1497)-1)),2)&amp;RIGHT("00"&amp;VALUE(MID(Sync!$K1497,FIND(":",Sync!$K1497)+1,2)),2),"0000")))&amp;"|"&amp;"2"&amp;RIGHT("00000"&amp;1492,5))</f>
        <v/>
      </c>
      <c r="Q1497" t="str">
        <f>IF(Sync!$J1497="","",IF(ISNUMBER(Sync!$J1497),IF(AND(Sync!$J1497&gt;=10000101,Sync!$J1497&lt;=99991231),INT(Sync!$J1497/10000)&amp;"/"&amp;RIGHT("00"&amp;INT(MOD(Sync!$J1497,10000)/100),2)&amp;"/"&amp;RIGHT("00"&amp;MOD(Sync!$J1497,100),2),"نامعتبر"),IF(LEN(Sync!$J1497)=10,Sync!$J1497,"نامعتبر")))</f>
        <v/>
      </c>
      <c r="R1497" t="str">
        <f t="shared" si="134"/>
        <v/>
      </c>
      <c r="S1497" t="str">
        <f t="shared" si="135"/>
        <v/>
      </c>
      <c r="T1497" t="str">
        <f>IF($N1497="","",IF(Sync!$N1497="",0,Sync!$N1497))</f>
        <v/>
      </c>
      <c r="U1497" t="str">
        <f>IF($N1497="","",IF(Sync!$O1497="",0,Sync!$O1497))</f>
        <v/>
      </c>
      <c r="V1497" t="str">
        <f>IF($N1497="","",Sync!$L1497)</f>
        <v/>
      </c>
      <c r="W1497" t="str">
        <f>IF($N1497="","",Sync!$P1497)</f>
        <v/>
      </c>
    </row>
    <row r="1498" spans="14:23" x14ac:dyDescent="0.2">
      <c r="N1498" t="str">
        <f>IF(OR(Sync!$M1498="",$Q1498="",$Q1498="نامعتبر"),"",Sync!$M1498)</f>
        <v/>
      </c>
      <c r="O1498" t="str">
        <f t="shared" si="133"/>
        <v/>
      </c>
      <c r="P1498" t="str">
        <f>IF($N1498="","",LEFT($Q1498,4)&amp;MID($Q1498,6,2)&amp;RIGHT($Q1498,2)&amp;IF(Sync!$K1498="","0000",IF(AND(ISNUMBER(Sync!$K1498),Sync!$K1498&gt;=0,Sync!$K1498&lt;1),RIGHT("00"&amp;HOUR(Sync!$K1498),2)&amp;RIGHT("00"&amp;MINUTE(Sync!$K1498),2),IFERROR(RIGHT("00"&amp;VALUE(LEFT(Sync!$K1498,FIND(":",Sync!$K1498)-1)),2)&amp;RIGHT("00"&amp;VALUE(MID(Sync!$K1498,FIND(":",Sync!$K1498)+1,2)),2),"0000")))&amp;"|"&amp;"2"&amp;RIGHT("00000"&amp;1493,5))</f>
        <v/>
      </c>
      <c r="Q1498" t="str">
        <f>IF(Sync!$J1498="","",IF(ISNUMBER(Sync!$J1498),IF(AND(Sync!$J1498&gt;=10000101,Sync!$J1498&lt;=99991231),INT(Sync!$J1498/10000)&amp;"/"&amp;RIGHT("00"&amp;INT(MOD(Sync!$J1498,10000)/100),2)&amp;"/"&amp;RIGHT("00"&amp;MOD(Sync!$J1498,100),2),"نامعتبر"),IF(LEN(Sync!$J1498)=10,Sync!$J1498,"نامعتبر")))</f>
        <v/>
      </c>
      <c r="R1498" t="str">
        <f t="shared" si="134"/>
        <v/>
      </c>
      <c r="S1498" t="str">
        <f t="shared" si="135"/>
        <v/>
      </c>
      <c r="T1498" t="str">
        <f>IF($N1498="","",IF(Sync!$N1498="",0,Sync!$N1498))</f>
        <v/>
      </c>
      <c r="U1498" t="str">
        <f>IF($N1498="","",IF(Sync!$O1498="",0,Sync!$O1498))</f>
        <v/>
      </c>
      <c r="V1498" t="str">
        <f>IF($N1498="","",Sync!$L1498)</f>
        <v/>
      </c>
      <c r="W1498" t="str">
        <f>IF($N1498="","",Sync!$P1498)</f>
        <v/>
      </c>
    </row>
    <row r="1499" spans="14:23" x14ac:dyDescent="0.2">
      <c r="N1499" t="str">
        <f>IF(OR(Sync!$M1499="",$Q1499="",$Q1499="نامعتبر"),"",Sync!$M1499)</f>
        <v/>
      </c>
      <c r="O1499" t="str">
        <f t="shared" si="133"/>
        <v/>
      </c>
      <c r="P1499" t="str">
        <f>IF($N1499="","",LEFT($Q1499,4)&amp;MID($Q1499,6,2)&amp;RIGHT($Q1499,2)&amp;IF(Sync!$K1499="","0000",IF(AND(ISNUMBER(Sync!$K1499),Sync!$K1499&gt;=0,Sync!$K1499&lt;1),RIGHT("00"&amp;HOUR(Sync!$K1499),2)&amp;RIGHT("00"&amp;MINUTE(Sync!$K1499),2),IFERROR(RIGHT("00"&amp;VALUE(LEFT(Sync!$K1499,FIND(":",Sync!$K1499)-1)),2)&amp;RIGHT("00"&amp;VALUE(MID(Sync!$K1499,FIND(":",Sync!$K1499)+1,2)),2),"0000")))&amp;"|"&amp;"2"&amp;RIGHT("00000"&amp;1494,5))</f>
        <v/>
      </c>
      <c r="Q1499" t="str">
        <f>IF(Sync!$J1499="","",IF(ISNUMBER(Sync!$J1499),IF(AND(Sync!$J1499&gt;=10000101,Sync!$J1499&lt;=99991231),INT(Sync!$J1499/10000)&amp;"/"&amp;RIGHT("00"&amp;INT(MOD(Sync!$J1499,10000)/100),2)&amp;"/"&amp;RIGHT("00"&amp;MOD(Sync!$J1499,100),2),"نامعتبر"),IF(LEN(Sync!$J1499)=10,Sync!$J1499,"نامعتبر")))</f>
        <v/>
      </c>
      <c r="R1499" t="str">
        <f t="shared" si="134"/>
        <v/>
      </c>
      <c r="S1499" t="str">
        <f t="shared" si="135"/>
        <v/>
      </c>
      <c r="T1499" t="str">
        <f>IF($N1499="","",IF(Sync!$N1499="",0,Sync!$N1499))</f>
        <v/>
      </c>
      <c r="U1499" t="str">
        <f>IF($N1499="","",IF(Sync!$O1499="",0,Sync!$O1499))</f>
        <v/>
      </c>
      <c r="V1499" t="str">
        <f>IF($N1499="","",Sync!$L1499)</f>
        <v/>
      </c>
      <c r="W1499" t="str">
        <f>IF($N1499="","",Sync!$P1499)</f>
        <v/>
      </c>
    </row>
    <row r="1500" spans="14:23" x14ac:dyDescent="0.2">
      <c r="N1500" t="str">
        <f>IF(OR(Sync!$M1500="",$Q1500="",$Q1500="نامعتبر"),"",Sync!$M1500)</f>
        <v/>
      </c>
      <c r="O1500" t="str">
        <f t="shared" si="133"/>
        <v/>
      </c>
      <c r="P1500" t="str">
        <f>IF($N1500="","",LEFT($Q1500,4)&amp;MID($Q1500,6,2)&amp;RIGHT($Q1500,2)&amp;IF(Sync!$K1500="","0000",IF(AND(ISNUMBER(Sync!$K1500),Sync!$K1500&gt;=0,Sync!$K1500&lt;1),RIGHT("00"&amp;HOUR(Sync!$K1500),2)&amp;RIGHT("00"&amp;MINUTE(Sync!$K1500),2),IFERROR(RIGHT("00"&amp;VALUE(LEFT(Sync!$K1500,FIND(":",Sync!$K1500)-1)),2)&amp;RIGHT("00"&amp;VALUE(MID(Sync!$K1500,FIND(":",Sync!$K1500)+1,2)),2),"0000")))&amp;"|"&amp;"2"&amp;RIGHT("00000"&amp;1495,5))</f>
        <v/>
      </c>
      <c r="Q1500" t="str">
        <f>IF(Sync!$J1500="","",IF(ISNUMBER(Sync!$J1500),IF(AND(Sync!$J1500&gt;=10000101,Sync!$J1500&lt;=99991231),INT(Sync!$J1500/10000)&amp;"/"&amp;RIGHT("00"&amp;INT(MOD(Sync!$J1500,10000)/100),2)&amp;"/"&amp;RIGHT("00"&amp;MOD(Sync!$J1500,100),2),"نامعتبر"),IF(LEN(Sync!$J1500)=10,Sync!$J1500,"نامعتبر")))</f>
        <v/>
      </c>
      <c r="R1500" t="str">
        <f t="shared" si="134"/>
        <v/>
      </c>
      <c r="S1500" t="str">
        <f t="shared" si="135"/>
        <v/>
      </c>
      <c r="T1500" t="str">
        <f>IF($N1500="","",IF(Sync!$N1500="",0,Sync!$N1500))</f>
        <v/>
      </c>
      <c r="U1500" t="str">
        <f>IF($N1500="","",IF(Sync!$O1500="",0,Sync!$O1500))</f>
        <v/>
      </c>
      <c r="V1500" t="str">
        <f>IF($N1500="","",Sync!$L1500)</f>
        <v/>
      </c>
      <c r="W1500" t="str">
        <f>IF($N1500="","",Sync!$P1500)</f>
        <v/>
      </c>
    </row>
    <row r="1501" spans="14:23" x14ac:dyDescent="0.2">
      <c r="N1501" t="str">
        <f>IF(OR(Sync!$M1501="",$Q1501="",$Q1501="نامعتبر"),"",Sync!$M1501)</f>
        <v/>
      </c>
      <c r="O1501" t="str">
        <f t="shared" si="133"/>
        <v/>
      </c>
      <c r="P1501" t="str">
        <f>IF($N1501="","",LEFT($Q1501,4)&amp;MID($Q1501,6,2)&amp;RIGHT($Q1501,2)&amp;IF(Sync!$K1501="","0000",IF(AND(ISNUMBER(Sync!$K1501),Sync!$K1501&gt;=0,Sync!$K1501&lt;1),RIGHT("00"&amp;HOUR(Sync!$K1501),2)&amp;RIGHT("00"&amp;MINUTE(Sync!$K1501),2),IFERROR(RIGHT("00"&amp;VALUE(LEFT(Sync!$K1501,FIND(":",Sync!$K1501)-1)),2)&amp;RIGHT("00"&amp;VALUE(MID(Sync!$K1501,FIND(":",Sync!$K1501)+1,2)),2),"0000")))&amp;"|"&amp;"2"&amp;RIGHT("00000"&amp;1496,5))</f>
        <v/>
      </c>
      <c r="Q1501" t="str">
        <f>IF(Sync!$J1501="","",IF(ISNUMBER(Sync!$J1501),IF(AND(Sync!$J1501&gt;=10000101,Sync!$J1501&lt;=99991231),INT(Sync!$J1501/10000)&amp;"/"&amp;RIGHT("00"&amp;INT(MOD(Sync!$J1501,10000)/100),2)&amp;"/"&amp;RIGHT("00"&amp;MOD(Sync!$J1501,100),2),"نامعتبر"),IF(LEN(Sync!$J1501)=10,Sync!$J1501,"نامعتبر")))</f>
        <v/>
      </c>
      <c r="R1501" t="str">
        <f t="shared" si="134"/>
        <v/>
      </c>
      <c r="S1501" t="str">
        <f t="shared" si="135"/>
        <v/>
      </c>
      <c r="T1501" t="str">
        <f>IF($N1501="","",IF(Sync!$N1501="",0,Sync!$N1501))</f>
        <v/>
      </c>
      <c r="U1501" t="str">
        <f>IF($N1501="","",IF(Sync!$O1501="",0,Sync!$O1501))</f>
        <v/>
      </c>
      <c r="V1501" t="str">
        <f>IF($N1501="","",Sync!$L1501)</f>
        <v/>
      </c>
      <c r="W1501" t="str">
        <f>IF($N1501="","",Sync!$P1501)</f>
        <v/>
      </c>
    </row>
    <row r="1502" spans="14:23" x14ac:dyDescent="0.2">
      <c r="N1502" t="str">
        <f>IF(OR(Sync!$M1502="",$Q1502="",$Q1502="نامعتبر"),"",Sync!$M1502)</f>
        <v/>
      </c>
      <c r="O1502" t="str">
        <f t="shared" si="133"/>
        <v/>
      </c>
      <c r="P1502" t="str">
        <f>IF($N1502="","",LEFT($Q1502,4)&amp;MID($Q1502,6,2)&amp;RIGHT($Q1502,2)&amp;IF(Sync!$K1502="","0000",IF(AND(ISNUMBER(Sync!$K1502),Sync!$K1502&gt;=0,Sync!$K1502&lt;1),RIGHT("00"&amp;HOUR(Sync!$K1502),2)&amp;RIGHT("00"&amp;MINUTE(Sync!$K1502),2),IFERROR(RIGHT("00"&amp;VALUE(LEFT(Sync!$K1502,FIND(":",Sync!$K1502)-1)),2)&amp;RIGHT("00"&amp;VALUE(MID(Sync!$K1502,FIND(":",Sync!$K1502)+1,2)),2),"0000")))&amp;"|"&amp;"2"&amp;RIGHT("00000"&amp;1497,5))</f>
        <v/>
      </c>
      <c r="Q1502" t="str">
        <f>IF(Sync!$J1502="","",IF(ISNUMBER(Sync!$J1502),IF(AND(Sync!$J1502&gt;=10000101,Sync!$J1502&lt;=99991231),INT(Sync!$J1502/10000)&amp;"/"&amp;RIGHT("00"&amp;INT(MOD(Sync!$J1502,10000)/100),2)&amp;"/"&amp;RIGHT("00"&amp;MOD(Sync!$J1502,100),2),"نامعتبر"),IF(LEN(Sync!$J1502)=10,Sync!$J1502,"نامعتبر")))</f>
        <v/>
      </c>
      <c r="R1502" t="str">
        <f t="shared" si="134"/>
        <v/>
      </c>
      <c r="S1502" t="str">
        <f t="shared" si="135"/>
        <v/>
      </c>
      <c r="T1502" t="str">
        <f>IF($N1502="","",IF(Sync!$N1502="",0,Sync!$N1502))</f>
        <v/>
      </c>
      <c r="U1502" t="str">
        <f>IF($N1502="","",IF(Sync!$O1502="",0,Sync!$O1502))</f>
        <v/>
      </c>
      <c r="V1502" t="str">
        <f>IF($N1502="","",Sync!$L1502)</f>
        <v/>
      </c>
      <c r="W1502" t="str">
        <f>IF($N1502="","",Sync!$P1502)</f>
        <v/>
      </c>
    </row>
    <row r="1503" spans="14:23" x14ac:dyDescent="0.2">
      <c r="N1503" t="str">
        <f>IF(OR(Sync!$M1503="",$Q1503="",$Q1503="نامعتبر"),"",Sync!$M1503)</f>
        <v/>
      </c>
      <c r="O1503" t="str">
        <f t="shared" si="133"/>
        <v/>
      </c>
      <c r="P1503" t="str">
        <f>IF($N1503="","",LEFT($Q1503,4)&amp;MID($Q1503,6,2)&amp;RIGHT($Q1503,2)&amp;IF(Sync!$K1503="","0000",IF(AND(ISNUMBER(Sync!$K1503),Sync!$K1503&gt;=0,Sync!$K1503&lt;1),RIGHT("00"&amp;HOUR(Sync!$K1503),2)&amp;RIGHT("00"&amp;MINUTE(Sync!$K1503),2),IFERROR(RIGHT("00"&amp;VALUE(LEFT(Sync!$K1503,FIND(":",Sync!$K1503)-1)),2)&amp;RIGHT("00"&amp;VALUE(MID(Sync!$K1503,FIND(":",Sync!$K1503)+1,2)),2),"0000")))&amp;"|"&amp;"2"&amp;RIGHT("00000"&amp;1498,5))</f>
        <v/>
      </c>
      <c r="Q1503" t="str">
        <f>IF(Sync!$J1503="","",IF(ISNUMBER(Sync!$J1503),IF(AND(Sync!$J1503&gt;=10000101,Sync!$J1503&lt;=99991231),INT(Sync!$J1503/10000)&amp;"/"&amp;RIGHT("00"&amp;INT(MOD(Sync!$J1503,10000)/100),2)&amp;"/"&amp;RIGHT("00"&amp;MOD(Sync!$J1503,100),2),"نامعتبر"),IF(LEN(Sync!$J1503)=10,Sync!$J1503,"نامعتبر")))</f>
        <v/>
      </c>
      <c r="R1503" t="str">
        <f t="shared" si="134"/>
        <v/>
      </c>
      <c r="S1503" t="str">
        <f t="shared" si="135"/>
        <v/>
      </c>
      <c r="T1503" t="str">
        <f>IF($N1503="","",IF(Sync!$N1503="",0,Sync!$N1503))</f>
        <v/>
      </c>
      <c r="U1503" t="str">
        <f>IF($N1503="","",IF(Sync!$O1503="",0,Sync!$O1503))</f>
        <v/>
      </c>
      <c r="V1503" t="str">
        <f>IF($N1503="","",Sync!$L1503)</f>
        <v/>
      </c>
      <c r="W1503" t="str">
        <f>IF($N1503="","",Sync!$P1503)</f>
        <v/>
      </c>
    </row>
    <row r="1504" spans="14:23" x14ac:dyDescent="0.2">
      <c r="N1504" t="str">
        <f>IF(OR(Sync!$M1504="",$Q1504="",$Q1504="نامعتبر"),"",Sync!$M1504)</f>
        <v/>
      </c>
      <c r="O1504" t="str">
        <f t="shared" si="133"/>
        <v/>
      </c>
      <c r="P1504" t="str">
        <f>IF($N1504="","",LEFT($Q1504,4)&amp;MID($Q1504,6,2)&amp;RIGHT($Q1504,2)&amp;IF(Sync!$K1504="","0000",IF(AND(ISNUMBER(Sync!$K1504),Sync!$K1504&gt;=0,Sync!$K1504&lt;1),RIGHT("00"&amp;HOUR(Sync!$K1504),2)&amp;RIGHT("00"&amp;MINUTE(Sync!$K1504),2),IFERROR(RIGHT("00"&amp;VALUE(LEFT(Sync!$K1504,FIND(":",Sync!$K1504)-1)),2)&amp;RIGHT("00"&amp;VALUE(MID(Sync!$K1504,FIND(":",Sync!$K1504)+1,2)),2),"0000")))&amp;"|"&amp;"2"&amp;RIGHT("00000"&amp;1499,5))</f>
        <v/>
      </c>
      <c r="Q1504" t="str">
        <f>IF(Sync!$J1504="","",IF(ISNUMBER(Sync!$J1504),IF(AND(Sync!$J1504&gt;=10000101,Sync!$J1504&lt;=99991231),INT(Sync!$J1504/10000)&amp;"/"&amp;RIGHT("00"&amp;INT(MOD(Sync!$J1504,10000)/100),2)&amp;"/"&amp;RIGHT("00"&amp;MOD(Sync!$J1504,100),2),"نامعتبر"),IF(LEN(Sync!$J1504)=10,Sync!$J1504,"نامعتبر")))</f>
        <v/>
      </c>
      <c r="R1504" t="str">
        <f t="shared" si="134"/>
        <v/>
      </c>
      <c r="S1504" t="str">
        <f t="shared" si="135"/>
        <v/>
      </c>
      <c r="T1504" t="str">
        <f>IF($N1504="","",IF(Sync!$N1504="",0,Sync!$N1504))</f>
        <v/>
      </c>
      <c r="U1504" t="str">
        <f>IF($N1504="","",IF(Sync!$O1504="",0,Sync!$O1504))</f>
        <v/>
      </c>
      <c r="V1504" t="str">
        <f>IF($N1504="","",Sync!$L1504)</f>
        <v/>
      </c>
      <c r="W1504" t="str">
        <f>IF($N1504="","",Sync!$P1504)</f>
        <v/>
      </c>
    </row>
    <row r="1505" spans="14:23" x14ac:dyDescent="0.2">
      <c r="N1505" t="str">
        <f>IF(OR(Sync!$M1505="",$Q1505="",$Q1505="نامعتبر"),"",Sync!$M1505)</f>
        <v/>
      </c>
      <c r="O1505" t="str">
        <f t="shared" si="133"/>
        <v/>
      </c>
      <c r="P1505" t="str">
        <f>IF($N1505="","",LEFT($Q1505,4)&amp;MID($Q1505,6,2)&amp;RIGHT($Q1505,2)&amp;IF(Sync!$K1505="","0000",IF(AND(ISNUMBER(Sync!$K1505),Sync!$K1505&gt;=0,Sync!$K1505&lt;1),RIGHT("00"&amp;HOUR(Sync!$K1505),2)&amp;RIGHT("00"&amp;MINUTE(Sync!$K1505),2),IFERROR(RIGHT("00"&amp;VALUE(LEFT(Sync!$K1505,FIND(":",Sync!$K1505)-1)),2)&amp;RIGHT("00"&amp;VALUE(MID(Sync!$K1505,FIND(":",Sync!$K1505)+1,2)),2),"0000")))&amp;"|"&amp;"2"&amp;RIGHT("00000"&amp;1500,5))</f>
        <v/>
      </c>
      <c r="Q1505" t="str">
        <f>IF(Sync!$J1505="","",IF(ISNUMBER(Sync!$J1505),IF(AND(Sync!$J1505&gt;=10000101,Sync!$J1505&lt;=99991231),INT(Sync!$J1505/10000)&amp;"/"&amp;RIGHT("00"&amp;INT(MOD(Sync!$J1505,10000)/100),2)&amp;"/"&amp;RIGHT("00"&amp;MOD(Sync!$J1505,100),2),"نامعتبر"),IF(LEN(Sync!$J1505)=10,Sync!$J1505,"نامعتبر")))</f>
        <v/>
      </c>
      <c r="R1505" t="str">
        <f t="shared" si="134"/>
        <v/>
      </c>
      <c r="S1505" t="str">
        <f t="shared" si="135"/>
        <v/>
      </c>
      <c r="T1505" t="str">
        <f>IF($N1505="","",IF(Sync!$N1505="",0,Sync!$N1505))</f>
        <v/>
      </c>
      <c r="U1505" t="str">
        <f>IF($N1505="","",IF(Sync!$O1505="",0,Sync!$O1505))</f>
        <v/>
      </c>
      <c r="V1505" t="str">
        <f>IF($N1505="","",Sync!$L1505)</f>
        <v/>
      </c>
      <c r="W1505" t="str">
        <f>IF($N1505="","",Sync!$P1505)</f>
        <v/>
      </c>
    </row>
    <row r="1506" spans="14:23" x14ac:dyDescent="0.2">
      <c r="N1506" t="str">
        <f>IF(OR(Sync!$M1506="",$Q1506="",$Q1506="نامعتبر"),"",Sync!$M1506)</f>
        <v/>
      </c>
      <c r="O1506" t="str">
        <f t="shared" si="133"/>
        <v/>
      </c>
      <c r="P1506" t="str">
        <f>IF($N1506="","",LEFT($Q1506,4)&amp;MID($Q1506,6,2)&amp;RIGHT($Q1506,2)&amp;IF(Sync!$K1506="","0000",IF(AND(ISNUMBER(Sync!$K1506),Sync!$K1506&gt;=0,Sync!$K1506&lt;1),RIGHT("00"&amp;HOUR(Sync!$K1506),2)&amp;RIGHT("00"&amp;MINUTE(Sync!$K1506),2),IFERROR(RIGHT("00"&amp;VALUE(LEFT(Sync!$K1506,FIND(":",Sync!$K1506)-1)),2)&amp;RIGHT("00"&amp;VALUE(MID(Sync!$K1506,FIND(":",Sync!$K1506)+1,2)),2),"0000")))&amp;"|"&amp;"2"&amp;RIGHT("00000"&amp;1501,5))</f>
        <v/>
      </c>
      <c r="Q1506" t="str">
        <f>IF(Sync!$J1506="","",IF(ISNUMBER(Sync!$J1506),IF(AND(Sync!$J1506&gt;=10000101,Sync!$J1506&lt;=99991231),INT(Sync!$J1506/10000)&amp;"/"&amp;RIGHT("00"&amp;INT(MOD(Sync!$J1506,10000)/100),2)&amp;"/"&amp;RIGHT("00"&amp;MOD(Sync!$J1506,100),2),"نامعتبر"),IF(LEN(Sync!$J1506)=10,Sync!$J1506,"نامعتبر")))</f>
        <v/>
      </c>
      <c r="R1506" t="str">
        <f t="shared" si="134"/>
        <v/>
      </c>
      <c r="S1506" t="str">
        <f t="shared" si="135"/>
        <v/>
      </c>
      <c r="T1506" t="str">
        <f>IF($N1506="","",IF(Sync!$N1506="",0,Sync!$N1506))</f>
        <v/>
      </c>
      <c r="U1506" t="str">
        <f>IF($N1506="","",IF(Sync!$O1506="",0,Sync!$O1506))</f>
        <v/>
      </c>
      <c r="V1506" t="str">
        <f>IF($N1506="","",Sync!$L1506)</f>
        <v/>
      </c>
      <c r="W1506" t="str">
        <f>IF($N1506="","",Sync!$P1506)</f>
        <v/>
      </c>
    </row>
    <row r="1507" spans="14:23" x14ac:dyDescent="0.2">
      <c r="N1507" t="str">
        <f>IF(OR(Sync!$M1507="",$Q1507="",$Q1507="نامعتبر"),"",Sync!$M1507)</f>
        <v/>
      </c>
      <c r="O1507" t="str">
        <f t="shared" si="133"/>
        <v/>
      </c>
      <c r="P1507" t="str">
        <f>IF($N1507="","",LEFT($Q1507,4)&amp;MID($Q1507,6,2)&amp;RIGHT($Q1507,2)&amp;IF(Sync!$K1507="","0000",IF(AND(ISNUMBER(Sync!$K1507),Sync!$K1507&gt;=0,Sync!$K1507&lt;1),RIGHT("00"&amp;HOUR(Sync!$K1507),2)&amp;RIGHT("00"&amp;MINUTE(Sync!$K1507),2),IFERROR(RIGHT("00"&amp;VALUE(LEFT(Sync!$K1507,FIND(":",Sync!$K1507)-1)),2)&amp;RIGHT("00"&amp;VALUE(MID(Sync!$K1507,FIND(":",Sync!$K1507)+1,2)),2),"0000")))&amp;"|"&amp;"2"&amp;RIGHT("00000"&amp;1502,5))</f>
        <v/>
      </c>
      <c r="Q1507" t="str">
        <f>IF(Sync!$J1507="","",IF(ISNUMBER(Sync!$J1507),IF(AND(Sync!$J1507&gt;=10000101,Sync!$J1507&lt;=99991231),INT(Sync!$J1507/10000)&amp;"/"&amp;RIGHT("00"&amp;INT(MOD(Sync!$J1507,10000)/100),2)&amp;"/"&amp;RIGHT("00"&amp;MOD(Sync!$J1507,100),2),"نامعتبر"),IF(LEN(Sync!$J1507)=10,Sync!$J1507,"نامعتبر")))</f>
        <v/>
      </c>
      <c r="R1507" t="str">
        <f t="shared" si="134"/>
        <v/>
      </c>
      <c r="S1507" t="str">
        <f t="shared" si="135"/>
        <v/>
      </c>
      <c r="T1507" t="str">
        <f>IF($N1507="","",IF(Sync!$N1507="",0,Sync!$N1507))</f>
        <v/>
      </c>
      <c r="U1507" t="str">
        <f>IF($N1507="","",IF(Sync!$O1507="",0,Sync!$O1507))</f>
        <v/>
      </c>
      <c r="V1507" t="str">
        <f>IF($N1507="","",Sync!$L1507)</f>
        <v/>
      </c>
      <c r="W1507" t="str">
        <f>IF($N1507="","",Sync!$P1507)</f>
        <v/>
      </c>
    </row>
    <row r="1508" spans="14:23" x14ac:dyDescent="0.2">
      <c r="N1508" t="str">
        <f>IF(OR(Sync!$M1508="",$Q1508="",$Q1508="نامعتبر"),"",Sync!$M1508)</f>
        <v/>
      </c>
      <c r="O1508" t="str">
        <f t="shared" si="133"/>
        <v/>
      </c>
      <c r="P1508" t="str">
        <f>IF($N1508="","",LEFT($Q1508,4)&amp;MID($Q1508,6,2)&amp;RIGHT($Q1508,2)&amp;IF(Sync!$K1508="","0000",IF(AND(ISNUMBER(Sync!$K1508),Sync!$K1508&gt;=0,Sync!$K1508&lt;1),RIGHT("00"&amp;HOUR(Sync!$K1508),2)&amp;RIGHT("00"&amp;MINUTE(Sync!$K1508),2),IFERROR(RIGHT("00"&amp;VALUE(LEFT(Sync!$K1508,FIND(":",Sync!$K1508)-1)),2)&amp;RIGHT("00"&amp;VALUE(MID(Sync!$K1508,FIND(":",Sync!$K1508)+1,2)),2),"0000")))&amp;"|"&amp;"2"&amp;RIGHT("00000"&amp;1503,5))</f>
        <v/>
      </c>
      <c r="Q1508" t="str">
        <f>IF(Sync!$J1508="","",IF(ISNUMBER(Sync!$J1508),IF(AND(Sync!$J1508&gt;=10000101,Sync!$J1508&lt;=99991231),INT(Sync!$J1508/10000)&amp;"/"&amp;RIGHT("00"&amp;INT(MOD(Sync!$J1508,10000)/100),2)&amp;"/"&amp;RIGHT("00"&amp;MOD(Sync!$J1508,100),2),"نامعتبر"),IF(LEN(Sync!$J1508)=10,Sync!$J1508,"نامعتبر")))</f>
        <v/>
      </c>
      <c r="R1508" t="str">
        <f t="shared" si="134"/>
        <v/>
      </c>
      <c r="S1508" t="str">
        <f t="shared" si="135"/>
        <v/>
      </c>
      <c r="T1508" t="str">
        <f>IF($N1508="","",IF(Sync!$N1508="",0,Sync!$N1508))</f>
        <v/>
      </c>
      <c r="U1508" t="str">
        <f>IF($N1508="","",IF(Sync!$O1508="",0,Sync!$O1508))</f>
        <v/>
      </c>
      <c r="V1508" t="str">
        <f>IF($N1508="","",Sync!$L1508)</f>
        <v/>
      </c>
      <c r="W1508" t="str">
        <f>IF($N1508="","",Sync!$P1508)</f>
        <v/>
      </c>
    </row>
    <row r="1509" spans="14:23" x14ac:dyDescent="0.2">
      <c r="N1509" t="str">
        <f>IF(OR(Sync!$M1509="",$Q1509="",$Q1509="نامعتبر"),"",Sync!$M1509)</f>
        <v/>
      </c>
      <c r="O1509" t="str">
        <f t="shared" si="133"/>
        <v/>
      </c>
      <c r="P1509" t="str">
        <f>IF($N1509="","",LEFT($Q1509,4)&amp;MID($Q1509,6,2)&amp;RIGHT($Q1509,2)&amp;IF(Sync!$K1509="","0000",IF(AND(ISNUMBER(Sync!$K1509),Sync!$K1509&gt;=0,Sync!$K1509&lt;1),RIGHT("00"&amp;HOUR(Sync!$K1509),2)&amp;RIGHT("00"&amp;MINUTE(Sync!$K1509),2),IFERROR(RIGHT("00"&amp;VALUE(LEFT(Sync!$K1509,FIND(":",Sync!$K1509)-1)),2)&amp;RIGHT("00"&amp;VALUE(MID(Sync!$K1509,FIND(":",Sync!$K1509)+1,2)),2),"0000")))&amp;"|"&amp;"2"&amp;RIGHT("00000"&amp;1504,5))</f>
        <v/>
      </c>
      <c r="Q1509" t="str">
        <f>IF(Sync!$J1509="","",IF(ISNUMBER(Sync!$J1509),IF(AND(Sync!$J1509&gt;=10000101,Sync!$J1509&lt;=99991231),INT(Sync!$J1509/10000)&amp;"/"&amp;RIGHT("00"&amp;INT(MOD(Sync!$J1509,10000)/100),2)&amp;"/"&amp;RIGHT("00"&amp;MOD(Sync!$J1509,100),2),"نامعتبر"),IF(LEN(Sync!$J1509)=10,Sync!$J1509,"نامعتبر")))</f>
        <v/>
      </c>
      <c r="R1509" t="str">
        <f t="shared" si="134"/>
        <v/>
      </c>
      <c r="S1509" t="str">
        <f t="shared" si="135"/>
        <v/>
      </c>
      <c r="T1509" t="str">
        <f>IF($N1509="","",IF(Sync!$N1509="",0,Sync!$N1509))</f>
        <v/>
      </c>
      <c r="U1509" t="str">
        <f>IF($N1509="","",IF(Sync!$O1509="",0,Sync!$O1509))</f>
        <v/>
      </c>
      <c r="V1509" t="str">
        <f>IF($N1509="","",Sync!$L1509)</f>
        <v/>
      </c>
      <c r="W1509" t="str">
        <f>IF($N1509="","",Sync!$P1509)</f>
        <v/>
      </c>
    </row>
    <row r="1510" spans="14:23" x14ac:dyDescent="0.2">
      <c r="N1510" t="str">
        <f>IF(OR(Sync!$M1510="",$Q1510="",$Q1510="نامعتبر"),"",Sync!$M1510)</f>
        <v/>
      </c>
      <c r="O1510" t="str">
        <f t="shared" si="133"/>
        <v/>
      </c>
      <c r="P1510" t="str">
        <f>IF($N1510="","",LEFT($Q1510,4)&amp;MID($Q1510,6,2)&amp;RIGHT($Q1510,2)&amp;IF(Sync!$K1510="","0000",IF(AND(ISNUMBER(Sync!$K1510),Sync!$K1510&gt;=0,Sync!$K1510&lt;1),RIGHT("00"&amp;HOUR(Sync!$K1510),2)&amp;RIGHT("00"&amp;MINUTE(Sync!$K1510),2),IFERROR(RIGHT("00"&amp;VALUE(LEFT(Sync!$K1510,FIND(":",Sync!$K1510)-1)),2)&amp;RIGHT("00"&amp;VALUE(MID(Sync!$K1510,FIND(":",Sync!$K1510)+1,2)),2),"0000")))&amp;"|"&amp;"2"&amp;RIGHT("00000"&amp;1505,5))</f>
        <v/>
      </c>
      <c r="Q1510" t="str">
        <f>IF(Sync!$J1510="","",IF(ISNUMBER(Sync!$J1510),IF(AND(Sync!$J1510&gt;=10000101,Sync!$J1510&lt;=99991231),INT(Sync!$J1510/10000)&amp;"/"&amp;RIGHT("00"&amp;INT(MOD(Sync!$J1510,10000)/100),2)&amp;"/"&amp;RIGHT("00"&amp;MOD(Sync!$J1510,100),2),"نامعتبر"),IF(LEN(Sync!$J1510)=10,Sync!$J1510,"نامعتبر")))</f>
        <v/>
      </c>
      <c r="R1510" t="str">
        <f t="shared" si="134"/>
        <v/>
      </c>
      <c r="S1510" t="str">
        <f t="shared" si="135"/>
        <v/>
      </c>
      <c r="T1510" t="str">
        <f>IF($N1510="","",IF(Sync!$N1510="",0,Sync!$N1510))</f>
        <v/>
      </c>
      <c r="U1510" t="str">
        <f>IF($N1510="","",IF(Sync!$O1510="",0,Sync!$O1510))</f>
        <v/>
      </c>
      <c r="V1510" t="str">
        <f>IF($N1510="","",Sync!$L1510)</f>
        <v/>
      </c>
      <c r="W1510" t="str">
        <f>IF($N1510="","",Sync!$P1510)</f>
        <v/>
      </c>
    </row>
    <row r="1511" spans="14:23" x14ac:dyDescent="0.2">
      <c r="N1511" t="str">
        <f>IF(OR(Sync!$M1511="",$Q1511="",$Q1511="نامعتبر"),"",Sync!$M1511)</f>
        <v/>
      </c>
      <c r="O1511" t="str">
        <f t="shared" si="133"/>
        <v/>
      </c>
      <c r="P1511" t="str">
        <f>IF($N1511="","",LEFT($Q1511,4)&amp;MID($Q1511,6,2)&amp;RIGHT($Q1511,2)&amp;IF(Sync!$K1511="","0000",IF(AND(ISNUMBER(Sync!$K1511),Sync!$K1511&gt;=0,Sync!$K1511&lt;1),RIGHT("00"&amp;HOUR(Sync!$K1511),2)&amp;RIGHT("00"&amp;MINUTE(Sync!$K1511),2),IFERROR(RIGHT("00"&amp;VALUE(LEFT(Sync!$K1511,FIND(":",Sync!$K1511)-1)),2)&amp;RIGHT("00"&amp;VALUE(MID(Sync!$K1511,FIND(":",Sync!$K1511)+1,2)),2),"0000")))&amp;"|"&amp;"2"&amp;RIGHT("00000"&amp;1506,5))</f>
        <v/>
      </c>
      <c r="Q1511" t="str">
        <f>IF(Sync!$J1511="","",IF(ISNUMBER(Sync!$J1511),IF(AND(Sync!$J1511&gt;=10000101,Sync!$J1511&lt;=99991231),INT(Sync!$J1511/10000)&amp;"/"&amp;RIGHT("00"&amp;INT(MOD(Sync!$J1511,10000)/100),2)&amp;"/"&amp;RIGHT("00"&amp;MOD(Sync!$J1511,100),2),"نامعتبر"),IF(LEN(Sync!$J1511)=10,Sync!$J1511,"نامعتبر")))</f>
        <v/>
      </c>
      <c r="R1511" t="str">
        <f t="shared" si="134"/>
        <v/>
      </c>
      <c r="S1511" t="str">
        <f t="shared" si="135"/>
        <v/>
      </c>
      <c r="T1511" t="str">
        <f>IF($N1511="","",IF(Sync!$N1511="",0,Sync!$N1511))</f>
        <v/>
      </c>
      <c r="U1511" t="str">
        <f>IF($N1511="","",IF(Sync!$O1511="",0,Sync!$O1511))</f>
        <v/>
      </c>
      <c r="V1511" t="str">
        <f>IF($N1511="","",Sync!$L1511)</f>
        <v/>
      </c>
      <c r="W1511" t="str">
        <f>IF($N1511="","",Sync!$P1511)</f>
        <v/>
      </c>
    </row>
    <row r="1512" spans="14:23" x14ac:dyDescent="0.2">
      <c r="N1512" t="str">
        <f>IF(OR(Sync!$M1512="",$Q1512="",$Q1512="نامعتبر"),"",Sync!$M1512)</f>
        <v/>
      </c>
      <c r="O1512" t="str">
        <f t="shared" si="133"/>
        <v/>
      </c>
      <c r="P1512" t="str">
        <f>IF($N1512="","",LEFT($Q1512,4)&amp;MID($Q1512,6,2)&amp;RIGHT($Q1512,2)&amp;IF(Sync!$K1512="","0000",IF(AND(ISNUMBER(Sync!$K1512),Sync!$K1512&gt;=0,Sync!$K1512&lt;1),RIGHT("00"&amp;HOUR(Sync!$K1512),2)&amp;RIGHT("00"&amp;MINUTE(Sync!$K1512),2),IFERROR(RIGHT("00"&amp;VALUE(LEFT(Sync!$K1512,FIND(":",Sync!$K1512)-1)),2)&amp;RIGHT("00"&amp;VALUE(MID(Sync!$K1512,FIND(":",Sync!$K1512)+1,2)),2),"0000")))&amp;"|"&amp;"2"&amp;RIGHT("00000"&amp;1507,5))</f>
        <v/>
      </c>
      <c r="Q1512" t="str">
        <f>IF(Sync!$J1512="","",IF(ISNUMBER(Sync!$J1512),IF(AND(Sync!$J1512&gt;=10000101,Sync!$J1512&lt;=99991231),INT(Sync!$J1512/10000)&amp;"/"&amp;RIGHT("00"&amp;INT(MOD(Sync!$J1512,10000)/100),2)&amp;"/"&amp;RIGHT("00"&amp;MOD(Sync!$J1512,100),2),"نامعتبر"),IF(LEN(Sync!$J1512)=10,Sync!$J1512,"نامعتبر")))</f>
        <v/>
      </c>
      <c r="R1512" t="str">
        <f t="shared" si="134"/>
        <v/>
      </c>
      <c r="S1512" t="str">
        <f t="shared" si="135"/>
        <v/>
      </c>
      <c r="T1512" t="str">
        <f>IF($N1512="","",IF(Sync!$N1512="",0,Sync!$N1512))</f>
        <v/>
      </c>
      <c r="U1512" t="str">
        <f>IF($N1512="","",IF(Sync!$O1512="",0,Sync!$O1512))</f>
        <v/>
      </c>
      <c r="V1512" t="str">
        <f>IF($N1512="","",Sync!$L1512)</f>
        <v/>
      </c>
      <c r="W1512" t="str">
        <f>IF($N1512="","",Sync!$P1512)</f>
        <v/>
      </c>
    </row>
    <row r="1513" spans="14:23" x14ac:dyDescent="0.2">
      <c r="N1513" t="str">
        <f>IF(OR(Sync!$M1513="",$Q1513="",$Q1513="نامعتبر"),"",Sync!$M1513)</f>
        <v/>
      </c>
      <c r="O1513" t="str">
        <f t="shared" si="133"/>
        <v/>
      </c>
      <c r="P1513" t="str">
        <f>IF($N1513="","",LEFT($Q1513,4)&amp;MID($Q1513,6,2)&amp;RIGHT($Q1513,2)&amp;IF(Sync!$K1513="","0000",IF(AND(ISNUMBER(Sync!$K1513),Sync!$K1513&gt;=0,Sync!$K1513&lt;1),RIGHT("00"&amp;HOUR(Sync!$K1513),2)&amp;RIGHT("00"&amp;MINUTE(Sync!$K1513),2),IFERROR(RIGHT("00"&amp;VALUE(LEFT(Sync!$K1513,FIND(":",Sync!$K1513)-1)),2)&amp;RIGHT("00"&amp;VALUE(MID(Sync!$K1513,FIND(":",Sync!$K1513)+1,2)),2),"0000")))&amp;"|"&amp;"2"&amp;RIGHT("00000"&amp;1508,5))</f>
        <v/>
      </c>
      <c r="Q1513" t="str">
        <f>IF(Sync!$J1513="","",IF(ISNUMBER(Sync!$J1513),IF(AND(Sync!$J1513&gt;=10000101,Sync!$J1513&lt;=99991231),INT(Sync!$J1513/10000)&amp;"/"&amp;RIGHT("00"&amp;INT(MOD(Sync!$J1513,10000)/100),2)&amp;"/"&amp;RIGHT("00"&amp;MOD(Sync!$J1513,100),2),"نامعتبر"),IF(LEN(Sync!$J1513)=10,Sync!$J1513,"نامعتبر")))</f>
        <v/>
      </c>
      <c r="R1513" t="str">
        <f t="shared" si="134"/>
        <v/>
      </c>
      <c r="S1513" t="str">
        <f t="shared" si="135"/>
        <v/>
      </c>
      <c r="T1513" t="str">
        <f>IF($N1513="","",IF(Sync!$N1513="",0,Sync!$N1513))</f>
        <v/>
      </c>
      <c r="U1513" t="str">
        <f>IF($N1513="","",IF(Sync!$O1513="",0,Sync!$O1513))</f>
        <v/>
      </c>
      <c r="V1513" t="str">
        <f>IF($N1513="","",Sync!$L1513)</f>
        <v/>
      </c>
      <c r="W1513" t="str">
        <f>IF($N1513="","",Sync!$P1513)</f>
        <v/>
      </c>
    </row>
    <row r="1514" spans="14:23" x14ac:dyDescent="0.2">
      <c r="N1514" t="str">
        <f>IF(OR(Sync!$M1514="",$Q1514="",$Q1514="نامعتبر"),"",Sync!$M1514)</f>
        <v/>
      </c>
      <c r="O1514" t="str">
        <f t="shared" si="133"/>
        <v/>
      </c>
      <c r="P1514" t="str">
        <f>IF($N1514="","",LEFT($Q1514,4)&amp;MID($Q1514,6,2)&amp;RIGHT($Q1514,2)&amp;IF(Sync!$K1514="","0000",IF(AND(ISNUMBER(Sync!$K1514),Sync!$K1514&gt;=0,Sync!$K1514&lt;1),RIGHT("00"&amp;HOUR(Sync!$K1514),2)&amp;RIGHT("00"&amp;MINUTE(Sync!$K1514),2),IFERROR(RIGHT("00"&amp;VALUE(LEFT(Sync!$K1514,FIND(":",Sync!$K1514)-1)),2)&amp;RIGHT("00"&amp;VALUE(MID(Sync!$K1514,FIND(":",Sync!$K1514)+1,2)),2),"0000")))&amp;"|"&amp;"2"&amp;RIGHT("00000"&amp;1509,5))</f>
        <v/>
      </c>
      <c r="Q1514" t="str">
        <f>IF(Sync!$J1514="","",IF(ISNUMBER(Sync!$J1514),IF(AND(Sync!$J1514&gt;=10000101,Sync!$J1514&lt;=99991231),INT(Sync!$J1514/10000)&amp;"/"&amp;RIGHT("00"&amp;INT(MOD(Sync!$J1514,10000)/100),2)&amp;"/"&amp;RIGHT("00"&amp;MOD(Sync!$J1514,100),2),"نامعتبر"),IF(LEN(Sync!$J1514)=10,Sync!$J1514,"نامعتبر")))</f>
        <v/>
      </c>
      <c r="R1514" t="str">
        <f t="shared" si="134"/>
        <v/>
      </c>
      <c r="S1514" t="str">
        <f t="shared" si="135"/>
        <v/>
      </c>
      <c r="T1514" t="str">
        <f>IF($N1514="","",IF(Sync!$N1514="",0,Sync!$N1514))</f>
        <v/>
      </c>
      <c r="U1514" t="str">
        <f>IF($N1514="","",IF(Sync!$O1514="",0,Sync!$O1514))</f>
        <v/>
      </c>
      <c r="V1514" t="str">
        <f>IF($N1514="","",Sync!$L1514)</f>
        <v/>
      </c>
      <c r="W1514" t="str">
        <f>IF($N1514="","",Sync!$P1514)</f>
        <v/>
      </c>
    </row>
    <row r="1515" spans="14:23" x14ac:dyDescent="0.2">
      <c r="N1515" t="str">
        <f>IF(OR(Sync!$M1515="",$Q1515="",$Q1515="نامعتبر"),"",Sync!$M1515)</f>
        <v/>
      </c>
      <c r="O1515" t="str">
        <f t="shared" si="133"/>
        <v/>
      </c>
      <c r="P1515" t="str">
        <f>IF($N1515="","",LEFT($Q1515,4)&amp;MID($Q1515,6,2)&amp;RIGHT($Q1515,2)&amp;IF(Sync!$K1515="","0000",IF(AND(ISNUMBER(Sync!$K1515),Sync!$K1515&gt;=0,Sync!$K1515&lt;1),RIGHT("00"&amp;HOUR(Sync!$K1515),2)&amp;RIGHT("00"&amp;MINUTE(Sync!$K1515),2),IFERROR(RIGHT("00"&amp;VALUE(LEFT(Sync!$K1515,FIND(":",Sync!$K1515)-1)),2)&amp;RIGHT("00"&amp;VALUE(MID(Sync!$K1515,FIND(":",Sync!$K1515)+1,2)),2),"0000")))&amp;"|"&amp;"2"&amp;RIGHT("00000"&amp;1510,5))</f>
        <v/>
      </c>
      <c r="Q1515" t="str">
        <f>IF(Sync!$J1515="","",IF(ISNUMBER(Sync!$J1515),IF(AND(Sync!$J1515&gt;=10000101,Sync!$J1515&lt;=99991231),INT(Sync!$J1515/10000)&amp;"/"&amp;RIGHT("00"&amp;INT(MOD(Sync!$J1515,10000)/100),2)&amp;"/"&amp;RIGHT("00"&amp;MOD(Sync!$J1515,100),2),"نامعتبر"),IF(LEN(Sync!$J1515)=10,Sync!$J1515,"نامعتبر")))</f>
        <v/>
      </c>
      <c r="R1515" t="str">
        <f t="shared" si="134"/>
        <v/>
      </c>
      <c r="S1515" t="str">
        <f t="shared" si="135"/>
        <v/>
      </c>
      <c r="T1515" t="str">
        <f>IF($N1515="","",IF(Sync!$N1515="",0,Sync!$N1515))</f>
        <v/>
      </c>
      <c r="U1515" t="str">
        <f>IF($N1515="","",IF(Sync!$O1515="",0,Sync!$O1515))</f>
        <v/>
      </c>
      <c r="V1515" t="str">
        <f>IF($N1515="","",Sync!$L1515)</f>
        <v/>
      </c>
      <c r="W1515" t="str">
        <f>IF($N1515="","",Sync!$P1515)</f>
        <v/>
      </c>
    </row>
    <row r="1516" spans="14:23" x14ac:dyDescent="0.2">
      <c r="N1516" t="str">
        <f>IF(OR(Sync!$M1516="",$Q1516="",$Q1516="نامعتبر"),"",Sync!$M1516)</f>
        <v/>
      </c>
      <c r="O1516" t="str">
        <f t="shared" si="133"/>
        <v/>
      </c>
      <c r="P1516" t="str">
        <f>IF($N1516="","",LEFT($Q1516,4)&amp;MID($Q1516,6,2)&amp;RIGHT($Q1516,2)&amp;IF(Sync!$K1516="","0000",IF(AND(ISNUMBER(Sync!$K1516),Sync!$K1516&gt;=0,Sync!$K1516&lt;1),RIGHT("00"&amp;HOUR(Sync!$K1516),2)&amp;RIGHT("00"&amp;MINUTE(Sync!$K1516),2),IFERROR(RIGHT("00"&amp;VALUE(LEFT(Sync!$K1516,FIND(":",Sync!$K1516)-1)),2)&amp;RIGHT("00"&amp;VALUE(MID(Sync!$K1516,FIND(":",Sync!$K1516)+1,2)),2),"0000")))&amp;"|"&amp;"2"&amp;RIGHT("00000"&amp;1511,5))</f>
        <v/>
      </c>
      <c r="Q1516" t="str">
        <f>IF(Sync!$J1516="","",IF(ISNUMBER(Sync!$J1516),IF(AND(Sync!$J1516&gt;=10000101,Sync!$J1516&lt;=99991231),INT(Sync!$J1516/10000)&amp;"/"&amp;RIGHT("00"&amp;INT(MOD(Sync!$J1516,10000)/100),2)&amp;"/"&amp;RIGHT("00"&amp;MOD(Sync!$J1516,100),2),"نامعتبر"),IF(LEN(Sync!$J1516)=10,Sync!$J1516,"نامعتبر")))</f>
        <v/>
      </c>
      <c r="R1516" t="str">
        <f t="shared" si="134"/>
        <v/>
      </c>
      <c r="S1516" t="str">
        <f t="shared" si="135"/>
        <v/>
      </c>
      <c r="T1516" t="str">
        <f>IF($N1516="","",IF(Sync!$N1516="",0,Sync!$N1516))</f>
        <v/>
      </c>
      <c r="U1516" t="str">
        <f>IF($N1516="","",IF(Sync!$O1516="",0,Sync!$O1516))</f>
        <v/>
      </c>
      <c r="V1516" t="str">
        <f>IF($N1516="","",Sync!$L1516)</f>
        <v/>
      </c>
      <c r="W1516" t="str">
        <f>IF($N1516="","",Sync!$P1516)</f>
        <v/>
      </c>
    </row>
    <row r="1517" spans="14:23" x14ac:dyDescent="0.2">
      <c r="N1517" t="str">
        <f>IF(OR(Sync!$M1517="",$Q1517="",$Q1517="نامعتبر"),"",Sync!$M1517)</f>
        <v/>
      </c>
      <c r="O1517" t="str">
        <f t="shared" si="133"/>
        <v/>
      </c>
      <c r="P1517" t="str">
        <f>IF($N1517="","",LEFT($Q1517,4)&amp;MID($Q1517,6,2)&amp;RIGHT($Q1517,2)&amp;IF(Sync!$K1517="","0000",IF(AND(ISNUMBER(Sync!$K1517),Sync!$K1517&gt;=0,Sync!$K1517&lt;1),RIGHT("00"&amp;HOUR(Sync!$K1517),2)&amp;RIGHT("00"&amp;MINUTE(Sync!$K1517),2),IFERROR(RIGHT("00"&amp;VALUE(LEFT(Sync!$K1517,FIND(":",Sync!$K1517)-1)),2)&amp;RIGHT("00"&amp;VALUE(MID(Sync!$K1517,FIND(":",Sync!$K1517)+1,2)),2),"0000")))&amp;"|"&amp;"2"&amp;RIGHT("00000"&amp;1512,5))</f>
        <v/>
      </c>
      <c r="Q1517" t="str">
        <f>IF(Sync!$J1517="","",IF(ISNUMBER(Sync!$J1517),IF(AND(Sync!$J1517&gt;=10000101,Sync!$J1517&lt;=99991231),INT(Sync!$J1517/10000)&amp;"/"&amp;RIGHT("00"&amp;INT(MOD(Sync!$J1517,10000)/100),2)&amp;"/"&amp;RIGHT("00"&amp;MOD(Sync!$J1517,100),2),"نامعتبر"),IF(LEN(Sync!$J1517)=10,Sync!$J1517,"نامعتبر")))</f>
        <v/>
      </c>
      <c r="R1517" t="str">
        <f t="shared" si="134"/>
        <v/>
      </c>
      <c r="S1517" t="str">
        <f t="shared" si="135"/>
        <v/>
      </c>
      <c r="T1517" t="str">
        <f>IF($N1517="","",IF(Sync!$N1517="",0,Sync!$N1517))</f>
        <v/>
      </c>
      <c r="U1517" t="str">
        <f>IF($N1517="","",IF(Sync!$O1517="",0,Sync!$O1517))</f>
        <v/>
      </c>
      <c r="V1517" t="str">
        <f>IF($N1517="","",Sync!$L1517)</f>
        <v/>
      </c>
      <c r="W1517" t="str">
        <f>IF($N1517="","",Sync!$P1517)</f>
        <v/>
      </c>
    </row>
    <row r="1518" spans="14:23" x14ac:dyDescent="0.2">
      <c r="N1518" t="str">
        <f>IF(OR(Sync!$M1518="",$Q1518="",$Q1518="نامعتبر"),"",Sync!$M1518)</f>
        <v/>
      </c>
      <c r="O1518" t="str">
        <f t="shared" si="133"/>
        <v/>
      </c>
      <c r="P1518" t="str">
        <f>IF($N1518="","",LEFT($Q1518,4)&amp;MID($Q1518,6,2)&amp;RIGHT($Q1518,2)&amp;IF(Sync!$K1518="","0000",IF(AND(ISNUMBER(Sync!$K1518),Sync!$K1518&gt;=0,Sync!$K1518&lt;1),RIGHT("00"&amp;HOUR(Sync!$K1518),2)&amp;RIGHT("00"&amp;MINUTE(Sync!$K1518),2),IFERROR(RIGHT("00"&amp;VALUE(LEFT(Sync!$K1518,FIND(":",Sync!$K1518)-1)),2)&amp;RIGHT("00"&amp;VALUE(MID(Sync!$K1518,FIND(":",Sync!$K1518)+1,2)),2),"0000")))&amp;"|"&amp;"2"&amp;RIGHT("00000"&amp;1513,5))</f>
        <v/>
      </c>
      <c r="Q1518" t="str">
        <f>IF(Sync!$J1518="","",IF(ISNUMBER(Sync!$J1518),IF(AND(Sync!$J1518&gt;=10000101,Sync!$J1518&lt;=99991231),INT(Sync!$J1518/10000)&amp;"/"&amp;RIGHT("00"&amp;INT(MOD(Sync!$J1518,10000)/100),2)&amp;"/"&amp;RIGHT("00"&amp;MOD(Sync!$J1518,100),2),"نامعتبر"),IF(LEN(Sync!$J1518)=10,Sync!$J1518,"نامعتبر")))</f>
        <v/>
      </c>
      <c r="R1518" t="str">
        <f t="shared" si="134"/>
        <v/>
      </c>
      <c r="S1518" t="str">
        <f t="shared" si="135"/>
        <v/>
      </c>
      <c r="T1518" t="str">
        <f>IF($N1518="","",IF(Sync!$N1518="",0,Sync!$N1518))</f>
        <v/>
      </c>
      <c r="U1518" t="str">
        <f>IF($N1518="","",IF(Sync!$O1518="",0,Sync!$O1518))</f>
        <v/>
      </c>
      <c r="V1518" t="str">
        <f>IF($N1518="","",Sync!$L1518)</f>
        <v/>
      </c>
      <c r="W1518" t="str">
        <f>IF($N1518="","",Sync!$P1518)</f>
        <v/>
      </c>
    </row>
    <row r="1519" spans="14:23" x14ac:dyDescent="0.2">
      <c r="N1519" t="str">
        <f>IF(OR(Sync!$M1519="",$Q1519="",$Q1519="نامعتبر"),"",Sync!$M1519)</f>
        <v/>
      </c>
      <c r="O1519" t="str">
        <f t="shared" si="133"/>
        <v/>
      </c>
      <c r="P1519" t="str">
        <f>IF($N1519="","",LEFT($Q1519,4)&amp;MID($Q1519,6,2)&amp;RIGHT($Q1519,2)&amp;IF(Sync!$K1519="","0000",IF(AND(ISNUMBER(Sync!$K1519),Sync!$K1519&gt;=0,Sync!$K1519&lt;1),RIGHT("00"&amp;HOUR(Sync!$K1519),2)&amp;RIGHT("00"&amp;MINUTE(Sync!$K1519),2),IFERROR(RIGHT("00"&amp;VALUE(LEFT(Sync!$K1519,FIND(":",Sync!$K1519)-1)),2)&amp;RIGHT("00"&amp;VALUE(MID(Sync!$K1519,FIND(":",Sync!$K1519)+1,2)),2),"0000")))&amp;"|"&amp;"2"&amp;RIGHT("00000"&amp;1514,5))</f>
        <v/>
      </c>
      <c r="Q1519" t="str">
        <f>IF(Sync!$J1519="","",IF(ISNUMBER(Sync!$J1519),IF(AND(Sync!$J1519&gt;=10000101,Sync!$J1519&lt;=99991231),INT(Sync!$J1519/10000)&amp;"/"&amp;RIGHT("00"&amp;INT(MOD(Sync!$J1519,10000)/100),2)&amp;"/"&amp;RIGHT("00"&amp;MOD(Sync!$J1519,100),2),"نامعتبر"),IF(LEN(Sync!$J1519)=10,Sync!$J1519,"نامعتبر")))</f>
        <v/>
      </c>
      <c r="R1519" t="str">
        <f t="shared" si="134"/>
        <v/>
      </c>
      <c r="S1519" t="str">
        <f t="shared" si="135"/>
        <v/>
      </c>
      <c r="T1519" t="str">
        <f>IF($N1519="","",IF(Sync!$N1519="",0,Sync!$N1519))</f>
        <v/>
      </c>
      <c r="U1519" t="str">
        <f>IF($N1519="","",IF(Sync!$O1519="",0,Sync!$O1519))</f>
        <v/>
      </c>
      <c r="V1519" t="str">
        <f>IF($N1519="","",Sync!$L1519)</f>
        <v/>
      </c>
      <c r="W1519" t="str">
        <f>IF($N1519="","",Sync!$P1519)</f>
        <v/>
      </c>
    </row>
    <row r="1520" spans="14:23" x14ac:dyDescent="0.2">
      <c r="N1520" t="str">
        <f>IF(OR(Sync!$M1520="",$Q1520="",$Q1520="نامعتبر"),"",Sync!$M1520)</f>
        <v/>
      </c>
      <c r="O1520" t="str">
        <f t="shared" si="133"/>
        <v/>
      </c>
      <c r="P1520" t="str">
        <f>IF($N1520="","",LEFT($Q1520,4)&amp;MID($Q1520,6,2)&amp;RIGHT($Q1520,2)&amp;IF(Sync!$K1520="","0000",IF(AND(ISNUMBER(Sync!$K1520),Sync!$K1520&gt;=0,Sync!$K1520&lt;1),RIGHT("00"&amp;HOUR(Sync!$K1520),2)&amp;RIGHT("00"&amp;MINUTE(Sync!$K1520),2),IFERROR(RIGHT("00"&amp;VALUE(LEFT(Sync!$K1520,FIND(":",Sync!$K1520)-1)),2)&amp;RIGHT("00"&amp;VALUE(MID(Sync!$K1520,FIND(":",Sync!$K1520)+1,2)),2),"0000")))&amp;"|"&amp;"2"&amp;RIGHT("00000"&amp;1515,5))</f>
        <v/>
      </c>
      <c r="Q1520" t="str">
        <f>IF(Sync!$J1520="","",IF(ISNUMBER(Sync!$J1520),IF(AND(Sync!$J1520&gt;=10000101,Sync!$J1520&lt;=99991231),INT(Sync!$J1520/10000)&amp;"/"&amp;RIGHT("00"&amp;INT(MOD(Sync!$J1520,10000)/100),2)&amp;"/"&amp;RIGHT("00"&amp;MOD(Sync!$J1520,100),2),"نامعتبر"),IF(LEN(Sync!$J1520)=10,Sync!$J1520,"نامعتبر")))</f>
        <v/>
      </c>
      <c r="R1520" t="str">
        <f t="shared" si="134"/>
        <v/>
      </c>
      <c r="S1520" t="str">
        <f t="shared" si="135"/>
        <v/>
      </c>
      <c r="T1520" t="str">
        <f>IF($N1520="","",IF(Sync!$N1520="",0,Sync!$N1520))</f>
        <v/>
      </c>
      <c r="U1520" t="str">
        <f>IF($N1520="","",IF(Sync!$O1520="",0,Sync!$O1520))</f>
        <v/>
      </c>
      <c r="V1520" t="str">
        <f>IF($N1520="","",Sync!$L1520)</f>
        <v/>
      </c>
      <c r="W1520" t="str">
        <f>IF($N1520="","",Sync!$P1520)</f>
        <v/>
      </c>
    </row>
    <row r="1521" spans="14:23" x14ac:dyDescent="0.2">
      <c r="N1521" t="str">
        <f>IF(OR(Sync!$M1521="",$Q1521="",$Q1521="نامعتبر"),"",Sync!$M1521)</f>
        <v/>
      </c>
      <c r="O1521" t="str">
        <f t="shared" si="133"/>
        <v/>
      </c>
      <c r="P1521" t="str">
        <f>IF($N1521="","",LEFT($Q1521,4)&amp;MID($Q1521,6,2)&amp;RIGHT($Q1521,2)&amp;IF(Sync!$K1521="","0000",IF(AND(ISNUMBER(Sync!$K1521),Sync!$K1521&gt;=0,Sync!$K1521&lt;1),RIGHT("00"&amp;HOUR(Sync!$K1521),2)&amp;RIGHT("00"&amp;MINUTE(Sync!$K1521),2),IFERROR(RIGHT("00"&amp;VALUE(LEFT(Sync!$K1521,FIND(":",Sync!$K1521)-1)),2)&amp;RIGHT("00"&amp;VALUE(MID(Sync!$K1521,FIND(":",Sync!$K1521)+1,2)),2),"0000")))&amp;"|"&amp;"2"&amp;RIGHT("00000"&amp;1516,5))</f>
        <v/>
      </c>
      <c r="Q1521" t="str">
        <f>IF(Sync!$J1521="","",IF(ISNUMBER(Sync!$J1521),IF(AND(Sync!$J1521&gt;=10000101,Sync!$J1521&lt;=99991231),INT(Sync!$J1521/10000)&amp;"/"&amp;RIGHT("00"&amp;INT(MOD(Sync!$J1521,10000)/100),2)&amp;"/"&amp;RIGHT("00"&amp;MOD(Sync!$J1521,100),2),"نامعتبر"),IF(LEN(Sync!$J1521)=10,Sync!$J1521,"نامعتبر")))</f>
        <v/>
      </c>
      <c r="R1521" t="str">
        <f t="shared" si="134"/>
        <v/>
      </c>
      <c r="S1521" t="str">
        <f t="shared" si="135"/>
        <v/>
      </c>
      <c r="T1521" t="str">
        <f>IF($N1521="","",IF(Sync!$N1521="",0,Sync!$N1521))</f>
        <v/>
      </c>
      <c r="U1521" t="str">
        <f>IF($N1521="","",IF(Sync!$O1521="",0,Sync!$O1521))</f>
        <v/>
      </c>
      <c r="V1521" t="str">
        <f>IF($N1521="","",Sync!$L1521)</f>
        <v/>
      </c>
      <c r="W1521" t="str">
        <f>IF($N1521="","",Sync!$P1521)</f>
        <v/>
      </c>
    </row>
    <row r="1522" spans="14:23" x14ac:dyDescent="0.2">
      <c r="N1522" t="str">
        <f>IF(OR(Sync!$M1522="",$Q1522="",$Q1522="نامعتبر"),"",Sync!$M1522)</f>
        <v/>
      </c>
      <c r="O1522" t="str">
        <f t="shared" si="133"/>
        <v/>
      </c>
      <c r="P1522" t="str">
        <f>IF($N1522="","",LEFT($Q1522,4)&amp;MID($Q1522,6,2)&amp;RIGHT($Q1522,2)&amp;IF(Sync!$K1522="","0000",IF(AND(ISNUMBER(Sync!$K1522),Sync!$K1522&gt;=0,Sync!$K1522&lt;1),RIGHT("00"&amp;HOUR(Sync!$K1522),2)&amp;RIGHT("00"&amp;MINUTE(Sync!$K1522),2),IFERROR(RIGHT("00"&amp;VALUE(LEFT(Sync!$K1522,FIND(":",Sync!$K1522)-1)),2)&amp;RIGHT("00"&amp;VALUE(MID(Sync!$K1522,FIND(":",Sync!$K1522)+1,2)),2),"0000")))&amp;"|"&amp;"2"&amp;RIGHT("00000"&amp;1517,5))</f>
        <v/>
      </c>
      <c r="Q1522" t="str">
        <f>IF(Sync!$J1522="","",IF(ISNUMBER(Sync!$J1522),IF(AND(Sync!$J1522&gt;=10000101,Sync!$J1522&lt;=99991231),INT(Sync!$J1522/10000)&amp;"/"&amp;RIGHT("00"&amp;INT(MOD(Sync!$J1522,10000)/100),2)&amp;"/"&amp;RIGHT("00"&amp;MOD(Sync!$J1522,100),2),"نامعتبر"),IF(LEN(Sync!$J1522)=10,Sync!$J1522,"نامعتبر")))</f>
        <v/>
      </c>
      <c r="R1522" t="str">
        <f t="shared" si="134"/>
        <v/>
      </c>
      <c r="S1522" t="str">
        <f t="shared" si="135"/>
        <v/>
      </c>
      <c r="T1522" t="str">
        <f>IF($N1522="","",IF(Sync!$N1522="",0,Sync!$N1522))</f>
        <v/>
      </c>
      <c r="U1522" t="str">
        <f>IF($N1522="","",IF(Sync!$O1522="",0,Sync!$O1522))</f>
        <v/>
      </c>
      <c r="V1522" t="str">
        <f>IF($N1522="","",Sync!$L1522)</f>
        <v/>
      </c>
      <c r="W1522" t="str">
        <f>IF($N1522="","",Sync!$P1522)</f>
        <v/>
      </c>
    </row>
    <row r="1523" spans="14:23" x14ac:dyDescent="0.2">
      <c r="N1523" t="str">
        <f>IF(OR(Sync!$M1523="",$Q1523="",$Q1523="نامعتبر"),"",Sync!$M1523)</f>
        <v/>
      </c>
      <c r="O1523" t="str">
        <f t="shared" si="133"/>
        <v/>
      </c>
      <c r="P1523" t="str">
        <f>IF($N1523="","",LEFT($Q1523,4)&amp;MID($Q1523,6,2)&amp;RIGHT($Q1523,2)&amp;IF(Sync!$K1523="","0000",IF(AND(ISNUMBER(Sync!$K1523),Sync!$K1523&gt;=0,Sync!$K1523&lt;1),RIGHT("00"&amp;HOUR(Sync!$K1523),2)&amp;RIGHT("00"&amp;MINUTE(Sync!$K1523),2),IFERROR(RIGHT("00"&amp;VALUE(LEFT(Sync!$K1523,FIND(":",Sync!$K1523)-1)),2)&amp;RIGHT("00"&amp;VALUE(MID(Sync!$K1523,FIND(":",Sync!$K1523)+1,2)),2),"0000")))&amp;"|"&amp;"2"&amp;RIGHT("00000"&amp;1518,5))</f>
        <v/>
      </c>
      <c r="Q1523" t="str">
        <f>IF(Sync!$J1523="","",IF(ISNUMBER(Sync!$J1523),IF(AND(Sync!$J1523&gt;=10000101,Sync!$J1523&lt;=99991231),INT(Sync!$J1523/10000)&amp;"/"&amp;RIGHT("00"&amp;INT(MOD(Sync!$J1523,10000)/100),2)&amp;"/"&amp;RIGHT("00"&amp;MOD(Sync!$J1523,100),2),"نامعتبر"),IF(LEN(Sync!$J1523)=10,Sync!$J1523,"نامعتبر")))</f>
        <v/>
      </c>
      <c r="R1523" t="str">
        <f t="shared" si="134"/>
        <v/>
      </c>
      <c r="S1523" t="str">
        <f t="shared" si="135"/>
        <v/>
      </c>
      <c r="T1523" t="str">
        <f>IF($N1523="","",IF(Sync!$N1523="",0,Sync!$N1523))</f>
        <v/>
      </c>
      <c r="U1523" t="str">
        <f>IF($N1523="","",IF(Sync!$O1523="",0,Sync!$O1523))</f>
        <v/>
      </c>
      <c r="V1523" t="str">
        <f>IF($N1523="","",Sync!$L1523)</f>
        <v/>
      </c>
      <c r="W1523" t="str">
        <f>IF($N1523="","",Sync!$P1523)</f>
        <v/>
      </c>
    </row>
    <row r="1524" spans="14:23" x14ac:dyDescent="0.2">
      <c r="N1524" t="str">
        <f>IF(OR(Sync!$M1524="",$Q1524="",$Q1524="نامعتبر"),"",Sync!$M1524)</f>
        <v/>
      </c>
      <c r="O1524" t="str">
        <f t="shared" si="133"/>
        <v/>
      </c>
      <c r="P1524" t="str">
        <f>IF($N1524="","",LEFT($Q1524,4)&amp;MID($Q1524,6,2)&amp;RIGHT($Q1524,2)&amp;IF(Sync!$K1524="","0000",IF(AND(ISNUMBER(Sync!$K1524),Sync!$K1524&gt;=0,Sync!$K1524&lt;1),RIGHT("00"&amp;HOUR(Sync!$K1524),2)&amp;RIGHT("00"&amp;MINUTE(Sync!$K1524),2),IFERROR(RIGHT("00"&amp;VALUE(LEFT(Sync!$K1524,FIND(":",Sync!$K1524)-1)),2)&amp;RIGHT("00"&amp;VALUE(MID(Sync!$K1524,FIND(":",Sync!$K1524)+1,2)),2),"0000")))&amp;"|"&amp;"2"&amp;RIGHT("00000"&amp;1519,5))</f>
        <v/>
      </c>
      <c r="Q1524" t="str">
        <f>IF(Sync!$J1524="","",IF(ISNUMBER(Sync!$J1524),IF(AND(Sync!$J1524&gt;=10000101,Sync!$J1524&lt;=99991231),INT(Sync!$J1524/10000)&amp;"/"&amp;RIGHT("00"&amp;INT(MOD(Sync!$J1524,10000)/100),2)&amp;"/"&amp;RIGHT("00"&amp;MOD(Sync!$J1524,100),2),"نامعتبر"),IF(LEN(Sync!$J1524)=10,Sync!$J1524,"نامعتبر")))</f>
        <v/>
      </c>
      <c r="R1524" t="str">
        <f t="shared" si="134"/>
        <v/>
      </c>
      <c r="S1524" t="str">
        <f t="shared" si="135"/>
        <v/>
      </c>
      <c r="T1524" t="str">
        <f>IF($N1524="","",IF(Sync!$N1524="",0,Sync!$N1524))</f>
        <v/>
      </c>
      <c r="U1524" t="str">
        <f>IF($N1524="","",IF(Sync!$O1524="",0,Sync!$O1524))</f>
        <v/>
      </c>
      <c r="V1524" t="str">
        <f>IF($N1524="","",Sync!$L1524)</f>
        <v/>
      </c>
      <c r="W1524" t="str">
        <f>IF($N1524="","",Sync!$P1524)</f>
        <v/>
      </c>
    </row>
    <row r="1525" spans="14:23" x14ac:dyDescent="0.2">
      <c r="N1525" t="str">
        <f>IF(OR(Sync!$M1525="",$Q1525="",$Q1525="نامعتبر"),"",Sync!$M1525)</f>
        <v/>
      </c>
      <c r="O1525" t="str">
        <f t="shared" si="133"/>
        <v/>
      </c>
      <c r="P1525" t="str">
        <f>IF($N1525="","",LEFT($Q1525,4)&amp;MID($Q1525,6,2)&amp;RIGHT($Q1525,2)&amp;IF(Sync!$K1525="","0000",IF(AND(ISNUMBER(Sync!$K1525),Sync!$K1525&gt;=0,Sync!$K1525&lt;1),RIGHT("00"&amp;HOUR(Sync!$K1525),2)&amp;RIGHT("00"&amp;MINUTE(Sync!$K1525),2),IFERROR(RIGHT("00"&amp;VALUE(LEFT(Sync!$K1525,FIND(":",Sync!$K1525)-1)),2)&amp;RIGHT("00"&amp;VALUE(MID(Sync!$K1525,FIND(":",Sync!$K1525)+1,2)),2),"0000")))&amp;"|"&amp;"2"&amp;RIGHT("00000"&amp;1520,5))</f>
        <v/>
      </c>
      <c r="Q1525" t="str">
        <f>IF(Sync!$J1525="","",IF(ISNUMBER(Sync!$J1525),IF(AND(Sync!$J1525&gt;=10000101,Sync!$J1525&lt;=99991231),INT(Sync!$J1525/10000)&amp;"/"&amp;RIGHT("00"&amp;INT(MOD(Sync!$J1525,10000)/100),2)&amp;"/"&amp;RIGHT("00"&amp;MOD(Sync!$J1525,100),2),"نامعتبر"),IF(LEN(Sync!$J1525)=10,Sync!$J1525,"نامعتبر")))</f>
        <v/>
      </c>
      <c r="R1525" t="str">
        <f t="shared" si="134"/>
        <v/>
      </c>
      <c r="S1525" t="str">
        <f t="shared" si="135"/>
        <v/>
      </c>
      <c r="T1525" t="str">
        <f>IF($N1525="","",IF(Sync!$N1525="",0,Sync!$N1525))</f>
        <v/>
      </c>
      <c r="U1525" t="str">
        <f>IF($N1525="","",IF(Sync!$O1525="",0,Sync!$O1525))</f>
        <v/>
      </c>
      <c r="V1525" t="str">
        <f>IF($N1525="","",Sync!$L1525)</f>
        <v/>
      </c>
      <c r="W1525" t="str">
        <f>IF($N1525="","",Sync!$P1525)</f>
        <v/>
      </c>
    </row>
    <row r="1526" spans="14:23" x14ac:dyDescent="0.2">
      <c r="N1526" t="str">
        <f>IF(OR(Sync!$M1526="",$Q1526="",$Q1526="نامعتبر"),"",Sync!$M1526)</f>
        <v/>
      </c>
      <c r="O1526" t="str">
        <f t="shared" si="133"/>
        <v/>
      </c>
      <c r="P1526" t="str">
        <f>IF($N1526="","",LEFT($Q1526,4)&amp;MID($Q1526,6,2)&amp;RIGHT($Q1526,2)&amp;IF(Sync!$K1526="","0000",IF(AND(ISNUMBER(Sync!$K1526),Sync!$K1526&gt;=0,Sync!$K1526&lt;1),RIGHT("00"&amp;HOUR(Sync!$K1526),2)&amp;RIGHT("00"&amp;MINUTE(Sync!$K1526),2),IFERROR(RIGHT("00"&amp;VALUE(LEFT(Sync!$K1526,FIND(":",Sync!$K1526)-1)),2)&amp;RIGHT("00"&amp;VALUE(MID(Sync!$K1526,FIND(":",Sync!$K1526)+1,2)),2),"0000")))&amp;"|"&amp;"2"&amp;RIGHT("00000"&amp;1521,5))</f>
        <v/>
      </c>
      <c r="Q1526" t="str">
        <f>IF(Sync!$J1526="","",IF(ISNUMBER(Sync!$J1526),IF(AND(Sync!$J1526&gt;=10000101,Sync!$J1526&lt;=99991231),INT(Sync!$J1526/10000)&amp;"/"&amp;RIGHT("00"&amp;INT(MOD(Sync!$J1526,10000)/100),2)&amp;"/"&amp;RIGHT("00"&amp;MOD(Sync!$J1526,100),2),"نامعتبر"),IF(LEN(Sync!$J1526)=10,Sync!$J1526,"نامعتبر")))</f>
        <v/>
      </c>
      <c r="R1526" t="str">
        <f t="shared" si="134"/>
        <v/>
      </c>
      <c r="S1526" t="str">
        <f t="shared" si="135"/>
        <v/>
      </c>
      <c r="T1526" t="str">
        <f>IF($N1526="","",IF(Sync!$N1526="",0,Sync!$N1526))</f>
        <v/>
      </c>
      <c r="U1526" t="str">
        <f>IF($N1526="","",IF(Sync!$O1526="",0,Sync!$O1526))</f>
        <v/>
      </c>
      <c r="V1526" t="str">
        <f>IF($N1526="","",Sync!$L1526)</f>
        <v/>
      </c>
      <c r="W1526" t="str">
        <f>IF($N1526="","",Sync!$P1526)</f>
        <v/>
      </c>
    </row>
    <row r="1527" spans="14:23" x14ac:dyDescent="0.2">
      <c r="N1527" t="str">
        <f>IF(OR(Sync!$M1527="",$Q1527="",$Q1527="نامعتبر"),"",Sync!$M1527)</f>
        <v/>
      </c>
      <c r="O1527" t="str">
        <f t="shared" si="133"/>
        <v/>
      </c>
      <c r="P1527" t="str">
        <f>IF($N1527="","",LEFT($Q1527,4)&amp;MID($Q1527,6,2)&amp;RIGHT($Q1527,2)&amp;IF(Sync!$K1527="","0000",IF(AND(ISNUMBER(Sync!$K1527),Sync!$K1527&gt;=0,Sync!$K1527&lt;1),RIGHT("00"&amp;HOUR(Sync!$K1527),2)&amp;RIGHT("00"&amp;MINUTE(Sync!$K1527),2),IFERROR(RIGHT("00"&amp;VALUE(LEFT(Sync!$K1527,FIND(":",Sync!$K1527)-1)),2)&amp;RIGHT("00"&amp;VALUE(MID(Sync!$K1527,FIND(":",Sync!$K1527)+1,2)),2),"0000")))&amp;"|"&amp;"2"&amp;RIGHT("00000"&amp;1522,5))</f>
        <v/>
      </c>
      <c r="Q1527" t="str">
        <f>IF(Sync!$J1527="","",IF(ISNUMBER(Sync!$J1527),IF(AND(Sync!$J1527&gt;=10000101,Sync!$J1527&lt;=99991231),INT(Sync!$J1527/10000)&amp;"/"&amp;RIGHT("00"&amp;INT(MOD(Sync!$J1527,10000)/100),2)&amp;"/"&amp;RIGHT("00"&amp;MOD(Sync!$J1527,100),2),"نامعتبر"),IF(LEN(Sync!$J1527)=10,Sync!$J1527,"نامعتبر")))</f>
        <v/>
      </c>
      <c r="R1527" t="str">
        <f t="shared" si="134"/>
        <v/>
      </c>
      <c r="S1527" t="str">
        <f t="shared" si="135"/>
        <v/>
      </c>
      <c r="T1527" t="str">
        <f>IF($N1527="","",IF(Sync!$N1527="",0,Sync!$N1527))</f>
        <v/>
      </c>
      <c r="U1527" t="str">
        <f>IF($N1527="","",IF(Sync!$O1527="",0,Sync!$O1527))</f>
        <v/>
      </c>
      <c r="V1527" t="str">
        <f>IF($N1527="","",Sync!$L1527)</f>
        <v/>
      </c>
      <c r="W1527" t="str">
        <f>IF($N1527="","",Sync!$P1527)</f>
        <v/>
      </c>
    </row>
    <row r="1528" spans="14:23" x14ac:dyDescent="0.2">
      <c r="N1528" t="str">
        <f>IF(OR(Sync!$M1528="",$Q1528="",$Q1528="نامعتبر"),"",Sync!$M1528)</f>
        <v/>
      </c>
      <c r="O1528" t="str">
        <f t="shared" si="133"/>
        <v/>
      </c>
      <c r="P1528" t="str">
        <f>IF($N1528="","",LEFT($Q1528,4)&amp;MID($Q1528,6,2)&amp;RIGHT($Q1528,2)&amp;IF(Sync!$K1528="","0000",IF(AND(ISNUMBER(Sync!$K1528),Sync!$K1528&gt;=0,Sync!$K1528&lt;1),RIGHT("00"&amp;HOUR(Sync!$K1528),2)&amp;RIGHT("00"&amp;MINUTE(Sync!$K1528),2),IFERROR(RIGHT("00"&amp;VALUE(LEFT(Sync!$K1528,FIND(":",Sync!$K1528)-1)),2)&amp;RIGHT("00"&amp;VALUE(MID(Sync!$K1528,FIND(":",Sync!$K1528)+1,2)),2),"0000")))&amp;"|"&amp;"2"&amp;RIGHT("00000"&amp;1523,5))</f>
        <v/>
      </c>
      <c r="Q1528" t="str">
        <f>IF(Sync!$J1528="","",IF(ISNUMBER(Sync!$J1528),IF(AND(Sync!$J1528&gt;=10000101,Sync!$J1528&lt;=99991231),INT(Sync!$J1528/10000)&amp;"/"&amp;RIGHT("00"&amp;INT(MOD(Sync!$J1528,10000)/100),2)&amp;"/"&amp;RIGHT("00"&amp;MOD(Sync!$J1528,100),2),"نامعتبر"),IF(LEN(Sync!$J1528)=10,Sync!$J1528,"نامعتبر")))</f>
        <v/>
      </c>
      <c r="R1528" t="str">
        <f t="shared" si="134"/>
        <v/>
      </c>
      <c r="S1528" t="str">
        <f t="shared" si="135"/>
        <v/>
      </c>
      <c r="T1528" t="str">
        <f>IF($N1528="","",IF(Sync!$N1528="",0,Sync!$N1528))</f>
        <v/>
      </c>
      <c r="U1528" t="str">
        <f>IF($N1528="","",IF(Sync!$O1528="",0,Sync!$O1528))</f>
        <v/>
      </c>
      <c r="V1528" t="str">
        <f>IF($N1528="","",Sync!$L1528)</f>
        <v/>
      </c>
      <c r="W1528" t="str">
        <f>IF($N1528="","",Sync!$P1528)</f>
        <v/>
      </c>
    </row>
    <row r="1529" spans="14:23" x14ac:dyDescent="0.2">
      <c r="N1529" t="str">
        <f>IF(OR(Sync!$M1529="",$Q1529="",$Q1529="نامعتبر"),"",Sync!$M1529)</f>
        <v/>
      </c>
      <c r="O1529" t="str">
        <f t="shared" si="133"/>
        <v/>
      </c>
      <c r="P1529" t="str">
        <f>IF($N1529="","",LEFT($Q1529,4)&amp;MID($Q1529,6,2)&amp;RIGHT($Q1529,2)&amp;IF(Sync!$K1529="","0000",IF(AND(ISNUMBER(Sync!$K1529),Sync!$K1529&gt;=0,Sync!$K1529&lt;1),RIGHT("00"&amp;HOUR(Sync!$K1529),2)&amp;RIGHT("00"&amp;MINUTE(Sync!$K1529),2),IFERROR(RIGHT("00"&amp;VALUE(LEFT(Sync!$K1529,FIND(":",Sync!$K1529)-1)),2)&amp;RIGHT("00"&amp;VALUE(MID(Sync!$K1529,FIND(":",Sync!$K1529)+1,2)),2),"0000")))&amp;"|"&amp;"2"&amp;RIGHT("00000"&amp;1524,5))</f>
        <v/>
      </c>
      <c r="Q1529" t="str">
        <f>IF(Sync!$J1529="","",IF(ISNUMBER(Sync!$J1529),IF(AND(Sync!$J1529&gt;=10000101,Sync!$J1529&lt;=99991231),INT(Sync!$J1529/10000)&amp;"/"&amp;RIGHT("00"&amp;INT(MOD(Sync!$J1529,10000)/100),2)&amp;"/"&amp;RIGHT("00"&amp;MOD(Sync!$J1529,100),2),"نامعتبر"),IF(LEN(Sync!$J1529)=10,Sync!$J1529,"نامعتبر")))</f>
        <v/>
      </c>
      <c r="R1529" t="str">
        <f t="shared" si="134"/>
        <v/>
      </c>
      <c r="S1529" t="str">
        <f t="shared" si="135"/>
        <v/>
      </c>
      <c r="T1529" t="str">
        <f>IF($N1529="","",IF(Sync!$N1529="",0,Sync!$N1529))</f>
        <v/>
      </c>
      <c r="U1529" t="str">
        <f>IF($N1529="","",IF(Sync!$O1529="",0,Sync!$O1529))</f>
        <v/>
      </c>
      <c r="V1529" t="str">
        <f>IF($N1529="","",Sync!$L1529)</f>
        <v/>
      </c>
      <c r="W1529" t="str">
        <f>IF($N1529="","",Sync!$P1529)</f>
        <v/>
      </c>
    </row>
    <row r="1530" spans="14:23" x14ac:dyDescent="0.2">
      <c r="N1530" t="str">
        <f>IF(OR(Sync!$M1530="",$Q1530="",$Q1530="نامعتبر"),"",Sync!$M1530)</f>
        <v/>
      </c>
      <c r="O1530" t="str">
        <f t="shared" si="133"/>
        <v/>
      </c>
      <c r="P1530" t="str">
        <f>IF($N1530="","",LEFT($Q1530,4)&amp;MID($Q1530,6,2)&amp;RIGHT($Q1530,2)&amp;IF(Sync!$K1530="","0000",IF(AND(ISNUMBER(Sync!$K1530),Sync!$K1530&gt;=0,Sync!$K1530&lt;1),RIGHT("00"&amp;HOUR(Sync!$K1530),2)&amp;RIGHT("00"&amp;MINUTE(Sync!$K1530),2),IFERROR(RIGHT("00"&amp;VALUE(LEFT(Sync!$K1530,FIND(":",Sync!$K1530)-1)),2)&amp;RIGHT("00"&amp;VALUE(MID(Sync!$K1530,FIND(":",Sync!$K1530)+1,2)),2),"0000")))&amp;"|"&amp;"2"&amp;RIGHT("00000"&amp;1525,5))</f>
        <v/>
      </c>
      <c r="Q1530" t="str">
        <f>IF(Sync!$J1530="","",IF(ISNUMBER(Sync!$J1530),IF(AND(Sync!$J1530&gt;=10000101,Sync!$J1530&lt;=99991231),INT(Sync!$J1530/10000)&amp;"/"&amp;RIGHT("00"&amp;INT(MOD(Sync!$J1530,10000)/100),2)&amp;"/"&amp;RIGHT("00"&amp;MOD(Sync!$J1530,100),2),"نامعتبر"),IF(LEN(Sync!$J1530)=10,Sync!$J1530,"نامعتبر")))</f>
        <v/>
      </c>
      <c r="R1530" t="str">
        <f t="shared" si="134"/>
        <v/>
      </c>
      <c r="S1530" t="str">
        <f t="shared" si="135"/>
        <v/>
      </c>
      <c r="T1530" t="str">
        <f>IF($N1530="","",IF(Sync!$N1530="",0,Sync!$N1530))</f>
        <v/>
      </c>
      <c r="U1530" t="str">
        <f>IF($N1530="","",IF(Sync!$O1530="",0,Sync!$O1530))</f>
        <v/>
      </c>
      <c r="V1530" t="str">
        <f>IF($N1530="","",Sync!$L1530)</f>
        <v/>
      </c>
      <c r="W1530" t="str">
        <f>IF($N1530="","",Sync!$P1530)</f>
        <v/>
      </c>
    </row>
    <row r="1531" spans="14:23" x14ac:dyDescent="0.2">
      <c r="N1531" t="str">
        <f>IF(OR(Sync!$M1531="",$Q1531="",$Q1531="نامعتبر"),"",Sync!$M1531)</f>
        <v/>
      </c>
      <c r="O1531" t="str">
        <f t="shared" si="133"/>
        <v/>
      </c>
      <c r="P1531" t="str">
        <f>IF($N1531="","",LEFT($Q1531,4)&amp;MID($Q1531,6,2)&amp;RIGHT($Q1531,2)&amp;IF(Sync!$K1531="","0000",IF(AND(ISNUMBER(Sync!$K1531),Sync!$K1531&gt;=0,Sync!$K1531&lt;1),RIGHT("00"&amp;HOUR(Sync!$K1531),2)&amp;RIGHT("00"&amp;MINUTE(Sync!$K1531),2),IFERROR(RIGHT("00"&amp;VALUE(LEFT(Sync!$K1531,FIND(":",Sync!$K1531)-1)),2)&amp;RIGHT("00"&amp;VALUE(MID(Sync!$K1531,FIND(":",Sync!$K1531)+1,2)),2),"0000")))&amp;"|"&amp;"2"&amp;RIGHT("00000"&amp;1526,5))</f>
        <v/>
      </c>
      <c r="Q1531" t="str">
        <f>IF(Sync!$J1531="","",IF(ISNUMBER(Sync!$J1531),IF(AND(Sync!$J1531&gt;=10000101,Sync!$J1531&lt;=99991231),INT(Sync!$J1531/10000)&amp;"/"&amp;RIGHT("00"&amp;INT(MOD(Sync!$J1531,10000)/100),2)&amp;"/"&amp;RIGHT("00"&amp;MOD(Sync!$J1531,100),2),"نامعتبر"),IF(LEN(Sync!$J1531)=10,Sync!$J1531,"نامعتبر")))</f>
        <v/>
      </c>
      <c r="R1531" t="str">
        <f t="shared" si="134"/>
        <v/>
      </c>
      <c r="S1531" t="str">
        <f t="shared" si="135"/>
        <v/>
      </c>
      <c r="T1531" t="str">
        <f>IF($N1531="","",IF(Sync!$N1531="",0,Sync!$N1531))</f>
        <v/>
      </c>
      <c r="U1531" t="str">
        <f>IF($N1531="","",IF(Sync!$O1531="",0,Sync!$O1531))</f>
        <v/>
      </c>
      <c r="V1531" t="str">
        <f>IF($N1531="","",Sync!$L1531)</f>
        <v/>
      </c>
      <c r="W1531" t="str">
        <f>IF($N1531="","",Sync!$P1531)</f>
        <v/>
      </c>
    </row>
    <row r="1532" spans="14:23" x14ac:dyDescent="0.2">
      <c r="N1532" t="str">
        <f>IF(OR(Sync!$M1532="",$Q1532="",$Q1532="نامعتبر"),"",Sync!$M1532)</f>
        <v/>
      </c>
      <c r="O1532" t="str">
        <f t="shared" si="133"/>
        <v/>
      </c>
      <c r="P1532" t="str">
        <f>IF($N1532="","",LEFT($Q1532,4)&amp;MID($Q1532,6,2)&amp;RIGHT($Q1532,2)&amp;IF(Sync!$K1532="","0000",IF(AND(ISNUMBER(Sync!$K1532),Sync!$K1532&gt;=0,Sync!$K1532&lt;1),RIGHT("00"&amp;HOUR(Sync!$K1532),2)&amp;RIGHT("00"&amp;MINUTE(Sync!$K1532),2),IFERROR(RIGHT("00"&amp;VALUE(LEFT(Sync!$K1532,FIND(":",Sync!$K1532)-1)),2)&amp;RIGHT("00"&amp;VALUE(MID(Sync!$K1532,FIND(":",Sync!$K1532)+1,2)),2),"0000")))&amp;"|"&amp;"2"&amp;RIGHT("00000"&amp;1527,5))</f>
        <v/>
      </c>
      <c r="Q1532" t="str">
        <f>IF(Sync!$J1532="","",IF(ISNUMBER(Sync!$J1532),IF(AND(Sync!$J1532&gt;=10000101,Sync!$J1532&lt;=99991231),INT(Sync!$J1532/10000)&amp;"/"&amp;RIGHT("00"&amp;INT(MOD(Sync!$J1532,10000)/100),2)&amp;"/"&amp;RIGHT("00"&amp;MOD(Sync!$J1532,100),2),"نامعتبر"),IF(LEN(Sync!$J1532)=10,Sync!$J1532,"نامعتبر")))</f>
        <v/>
      </c>
      <c r="R1532" t="str">
        <f t="shared" si="134"/>
        <v/>
      </c>
      <c r="S1532" t="str">
        <f t="shared" si="135"/>
        <v/>
      </c>
      <c r="T1532" t="str">
        <f>IF($N1532="","",IF(Sync!$N1532="",0,Sync!$N1532))</f>
        <v/>
      </c>
      <c r="U1532" t="str">
        <f>IF($N1532="","",IF(Sync!$O1532="",0,Sync!$O1532))</f>
        <v/>
      </c>
      <c r="V1532" t="str">
        <f>IF($N1532="","",Sync!$L1532)</f>
        <v/>
      </c>
      <c r="W1532" t="str">
        <f>IF($N1532="","",Sync!$P1532)</f>
        <v/>
      </c>
    </row>
    <row r="1533" spans="14:23" x14ac:dyDescent="0.2">
      <c r="N1533" t="str">
        <f>IF(OR(Sync!$M1533="",$Q1533="",$Q1533="نامعتبر"),"",Sync!$M1533)</f>
        <v/>
      </c>
      <c r="O1533" t="str">
        <f t="shared" si="133"/>
        <v/>
      </c>
      <c r="P1533" t="str">
        <f>IF($N1533="","",LEFT($Q1533,4)&amp;MID($Q1533,6,2)&amp;RIGHT($Q1533,2)&amp;IF(Sync!$K1533="","0000",IF(AND(ISNUMBER(Sync!$K1533),Sync!$K1533&gt;=0,Sync!$K1533&lt;1),RIGHT("00"&amp;HOUR(Sync!$K1533),2)&amp;RIGHT("00"&amp;MINUTE(Sync!$K1533),2),IFERROR(RIGHT("00"&amp;VALUE(LEFT(Sync!$K1533,FIND(":",Sync!$K1533)-1)),2)&amp;RIGHT("00"&amp;VALUE(MID(Sync!$K1533,FIND(":",Sync!$K1533)+1,2)),2),"0000")))&amp;"|"&amp;"2"&amp;RIGHT("00000"&amp;1528,5))</f>
        <v/>
      </c>
      <c r="Q1533" t="str">
        <f>IF(Sync!$J1533="","",IF(ISNUMBER(Sync!$J1533),IF(AND(Sync!$J1533&gt;=10000101,Sync!$J1533&lt;=99991231),INT(Sync!$J1533/10000)&amp;"/"&amp;RIGHT("00"&amp;INT(MOD(Sync!$J1533,10000)/100),2)&amp;"/"&amp;RIGHT("00"&amp;MOD(Sync!$J1533,100),2),"نامعتبر"),IF(LEN(Sync!$J1533)=10,Sync!$J1533,"نامعتبر")))</f>
        <v/>
      </c>
      <c r="R1533" t="str">
        <f t="shared" si="134"/>
        <v/>
      </c>
      <c r="S1533" t="str">
        <f t="shared" si="135"/>
        <v/>
      </c>
      <c r="T1533" t="str">
        <f>IF($N1533="","",IF(Sync!$N1533="",0,Sync!$N1533))</f>
        <v/>
      </c>
      <c r="U1533" t="str">
        <f>IF($N1533="","",IF(Sync!$O1533="",0,Sync!$O1533))</f>
        <v/>
      </c>
      <c r="V1533" t="str">
        <f>IF($N1533="","",Sync!$L1533)</f>
        <v/>
      </c>
      <c r="W1533" t="str">
        <f>IF($N1533="","",Sync!$P1533)</f>
        <v/>
      </c>
    </row>
    <row r="1534" spans="14:23" x14ac:dyDescent="0.2">
      <c r="N1534" t="str">
        <f>IF(OR(Sync!$M1534="",$Q1534="",$Q1534="نامعتبر"),"",Sync!$M1534)</f>
        <v/>
      </c>
      <c r="O1534" t="str">
        <f t="shared" si="133"/>
        <v/>
      </c>
      <c r="P1534" t="str">
        <f>IF($N1534="","",LEFT($Q1534,4)&amp;MID($Q1534,6,2)&amp;RIGHT($Q1534,2)&amp;IF(Sync!$K1534="","0000",IF(AND(ISNUMBER(Sync!$K1534),Sync!$K1534&gt;=0,Sync!$K1534&lt;1),RIGHT("00"&amp;HOUR(Sync!$K1534),2)&amp;RIGHT("00"&amp;MINUTE(Sync!$K1534),2),IFERROR(RIGHT("00"&amp;VALUE(LEFT(Sync!$K1534,FIND(":",Sync!$K1534)-1)),2)&amp;RIGHT("00"&amp;VALUE(MID(Sync!$K1534,FIND(":",Sync!$K1534)+1,2)),2),"0000")))&amp;"|"&amp;"2"&amp;RIGHT("00000"&amp;1529,5))</f>
        <v/>
      </c>
      <c r="Q1534" t="str">
        <f>IF(Sync!$J1534="","",IF(ISNUMBER(Sync!$J1534),IF(AND(Sync!$J1534&gt;=10000101,Sync!$J1534&lt;=99991231),INT(Sync!$J1534/10000)&amp;"/"&amp;RIGHT("00"&amp;INT(MOD(Sync!$J1534,10000)/100),2)&amp;"/"&amp;RIGHT("00"&amp;MOD(Sync!$J1534,100),2),"نامعتبر"),IF(LEN(Sync!$J1534)=10,Sync!$J1534,"نامعتبر")))</f>
        <v/>
      </c>
      <c r="R1534" t="str">
        <f t="shared" si="134"/>
        <v/>
      </c>
      <c r="S1534" t="str">
        <f t="shared" si="135"/>
        <v/>
      </c>
      <c r="T1534" t="str">
        <f>IF($N1534="","",IF(Sync!$N1534="",0,Sync!$N1534))</f>
        <v/>
      </c>
      <c r="U1534" t="str">
        <f>IF($N1534="","",IF(Sync!$O1534="",0,Sync!$O1534))</f>
        <v/>
      </c>
      <c r="V1534" t="str">
        <f>IF($N1534="","",Sync!$L1534)</f>
        <v/>
      </c>
      <c r="W1534" t="str">
        <f>IF($N1534="","",Sync!$P1534)</f>
        <v/>
      </c>
    </row>
    <row r="1535" spans="14:23" x14ac:dyDescent="0.2">
      <c r="N1535" t="str">
        <f>IF(OR(Sync!$M1535="",$Q1535="",$Q1535="نامعتبر"),"",Sync!$M1535)</f>
        <v/>
      </c>
      <c r="O1535" t="str">
        <f t="shared" si="133"/>
        <v/>
      </c>
      <c r="P1535" t="str">
        <f>IF($N1535="","",LEFT($Q1535,4)&amp;MID($Q1535,6,2)&amp;RIGHT($Q1535,2)&amp;IF(Sync!$K1535="","0000",IF(AND(ISNUMBER(Sync!$K1535),Sync!$K1535&gt;=0,Sync!$K1535&lt;1),RIGHT("00"&amp;HOUR(Sync!$K1535),2)&amp;RIGHT("00"&amp;MINUTE(Sync!$K1535),2),IFERROR(RIGHT("00"&amp;VALUE(LEFT(Sync!$K1535,FIND(":",Sync!$K1535)-1)),2)&amp;RIGHT("00"&amp;VALUE(MID(Sync!$K1535,FIND(":",Sync!$K1535)+1,2)),2),"0000")))&amp;"|"&amp;"2"&amp;RIGHT("00000"&amp;1530,5))</f>
        <v/>
      </c>
      <c r="Q1535" t="str">
        <f>IF(Sync!$J1535="","",IF(ISNUMBER(Sync!$J1535),IF(AND(Sync!$J1535&gt;=10000101,Sync!$J1535&lt;=99991231),INT(Sync!$J1535/10000)&amp;"/"&amp;RIGHT("00"&amp;INT(MOD(Sync!$J1535,10000)/100),2)&amp;"/"&amp;RIGHT("00"&amp;MOD(Sync!$J1535,100),2),"نامعتبر"),IF(LEN(Sync!$J1535)=10,Sync!$J1535,"نامعتبر")))</f>
        <v/>
      </c>
      <c r="R1535" t="str">
        <f t="shared" si="134"/>
        <v/>
      </c>
      <c r="S1535" t="str">
        <f t="shared" si="135"/>
        <v/>
      </c>
      <c r="T1535" t="str">
        <f>IF($N1535="","",IF(Sync!$N1535="",0,Sync!$N1535))</f>
        <v/>
      </c>
      <c r="U1535" t="str">
        <f>IF($N1535="","",IF(Sync!$O1535="",0,Sync!$O1535))</f>
        <v/>
      </c>
      <c r="V1535" t="str">
        <f>IF($N1535="","",Sync!$L1535)</f>
        <v/>
      </c>
      <c r="W1535" t="str">
        <f>IF($N1535="","",Sync!$P1535)</f>
        <v/>
      </c>
    </row>
    <row r="1536" spans="14:23" x14ac:dyDescent="0.2">
      <c r="N1536" t="str">
        <f>IF(OR(Sync!$M1536="",$Q1536="",$Q1536="نامعتبر"),"",Sync!$M1536)</f>
        <v/>
      </c>
      <c r="O1536" t="str">
        <f t="shared" si="133"/>
        <v/>
      </c>
      <c r="P1536" t="str">
        <f>IF($N1536="","",LEFT($Q1536,4)&amp;MID($Q1536,6,2)&amp;RIGHT($Q1536,2)&amp;IF(Sync!$K1536="","0000",IF(AND(ISNUMBER(Sync!$K1536),Sync!$K1536&gt;=0,Sync!$K1536&lt;1),RIGHT("00"&amp;HOUR(Sync!$K1536),2)&amp;RIGHT("00"&amp;MINUTE(Sync!$K1536),2),IFERROR(RIGHT("00"&amp;VALUE(LEFT(Sync!$K1536,FIND(":",Sync!$K1536)-1)),2)&amp;RIGHT("00"&amp;VALUE(MID(Sync!$K1536,FIND(":",Sync!$K1536)+1,2)),2),"0000")))&amp;"|"&amp;"2"&amp;RIGHT("00000"&amp;1531,5))</f>
        <v/>
      </c>
      <c r="Q1536" t="str">
        <f>IF(Sync!$J1536="","",IF(ISNUMBER(Sync!$J1536),IF(AND(Sync!$J1536&gt;=10000101,Sync!$J1536&lt;=99991231),INT(Sync!$J1536/10000)&amp;"/"&amp;RIGHT("00"&amp;INT(MOD(Sync!$J1536,10000)/100),2)&amp;"/"&amp;RIGHT("00"&amp;MOD(Sync!$J1536,100),2),"نامعتبر"),IF(LEN(Sync!$J1536)=10,Sync!$J1536,"نامعتبر")))</f>
        <v/>
      </c>
      <c r="R1536" t="str">
        <f t="shared" si="134"/>
        <v/>
      </c>
      <c r="S1536" t="str">
        <f t="shared" si="135"/>
        <v/>
      </c>
      <c r="T1536" t="str">
        <f>IF($N1536="","",IF(Sync!$N1536="",0,Sync!$N1536))</f>
        <v/>
      </c>
      <c r="U1536" t="str">
        <f>IF($N1536="","",IF(Sync!$O1536="",0,Sync!$O1536))</f>
        <v/>
      </c>
      <c r="V1536" t="str">
        <f>IF($N1536="","",Sync!$L1536)</f>
        <v/>
      </c>
      <c r="W1536" t="str">
        <f>IF($N1536="","",Sync!$P1536)</f>
        <v/>
      </c>
    </row>
    <row r="1537" spans="14:23" x14ac:dyDescent="0.2">
      <c r="N1537" t="str">
        <f>IF(OR(Sync!$M1537="",$Q1537="",$Q1537="نامعتبر"),"",Sync!$M1537)</f>
        <v/>
      </c>
      <c r="O1537" t="str">
        <f t="shared" si="133"/>
        <v/>
      </c>
      <c r="P1537" t="str">
        <f>IF($N1537="","",LEFT($Q1537,4)&amp;MID($Q1537,6,2)&amp;RIGHT($Q1537,2)&amp;IF(Sync!$K1537="","0000",IF(AND(ISNUMBER(Sync!$K1537),Sync!$K1537&gt;=0,Sync!$K1537&lt;1),RIGHT("00"&amp;HOUR(Sync!$K1537),2)&amp;RIGHT("00"&amp;MINUTE(Sync!$K1537),2),IFERROR(RIGHT("00"&amp;VALUE(LEFT(Sync!$K1537,FIND(":",Sync!$K1537)-1)),2)&amp;RIGHT("00"&amp;VALUE(MID(Sync!$K1537,FIND(":",Sync!$K1537)+1,2)),2),"0000")))&amp;"|"&amp;"2"&amp;RIGHT("00000"&amp;1532,5))</f>
        <v/>
      </c>
      <c r="Q1537" t="str">
        <f>IF(Sync!$J1537="","",IF(ISNUMBER(Sync!$J1537),IF(AND(Sync!$J1537&gt;=10000101,Sync!$J1537&lt;=99991231),INT(Sync!$J1537/10000)&amp;"/"&amp;RIGHT("00"&amp;INT(MOD(Sync!$J1537,10000)/100),2)&amp;"/"&amp;RIGHT("00"&amp;MOD(Sync!$J1537,100),2),"نامعتبر"),IF(LEN(Sync!$J1537)=10,Sync!$J1537,"نامعتبر")))</f>
        <v/>
      </c>
      <c r="R1537" t="str">
        <f t="shared" si="134"/>
        <v/>
      </c>
      <c r="S1537" t="str">
        <f t="shared" si="135"/>
        <v/>
      </c>
      <c r="T1537" t="str">
        <f>IF($N1537="","",IF(Sync!$N1537="",0,Sync!$N1537))</f>
        <v/>
      </c>
      <c r="U1537" t="str">
        <f>IF($N1537="","",IF(Sync!$O1537="",0,Sync!$O1537))</f>
        <v/>
      </c>
      <c r="V1537" t="str">
        <f>IF($N1537="","",Sync!$L1537)</f>
        <v/>
      </c>
      <c r="W1537" t="str">
        <f>IF($N1537="","",Sync!$P1537)</f>
        <v/>
      </c>
    </row>
    <row r="1538" spans="14:23" x14ac:dyDescent="0.2">
      <c r="N1538" t="str">
        <f>IF(OR(Sync!$M1538="",$Q1538="",$Q1538="نامعتبر"),"",Sync!$M1538)</f>
        <v/>
      </c>
      <c r="O1538" t="str">
        <f t="shared" si="133"/>
        <v/>
      </c>
      <c r="P1538" t="str">
        <f>IF($N1538="","",LEFT($Q1538,4)&amp;MID($Q1538,6,2)&amp;RIGHT($Q1538,2)&amp;IF(Sync!$K1538="","0000",IF(AND(ISNUMBER(Sync!$K1538),Sync!$K1538&gt;=0,Sync!$K1538&lt;1),RIGHT("00"&amp;HOUR(Sync!$K1538),2)&amp;RIGHT("00"&amp;MINUTE(Sync!$K1538),2),IFERROR(RIGHT("00"&amp;VALUE(LEFT(Sync!$K1538,FIND(":",Sync!$K1538)-1)),2)&amp;RIGHT("00"&amp;VALUE(MID(Sync!$K1538,FIND(":",Sync!$K1538)+1,2)),2),"0000")))&amp;"|"&amp;"2"&amp;RIGHT("00000"&amp;1533,5))</f>
        <v/>
      </c>
      <c r="Q1538" t="str">
        <f>IF(Sync!$J1538="","",IF(ISNUMBER(Sync!$J1538),IF(AND(Sync!$J1538&gt;=10000101,Sync!$J1538&lt;=99991231),INT(Sync!$J1538/10000)&amp;"/"&amp;RIGHT("00"&amp;INT(MOD(Sync!$J1538,10000)/100),2)&amp;"/"&amp;RIGHT("00"&amp;MOD(Sync!$J1538,100),2),"نامعتبر"),IF(LEN(Sync!$J1538)=10,Sync!$J1538,"نامعتبر")))</f>
        <v/>
      </c>
      <c r="R1538" t="str">
        <f t="shared" si="134"/>
        <v/>
      </c>
      <c r="S1538" t="str">
        <f t="shared" si="135"/>
        <v/>
      </c>
      <c r="T1538" t="str">
        <f>IF($N1538="","",IF(Sync!$N1538="",0,Sync!$N1538))</f>
        <v/>
      </c>
      <c r="U1538" t="str">
        <f>IF($N1538="","",IF(Sync!$O1538="",0,Sync!$O1538))</f>
        <v/>
      </c>
      <c r="V1538" t="str">
        <f>IF($N1538="","",Sync!$L1538)</f>
        <v/>
      </c>
      <c r="W1538" t="str">
        <f>IF($N1538="","",Sync!$P1538)</f>
        <v/>
      </c>
    </row>
    <row r="1539" spans="14:23" x14ac:dyDescent="0.2">
      <c r="N1539" t="str">
        <f>IF(OR(Sync!$M1539="",$Q1539="",$Q1539="نامعتبر"),"",Sync!$M1539)</f>
        <v/>
      </c>
      <c r="O1539" t="str">
        <f t="shared" si="133"/>
        <v/>
      </c>
      <c r="P1539" t="str">
        <f>IF($N1539="","",LEFT($Q1539,4)&amp;MID($Q1539,6,2)&amp;RIGHT($Q1539,2)&amp;IF(Sync!$K1539="","0000",IF(AND(ISNUMBER(Sync!$K1539),Sync!$K1539&gt;=0,Sync!$K1539&lt;1),RIGHT("00"&amp;HOUR(Sync!$K1539),2)&amp;RIGHT("00"&amp;MINUTE(Sync!$K1539),2),IFERROR(RIGHT("00"&amp;VALUE(LEFT(Sync!$K1539,FIND(":",Sync!$K1539)-1)),2)&amp;RIGHT("00"&amp;VALUE(MID(Sync!$K1539,FIND(":",Sync!$K1539)+1,2)),2),"0000")))&amp;"|"&amp;"2"&amp;RIGHT("00000"&amp;1534,5))</f>
        <v/>
      </c>
      <c r="Q1539" t="str">
        <f>IF(Sync!$J1539="","",IF(ISNUMBER(Sync!$J1539),IF(AND(Sync!$J1539&gt;=10000101,Sync!$J1539&lt;=99991231),INT(Sync!$J1539/10000)&amp;"/"&amp;RIGHT("00"&amp;INT(MOD(Sync!$J1539,10000)/100),2)&amp;"/"&amp;RIGHT("00"&amp;MOD(Sync!$J1539,100),2),"نامعتبر"),IF(LEN(Sync!$J1539)=10,Sync!$J1539,"نامعتبر")))</f>
        <v/>
      </c>
      <c r="R1539" t="str">
        <f t="shared" si="134"/>
        <v/>
      </c>
      <c r="S1539" t="str">
        <f t="shared" si="135"/>
        <v/>
      </c>
      <c r="T1539" t="str">
        <f>IF($N1539="","",IF(Sync!$N1539="",0,Sync!$N1539))</f>
        <v/>
      </c>
      <c r="U1539" t="str">
        <f>IF($N1539="","",IF(Sync!$O1539="",0,Sync!$O1539))</f>
        <v/>
      </c>
      <c r="V1539" t="str">
        <f>IF($N1539="","",Sync!$L1539)</f>
        <v/>
      </c>
      <c r="W1539" t="str">
        <f>IF($N1539="","",Sync!$P1539)</f>
        <v/>
      </c>
    </row>
    <row r="1540" spans="14:23" x14ac:dyDescent="0.2">
      <c r="N1540" t="str">
        <f>IF(OR(Sync!$M1540="",$Q1540="",$Q1540="نامعتبر"),"",Sync!$M1540)</f>
        <v/>
      </c>
      <c r="O1540" t="str">
        <f t="shared" si="133"/>
        <v/>
      </c>
      <c r="P1540" t="str">
        <f>IF($N1540="","",LEFT($Q1540,4)&amp;MID($Q1540,6,2)&amp;RIGHT($Q1540,2)&amp;IF(Sync!$K1540="","0000",IF(AND(ISNUMBER(Sync!$K1540),Sync!$K1540&gt;=0,Sync!$K1540&lt;1),RIGHT("00"&amp;HOUR(Sync!$K1540),2)&amp;RIGHT("00"&amp;MINUTE(Sync!$K1540),2),IFERROR(RIGHT("00"&amp;VALUE(LEFT(Sync!$K1540,FIND(":",Sync!$K1540)-1)),2)&amp;RIGHT("00"&amp;VALUE(MID(Sync!$K1540,FIND(":",Sync!$K1540)+1,2)),2),"0000")))&amp;"|"&amp;"2"&amp;RIGHT("00000"&amp;1535,5))</f>
        <v/>
      </c>
      <c r="Q1540" t="str">
        <f>IF(Sync!$J1540="","",IF(ISNUMBER(Sync!$J1540),IF(AND(Sync!$J1540&gt;=10000101,Sync!$J1540&lt;=99991231),INT(Sync!$J1540/10000)&amp;"/"&amp;RIGHT("00"&amp;INT(MOD(Sync!$J1540,10000)/100),2)&amp;"/"&amp;RIGHT("00"&amp;MOD(Sync!$J1540,100),2),"نامعتبر"),IF(LEN(Sync!$J1540)=10,Sync!$J1540,"نامعتبر")))</f>
        <v/>
      </c>
      <c r="R1540" t="str">
        <f t="shared" si="134"/>
        <v/>
      </c>
      <c r="S1540" t="str">
        <f t="shared" si="135"/>
        <v/>
      </c>
      <c r="T1540" t="str">
        <f>IF($N1540="","",IF(Sync!$N1540="",0,Sync!$N1540))</f>
        <v/>
      </c>
      <c r="U1540" t="str">
        <f>IF($N1540="","",IF(Sync!$O1540="",0,Sync!$O1540))</f>
        <v/>
      </c>
      <c r="V1540" t="str">
        <f>IF($N1540="","",Sync!$L1540)</f>
        <v/>
      </c>
      <c r="W1540" t="str">
        <f>IF($N1540="","",Sync!$P1540)</f>
        <v/>
      </c>
    </row>
    <row r="1541" spans="14:23" x14ac:dyDescent="0.2">
      <c r="N1541" t="str">
        <f>IF(OR(Sync!$M1541="",$Q1541="",$Q1541="نامعتبر"),"",Sync!$M1541)</f>
        <v/>
      </c>
      <c r="O1541" t="str">
        <f t="shared" si="133"/>
        <v/>
      </c>
      <c r="P1541" t="str">
        <f>IF($N1541="","",LEFT($Q1541,4)&amp;MID($Q1541,6,2)&amp;RIGHT($Q1541,2)&amp;IF(Sync!$K1541="","0000",IF(AND(ISNUMBER(Sync!$K1541),Sync!$K1541&gt;=0,Sync!$K1541&lt;1),RIGHT("00"&amp;HOUR(Sync!$K1541),2)&amp;RIGHT("00"&amp;MINUTE(Sync!$K1541),2),IFERROR(RIGHT("00"&amp;VALUE(LEFT(Sync!$K1541,FIND(":",Sync!$K1541)-1)),2)&amp;RIGHT("00"&amp;VALUE(MID(Sync!$K1541,FIND(":",Sync!$K1541)+1,2)),2),"0000")))&amp;"|"&amp;"2"&amp;RIGHT("00000"&amp;1536,5))</f>
        <v/>
      </c>
      <c r="Q1541" t="str">
        <f>IF(Sync!$J1541="","",IF(ISNUMBER(Sync!$J1541),IF(AND(Sync!$J1541&gt;=10000101,Sync!$J1541&lt;=99991231),INT(Sync!$J1541/10000)&amp;"/"&amp;RIGHT("00"&amp;INT(MOD(Sync!$J1541,10000)/100),2)&amp;"/"&amp;RIGHT("00"&amp;MOD(Sync!$J1541,100),2),"نامعتبر"),IF(LEN(Sync!$J1541)=10,Sync!$J1541,"نامعتبر")))</f>
        <v/>
      </c>
      <c r="R1541" t="str">
        <f t="shared" si="134"/>
        <v/>
      </c>
      <c r="S1541" t="str">
        <f t="shared" si="135"/>
        <v/>
      </c>
      <c r="T1541" t="str">
        <f>IF($N1541="","",IF(Sync!$N1541="",0,Sync!$N1541))</f>
        <v/>
      </c>
      <c r="U1541" t="str">
        <f>IF($N1541="","",IF(Sync!$O1541="",0,Sync!$O1541))</f>
        <v/>
      </c>
      <c r="V1541" t="str">
        <f>IF($N1541="","",Sync!$L1541)</f>
        <v/>
      </c>
      <c r="W1541" t="str">
        <f>IF($N1541="","",Sync!$P1541)</f>
        <v/>
      </c>
    </row>
    <row r="1542" spans="14:23" x14ac:dyDescent="0.2">
      <c r="N1542" t="str">
        <f>IF(OR(Sync!$M1542="",$Q1542="",$Q1542="نامعتبر"),"",Sync!$M1542)</f>
        <v/>
      </c>
      <c r="O1542" t="str">
        <f t="shared" ref="O1542:O1605" si="136">IF($N1542="","",$Q1542)</f>
        <v/>
      </c>
      <c r="P1542" t="str">
        <f>IF($N1542="","",LEFT($Q1542,4)&amp;MID($Q1542,6,2)&amp;RIGHT($Q1542,2)&amp;IF(Sync!$K1542="","0000",IF(AND(ISNUMBER(Sync!$K1542),Sync!$K1542&gt;=0,Sync!$K1542&lt;1),RIGHT("00"&amp;HOUR(Sync!$K1542),2)&amp;RIGHT("00"&amp;MINUTE(Sync!$K1542),2),IFERROR(RIGHT("00"&amp;VALUE(LEFT(Sync!$K1542,FIND(":",Sync!$K1542)-1)),2)&amp;RIGHT("00"&amp;VALUE(MID(Sync!$K1542,FIND(":",Sync!$K1542)+1,2)),2),"0000")))&amp;"|"&amp;"2"&amp;RIGHT("00000"&amp;1537,5))</f>
        <v/>
      </c>
      <c r="Q1542" t="str">
        <f>IF(Sync!$J1542="","",IF(ISNUMBER(Sync!$J1542),IF(AND(Sync!$J1542&gt;=10000101,Sync!$J1542&lt;=99991231),INT(Sync!$J1542/10000)&amp;"/"&amp;RIGHT("00"&amp;INT(MOD(Sync!$J1542,10000)/100),2)&amp;"/"&amp;RIGHT("00"&amp;MOD(Sync!$J1542,100),2),"نامعتبر"),IF(LEN(Sync!$J1542)=10,Sync!$J1542,"نامعتبر")))</f>
        <v/>
      </c>
      <c r="R1542" t="str">
        <f t="shared" ref="R1542:R1605" si="137">IF($P1542="","",COUNTIFS($N$6:$N$2005,$N1542,$P$6:$P$2005,"&lt;"&amp;$P1542)+COUNTIFS($A$6:$A$1005,$N1542,$B$6:$B$1005,"&lt;"&amp;$P1542)+1)</f>
        <v/>
      </c>
      <c r="S1542" t="str">
        <f t="shared" ref="S1542:S1605" si="138">IF($N1542="","",$N1542&amp;"|"&amp;RIGHT("000000"&amp;$R1542,6))</f>
        <v/>
      </c>
      <c r="T1542" t="str">
        <f>IF($N1542="","",IF(Sync!$N1542="",0,Sync!$N1542))</f>
        <v/>
      </c>
      <c r="U1542" t="str">
        <f>IF($N1542="","",IF(Sync!$O1542="",0,Sync!$O1542))</f>
        <v/>
      </c>
      <c r="V1542" t="str">
        <f>IF($N1542="","",Sync!$L1542)</f>
        <v/>
      </c>
      <c r="W1542" t="str">
        <f>IF($N1542="","",Sync!$P1542)</f>
        <v/>
      </c>
    </row>
    <row r="1543" spans="14:23" x14ac:dyDescent="0.2">
      <c r="N1543" t="str">
        <f>IF(OR(Sync!$M1543="",$Q1543="",$Q1543="نامعتبر"),"",Sync!$M1543)</f>
        <v/>
      </c>
      <c r="O1543" t="str">
        <f t="shared" si="136"/>
        <v/>
      </c>
      <c r="P1543" t="str">
        <f>IF($N1543="","",LEFT($Q1543,4)&amp;MID($Q1543,6,2)&amp;RIGHT($Q1543,2)&amp;IF(Sync!$K1543="","0000",IF(AND(ISNUMBER(Sync!$K1543),Sync!$K1543&gt;=0,Sync!$K1543&lt;1),RIGHT("00"&amp;HOUR(Sync!$K1543),2)&amp;RIGHT("00"&amp;MINUTE(Sync!$K1543),2),IFERROR(RIGHT("00"&amp;VALUE(LEFT(Sync!$K1543,FIND(":",Sync!$K1543)-1)),2)&amp;RIGHT("00"&amp;VALUE(MID(Sync!$K1543,FIND(":",Sync!$K1543)+1,2)),2),"0000")))&amp;"|"&amp;"2"&amp;RIGHT("00000"&amp;1538,5))</f>
        <v/>
      </c>
      <c r="Q1543" t="str">
        <f>IF(Sync!$J1543="","",IF(ISNUMBER(Sync!$J1543),IF(AND(Sync!$J1543&gt;=10000101,Sync!$J1543&lt;=99991231),INT(Sync!$J1543/10000)&amp;"/"&amp;RIGHT("00"&amp;INT(MOD(Sync!$J1543,10000)/100),2)&amp;"/"&amp;RIGHT("00"&amp;MOD(Sync!$J1543,100),2),"نامعتبر"),IF(LEN(Sync!$J1543)=10,Sync!$J1543,"نامعتبر")))</f>
        <v/>
      </c>
      <c r="R1543" t="str">
        <f t="shared" si="137"/>
        <v/>
      </c>
      <c r="S1543" t="str">
        <f t="shared" si="138"/>
        <v/>
      </c>
      <c r="T1543" t="str">
        <f>IF($N1543="","",IF(Sync!$N1543="",0,Sync!$N1543))</f>
        <v/>
      </c>
      <c r="U1543" t="str">
        <f>IF($N1543="","",IF(Sync!$O1543="",0,Sync!$O1543))</f>
        <v/>
      </c>
      <c r="V1543" t="str">
        <f>IF($N1543="","",Sync!$L1543)</f>
        <v/>
      </c>
      <c r="W1543" t="str">
        <f>IF($N1543="","",Sync!$P1543)</f>
        <v/>
      </c>
    </row>
    <row r="1544" spans="14:23" x14ac:dyDescent="0.2">
      <c r="N1544" t="str">
        <f>IF(OR(Sync!$M1544="",$Q1544="",$Q1544="نامعتبر"),"",Sync!$M1544)</f>
        <v/>
      </c>
      <c r="O1544" t="str">
        <f t="shared" si="136"/>
        <v/>
      </c>
      <c r="P1544" t="str">
        <f>IF($N1544="","",LEFT($Q1544,4)&amp;MID($Q1544,6,2)&amp;RIGHT($Q1544,2)&amp;IF(Sync!$K1544="","0000",IF(AND(ISNUMBER(Sync!$K1544),Sync!$K1544&gt;=0,Sync!$K1544&lt;1),RIGHT("00"&amp;HOUR(Sync!$K1544),2)&amp;RIGHT("00"&amp;MINUTE(Sync!$K1544),2),IFERROR(RIGHT("00"&amp;VALUE(LEFT(Sync!$K1544,FIND(":",Sync!$K1544)-1)),2)&amp;RIGHT("00"&amp;VALUE(MID(Sync!$K1544,FIND(":",Sync!$K1544)+1,2)),2),"0000")))&amp;"|"&amp;"2"&amp;RIGHT("00000"&amp;1539,5))</f>
        <v/>
      </c>
      <c r="Q1544" t="str">
        <f>IF(Sync!$J1544="","",IF(ISNUMBER(Sync!$J1544),IF(AND(Sync!$J1544&gt;=10000101,Sync!$J1544&lt;=99991231),INT(Sync!$J1544/10000)&amp;"/"&amp;RIGHT("00"&amp;INT(MOD(Sync!$J1544,10000)/100),2)&amp;"/"&amp;RIGHT("00"&amp;MOD(Sync!$J1544,100),2),"نامعتبر"),IF(LEN(Sync!$J1544)=10,Sync!$J1544,"نامعتبر")))</f>
        <v/>
      </c>
      <c r="R1544" t="str">
        <f t="shared" si="137"/>
        <v/>
      </c>
      <c r="S1544" t="str">
        <f t="shared" si="138"/>
        <v/>
      </c>
      <c r="T1544" t="str">
        <f>IF($N1544="","",IF(Sync!$N1544="",0,Sync!$N1544))</f>
        <v/>
      </c>
      <c r="U1544" t="str">
        <f>IF($N1544="","",IF(Sync!$O1544="",0,Sync!$O1544))</f>
        <v/>
      </c>
      <c r="V1544" t="str">
        <f>IF($N1544="","",Sync!$L1544)</f>
        <v/>
      </c>
      <c r="W1544" t="str">
        <f>IF($N1544="","",Sync!$P1544)</f>
        <v/>
      </c>
    </row>
    <row r="1545" spans="14:23" x14ac:dyDescent="0.2">
      <c r="N1545" t="str">
        <f>IF(OR(Sync!$M1545="",$Q1545="",$Q1545="نامعتبر"),"",Sync!$M1545)</f>
        <v/>
      </c>
      <c r="O1545" t="str">
        <f t="shared" si="136"/>
        <v/>
      </c>
      <c r="P1545" t="str">
        <f>IF($N1545="","",LEFT($Q1545,4)&amp;MID($Q1545,6,2)&amp;RIGHT($Q1545,2)&amp;IF(Sync!$K1545="","0000",IF(AND(ISNUMBER(Sync!$K1545),Sync!$K1545&gt;=0,Sync!$K1545&lt;1),RIGHT("00"&amp;HOUR(Sync!$K1545),2)&amp;RIGHT("00"&amp;MINUTE(Sync!$K1545),2),IFERROR(RIGHT("00"&amp;VALUE(LEFT(Sync!$K1545,FIND(":",Sync!$K1545)-1)),2)&amp;RIGHT("00"&amp;VALUE(MID(Sync!$K1545,FIND(":",Sync!$K1545)+1,2)),2),"0000")))&amp;"|"&amp;"2"&amp;RIGHT("00000"&amp;1540,5))</f>
        <v/>
      </c>
      <c r="Q1545" t="str">
        <f>IF(Sync!$J1545="","",IF(ISNUMBER(Sync!$J1545),IF(AND(Sync!$J1545&gt;=10000101,Sync!$J1545&lt;=99991231),INT(Sync!$J1545/10000)&amp;"/"&amp;RIGHT("00"&amp;INT(MOD(Sync!$J1545,10000)/100),2)&amp;"/"&amp;RIGHT("00"&amp;MOD(Sync!$J1545,100),2),"نامعتبر"),IF(LEN(Sync!$J1545)=10,Sync!$J1545,"نامعتبر")))</f>
        <v/>
      </c>
      <c r="R1545" t="str">
        <f t="shared" si="137"/>
        <v/>
      </c>
      <c r="S1545" t="str">
        <f t="shared" si="138"/>
        <v/>
      </c>
      <c r="T1545" t="str">
        <f>IF($N1545="","",IF(Sync!$N1545="",0,Sync!$N1545))</f>
        <v/>
      </c>
      <c r="U1545" t="str">
        <f>IF($N1545="","",IF(Sync!$O1545="",0,Sync!$O1545))</f>
        <v/>
      </c>
      <c r="V1545" t="str">
        <f>IF($N1545="","",Sync!$L1545)</f>
        <v/>
      </c>
      <c r="W1545" t="str">
        <f>IF($N1545="","",Sync!$P1545)</f>
        <v/>
      </c>
    </row>
    <row r="1546" spans="14:23" x14ac:dyDescent="0.2">
      <c r="N1546" t="str">
        <f>IF(OR(Sync!$M1546="",$Q1546="",$Q1546="نامعتبر"),"",Sync!$M1546)</f>
        <v/>
      </c>
      <c r="O1546" t="str">
        <f t="shared" si="136"/>
        <v/>
      </c>
      <c r="P1546" t="str">
        <f>IF($N1546="","",LEFT($Q1546,4)&amp;MID($Q1546,6,2)&amp;RIGHT($Q1546,2)&amp;IF(Sync!$K1546="","0000",IF(AND(ISNUMBER(Sync!$K1546),Sync!$K1546&gt;=0,Sync!$K1546&lt;1),RIGHT("00"&amp;HOUR(Sync!$K1546),2)&amp;RIGHT("00"&amp;MINUTE(Sync!$K1546),2),IFERROR(RIGHT("00"&amp;VALUE(LEFT(Sync!$K1546,FIND(":",Sync!$K1546)-1)),2)&amp;RIGHT("00"&amp;VALUE(MID(Sync!$K1546,FIND(":",Sync!$K1546)+1,2)),2),"0000")))&amp;"|"&amp;"2"&amp;RIGHT("00000"&amp;1541,5))</f>
        <v/>
      </c>
      <c r="Q1546" t="str">
        <f>IF(Sync!$J1546="","",IF(ISNUMBER(Sync!$J1546),IF(AND(Sync!$J1546&gt;=10000101,Sync!$J1546&lt;=99991231),INT(Sync!$J1546/10000)&amp;"/"&amp;RIGHT("00"&amp;INT(MOD(Sync!$J1546,10000)/100),2)&amp;"/"&amp;RIGHT("00"&amp;MOD(Sync!$J1546,100),2),"نامعتبر"),IF(LEN(Sync!$J1546)=10,Sync!$J1546,"نامعتبر")))</f>
        <v/>
      </c>
      <c r="R1546" t="str">
        <f t="shared" si="137"/>
        <v/>
      </c>
      <c r="S1546" t="str">
        <f t="shared" si="138"/>
        <v/>
      </c>
      <c r="T1546" t="str">
        <f>IF($N1546="","",IF(Sync!$N1546="",0,Sync!$N1546))</f>
        <v/>
      </c>
      <c r="U1546" t="str">
        <f>IF($N1546="","",IF(Sync!$O1546="",0,Sync!$O1546))</f>
        <v/>
      </c>
      <c r="V1546" t="str">
        <f>IF($N1546="","",Sync!$L1546)</f>
        <v/>
      </c>
      <c r="W1546" t="str">
        <f>IF($N1546="","",Sync!$P1546)</f>
        <v/>
      </c>
    </row>
    <row r="1547" spans="14:23" x14ac:dyDescent="0.2">
      <c r="N1547" t="str">
        <f>IF(OR(Sync!$M1547="",$Q1547="",$Q1547="نامعتبر"),"",Sync!$M1547)</f>
        <v/>
      </c>
      <c r="O1547" t="str">
        <f t="shared" si="136"/>
        <v/>
      </c>
      <c r="P1547" t="str">
        <f>IF($N1547="","",LEFT($Q1547,4)&amp;MID($Q1547,6,2)&amp;RIGHT($Q1547,2)&amp;IF(Sync!$K1547="","0000",IF(AND(ISNUMBER(Sync!$K1547),Sync!$K1547&gt;=0,Sync!$K1547&lt;1),RIGHT("00"&amp;HOUR(Sync!$K1547),2)&amp;RIGHT("00"&amp;MINUTE(Sync!$K1547),2),IFERROR(RIGHT("00"&amp;VALUE(LEFT(Sync!$K1547,FIND(":",Sync!$K1547)-1)),2)&amp;RIGHT("00"&amp;VALUE(MID(Sync!$K1547,FIND(":",Sync!$K1547)+1,2)),2),"0000")))&amp;"|"&amp;"2"&amp;RIGHT("00000"&amp;1542,5))</f>
        <v/>
      </c>
      <c r="Q1547" t="str">
        <f>IF(Sync!$J1547="","",IF(ISNUMBER(Sync!$J1547),IF(AND(Sync!$J1547&gt;=10000101,Sync!$J1547&lt;=99991231),INT(Sync!$J1547/10000)&amp;"/"&amp;RIGHT("00"&amp;INT(MOD(Sync!$J1547,10000)/100),2)&amp;"/"&amp;RIGHT("00"&amp;MOD(Sync!$J1547,100),2),"نامعتبر"),IF(LEN(Sync!$J1547)=10,Sync!$J1547,"نامعتبر")))</f>
        <v/>
      </c>
      <c r="R1547" t="str">
        <f t="shared" si="137"/>
        <v/>
      </c>
      <c r="S1547" t="str">
        <f t="shared" si="138"/>
        <v/>
      </c>
      <c r="T1547" t="str">
        <f>IF($N1547="","",IF(Sync!$N1547="",0,Sync!$N1547))</f>
        <v/>
      </c>
      <c r="U1547" t="str">
        <f>IF($N1547="","",IF(Sync!$O1547="",0,Sync!$O1547))</f>
        <v/>
      </c>
      <c r="V1547" t="str">
        <f>IF($N1547="","",Sync!$L1547)</f>
        <v/>
      </c>
      <c r="W1547" t="str">
        <f>IF($N1547="","",Sync!$P1547)</f>
        <v/>
      </c>
    </row>
    <row r="1548" spans="14:23" x14ac:dyDescent="0.2">
      <c r="N1548" t="str">
        <f>IF(OR(Sync!$M1548="",$Q1548="",$Q1548="نامعتبر"),"",Sync!$M1548)</f>
        <v/>
      </c>
      <c r="O1548" t="str">
        <f t="shared" si="136"/>
        <v/>
      </c>
      <c r="P1548" t="str">
        <f>IF($N1548="","",LEFT($Q1548,4)&amp;MID($Q1548,6,2)&amp;RIGHT($Q1548,2)&amp;IF(Sync!$K1548="","0000",IF(AND(ISNUMBER(Sync!$K1548),Sync!$K1548&gt;=0,Sync!$K1548&lt;1),RIGHT("00"&amp;HOUR(Sync!$K1548),2)&amp;RIGHT("00"&amp;MINUTE(Sync!$K1548),2),IFERROR(RIGHT("00"&amp;VALUE(LEFT(Sync!$K1548,FIND(":",Sync!$K1548)-1)),2)&amp;RIGHT("00"&amp;VALUE(MID(Sync!$K1548,FIND(":",Sync!$K1548)+1,2)),2),"0000")))&amp;"|"&amp;"2"&amp;RIGHT("00000"&amp;1543,5))</f>
        <v/>
      </c>
      <c r="Q1548" t="str">
        <f>IF(Sync!$J1548="","",IF(ISNUMBER(Sync!$J1548),IF(AND(Sync!$J1548&gt;=10000101,Sync!$J1548&lt;=99991231),INT(Sync!$J1548/10000)&amp;"/"&amp;RIGHT("00"&amp;INT(MOD(Sync!$J1548,10000)/100),2)&amp;"/"&amp;RIGHT("00"&amp;MOD(Sync!$J1548,100),2),"نامعتبر"),IF(LEN(Sync!$J1548)=10,Sync!$J1548,"نامعتبر")))</f>
        <v/>
      </c>
      <c r="R1548" t="str">
        <f t="shared" si="137"/>
        <v/>
      </c>
      <c r="S1548" t="str">
        <f t="shared" si="138"/>
        <v/>
      </c>
      <c r="T1548" t="str">
        <f>IF($N1548="","",IF(Sync!$N1548="",0,Sync!$N1548))</f>
        <v/>
      </c>
      <c r="U1548" t="str">
        <f>IF($N1548="","",IF(Sync!$O1548="",0,Sync!$O1548))</f>
        <v/>
      </c>
      <c r="V1548" t="str">
        <f>IF($N1548="","",Sync!$L1548)</f>
        <v/>
      </c>
      <c r="W1548" t="str">
        <f>IF($N1548="","",Sync!$P1548)</f>
        <v/>
      </c>
    </row>
    <row r="1549" spans="14:23" x14ac:dyDescent="0.2">
      <c r="N1549" t="str">
        <f>IF(OR(Sync!$M1549="",$Q1549="",$Q1549="نامعتبر"),"",Sync!$M1549)</f>
        <v/>
      </c>
      <c r="O1549" t="str">
        <f t="shared" si="136"/>
        <v/>
      </c>
      <c r="P1549" t="str">
        <f>IF($N1549="","",LEFT($Q1549,4)&amp;MID($Q1549,6,2)&amp;RIGHT($Q1549,2)&amp;IF(Sync!$K1549="","0000",IF(AND(ISNUMBER(Sync!$K1549),Sync!$K1549&gt;=0,Sync!$K1549&lt;1),RIGHT("00"&amp;HOUR(Sync!$K1549),2)&amp;RIGHT("00"&amp;MINUTE(Sync!$K1549),2),IFERROR(RIGHT("00"&amp;VALUE(LEFT(Sync!$K1549,FIND(":",Sync!$K1549)-1)),2)&amp;RIGHT("00"&amp;VALUE(MID(Sync!$K1549,FIND(":",Sync!$K1549)+1,2)),2),"0000")))&amp;"|"&amp;"2"&amp;RIGHT("00000"&amp;1544,5))</f>
        <v/>
      </c>
      <c r="Q1549" t="str">
        <f>IF(Sync!$J1549="","",IF(ISNUMBER(Sync!$J1549),IF(AND(Sync!$J1549&gt;=10000101,Sync!$J1549&lt;=99991231),INT(Sync!$J1549/10000)&amp;"/"&amp;RIGHT("00"&amp;INT(MOD(Sync!$J1549,10000)/100),2)&amp;"/"&amp;RIGHT("00"&amp;MOD(Sync!$J1549,100),2),"نامعتبر"),IF(LEN(Sync!$J1549)=10,Sync!$J1549,"نامعتبر")))</f>
        <v/>
      </c>
      <c r="R1549" t="str">
        <f t="shared" si="137"/>
        <v/>
      </c>
      <c r="S1549" t="str">
        <f t="shared" si="138"/>
        <v/>
      </c>
      <c r="T1549" t="str">
        <f>IF($N1549="","",IF(Sync!$N1549="",0,Sync!$N1549))</f>
        <v/>
      </c>
      <c r="U1549" t="str">
        <f>IF($N1549="","",IF(Sync!$O1549="",0,Sync!$O1549))</f>
        <v/>
      </c>
      <c r="V1549" t="str">
        <f>IF($N1549="","",Sync!$L1549)</f>
        <v/>
      </c>
      <c r="W1549" t="str">
        <f>IF($N1549="","",Sync!$P1549)</f>
        <v/>
      </c>
    </row>
    <row r="1550" spans="14:23" x14ac:dyDescent="0.2">
      <c r="N1550" t="str">
        <f>IF(OR(Sync!$M1550="",$Q1550="",$Q1550="نامعتبر"),"",Sync!$M1550)</f>
        <v/>
      </c>
      <c r="O1550" t="str">
        <f t="shared" si="136"/>
        <v/>
      </c>
      <c r="P1550" t="str">
        <f>IF($N1550="","",LEFT($Q1550,4)&amp;MID($Q1550,6,2)&amp;RIGHT($Q1550,2)&amp;IF(Sync!$K1550="","0000",IF(AND(ISNUMBER(Sync!$K1550),Sync!$K1550&gt;=0,Sync!$K1550&lt;1),RIGHT("00"&amp;HOUR(Sync!$K1550),2)&amp;RIGHT("00"&amp;MINUTE(Sync!$K1550),2),IFERROR(RIGHT("00"&amp;VALUE(LEFT(Sync!$K1550,FIND(":",Sync!$K1550)-1)),2)&amp;RIGHT("00"&amp;VALUE(MID(Sync!$K1550,FIND(":",Sync!$K1550)+1,2)),2),"0000")))&amp;"|"&amp;"2"&amp;RIGHT("00000"&amp;1545,5))</f>
        <v/>
      </c>
      <c r="Q1550" t="str">
        <f>IF(Sync!$J1550="","",IF(ISNUMBER(Sync!$J1550),IF(AND(Sync!$J1550&gt;=10000101,Sync!$J1550&lt;=99991231),INT(Sync!$J1550/10000)&amp;"/"&amp;RIGHT("00"&amp;INT(MOD(Sync!$J1550,10000)/100),2)&amp;"/"&amp;RIGHT("00"&amp;MOD(Sync!$J1550,100),2),"نامعتبر"),IF(LEN(Sync!$J1550)=10,Sync!$J1550,"نامعتبر")))</f>
        <v/>
      </c>
      <c r="R1550" t="str">
        <f t="shared" si="137"/>
        <v/>
      </c>
      <c r="S1550" t="str">
        <f t="shared" si="138"/>
        <v/>
      </c>
      <c r="T1550" t="str">
        <f>IF($N1550="","",IF(Sync!$N1550="",0,Sync!$N1550))</f>
        <v/>
      </c>
      <c r="U1550" t="str">
        <f>IF($N1550="","",IF(Sync!$O1550="",0,Sync!$O1550))</f>
        <v/>
      </c>
      <c r="V1550" t="str">
        <f>IF($N1550="","",Sync!$L1550)</f>
        <v/>
      </c>
      <c r="W1550" t="str">
        <f>IF($N1550="","",Sync!$P1550)</f>
        <v/>
      </c>
    </row>
    <row r="1551" spans="14:23" x14ac:dyDescent="0.2">
      <c r="N1551" t="str">
        <f>IF(OR(Sync!$M1551="",$Q1551="",$Q1551="نامعتبر"),"",Sync!$M1551)</f>
        <v/>
      </c>
      <c r="O1551" t="str">
        <f t="shared" si="136"/>
        <v/>
      </c>
      <c r="P1551" t="str">
        <f>IF($N1551="","",LEFT($Q1551,4)&amp;MID($Q1551,6,2)&amp;RIGHT($Q1551,2)&amp;IF(Sync!$K1551="","0000",IF(AND(ISNUMBER(Sync!$K1551),Sync!$K1551&gt;=0,Sync!$K1551&lt;1),RIGHT("00"&amp;HOUR(Sync!$K1551),2)&amp;RIGHT("00"&amp;MINUTE(Sync!$K1551),2),IFERROR(RIGHT("00"&amp;VALUE(LEFT(Sync!$K1551,FIND(":",Sync!$K1551)-1)),2)&amp;RIGHT("00"&amp;VALUE(MID(Sync!$K1551,FIND(":",Sync!$K1551)+1,2)),2),"0000")))&amp;"|"&amp;"2"&amp;RIGHT("00000"&amp;1546,5))</f>
        <v/>
      </c>
      <c r="Q1551" t="str">
        <f>IF(Sync!$J1551="","",IF(ISNUMBER(Sync!$J1551),IF(AND(Sync!$J1551&gt;=10000101,Sync!$J1551&lt;=99991231),INT(Sync!$J1551/10000)&amp;"/"&amp;RIGHT("00"&amp;INT(MOD(Sync!$J1551,10000)/100),2)&amp;"/"&amp;RIGHT("00"&amp;MOD(Sync!$J1551,100),2),"نامعتبر"),IF(LEN(Sync!$J1551)=10,Sync!$J1551,"نامعتبر")))</f>
        <v/>
      </c>
      <c r="R1551" t="str">
        <f t="shared" si="137"/>
        <v/>
      </c>
      <c r="S1551" t="str">
        <f t="shared" si="138"/>
        <v/>
      </c>
      <c r="T1551" t="str">
        <f>IF($N1551="","",IF(Sync!$N1551="",0,Sync!$N1551))</f>
        <v/>
      </c>
      <c r="U1551" t="str">
        <f>IF($N1551="","",IF(Sync!$O1551="",0,Sync!$O1551))</f>
        <v/>
      </c>
      <c r="V1551" t="str">
        <f>IF($N1551="","",Sync!$L1551)</f>
        <v/>
      </c>
      <c r="W1551" t="str">
        <f>IF($N1551="","",Sync!$P1551)</f>
        <v/>
      </c>
    </row>
    <row r="1552" spans="14:23" x14ac:dyDescent="0.2">
      <c r="N1552" t="str">
        <f>IF(OR(Sync!$M1552="",$Q1552="",$Q1552="نامعتبر"),"",Sync!$M1552)</f>
        <v/>
      </c>
      <c r="O1552" t="str">
        <f t="shared" si="136"/>
        <v/>
      </c>
      <c r="P1552" t="str">
        <f>IF($N1552="","",LEFT($Q1552,4)&amp;MID($Q1552,6,2)&amp;RIGHT($Q1552,2)&amp;IF(Sync!$K1552="","0000",IF(AND(ISNUMBER(Sync!$K1552),Sync!$K1552&gt;=0,Sync!$K1552&lt;1),RIGHT("00"&amp;HOUR(Sync!$K1552),2)&amp;RIGHT("00"&amp;MINUTE(Sync!$K1552),2),IFERROR(RIGHT("00"&amp;VALUE(LEFT(Sync!$K1552,FIND(":",Sync!$K1552)-1)),2)&amp;RIGHT("00"&amp;VALUE(MID(Sync!$K1552,FIND(":",Sync!$K1552)+1,2)),2),"0000")))&amp;"|"&amp;"2"&amp;RIGHT("00000"&amp;1547,5))</f>
        <v/>
      </c>
      <c r="Q1552" t="str">
        <f>IF(Sync!$J1552="","",IF(ISNUMBER(Sync!$J1552),IF(AND(Sync!$J1552&gt;=10000101,Sync!$J1552&lt;=99991231),INT(Sync!$J1552/10000)&amp;"/"&amp;RIGHT("00"&amp;INT(MOD(Sync!$J1552,10000)/100),2)&amp;"/"&amp;RIGHT("00"&amp;MOD(Sync!$J1552,100),2),"نامعتبر"),IF(LEN(Sync!$J1552)=10,Sync!$J1552,"نامعتبر")))</f>
        <v/>
      </c>
      <c r="R1552" t="str">
        <f t="shared" si="137"/>
        <v/>
      </c>
      <c r="S1552" t="str">
        <f t="shared" si="138"/>
        <v/>
      </c>
      <c r="T1552" t="str">
        <f>IF($N1552="","",IF(Sync!$N1552="",0,Sync!$N1552))</f>
        <v/>
      </c>
      <c r="U1552" t="str">
        <f>IF($N1552="","",IF(Sync!$O1552="",0,Sync!$O1552))</f>
        <v/>
      </c>
      <c r="V1552" t="str">
        <f>IF($N1552="","",Sync!$L1552)</f>
        <v/>
      </c>
      <c r="W1552" t="str">
        <f>IF($N1552="","",Sync!$P1552)</f>
        <v/>
      </c>
    </row>
    <row r="1553" spans="14:23" x14ac:dyDescent="0.2">
      <c r="N1553" t="str">
        <f>IF(OR(Sync!$M1553="",$Q1553="",$Q1553="نامعتبر"),"",Sync!$M1553)</f>
        <v/>
      </c>
      <c r="O1553" t="str">
        <f t="shared" si="136"/>
        <v/>
      </c>
      <c r="P1553" t="str">
        <f>IF($N1553="","",LEFT($Q1553,4)&amp;MID($Q1553,6,2)&amp;RIGHT($Q1553,2)&amp;IF(Sync!$K1553="","0000",IF(AND(ISNUMBER(Sync!$K1553),Sync!$K1553&gt;=0,Sync!$K1553&lt;1),RIGHT("00"&amp;HOUR(Sync!$K1553),2)&amp;RIGHT("00"&amp;MINUTE(Sync!$K1553),2),IFERROR(RIGHT("00"&amp;VALUE(LEFT(Sync!$K1553,FIND(":",Sync!$K1553)-1)),2)&amp;RIGHT("00"&amp;VALUE(MID(Sync!$K1553,FIND(":",Sync!$K1553)+1,2)),2),"0000")))&amp;"|"&amp;"2"&amp;RIGHT("00000"&amp;1548,5))</f>
        <v/>
      </c>
      <c r="Q1553" t="str">
        <f>IF(Sync!$J1553="","",IF(ISNUMBER(Sync!$J1553),IF(AND(Sync!$J1553&gt;=10000101,Sync!$J1553&lt;=99991231),INT(Sync!$J1553/10000)&amp;"/"&amp;RIGHT("00"&amp;INT(MOD(Sync!$J1553,10000)/100),2)&amp;"/"&amp;RIGHT("00"&amp;MOD(Sync!$J1553,100),2),"نامعتبر"),IF(LEN(Sync!$J1553)=10,Sync!$J1553,"نامعتبر")))</f>
        <v/>
      </c>
      <c r="R1553" t="str">
        <f t="shared" si="137"/>
        <v/>
      </c>
      <c r="S1553" t="str">
        <f t="shared" si="138"/>
        <v/>
      </c>
      <c r="T1553" t="str">
        <f>IF($N1553="","",IF(Sync!$N1553="",0,Sync!$N1553))</f>
        <v/>
      </c>
      <c r="U1553" t="str">
        <f>IF($N1553="","",IF(Sync!$O1553="",0,Sync!$O1553))</f>
        <v/>
      </c>
      <c r="V1553" t="str">
        <f>IF($N1553="","",Sync!$L1553)</f>
        <v/>
      </c>
      <c r="W1553" t="str">
        <f>IF($N1553="","",Sync!$P1553)</f>
        <v/>
      </c>
    </row>
    <row r="1554" spans="14:23" x14ac:dyDescent="0.2">
      <c r="N1554" t="str">
        <f>IF(OR(Sync!$M1554="",$Q1554="",$Q1554="نامعتبر"),"",Sync!$M1554)</f>
        <v/>
      </c>
      <c r="O1554" t="str">
        <f t="shared" si="136"/>
        <v/>
      </c>
      <c r="P1554" t="str">
        <f>IF($N1554="","",LEFT($Q1554,4)&amp;MID($Q1554,6,2)&amp;RIGHT($Q1554,2)&amp;IF(Sync!$K1554="","0000",IF(AND(ISNUMBER(Sync!$K1554),Sync!$K1554&gt;=0,Sync!$K1554&lt;1),RIGHT("00"&amp;HOUR(Sync!$K1554),2)&amp;RIGHT("00"&amp;MINUTE(Sync!$K1554),2),IFERROR(RIGHT("00"&amp;VALUE(LEFT(Sync!$K1554,FIND(":",Sync!$K1554)-1)),2)&amp;RIGHT("00"&amp;VALUE(MID(Sync!$K1554,FIND(":",Sync!$K1554)+1,2)),2),"0000")))&amp;"|"&amp;"2"&amp;RIGHT("00000"&amp;1549,5))</f>
        <v/>
      </c>
      <c r="Q1554" t="str">
        <f>IF(Sync!$J1554="","",IF(ISNUMBER(Sync!$J1554),IF(AND(Sync!$J1554&gt;=10000101,Sync!$J1554&lt;=99991231),INT(Sync!$J1554/10000)&amp;"/"&amp;RIGHT("00"&amp;INT(MOD(Sync!$J1554,10000)/100),2)&amp;"/"&amp;RIGHT("00"&amp;MOD(Sync!$J1554,100),2),"نامعتبر"),IF(LEN(Sync!$J1554)=10,Sync!$J1554,"نامعتبر")))</f>
        <v/>
      </c>
      <c r="R1554" t="str">
        <f t="shared" si="137"/>
        <v/>
      </c>
      <c r="S1554" t="str">
        <f t="shared" si="138"/>
        <v/>
      </c>
      <c r="T1554" t="str">
        <f>IF($N1554="","",IF(Sync!$N1554="",0,Sync!$N1554))</f>
        <v/>
      </c>
      <c r="U1554" t="str">
        <f>IF($N1554="","",IF(Sync!$O1554="",0,Sync!$O1554))</f>
        <v/>
      </c>
      <c r="V1554" t="str">
        <f>IF($N1554="","",Sync!$L1554)</f>
        <v/>
      </c>
      <c r="W1554" t="str">
        <f>IF($N1554="","",Sync!$P1554)</f>
        <v/>
      </c>
    </row>
    <row r="1555" spans="14:23" x14ac:dyDescent="0.2">
      <c r="N1555" t="str">
        <f>IF(OR(Sync!$M1555="",$Q1555="",$Q1555="نامعتبر"),"",Sync!$M1555)</f>
        <v/>
      </c>
      <c r="O1555" t="str">
        <f t="shared" si="136"/>
        <v/>
      </c>
      <c r="P1555" t="str">
        <f>IF($N1555="","",LEFT($Q1555,4)&amp;MID($Q1555,6,2)&amp;RIGHT($Q1555,2)&amp;IF(Sync!$K1555="","0000",IF(AND(ISNUMBER(Sync!$K1555),Sync!$K1555&gt;=0,Sync!$K1555&lt;1),RIGHT("00"&amp;HOUR(Sync!$K1555),2)&amp;RIGHT("00"&amp;MINUTE(Sync!$K1555),2),IFERROR(RIGHT("00"&amp;VALUE(LEFT(Sync!$K1555,FIND(":",Sync!$K1555)-1)),2)&amp;RIGHT("00"&amp;VALUE(MID(Sync!$K1555,FIND(":",Sync!$K1555)+1,2)),2),"0000")))&amp;"|"&amp;"2"&amp;RIGHT("00000"&amp;1550,5))</f>
        <v/>
      </c>
      <c r="Q1555" t="str">
        <f>IF(Sync!$J1555="","",IF(ISNUMBER(Sync!$J1555),IF(AND(Sync!$J1555&gt;=10000101,Sync!$J1555&lt;=99991231),INT(Sync!$J1555/10000)&amp;"/"&amp;RIGHT("00"&amp;INT(MOD(Sync!$J1555,10000)/100),2)&amp;"/"&amp;RIGHT("00"&amp;MOD(Sync!$J1555,100),2),"نامعتبر"),IF(LEN(Sync!$J1555)=10,Sync!$J1555,"نامعتبر")))</f>
        <v/>
      </c>
      <c r="R1555" t="str">
        <f t="shared" si="137"/>
        <v/>
      </c>
      <c r="S1555" t="str">
        <f t="shared" si="138"/>
        <v/>
      </c>
      <c r="T1555" t="str">
        <f>IF($N1555="","",IF(Sync!$N1555="",0,Sync!$N1555))</f>
        <v/>
      </c>
      <c r="U1555" t="str">
        <f>IF($N1555="","",IF(Sync!$O1555="",0,Sync!$O1555))</f>
        <v/>
      </c>
      <c r="V1555" t="str">
        <f>IF($N1555="","",Sync!$L1555)</f>
        <v/>
      </c>
      <c r="W1555" t="str">
        <f>IF($N1555="","",Sync!$P1555)</f>
        <v/>
      </c>
    </row>
    <row r="1556" spans="14:23" x14ac:dyDescent="0.2">
      <c r="N1556" t="str">
        <f>IF(OR(Sync!$M1556="",$Q1556="",$Q1556="نامعتبر"),"",Sync!$M1556)</f>
        <v/>
      </c>
      <c r="O1556" t="str">
        <f t="shared" si="136"/>
        <v/>
      </c>
      <c r="P1556" t="str">
        <f>IF($N1556="","",LEFT($Q1556,4)&amp;MID($Q1556,6,2)&amp;RIGHT($Q1556,2)&amp;IF(Sync!$K1556="","0000",IF(AND(ISNUMBER(Sync!$K1556),Sync!$K1556&gt;=0,Sync!$K1556&lt;1),RIGHT("00"&amp;HOUR(Sync!$K1556),2)&amp;RIGHT("00"&amp;MINUTE(Sync!$K1556),2),IFERROR(RIGHT("00"&amp;VALUE(LEFT(Sync!$K1556,FIND(":",Sync!$K1556)-1)),2)&amp;RIGHT("00"&amp;VALUE(MID(Sync!$K1556,FIND(":",Sync!$K1556)+1,2)),2),"0000")))&amp;"|"&amp;"2"&amp;RIGHT("00000"&amp;1551,5))</f>
        <v/>
      </c>
      <c r="Q1556" t="str">
        <f>IF(Sync!$J1556="","",IF(ISNUMBER(Sync!$J1556),IF(AND(Sync!$J1556&gt;=10000101,Sync!$J1556&lt;=99991231),INT(Sync!$J1556/10000)&amp;"/"&amp;RIGHT("00"&amp;INT(MOD(Sync!$J1556,10000)/100),2)&amp;"/"&amp;RIGHT("00"&amp;MOD(Sync!$J1556,100),2),"نامعتبر"),IF(LEN(Sync!$J1556)=10,Sync!$J1556,"نامعتبر")))</f>
        <v/>
      </c>
      <c r="R1556" t="str">
        <f t="shared" si="137"/>
        <v/>
      </c>
      <c r="S1556" t="str">
        <f t="shared" si="138"/>
        <v/>
      </c>
      <c r="T1556" t="str">
        <f>IF($N1556="","",IF(Sync!$N1556="",0,Sync!$N1556))</f>
        <v/>
      </c>
      <c r="U1556" t="str">
        <f>IF($N1556="","",IF(Sync!$O1556="",0,Sync!$O1556))</f>
        <v/>
      </c>
      <c r="V1556" t="str">
        <f>IF($N1556="","",Sync!$L1556)</f>
        <v/>
      </c>
      <c r="W1556" t="str">
        <f>IF($N1556="","",Sync!$P1556)</f>
        <v/>
      </c>
    </row>
    <row r="1557" spans="14:23" x14ac:dyDescent="0.2">
      <c r="N1557" t="str">
        <f>IF(OR(Sync!$M1557="",$Q1557="",$Q1557="نامعتبر"),"",Sync!$M1557)</f>
        <v/>
      </c>
      <c r="O1557" t="str">
        <f t="shared" si="136"/>
        <v/>
      </c>
      <c r="P1557" t="str">
        <f>IF($N1557="","",LEFT($Q1557,4)&amp;MID($Q1557,6,2)&amp;RIGHT($Q1557,2)&amp;IF(Sync!$K1557="","0000",IF(AND(ISNUMBER(Sync!$K1557),Sync!$K1557&gt;=0,Sync!$K1557&lt;1),RIGHT("00"&amp;HOUR(Sync!$K1557),2)&amp;RIGHT("00"&amp;MINUTE(Sync!$K1557),2),IFERROR(RIGHT("00"&amp;VALUE(LEFT(Sync!$K1557,FIND(":",Sync!$K1557)-1)),2)&amp;RIGHT("00"&amp;VALUE(MID(Sync!$K1557,FIND(":",Sync!$K1557)+1,2)),2),"0000")))&amp;"|"&amp;"2"&amp;RIGHT("00000"&amp;1552,5))</f>
        <v/>
      </c>
      <c r="Q1557" t="str">
        <f>IF(Sync!$J1557="","",IF(ISNUMBER(Sync!$J1557),IF(AND(Sync!$J1557&gt;=10000101,Sync!$J1557&lt;=99991231),INT(Sync!$J1557/10000)&amp;"/"&amp;RIGHT("00"&amp;INT(MOD(Sync!$J1557,10000)/100),2)&amp;"/"&amp;RIGHT("00"&amp;MOD(Sync!$J1557,100),2),"نامعتبر"),IF(LEN(Sync!$J1557)=10,Sync!$J1557,"نامعتبر")))</f>
        <v/>
      </c>
      <c r="R1557" t="str">
        <f t="shared" si="137"/>
        <v/>
      </c>
      <c r="S1557" t="str">
        <f t="shared" si="138"/>
        <v/>
      </c>
      <c r="T1557" t="str">
        <f>IF($N1557="","",IF(Sync!$N1557="",0,Sync!$N1557))</f>
        <v/>
      </c>
      <c r="U1557" t="str">
        <f>IF($N1557="","",IF(Sync!$O1557="",0,Sync!$O1557))</f>
        <v/>
      </c>
      <c r="V1557" t="str">
        <f>IF($N1557="","",Sync!$L1557)</f>
        <v/>
      </c>
      <c r="W1557" t="str">
        <f>IF($N1557="","",Sync!$P1557)</f>
        <v/>
      </c>
    </row>
    <row r="1558" spans="14:23" x14ac:dyDescent="0.2">
      <c r="N1558" t="str">
        <f>IF(OR(Sync!$M1558="",$Q1558="",$Q1558="نامعتبر"),"",Sync!$M1558)</f>
        <v/>
      </c>
      <c r="O1558" t="str">
        <f t="shared" si="136"/>
        <v/>
      </c>
      <c r="P1558" t="str">
        <f>IF($N1558="","",LEFT($Q1558,4)&amp;MID($Q1558,6,2)&amp;RIGHT($Q1558,2)&amp;IF(Sync!$K1558="","0000",IF(AND(ISNUMBER(Sync!$K1558),Sync!$K1558&gt;=0,Sync!$K1558&lt;1),RIGHT("00"&amp;HOUR(Sync!$K1558),2)&amp;RIGHT("00"&amp;MINUTE(Sync!$K1558),2),IFERROR(RIGHT("00"&amp;VALUE(LEFT(Sync!$K1558,FIND(":",Sync!$K1558)-1)),2)&amp;RIGHT("00"&amp;VALUE(MID(Sync!$K1558,FIND(":",Sync!$K1558)+1,2)),2),"0000")))&amp;"|"&amp;"2"&amp;RIGHT("00000"&amp;1553,5))</f>
        <v/>
      </c>
      <c r="Q1558" t="str">
        <f>IF(Sync!$J1558="","",IF(ISNUMBER(Sync!$J1558),IF(AND(Sync!$J1558&gt;=10000101,Sync!$J1558&lt;=99991231),INT(Sync!$J1558/10000)&amp;"/"&amp;RIGHT("00"&amp;INT(MOD(Sync!$J1558,10000)/100),2)&amp;"/"&amp;RIGHT("00"&amp;MOD(Sync!$J1558,100),2),"نامعتبر"),IF(LEN(Sync!$J1558)=10,Sync!$J1558,"نامعتبر")))</f>
        <v/>
      </c>
      <c r="R1558" t="str">
        <f t="shared" si="137"/>
        <v/>
      </c>
      <c r="S1558" t="str">
        <f t="shared" si="138"/>
        <v/>
      </c>
      <c r="T1558" t="str">
        <f>IF($N1558="","",IF(Sync!$N1558="",0,Sync!$N1558))</f>
        <v/>
      </c>
      <c r="U1558" t="str">
        <f>IF($N1558="","",IF(Sync!$O1558="",0,Sync!$O1558))</f>
        <v/>
      </c>
      <c r="V1558" t="str">
        <f>IF($N1558="","",Sync!$L1558)</f>
        <v/>
      </c>
      <c r="W1558" t="str">
        <f>IF($N1558="","",Sync!$P1558)</f>
        <v/>
      </c>
    </row>
    <row r="1559" spans="14:23" x14ac:dyDescent="0.2">
      <c r="N1559" t="str">
        <f>IF(OR(Sync!$M1559="",$Q1559="",$Q1559="نامعتبر"),"",Sync!$M1559)</f>
        <v/>
      </c>
      <c r="O1559" t="str">
        <f t="shared" si="136"/>
        <v/>
      </c>
      <c r="P1559" t="str">
        <f>IF($N1559="","",LEFT($Q1559,4)&amp;MID($Q1559,6,2)&amp;RIGHT($Q1559,2)&amp;IF(Sync!$K1559="","0000",IF(AND(ISNUMBER(Sync!$K1559),Sync!$K1559&gt;=0,Sync!$K1559&lt;1),RIGHT("00"&amp;HOUR(Sync!$K1559),2)&amp;RIGHT("00"&amp;MINUTE(Sync!$K1559),2),IFERROR(RIGHT("00"&amp;VALUE(LEFT(Sync!$K1559,FIND(":",Sync!$K1559)-1)),2)&amp;RIGHT("00"&amp;VALUE(MID(Sync!$K1559,FIND(":",Sync!$K1559)+1,2)),2),"0000")))&amp;"|"&amp;"2"&amp;RIGHT("00000"&amp;1554,5))</f>
        <v/>
      </c>
      <c r="Q1559" t="str">
        <f>IF(Sync!$J1559="","",IF(ISNUMBER(Sync!$J1559),IF(AND(Sync!$J1559&gt;=10000101,Sync!$J1559&lt;=99991231),INT(Sync!$J1559/10000)&amp;"/"&amp;RIGHT("00"&amp;INT(MOD(Sync!$J1559,10000)/100),2)&amp;"/"&amp;RIGHT("00"&amp;MOD(Sync!$J1559,100),2),"نامعتبر"),IF(LEN(Sync!$J1559)=10,Sync!$J1559,"نامعتبر")))</f>
        <v/>
      </c>
      <c r="R1559" t="str">
        <f t="shared" si="137"/>
        <v/>
      </c>
      <c r="S1559" t="str">
        <f t="shared" si="138"/>
        <v/>
      </c>
      <c r="T1559" t="str">
        <f>IF($N1559="","",IF(Sync!$N1559="",0,Sync!$N1559))</f>
        <v/>
      </c>
      <c r="U1559" t="str">
        <f>IF($N1559="","",IF(Sync!$O1559="",0,Sync!$O1559))</f>
        <v/>
      </c>
      <c r="V1559" t="str">
        <f>IF($N1559="","",Sync!$L1559)</f>
        <v/>
      </c>
      <c r="W1559" t="str">
        <f>IF($N1559="","",Sync!$P1559)</f>
        <v/>
      </c>
    </row>
    <row r="1560" spans="14:23" x14ac:dyDescent="0.2">
      <c r="N1560" t="str">
        <f>IF(OR(Sync!$M1560="",$Q1560="",$Q1560="نامعتبر"),"",Sync!$M1560)</f>
        <v/>
      </c>
      <c r="O1560" t="str">
        <f t="shared" si="136"/>
        <v/>
      </c>
      <c r="P1560" t="str">
        <f>IF($N1560="","",LEFT($Q1560,4)&amp;MID($Q1560,6,2)&amp;RIGHT($Q1560,2)&amp;IF(Sync!$K1560="","0000",IF(AND(ISNUMBER(Sync!$K1560),Sync!$K1560&gt;=0,Sync!$K1560&lt;1),RIGHT("00"&amp;HOUR(Sync!$K1560),2)&amp;RIGHT("00"&amp;MINUTE(Sync!$K1560),2),IFERROR(RIGHT("00"&amp;VALUE(LEFT(Sync!$K1560,FIND(":",Sync!$K1560)-1)),2)&amp;RIGHT("00"&amp;VALUE(MID(Sync!$K1560,FIND(":",Sync!$K1560)+1,2)),2),"0000")))&amp;"|"&amp;"2"&amp;RIGHT("00000"&amp;1555,5))</f>
        <v/>
      </c>
      <c r="Q1560" t="str">
        <f>IF(Sync!$J1560="","",IF(ISNUMBER(Sync!$J1560),IF(AND(Sync!$J1560&gt;=10000101,Sync!$J1560&lt;=99991231),INT(Sync!$J1560/10000)&amp;"/"&amp;RIGHT("00"&amp;INT(MOD(Sync!$J1560,10000)/100),2)&amp;"/"&amp;RIGHT("00"&amp;MOD(Sync!$J1560,100),2),"نامعتبر"),IF(LEN(Sync!$J1560)=10,Sync!$J1560,"نامعتبر")))</f>
        <v/>
      </c>
      <c r="R1560" t="str">
        <f t="shared" si="137"/>
        <v/>
      </c>
      <c r="S1560" t="str">
        <f t="shared" si="138"/>
        <v/>
      </c>
      <c r="T1560" t="str">
        <f>IF($N1560="","",IF(Sync!$N1560="",0,Sync!$N1560))</f>
        <v/>
      </c>
      <c r="U1560" t="str">
        <f>IF($N1560="","",IF(Sync!$O1560="",0,Sync!$O1560))</f>
        <v/>
      </c>
      <c r="V1560" t="str">
        <f>IF($N1560="","",Sync!$L1560)</f>
        <v/>
      </c>
      <c r="W1560" t="str">
        <f>IF($N1560="","",Sync!$P1560)</f>
        <v/>
      </c>
    </row>
    <row r="1561" spans="14:23" x14ac:dyDescent="0.2">
      <c r="N1561" t="str">
        <f>IF(OR(Sync!$M1561="",$Q1561="",$Q1561="نامعتبر"),"",Sync!$M1561)</f>
        <v/>
      </c>
      <c r="O1561" t="str">
        <f t="shared" si="136"/>
        <v/>
      </c>
      <c r="P1561" t="str">
        <f>IF($N1561="","",LEFT($Q1561,4)&amp;MID($Q1561,6,2)&amp;RIGHT($Q1561,2)&amp;IF(Sync!$K1561="","0000",IF(AND(ISNUMBER(Sync!$K1561),Sync!$K1561&gt;=0,Sync!$K1561&lt;1),RIGHT("00"&amp;HOUR(Sync!$K1561),2)&amp;RIGHT("00"&amp;MINUTE(Sync!$K1561),2),IFERROR(RIGHT("00"&amp;VALUE(LEFT(Sync!$K1561,FIND(":",Sync!$K1561)-1)),2)&amp;RIGHT("00"&amp;VALUE(MID(Sync!$K1561,FIND(":",Sync!$K1561)+1,2)),2),"0000")))&amp;"|"&amp;"2"&amp;RIGHT("00000"&amp;1556,5))</f>
        <v/>
      </c>
      <c r="Q1561" t="str">
        <f>IF(Sync!$J1561="","",IF(ISNUMBER(Sync!$J1561),IF(AND(Sync!$J1561&gt;=10000101,Sync!$J1561&lt;=99991231),INT(Sync!$J1561/10000)&amp;"/"&amp;RIGHT("00"&amp;INT(MOD(Sync!$J1561,10000)/100),2)&amp;"/"&amp;RIGHT("00"&amp;MOD(Sync!$J1561,100),2),"نامعتبر"),IF(LEN(Sync!$J1561)=10,Sync!$J1561,"نامعتبر")))</f>
        <v/>
      </c>
      <c r="R1561" t="str">
        <f t="shared" si="137"/>
        <v/>
      </c>
      <c r="S1561" t="str">
        <f t="shared" si="138"/>
        <v/>
      </c>
      <c r="T1561" t="str">
        <f>IF($N1561="","",IF(Sync!$N1561="",0,Sync!$N1561))</f>
        <v/>
      </c>
      <c r="U1561" t="str">
        <f>IF($N1561="","",IF(Sync!$O1561="",0,Sync!$O1561))</f>
        <v/>
      </c>
      <c r="V1561" t="str">
        <f>IF($N1561="","",Sync!$L1561)</f>
        <v/>
      </c>
      <c r="W1561" t="str">
        <f>IF($N1561="","",Sync!$P1561)</f>
        <v/>
      </c>
    </row>
    <row r="1562" spans="14:23" x14ac:dyDescent="0.2">
      <c r="N1562" t="str">
        <f>IF(OR(Sync!$M1562="",$Q1562="",$Q1562="نامعتبر"),"",Sync!$M1562)</f>
        <v/>
      </c>
      <c r="O1562" t="str">
        <f t="shared" si="136"/>
        <v/>
      </c>
      <c r="P1562" t="str">
        <f>IF($N1562="","",LEFT($Q1562,4)&amp;MID($Q1562,6,2)&amp;RIGHT($Q1562,2)&amp;IF(Sync!$K1562="","0000",IF(AND(ISNUMBER(Sync!$K1562),Sync!$K1562&gt;=0,Sync!$K1562&lt;1),RIGHT("00"&amp;HOUR(Sync!$K1562),2)&amp;RIGHT("00"&amp;MINUTE(Sync!$K1562),2),IFERROR(RIGHT("00"&amp;VALUE(LEFT(Sync!$K1562,FIND(":",Sync!$K1562)-1)),2)&amp;RIGHT("00"&amp;VALUE(MID(Sync!$K1562,FIND(":",Sync!$K1562)+1,2)),2),"0000")))&amp;"|"&amp;"2"&amp;RIGHT("00000"&amp;1557,5))</f>
        <v/>
      </c>
      <c r="Q1562" t="str">
        <f>IF(Sync!$J1562="","",IF(ISNUMBER(Sync!$J1562),IF(AND(Sync!$J1562&gt;=10000101,Sync!$J1562&lt;=99991231),INT(Sync!$J1562/10000)&amp;"/"&amp;RIGHT("00"&amp;INT(MOD(Sync!$J1562,10000)/100),2)&amp;"/"&amp;RIGHT("00"&amp;MOD(Sync!$J1562,100),2),"نامعتبر"),IF(LEN(Sync!$J1562)=10,Sync!$J1562,"نامعتبر")))</f>
        <v/>
      </c>
      <c r="R1562" t="str">
        <f t="shared" si="137"/>
        <v/>
      </c>
      <c r="S1562" t="str">
        <f t="shared" si="138"/>
        <v/>
      </c>
      <c r="T1562" t="str">
        <f>IF($N1562="","",IF(Sync!$N1562="",0,Sync!$N1562))</f>
        <v/>
      </c>
      <c r="U1562" t="str">
        <f>IF($N1562="","",IF(Sync!$O1562="",0,Sync!$O1562))</f>
        <v/>
      </c>
      <c r="V1562" t="str">
        <f>IF($N1562="","",Sync!$L1562)</f>
        <v/>
      </c>
      <c r="W1562" t="str">
        <f>IF($N1562="","",Sync!$P1562)</f>
        <v/>
      </c>
    </row>
    <row r="1563" spans="14:23" x14ac:dyDescent="0.2">
      <c r="N1563" t="str">
        <f>IF(OR(Sync!$M1563="",$Q1563="",$Q1563="نامعتبر"),"",Sync!$M1563)</f>
        <v/>
      </c>
      <c r="O1563" t="str">
        <f t="shared" si="136"/>
        <v/>
      </c>
      <c r="P1563" t="str">
        <f>IF($N1563="","",LEFT($Q1563,4)&amp;MID($Q1563,6,2)&amp;RIGHT($Q1563,2)&amp;IF(Sync!$K1563="","0000",IF(AND(ISNUMBER(Sync!$K1563),Sync!$K1563&gt;=0,Sync!$K1563&lt;1),RIGHT("00"&amp;HOUR(Sync!$K1563),2)&amp;RIGHT("00"&amp;MINUTE(Sync!$K1563),2),IFERROR(RIGHT("00"&amp;VALUE(LEFT(Sync!$K1563,FIND(":",Sync!$K1563)-1)),2)&amp;RIGHT("00"&amp;VALUE(MID(Sync!$K1563,FIND(":",Sync!$K1563)+1,2)),2),"0000")))&amp;"|"&amp;"2"&amp;RIGHT("00000"&amp;1558,5))</f>
        <v/>
      </c>
      <c r="Q1563" t="str">
        <f>IF(Sync!$J1563="","",IF(ISNUMBER(Sync!$J1563),IF(AND(Sync!$J1563&gt;=10000101,Sync!$J1563&lt;=99991231),INT(Sync!$J1563/10000)&amp;"/"&amp;RIGHT("00"&amp;INT(MOD(Sync!$J1563,10000)/100),2)&amp;"/"&amp;RIGHT("00"&amp;MOD(Sync!$J1563,100),2),"نامعتبر"),IF(LEN(Sync!$J1563)=10,Sync!$J1563,"نامعتبر")))</f>
        <v/>
      </c>
      <c r="R1563" t="str">
        <f t="shared" si="137"/>
        <v/>
      </c>
      <c r="S1563" t="str">
        <f t="shared" si="138"/>
        <v/>
      </c>
      <c r="T1563" t="str">
        <f>IF($N1563="","",IF(Sync!$N1563="",0,Sync!$N1563))</f>
        <v/>
      </c>
      <c r="U1563" t="str">
        <f>IF($N1563="","",IF(Sync!$O1563="",0,Sync!$O1563))</f>
        <v/>
      </c>
      <c r="V1563" t="str">
        <f>IF($N1563="","",Sync!$L1563)</f>
        <v/>
      </c>
      <c r="W1563" t="str">
        <f>IF($N1563="","",Sync!$P1563)</f>
        <v/>
      </c>
    </row>
    <row r="1564" spans="14:23" x14ac:dyDescent="0.2">
      <c r="N1564" t="str">
        <f>IF(OR(Sync!$M1564="",$Q1564="",$Q1564="نامعتبر"),"",Sync!$M1564)</f>
        <v/>
      </c>
      <c r="O1564" t="str">
        <f t="shared" si="136"/>
        <v/>
      </c>
      <c r="P1564" t="str">
        <f>IF($N1564="","",LEFT($Q1564,4)&amp;MID($Q1564,6,2)&amp;RIGHT($Q1564,2)&amp;IF(Sync!$K1564="","0000",IF(AND(ISNUMBER(Sync!$K1564),Sync!$K1564&gt;=0,Sync!$K1564&lt;1),RIGHT("00"&amp;HOUR(Sync!$K1564),2)&amp;RIGHT("00"&amp;MINUTE(Sync!$K1564),2),IFERROR(RIGHT("00"&amp;VALUE(LEFT(Sync!$K1564,FIND(":",Sync!$K1564)-1)),2)&amp;RIGHT("00"&amp;VALUE(MID(Sync!$K1564,FIND(":",Sync!$K1564)+1,2)),2),"0000")))&amp;"|"&amp;"2"&amp;RIGHT("00000"&amp;1559,5))</f>
        <v/>
      </c>
      <c r="Q1564" t="str">
        <f>IF(Sync!$J1564="","",IF(ISNUMBER(Sync!$J1564),IF(AND(Sync!$J1564&gt;=10000101,Sync!$J1564&lt;=99991231),INT(Sync!$J1564/10000)&amp;"/"&amp;RIGHT("00"&amp;INT(MOD(Sync!$J1564,10000)/100),2)&amp;"/"&amp;RIGHT("00"&amp;MOD(Sync!$J1564,100),2),"نامعتبر"),IF(LEN(Sync!$J1564)=10,Sync!$J1564,"نامعتبر")))</f>
        <v/>
      </c>
      <c r="R1564" t="str">
        <f t="shared" si="137"/>
        <v/>
      </c>
      <c r="S1564" t="str">
        <f t="shared" si="138"/>
        <v/>
      </c>
      <c r="T1564" t="str">
        <f>IF($N1564="","",IF(Sync!$N1564="",0,Sync!$N1564))</f>
        <v/>
      </c>
      <c r="U1564" t="str">
        <f>IF($N1564="","",IF(Sync!$O1564="",0,Sync!$O1564))</f>
        <v/>
      </c>
      <c r="V1564" t="str">
        <f>IF($N1564="","",Sync!$L1564)</f>
        <v/>
      </c>
      <c r="W1564" t="str">
        <f>IF($N1564="","",Sync!$P1564)</f>
        <v/>
      </c>
    </row>
    <row r="1565" spans="14:23" x14ac:dyDescent="0.2">
      <c r="N1565" t="str">
        <f>IF(OR(Sync!$M1565="",$Q1565="",$Q1565="نامعتبر"),"",Sync!$M1565)</f>
        <v/>
      </c>
      <c r="O1565" t="str">
        <f t="shared" si="136"/>
        <v/>
      </c>
      <c r="P1565" t="str">
        <f>IF($N1565="","",LEFT($Q1565,4)&amp;MID($Q1565,6,2)&amp;RIGHT($Q1565,2)&amp;IF(Sync!$K1565="","0000",IF(AND(ISNUMBER(Sync!$K1565),Sync!$K1565&gt;=0,Sync!$K1565&lt;1),RIGHT("00"&amp;HOUR(Sync!$K1565),2)&amp;RIGHT("00"&amp;MINUTE(Sync!$K1565),2),IFERROR(RIGHT("00"&amp;VALUE(LEFT(Sync!$K1565,FIND(":",Sync!$K1565)-1)),2)&amp;RIGHT("00"&amp;VALUE(MID(Sync!$K1565,FIND(":",Sync!$K1565)+1,2)),2),"0000")))&amp;"|"&amp;"2"&amp;RIGHT("00000"&amp;1560,5))</f>
        <v/>
      </c>
      <c r="Q1565" t="str">
        <f>IF(Sync!$J1565="","",IF(ISNUMBER(Sync!$J1565),IF(AND(Sync!$J1565&gt;=10000101,Sync!$J1565&lt;=99991231),INT(Sync!$J1565/10000)&amp;"/"&amp;RIGHT("00"&amp;INT(MOD(Sync!$J1565,10000)/100),2)&amp;"/"&amp;RIGHT("00"&amp;MOD(Sync!$J1565,100),2),"نامعتبر"),IF(LEN(Sync!$J1565)=10,Sync!$J1565,"نامعتبر")))</f>
        <v/>
      </c>
      <c r="R1565" t="str">
        <f t="shared" si="137"/>
        <v/>
      </c>
      <c r="S1565" t="str">
        <f t="shared" si="138"/>
        <v/>
      </c>
      <c r="T1565" t="str">
        <f>IF($N1565="","",IF(Sync!$N1565="",0,Sync!$N1565))</f>
        <v/>
      </c>
      <c r="U1565" t="str">
        <f>IF($N1565="","",IF(Sync!$O1565="",0,Sync!$O1565))</f>
        <v/>
      </c>
      <c r="V1565" t="str">
        <f>IF($N1565="","",Sync!$L1565)</f>
        <v/>
      </c>
      <c r="W1565" t="str">
        <f>IF($N1565="","",Sync!$P1565)</f>
        <v/>
      </c>
    </row>
    <row r="1566" spans="14:23" x14ac:dyDescent="0.2">
      <c r="N1566" t="str">
        <f>IF(OR(Sync!$M1566="",$Q1566="",$Q1566="نامعتبر"),"",Sync!$M1566)</f>
        <v/>
      </c>
      <c r="O1566" t="str">
        <f t="shared" si="136"/>
        <v/>
      </c>
      <c r="P1566" t="str">
        <f>IF($N1566="","",LEFT($Q1566,4)&amp;MID($Q1566,6,2)&amp;RIGHT($Q1566,2)&amp;IF(Sync!$K1566="","0000",IF(AND(ISNUMBER(Sync!$K1566),Sync!$K1566&gt;=0,Sync!$K1566&lt;1),RIGHT("00"&amp;HOUR(Sync!$K1566),2)&amp;RIGHT("00"&amp;MINUTE(Sync!$K1566),2),IFERROR(RIGHT("00"&amp;VALUE(LEFT(Sync!$K1566,FIND(":",Sync!$K1566)-1)),2)&amp;RIGHT("00"&amp;VALUE(MID(Sync!$K1566,FIND(":",Sync!$K1566)+1,2)),2),"0000")))&amp;"|"&amp;"2"&amp;RIGHT("00000"&amp;1561,5))</f>
        <v/>
      </c>
      <c r="Q1566" t="str">
        <f>IF(Sync!$J1566="","",IF(ISNUMBER(Sync!$J1566),IF(AND(Sync!$J1566&gt;=10000101,Sync!$J1566&lt;=99991231),INT(Sync!$J1566/10000)&amp;"/"&amp;RIGHT("00"&amp;INT(MOD(Sync!$J1566,10000)/100),2)&amp;"/"&amp;RIGHT("00"&amp;MOD(Sync!$J1566,100),2),"نامعتبر"),IF(LEN(Sync!$J1566)=10,Sync!$J1566,"نامعتبر")))</f>
        <v/>
      </c>
      <c r="R1566" t="str">
        <f t="shared" si="137"/>
        <v/>
      </c>
      <c r="S1566" t="str">
        <f t="shared" si="138"/>
        <v/>
      </c>
      <c r="T1566" t="str">
        <f>IF($N1566="","",IF(Sync!$N1566="",0,Sync!$N1566))</f>
        <v/>
      </c>
      <c r="U1566" t="str">
        <f>IF($N1566="","",IF(Sync!$O1566="",0,Sync!$O1566))</f>
        <v/>
      </c>
      <c r="V1566" t="str">
        <f>IF($N1566="","",Sync!$L1566)</f>
        <v/>
      </c>
      <c r="W1566" t="str">
        <f>IF($N1566="","",Sync!$P1566)</f>
        <v/>
      </c>
    </row>
    <row r="1567" spans="14:23" x14ac:dyDescent="0.2">
      <c r="N1567" t="str">
        <f>IF(OR(Sync!$M1567="",$Q1567="",$Q1567="نامعتبر"),"",Sync!$M1567)</f>
        <v/>
      </c>
      <c r="O1567" t="str">
        <f t="shared" si="136"/>
        <v/>
      </c>
      <c r="P1567" t="str">
        <f>IF($N1567="","",LEFT($Q1567,4)&amp;MID($Q1567,6,2)&amp;RIGHT($Q1567,2)&amp;IF(Sync!$K1567="","0000",IF(AND(ISNUMBER(Sync!$K1567),Sync!$K1567&gt;=0,Sync!$K1567&lt;1),RIGHT("00"&amp;HOUR(Sync!$K1567),2)&amp;RIGHT("00"&amp;MINUTE(Sync!$K1567),2),IFERROR(RIGHT("00"&amp;VALUE(LEFT(Sync!$K1567,FIND(":",Sync!$K1567)-1)),2)&amp;RIGHT("00"&amp;VALUE(MID(Sync!$K1567,FIND(":",Sync!$K1567)+1,2)),2),"0000")))&amp;"|"&amp;"2"&amp;RIGHT("00000"&amp;1562,5))</f>
        <v/>
      </c>
      <c r="Q1567" t="str">
        <f>IF(Sync!$J1567="","",IF(ISNUMBER(Sync!$J1567),IF(AND(Sync!$J1567&gt;=10000101,Sync!$J1567&lt;=99991231),INT(Sync!$J1567/10000)&amp;"/"&amp;RIGHT("00"&amp;INT(MOD(Sync!$J1567,10000)/100),2)&amp;"/"&amp;RIGHT("00"&amp;MOD(Sync!$J1567,100),2),"نامعتبر"),IF(LEN(Sync!$J1567)=10,Sync!$J1567,"نامعتبر")))</f>
        <v/>
      </c>
      <c r="R1567" t="str">
        <f t="shared" si="137"/>
        <v/>
      </c>
      <c r="S1567" t="str">
        <f t="shared" si="138"/>
        <v/>
      </c>
      <c r="T1567" t="str">
        <f>IF($N1567="","",IF(Sync!$N1567="",0,Sync!$N1567))</f>
        <v/>
      </c>
      <c r="U1567" t="str">
        <f>IF($N1567="","",IF(Sync!$O1567="",0,Sync!$O1567))</f>
        <v/>
      </c>
      <c r="V1567" t="str">
        <f>IF($N1567="","",Sync!$L1567)</f>
        <v/>
      </c>
      <c r="W1567" t="str">
        <f>IF($N1567="","",Sync!$P1567)</f>
        <v/>
      </c>
    </row>
    <row r="1568" spans="14:23" x14ac:dyDescent="0.2">
      <c r="N1568" t="str">
        <f>IF(OR(Sync!$M1568="",$Q1568="",$Q1568="نامعتبر"),"",Sync!$M1568)</f>
        <v/>
      </c>
      <c r="O1568" t="str">
        <f t="shared" si="136"/>
        <v/>
      </c>
      <c r="P1568" t="str">
        <f>IF($N1568="","",LEFT($Q1568,4)&amp;MID($Q1568,6,2)&amp;RIGHT($Q1568,2)&amp;IF(Sync!$K1568="","0000",IF(AND(ISNUMBER(Sync!$K1568),Sync!$K1568&gt;=0,Sync!$K1568&lt;1),RIGHT("00"&amp;HOUR(Sync!$K1568),2)&amp;RIGHT("00"&amp;MINUTE(Sync!$K1568),2),IFERROR(RIGHT("00"&amp;VALUE(LEFT(Sync!$K1568,FIND(":",Sync!$K1568)-1)),2)&amp;RIGHT("00"&amp;VALUE(MID(Sync!$K1568,FIND(":",Sync!$K1568)+1,2)),2),"0000")))&amp;"|"&amp;"2"&amp;RIGHT("00000"&amp;1563,5))</f>
        <v/>
      </c>
      <c r="Q1568" t="str">
        <f>IF(Sync!$J1568="","",IF(ISNUMBER(Sync!$J1568),IF(AND(Sync!$J1568&gt;=10000101,Sync!$J1568&lt;=99991231),INT(Sync!$J1568/10000)&amp;"/"&amp;RIGHT("00"&amp;INT(MOD(Sync!$J1568,10000)/100),2)&amp;"/"&amp;RIGHT("00"&amp;MOD(Sync!$J1568,100),2),"نامعتبر"),IF(LEN(Sync!$J1568)=10,Sync!$J1568,"نامعتبر")))</f>
        <v/>
      </c>
      <c r="R1568" t="str">
        <f t="shared" si="137"/>
        <v/>
      </c>
      <c r="S1568" t="str">
        <f t="shared" si="138"/>
        <v/>
      </c>
      <c r="T1568" t="str">
        <f>IF($N1568="","",IF(Sync!$N1568="",0,Sync!$N1568))</f>
        <v/>
      </c>
      <c r="U1568" t="str">
        <f>IF($N1568="","",IF(Sync!$O1568="",0,Sync!$O1568))</f>
        <v/>
      </c>
      <c r="V1568" t="str">
        <f>IF($N1568="","",Sync!$L1568)</f>
        <v/>
      </c>
      <c r="W1568" t="str">
        <f>IF($N1568="","",Sync!$P1568)</f>
        <v/>
      </c>
    </row>
    <row r="1569" spans="14:23" x14ac:dyDescent="0.2">
      <c r="N1569" t="str">
        <f>IF(OR(Sync!$M1569="",$Q1569="",$Q1569="نامعتبر"),"",Sync!$M1569)</f>
        <v/>
      </c>
      <c r="O1569" t="str">
        <f t="shared" si="136"/>
        <v/>
      </c>
      <c r="P1569" t="str">
        <f>IF($N1569="","",LEFT($Q1569,4)&amp;MID($Q1569,6,2)&amp;RIGHT($Q1569,2)&amp;IF(Sync!$K1569="","0000",IF(AND(ISNUMBER(Sync!$K1569),Sync!$K1569&gt;=0,Sync!$K1569&lt;1),RIGHT("00"&amp;HOUR(Sync!$K1569),2)&amp;RIGHT("00"&amp;MINUTE(Sync!$K1569),2),IFERROR(RIGHT("00"&amp;VALUE(LEFT(Sync!$K1569,FIND(":",Sync!$K1569)-1)),2)&amp;RIGHT("00"&amp;VALUE(MID(Sync!$K1569,FIND(":",Sync!$K1569)+1,2)),2),"0000")))&amp;"|"&amp;"2"&amp;RIGHT("00000"&amp;1564,5))</f>
        <v/>
      </c>
      <c r="Q1569" t="str">
        <f>IF(Sync!$J1569="","",IF(ISNUMBER(Sync!$J1569),IF(AND(Sync!$J1569&gt;=10000101,Sync!$J1569&lt;=99991231),INT(Sync!$J1569/10000)&amp;"/"&amp;RIGHT("00"&amp;INT(MOD(Sync!$J1569,10000)/100),2)&amp;"/"&amp;RIGHT("00"&amp;MOD(Sync!$J1569,100),2),"نامعتبر"),IF(LEN(Sync!$J1569)=10,Sync!$J1569,"نامعتبر")))</f>
        <v/>
      </c>
      <c r="R1569" t="str">
        <f t="shared" si="137"/>
        <v/>
      </c>
      <c r="S1569" t="str">
        <f t="shared" si="138"/>
        <v/>
      </c>
      <c r="T1569" t="str">
        <f>IF($N1569="","",IF(Sync!$N1569="",0,Sync!$N1569))</f>
        <v/>
      </c>
      <c r="U1569" t="str">
        <f>IF($N1569="","",IF(Sync!$O1569="",0,Sync!$O1569))</f>
        <v/>
      </c>
      <c r="V1569" t="str">
        <f>IF($N1569="","",Sync!$L1569)</f>
        <v/>
      </c>
      <c r="W1569" t="str">
        <f>IF($N1569="","",Sync!$P1569)</f>
        <v/>
      </c>
    </row>
    <row r="1570" spans="14:23" x14ac:dyDescent="0.2">
      <c r="N1570" t="str">
        <f>IF(OR(Sync!$M1570="",$Q1570="",$Q1570="نامعتبر"),"",Sync!$M1570)</f>
        <v/>
      </c>
      <c r="O1570" t="str">
        <f t="shared" si="136"/>
        <v/>
      </c>
      <c r="P1570" t="str">
        <f>IF($N1570="","",LEFT($Q1570,4)&amp;MID($Q1570,6,2)&amp;RIGHT($Q1570,2)&amp;IF(Sync!$K1570="","0000",IF(AND(ISNUMBER(Sync!$K1570),Sync!$K1570&gt;=0,Sync!$K1570&lt;1),RIGHT("00"&amp;HOUR(Sync!$K1570),2)&amp;RIGHT("00"&amp;MINUTE(Sync!$K1570),2),IFERROR(RIGHT("00"&amp;VALUE(LEFT(Sync!$K1570,FIND(":",Sync!$K1570)-1)),2)&amp;RIGHT("00"&amp;VALUE(MID(Sync!$K1570,FIND(":",Sync!$K1570)+1,2)),2),"0000")))&amp;"|"&amp;"2"&amp;RIGHT("00000"&amp;1565,5))</f>
        <v/>
      </c>
      <c r="Q1570" t="str">
        <f>IF(Sync!$J1570="","",IF(ISNUMBER(Sync!$J1570),IF(AND(Sync!$J1570&gt;=10000101,Sync!$J1570&lt;=99991231),INT(Sync!$J1570/10000)&amp;"/"&amp;RIGHT("00"&amp;INT(MOD(Sync!$J1570,10000)/100),2)&amp;"/"&amp;RIGHT("00"&amp;MOD(Sync!$J1570,100),2),"نامعتبر"),IF(LEN(Sync!$J1570)=10,Sync!$J1570,"نامعتبر")))</f>
        <v/>
      </c>
      <c r="R1570" t="str">
        <f t="shared" si="137"/>
        <v/>
      </c>
      <c r="S1570" t="str">
        <f t="shared" si="138"/>
        <v/>
      </c>
      <c r="T1570" t="str">
        <f>IF($N1570="","",IF(Sync!$N1570="",0,Sync!$N1570))</f>
        <v/>
      </c>
      <c r="U1570" t="str">
        <f>IF($N1570="","",IF(Sync!$O1570="",0,Sync!$O1570))</f>
        <v/>
      </c>
      <c r="V1570" t="str">
        <f>IF($N1570="","",Sync!$L1570)</f>
        <v/>
      </c>
      <c r="W1570" t="str">
        <f>IF($N1570="","",Sync!$P1570)</f>
        <v/>
      </c>
    </row>
    <row r="1571" spans="14:23" x14ac:dyDescent="0.2">
      <c r="N1571" t="str">
        <f>IF(OR(Sync!$M1571="",$Q1571="",$Q1571="نامعتبر"),"",Sync!$M1571)</f>
        <v/>
      </c>
      <c r="O1571" t="str">
        <f t="shared" si="136"/>
        <v/>
      </c>
      <c r="P1571" t="str">
        <f>IF($N1571="","",LEFT($Q1571,4)&amp;MID($Q1571,6,2)&amp;RIGHT($Q1571,2)&amp;IF(Sync!$K1571="","0000",IF(AND(ISNUMBER(Sync!$K1571),Sync!$K1571&gt;=0,Sync!$K1571&lt;1),RIGHT("00"&amp;HOUR(Sync!$K1571),2)&amp;RIGHT("00"&amp;MINUTE(Sync!$K1571),2),IFERROR(RIGHT("00"&amp;VALUE(LEFT(Sync!$K1571,FIND(":",Sync!$K1571)-1)),2)&amp;RIGHT("00"&amp;VALUE(MID(Sync!$K1571,FIND(":",Sync!$K1571)+1,2)),2),"0000")))&amp;"|"&amp;"2"&amp;RIGHT("00000"&amp;1566,5))</f>
        <v/>
      </c>
      <c r="Q1571" t="str">
        <f>IF(Sync!$J1571="","",IF(ISNUMBER(Sync!$J1571),IF(AND(Sync!$J1571&gt;=10000101,Sync!$J1571&lt;=99991231),INT(Sync!$J1571/10000)&amp;"/"&amp;RIGHT("00"&amp;INT(MOD(Sync!$J1571,10000)/100),2)&amp;"/"&amp;RIGHT("00"&amp;MOD(Sync!$J1571,100),2),"نامعتبر"),IF(LEN(Sync!$J1571)=10,Sync!$J1571,"نامعتبر")))</f>
        <v/>
      </c>
      <c r="R1571" t="str">
        <f t="shared" si="137"/>
        <v/>
      </c>
      <c r="S1571" t="str">
        <f t="shared" si="138"/>
        <v/>
      </c>
      <c r="T1571" t="str">
        <f>IF($N1571="","",IF(Sync!$N1571="",0,Sync!$N1571))</f>
        <v/>
      </c>
      <c r="U1571" t="str">
        <f>IF($N1571="","",IF(Sync!$O1571="",0,Sync!$O1571))</f>
        <v/>
      </c>
      <c r="V1571" t="str">
        <f>IF($N1571="","",Sync!$L1571)</f>
        <v/>
      </c>
      <c r="W1571" t="str">
        <f>IF($N1571="","",Sync!$P1571)</f>
        <v/>
      </c>
    </row>
    <row r="1572" spans="14:23" x14ac:dyDescent="0.2">
      <c r="N1572" t="str">
        <f>IF(OR(Sync!$M1572="",$Q1572="",$Q1572="نامعتبر"),"",Sync!$M1572)</f>
        <v/>
      </c>
      <c r="O1572" t="str">
        <f t="shared" si="136"/>
        <v/>
      </c>
      <c r="P1572" t="str">
        <f>IF($N1572="","",LEFT($Q1572,4)&amp;MID($Q1572,6,2)&amp;RIGHT($Q1572,2)&amp;IF(Sync!$K1572="","0000",IF(AND(ISNUMBER(Sync!$K1572),Sync!$K1572&gt;=0,Sync!$K1572&lt;1),RIGHT("00"&amp;HOUR(Sync!$K1572),2)&amp;RIGHT("00"&amp;MINUTE(Sync!$K1572),2),IFERROR(RIGHT("00"&amp;VALUE(LEFT(Sync!$K1572,FIND(":",Sync!$K1572)-1)),2)&amp;RIGHT("00"&amp;VALUE(MID(Sync!$K1572,FIND(":",Sync!$K1572)+1,2)),2),"0000")))&amp;"|"&amp;"2"&amp;RIGHT("00000"&amp;1567,5))</f>
        <v/>
      </c>
      <c r="Q1572" t="str">
        <f>IF(Sync!$J1572="","",IF(ISNUMBER(Sync!$J1572),IF(AND(Sync!$J1572&gt;=10000101,Sync!$J1572&lt;=99991231),INT(Sync!$J1572/10000)&amp;"/"&amp;RIGHT("00"&amp;INT(MOD(Sync!$J1572,10000)/100),2)&amp;"/"&amp;RIGHT("00"&amp;MOD(Sync!$J1572,100),2),"نامعتبر"),IF(LEN(Sync!$J1572)=10,Sync!$J1572,"نامعتبر")))</f>
        <v/>
      </c>
      <c r="R1572" t="str">
        <f t="shared" si="137"/>
        <v/>
      </c>
      <c r="S1572" t="str">
        <f t="shared" si="138"/>
        <v/>
      </c>
      <c r="T1572" t="str">
        <f>IF($N1572="","",IF(Sync!$N1572="",0,Sync!$N1572))</f>
        <v/>
      </c>
      <c r="U1572" t="str">
        <f>IF($N1572="","",IF(Sync!$O1572="",0,Sync!$O1572))</f>
        <v/>
      </c>
      <c r="V1572" t="str">
        <f>IF($N1572="","",Sync!$L1572)</f>
        <v/>
      </c>
      <c r="W1572" t="str">
        <f>IF($N1572="","",Sync!$P1572)</f>
        <v/>
      </c>
    </row>
    <row r="1573" spans="14:23" x14ac:dyDescent="0.2">
      <c r="N1573" t="str">
        <f>IF(OR(Sync!$M1573="",$Q1573="",$Q1573="نامعتبر"),"",Sync!$M1573)</f>
        <v/>
      </c>
      <c r="O1573" t="str">
        <f t="shared" si="136"/>
        <v/>
      </c>
      <c r="P1573" t="str">
        <f>IF($N1573="","",LEFT($Q1573,4)&amp;MID($Q1573,6,2)&amp;RIGHT($Q1573,2)&amp;IF(Sync!$K1573="","0000",IF(AND(ISNUMBER(Sync!$K1573),Sync!$K1573&gt;=0,Sync!$K1573&lt;1),RIGHT("00"&amp;HOUR(Sync!$K1573),2)&amp;RIGHT("00"&amp;MINUTE(Sync!$K1573),2),IFERROR(RIGHT("00"&amp;VALUE(LEFT(Sync!$K1573,FIND(":",Sync!$K1573)-1)),2)&amp;RIGHT("00"&amp;VALUE(MID(Sync!$K1573,FIND(":",Sync!$K1573)+1,2)),2),"0000")))&amp;"|"&amp;"2"&amp;RIGHT("00000"&amp;1568,5))</f>
        <v/>
      </c>
      <c r="Q1573" t="str">
        <f>IF(Sync!$J1573="","",IF(ISNUMBER(Sync!$J1573),IF(AND(Sync!$J1573&gt;=10000101,Sync!$J1573&lt;=99991231),INT(Sync!$J1573/10000)&amp;"/"&amp;RIGHT("00"&amp;INT(MOD(Sync!$J1573,10000)/100),2)&amp;"/"&amp;RIGHT("00"&amp;MOD(Sync!$J1573,100),2),"نامعتبر"),IF(LEN(Sync!$J1573)=10,Sync!$J1573,"نامعتبر")))</f>
        <v/>
      </c>
      <c r="R1573" t="str">
        <f t="shared" si="137"/>
        <v/>
      </c>
      <c r="S1573" t="str">
        <f t="shared" si="138"/>
        <v/>
      </c>
      <c r="T1573" t="str">
        <f>IF($N1573="","",IF(Sync!$N1573="",0,Sync!$N1573))</f>
        <v/>
      </c>
      <c r="U1573" t="str">
        <f>IF($N1573="","",IF(Sync!$O1573="",0,Sync!$O1573))</f>
        <v/>
      </c>
      <c r="V1573" t="str">
        <f>IF($N1573="","",Sync!$L1573)</f>
        <v/>
      </c>
      <c r="W1573" t="str">
        <f>IF($N1573="","",Sync!$P1573)</f>
        <v/>
      </c>
    </row>
    <row r="1574" spans="14:23" x14ac:dyDescent="0.2">
      <c r="N1574" t="str">
        <f>IF(OR(Sync!$M1574="",$Q1574="",$Q1574="نامعتبر"),"",Sync!$M1574)</f>
        <v/>
      </c>
      <c r="O1574" t="str">
        <f t="shared" si="136"/>
        <v/>
      </c>
      <c r="P1574" t="str">
        <f>IF($N1574="","",LEFT($Q1574,4)&amp;MID($Q1574,6,2)&amp;RIGHT($Q1574,2)&amp;IF(Sync!$K1574="","0000",IF(AND(ISNUMBER(Sync!$K1574),Sync!$K1574&gt;=0,Sync!$K1574&lt;1),RIGHT("00"&amp;HOUR(Sync!$K1574),2)&amp;RIGHT("00"&amp;MINUTE(Sync!$K1574),2),IFERROR(RIGHT("00"&amp;VALUE(LEFT(Sync!$K1574,FIND(":",Sync!$K1574)-1)),2)&amp;RIGHT("00"&amp;VALUE(MID(Sync!$K1574,FIND(":",Sync!$K1574)+1,2)),2),"0000")))&amp;"|"&amp;"2"&amp;RIGHT("00000"&amp;1569,5))</f>
        <v/>
      </c>
      <c r="Q1574" t="str">
        <f>IF(Sync!$J1574="","",IF(ISNUMBER(Sync!$J1574),IF(AND(Sync!$J1574&gt;=10000101,Sync!$J1574&lt;=99991231),INT(Sync!$J1574/10000)&amp;"/"&amp;RIGHT("00"&amp;INT(MOD(Sync!$J1574,10000)/100),2)&amp;"/"&amp;RIGHT("00"&amp;MOD(Sync!$J1574,100),2),"نامعتبر"),IF(LEN(Sync!$J1574)=10,Sync!$J1574,"نامعتبر")))</f>
        <v/>
      </c>
      <c r="R1574" t="str">
        <f t="shared" si="137"/>
        <v/>
      </c>
      <c r="S1574" t="str">
        <f t="shared" si="138"/>
        <v/>
      </c>
      <c r="T1574" t="str">
        <f>IF($N1574="","",IF(Sync!$N1574="",0,Sync!$N1574))</f>
        <v/>
      </c>
      <c r="U1574" t="str">
        <f>IF($N1574="","",IF(Sync!$O1574="",0,Sync!$O1574))</f>
        <v/>
      </c>
      <c r="V1574" t="str">
        <f>IF($N1574="","",Sync!$L1574)</f>
        <v/>
      </c>
      <c r="W1574" t="str">
        <f>IF($N1574="","",Sync!$P1574)</f>
        <v/>
      </c>
    </row>
    <row r="1575" spans="14:23" x14ac:dyDescent="0.2">
      <c r="N1575" t="str">
        <f>IF(OR(Sync!$M1575="",$Q1575="",$Q1575="نامعتبر"),"",Sync!$M1575)</f>
        <v/>
      </c>
      <c r="O1575" t="str">
        <f t="shared" si="136"/>
        <v/>
      </c>
      <c r="P1575" t="str">
        <f>IF($N1575="","",LEFT($Q1575,4)&amp;MID($Q1575,6,2)&amp;RIGHT($Q1575,2)&amp;IF(Sync!$K1575="","0000",IF(AND(ISNUMBER(Sync!$K1575),Sync!$K1575&gt;=0,Sync!$K1575&lt;1),RIGHT("00"&amp;HOUR(Sync!$K1575),2)&amp;RIGHT("00"&amp;MINUTE(Sync!$K1575),2),IFERROR(RIGHT("00"&amp;VALUE(LEFT(Sync!$K1575,FIND(":",Sync!$K1575)-1)),2)&amp;RIGHT("00"&amp;VALUE(MID(Sync!$K1575,FIND(":",Sync!$K1575)+1,2)),2),"0000")))&amp;"|"&amp;"2"&amp;RIGHT("00000"&amp;1570,5))</f>
        <v/>
      </c>
      <c r="Q1575" t="str">
        <f>IF(Sync!$J1575="","",IF(ISNUMBER(Sync!$J1575),IF(AND(Sync!$J1575&gt;=10000101,Sync!$J1575&lt;=99991231),INT(Sync!$J1575/10000)&amp;"/"&amp;RIGHT("00"&amp;INT(MOD(Sync!$J1575,10000)/100),2)&amp;"/"&amp;RIGHT("00"&amp;MOD(Sync!$J1575,100),2),"نامعتبر"),IF(LEN(Sync!$J1575)=10,Sync!$J1575,"نامعتبر")))</f>
        <v/>
      </c>
      <c r="R1575" t="str">
        <f t="shared" si="137"/>
        <v/>
      </c>
      <c r="S1575" t="str">
        <f t="shared" si="138"/>
        <v/>
      </c>
      <c r="T1575" t="str">
        <f>IF($N1575="","",IF(Sync!$N1575="",0,Sync!$N1575))</f>
        <v/>
      </c>
      <c r="U1575" t="str">
        <f>IF($N1575="","",IF(Sync!$O1575="",0,Sync!$O1575))</f>
        <v/>
      </c>
      <c r="V1575" t="str">
        <f>IF($N1575="","",Sync!$L1575)</f>
        <v/>
      </c>
      <c r="W1575" t="str">
        <f>IF($N1575="","",Sync!$P1575)</f>
        <v/>
      </c>
    </row>
    <row r="1576" spans="14:23" x14ac:dyDescent="0.2">
      <c r="N1576" t="str">
        <f>IF(OR(Sync!$M1576="",$Q1576="",$Q1576="نامعتبر"),"",Sync!$M1576)</f>
        <v/>
      </c>
      <c r="O1576" t="str">
        <f t="shared" si="136"/>
        <v/>
      </c>
      <c r="P1576" t="str">
        <f>IF($N1576="","",LEFT($Q1576,4)&amp;MID($Q1576,6,2)&amp;RIGHT($Q1576,2)&amp;IF(Sync!$K1576="","0000",IF(AND(ISNUMBER(Sync!$K1576),Sync!$K1576&gt;=0,Sync!$K1576&lt;1),RIGHT("00"&amp;HOUR(Sync!$K1576),2)&amp;RIGHT("00"&amp;MINUTE(Sync!$K1576),2),IFERROR(RIGHT("00"&amp;VALUE(LEFT(Sync!$K1576,FIND(":",Sync!$K1576)-1)),2)&amp;RIGHT("00"&amp;VALUE(MID(Sync!$K1576,FIND(":",Sync!$K1576)+1,2)),2),"0000")))&amp;"|"&amp;"2"&amp;RIGHT("00000"&amp;1571,5))</f>
        <v/>
      </c>
      <c r="Q1576" t="str">
        <f>IF(Sync!$J1576="","",IF(ISNUMBER(Sync!$J1576),IF(AND(Sync!$J1576&gt;=10000101,Sync!$J1576&lt;=99991231),INT(Sync!$J1576/10000)&amp;"/"&amp;RIGHT("00"&amp;INT(MOD(Sync!$J1576,10000)/100),2)&amp;"/"&amp;RIGHT("00"&amp;MOD(Sync!$J1576,100),2),"نامعتبر"),IF(LEN(Sync!$J1576)=10,Sync!$J1576,"نامعتبر")))</f>
        <v/>
      </c>
      <c r="R1576" t="str">
        <f t="shared" si="137"/>
        <v/>
      </c>
      <c r="S1576" t="str">
        <f t="shared" si="138"/>
        <v/>
      </c>
      <c r="T1576" t="str">
        <f>IF($N1576="","",IF(Sync!$N1576="",0,Sync!$N1576))</f>
        <v/>
      </c>
      <c r="U1576" t="str">
        <f>IF($N1576="","",IF(Sync!$O1576="",0,Sync!$O1576))</f>
        <v/>
      </c>
      <c r="V1576" t="str">
        <f>IF($N1576="","",Sync!$L1576)</f>
        <v/>
      </c>
      <c r="W1576" t="str">
        <f>IF($N1576="","",Sync!$P1576)</f>
        <v/>
      </c>
    </row>
    <row r="1577" spans="14:23" x14ac:dyDescent="0.2">
      <c r="N1577" t="str">
        <f>IF(OR(Sync!$M1577="",$Q1577="",$Q1577="نامعتبر"),"",Sync!$M1577)</f>
        <v/>
      </c>
      <c r="O1577" t="str">
        <f t="shared" si="136"/>
        <v/>
      </c>
      <c r="P1577" t="str">
        <f>IF($N1577="","",LEFT($Q1577,4)&amp;MID($Q1577,6,2)&amp;RIGHT($Q1577,2)&amp;IF(Sync!$K1577="","0000",IF(AND(ISNUMBER(Sync!$K1577),Sync!$K1577&gt;=0,Sync!$K1577&lt;1),RIGHT("00"&amp;HOUR(Sync!$K1577),2)&amp;RIGHT("00"&amp;MINUTE(Sync!$K1577),2),IFERROR(RIGHT("00"&amp;VALUE(LEFT(Sync!$K1577,FIND(":",Sync!$K1577)-1)),2)&amp;RIGHT("00"&amp;VALUE(MID(Sync!$K1577,FIND(":",Sync!$K1577)+1,2)),2),"0000")))&amp;"|"&amp;"2"&amp;RIGHT("00000"&amp;1572,5))</f>
        <v/>
      </c>
      <c r="Q1577" t="str">
        <f>IF(Sync!$J1577="","",IF(ISNUMBER(Sync!$J1577),IF(AND(Sync!$J1577&gt;=10000101,Sync!$J1577&lt;=99991231),INT(Sync!$J1577/10000)&amp;"/"&amp;RIGHT("00"&amp;INT(MOD(Sync!$J1577,10000)/100),2)&amp;"/"&amp;RIGHT("00"&amp;MOD(Sync!$J1577,100),2),"نامعتبر"),IF(LEN(Sync!$J1577)=10,Sync!$J1577,"نامعتبر")))</f>
        <v/>
      </c>
      <c r="R1577" t="str">
        <f t="shared" si="137"/>
        <v/>
      </c>
      <c r="S1577" t="str">
        <f t="shared" si="138"/>
        <v/>
      </c>
      <c r="T1577" t="str">
        <f>IF($N1577="","",IF(Sync!$N1577="",0,Sync!$N1577))</f>
        <v/>
      </c>
      <c r="U1577" t="str">
        <f>IF($N1577="","",IF(Sync!$O1577="",0,Sync!$O1577))</f>
        <v/>
      </c>
      <c r="V1577" t="str">
        <f>IF($N1577="","",Sync!$L1577)</f>
        <v/>
      </c>
      <c r="W1577" t="str">
        <f>IF($N1577="","",Sync!$P1577)</f>
        <v/>
      </c>
    </row>
    <row r="1578" spans="14:23" x14ac:dyDescent="0.2">
      <c r="N1578" t="str">
        <f>IF(OR(Sync!$M1578="",$Q1578="",$Q1578="نامعتبر"),"",Sync!$M1578)</f>
        <v/>
      </c>
      <c r="O1578" t="str">
        <f t="shared" si="136"/>
        <v/>
      </c>
      <c r="P1578" t="str">
        <f>IF($N1578="","",LEFT($Q1578,4)&amp;MID($Q1578,6,2)&amp;RIGHT($Q1578,2)&amp;IF(Sync!$K1578="","0000",IF(AND(ISNUMBER(Sync!$K1578),Sync!$K1578&gt;=0,Sync!$K1578&lt;1),RIGHT("00"&amp;HOUR(Sync!$K1578),2)&amp;RIGHT("00"&amp;MINUTE(Sync!$K1578),2),IFERROR(RIGHT("00"&amp;VALUE(LEFT(Sync!$K1578,FIND(":",Sync!$K1578)-1)),2)&amp;RIGHT("00"&amp;VALUE(MID(Sync!$K1578,FIND(":",Sync!$K1578)+1,2)),2),"0000")))&amp;"|"&amp;"2"&amp;RIGHT("00000"&amp;1573,5))</f>
        <v/>
      </c>
      <c r="Q1578" t="str">
        <f>IF(Sync!$J1578="","",IF(ISNUMBER(Sync!$J1578),IF(AND(Sync!$J1578&gt;=10000101,Sync!$J1578&lt;=99991231),INT(Sync!$J1578/10000)&amp;"/"&amp;RIGHT("00"&amp;INT(MOD(Sync!$J1578,10000)/100),2)&amp;"/"&amp;RIGHT("00"&amp;MOD(Sync!$J1578,100),2),"نامعتبر"),IF(LEN(Sync!$J1578)=10,Sync!$J1578,"نامعتبر")))</f>
        <v/>
      </c>
      <c r="R1578" t="str">
        <f t="shared" si="137"/>
        <v/>
      </c>
      <c r="S1578" t="str">
        <f t="shared" si="138"/>
        <v/>
      </c>
      <c r="T1578" t="str">
        <f>IF($N1578="","",IF(Sync!$N1578="",0,Sync!$N1578))</f>
        <v/>
      </c>
      <c r="U1578" t="str">
        <f>IF($N1578="","",IF(Sync!$O1578="",0,Sync!$O1578))</f>
        <v/>
      </c>
      <c r="V1578" t="str">
        <f>IF($N1578="","",Sync!$L1578)</f>
        <v/>
      </c>
      <c r="W1578" t="str">
        <f>IF($N1578="","",Sync!$P1578)</f>
        <v/>
      </c>
    </row>
    <row r="1579" spans="14:23" x14ac:dyDescent="0.2">
      <c r="N1579" t="str">
        <f>IF(OR(Sync!$M1579="",$Q1579="",$Q1579="نامعتبر"),"",Sync!$M1579)</f>
        <v/>
      </c>
      <c r="O1579" t="str">
        <f t="shared" si="136"/>
        <v/>
      </c>
      <c r="P1579" t="str">
        <f>IF($N1579="","",LEFT($Q1579,4)&amp;MID($Q1579,6,2)&amp;RIGHT($Q1579,2)&amp;IF(Sync!$K1579="","0000",IF(AND(ISNUMBER(Sync!$K1579),Sync!$K1579&gt;=0,Sync!$K1579&lt;1),RIGHT("00"&amp;HOUR(Sync!$K1579),2)&amp;RIGHT("00"&amp;MINUTE(Sync!$K1579),2),IFERROR(RIGHT("00"&amp;VALUE(LEFT(Sync!$K1579,FIND(":",Sync!$K1579)-1)),2)&amp;RIGHT("00"&amp;VALUE(MID(Sync!$K1579,FIND(":",Sync!$K1579)+1,2)),2),"0000")))&amp;"|"&amp;"2"&amp;RIGHT("00000"&amp;1574,5))</f>
        <v/>
      </c>
      <c r="Q1579" t="str">
        <f>IF(Sync!$J1579="","",IF(ISNUMBER(Sync!$J1579),IF(AND(Sync!$J1579&gt;=10000101,Sync!$J1579&lt;=99991231),INT(Sync!$J1579/10000)&amp;"/"&amp;RIGHT("00"&amp;INT(MOD(Sync!$J1579,10000)/100),2)&amp;"/"&amp;RIGHT("00"&amp;MOD(Sync!$J1579,100),2),"نامعتبر"),IF(LEN(Sync!$J1579)=10,Sync!$J1579,"نامعتبر")))</f>
        <v/>
      </c>
      <c r="R1579" t="str">
        <f t="shared" si="137"/>
        <v/>
      </c>
      <c r="S1579" t="str">
        <f t="shared" si="138"/>
        <v/>
      </c>
      <c r="T1579" t="str">
        <f>IF($N1579="","",IF(Sync!$N1579="",0,Sync!$N1579))</f>
        <v/>
      </c>
      <c r="U1579" t="str">
        <f>IF($N1579="","",IF(Sync!$O1579="",0,Sync!$O1579))</f>
        <v/>
      </c>
      <c r="V1579" t="str">
        <f>IF($N1579="","",Sync!$L1579)</f>
        <v/>
      </c>
      <c r="W1579" t="str">
        <f>IF($N1579="","",Sync!$P1579)</f>
        <v/>
      </c>
    </row>
    <row r="1580" spans="14:23" x14ac:dyDescent="0.2">
      <c r="N1580" t="str">
        <f>IF(OR(Sync!$M1580="",$Q1580="",$Q1580="نامعتبر"),"",Sync!$M1580)</f>
        <v/>
      </c>
      <c r="O1580" t="str">
        <f t="shared" si="136"/>
        <v/>
      </c>
      <c r="P1580" t="str">
        <f>IF($N1580="","",LEFT($Q1580,4)&amp;MID($Q1580,6,2)&amp;RIGHT($Q1580,2)&amp;IF(Sync!$K1580="","0000",IF(AND(ISNUMBER(Sync!$K1580),Sync!$K1580&gt;=0,Sync!$K1580&lt;1),RIGHT("00"&amp;HOUR(Sync!$K1580),2)&amp;RIGHT("00"&amp;MINUTE(Sync!$K1580),2),IFERROR(RIGHT("00"&amp;VALUE(LEFT(Sync!$K1580,FIND(":",Sync!$K1580)-1)),2)&amp;RIGHT("00"&amp;VALUE(MID(Sync!$K1580,FIND(":",Sync!$K1580)+1,2)),2),"0000")))&amp;"|"&amp;"2"&amp;RIGHT("00000"&amp;1575,5))</f>
        <v/>
      </c>
      <c r="Q1580" t="str">
        <f>IF(Sync!$J1580="","",IF(ISNUMBER(Sync!$J1580),IF(AND(Sync!$J1580&gt;=10000101,Sync!$J1580&lt;=99991231),INT(Sync!$J1580/10000)&amp;"/"&amp;RIGHT("00"&amp;INT(MOD(Sync!$J1580,10000)/100),2)&amp;"/"&amp;RIGHT("00"&amp;MOD(Sync!$J1580,100),2),"نامعتبر"),IF(LEN(Sync!$J1580)=10,Sync!$J1580,"نامعتبر")))</f>
        <v/>
      </c>
      <c r="R1580" t="str">
        <f t="shared" si="137"/>
        <v/>
      </c>
      <c r="S1580" t="str">
        <f t="shared" si="138"/>
        <v/>
      </c>
      <c r="T1580" t="str">
        <f>IF($N1580="","",IF(Sync!$N1580="",0,Sync!$N1580))</f>
        <v/>
      </c>
      <c r="U1580" t="str">
        <f>IF($N1580="","",IF(Sync!$O1580="",0,Sync!$O1580))</f>
        <v/>
      </c>
      <c r="V1580" t="str">
        <f>IF($N1580="","",Sync!$L1580)</f>
        <v/>
      </c>
      <c r="W1580" t="str">
        <f>IF($N1580="","",Sync!$P1580)</f>
        <v/>
      </c>
    </row>
    <row r="1581" spans="14:23" x14ac:dyDescent="0.2">
      <c r="N1581" t="str">
        <f>IF(OR(Sync!$M1581="",$Q1581="",$Q1581="نامعتبر"),"",Sync!$M1581)</f>
        <v/>
      </c>
      <c r="O1581" t="str">
        <f t="shared" si="136"/>
        <v/>
      </c>
      <c r="P1581" t="str">
        <f>IF($N1581="","",LEFT($Q1581,4)&amp;MID($Q1581,6,2)&amp;RIGHT($Q1581,2)&amp;IF(Sync!$K1581="","0000",IF(AND(ISNUMBER(Sync!$K1581),Sync!$K1581&gt;=0,Sync!$K1581&lt;1),RIGHT("00"&amp;HOUR(Sync!$K1581),2)&amp;RIGHT("00"&amp;MINUTE(Sync!$K1581),2),IFERROR(RIGHT("00"&amp;VALUE(LEFT(Sync!$K1581,FIND(":",Sync!$K1581)-1)),2)&amp;RIGHT("00"&amp;VALUE(MID(Sync!$K1581,FIND(":",Sync!$K1581)+1,2)),2),"0000")))&amp;"|"&amp;"2"&amp;RIGHT("00000"&amp;1576,5))</f>
        <v/>
      </c>
      <c r="Q1581" t="str">
        <f>IF(Sync!$J1581="","",IF(ISNUMBER(Sync!$J1581),IF(AND(Sync!$J1581&gt;=10000101,Sync!$J1581&lt;=99991231),INT(Sync!$J1581/10000)&amp;"/"&amp;RIGHT("00"&amp;INT(MOD(Sync!$J1581,10000)/100),2)&amp;"/"&amp;RIGHT("00"&amp;MOD(Sync!$J1581,100),2),"نامعتبر"),IF(LEN(Sync!$J1581)=10,Sync!$J1581,"نامعتبر")))</f>
        <v/>
      </c>
      <c r="R1581" t="str">
        <f t="shared" si="137"/>
        <v/>
      </c>
      <c r="S1581" t="str">
        <f t="shared" si="138"/>
        <v/>
      </c>
      <c r="T1581" t="str">
        <f>IF($N1581="","",IF(Sync!$N1581="",0,Sync!$N1581))</f>
        <v/>
      </c>
      <c r="U1581" t="str">
        <f>IF($N1581="","",IF(Sync!$O1581="",0,Sync!$O1581))</f>
        <v/>
      </c>
      <c r="V1581" t="str">
        <f>IF($N1581="","",Sync!$L1581)</f>
        <v/>
      </c>
      <c r="W1581" t="str">
        <f>IF($N1581="","",Sync!$P1581)</f>
        <v/>
      </c>
    </row>
    <row r="1582" spans="14:23" x14ac:dyDescent="0.2">
      <c r="N1582" t="str">
        <f>IF(OR(Sync!$M1582="",$Q1582="",$Q1582="نامعتبر"),"",Sync!$M1582)</f>
        <v/>
      </c>
      <c r="O1582" t="str">
        <f t="shared" si="136"/>
        <v/>
      </c>
      <c r="P1582" t="str">
        <f>IF($N1582="","",LEFT($Q1582,4)&amp;MID($Q1582,6,2)&amp;RIGHT($Q1582,2)&amp;IF(Sync!$K1582="","0000",IF(AND(ISNUMBER(Sync!$K1582),Sync!$K1582&gt;=0,Sync!$K1582&lt;1),RIGHT("00"&amp;HOUR(Sync!$K1582),2)&amp;RIGHT("00"&amp;MINUTE(Sync!$K1582),2),IFERROR(RIGHT("00"&amp;VALUE(LEFT(Sync!$K1582,FIND(":",Sync!$K1582)-1)),2)&amp;RIGHT("00"&amp;VALUE(MID(Sync!$K1582,FIND(":",Sync!$K1582)+1,2)),2),"0000")))&amp;"|"&amp;"2"&amp;RIGHT("00000"&amp;1577,5))</f>
        <v/>
      </c>
      <c r="Q1582" t="str">
        <f>IF(Sync!$J1582="","",IF(ISNUMBER(Sync!$J1582),IF(AND(Sync!$J1582&gt;=10000101,Sync!$J1582&lt;=99991231),INT(Sync!$J1582/10000)&amp;"/"&amp;RIGHT("00"&amp;INT(MOD(Sync!$J1582,10000)/100),2)&amp;"/"&amp;RIGHT("00"&amp;MOD(Sync!$J1582,100),2),"نامعتبر"),IF(LEN(Sync!$J1582)=10,Sync!$J1582,"نامعتبر")))</f>
        <v/>
      </c>
      <c r="R1582" t="str">
        <f t="shared" si="137"/>
        <v/>
      </c>
      <c r="S1582" t="str">
        <f t="shared" si="138"/>
        <v/>
      </c>
      <c r="T1582" t="str">
        <f>IF($N1582="","",IF(Sync!$N1582="",0,Sync!$N1582))</f>
        <v/>
      </c>
      <c r="U1582" t="str">
        <f>IF($N1582="","",IF(Sync!$O1582="",0,Sync!$O1582))</f>
        <v/>
      </c>
      <c r="V1582" t="str">
        <f>IF($N1582="","",Sync!$L1582)</f>
        <v/>
      </c>
      <c r="W1582" t="str">
        <f>IF($N1582="","",Sync!$P1582)</f>
        <v/>
      </c>
    </row>
    <row r="1583" spans="14:23" x14ac:dyDescent="0.2">
      <c r="N1583" t="str">
        <f>IF(OR(Sync!$M1583="",$Q1583="",$Q1583="نامعتبر"),"",Sync!$M1583)</f>
        <v/>
      </c>
      <c r="O1583" t="str">
        <f t="shared" si="136"/>
        <v/>
      </c>
      <c r="P1583" t="str">
        <f>IF($N1583="","",LEFT($Q1583,4)&amp;MID($Q1583,6,2)&amp;RIGHT($Q1583,2)&amp;IF(Sync!$K1583="","0000",IF(AND(ISNUMBER(Sync!$K1583),Sync!$K1583&gt;=0,Sync!$K1583&lt;1),RIGHT("00"&amp;HOUR(Sync!$K1583),2)&amp;RIGHT("00"&amp;MINUTE(Sync!$K1583),2),IFERROR(RIGHT("00"&amp;VALUE(LEFT(Sync!$K1583,FIND(":",Sync!$K1583)-1)),2)&amp;RIGHT("00"&amp;VALUE(MID(Sync!$K1583,FIND(":",Sync!$K1583)+1,2)),2),"0000")))&amp;"|"&amp;"2"&amp;RIGHT("00000"&amp;1578,5))</f>
        <v/>
      </c>
      <c r="Q1583" t="str">
        <f>IF(Sync!$J1583="","",IF(ISNUMBER(Sync!$J1583),IF(AND(Sync!$J1583&gt;=10000101,Sync!$J1583&lt;=99991231),INT(Sync!$J1583/10000)&amp;"/"&amp;RIGHT("00"&amp;INT(MOD(Sync!$J1583,10000)/100),2)&amp;"/"&amp;RIGHT("00"&amp;MOD(Sync!$J1583,100),2),"نامعتبر"),IF(LEN(Sync!$J1583)=10,Sync!$J1583,"نامعتبر")))</f>
        <v/>
      </c>
      <c r="R1583" t="str">
        <f t="shared" si="137"/>
        <v/>
      </c>
      <c r="S1583" t="str">
        <f t="shared" si="138"/>
        <v/>
      </c>
      <c r="T1583" t="str">
        <f>IF($N1583="","",IF(Sync!$N1583="",0,Sync!$N1583))</f>
        <v/>
      </c>
      <c r="U1583" t="str">
        <f>IF($N1583="","",IF(Sync!$O1583="",0,Sync!$O1583))</f>
        <v/>
      </c>
      <c r="V1583" t="str">
        <f>IF($N1583="","",Sync!$L1583)</f>
        <v/>
      </c>
      <c r="W1583" t="str">
        <f>IF($N1583="","",Sync!$P1583)</f>
        <v/>
      </c>
    </row>
    <row r="1584" spans="14:23" x14ac:dyDescent="0.2">
      <c r="N1584" t="str">
        <f>IF(OR(Sync!$M1584="",$Q1584="",$Q1584="نامعتبر"),"",Sync!$M1584)</f>
        <v/>
      </c>
      <c r="O1584" t="str">
        <f t="shared" si="136"/>
        <v/>
      </c>
      <c r="P1584" t="str">
        <f>IF($N1584="","",LEFT($Q1584,4)&amp;MID($Q1584,6,2)&amp;RIGHT($Q1584,2)&amp;IF(Sync!$K1584="","0000",IF(AND(ISNUMBER(Sync!$K1584),Sync!$K1584&gt;=0,Sync!$K1584&lt;1),RIGHT("00"&amp;HOUR(Sync!$K1584),2)&amp;RIGHT("00"&amp;MINUTE(Sync!$K1584),2),IFERROR(RIGHT("00"&amp;VALUE(LEFT(Sync!$K1584,FIND(":",Sync!$K1584)-1)),2)&amp;RIGHT("00"&amp;VALUE(MID(Sync!$K1584,FIND(":",Sync!$K1584)+1,2)),2),"0000")))&amp;"|"&amp;"2"&amp;RIGHT("00000"&amp;1579,5))</f>
        <v/>
      </c>
      <c r="Q1584" t="str">
        <f>IF(Sync!$J1584="","",IF(ISNUMBER(Sync!$J1584),IF(AND(Sync!$J1584&gt;=10000101,Sync!$J1584&lt;=99991231),INT(Sync!$J1584/10000)&amp;"/"&amp;RIGHT("00"&amp;INT(MOD(Sync!$J1584,10000)/100),2)&amp;"/"&amp;RIGHT("00"&amp;MOD(Sync!$J1584,100),2),"نامعتبر"),IF(LEN(Sync!$J1584)=10,Sync!$J1584,"نامعتبر")))</f>
        <v/>
      </c>
      <c r="R1584" t="str">
        <f t="shared" si="137"/>
        <v/>
      </c>
      <c r="S1584" t="str">
        <f t="shared" si="138"/>
        <v/>
      </c>
      <c r="T1584" t="str">
        <f>IF($N1584="","",IF(Sync!$N1584="",0,Sync!$N1584))</f>
        <v/>
      </c>
      <c r="U1584" t="str">
        <f>IF($N1584="","",IF(Sync!$O1584="",0,Sync!$O1584))</f>
        <v/>
      </c>
      <c r="V1584" t="str">
        <f>IF($N1584="","",Sync!$L1584)</f>
        <v/>
      </c>
      <c r="W1584" t="str">
        <f>IF($N1584="","",Sync!$P1584)</f>
        <v/>
      </c>
    </row>
    <row r="1585" spans="14:23" x14ac:dyDescent="0.2">
      <c r="N1585" t="str">
        <f>IF(OR(Sync!$M1585="",$Q1585="",$Q1585="نامعتبر"),"",Sync!$M1585)</f>
        <v/>
      </c>
      <c r="O1585" t="str">
        <f t="shared" si="136"/>
        <v/>
      </c>
      <c r="P1585" t="str">
        <f>IF($N1585="","",LEFT($Q1585,4)&amp;MID($Q1585,6,2)&amp;RIGHT($Q1585,2)&amp;IF(Sync!$K1585="","0000",IF(AND(ISNUMBER(Sync!$K1585),Sync!$K1585&gt;=0,Sync!$K1585&lt;1),RIGHT("00"&amp;HOUR(Sync!$K1585),2)&amp;RIGHT("00"&amp;MINUTE(Sync!$K1585),2),IFERROR(RIGHT("00"&amp;VALUE(LEFT(Sync!$K1585,FIND(":",Sync!$K1585)-1)),2)&amp;RIGHT("00"&amp;VALUE(MID(Sync!$K1585,FIND(":",Sync!$K1585)+1,2)),2),"0000")))&amp;"|"&amp;"2"&amp;RIGHT("00000"&amp;1580,5))</f>
        <v/>
      </c>
      <c r="Q1585" t="str">
        <f>IF(Sync!$J1585="","",IF(ISNUMBER(Sync!$J1585),IF(AND(Sync!$J1585&gt;=10000101,Sync!$J1585&lt;=99991231),INT(Sync!$J1585/10000)&amp;"/"&amp;RIGHT("00"&amp;INT(MOD(Sync!$J1585,10000)/100),2)&amp;"/"&amp;RIGHT("00"&amp;MOD(Sync!$J1585,100),2),"نامعتبر"),IF(LEN(Sync!$J1585)=10,Sync!$J1585,"نامعتبر")))</f>
        <v/>
      </c>
      <c r="R1585" t="str">
        <f t="shared" si="137"/>
        <v/>
      </c>
      <c r="S1585" t="str">
        <f t="shared" si="138"/>
        <v/>
      </c>
      <c r="T1585" t="str">
        <f>IF($N1585="","",IF(Sync!$N1585="",0,Sync!$N1585))</f>
        <v/>
      </c>
      <c r="U1585" t="str">
        <f>IF($N1585="","",IF(Sync!$O1585="",0,Sync!$O1585))</f>
        <v/>
      </c>
      <c r="V1585" t="str">
        <f>IF($N1585="","",Sync!$L1585)</f>
        <v/>
      </c>
      <c r="W1585" t="str">
        <f>IF($N1585="","",Sync!$P1585)</f>
        <v/>
      </c>
    </row>
    <row r="1586" spans="14:23" x14ac:dyDescent="0.2">
      <c r="N1586" t="str">
        <f>IF(OR(Sync!$M1586="",$Q1586="",$Q1586="نامعتبر"),"",Sync!$M1586)</f>
        <v/>
      </c>
      <c r="O1586" t="str">
        <f t="shared" si="136"/>
        <v/>
      </c>
      <c r="P1586" t="str">
        <f>IF($N1586="","",LEFT($Q1586,4)&amp;MID($Q1586,6,2)&amp;RIGHT($Q1586,2)&amp;IF(Sync!$K1586="","0000",IF(AND(ISNUMBER(Sync!$K1586),Sync!$K1586&gt;=0,Sync!$K1586&lt;1),RIGHT("00"&amp;HOUR(Sync!$K1586),2)&amp;RIGHT("00"&amp;MINUTE(Sync!$K1586),2),IFERROR(RIGHT("00"&amp;VALUE(LEFT(Sync!$K1586,FIND(":",Sync!$K1586)-1)),2)&amp;RIGHT("00"&amp;VALUE(MID(Sync!$K1586,FIND(":",Sync!$K1586)+1,2)),2),"0000")))&amp;"|"&amp;"2"&amp;RIGHT("00000"&amp;1581,5))</f>
        <v/>
      </c>
      <c r="Q1586" t="str">
        <f>IF(Sync!$J1586="","",IF(ISNUMBER(Sync!$J1586),IF(AND(Sync!$J1586&gt;=10000101,Sync!$J1586&lt;=99991231),INT(Sync!$J1586/10000)&amp;"/"&amp;RIGHT("00"&amp;INT(MOD(Sync!$J1586,10000)/100),2)&amp;"/"&amp;RIGHT("00"&amp;MOD(Sync!$J1586,100),2),"نامعتبر"),IF(LEN(Sync!$J1586)=10,Sync!$J1586,"نامعتبر")))</f>
        <v/>
      </c>
      <c r="R1586" t="str">
        <f t="shared" si="137"/>
        <v/>
      </c>
      <c r="S1586" t="str">
        <f t="shared" si="138"/>
        <v/>
      </c>
      <c r="T1586" t="str">
        <f>IF($N1586="","",IF(Sync!$N1586="",0,Sync!$N1586))</f>
        <v/>
      </c>
      <c r="U1586" t="str">
        <f>IF($N1586="","",IF(Sync!$O1586="",0,Sync!$O1586))</f>
        <v/>
      </c>
      <c r="V1586" t="str">
        <f>IF($N1586="","",Sync!$L1586)</f>
        <v/>
      </c>
      <c r="W1586" t="str">
        <f>IF($N1586="","",Sync!$P1586)</f>
        <v/>
      </c>
    </row>
    <row r="1587" spans="14:23" x14ac:dyDescent="0.2">
      <c r="N1587" t="str">
        <f>IF(OR(Sync!$M1587="",$Q1587="",$Q1587="نامعتبر"),"",Sync!$M1587)</f>
        <v/>
      </c>
      <c r="O1587" t="str">
        <f t="shared" si="136"/>
        <v/>
      </c>
      <c r="P1587" t="str">
        <f>IF($N1587="","",LEFT($Q1587,4)&amp;MID($Q1587,6,2)&amp;RIGHT($Q1587,2)&amp;IF(Sync!$K1587="","0000",IF(AND(ISNUMBER(Sync!$K1587),Sync!$K1587&gt;=0,Sync!$K1587&lt;1),RIGHT("00"&amp;HOUR(Sync!$K1587),2)&amp;RIGHT("00"&amp;MINUTE(Sync!$K1587),2),IFERROR(RIGHT("00"&amp;VALUE(LEFT(Sync!$K1587,FIND(":",Sync!$K1587)-1)),2)&amp;RIGHT("00"&amp;VALUE(MID(Sync!$K1587,FIND(":",Sync!$K1587)+1,2)),2),"0000")))&amp;"|"&amp;"2"&amp;RIGHT("00000"&amp;1582,5))</f>
        <v/>
      </c>
      <c r="Q1587" t="str">
        <f>IF(Sync!$J1587="","",IF(ISNUMBER(Sync!$J1587),IF(AND(Sync!$J1587&gt;=10000101,Sync!$J1587&lt;=99991231),INT(Sync!$J1587/10000)&amp;"/"&amp;RIGHT("00"&amp;INT(MOD(Sync!$J1587,10000)/100),2)&amp;"/"&amp;RIGHT("00"&amp;MOD(Sync!$J1587,100),2),"نامعتبر"),IF(LEN(Sync!$J1587)=10,Sync!$J1587,"نامعتبر")))</f>
        <v/>
      </c>
      <c r="R1587" t="str">
        <f t="shared" si="137"/>
        <v/>
      </c>
      <c r="S1587" t="str">
        <f t="shared" si="138"/>
        <v/>
      </c>
      <c r="T1587" t="str">
        <f>IF($N1587="","",IF(Sync!$N1587="",0,Sync!$N1587))</f>
        <v/>
      </c>
      <c r="U1587" t="str">
        <f>IF($N1587="","",IF(Sync!$O1587="",0,Sync!$O1587))</f>
        <v/>
      </c>
      <c r="V1587" t="str">
        <f>IF($N1587="","",Sync!$L1587)</f>
        <v/>
      </c>
      <c r="W1587" t="str">
        <f>IF($N1587="","",Sync!$P1587)</f>
        <v/>
      </c>
    </row>
    <row r="1588" spans="14:23" x14ac:dyDescent="0.2">
      <c r="N1588" t="str">
        <f>IF(OR(Sync!$M1588="",$Q1588="",$Q1588="نامعتبر"),"",Sync!$M1588)</f>
        <v/>
      </c>
      <c r="O1588" t="str">
        <f t="shared" si="136"/>
        <v/>
      </c>
      <c r="P1588" t="str">
        <f>IF($N1588="","",LEFT($Q1588,4)&amp;MID($Q1588,6,2)&amp;RIGHT($Q1588,2)&amp;IF(Sync!$K1588="","0000",IF(AND(ISNUMBER(Sync!$K1588),Sync!$K1588&gt;=0,Sync!$K1588&lt;1),RIGHT("00"&amp;HOUR(Sync!$K1588),2)&amp;RIGHT("00"&amp;MINUTE(Sync!$K1588),2),IFERROR(RIGHT("00"&amp;VALUE(LEFT(Sync!$K1588,FIND(":",Sync!$K1588)-1)),2)&amp;RIGHT("00"&amp;VALUE(MID(Sync!$K1588,FIND(":",Sync!$K1588)+1,2)),2),"0000")))&amp;"|"&amp;"2"&amp;RIGHT("00000"&amp;1583,5))</f>
        <v/>
      </c>
      <c r="Q1588" t="str">
        <f>IF(Sync!$J1588="","",IF(ISNUMBER(Sync!$J1588),IF(AND(Sync!$J1588&gt;=10000101,Sync!$J1588&lt;=99991231),INT(Sync!$J1588/10000)&amp;"/"&amp;RIGHT("00"&amp;INT(MOD(Sync!$J1588,10000)/100),2)&amp;"/"&amp;RIGHT("00"&amp;MOD(Sync!$J1588,100),2),"نامعتبر"),IF(LEN(Sync!$J1588)=10,Sync!$J1588,"نامعتبر")))</f>
        <v/>
      </c>
      <c r="R1588" t="str">
        <f t="shared" si="137"/>
        <v/>
      </c>
      <c r="S1588" t="str">
        <f t="shared" si="138"/>
        <v/>
      </c>
      <c r="T1588" t="str">
        <f>IF($N1588="","",IF(Sync!$N1588="",0,Sync!$N1588))</f>
        <v/>
      </c>
      <c r="U1588" t="str">
        <f>IF($N1588="","",IF(Sync!$O1588="",0,Sync!$O1588))</f>
        <v/>
      </c>
      <c r="V1588" t="str">
        <f>IF($N1588="","",Sync!$L1588)</f>
        <v/>
      </c>
      <c r="W1588" t="str">
        <f>IF($N1588="","",Sync!$P1588)</f>
        <v/>
      </c>
    </row>
    <row r="1589" spans="14:23" x14ac:dyDescent="0.2">
      <c r="N1589" t="str">
        <f>IF(OR(Sync!$M1589="",$Q1589="",$Q1589="نامعتبر"),"",Sync!$M1589)</f>
        <v/>
      </c>
      <c r="O1589" t="str">
        <f t="shared" si="136"/>
        <v/>
      </c>
      <c r="P1589" t="str">
        <f>IF($N1589="","",LEFT($Q1589,4)&amp;MID($Q1589,6,2)&amp;RIGHT($Q1589,2)&amp;IF(Sync!$K1589="","0000",IF(AND(ISNUMBER(Sync!$K1589),Sync!$K1589&gt;=0,Sync!$K1589&lt;1),RIGHT("00"&amp;HOUR(Sync!$K1589),2)&amp;RIGHT("00"&amp;MINUTE(Sync!$K1589),2),IFERROR(RIGHT("00"&amp;VALUE(LEFT(Sync!$K1589,FIND(":",Sync!$K1589)-1)),2)&amp;RIGHT("00"&amp;VALUE(MID(Sync!$K1589,FIND(":",Sync!$K1589)+1,2)),2),"0000")))&amp;"|"&amp;"2"&amp;RIGHT("00000"&amp;1584,5))</f>
        <v/>
      </c>
      <c r="Q1589" t="str">
        <f>IF(Sync!$J1589="","",IF(ISNUMBER(Sync!$J1589),IF(AND(Sync!$J1589&gt;=10000101,Sync!$J1589&lt;=99991231),INT(Sync!$J1589/10000)&amp;"/"&amp;RIGHT("00"&amp;INT(MOD(Sync!$J1589,10000)/100),2)&amp;"/"&amp;RIGHT("00"&amp;MOD(Sync!$J1589,100),2),"نامعتبر"),IF(LEN(Sync!$J1589)=10,Sync!$J1589,"نامعتبر")))</f>
        <v/>
      </c>
      <c r="R1589" t="str">
        <f t="shared" si="137"/>
        <v/>
      </c>
      <c r="S1589" t="str">
        <f t="shared" si="138"/>
        <v/>
      </c>
      <c r="T1589" t="str">
        <f>IF($N1589="","",IF(Sync!$N1589="",0,Sync!$N1589))</f>
        <v/>
      </c>
      <c r="U1589" t="str">
        <f>IF($N1589="","",IF(Sync!$O1589="",0,Sync!$O1589))</f>
        <v/>
      </c>
      <c r="V1589" t="str">
        <f>IF($N1589="","",Sync!$L1589)</f>
        <v/>
      </c>
      <c r="W1589" t="str">
        <f>IF($N1589="","",Sync!$P1589)</f>
        <v/>
      </c>
    </row>
    <row r="1590" spans="14:23" x14ac:dyDescent="0.2">
      <c r="N1590" t="str">
        <f>IF(OR(Sync!$M1590="",$Q1590="",$Q1590="نامعتبر"),"",Sync!$M1590)</f>
        <v/>
      </c>
      <c r="O1590" t="str">
        <f t="shared" si="136"/>
        <v/>
      </c>
      <c r="P1590" t="str">
        <f>IF($N1590="","",LEFT($Q1590,4)&amp;MID($Q1590,6,2)&amp;RIGHT($Q1590,2)&amp;IF(Sync!$K1590="","0000",IF(AND(ISNUMBER(Sync!$K1590),Sync!$K1590&gt;=0,Sync!$K1590&lt;1),RIGHT("00"&amp;HOUR(Sync!$K1590),2)&amp;RIGHT("00"&amp;MINUTE(Sync!$K1590),2),IFERROR(RIGHT("00"&amp;VALUE(LEFT(Sync!$K1590,FIND(":",Sync!$K1590)-1)),2)&amp;RIGHT("00"&amp;VALUE(MID(Sync!$K1590,FIND(":",Sync!$K1590)+1,2)),2),"0000")))&amp;"|"&amp;"2"&amp;RIGHT("00000"&amp;1585,5))</f>
        <v/>
      </c>
      <c r="Q1590" t="str">
        <f>IF(Sync!$J1590="","",IF(ISNUMBER(Sync!$J1590),IF(AND(Sync!$J1590&gt;=10000101,Sync!$J1590&lt;=99991231),INT(Sync!$J1590/10000)&amp;"/"&amp;RIGHT("00"&amp;INT(MOD(Sync!$J1590,10000)/100),2)&amp;"/"&amp;RIGHT("00"&amp;MOD(Sync!$J1590,100),2),"نامعتبر"),IF(LEN(Sync!$J1590)=10,Sync!$J1590,"نامعتبر")))</f>
        <v/>
      </c>
      <c r="R1590" t="str">
        <f t="shared" si="137"/>
        <v/>
      </c>
      <c r="S1590" t="str">
        <f t="shared" si="138"/>
        <v/>
      </c>
      <c r="T1590" t="str">
        <f>IF($N1590="","",IF(Sync!$N1590="",0,Sync!$N1590))</f>
        <v/>
      </c>
      <c r="U1590" t="str">
        <f>IF($N1590="","",IF(Sync!$O1590="",0,Sync!$O1590))</f>
        <v/>
      </c>
      <c r="V1590" t="str">
        <f>IF($N1590="","",Sync!$L1590)</f>
        <v/>
      </c>
      <c r="W1590" t="str">
        <f>IF($N1590="","",Sync!$P1590)</f>
        <v/>
      </c>
    </row>
    <row r="1591" spans="14:23" x14ac:dyDescent="0.2">
      <c r="N1591" t="str">
        <f>IF(OR(Sync!$M1591="",$Q1591="",$Q1591="نامعتبر"),"",Sync!$M1591)</f>
        <v/>
      </c>
      <c r="O1591" t="str">
        <f t="shared" si="136"/>
        <v/>
      </c>
      <c r="P1591" t="str">
        <f>IF($N1591="","",LEFT($Q1591,4)&amp;MID($Q1591,6,2)&amp;RIGHT($Q1591,2)&amp;IF(Sync!$K1591="","0000",IF(AND(ISNUMBER(Sync!$K1591),Sync!$K1591&gt;=0,Sync!$K1591&lt;1),RIGHT("00"&amp;HOUR(Sync!$K1591),2)&amp;RIGHT("00"&amp;MINUTE(Sync!$K1591),2),IFERROR(RIGHT("00"&amp;VALUE(LEFT(Sync!$K1591,FIND(":",Sync!$K1591)-1)),2)&amp;RIGHT("00"&amp;VALUE(MID(Sync!$K1591,FIND(":",Sync!$K1591)+1,2)),2),"0000")))&amp;"|"&amp;"2"&amp;RIGHT("00000"&amp;1586,5))</f>
        <v/>
      </c>
      <c r="Q1591" t="str">
        <f>IF(Sync!$J1591="","",IF(ISNUMBER(Sync!$J1591),IF(AND(Sync!$J1591&gt;=10000101,Sync!$J1591&lt;=99991231),INT(Sync!$J1591/10000)&amp;"/"&amp;RIGHT("00"&amp;INT(MOD(Sync!$J1591,10000)/100),2)&amp;"/"&amp;RIGHT("00"&amp;MOD(Sync!$J1591,100),2),"نامعتبر"),IF(LEN(Sync!$J1591)=10,Sync!$J1591,"نامعتبر")))</f>
        <v/>
      </c>
      <c r="R1591" t="str">
        <f t="shared" si="137"/>
        <v/>
      </c>
      <c r="S1591" t="str">
        <f t="shared" si="138"/>
        <v/>
      </c>
      <c r="T1591" t="str">
        <f>IF($N1591="","",IF(Sync!$N1591="",0,Sync!$N1591))</f>
        <v/>
      </c>
      <c r="U1591" t="str">
        <f>IF($N1591="","",IF(Sync!$O1591="",0,Sync!$O1591))</f>
        <v/>
      </c>
      <c r="V1591" t="str">
        <f>IF($N1591="","",Sync!$L1591)</f>
        <v/>
      </c>
      <c r="W1591" t="str">
        <f>IF($N1591="","",Sync!$P1591)</f>
        <v/>
      </c>
    </row>
    <row r="1592" spans="14:23" x14ac:dyDescent="0.2">
      <c r="N1592" t="str">
        <f>IF(OR(Sync!$M1592="",$Q1592="",$Q1592="نامعتبر"),"",Sync!$M1592)</f>
        <v/>
      </c>
      <c r="O1592" t="str">
        <f t="shared" si="136"/>
        <v/>
      </c>
      <c r="P1592" t="str">
        <f>IF($N1592="","",LEFT($Q1592,4)&amp;MID($Q1592,6,2)&amp;RIGHT($Q1592,2)&amp;IF(Sync!$K1592="","0000",IF(AND(ISNUMBER(Sync!$K1592),Sync!$K1592&gt;=0,Sync!$K1592&lt;1),RIGHT("00"&amp;HOUR(Sync!$K1592),2)&amp;RIGHT("00"&amp;MINUTE(Sync!$K1592),2),IFERROR(RIGHT("00"&amp;VALUE(LEFT(Sync!$K1592,FIND(":",Sync!$K1592)-1)),2)&amp;RIGHT("00"&amp;VALUE(MID(Sync!$K1592,FIND(":",Sync!$K1592)+1,2)),2),"0000")))&amp;"|"&amp;"2"&amp;RIGHT("00000"&amp;1587,5))</f>
        <v/>
      </c>
      <c r="Q1592" t="str">
        <f>IF(Sync!$J1592="","",IF(ISNUMBER(Sync!$J1592),IF(AND(Sync!$J1592&gt;=10000101,Sync!$J1592&lt;=99991231),INT(Sync!$J1592/10000)&amp;"/"&amp;RIGHT("00"&amp;INT(MOD(Sync!$J1592,10000)/100),2)&amp;"/"&amp;RIGHT("00"&amp;MOD(Sync!$J1592,100),2),"نامعتبر"),IF(LEN(Sync!$J1592)=10,Sync!$J1592,"نامعتبر")))</f>
        <v/>
      </c>
      <c r="R1592" t="str">
        <f t="shared" si="137"/>
        <v/>
      </c>
      <c r="S1592" t="str">
        <f t="shared" si="138"/>
        <v/>
      </c>
      <c r="T1592" t="str">
        <f>IF($N1592="","",IF(Sync!$N1592="",0,Sync!$N1592))</f>
        <v/>
      </c>
      <c r="U1592" t="str">
        <f>IF($N1592="","",IF(Sync!$O1592="",0,Sync!$O1592))</f>
        <v/>
      </c>
      <c r="V1592" t="str">
        <f>IF($N1592="","",Sync!$L1592)</f>
        <v/>
      </c>
      <c r="W1592" t="str">
        <f>IF($N1592="","",Sync!$P1592)</f>
        <v/>
      </c>
    </row>
    <row r="1593" spans="14:23" x14ac:dyDescent="0.2">
      <c r="N1593" t="str">
        <f>IF(OR(Sync!$M1593="",$Q1593="",$Q1593="نامعتبر"),"",Sync!$M1593)</f>
        <v/>
      </c>
      <c r="O1593" t="str">
        <f t="shared" si="136"/>
        <v/>
      </c>
      <c r="P1593" t="str">
        <f>IF($N1593="","",LEFT($Q1593,4)&amp;MID($Q1593,6,2)&amp;RIGHT($Q1593,2)&amp;IF(Sync!$K1593="","0000",IF(AND(ISNUMBER(Sync!$K1593),Sync!$K1593&gt;=0,Sync!$K1593&lt;1),RIGHT("00"&amp;HOUR(Sync!$K1593),2)&amp;RIGHT("00"&amp;MINUTE(Sync!$K1593),2),IFERROR(RIGHT("00"&amp;VALUE(LEFT(Sync!$K1593,FIND(":",Sync!$K1593)-1)),2)&amp;RIGHT("00"&amp;VALUE(MID(Sync!$K1593,FIND(":",Sync!$K1593)+1,2)),2),"0000")))&amp;"|"&amp;"2"&amp;RIGHT("00000"&amp;1588,5))</f>
        <v/>
      </c>
      <c r="Q1593" t="str">
        <f>IF(Sync!$J1593="","",IF(ISNUMBER(Sync!$J1593),IF(AND(Sync!$J1593&gt;=10000101,Sync!$J1593&lt;=99991231),INT(Sync!$J1593/10000)&amp;"/"&amp;RIGHT("00"&amp;INT(MOD(Sync!$J1593,10000)/100),2)&amp;"/"&amp;RIGHT("00"&amp;MOD(Sync!$J1593,100),2),"نامعتبر"),IF(LEN(Sync!$J1593)=10,Sync!$J1593,"نامعتبر")))</f>
        <v/>
      </c>
      <c r="R1593" t="str">
        <f t="shared" si="137"/>
        <v/>
      </c>
      <c r="S1593" t="str">
        <f t="shared" si="138"/>
        <v/>
      </c>
      <c r="T1593" t="str">
        <f>IF($N1593="","",IF(Sync!$N1593="",0,Sync!$N1593))</f>
        <v/>
      </c>
      <c r="U1593" t="str">
        <f>IF($N1593="","",IF(Sync!$O1593="",0,Sync!$O1593))</f>
        <v/>
      </c>
      <c r="V1593" t="str">
        <f>IF($N1593="","",Sync!$L1593)</f>
        <v/>
      </c>
      <c r="W1593" t="str">
        <f>IF($N1593="","",Sync!$P1593)</f>
        <v/>
      </c>
    </row>
    <row r="1594" spans="14:23" x14ac:dyDescent="0.2">
      <c r="N1594" t="str">
        <f>IF(OR(Sync!$M1594="",$Q1594="",$Q1594="نامعتبر"),"",Sync!$M1594)</f>
        <v/>
      </c>
      <c r="O1594" t="str">
        <f t="shared" si="136"/>
        <v/>
      </c>
      <c r="P1594" t="str">
        <f>IF($N1594="","",LEFT($Q1594,4)&amp;MID($Q1594,6,2)&amp;RIGHT($Q1594,2)&amp;IF(Sync!$K1594="","0000",IF(AND(ISNUMBER(Sync!$K1594),Sync!$K1594&gt;=0,Sync!$K1594&lt;1),RIGHT("00"&amp;HOUR(Sync!$K1594),2)&amp;RIGHT("00"&amp;MINUTE(Sync!$K1594),2),IFERROR(RIGHT("00"&amp;VALUE(LEFT(Sync!$K1594,FIND(":",Sync!$K1594)-1)),2)&amp;RIGHT("00"&amp;VALUE(MID(Sync!$K1594,FIND(":",Sync!$K1594)+1,2)),2),"0000")))&amp;"|"&amp;"2"&amp;RIGHT("00000"&amp;1589,5))</f>
        <v/>
      </c>
      <c r="Q1594" t="str">
        <f>IF(Sync!$J1594="","",IF(ISNUMBER(Sync!$J1594),IF(AND(Sync!$J1594&gt;=10000101,Sync!$J1594&lt;=99991231),INT(Sync!$J1594/10000)&amp;"/"&amp;RIGHT("00"&amp;INT(MOD(Sync!$J1594,10000)/100),2)&amp;"/"&amp;RIGHT("00"&amp;MOD(Sync!$J1594,100),2),"نامعتبر"),IF(LEN(Sync!$J1594)=10,Sync!$J1594,"نامعتبر")))</f>
        <v/>
      </c>
      <c r="R1594" t="str">
        <f t="shared" si="137"/>
        <v/>
      </c>
      <c r="S1594" t="str">
        <f t="shared" si="138"/>
        <v/>
      </c>
      <c r="T1594" t="str">
        <f>IF($N1594="","",IF(Sync!$N1594="",0,Sync!$N1594))</f>
        <v/>
      </c>
      <c r="U1594" t="str">
        <f>IF($N1594="","",IF(Sync!$O1594="",0,Sync!$O1594))</f>
        <v/>
      </c>
      <c r="V1594" t="str">
        <f>IF($N1594="","",Sync!$L1594)</f>
        <v/>
      </c>
      <c r="W1594" t="str">
        <f>IF($N1594="","",Sync!$P1594)</f>
        <v/>
      </c>
    </row>
    <row r="1595" spans="14:23" x14ac:dyDescent="0.2">
      <c r="N1595" t="str">
        <f>IF(OR(Sync!$M1595="",$Q1595="",$Q1595="نامعتبر"),"",Sync!$M1595)</f>
        <v/>
      </c>
      <c r="O1595" t="str">
        <f t="shared" si="136"/>
        <v/>
      </c>
      <c r="P1595" t="str">
        <f>IF($N1595="","",LEFT($Q1595,4)&amp;MID($Q1595,6,2)&amp;RIGHT($Q1595,2)&amp;IF(Sync!$K1595="","0000",IF(AND(ISNUMBER(Sync!$K1595),Sync!$K1595&gt;=0,Sync!$K1595&lt;1),RIGHT("00"&amp;HOUR(Sync!$K1595),2)&amp;RIGHT("00"&amp;MINUTE(Sync!$K1595),2),IFERROR(RIGHT("00"&amp;VALUE(LEFT(Sync!$K1595,FIND(":",Sync!$K1595)-1)),2)&amp;RIGHT("00"&amp;VALUE(MID(Sync!$K1595,FIND(":",Sync!$K1595)+1,2)),2),"0000")))&amp;"|"&amp;"2"&amp;RIGHT("00000"&amp;1590,5))</f>
        <v/>
      </c>
      <c r="Q1595" t="str">
        <f>IF(Sync!$J1595="","",IF(ISNUMBER(Sync!$J1595),IF(AND(Sync!$J1595&gt;=10000101,Sync!$J1595&lt;=99991231),INT(Sync!$J1595/10000)&amp;"/"&amp;RIGHT("00"&amp;INT(MOD(Sync!$J1595,10000)/100),2)&amp;"/"&amp;RIGHT("00"&amp;MOD(Sync!$J1595,100),2),"نامعتبر"),IF(LEN(Sync!$J1595)=10,Sync!$J1595,"نامعتبر")))</f>
        <v/>
      </c>
      <c r="R1595" t="str">
        <f t="shared" si="137"/>
        <v/>
      </c>
      <c r="S1595" t="str">
        <f t="shared" si="138"/>
        <v/>
      </c>
      <c r="T1595" t="str">
        <f>IF($N1595="","",IF(Sync!$N1595="",0,Sync!$N1595))</f>
        <v/>
      </c>
      <c r="U1595" t="str">
        <f>IF($N1595="","",IF(Sync!$O1595="",0,Sync!$O1595))</f>
        <v/>
      </c>
      <c r="V1595" t="str">
        <f>IF($N1595="","",Sync!$L1595)</f>
        <v/>
      </c>
      <c r="W1595" t="str">
        <f>IF($N1595="","",Sync!$P1595)</f>
        <v/>
      </c>
    </row>
    <row r="1596" spans="14:23" x14ac:dyDescent="0.2">
      <c r="N1596" t="str">
        <f>IF(OR(Sync!$M1596="",$Q1596="",$Q1596="نامعتبر"),"",Sync!$M1596)</f>
        <v/>
      </c>
      <c r="O1596" t="str">
        <f t="shared" si="136"/>
        <v/>
      </c>
      <c r="P1596" t="str">
        <f>IF($N1596="","",LEFT($Q1596,4)&amp;MID($Q1596,6,2)&amp;RIGHT($Q1596,2)&amp;IF(Sync!$K1596="","0000",IF(AND(ISNUMBER(Sync!$K1596),Sync!$K1596&gt;=0,Sync!$K1596&lt;1),RIGHT("00"&amp;HOUR(Sync!$K1596),2)&amp;RIGHT("00"&amp;MINUTE(Sync!$K1596),2),IFERROR(RIGHT("00"&amp;VALUE(LEFT(Sync!$K1596,FIND(":",Sync!$K1596)-1)),2)&amp;RIGHT("00"&amp;VALUE(MID(Sync!$K1596,FIND(":",Sync!$K1596)+1,2)),2),"0000")))&amp;"|"&amp;"2"&amp;RIGHT("00000"&amp;1591,5))</f>
        <v/>
      </c>
      <c r="Q1596" t="str">
        <f>IF(Sync!$J1596="","",IF(ISNUMBER(Sync!$J1596),IF(AND(Sync!$J1596&gt;=10000101,Sync!$J1596&lt;=99991231),INT(Sync!$J1596/10000)&amp;"/"&amp;RIGHT("00"&amp;INT(MOD(Sync!$J1596,10000)/100),2)&amp;"/"&amp;RIGHT("00"&amp;MOD(Sync!$J1596,100),2),"نامعتبر"),IF(LEN(Sync!$J1596)=10,Sync!$J1596,"نامعتبر")))</f>
        <v/>
      </c>
      <c r="R1596" t="str">
        <f t="shared" si="137"/>
        <v/>
      </c>
      <c r="S1596" t="str">
        <f t="shared" si="138"/>
        <v/>
      </c>
      <c r="T1596" t="str">
        <f>IF($N1596="","",IF(Sync!$N1596="",0,Sync!$N1596))</f>
        <v/>
      </c>
      <c r="U1596" t="str">
        <f>IF($N1596="","",IF(Sync!$O1596="",0,Sync!$O1596))</f>
        <v/>
      </c>
      <c r="V1596" t="str">
        <f>IF($N1596="","",Sync!$L1596)</f>
        <v/>
      </c>
      <c r="W1596" t="str">
        <f>IF($N1596="","",Sync!$P1596)</f>
        <v/>
      </c>
    </row>
    <row r="1597" spans="14:23" x14ac:dyDescent="0.2">
      <c r="N1597" t="str">
        <f>IF(OR(Sync!$M1597="",$Q1597="",$Q1597="نامعتبر"),"",Sync!$M1597)</f>
        <v/>
      </c>
      <c r="O1597" t="str">
        <f t="shared" si="136"/>
        <v/>
      </c>
      <c r="P1597" t="str">
        <f>IF($N1597="","",LEFT($Q1597,4)&amp;MID($Q1597,6,2)&amp;RIGHT($Q1597,2)&amp;IF(Sync!$K1597="","0000",IF(AND(ISNUMBER(Sync!$K1597),Sync!$K1597&gt;=0,Sync!$K1597&lt;1),RIGHT("00"&amp;HOUR(Sync!$K1597),2)&amp;RIGHT("00"&amp;MINUTE(Sync!$K1597),2),IFERROR(RIGHT("00"&amp;VALUE(LEFT(Sync!$K1597,FIND(":",Sync!$K1597)-1)),2)&amp;RIGHT("00"&amp;VALUE(MID(Sync!$K1597,FIND(":",Sync!$K1597)+1,2)),2),"0000")))&amp;"|"&amp;"2"&amp;RIGHT("00000"&amp;1592,5))</f>
        <v/>
      </c>
      <c r="Q1597" t="str">
        <f>IF(Sync!$J1597="","",IF(ISNUMBER(Sync!$J1597),IF(AND(Sync!$J1597&gt;=10000101,Sync!$J1597&lt;=99991231),INT(Sync!$J1597/10000)&amp;"/"&amp;RIGHT("00"&amp;INT(MOD(Sync!$J1597,10000)/100),2)&amp;"/"&amp;RIGHT("00"&amp;MOD(Sync!$J1597,100),2),"نامعتبر"),IF(LEN(Sync!$J1597)=10,Sync!$J1597,"نامعتبر")))</f>
        <v/>
      </c>
      <c r="R1597" t="str">
        <f t="shared" si="137"/>
        <v/>
      </c>
      <c r="S1597" t="str">
        <f t="shared" si="138"/>
        <v/>
      </c>
      <c r="T1597" t="str">
        <f>IF($N1597="","",IF(Sync!$N1597="",0,Sync!$N1597))</f>
        <v/>
      </c>
      <c r="U1597" t="str">
        <f>IF($N1597="","",IF(Sync!$O1597="",0,Sync!$O1597))</f>
        <v/>
      </c>
      <c r="V1597" t="str">
        <f>IF($N1597="","",Sync!$L1597)</f>
        <v/>
      </c>
      <c r="W1597" t="str">
        <f>IF($N1597="","",Sync!$P1597)</f>
        <v/>
      </c>
    </row>
    <row r="1598" spans="14:23" x14ac:dyDescent="0.2">
      <c r="N1598" t="str">
        <f>IF(OR(Sync!$M1598="",$Q1598="",$Q1598="نامعتبر"),"",Sync!$M1598)</f>
        <v/>
      </c>
      <c r="O1598" t="str">
        <f t="shared" si="136"/>
        <v/>
      </c>
      <c r="P1598" t="str">
        <f>IF($N1598="","",LEFT($Q1598,4)&amp;MID($Q1598,6,2)&amp;RIGHT($Q1598,2)&amp;IF(Sync!$K1598="","0000",IF(AND(ISNUMBER(Sync!$K1598),Sync!$K1598&gt;=0,Sync!$K1598&lt;1),RIGHT("00"&amp;HOUR(Sync!$K1598),2)&amp;RIGHT("00"&amp;MINUTE(Sync!$K1598),2),IFERROR(RIGHT("00"&amp;VALUE(LEFT(Sync!$K1598,FIND(":",Sync!$K1598)-1)),2)&amp;RIGHT("00"&amp;VALUE(MID(Sync!$K1598,FIND(":",Sync!$K1598)+1,2)),2),"0000")))&amp;"|"&amp;"2"&amp;RIGHT("00000"&amp;1593,5))</f>
        <v/>
      </c>
      <c r="Q1598" t="str">
        <f>IF(Sync!$J1598="","",IF(ISNUMBER(Sync!$J1598),IF(AND(Sync!$J1598&gt;=10000101,Sync!$J1598&lt;=99991231),INT(Sync!$J1598/10000)&amp;"/"&amp;RIGHT("00"&amp;INT(MOD(Sync!$J1598,10000)/100),2)&amp;"/"&amp;RIGHT("00"&amp;MOD(Sync!$J1598,100),2),"نامعتبر"),IF(LEN(Sync!$J1598)=10,Sync!$J1598,"نامعتبر")))</f>
        <v/>
      </c>
      <c r="R1598" t="str">
        <f t="shared" si="137"/>
        <v/>
      </c>
      <c r="S1598" t="str">
        <f t="shared" si="138"/>
        <v/>
      </c>
      <c r="T1598" t="str">
        <f>IF($N1598="","",IF(Sync!$N1598="",0,Sync!$N1598))</f>
        <v/>
      </c>
      <c r="U1598" t="str">
        <f>IF($N1598="","",IF(Sync!$O1598="",0,Sync!$O1598))</f>
        <v/>
      </c>
      <c r="V1598" t="str">
        <f>IF($N1598="","",Sync!$L1598)</f>
        <v/>
      </c>
      <c r="W1598" t="str">
        <f>IF($N1598="","",Sync!$P1598)</f>
        <v/>
      </c>
    </row>
    <row r="1599" spans="14:23" x14ac:dyDescent="0.2">
      <c r="N1599" t="str">
        <f>IF(OR(Sync!$M1599="",$Q1599="",$Q1599="نامعتبر"),"",Sync!$M1599)</f>
        <v/>
      </c>
      <c r="O1599" t="str">
        <f t="shared" si="136"/>
        <v/>
      </c>
      <c r="P1599" t="str">
        <f>IF($N1599="","",LEFT($Q1599,4)&amp;MID($Q1599,6,2)&amp;RIGHT($Q1599,2)&amp;IF(Sync!$K1599="","0000",IF(AND(ISNUMBER(Sync!$K1599),Sync!$K1599&gt;=0,Sync!$K1599&lt;1),RIGHT("00"&amp;HOUR(Sync!$K1599),2)&amp;RIGHT("00"&amp;MINUTE(Sync!$K1599),2),IFERROR(RIGHT("00"&amp;VALUE(LEFT(Sync!$K1599,FIND(":",Sync!$K1599)-1)),2)&amp;RIGHT("00"&amp;VALUE(MID(Sync!$K1599,FIND(":",Sync!$K1599)+1,2)),2),"0000")))&amp;"|"&amp;"2"&amp;RIGHT("00000"&amp;1594,5))</f>
        <v/>
      </c>
      <c r="Q1599" t="str">
        <f>IF(Sync!$J1599="","",IF(ISNUMBER(Sync!$J1599),IF(AND(Sync!$J1599&gt;=10000101,Sync!$J1599&lt;=99991231),INT(Sync!$J1599/10000)&amp;"/"&amp;RIGHT("00"&amp;INT(MOD(Sync!$J1599,10000)/100),2)&amp;"/"&amp;RIGHT("00"&amp;MOD(Sync!$J1599,100),2),"نامعتبر"),IF(LEN(Sync!$J1599)=10,Sync!$J1599,"نامعتبر")))</f>
        <v/>
      </c>
      <c r="R1599" t="str">
        <f t="shared" si="137"/>
        <v/>
      </c>
      <c r="S1599" t="str">
        <f t="shared" si="138"/>
        <v/>
      </c>
      <c r="T1599" t="str">
        <f>IF($N1599="","",IF(Sync!$N1599="",0,Sync!$N1599))</f>
        <v/>
      </c>
      <c r="U1599" t="str">
        <f>IF($N1599="","",IF(Sync!$O1599="",0,Sync!$O1599))</f>
        <v/>
      </c>
      <c r="V1599" t="str">
        <f>IF($N1599="","",Sync!$L1599)</f>
        <v/>
      </c>
      <c r="W1599" t="str">
        <f>IF($N1599="","",Sync!$P1599)</f>
        <v/>
      </c>
    </row>
    <row r="1600" spans="14:23" x14ac:dyDescent="0.2">
      <c r="N1600" t="str">
        <f>IF(OR(Sync!$M1600="",$Q1600="",$Q1600="نامعتبر"),"",Sync!$M1600)</f>
        <v/>
      </c>
      <c r="O1600" t="str">
        <f t="shared" si="136"/>
        <v/>
      </c>
      <c r="P1600" t="str">
        <f>IF($N1600="","",LEFT($Q1600,4)&amp;MID($Q1600,6,2)&amp;RIGHT($Q1600,2)&amp;IF(Sync!$K1600="","0000",IF(AND(ISNUMBER(Sync!$K1600),Sync!$K1600&gt;=0,Sync!$K1600&lt;1),RIGHT("00"&amp;HOUR(Sync!$K1600),2)&amp;RIGHT("00"&amp;MINUTE(Sync!$K1600),2),IFERROR(RIGHT("00"&amp;VALUE(LEFT(Sync!$K1600,FIND(":",Sync!$K1600)-1)),2)&amp;RIGHT("00"&amp;VALUE(MID(Sync!$K1600,FIND(":",Sync!$K1600)+1,2)),2),"0000")))&amp;"|"&amp;"2"&amp;RIGHT("00000"&amp;1595,5))</f>
        <v/>
      </c>
      <c r="Q1600" t="str">
        <f>IF(Sync!$J1600="","",IF(ISNUMBER(Sync!$J1600),IF(AND(Sync!$J1600&gt;=10000101,Sync!$J1600&lt;=99991231),INT(Sync!$J1600/10000)&amp;"/"&amp;RIGHT("00"&amp;INT(MOD(Sync!$J1600,10000)/100),2)&amp;"/"&amp;RIGHT("00"&amp;MOD(Sync!$J1600,100),2),"نامعتبر"),IF(LEN(Sync!$J1600)=10,Sync!$J1600,"نامعتبر")))</f>
        <v/>
      </c>
      <c r="R1600" t="str">
        <f t="shared" si="137"/>
        <v/>
      </c>
      <c r="S1600" t="str">
        <f t="shared" si="138"/>
        <v/>
      </c>
      <c r="T1600" t="str">
        <f>IF($N1600="","",IF(Sync!$N1600="",0,Sync!$N1600))</f>
        <v/>
      </c>
      <c r="U1600" t="str">
        <f>IF($N1600="","",IF(Sync!$O1600="",0,Sync!$O1600))</f>
        <v/>
      </c>
      <c r="V1600" t="str">
        <f>IF($N1600="","",Sync!$L1600)</f>
        <v/>
      </c>
      <c r="W1600" t="str">
        <f>IF($N1600="","",Sync!$P1600)</f>
        <v/>
      </c>
    </row>
    <row r="1601" spans="14:23" x14ac:dyDescent="0.2">
      <c r="N1601" t="str">
        <f>IF(OR(Sync!$M1601="",$Q1601="",$Q1601="نامعتبر"),"",Sync!$M1601)</f>
        <v/>
      </c>
      <c r="O1601" t="str">
        <f t="shared" si="136"/>
        <v/>
      </c>
      <c r="P1601" t="str">
        <f>IF($N1601="","",LEFT($Q1601,4)&amp;MID($Q1601,6,2)&amp;RIGHT($Q1601,2)&amp;IF(Sync!$K1601="","0000",IF(AND(ISNUMBER(Sync!$K1601),Sync!$K1601&gt;=0,Sync!$K1601&lt;1),RIGHT("00"&amp;HOUR(Sync!$K1601),2)&amp;RIGHT("00"&amp;MINUTE(Sync!$K1601),2),IFERROR(RIGHT("00"&amp;VALUE(LEFT(Sync!$K1601,FIND(":",Sync!$K1601)-1)),2)&amp;RIGHT("00"&amp;VALUE(MID(Sync!$K1601,FIND(":",Sync!$K1601)+1,2)),2),"0000")))&amp;"|"&amp;"2"&amp;RIGHT("00000"&amp;1596,5))</f>
        <v/>
      </c>
      <c r="Q1601" t="str">
        <f>IF(Sync!$J1601="","",IF(ISNUMBER(Sync!$J1601),IF(AND(Sync!$J1601&gt;=10000101,Sync!$J1601&lt;=99991231),INT(Sync!$J1601/10000)&amp;"/"&amp;RIGHT("00"&amp;INT(MOD(Sync!$J1601,10000)/100),2)&amp;"/"&amp;RIGHT("00"&amp;MOD(Sync!$J1601,100),2),"نامعتبر"),IF(LEN(Sync!$J1601)=10,Sync!$J1601,"نامعتبر")))</f>
        <v/>
      </c>
      <c r="R1601" t="str">
        <f t="shared" si="137"/>
        <v/>
      </c>
      <c r="S1601" t="str">
        <f t="shared" si="138"/>
        <v/>
      </c>
      <c r="T1601" t="str">
        <f>IF($N1601="","",IF(Sync!$N1601="",0,Sync!$N1601))</f>
        <v/>
      </c>
      <c r="U1601" t="str">
        <f>IF($N1601="","",IF(Sync!$O1601="",0,Sync!$O1601))</f>
        <v/>
      </c>
      <c r="V1601" t="str">
        <f>IF($N1601="","",Sync!$L1601)</f>
        <v/>
      </c>
      <c r="W1601" t="str">
        <f>IF($N1601="","",Sync!$P1601)</f>
        <v/>
      </c>
    </row>
    <row r="1602" spans="14:23" x14ac:dyDescent="0.2">
      <c r="N1602" t="str">
        <f>IF(OR(Sync!$M1602="",$Q1602="",$Q1602="نامعتبر"),"",Sync!$M1602)</f>
        <v/>
      </c>
      <c r="O1602" t="str">
        <f t="shared" si="136"/>
        <v/>
      </c>
      <c r="P1602" t="str">
        <f>IF($N1602="","",LEFT($Q1602,4)&amp;MID($Q1602,6,2)&amp;RIGHT($Q1602,2)&amp;IF(Sync!$K1602="","0000",IF(AND(ISNUMBER(Sync!$K1602),Sync!$K1602&gt;=0,Sync!$K1602&lt;1),RIGHT("00"&amp;HOUR(Sync!$K1602),2)&amp;RIGHT("00"&amp;MINUTE(Sync!$K1602),2),IFERROR(RIGHT("00"&amp;VALUE(LEFT(Sync!$K1602,FIND(":",Sync!$K1602)-1)),2)&amp;RIGHT("00"&amp;VALUE(MID(Sync!$K1602,FIND(":",Sync!$K1602)+1,2)),2),"0000")))&amp;"|"&amp;"2"&amp;RIGHT("00000"&amp;1597,5))</f>
        <v/>
      </c>
      <c r="Q1602" t="str">
        <f>IF(Sync!$J1602="","",IF(ISNUMBER(Sync!$J1602),IF(AND(Sync!$J1602&gt;=10000101,Sync!$J1602&lt;=99991231),INT(Sync!$J1602/10000)&amp;"/"&amp;RIGHT("00"&amp;INT(MOD(Sync!$J1602,10000)/100),2)&amp;"/"&amp;RIGHT("00"&amp;MOD(Sync!$J1602,100),2),"نامعتبر"),IF(LEN(Sync!$J1602)=10,Sync!$J1602,"نامعتبر")))</f>
        <v/>
      </c>
      <c r="R1602" t="str">
        <f t="shared" si="137"/>
        <v/>
      </c>
      <c r="S1602" t="str">
        <f t="shared" si="138"/>
        <v/>
      </c>
      <c r="T1602" t="str">
        <f>IF($N1602="","",IF(Sync!$N1602="",0,Sync!$N1602))</f>
        <v/>
      </c>
      <c r="U1602" t="str">
        <f>IF($N1602="","",IF(Sync!$O1602="",0,Sync!$O1602))</f>
        <v/>
      </c>
      <c r="V1602" t="str">
        <f>IF($N1602="","",Sync!$L1602)</f>
        <v/>
      </c>
      <c r="W1602" t="str">
        <f>IF($N1602="","",Sync!$P1602)</f>
        <v/>
      </c>
    </row>
    <row r="1603" spans="14:23" x14ac:dyDescent="0.2">
      <c r="N1603" t="str">
        <f>IF(OR(Sync!$M1603="",$Q1603="",$Q1603="نامعتبر"),"",Sync!$M1603)</f>
        <v/>
      </c>
      <c r="O1603" t="str">
        <f t="shared" si="136"/>
        <v/>
      </c>
      <c r="P1603" t="str">
        <f>IF($N1603="","",LEFT($Q1603,4)&amp;MID($Q1603,6,2)&amp;RIGHT($Q1603,2)&amp;IF(Sync!$K1603="","0000",IF(AND(ISNUMBER(Sync!$K1603),Sync!$K1603&gt;=0,Sync!$K1603&lt;1),RIGHT("00"&amp;HOUR(Sync!$K1603),2)&amp;RIGHT("00"&amp;MINUTE(Sync!$K1603),2),IFERROR(RIGHT("00"&amp;VALUE(LEFT(Sync!$K1603,FIND(":",Sync!$K1603)-1)),2)&amp;RIGHT("00"&amp;VALUE(MID(Sync!$K1603,FIND(":",Sync!$K1603)+1,2)),2),"0000")))&amp;"|"&amp;"2"&amp;RIGHT("00000"&amp;1598,5))</f>
        <v/>
      </c>
      <c r="Q1603" t="str">
        <f>IF(Sync!$J1603="","",IF(ISNUMBER(Sync!$J1603),IF(AND(Sync!$J1603&gt;=10000101,Sync!$J1603&lt;=99991231),INT(Sync!$J1603/10000)&amp;"/"&amp;RIGHT("00"&amp;INT(MOD(Sync!$J1603,10000)/100),2)&amp;"/"&amp;RIGHT("00"&amp;MOD(Sync!$J1603,100),2),"نامعتبر"),IF(LEN(Sync!$J1603)=10,Sync!$J1603,"نامعتبر")))</f>
        <v/>
      </c>
      <c r="R1603" t="str">
        <f t="shared" si="137"/>
        <v/>
      </c>
      <c r="S1603" t="str">
        <f t="shared" si="138"/>
        <v/>
      </c>
      <c r="T1603" t="str">
        <f>IF($N1603="","",IF(Sync!$N1603="",0,Sync!$N1603))</f>
        <v/>
      </c>
      <c r="U1603" t="str">
        <f>IF($N1603="","",IF(Sync!$O1603="",0,Sync!$O1603))</f>
        <v/>
      </c>
      <c r="V1603" t="str">
        <f>IF($N1603="","",Sync!$L1603)</f>
        <v/>
      </c>
      <c r="W1603" t="str">
        <f>IF($N1603="","",Sync!$P1603)</f>
        <v/>
      </c>
    </row>
    <row r="1604" spans="14:23" x14ac:dyDescent="0.2">
      <c r="N1604" t="str">
        <f>IF(OR(Sync!$M1604="",$Q1604="",$Q1604="نامعتبر"),"",Sync!$M1604)</f>
        <v/>
      </c>
      <c r="O1604" t="str">
        <f t="shared" si="136"/>
        <v/>
      </c>
      <c r="P1604" t="str">
        <f>IF($N1604="","",LEFT($Q1604,4)&amp;MID($Q1604,6,2)&amp;RIGHT($Q1604,2)&amp;IF(Sync!$K1604="","0000",IF(AND(ISNUMBER(Sync!$K1604),Sync!$K1604&gt;=0,Sync!$K1604&lt;1),RIGHT("00"&amp;HOUR(Sync!$K1604),2)&amp;RIGHT("00"&amp;MINUTE(Sync!$K1604),2),IFERROR(RIGHT("00"&amp;VALUE(LEFT(Sync!$K1604,FIND(":",Sync!$K1604)-1)),2)&amp;RIGHT("00"&amp;VALUE(MID(Sync!$K1604,FIND(":",Sync!$K1604)+1,2)),2),"0000")))&amp;"|"&amp;"2"&amp;RIGHT("00000"&amp;1599,5))</f>
        <v/>
      </c>
      <c r="Q1604" t="str">
        <f>IF(Sync!$J1604="","",IF(ISNUMBER(Sync!$J1604),IF(AND(Sync!$J1604&gt;=10000101,Sync!$J1604&lt;=99991231),INT(Sync!$J1604/10000)&amp;"/"&amp;RIGHT("00"&amp;INT(MOD(Sync!$J1604,10000)/100),2)&amp;"/"&amp;RIGHT("00"&amp;MOD(Sync!$J1604,100),2),"نامعتبر"),IF(LEN(Sync!$J1604)=10,Sync!$J1604,"نامعتبر")))</f>
        <v/>
      </c>
      <c r="R1604" t="str">
        <f t="shared" si="137"/>
        <v/>
      </c>
      <c r="S1604" t="str">
        <f t="shared" si="138"/>
        <v/>
      </c>
      <c r="T1604" t="str">
        <f>IF($N1604="","",IF(Sync!$N1604="",0,Sync!$N1604))</f>
        <v/>
      </c>
      <c r="U1604" t="str">
        <f>IF($N1604="","",IF(Sync!$O1604="",0,Sync!$O1604))</f>
        <v/>
      </c>
      <c r="V1604" t="str">
        <f>IF($N1604="","",Sync!$L1604)</f>
        <v/>
      </c>
      <c r="W1604" t="str">
        <f>IF($N1604="","",Sync!$P1604)</f>
        <v/>
      </c>
    </row>
    <row r="1605" spans="14:23" x14ac:dyDescent="0.2">
      <c r="N1605" t="str">
        <f>IF(OR(Sync!$M1605="",$Q1605="",$Q1605="نامعتبر"),"",Sync!$M1605)</f>
        <v/>
      </c>
      <c r="O1605" t="str">
        <f t="shared" si="136"/>
        <v/>
      </c>
      <c r="P1605" t="str">
        <f>IF($N1605="","",LEFT($Q1605,4)&amp;MID($Q1605,6,2)&amp;RIGHT($Q1605,2)&amp;IF(Sync!$K1605="","0000",IF(AND(ISNUMBER(Sync!$K1605),Sync!$K1605&gt;=0,Sync!$K1605&lt;1),RIGHT("00"&amp;HOUR(Sync!$K1605),2)&amp;RIGHT("00"&amp;MINUTE(Sync!$K1605),2),IFERROR(RIGHT("00"&amp;VALUE(LEFT(Sync!$K1605,FIND(":",Sync!$K1605)-1)),2)&amp;RIGHT("00"&amp;VALUE(MID(Sync!$K1605,FIND(":",Sync!$K1605)+1,2)),2),"0000")))&amp;"|"&amp;"2"&amp;RIGHT("00000"&amp;1600,5))</f>
        <v/>
      </c>
      <c r="Q1605" t="str">
        <f>IF(Sync!$J1605="","",IF(ISNUMBER(Sync!$J1605),IF(AND(Sync!$J1605&gt;=10000101,Sync!$J1605&lt;=99991231),INT(Sync!$J1605/10000)&amp;"/"&amp;RIGHT("00"&amp;INT(MOD(Sync!$J1605,10000)/100),2)&amp;"/"&amp;RIGHT("00"&amp;MOD(Sync!$J1605,100),2),"نامعتبر"),IF(LEN(Sync!$J1605)=10,Sync!$J1605,"نامعتبر")))</f>
        <v/>
      </c>
      <c r="R1605" t="str">
        <f t="shared" si="137"/>
        <v/>
      </c>
      <c r="S1605" t="str">
        <f t="shared" si="138"/>
        <v/>
      </c>
      <c r="T1605" t="str">
        <f>IF($N1605="","",IF(Sync!$N1605="",0,Sync!$N1605))</f>
        <v/>
      </c>
      <c r="U1605" t="str">
        <f>IF($N1605="","",IF(Sync!$O1605="",0,Sync!$O1605))</f>
        <v/>
      </c>
      <c r="V1605" t="str">
        <f>IF($N1605="","",Sync!$L1605)</f>
        <v/>
      </c>
      <c r="W1605" t="str">
        <f>IF($N1605="","",Sync!$P1605)</f>
        <v/>
      </c>
    </row>
    <row r="1606" spans="14:23" x14ac:dyDescent="0.2">
      <c r="N1606" t="str">
        <f>IF(OR(Sync!$M1606="",$Q1606="",$Q1606="نامعتبر"),"",Sync!$M1606)</f>
        <v/>
      </c>
      <c r="O1606" t="str">
        <f t="shared" ref="O1606:O1669" si="139">IF($N1606="","",$Q1606)</f>
        <v/>
      </c>
      <c r="P1606" t="str">
        <f>IF($N1606="","",LEFT($Q1606,4)&amp;MID($Q1606,6,2)&amp;RIGHT($Q1606,2)&amp;IF(Sync!$K1606="","0000",IF(AND(ISNUMBER(Sync!$K1606),Sync!$K1606&gt;=0,Sync!$K1606&lt;1),RIGHT("00"&amp;HOUR(Sync!$K1606),2)&amp;RIGHT("00"&amp;MINUTE(Sync!$K1606),2),IFERROR(RIGHT("00"&amp;VALUE(LEFT(Sync!$K1606,FIND(":",Sync!$K1606)-1)),2)&amp;RIGHT("00"&amp;VALUE(MID(Sync!$K1606,FIND(":",Sync!$K1606)+1,2)),2),"0000")))&amp;"|"&amp;"2"&amp;RIGHT("00000"&amp;1601,5))</f>
        <v/>
      </c>
      <c r="Q1606" t="str">
        <f>IF(Sync!$J1606="","",IF(ISNUMBER(Sync!$J1606),IF(AND(Sync!$J1606&gt;=10000101,Sync!$J1606&lt;=99991231),INT(Sync!$J1606/10000)&amp;"/"&amp;RIGHT("00"&amp;INT(MOD(Sync!$J1606,10000)/100),2)&amp;"/"&amp;RIGHT("00"&amp;MOD(Sync!$J1606,100),2),"نامعتبر"),IF(LEN(Sync!$J1606)=10,Sync!$J1606,"نامعتبر")))</f>
        <v/>
      </c>
      <c r="R1606" t="str">
        <f t="shared" ref="R1606:R1669" si="140">IF($P1606="","",COUNTIFS($N$6:$N$2005,$N1606,$P$6:$P$2005,"&lt;"&amp;$P1606)+COUNTIFS($A$6:$A$1005,$N1606,$B$6:$B$1005,"&lt;"&amp;$P1606)+1)</f>
        <v/>
      </c>
      <c r="S1606" t="str">
        <f t="shared" ref="S1606:S1669" si="141">IF($N1606="","",$N1606&amp;"|"&amp;RIGHT("000000"&amp;$R1606,6))</f>
        <v/>
      </c>
      <c r="T1606" t="str">
        <f>IF($N1606="","",IF(Sync!$N1606="",0,Sync!$N1606))</f>
        <v/>
      </c>
      <c r="U1606" t="str">
        <f>IF($N1606="","",IF(Sync!$O1606="",0,Sync!$O1606))</f>
        <v/>
      </c>
      <c r="V1606" t="str">
        <f>IF($N1606="","",Sync!$L1606)</f>
        <v/>
      </c>
      <c r="W1606" t="str">
        <f>IF($N1606="","",Sync!$P1606)</f>
        <v/>
      </c>
    </row>
    <row r="1607" spans="14:23" x14ac:dyDescent="0.2">
      <c r="N1607" t="str">
        <f>IF(OR(Sync!$M1607="",$Q1607="",$Q1607="نامعتبر"),"",Sync!$M1607)</f>
        <v/>
      </c>
      <c r="O1607" t="str">
        <f t="shared" si="139"/>
        <v/>
      </c>
      <c r="P1607" t="str">
        <f>IF($N1607="","",LEFT($Q1607,4)&amp;MID($Q1607,6,2)&amp;RIGHT($Q1607,2)&amp;IF(Sync!$K1607="","0000",IF(AND(ISNUMBER(Sync!$K1607),Sync!$K1607&gt;=0,Sync!$K1607&lt;1),RIGHT("00"&amp;HOUR(Sync!$K1607),2)&amp;RIGHT("00"&amp;MINUTE(Sync!$K1607),2),IFERROR(RIGHT("00"&amp;VALUE(LEFT(Sync!$K1607,FIND(":",Sync!$K1607)-1)),2)&amp;RIGHT("00"&amp;VALUE(MID(Sync!$K1607,FIND(":",Sync!$K1607)+1,2)),2),"0000")))&amp;"|"&amp;"2"&amp;RIGHT("00000"&amp;1602,5))</f>
        <v/>
      </c>
      <c r="Q1607" t="str">
        <f>IF(Sync!$J1607="","",IF(ISNUMBER(Sync!$J1607),IF(AND(Sync!$J1607&gt;=10000101,Sync!$J1607&lt;=99991231),INT(Sync!$J1607/10000)&amp;"/"&amp;RIGHT("00"&amp;INT(MOD(Sync!$J1607,10000)/100),2)&amp;"/"&amp;RIGHT("00"&amp;MOD(Sync!$J1607,100),2),"نامعتبر"),IF(LEN(Sync!$J1607)=10,Sync!$J1607,"نامعتبر")))</f>
        <v/>
      </c>
      <c r="R1607" t="str">
        <f t="shared" si="140"/>
        <v/>
      </c>
      <c r="S1607" t="str">
        <f t="shared" si="141"/>
        <v/>
      </c>
      <c r="T1607" t="str">
        <f>IF($N1607="","",IF(Sync!$N1607="",0,Sync!$N1607))</f>
        <v/>
      </c>
      <c r="U1607" t="str">
        <f>IF($N1607="","",IF(Sync!$O1607="",0,Sync!$O1607))</f>
        <v/>
      </c>
      <c r="V1607" t="str">
        <f>IF($N1607="","",Sync!$L1607)</f>
        <v/>
      </c>
      <c r="W1607" t="str">
        <f>IF($N1607="","",Sync!$P1607)</f>
        <v/>
      </c>
    </row>
    <row r="1608" spans="14:23" x14ac:dyDescent="0.2">
      <c r="N1608" t="str">
        <f>IF(OR(Sync!$M1608="",$Q1608="",$Q1608="نامعتبر"),"",Sync!$M1608)</f>
        <v/>
      </c>
      <c r="O1608" t="str">
        <f t="shared" si="139"/>
        <v/>
      </c>
      <c r="P1608" t="str">
        <f>IF($N1608="","",LEFT($Q1608,4)&amp;MID($Q1608,6,2)&amp;RIGHT($Q1608,2)&amp;IF(Sync!$K1608="","0000",IF(AND(ISNUMBER(Sync!$K1608),Sync!$K1608&gt;=0,Sync!$K1608&lt;1),RIGHT("00"&amp;HOUR(Sync!$K1608),2)&amp;RIGHT("00"&amp;MINUTE(Sync!$K1608),2),IFERROR(RIGHT("00"&amp;VALUE(LEFT(Sync!$K1608,FIND(":",Sync!$K1608)-1)),2)&amp;RIGHT("00"&amp;VALUE(MID(Sync!$K1608,FIND(":",Sync!$K1608)+1,2)),2),"0000")))&amp;"|"&amp;"2"&amp;RIGHT("00000"&amp;1603,5))</f>
        <v/>
      </c>
      <c r="Q1608" t="str">
        <f>IF(Sync!$J1608="","",IF(ISNUMBER(Sync!$J1608),IF(AND(Sync!$J1608&gt;=10000101,Sync!$J1608&lt;=99991231),INT(Sync!$J1608/10000)&amp;"/"&amp;RIGHT("00"&amp;INT(MOD(Sync!$J1608,10000)/100),2)&amp;"/"&amp;RIGHT("00"&amp;MOD(Sync!$J1608,100),2),"نامعتبر"),IF(LEN(Sync!$J1608)=10,Sync!$J1608,"نامعتبر")))</f>
        <v/>
      </c>
      <c r="R1608" t="str">
        <f t="shared" si="140"/>
        <v/>
      </c>
      <c r="S1608" t="str">
        <f t="shared" si="141"/>
        <v/>
      </c>
      <c r="T1608" t="str">
        <f>IF($N1608="","",IF(Sync!$N1608="",0,Sync!$N1608))</f>
        <v/>
      </c>
      <c r="U1608" t="str">
        <f>IF($N1608="","",IF(Sync!$O1608="",0,Sync!$O1608))</f>
        <v/>
      </c>
      <c r="V1608" t="str">
        <f>IF($N1608="","",Sync!$L1608)</f>
        <v/>
      </c>
      <c r="W1608" t="str">
        <f>IF($N1608="","",Sync!$P1608)</f>
        <v/>
      </c>
    </row>
    <row r="1609" spans="14:23" x14ac:dyDescent="0.2">
      <c r="N1609" t="str">
        <f>IF(OR(Sync!$M1609="",$Q1609="",$Q1609="نامعتبر"),"",Sync!$M1609)</f>
        <v/>
      </c>
      <c r="O1609" t="str">
        <f t="shared" si="139"/>
        <v/>
      </c>
      <c r="P1609" t="str">
        <f>IF($N1609="","",LEFT($Q1609,4)&amp;MID($Q1609,6,2)&amp;RIGHT($Q1609,2)&amp;IF(Sync!$K1609="","0000",IF(AND(ISNUMBER(Sync!$K1609),Sync!$K1609&gt;=0,Sync!$K1609&lt;1),RIGHT("00"&amp;HOUR(Sync!$K1609),2)&amp;RIGHT("00"&amp;MINUTE(Sync!$K1609),2),IFERROR(RIGHT("00"&amp;VALUE(LEFT(Sync!$K1609,FIND(":",Sync!$K1609)-1)),2)&amp;RIGHT("00"&amp;VALUE(MID(Sync!$K1609,FIND(":",Sync!$K1609)+1,2)),2),"0000")))&amp;"|"&amp;"2"&amp;RIGHT("00000"&amp;1604,5))</f>
        <v/>
      </c>
      <c r="Q1609" t="str">
        <f>IF(Sync!$J1609="","",IF(ISNUMBER(Sync!$J1609),IF(AND(Sync!$J1609&gt;=10000101,Sync!$J1609&lt;=99991231),INT(Sync!$J1609/10000)&amp;"/"&amp;RIGHT("00"&amp;INT(MOD(Sync!$J1609,10000)/100),2)&amp;"/"&amp;RIGHT("00"&amp;MOD(Sync!$J1609,100),2),"نامعتبر"),IF(LEN(Sync!$J1609)=10,Sync!$J1609,"نامعتبر")))</f>
        <v/>
      </c>
      <c r="R1609" t="str">
        <f t="shared" si="140"/>
        <v/>
      </c>
      <c r="S1609" t="str">
        <f t="shared" si="141"/>
        <v/>
      </c>
      <c r="T1609" t="str">
        <f>IF($N1609="","",IF(Sync!$N1609="",0,Sync!$N1609))</f>
        <v/>
      </c>
      <c r="U1609" t="str">
        <f>IF($N1609="","",IF(Sync!$O1609="",0,Sync!$O1609))</f>
        <v/>
      </c>
      <c r="V1609" t="str">
        <f>IF($N1609="","",Sync!$L1609)</f>
        <v/>
      </c>
      <c r="W1609" t="str">
        <f>IF($N1609="","",Sync!$P1609)</f>
        <v/>
      </c>
    </row>
    <row r="1610" spans="14:23" x14ac:dyDescent="0.2">
      <c r="N1610" t="str">
        <f>IF(OR(Sync!$M1610="",$Q1610="",$Q1610="نامعتبر"),"",Sync!$M1610)</f>
        <v/>
      </c>
      <c r="O1610" t="str">
        <f t="shared" si="139"/>
        <v/>
      </c>
      <c r="P1610" t="str">
        <f>IF($N1610="","",LEFT($Q1610,4)&amp;MID($Q1610,6,2)&amp;RIGHT($Q1610,2)&amp;IF(Sync!$K1610="","0000",IF(AND(ISNUMBER(Sync!$K1610),Sync!$K1610&gt;=0,Sync!$K1610&lt;1),RIGHT("00"&amp;HOUR(Sync!$K1610),2)&amp;RIGHT("00"&amp;MINUTE(Sync!$K1610),2),IFERROR(RIGHT("00"&amp;VALUE(LEFT(Sync!$K1610,FIND(":",Sync!$K1610)-1)),2)&amp;RIGHT("00"&amp;VALUE(MID(Sync!$K1610,FIND(":",Sync!$K1610)+1,2)),2),"0000")))&amp;"|"&amp;"2"&amp;RIGHT("00000"&amp;1605,5))</f>
        <v/>
      </c>
      <c r="Q1610" t="str">
        <f>IF(Sync!$J1610="","",IF(ISNUMBER(Sync!$J1610),IF(AND(Sync!$J1610&gt;=10000101,Sync!$J1610&lt;=99991231),INT(Sync!$J1610/10000)&amp;"/"&amp;RIGHT("00"&amp;INT(MOD(Sync!$J1610,10000)/100),2)&amp;"/"&amp;RIGHT("00"&amp;MOD(Sync!$J1610,100),2),"نامعتبر"),IF(LEN(Sync!$J1610)=10,Sync!$J1610,"نامعتبر")))</f>
        <v/>
      </c>
      <c r="R1610" t="str">
        <f t="shared" si="140"/>
        <v/>
      </c>
      <c r="S1610" t="str">
        <f t="shared" si="141"/>
        <v/>
      </c>
      <c r="T1610" t="str">
        <f>IF($N1610="","",IF(Sync!$N1610="",0,Sync!$N1610))</f>
        <v/>
      </c>
      <c r="U1610" t="str">
        <f>IF($N1610="","",IF(Sync!$O1610="",0,Sync!$O1610))</f>
        <v/>
      </c>
      <c r="V1610" t="str">
        <f>IF($N1610="","",Sync!$L1610)</f>
        <v/>
      </c>
      <c r="W1610" t="str">
        <f>IF($N1610="","",Sync!$P1610)</f>
        <v/>
      </c>
    </row>
    <row r="1611" spans="14:23" x14ac:dyDescent="0.2">
      <c r="N1611" t="str">
        <f>IF(OR(Sync!$M1611="",$Q1611="",$Q1611="نامعتبر"),"",Sync!$M1611)</f>
        <v/>
      </c>
      <c r="O1611" t="str">
        <f t="shared" si="139"/>
        <v/>
      </c>
      <c r="P1611" t="str">
        <f>IF($N1611="","",LEFT($Q1611,4)&amp;MID($Q1611,6,2)&amp;RIGHT($Q1611,2)&amp;IF(Sync!$K1611="","0000",IF(AND(ISNUMBER(Sync!$K1611),Sync!$K1611&gt;=0,Sync!$K1611&lt;1),RIGHT("00"&amp;HOUR(Sync!$K1611),2)&amp;RIGHT("00"&amp;MINUTE(Sync!$K1611),2),IFERROR(RIGHT("00"&amp;VALUE(LEFT(Sync!$K1611,FIND(":",Sync!$K1611)-1)),2)&amp;RIGHT("00"&amp;VALUE(MID(Sync!$K1611,FIND(":",Sync!$K1611)+1,2)),2),"0000")))&amp;"|"&amp;"2"&amp;RIGHT("00000"&amp;1606,5))</f>
        <v/>
      </c>
      <c r="Q1611" t="str">
        <f>IF(Sync!$J1611="","",IF(ISNUMBER(Sync!$J1611),IF(AND(Sync!$J1611&gt;=10000101,Sync!$J1611&lt;=99991231),INT(Sync!$J1611/10000)&amp;"/"&amp;RIGHT("00"&amp;INT(MOD(Sync!$J1611,10000)/100),2)&amp;"/"&amp;RIGHT("00"&amp;MOD(Sync!$J1611,100),2),"نامعتبر"),IF(LEN(Sync!$J1611)=10,Sync!$J1611,"نامعتبر")))</f>
        <v/>
      </c>
      <c r="R1611" t="str">
        <f t="shared" si="140"/>
        <v/>
      </c>
      <c r="S1611" t="str">
        <f t="shared" si="141"/>
        <v/>
      </c>
      <c r="T1611" t="str">
        <f>IF($N1611="","",IF(Sync!$N1611="",0,Sync!$N1611))</f>
        <v/>
      </c>
      <c r="U1611" t="str">
        <f>IF($N1611="","",IF(Sync!$O1611="",0,Sync!$O1611))</f>
        <v/>
      </c>
      <c r="V1611" t="str">
        <f>IF($N1611="","",Sync!$L1611)</f>
        <v/>
      </c>
      <c r="W1611" t="str">
        <f>IF($N1611="","",Sync!$P1611)</f>
        <v/>
      </c>
    </row>
    <row r="1612" spans="14:23" x14ac:dyDescent="0.2">
      <c r="N1612" t="str">
        <f>IF(OR(Sync!$M1612="",$Q1612="",$Q1612="نامعتبر"),"",Sync!$M1612)</f>
        <v/>
      </c>
      <c r="O1612" t="str">
        <f t="shared" si="139"/>
        <v/>
      </c>
      <c r="P1612" t="str">
        <f>IF($N1612="","",LEFT($Q1612,4)&amp;MID($Q1612,6,2)&amp;RIGHT($Q1612,2)&amp;IF(Sync!$K1612="","0000",IF(AND(ISNUMBER(Sync!$K1612),Sync!$K1612&gt;=0,Sync!$K1612&lt;1),RIGHT("00"&amp;HOUR(Sync!$K1612),2)&amp;RIGHT("00"&amp;MINUTE(Sync!$K1612),2),IFERROR(RIGHT("00"&amp;VALUE(LEFT(Sync!$K1612,FIND(":",Sync!$K1612)-1)),2)&amp;RIGHT("00"&amp;VALUE(MID(Sync!$K1612,FIND(":",Sync!$K1612)+1,2)),2),"0000")))&amp;"|"&amp;"2"&amp;RIGHT("00000"&amp;1607,5))</f>
        <v/>
      </c>
      <c r="Q1612" t="str">
        <f>IF(Sync!$J1612="","",IF(ISNUMBER(Sync!$J1612),IF(AND(Sync!$J1612&gt;=10000101,Sync!$J1612&lt;=99991231),INT(Sync!$J1612/10000)&amp;"/"&amp;RIGHT("00"&amp;INT(MOD(Sync!$J1612,10000)/100),2)&amp;"/"&amp;RIGHT("00"&amp;MOD(Sync!$J1612,100),2),"نامعتبر"),IF(LEN(Sync!$J1612)=10,Sync!$J1612,"نامعتبر")))</f>
        <v/>
      </c>
      <c r="R1612" t="str">
        <f t="shared" si="140"/>
        <v/>
      </c>
      <c r="S1612" t="str">
        <f t="shared" si="141"/>
        <v/>
      </c>
      <c r="T1612" t="str">
        <f>IF($N1612="","",IF(Sync!$N1612="",0,Sync!$N1612))</f>
        <v/>
      </c>
      <c r="U1612" t="str">
        <f>IF($N1612="","",IF(Sync!$O1612="",0,Sync!$O1612))</f>
        <v/>
      </c>
      <c r="V1612" t="str">
        <f>IF($N1612="","",Sync!$L1612)</f>
        <v/>
      </c>
      <c r="W1612" t="str">
        <f>IF($N1612="","",Sync!$P1612)</f>
        <v/>
      </c>
    </row>
    <row r="1613" spans="14:23" x14ac:dyDescent="0.2">
      <c r="N1613" t="str">
        <f>IF(OR(Sync!$M1613="",$Q1613="",$Q1613="نامعتبر"),"",Sync!$M1613)</f>
        <v/>
      </c>
      <c r="O1613" t="str">
        <f t="shared" si="139"/>
        <v/>
      </c>
      <c r="P1613" t="str">
        <f>IF($N1613="","",LEFT($Q1613,4)&amp;MID($Q1613,6,2)&amp;RIGHT($Q1613,2)&amp;IF(Sync!$K1613="","0000",IF(AND(ISNUMBER(Sync!$K1613),Sync!$K1613&gt;=0,Sync!$K1613&lt;1),RIGHT("00"&amp;HOUR(Sync!$K1613),2)&amp;RIGHT("00"&amp;MINUTE(Sync!$K1613),2),IFERROR(RIGHT("00"&amp;VALUE(LEFT(Sync!$K1613,FIND(":",Sync!$K1613)-1)),2)&amp;RIGHT("00"&amp;VALUE(MID(Sync!$K1613,FIND(":",Sync!$K1613)+1,2)),2),"0000")))&amp;"|"&amp;"2"&amp;RIGHT("00000"&amp;1608,5))</f>
        <v/>
      </c>
      <c r="Q1613" t="str">
        <f>IF(Sync!$J1613="","",IF(ISNUMBER(Sync!$J1613),IF(AND(Sync!$J1613&gt;=10000101,Sync!$J1613&lt;=99991231),INT(Sync!$J1613/10000)&amp;"/"&amp;RIGHT("00"&amp;INT(MOD(Sync!$J1613,10000)/100),2)&amp;"/"&amp;RIGHT("00"&amp;MOD(Sync!$J1613,100),2),"نامعتبر"),IF(LEN(Sync!$J1613)=10,Sync!$J1613,"نامعتبر")))</f>
        <v/>
      </c>
      <c r="R1613" t="str">
        <f t="shared" si="140"/>
        <v/>
      </c>
      <c r="S1613" t="str">
        <f t="shared" si="141"/>
        <v/>
      </c>
      <c r="T1613" t="str">
        <f>IF($N1613="","",IF(Sync!$N1613="",0,Sync!$N1613))</f>
        <v/>
      </c>
      <c r="U1613" t="str">
        <f>IF($N1613="","",IF(Sync!$O1613="",0,Sync!$O1613))</f>
        <v/>
      </c>
      <c r="V1613" t="str">
        <f>IF($N1613="","",Sync!$L1613)</f>
        <v/>
      </c>
      <c r="W1613" t="str">
        <f>IF($N1613="","",Sync!$P1613)</f>
        <v/>
      </c>
    </row>
    <row r="1614" spans="14:23" x14ac:dyDescent="0.2">
      <c r="N1614" t="str">
        <f>IF(OR(Sync!$M1614="",$Q1614="",$Q1614="نامعتبر"),"",Sync!$M1614)</f>
        <v/>
      </c>
      <c r="O1614" t="str">
        <f t="shared" si="139"/>
        <v/>
      </c>
      <c r="P1614" t="str">
        <f>IF($N1614="","",LEFT($Q1614,4)&amp;MID($Q1614,6,2)&amp;RIGHT($Q1614,2)&amp;IF(Sync!$K1614="","0000",IF(AND(ISNUMBER(Sync!$K1614),Sync!$K1614&gt;=0,Sync!$K1614&lt;1),RIGHT("00"&amp;HOUR(Sync!$K1614),2)&amp;RIGHT("00"&amp;MINUTE(Sync!$K1614),2),IFERROR(RIGHT("00"&amp;VALUE(LEFT(Sync!$K1614,FIND(":",Sync!$K1614)-1)),2)&amp;RIGHT("00"&amp;VALUE(MID(Sync!$K1614,FIND(":",Sync!$K1614)+1,2)),2),"0000")))&amp;"|"&amp;"2"&amp;RIGHT("00000"&amp;1609,5))</f>
        <v/>
      </c>
      <c r="Q1614" t="str">
        <f>IF(Sync!$J1614="","",IF(ISNUMBER(Sync!$J1614),IF(AND(Sync!$J1614&gt;=10000101,Sync!$J1614&lt;=99991231),INT(Sync!$J1614/10000)&amp;"/"&amp;RIGHT("00"&amp;INT(MOD(Sync!$J1614,10000)/100),2)&amp;"/"&amp;RIGHT("00"&amp;MOD(Sync!$J1614,100),2),"نامعتبر"),IF(LEN(Sync!$J1614)=10,Sync!$J1614,"نامعتبر")))</f>
        <v/>
      </c>
      <c r="R1614" t="str">
        <f t="shared" si="140"/>
        <v/>
      </c>
      <c r="S1614" t="str">
        <f t="shared" si="141"/>
        <v/>
      </c>
      <c r="T1614" t="str">
        <f>IF($N1614="","",IF(Sync!$N1614="",0,Sync!$N1614))</f>
        <v/>
      </c>
      <c r="U1614" t="str">
        <f>IF($N1614="","",IF(Sync!$O1614="",0,Sync!$O1614))</f>
        <v/>
      </c>
      <c r="V1614" t="str">
        <f>IF($N1614="","",Sync!$L1614)</f>
        <v/>
      </c>
      <c r="W1614" t="str">
        <f>IF($N1614="","",Sync!$P1614)</f>
        <v/>
      </c>
    </row>
    <row r="1615" spans="14:23" x14ac:dyDescent="0.2">
      <c r="N1615" t="str">
        <f>IF(OR(Sync!$M1615="",$Q1615="",$Q1615="نامعتبر"),"",Sync!$M1615)</f>
        <v/>
      </c>
      <c r="O1615" t="str">
        <f t="shared" si="139"/>
        <v/>
      </c>
      <c r="P1615" t="str">
        <f>IF($N1615="","",LEFT($Q1615,4)&amp;MID($Q1615,6,2)&amp;RIGHT($Q1615,2)&amp;IF(Sync!$K1615="","0000",IF(AND(ISNUMBER(Sync!$K1615),Sync!$K1615&gt;=0,Sync!$K1615&lt;1),RIGHT("00"&amp;HOUR(Sync!$K1615),2)&amp;RIGHT("00"&amp;MINUTE(Sync!$K1615),2),IFERROR(RIGHT("00"&amp;VALUE(LEFT(Sync!$K1615,FIND(":",Sync!$K1615)-1)),2)&amp;RIGHT("00"&amp;VALUE(MID(Sync!$K1615,FIND(":",Sync!$K1615)+1,2)),2),"0000")))&amp;"|"&amp;"2"&amp;RIGHT("00000"&amp;1610,5))</f>
        <v/>
      </c>
      <c r="Q1615" t="str">
        <f>IF(Sync!$J1615="","",IF(ISNUMBER(Sync!$J1615),IF(AND(Sync!$J1615&gt;=10000101,Sync!$J1615&lt;=99991231),INT(Sync!$J1615/10000)&amp;"/"&amp;RIGHT("00"&amp;INT(MOD(Sync!$J1615,10000)/100),2)&amp;"/"&amp;RIGHT("00"&amp;MOD(Sync!$J1615,100),2),"نامعتبر"),IF(LEN(Sync!$J1615)=10,Sync!$J1615,"نامعتبر")))</f>
        <v/>
      </c>
      <c r="R1615" t="str">
        <f t="shared" si="140"/>
        <v/>
      </c>
      <c r="S1615" t="str">
        <f t="shared" si="141"/>
        <v/>
      </c>
      <c r="T1615" t="str">
        <f>IF($N1615="","",IF(Sync!$N1615="",0,Sync!$N1615))</f>
        <v/>
      </c>
      <c r="U1615" t="str">
        <f>IF($N1615="","",IF(Sync!$O1615="",0,Sync!$O1615))</f>
        <v/>
      </c>
      <c r="V1615" t="str">
        <f>IF($N1615="","",Sync!$L1615)</f>
        <v/>
      </c>
      <c r="W1615" t="str">
        <f>IF($N1615="","",Sync!$P1615)</f>
        <v/>
      </c>
    </row>
    <row r="1616" spans="14:23" x14ac:dyDescent="0.2">
      <c r="N1616" t="str">
        <f>IF(OR(Sync!$M1616="",$Q1616="",$Q1616="نامعتبر"),"",Sync!$M1616)</f>
        <v/>
      </c>
      <c r="O1616" t="str">
        <f t="shared" si="139"/>
        <v/>
      </c>
      <c r="P1616" t="str">
        <f>IF($N1616="","",LEFT($Q1616,4)&amp;MID($Q1616,6,2)&amp;RIGHT($Q1616,2)&amp;IF(Sync!$K1616="","0000",IF(AND(ISNUMBER(Sync!$K1616),Sync!$K1616&gt;=0,Sync!$K1616&lt;1),RIGHT("00"&amp;HOUR(Sync!$K1616),2)&amp;RIGHT("00"&amp;MINUTE(Sync!$K1616),2),IFERROR(RIGHT("00"&amp;VALUE(LEFT(Sync!$K1616,FIND(":",Sync!$K1616)-1)),2)&amp;RIGHT("00"&amp;VALUE(MID(Sync!$K1616,FIND(":",Sync!$K1616)+1,2)),2),"0000")))&amp;"|"&amp;"2"&amp;RIGHT("00000"&amp;1611,5))</f>
        <v/>
      </c>
      <c r="Q1616" t="str">
        <f>IF(Sync!$J1616="","",IF(ISNUMBER(Sync!$J1616),IF(AND(Sync!$J1616&gt;=10000101,Sync!$J1616&lt;=99991231),INT(Sync!$J1616/10000)&amp;"/"&amp;RIGHT("00"&amp;INT(MOD(Sync!$J1616,10000)/100),2)&amp;"/"&amp;RIGHT("00"&amp;MOD(Sync!$J1616,100),2),"نامعتبر"),IF(LEN(Sync!$J1616)=10,Sync!$J1616,"نامعتبر")))</f>
        <v/>
      </c>
      <c r="R1616" t="str">
        <f t="shared" si="140"/>
        <v/>
      </c>
      <c r="S1616" t="str">
        <f t="shared" si="141"/>
        <v/>
      </c>
      <c r="T1616" t="str">
        <f>IF($N1616="","",IF(Sync!$N1616="",0,Sync!$N1616))</f>
        <v/>
      </c>
      <c r="U1616" t="str">
        <f>IF($N1616="","",IF(Sync!$O1616="",0,Sync!$O1616))</f>
        <v/>
      </c>
      <c r="V1616" t="str">
        <f>IF($N1616="","",Sync!$L1616)</f>
        <v/>
      </c>
      <c r="W1616" t="str">
        <f>IF($N1616="","",Sync!$P1616)</f>
        <v/>
      </c>
    </row>
    <row r="1617" spans="14:23" x14ac:dyDescent="0.2">
      <c r="N1617" t="str">
        <f>IF(OR(Sync!$M1617="",$Q1617="",$Q1617="نامعتبر"),"",Sync!$M1617)</f>
        <v/>
      </c>
      <c r="O1617" t="str">
        <f t="shared" si="139"/>
        <v/>
      </c>
      <c r="P1617" t="str">
        <f>IF($N1617="","",LEFT($Q1617,4)&amp;MID($Q1617,6,2)&amp;RIGHT($Q1617,2)&amp;IF(Sync!$K1617="","0000",IF(AND(ISNUMBER(Sync!$K1617),Sync!$K1617&gt;=0,Sync!$K1617&lt;1),RIGHT("00"&amp;HOUR(Sync!$K1617),2)&amp;RIGHT("00"&amp;MINUTE(Sync!$K1617),2),IFERROR(RIGHT("00"&amp;VALUE(LEFT(Sync!$K1617,FIND(":",Sync!$K1617)-1)),2)&amp;RIGHT("00"&amp;VALUE(MID(Sync!$K1617,FIND(":",Sync!$K1617)+1,2)),2),"0000")))&amp;"|"&amp;"2"&amp;RIGHT("00000"&amp;1612,5))</f>
        <v/>
      </c>
      <c r="Q1617" t="str">
        <f>IF(Sync!$J1617="","",IF(ISNUMBER(Sync!$J1617),IF(AND(Sync!$J1617&gt;=10000101,Sync!$J1617&lt;=99991231),INT(Sync!$J1617/10000)&amp;"/"&amp;RIGHT("00"&amp;INT(MOD(Sync!$J1617,10000)/100),2)&amp;"/"&amp;RIGHT("00"&amp;MOD(Sync!$J1617,100),2),"نامعتبر"),IF(LEN(Sync!$J1617)=10,Sync!$J1617,"نامعتبر")))</f>
        <v/>
      </c>
      <c r="R1617" t="str">
        <f t="shared" si="140"/>
        <v/>
      </c>
      <c r="S1617" t="str">
        <f t="shared" si="141"/>
        <v/>
      </c>
      <c r="T1617" t="str">
        <f>IF($N1617="","",IF(Sync!$N1617="",0,Sync!$N1617))</f>
        <v/>
      </c>
      <c r="U1617" t="str">
        <f>IF($N1617="","",IF(Sync!$O1617="",0,Sync!$O1617))</f>
        <v/>
      </c>
      <c r="V1617" t="str">
        <f>IF($N1617="","",Sync!$L1617)</f>
        <v/>
      </c>
      <c r="W1617" t="str">
        <f>IF($N1617="","",Sync!$P1617)</f>
        <v/>
      </c>
    </row>
    <row r="1618" spans="14:23" x14ac:dyDescent="0.2">
      <c r="N1618" t="str">
        <f>IF(OR(Sync!$M1618="",$Q1618="",$Q1618="نامعتبر"),"",Sync!$M1618)</f>
        <v/>
      </c>
      <c r="O1618" t="str">
        <f t="shared" si="139"/>
        <v/>
      </c>
      <c r="P1618" t="str">
        <f>IF($N1618="","",LEFT($Q1618,4)&amp;MID($Q1618,6,2)&amp;RIGHT($Q1618,2)&amp;IF(Sync!$K1618="","0000",IF(AND(ISNUMBER(Sync!$K1618),Sync!$K1618&gt;=0,Sync!$K1618&lt;1),RIGHT("00"&amp;HOUR(Sync!$K1618),2)&amp;RIGHT("00"&amp;MINUTE(Sync!$K1618),2),IFERROR(RIGHT("00"&amp;VALUE(LEFT(Sync!$K1618,FIND(":",Sync!$K1618)-1)),2)&amp;RIGHT("00"&amp;VALUE(MID(Sync!$K1618,FIND(":",Sync!$K1618)+1,2)),2),"0000")))&amp;"|"&amp;"2"&amp;RIGHT("00000"&amp;1613,5))</f>
        <v/>
      </c>
      <c r="Q1618" t="str">
        <f>IF(Sync!$J1618="","",IF(ISNUMBER(Sync!$J1618),IF(AND(Sync!$J1618&gt;=10000101,Sync!$J1618&lt;=99991231),INT(Sync!$J1618/10000)&amp;"/"&amp;RIGHT("00"&amp;INT(MOD(Sync!$J1618,10000)/100),2)&amp;"/"&amp;RIGHT("00"&amp;MOD(Sync!$J1618,100),2),"نامعتبر"),IF(LEN(Sync!$J1618)=10,Sync!$J1618,"نامعتبر")))</f>
        <v/>
      </c>
      <c r="R1618" t="str">
        <f t="shared" si="140"/>
        <v/>
      </c>
      <c r="S1618" t="str">
        <f t="shared" si="141"/>
        <v/>
      </c>
      <c r="T1618" t="str">
        <f>IF($N1618="","",IF(Sync!$N1618="",0,Sync!$N1618))</f>
        <v/>
      </c>
      <c r="U1618" t="str">
        <f>IF($N1618="","",IF(Sync!$O1618="",0,Sync!$O1618))</f>
        <v/>
      </c>
      <c r="V1618" t="str">
        <f>IF($N1618="","",Sync!$L1618)</f>
        <v/>
      </c>
      <c r="W1618" t="str">
        <f>IF($N1618="","",Sync!$P1618)</f>
        <v/>
      </c>
    </row>
    <row r="1619" spans="14:23" x14ac:dyDescent="0.2">
      <c r="N1619" t="str">
        <f>IF(OR(Sync!$M1619="",$Q1619="",$Q1619="نامعتبر"),"",Sync!$M1619)</f>
        <v/>
      </c>
      <c r="O1619" t="str">
        <f t="shared" si="139"/>
        <v/>
      </c>
      <c r="P1619" t="str">
        <f>IF($N1619="","",LEFT($Q1619,4)&amp;MID($Q1619,6,2)&amp;RIGHT($Q1619,2)&amp;IF(Sync!$K1619="","0000",IF(AND(ISNUMBER(Sync!$K1619),Sync!$K1619&gt;=0,Sync!$K1619&lt;1),RIGHT("00"&amp;HOUR(Sync!$K1619),2)&amp;RIGHT("00"&amp;MINUTE(Sync!$K1619),2),IFERROR(RIGHT("00"&amp;VALUE(LEFT(Sync!$K1619,FIND(":",Sync!$K1619)-1)),2)&amp;RIGHT("00"&amp;VALUE(MID(Sync!$K1619,FIND(":",Sync!$K1619)+1,2)),2),"0000")))&amp;"|"&amp;"2"&amp;RIGHT("00000"&amp;1614,5))</f>
        <v/>
      </c>
      <c r="Q1619" t="str">
        <f>IF(Sync!$J1619="","",IF(ISNUMBER(Sync!$J1619),IF(AND(Sync!$J1619&gt;=10000101,Sync!$J1619&lt;=99991231),INT(Sync!$J1619/10000)&amp;"/"&amp;RIGHT("00"&amp;INT(MOD(Sync!$J1619,10000)/100),2)&amp;"/"&amp;RIGHT("00"&amp;MOD(Sync!$J1619,100),2),"نامعتبر"),IF(LEN(Sync!$J1619)=10,Sync!$J1619,"نامعتبر")))</f>
        <v/>
      </c>
      <c r="R1619" t="str">
        <f t="shared" si="140"/>
        <v/>
      </c>
      <c r="S1619" t="str">
        <f t="shared" si="141"/>
        <v/>
      </c>
      <c r="T1619" t="str">
        <f>IF($N1619="","",IF(Sync!$N1619="",0,Sync!$N1619))</f>
        <v/>
      </c>
      <c r="U1619" t="str">
        <f>IF($N1619="","",IF(Sync!$O1619="",0,Sync!$O1619))</f>
        <v/>
      </c>
      <c r="V1619" t="str">
        <f>IF($N1619="","",Sync!$L1619)</f>
        <v/>
      </c>
      <c r="W1619" t="str">
        <f>IF($N1619="","",Sync!$P1619)</f>
        <v/>
      </c>
    </row>
    <row r="1620" spans="14:23" x14ac:dyDescent="0.2">
      <c r="N1620" t="str">
        <f>IF(OR(Sync!$M1620="",$Q1620="",$Q1620="نامعتبر"),"",Sync!$M1620)</f>
        <v/>
      </c>
      <c r="O1620" t="str">
        <f t="shared" si="139"/>
        <v/>
      </c>
      <c r="P1620" t="str">
        <f>IF($N1620="","",LEFT($Q1620,4)&amp;MID($Q1620,6,2)&amp;RIGHT($Q1620,2)&amp;IF(Sync!$K1620="","0000",IF(AND(ISNUMBER(Sync!$K1620),Sync!$K1620&gt;=0,Sync!$K1620&lt;1),RIGHT("00"&amp;HOUR(Sync!$K1620),2)&amp;RIGHT("00"&amp;MINUTE(Sync!$K1620),2),IFERROR(RIGHT("00"&amp;VALUE(LEFT(Sync!$K1620,FIND(":",Sync!$K1620)-1)),2)&amp;RIGHT("00"&amp;VALUE(MID(Sync!$K1620,FIND(":",Sync!$K1620)+1,2)),2),"0000")))&amp;"|"&amp;"2"&amp;RIGHT("00000"&amp;1615,5))</f>
        <v/>
      </c>
      <c r="Q1620" t="str">
        <f>IF(Sync!$J1620="","",IF(ISNUMBER(Sync!$J1620),IF(AND(Sync!$J1620&gt;=10000101,Sync!$J1620&lt;=99991231),INT(Sync!$J1620/10000)&amp;"/"&amp;RIGHT("00"&amp;INT(MOD(Sync!$J1620,10000)/100),2)&amp;"/"&amp;RIGHT("00"&amp;MOD(Sync!$J1620,100),2),"نامعتبر"),IF(LEN(Sync!$J1620)=10,Sync!$J1620,"نامعتبر")))</f>
        <v/>
      </c>
      <c r="R1620" t="str">
        <f t="shared" si="140"/>
        <v/>
      </c>
      <c r="S1620" t="str">
        <f t="shared" si="141"/>
        <v/>
      </c>
      <c r="T1620" t="str">
        <f>IF($N1620="","",IF(Sync!$N1620="",0,Sync!$N1620))</f>
        <v/>
      </c>
      <c r="U1620" t="str">
        <f>IF($N1620="","",IF(Sync!$O1620="",0,Sync!$O1620))</f>
        <v/>
      </c>
      <c r="V1620" t="str">
        <f>IF($N1620="","",Sync!$L1620)</f>
        <v/>
      </c>
      <c r="W1620" t="str">
        <f>IF($N1620="","",Sync!$P1620)</f>
        <v/>
      </c>
    </row>
    <row r="1621" spans="14:23" x14ac:dyDescent="0.2">
      <c r="N1621" t="str">
        <f>IF(OR(Sync!$M1621="",$Q1621="",$Q1621="نامعتبر"),"",Sync!$M1621)</f>
        <v/>
      </c>
      <c r="O1621" t="str">
        <f t="shared" si="139"/>
        <v/>
      </c>
      <c r="P1621" t="str">
        <f>IF($N1621="","",LEFT($Q1621,4)&amp;MID($Q1621,6,2)&amp;RIGHT($Q1621,2)&amp;IF(Sync!$K1621="","0000",IF(AND(ISNUMBER(Sync!$K1621),Sync!$K1621&gt;=0,Sync!$K1621&lt;1),RIGHT("00"&amp;HOUR(Sync!$K1621),2)&amp;RIGHT("00"&amp;MINUTE(Sync!$K1621),2),IFERROR(RIGHT("00"&amp;VALUE(LEFT(Sync!$K1621,FIND(":",Sync!$K1621)-1)),2)&amp;RIGHT("00"&amp;VALUE(MID(Sync!$K1621,FIND(":",Sync!$K1621)+1,2)),2),"0000")))&amp;"|"&amp;"2"&amp;RIGHT("00000"&amp;1616,5))</f>
        <v/>
      </c>
      <c r="Q1621" t="str">
        <f>IF(Sync!$J1621="","",IF(ISNUMBER(Sync!$J1621),IF(AND(Sync!$J1621&gt;=10000101,Sync!$J1621&lt;=99991231),INT(Sync!$J1621/10000)&amp;"/"&amp;RIGHT("00"&amp;INT(MOD(Sync!$J1621,10000)/100),2)&amp;"/"&amp;RIGHT("00"&amp;MOD(Sync!$J1621,100),2),"نامعتبر"),IF(LEN(Sync!$J1621)=10,Sync!$J1621,"نامعتبر")))</f>
        <v/>
      </c>
      <c r="R1621" t="str">
        <f t="shared" si="140"/>
        <v/>
      </c>
      <c r="S1621" t="str">
        <f t="shared" si="141"/>
        <v/>
      </c>
      <c r="T1621" t="str">
        <f>IF($N1621="","",IF(Sync!$N1621="",0,Sync!$N1621))</f>
        <v/>
      </c>
      <c r="U1621" t="str">
        <f>IF($N1621="","",IF(Sync!$O1621="",0,Sync!$O1621))</f>
        <v/>
      </c>
      <c r="V1621" t="str">
        <f>IF($N1621="","",Sync!$L1621)</f>
        <v/>
      </c>
      <c r="W1621" t="str">
        <f>IF($N1621="","",Sync!$P1621)</f>
        <v/>
      </c>
    </row>
    <row r="1622" spans="14:23" x14ac:dyDescent="0.2">
      <c r="N1622" t="str">
        <f>IF(OR(Sync!$M1622="",$Q1622="",$Q1622="نامعتبر"),"",Sync!$M1622)</f>
        <v/>
      </c>
      <c r="O1622" t="str">
        <f t="shared" si="139"/>
        <v/>
      </c>
      <c r="P1622" t="str">
        <f>IF($N1622="","",LEFT($Q1622,4)&amp;MID($Q1622,6,2)&amp;RIGHT($Q1622,2)&amp;IF(Sync!$K1622="","0000",IF(AND(ISNUMBER(Sync!$K1622),Sync!$K1622&gt;=0,Sync!$K1622&lt;1),RIGHT("00"&amp;HOUR(Sync!$K1622),2)&amp;RIGHT("00"&amp;MINUTE(Sync!$K1622),2),IFERROR(RIGHT("00"&amp;VALUE(LEFT(Sync!$K1622,FIND(":",Sync!$K1622)-1)),2)&amp;RIGHT("00"&amp;VALUE(MID(Sync!$K1622,FIND(":",Sync!$K1622)+1,2)),2),"0000")))&amp;"|"&amp;"2"&amp;RIGHT("00000"&amp;1617,5))</f>
        <v/>
      </c>
      <c r="Q1622" t="str">
        <f>IF(Sync!$J1622="","",IF(ISNUMBER(Sync!$J1622),IF(AND(Sync!$J1622&gt;=10000101,Sync!$J1622&lt;=99991231),INT(Sync!$J1622/10000)&amp;"/"&amp;RIGHT("00"&amp;INT(MOD(Sync!$J1622,10000)/100),2)&amp;"/"&amp;RIGHT("00"&amp;MOD(Sync!$J1622,100),2),"نامعتبر"),IF(LEN(Sync!$J1622)=10,Sync!$J1622,"نامعتبر")))</f>
        <v/>
      </c>
      <c r="R1622" t="str">
        <f t="shared" si="140"/>
        <v/>
      </c>
      <c r="S1622" t="str">
        <f t="shared" si="141"/>
        <v/>
      </c>
      <c r="T1622" t="str">
        <f>IF($N1622="","",IF(Sync!$N1622="",0,Sync!$N1622))</f>
        <v/>
      </c>
      <c r="U1622" t="str">
        <f>IF($N1622="","",IF(Sync!$O1622="",0,Sync!$O1622))</f>
        <v/>
      </c>
      <c r="V1622" t="str">
        <f>IF($N1622="","",Sync!$L1622)</f>
        <v/>
      </c>
      <c r="W1622" t="str">
        <f>IF($N1622="","",Sync!$P1622)</f>
        <v/>
      </c>
    </row>
    <row r="1623" spans="14:23" x14ac:dyDescent="0.2">
      <c r="N1623" t="str">
        <f>IF(OR(Sync!$M1623="",$Q1623="",$Q1623="نامعتبر"),"",Sync!$M1623)</f>
        <v/>
      </c>
      <c r="O1623" t="str">
        <f t="shared" si="139"/>
        <v/>
      </c>
      <c r="P1623" t="str">
        <f>IF($N1623="","",LEFT($Q1623,4)&amp;MID($Q1623,6,2)&amp;RIGHT($Q1623,2)&amp;IF(Sync!$K1623="","0000",IF(AND(ISNUMBER(Sync!$K1623),Sync!$K1623&gt;=0,Sync!$K1623&lt;1),RIGHT("00"&amp;HOUR(Sync!$K1623),2)&amp;RIGHT("00"&amp;MINUTE(Sync!$K1623),2),IFERROR(RIGHT("00"&amp;VALUE(LEFT(Sync!$K1623,FIND(":",Sync!$K1623)-1)),2)&amp;RIGHT("00"&amp;VALUE(MID(Sync!$K1623,FIND(":",Sync!$K1623)+1,2)),2),"0000")))&amp;"|"&amp;"2"&amp;RIGHT("00000"&amp;1618,5))</f>
        <v/>
      </c>
      <c r="Q1623" t="str">
        <f>IF(Sync!$J1623="","",IF(ISNUMBER(Sync!$J1623),IF(AND(Sync!$J1623&gt;=10000101,Sync!$J1623&lt;=99991231),INT(Sync!$J1623/10000)&amp;"/"&amp;RIGHT("00"&amp;INT(MOD(Sync!$J1623,10000)/100),2)&amp;"/"&amp;RIGHT("00"&amp;MOD(Sync!$J1623,100),2),"نامعتبر"),IF(LEN(Sync!$J1623)=10,Sync!$J1623,"نامعتبر")))</f>
        <v/>
      </c>
      <c r="R1623" t="str">
        <f t="shared" si="140"/>
        <v/>
      </c>
      <c r="S1623" t="str">
        <f t="shared" si="141"/>
        <v/>
      </c>
      <c r="T1623" t="str">
        <f>IF($N1623="","",IF(Sync!$N1623="",0,Sync!$N1623))</f>
        <v/>
      </c>
      <c r="U1623" t="str">
        <f>IF($N1623="","",IF(Sync!$O1623="",0,Sync!$O1623))</f>
        <v/>
      </c>
      <c r="V1623" t="str">
        <f>IF($N1623="","",Sync!$L1623)</f>
        <v/>
      </c>
      <c r="W1623" t="str">
        <f>IF($N1623="","",Sync!$P1623)</f>
        <v/>
      </c>
    </row>
    <row r="1624" spans="14:23" x14ac:dyDescent="0.2">
      <c r="N1624" t="str">
        <f>IF(OR(Sync!$M1624="",$Q1624="",$Q1624="نامعتبر"),"",Sync!$M1624)</f>
        <v/>
      </c>
      <c r="O1624" t="str">
        <f t="shared" si="139"/>
        <v/>
      </c>
      <c r="P1624" t="str">
        <f>IF($N1624="","",LEFT($Q1624,4)&amp;MID($Q1624,6,2)&amp;RIGHT($Q1624,2)&amp;IF(Sync!$K1624="","0000",IF(AND(ISNUMBER(Sync!$K1624),Sync!$K1624&gt;=0,Sync!$K1624&lt;1),RIGHT("00"&amp;HOUR(Sync!$K1624),2)&amp;RIGHT("00"&amp;MINUTE(Sync!$K1624),2),IFERROR(RIGHT("00"&amp;VALUE(LEFT(Sync!$K1624,FIND(":",Sync!$K1624)-1)),2)&amp;RIGHT("00"&amp;VALUE(MID(Sync!$K1624,FIND(":",Sync!$K1624)+1,2)),2),"0000")))&amp;"|"&amp;"2"&amp;RIGHT("00000"&amp;1619,5))</f>
        <v/>
      </c>
      <c r="Q1624" t="str">
        <f>IF(Sync!$J1624="","",IF(ISNUMBER(Sync!$J1624),IF(AND(Sync!$J1624&gt;=10000101,Sync!$J1624&lt;=99991231),INT(Sync!$J1624/10000)&amp;"/"&amp;RIGHT("00"&amp;INT(MOD(Sync!$J1624,10000)/100),2)&amp;"/"&amp;RIGHT("00"&amp;MOD(Sync!$J1624,100),2),"نامعتبر"),IF(LEN(Sync!$J1624)=10,Sync!$J1624,"نامعتبر")))</f>
        <v/>
      </c>
      <c r="R1624" t="str">
        <f t="shared" si="140"/>
        <v/>
      </c>
      <c r="S1624" t="str">
        <f t="shared" si="141"/>
        <v/>
      </c>
      <c r="T1624" t="str">
        <f>IF($N1624="","",IF(Sync!$N1624="",0,Sync!$N1624))</f>
        <v/>
      </c>
      <c r="U1624" t="str">
        <f>IF($N1624="","",IF(Sync!$O1624="",0,Sync!$O1624))</f>
        <v/>
      </c>
      <c r="V1624" t="str">
        <f>IF($N1624="","",Sync!$L1624)</f>
        <v/>
      </c>
      <c r="W1624" t="str">
        <f>IF($N1624="","",Sync!$P1624)</f>
        <v/>
      </c>
    </row>
    <row r="1625" spans="14:23" x14ac:dyDescent="0.2">
      <c r="N1625" t="str">
        <f>IF(OR(Sync!$M1625="",$Q1625="",$Q1625="نامعتبر"),"",Sync!$M1625)</f>
        <v/>
      </c>
      <c r="O1625" t="str">
        <f t="shared" si="139"/>
        <v/>
      </c>
      <c r="P1625" t="str">
        <f>IF($N1625="","",LEFT($Q1625,4)&amp;MID($Q1625,6,2)&amp;RIGHT($Q1625,2)&amp;IF(Sync!$K1625="","0000",IF(AND(ISNUMBER(Sync!$K1625),Sync!$K1625&gt;=0,Sync!$K1625&lt;1),RIGHT("00"&amp;HOUR(Sync!$K1625),2)&amp;RIGHT("00"&amp;MINUTE(Sync!$K1625),2),IFERROR(RIGHT("00"&amp;VALUE(LEFT(Sync!$K1625,FIND(":",Sync!$K1625)-1)),2)&amp;RIGHT("00"&amp;VALUE(MID(Sync!$K1625,FIND(":",Sync!$K1625)+1,2)),2),"0000")))&amp;"|"&amp;"2"&amp;RIGHT("00000"&amp;1620,5))</f>
        <v/>
      </c>
      <c r="Q1625" t="str">
        <f>IF(Sync!$J1625="","",IF(ISNUMBER(Sync!$J1625),IF(AND(Sync!$J1625&gt;=10000101,Sync!$J1625&lt;=99991231),INT(Sync!$J1625/10000)&amp;"/"&amp;RIGHT("00"&amp;INT(MOD(Sync!$J1625,10000)/100),2)&amp;"/"&amp;RIGHT("00"&amp;MOD(Sync!$J1625,100),2),"نامعتبر"),IF(LEN(Sync!$J1625)=10,Sync!$J1625,"نامعتبر")))</f>
        <v/>
      </c>
      <c r="R1625" t="str">
        <f t="shared" si="140"/>
        <v/>
      </c>
      <c r="S1625" t="str">
        <f t="shared" si="141"/>
        <v/>
      </c>
      <c r="T1625" t="str">
        <f>IF($N1625="","",IF(Sync!$N1625="",0,Sync!$N1625))</f>
        <v/>
      </c>
      <c r="U1625" t="str">
        <f>IF($N1625="","",IF(Sync!$O1625="",0,Sync!$O1625))</f>
        <v/>
      </c>
      <c r="V1625" t="str">
        <f>IF($N1625="","",Sync!$L1625)</f>
        <v/>
      </c>
      <c r="W1625" t="str">
        <f>IF($N1625="","",Sync!$P1625)</f>
        <v/>
      </c>
    </row>
    <row r="1626" spans="14:23" x14ac:dyDescent="0.2">
      <c r="N1626" t="str">
        <f>IF(OR(Sync!$M1626="",$Q1626="",$Q1626="نامعتبر"),"",Sync!$M1626)</f>
        <v/>
      </c>
      <c r="O1626" t="str">
        <f t="shared" si="139"/>
        <v/>
      </c>
      <c r="P1626" t="str">
        <f>IF($N1626="","",LEFT($Q1626,4)&amp;MID($Q1626,6,2)&amp;RIGHT($Q1626,2)&amp;IF(Sync!$K1626="","0000",IF(AND(ISNUMBER(Sync!$K1626),Sync!$K1626&gt;=0,Sync!$K1626&lt;1),RIGHT("00"&amp;HOUR(Sync!$K1626),2)&amp;RIGHT("00"&amp;MINUTE(Sync!$K1626),2),IFERROR(RIGHT("00"&amp;VALUE(LEFT(Sync!$K1626,FIND(":",Sync!$K1626)-1)),2)&amp;RIGHT("00"&amp;VALUE(MID(Sync!$K1626,FIND(":",Sync!$K1626)+1,2)),2),"0000")))&amp;"|"&amp;"2"&amp;RIGHT("00000"&amp;1621,5))</f>
        <v/>
      </c>
      <c r="Q1626" t="str">
        <f>IF(Sync!$J1626="","",IF(ISNUMBER(Sync!$J1626),IF(AND(Sync!$J1626&gt;=10000101,Sync!$J1626&lt;=99991231),INT(Sync!$J1626/10000)&amp;"/"&amp;RIGHT("00"&amp;INT(MOD(Sync!$J1626,10000)/100),2)&amp;"/"&amp;RIGHT("00"&amp;MOD(Sync!$J1626,100),2),"نامعتبر"),IF(LEN(Sync!$J1626)=10,Sync!$J1626,"نامعتبر")))</f>
        <v/>
      </c>
      <c r="R1626" t="str">
        <f t="shared" si="140"/>
        <v/>
      </c>
      <c r="S1626" t="str">
        <f t="shared" si="141"/>
        <v/>
      </c>
      <c r="T1626" t="str">
        <f>IF($N1626="","",IF(Sync!$N1626="",0,Sync!$N1626))</f>
        <v/>
      </c>
      <c r="U1626" t="str">
        <f>IF($N1626="","",IF(Sync!$O1626="",0,Sync!$O1626))</f>
        <v/>
      </c>
      <c r="V1626" t="str">
        <f>IF($N1626="","",Sync!$L1626)</f>
        <v/>
      </c>
      <c r="W1626" t="str">
        <f>IF($N1626="","",Sync!$P1626)</f>
        <v/>
      </c>
    </row>
    <row r="1627" spans="14:23" x14ac:dyDescent="0.2">
      <c r="N1627" t="str">
        <f>IF(OR(Sync!$M1627="",$Q1627="",$Q1627="نامعتبر"),"",Sync!$M1627)</f>
        <v/>
      </c>
      <c r="O1627" t="str">
        <f t="shared" si="139"/>
        <v/>
      </c>
      <c r="P1627" t="str">
        <f>IF($N1627="","",LEFT($Q1627,4)&amp;MID($Q1627,6,2)&amp;RIGHT($Q1627,2)&amp;IF(Sync!$K1627="","0000",IF(AND(ISNUMBER(Sync!$K1627),Sync!$K1627&gt;=0,Sync!$K1627&lt;1),RIGHT("00"&amp;HOUR(Sync!$K1627),2)&amp;RIGHT("00"&amp;MINUTE(Sync!$K1627),2),IFERROR(RIGHT("00"&amp;VALUE(LEFT(Sync!$K1627,FIND(":",Sync!$K1627)-1)),2)&amp;RIGHT("00"&amp;VALUE(MID(Sync!$K1627,FIND(":",Sync!$K1627)+1,2)),2),"0000")))&amp;"|"&amp;"2"&amp;RIGHT("00000"&amp;1622,5))</f>
        <v/>
      </c>
      <c r="Q1627" t="str">
        <f>IF(Sync!$J1627="","",IF(ISNUMBER(Sync!$J1627),IF(AND(Sync!$J1627&gt;=10000101,Sync!$J1627&lt;=99991231),INT(Sync!$J1627/10000)&amp;"/"&amp;RIGHT("00"&amp;INT(MOD(Sync!$J1627,10000)/100),2)&amp;"/"&amp;RIGHT("00"&amp;MOD(Sync!$J1627,100),2),"نامعتبر"),IF(LEN(Sync!$J1627)=10,Sync!$J1627,"نامعتبر")))</f>
        <v/>
      </c>
      <c r="R1627" t="str">
        <f t="shared" si="140"/>
        <v/>
      </c>
      <c r="S1627" t="str">
        <f t="shared" si="141"/>
        <v/>
      </c>
      <c r="T1627" t="str">
        <f>IF($N1627="","",IF(Sync!$N1627="",0,Sync!$N1627))</f>
        <v/>
      </c>
      <c r="U1627" t="str">
        <f>IF($N1627="","",IF(Sync!$O1627="",0,Sync!$O1627))</f>
        <v/>
      </c>
      <c r="V1627" t="str">
        <f>IF($N1627="","",Sync!$L1627)</f>
        <v/>
      </c>
      <c r="W1627" t="str">
        <f>IF($N1627="","",Sync!$P1627)</f>
        <v/>
      </c>
    </row>
    <row r="1628" spans="14:23" x14ac:dyDescent="0.2">
      <c r="N1628" t="str">
        <f>IF(OR(Sync!$M1628="",$Q1628="",$Q1628="نامعتبر"),"",Sync!$M1628)</f>
        <v/>
      </c>
      <c r="O1628" t="str">
        <f t="shared" si="139"/>
        <v/>
      </c>
      <c r="P1628" t="str">
        <f>IF($N1628="","",LEFT($Q1628,4)&amp;MID($Q1628,6,2)&amp;RIGHT($Q1628,2)&amp;IF(Sync!$K1628="","0000",IF(AND(ISNUMBER(Sync!$K1628),Sync!$K1628&gt;=0,Sync!$K1628&lt;1),RIGHT("00"&amp;HOUR(Sync!$K1628),2)&amp;RIGHT("00"&amp;MINUTE(Sync!$K1628),2),IFERROR(RIGHT("00"&amp;VALUE(LEFT(Sync!$K1628,FIND(":",Sync!$K1628)-1)),2)&amp;RIGHT("00"&amp;VALUE(MID(Sync!$K1628,FIND(":",Sync!$K1628)+1,2)),2),"0000")))&amp;"|"&amp;"2"&amp;RIGHT("00000"&amp;1623,5))</f>
        <v/>
      </c>
      <c r="Q1628" t="str">
        <f>IF(Sync!$J1628="","",IF(ISNUMBER(Sync!$J1628),IF(AND(Sync!$J1628&gt;=10000101,Sync!$J1628&lt;=99991231),INT(Sync!$J1628/10000)&amp;"/"&amp;RIGHT("00"&amp;INT(MOD(Sync!$J1628,10000)/100),2)&amp;"/"&amp;RIGHT("00"&amp;MOD(Sync!$J1628,100),2),"نامعتبر"),IF(LEN(Sync!$J1628)=10,Sync!$J1628,"نامعتبر")))</f>
        <v/>
      </c>
      <c r="R1628" t="str">
        <f t="shared" si="140"/>
        <v/>
      </c>
      <c r="S1628" t="str">
        <f t="shared" si="141"/>
        <v/>
      </c>
      <c r="T1628" t="str">
        <f>IF($N1628="","",IF(Sync!$N1628="",0,Sync!$N1628))</f>
        <v/>
      </c>
      <c r="U1628" t="str">
        <f>IF($N1628="","",IF(Sync!$O1628="",0,Sync!$O1628))</f>
        <v/>
      </c>
      <c r="V1628" t="str">
        <f>IF($N1628="","",Sync!$L1628)</f>
        <v/>
      </c>
      <c r="W1628" t="str">
        <f>IF($N1628="","",Sync!$P1628)</f>
        <v/>
      </c>
    </row>
    <row r="1629" spans="14:23" x14ac:dyDescent="0.2">
      <c r="N1629" t="str">
        <f>IF(OR(Sync!$M1629="",$Q1629="",$Q1629="نامعتبر"),"",Sync!$M1629)</f>
        <v/>
      </c>
      <c r="O1629" t="str">
        <f t="shared" si="139"/>
        <v/>
      </c>
      <c r="P1629" t="str">
        <f>IF($N1629="","",LEFT($Q1629,4)&amp;MID($Q1629,6,2)&amp;RIGHT($Q1629,2)&amp;IF(Sync!$K1629="","0000",IF(AND(ISNUMBER(Sync!$K1629),Sync!$K1629&gt;=0,Sync!$K1629&lt;1),RIGHT("00"&amp;HOUR(Sync!$K1629),2)&amp;RIGHT("00"&amp;MINUTE(Sync!$K1629),2),IFERROR(RIGHT("00"&amp;VALUE(LEFT(Sync!$K1629,FIND(":",Sync!$K1629)-1)),2)&amp;RIGHT("00"&amp;VALUE(MID(Sync!$K1629,FIND(":",Sync!$K1629)+1,2)),2),"0000")))&amp;"|"&amp;"2"&amp;RIGHT("00000"&amp;1624,5))</f>
        <v/>
      </c>
      <c r="Q1629" t="str">
        <f>IF(Sync!$J1629="","",IF(ISNUMBER(Sync!$J1629),IF(AND(Sync!$J1629&gt;=10000101,Sync!$J1629&lt;=99991231),INT(Sync!$J1629/10000)&amp;"/"&amp;RIGHT("00"&amp;INT(MOD(Sync!$J1629,10000)/100),2)&amp;"/"&amp;RIGHT("00"&amp;MOD(Sync!$J1629,100),2),"نامعتبر"),IF(LEN(Sync!$J1629)=10,Sync!$J1629,"نامعتبر")))</f>
        <v/>
      </c>
      <c r="R1629" t="str">
        <f t="shared" si="140"/>
        <v/>
      </c>
      <c r="S1629" t="str">
        <f t="shared" si="141"/>
        <v/>
      </c>
      <c r="T1629" t="str">
        <f>IF($N1629="","",IF(Sync!$N1629="",0,Sync!$N1629))</f>
        <v/>
      </c>
      <c r="U1629" t="str">
        <f>IF($N1629="","",IF(Sync!$O1629="",0,Sync!$O1629))</f>
        <v/>
      </c>
      <c r="V1629" t="str">
        <f>IF($N1629="","",Sync!$L1629)</f>
        <v/>
      </c>
      <c r="W1629" t="str">
        <f>IF($N1629="","",Sync!$P1629)</f>
        <v/>
      </c>
    </row>
    <row r="1630" spans="14:23" x14ac:dyDescent="0.2">
      <c r="N1630" t="str">
        <f>IF(OR(Sync!$M1630="",$Q1630="",$Q1630="نامعتبر"),"",Sync!$M1630)</f>
        <v/>
      </c>
      <c r="O1630" t="str">
        <f t="shared" si="139"/>
        <v/>
      </c>
      <c r="P1630" t="str">
        <f>IF($N1630="","",LEFT($Q1630,4)&amp;MID($Q1630,6,2)&amp;RIGHT($Q1630,2)&amp;IF(Sync!$K1630="","0000",IF(AND(ISNUMBER(Sync!$K1630),Sync!$K1630&gt;=0,Sync!$K1630&lt;1),RIGHT("00"&amp;HOUR(Sync!$K1630),2)&amp;RIGHT("00"&amp;MINUTE(Sync!$K1630),2),IFERROR(RIGHT("00"&amp;VALUE(LEFT(Sync!$K1630,FIND(":",Sync!$K1630)-1)),2)&amp;RIGHT("00"&amp;VALUE(MID(Sync!$K1630,FIND(":",Sync!$K1630)+1,2)),2),"0000")))&amp;"|"&amp;"2"&amp;RIGHT("00000"&amp;1625,5))</f>
        <v/>
      </c>
      <c r="Q1630" t="str">
        <f>IF(Sync!$J1630="","",IF(ISNUMBER(Sync!$J1630),IF(AND(Sync!$J1630&gt;=10000101,Sync!$J1630&lt;=99991231),INT(Sync!$J1630/10000)&amp;"/"&amp;RIGHT("00"&amp;INT(MOD(Sync!$J1630,10000)/100),2)&amp;"/"&amp;RIGHT("00"&amp;MOD(Sync!$J1630,100),2),"نامعتبر"),IF(LEN(Sync!$J1630)=10,Sync!$J1630,"نامعتبر")))</f>
        <v/>
      </c>
      <c r="R1630" t="str">
        <f t="shared" si="140"/>
        <v/>
      </c>
      <c r="S1630" t="str">
        <f t="shared" si="141"/>
        <v/>
      </c>
      <c r="T1630" t="str">
        <f>IF($N1630="","",IF(Sync!$N1630="",0,Sync!$N1630))</f>
        <v/>
      </c>
      <c r="U1630" t="str">
        <f>IF($N1630="","",IF(Sync!$O1630="",0,Sync!$O1630))</f>
        <v/>
      </c>
      <c r="V1630" t="str">
        <f>IF($N1630="","",Sync!$L1630)</f>
        <v/>
      </c>
      <c r="W1630" t="str">
        <f>IF($N1630="","",Sync!$P1630)</f>
        <v/>
      </c>
    </row>
    <row r="1631" spans="14:23" x14ac:dyDescent="0.2">
      <c r="N1631" t="str">
        <f>IF(OR(Sync!$M1631="",$Q1631="",$Q1631="نامعتبر"),"",Sync!$M1631)</f>
        <v/>
      </c>
      <c r="O1631" t="str">
        <f t="shared" si="139"/>
        <v/>
      </c>
      <c r="P1631" t="str">
        <f>IF($N1631="","",LEFT($Q1631,4)&amp;MID($Q1631,6,2)&amp;RIGHT($Q1631,2)&amp;IF(Sync!$K1631="","0000",IF(AND(ISNUMBER(Sync!$K1631),Sync!$K1631&gt;=0,Sync!$K1631&lt;1),RIGHT("00"&amp;HOUR(Sync!$K1631),2)&amp;RIGHT("00"&amp;MINUTE(Sync!$K1631),2),IFERROR(RIGHT("00"&amp;VALUE(LEFT(Sync!$K1631,FIND(":",Sync!$K1631)-1)),2)&amp;RIGHT("00"&amp;VALUE(MID(Sync!$K1631,FIND(":",Sync!$K1631)+1,2)),2),"0000")))&amp;"|"&amp;"2"&amp;RIGHT("00000"&amp;1626,5))</f>
        <v/>
      </c>
      <c r="Q1631" t="str">
        <f>IF(Sync!$J1631="","",IF(ISNUMBER(Sync!$J1631),IF(AND(Sync!$J1631&gt;=10000101,Sync!$J1631&lt;=99991231),INT(Sync!$J1631/10000)&amp;"/"&amp;RIGHT("00"&amp;INT(MOD(Sync!$J1631,10000)/100),2)&amp;"/"&amp;RIGHT("00"&amp;MOD(Sync!$J1631,100),2),"نامعتبر"),IF(LEN(Sync!$J1631)=10,Sync!$J1631,"نامعتبر")))</f>
        <v/>
      </c>
      <c r="R1631" t="str">
        <f t="shared" si="140"/>
        <v/>
      </c>
      <c r="S1631" t="str">
        <f t="shared" si="141"/>
        <v/>
      </c>
      <c r="T1631" t="str">
        <f>IF($N1631="","",IF(Sync!$N1631="",0,Sync!$N1631))</f>
        <v/>
      </c>
      <c r="U1631" t="str">
        <f>IF($N1631="","",IF(Sync!$O1631="",0,Sync!$O1631))</f>
        <v/>
      </c>
      <c r="V1631" t="str">
        <f>IF($N1631="","",Sync!$L1631)</f>
        <v/>
      </c>
      <c r="W1631" t="str">
        <f>IF($N1631="","",Sync!$P1631)</f>
        <v/>
      </c>
    </row>
    <row r="1632" spans="14:23" x14ac:dyDescent="0.2">
      <c r="N1632" t="str">
        <f>IF(OR(Sync!$M1632="",$Q1632="",$Q1632="نامعتبر"),"",Sync!$M1632)</f>
        <v/>
      </c>
      <c r="O1632" t="str">
        <f t="shared" si="139"/>
        <v/>
      </c>
      <c r="P1632" t="str">
        <f>IF($N1632="","",LEFT($Q1632,4)&amp;MID($Q1632,6,2)&amp;RIGHT($Q1632,2)&amp;IF(Sync!$K1632="","0000",IF(AND(ISNUMBER(Sync!$K1632),Sync!$K1632&gt;=0,Sync!$K1632&lt;1),RIGHT("00"&amp;HOUR(Sync!$K1632),2)&amp;RIGHT("00"&amp;MINUTE(Sync!$K1632),2),IFERROR(RIGHT("00"&amp;VALUE(LEFT(Sync!$K1632,FIND(":",Sync!$K1632)-1)),2)&amp;RIGHT("00"&amp;VALUE(MID(Sync!$K1632,FIND(":",Sync!$K1632)+1,2)),2),"0000")))&amp;"|"&amp;"2"&amp;RIGHT("00000"&amp;1627,5))</f>
        <v/>
      </c>
      <c r="Q1632" t="str">
        <f>IF(Sync!$J1632="","",IF(ISNUMBER(Sync!$J1632),IF(AND(Sync!$J1632&gt;=10000101,Sync!$J1632&lt;=99991231),INT(Sync!$J1632/10000)&amp;"/"&amp;RIGHT("00"&amp;INT(MOD(Sync!$J1632,10000)/100),2)&amp;"/"&amp;RIGHT("00"&amp;MOD(Sync!$J1632,100),2),"نامعتبر"),IF(LEN(Sync!$J1632)=10,Sync!$J1632,"نامعتبر")))</f>
        <v/>
      </c>
      <c r="R1632" t="str">
        <f t="shared" si="140"/>
        <v/>
      </c>
      <c r="S1632" t="str">
        <f t="shared" si="141"/>
        <v/>
      </c>
      <c r="T1632" t="str">
        <f>IF($N1632="","",IF(Sync!$N1632="",0,Sync!$N1632))</f>
        <v/>
      </c>
      <c r="U1632" t="str">
        <f>IF($N1632="","",IF(Sync!$O1632="",0,Sync!$O1632))</f>
        <v/>
      </c>
      <c r="V1632" t="str">
        <f>IF($N1632="","",Sync!$L1632)</f>
        <v/>
      </c>
      <c r="W1632" t="str">
        <f>IF($N1632="","",Sync!$P1632)</f>
        <v/>
      </c>
    </row>
    <row r="1633" spans="14:23" x14ac:dyDescent="0.2">
      <c r="N1633" t="str">
        <f>IF(OR(Sync!$M1633="",$Q1633="",$Q1633="نامعتبر"),"",Sync!$M1633)</f>
        <v/>
      </c>
      <c r="O1633" t="str">
        <f t="shared" si="139"/>
        <v/>
      </c>
      <c r="P1633" t="str">
        <f>IF($N1633="","",LEFT($Q1633,4)&amp;MID($Q1633,6,2)&amp;RIGHT($Q1633,2)&amp;IF(Sync!$K1633="","0000",IF(AND(ISNUMBER(Sync!$K1633),Sync!$K1633&gt;=0,Sync!$K1633&lt;1),RIGHT("00"&amp;HOUR(Sync!$K1633),2)&amp;RIGHT("00"&amp;MINUTE(Sync!$K1633),2),IFERROR(RIGHT("00"&amp;VALUE(LEFT(Sync!$K1633,FIND(":",Sync!$K1633)-1)),2)&amp;RIGHT("00"&amp;VALUE(MID(Sync!$K1633,FIND(":",Sync!$K1633)+1,2)),2),"0000")))&amp;"|"&amp;"2"&amp;RIGHT("00000"&amp;1628,5))</f>
        <v/>
      </c>
      <c r="Q1633" t="str">
        <f>IF(Sync!$J1633="","",IF(ISNUMBER(Sync!$J1633),IF(AND(Sync!$J1633&gt;=10000101,Sync!$J1633&lt;=99991231),INT(Sync!$J1633/10000)&amp;"/"&amp;RIGHT("00"&amp;INT(MOD(Sync!$J1633,10000)/100),2)&amp;"/"&amp;RIGHT("00"&amp;MOD(Sync!$J1633,100),2),"نامعتبر"),IF(LEN(Sync!$J1633)=10,Sync!$J1633,"نامعتبر")))</f>
        <v/>
      </c>
      <c r="R1633" t="str">
        <f t="shared" si="140"/>
        <v/>
      </c>
      <c r="S1633" t="str">
        <f t="shared" si="141"/>
        <v/>
      </c>
      <c r="T1633" t="str">
        <f>IF($N1633="","",IF(Sync!$N1633="",0,Sync!$N1633))</f>
        <v/>
      </c>
      <c r="U1633" t="str">
        <f>IF($N1633="","",IF(Sync!$O1633="",0,Sync!$O1633))</f>
        <v/>
      </c>
      <c r="V1633" t="str">
        <f>IF($N1633="","",Sync!$L1633)</f>
        <v/>
      </c>
      <c r="W1633" t="str">
        <f>IF($N1633="","",Sync!$P1633)</f>
        <v/>
      </c>
    </row>
    <row r="1634" spans="14:23" x14ac:dyDescent="0.2">
      <c r="N1634" t="str">
        <f>IF(OR(Sync!$M1634="",$Q1634="",$Q1634="نامعتبر"),"",Sync!$M1634)</f>
        <v/>
      </c>
      <c r="O1634" t="str">
        <f t="shared" si="139"/>
        <v/>
      </c>
      <c r="P1634" t="str">
        <f>IF($N1634="","",LEFT($Q1634,4)&amp;MID($Q1634,6,2)&amp;RIGHT($Q1634,2)&amp;IF(Sync!$K1634="","0000",IF(AND(ISNUMBER(Sync!$K1634),Sync!$K1634&gt;=0,Sync!$K1634&lt;1),RIGHT("00"&amp;HOUR(Sync!$K1634),2)&amp;RIGHT("00"&amp;MINUTE(Sync!$K1634),2),IFERROR(RIGHT("00"&amp;VALUE(LEFT(Sync!$K1634,FIND(":",Sync!$K1634)-1)),2)&amp;RIGHT("00"&amp;VALUE(MID(Sync!$K1634,FIND(":",Sync!$K1634)+1,2)),2),"0000")))&amp;"|"&amp;"2"&amp;RIGHT("00000"&amp;1629,5))</f>
        <v/>
      </c>
      <c r="Q1634" t="str">
        <f>IF(Sync!$J1634="","",IF(ISNUMBER(Sync!$J1634),IF(AND(Sync!$J1634&gt;=10000101,Sync!$J1634&lt;=99991231),INT(Sync!$J1634/10000)&amp;"/"&amp;RIGHT("00"&amp;INT(MOD(Sync!$J1634,10000)/100),2)&amp;"/"&amp;RIGHT("00"&amp;MOD(Sync!$J1634,100),2),"نامعتبر"),IF(LEN(Sync!$J1634)=10,Sync!$J1634,"نامعتبر")))</f>
        <v/>
      </c>
      <c r="R1634" t="str">
        <f t="shared" si="140"/>
        <v/>
      </c>
      <c r="S1634" t="str">
        <f t="shared" si="141"/>
        <v/>
      </c>
      <c r="T1634" t="str">
        <f>IF($N1634="","",IF(Sync!$N1634="",0,Sync!$N1634))</f>
        <v/>
      </c>
      <c r="U1634" t="str">
        <f>IF($N1634="","",IF(Sync!$O1634="",0,Sync!$O1634))</f>
        <v/>
      </c>
      <c r="V1634" t="str">
        <f>IF($N1634="","",Sync!$L1634)</f>
        <v/>
      </c>
      <c r="W1634" t="str">
        <f>IF($N1634="","",Sync!$P1634)</f>
        <v/>
      </c>
    </row>
    <row r="1635" spans="14:23" x14ac:dyDescent="0.2">
      <c r="N1635" t="str">
        <f>IF(OR(Sync!$M1635="",$Q1635="",$Q1635="نامعتبر"),"",Sync!$M1635)</f>
        <v/>
      </c>
      <c r="O1635" t="str">
        <f t="shared" si="139"/>
        <v/>
      </c>
      <c r="P1635" t="str">
        <f>IF($N1635="","",LEFT($Q1635,4)&amp;MID($Q1635,6,2)&amp;RIGHT($Q1635,2)&amp;IF(Sync!$K1635="","0000",IF(AND(ISNUMBER(Sync!$K1635),Sync!$K1635&gt;=0,Sync!$K1635&lt;1),RIGHT("00"&amp;HOUR(Sync!$K1635),2)&amp;RIGHT("00"&amp;MINUTE(Sync!$K1635),2),IFERROR(RIGHT("00"&amp;VALUE(LEFT(Sync!$K1635,FIND(":",Sync!$K1635)-1)),2)&amp;RIGHT("00"&amp;VALUE(MID(Sync!$K1635,FIND(":",Sync!$K1635)+1,2)),2),"0000")))&amp;"|"&amp;"2"&amp;RIGHT("00000"&amp;1630,5))</f>
        <v/>
      </c>
      <c r="Q1635" t="str">
        <f>IF(Sync!$J1635="","",IF(ISNUMBER(Sync!$J1635),IF(AND(Sync!$J1635&gt;=10000101,Sync!$J1635&lt;=99991231),INT(Sync!$J1635/10000)&amp;"/"&amp;RIGHT("00"&amp;INT(MOD(Sync!$J1635,10000)/100),2)&amp;"/"&amp;RIGHT("00"&amp;MOD(Sync!$J1635,100),2),"نامعتبر"),IF(LEN(Sync!$J1635)=10,Sync!$J1635,"نامعتبر")))</f>
        <v/>
      </c>
      <c r="R1635" t="str">
        <f t="shared" si="140"/>
        <v/>
      </c>
      <c r="S1635" t="str">
        <f t="shared" si="141"/>
        <v/>
      </c>
      <c r="T1635" t="str">
        <f>IF($N1635="","",IF(Sync!$N1635="",0,Sync!$N1635))</f>
        <v/>
      </c>
      <c r="U1635" t="str">
        <f>IF($N1635="","",IF(Sync!$O1635="",0,Sync!$O1635))</f>
        <v/>
      </c>
      <c r="V1635" t="str">
        <f>IF($N1635="","",Sync!$L1635)</f>
        <v/>
      </c>
      <c r="W1635" t="str">
        <f>IF($N1635="","",Sync!$P1635)</f>
        <v/>
      </c>
    </row>
    <row r="1636" spans="14:23" x14ac:dyDescent="0.2">
      <c r="N1636" t="str">
        <f>IF(OR(Sync!$M1636="",$Q1636="",$Q1636="نامعتبر"),"",Sync!$M1636)</f>
        <v/>
      </c>
      <c r="O1636" t="str">
        <f t="shared" si="139"/>
        <v/>
      </c>
      <c r="P1636" t="str">
        <f>IF($N1636="","",LEFT($Q1636,4)&amp;MID($Q1636,6,2)&amp;RIGHT($Q1636,2)&amp;IF(Sync!$K1636="","0000",IF(AND(ISNUMBER(Sync!$K1636),Sync!$K1636&gt;=0,Sync!$K1636&lt;1),RIGHT("00"&amp;HOUR(Sync!$K1636),2)&amp;RIGHT("00"&amp;MINUTE(Sync!$K1636),2),IFERROR(RIGHT("00"&amp;VALUE(LEFT(Sync!$K1636,FIND(":",Sync!$K1636)-1)),2)&amp;RIGHT("00"&amp;VALUE(MID(Sync!$K1636,FIND(":",Sync!$K1636)+1,2)),2),"0000")))&amp;"|"&amp;"2"&amp;RIGHT("00000"&amp;1631,5))</f>
        <v/>
      </c>
      <c r="Q1636" t="str">
        <f>IF(Sync!$J1636="","",IF(ISNUMBER(Sync!$J1636),IF(AND(Sync!$J1636&gt;=10000101,Sync!$J1636&lt;=99991231),INT(Sync!$J1636/10000)&amp;"/"&amp;RIGHT("00"&amp;INT(MOD(Sync!$J1636,10000)/100),2)&amp;"/"&amp;RIGHT("00"&amp;MOD(Sync!$J1636,100),2),"نامعتبر"),IF(LEN(Sync!$J1636)=10,Sync!$J1636,"نامعتبر")))</f>
        <v/>
      </c>
      <c r="R1636" t="str">
        <f t="shared" si="140"/>
        <v/>
      </c>
      <c r="S1636" t="str">
        <f t="shared" si="141"/>
        <v/>
      </c>
      <c r="T1636" t="str">
        <f>IF($N1636="","",IF(Sync!$N1636="",0,Sync!$N1636))</f>
        <v/>
      </c>
      <c r="U1636" t="str">
        <f>IF($N1636="","",IF(Sync!$O1636="",0,Sync!$O1636))</f>
        <v/>
      </c>
      <c r="V1636" t="str">
        <f>IF($N1636="","",Sync!$L1636)</f>
        <v/>
      </c>
      <c r="W1636" t="str">
        <f>IF($N1636="","",Sync!$P1636)</f>
        <v/>
      </c>
    </row>
    <row r="1637" spans="14:23" x14ac:dyDescent="0.2">
      <c r="N1637" t="str">
        <f>IF(OR(Sync!$M1637="",$Q1637="",$Q1637="نامعتبر"),"",Sync!$M1637)</f>
        <v/>
      </c>
      <c r="O1637" t="str">
        <f t="shared" si="139"/>
        <v/>
      </c>
      <c r="P1637" t="str">
        <f>IF($N1637="","",LEFT($Q1637,4)&amp;MID($Q1637,6,2)&amp;RIGHT($Q1637,2)&amp;IF(Sync!$K1637="","0000",IF(AND(ISNUMBER(Sync!$K1637),Sync!$K1637&gt;=0,Sync!$K1637&lt;1),RIGHT("00"&amp;HOUR(Sync!$K1637),2)&amp;RIGHT("00"&amp;MINUTE(Sync!$K1637),2),IFERROR(RIGHT("00"&amp;VALUE(LEFT(Sync!$K1637,FIND(":",Sync!$K1637)-1)),2)&amp;RIGHT("00"&amp;VALUE(MID(Sync!$K1637,FIND(":",Sync!$K1637)+1,2)),2),"0000")))&amp;"|"&amp;"2"&amp;RIGHT("00000"&amp;1632,5))</f>
        <v/>
      </c>
      <c r="Q1637" t="str">
        <f>IF(Sync!$J1637="","",IF(ISNUMBER(Sync!$J1637),IF(AND(Sync!$J1637&gt;=10000101,Sync!$J1637&lt;=99991231),INT(Sync!$J1637/10000)&amp;"/"&amp;RIGHT("00"&amp;INT(MOD(Sync!$J1637,10000)/100),2)&amp;"/"&amp;RIGHT("00"&amp;MOD(Sync!$J1637,100),2),"نامعتبر"),IF(LEN(Sync!$J1637)=10,Sync!$J1637,"نامعتبر")))</f>
        <v/>
      </c>
      <c r="R1637" t="str">
        <f t="shared" si="140"/>
        <v/>
      </c>
      <c r="S1637" t="str">
        <f t="shared" si="141"/>
        <v/>
      </c>
      <c r="T1637" t="str">
        <f>IF($N1637="","",IF(Sync!$N1637="",0,Sync!$N1637))</f>
        <v/>
      </c>
      <c r="U1637" t="str">
        <f>IF($N1637="","",IF(Sync!$O1637="",0,Sync!$O1637))</f>
        <v/>
      </c>
      <c r="V1637" t="str">
        <f>IF($N1637="","",Sync!$L1637)</f>
        <v/>
      </c>
      <c r="W1637" t="str">
        <f>IF($N1637="","",Sync!$P1637)</f>
        <v/>
      </c>
    </row>
    <row r="1638" spans="14:23" x14ac:dyDescent="0.2">
      <c r="N1638" t="str">
        <f>IF(OR(Sync!$M1638="",$Q1638="",$Q1638="نامعتبر"),"",Sync!$M1638)</f>
        <v/>
      </c>
      <c r="O1638" t="str">
        <f t="shared" si="139"/>
        <v/>
      </c>
      <c r="P1638" t="str">
        <f>IF($N1638="","",LEFT($Q1638,4)&amp;MID($Q1638,6,2)&amp;RIGHT($Q1638,2)&amp;IF(Sync!$K1638="","0000",IF(AND(ISNUMBER(Sync!$K1638),Sync!$K1638&gt;=0,Sync!$K1638&lt;1),RIGHT("00"&amp;HOUR(Sync!$K1638),2)&amp;RIGHT("00"&amp;MINUTE(Sync!$K1638),2),IFERROR(RIGHT("00"&amp;VALUE(LEFT(Sync!$K1638,FIND(":",Sync!$K1638)-1)),2)&amp;RIGHT("00"&amp;VALUE(MID(Sync!$K1638,FIND(":",Sync!$K1638)+1,2)),2),"0000")))&amp;"|"&amp;"2"&amp;RIGHT("00000"&amp;1633,5))</f>
        <v/>
      </c>
      <c r="Q1638" t="str">
        <f>IF(Sync!$J1638="","",IF(ISNUMBER(Sync!$J1638),IF(AND(Sync!$J1638&gt;=10000101,Sync!$J1638&lt;=99991231),INT(Sync!$J1638/10000)&amp;"/"&amp;RIGHT("00"&amp;INT(MOD(Sync!$J1638,10000)/100),2)&amp;"/"&amp;RIGHT("00"&amp;MOD(Sync!$J1638,100),2),"نامعتبر"),IF(LEN(Sync!$J1638)=10,Sync!$J1638,"نامعتبر")))</f>
        <v/>
      </c>
      <c r="R1638" t="str">
        <f t="shared" si="140"/>
        <v/>
      </c>
      <c r="S1638" t="str">
        <f t="shared" si="141"/>
        <v/>
      </c>
      <c r="T1638" t="str">
        <f>IF($N1638="","",IF(Sync!$N1638="",0,Sync!$N1638))</f>
        <v/>
      </c>
      <c r="U1638" t="str">
        <f>IF($N1638="","",IF(Sync!$O1638="",0,Sync!$O1638))</f>
        <v/>
      </c>
      <c r="V1638" t="str">
        <f>IF($N1638="","",Sync!$L1638)</f>
        <v/>
      </c>
      <c r="W1638" t="str">
        <f>IF($N1638="","",Sync!$P1638)</f>
        <v/>
      </c>
    </row>
    <row r="1639" spans="14:23" x14ac:dyDescent="0.2">
      <c r="N1639" t="str">
        <f>IF(OR(Sync!$M1639="",$Q1639="",$Q1639="نامعتبر"),"",Sync!$M1639)</f>
        <v/>
      </c>
      <c r="O1639" t="str">
        <f t="shared" si="139"/>
        <v/>
      </c>
      <c r="P1639" t="str">
        <f>IF($N1639="","",LEFT($Q1639,4)&amp;MID($Q1639,6,2)&amp;RIGHT($Q1639,2)&amp;IF(Sync!$K1639="","0000",IF(AND(ISNUMBER(Sync!$K1639),Sync!$K1639&gt;=0,Sync!$K1639&lt;1),RIGHT("00"&amp;HOUR(Sync!$K1639),2)&amp;RIGHT("00"&amp;MINUTE(Sync!$K1639),2),IFERROR(RIGHT("00"&amp;VALUE(LEFT(Sync!$K1639,FIND(":",Sync!$K1639)-1)),2)&amp;RIGHT("00"&amp;VALUE(MID(Sync!$K1639,FIND(":",Sync!$K1639)+1,2)),2),"0000")))&amp;"|"&amp;"2"&amp;RIGHT("00000"&amp;1634,5))</f>
        <v/>
      </c>
      <c r="Q1639" t="str">
        <f>IF(Sync!$J1639="","",IF(ISNUMBER(Sync!$J1639),IF(AND(Sync!$J1639&gt;=10000101,Sync!$J1639&lt;=99991231),INT(Sync!$J1639/10000)&amp;"/"&amp;RIGHT("00"&amp;INT(MOD(Sync!$J1639,10000)/100),2)&amp;"/"&amp;RIGHT("00"&amp;MOD(Sync!$J1639,100),2),"نامعتبر"),IF(LEN(Sync!$J1639)=10,Sync!$J1639,"نامعتبر")))</f>
        <v/>
      </c>
      <c r="R1639" t="str">
        <f t="shared" si="140"/>
        <v/>
      </c>
      <c r="S1639" t="str">
        <f t="shared" si="141"/>
        <v/>
      </c>
      <c r="T1639" t="str">
        <f>IF($N1639="","",IF(Sync!$N1639="",0,Sync!$N1639))</f>
        <v/>
      </c>
      <c r="U1639" t="str">
        <f>IF($N1639="","",IF(Sync!$O1639="",0,Sync!$O1639))</f>
        <v/>
      </c>
      <c r="V1639" t="str">
        <f>IF($N1639="","",Sync!$L1639)</f>
        <v/>
      </c>
      <c r="W1639" t="str">
        <f>IF($N1639="","",Sync!$P1639)</f>
        <v/>
      </c>
    </row>
    <row r="1640" spans="14:23" x14ac:dyDescent="0.2">
      <c r="N1640" t="str">
        <f>IF(OR(Sync!$M1640="",$Q1640="",$Q1640="نامعتبر"),"",Sync!$M1640)</f>
        <v/>
      </c>
      <c r="O1640" t="str">
        <f t="shared" si="139"/>
        <v/>
      </c>
      <c r="P1640" t="str">
        <f>IF($N1640="","",LEFT($Q1640,4)&amp;MID($Q1640,6,2)&amp;RIGHT($Q1640,2)&amp;IF(Sync!$K1640="","0000",IF(AND(ISNUMBER(Sync!$K1640),Sync!$K1640&gt;=0,Sync!$K1640&lt;1),RIGHT("00"&amp;HOUR(Sync!$K1640),2)&amp;RIGHT("00"&amp;MINUTE(Sync!$K1640),2),IFERROR(RIGHT("00"&amp;VALUE(LEFT(Sync!$K1640,FIND(":",Sync!$K1640)-1)),2)&amp;RIGHT("00"&amp;VALUE(MID(Sync!$K1640,FIND(":",Sync!$K1640)+1,2)),2),"0000")))&amp;"|"&amp;"2"&amp;RIGHT("00000"&amp;1635,5))</f>
        <v/>
      </c>
      <c r="Q1640" t="str">
        <f>IF(Sync!$J1640="","",IF(ISNUMBER(Sync!$J1640),IF(AND(Sync!$J1640&gt;=10000101,Sync!$J1640&lt;=99991231),INT(Sync!$J1640/10000)&amp;"/"&amp;RIGHT("00"&amp;INT(MOD(Sync!$J1640,10000)/100),2)&amp;"/"&amp;RIGHT("00"&amp;MOD(Sync!$J1640,100),2),"نامعتبر"),IF(LEN(Sync!$J1640)=10,Sync!$J1640,"نامعتبر")))</f>
        <v/>
      </c>
      <c r="R1640" t="str">
        <f t="shared" si="140"/>
        <v/>
      </c>
      <c r="S1640" t="str">
        <f t="shared" si="141"/>
        <v/>
      </c>
      <c r="T1640" t="str">
        <f>IF($N1640="","",IF(Sync!$N1640="",0,Sync!$N1640))</f>
        <v/>
      </c>
      <c r="U1640" t="str">
        <f>IF($N1640="","",IF(Sync!$O1640="",0,Sync!$O1640))</f>
        <v/>
      </c>
      <c r="V1640" t="str">
        <f>IF($N1640="","",Sync!$L1640)</f>
        <v/>
      </c>
      <c r="W1640" t="str">
        <f>IF($N1640="","",Sync!$P1640)</f>
        <v/>
      </c>
    </row>
    <row r="1641" spans="14:23" x14ac:dyDescent="0.2">
      <c r="N1641" t="str">
        <f>IF(OR(Sync!$M1641="",$Q1641="",$Q1641="نامعتبر"),"",Sync!$M1641)</f>
        <v/>
      </c>
      <c r="O1641" t="str">
        <f t="shared" si="139"/>
        <v/>
      </c>
      <c r="P1641" t="str">
        <f>IF($N1641="","",LEFT($Q1641,4)&amp;MID($Q1641,6,2)&amp;RIGHT($Q1641,2)&amp;IF(Sync!$K1641="","0000",IF(AND(ISNUMBER(Sync!$K1641),Sync!$K1641&gt;=0,Sync!$K1641&lt;1),RIGHT("00"&amp;HOUR(Sync!$K1641),2)&amp;RIGHT("00"&amp;MINUTE(Sync!$K1641),2),IFERROR(RIGHT("00"&amp;VALUE(LEFT(Sync!$K1641,FIND(":",Sync!$K1641)-1)),2)&amp;RIGHT("00"&amp;VALUE(MID(Sync!$K1641,FIND(":",Sync!$K1641)+1,2)),2),"0000")))&amp;"|"&amp;"2"&amp;RIGHT("00000"&amp;1636,5))</f>
        <v/>
      </c>
      <c r="Q1641" t="str">
        <f>IF(Sync!$J1641="","",IF(ISNUMBER(Sync!$J1641),IF(AND(Sync!$J1641&gt;=10000101,Sync!$J1641&lt;=99991231),INT(Sync!$J1641/10000)&amp;"/"&amp;RIGHT("00"&amp;INT(MOD(Sync!$J1641,10000)/100),2)&amp;"/"&amp;RIGHT("00"&amp;MOD(Sync!$J1641,100),2),"نامعتبر"),IF(LEN(Sync!$J1641)=10,Sync!$J1641,"نامعتبر")))</f>
        <v/>
      </c>
      <c r="R1641" t="str">
        <f t="shared" si="140"/>
        <v/>
      </c>
      <c r="S1641" t="str">
        <f t="shared" si="141"/>
        <v/>
      </c>
      <c r="T1641" t="str">
        <f>IF($N1641="","",IF(Sync!$N1641="",0,Sync!$N1641))</f>
        <v/>
      </c>
      <c r="U1641" t="str">
        <f>IF($N1641="","",IF(Sync!$O1641="",0,Sync!$O1641))</f>
        <v/>
      </c>
      <c r="V1641" t="str">
        <f>IF($N1641="","",Sync!$L1641)</f>
        <v/>
      </c>
      <c r="W1641" t="str">
        <f>IF($N1641="","",Sync!$P1641)</f>
        <v/>
      </c>
    </row>
    <row r="1642" spans="14:23" x14ac:dyDescent="0.2">
      <c r="N1642" t="str">
        <f>IF(OR(Sync!$M1642="",$Q1642="",$Q1642="نامعتبر"),"",Sync!$M1642)</f>
        <v/>
      </c>
      <c r="O1642" t="str">
        <f t="shared" si="139"/>
        <v/>
      </c>
      <c r="P1642" t="str">
        <f>IF($N1642="","",LEFT($Q1642,4)&amp;MID($Q1642,6,2)&amp;RIGHT($Q1642,2)&amp;IF(Sync!$K1642="","0000",IF(AND(ISNUMBER(Sync!$K1642),Sync!$K1642&gt;=0,Sync!$K1642&lt;1),RIGHT("00"&amp;HOUR(Sync!$K1642),2)&amp;RIGHT("00"&amp;MINUTE(Sync!$K1642),2),IFERROR(RIGHT("00"&amp;VALUE(LEFT(Sync!$K1642,FIND(":",Sync!$K1642)-1)),2)&amp;RIGHT("00"&amp;VALUE(MID(Sync!$K1642,FIND(":",Sync!$K1642)+1,2)),2),"0000")))&amp;"|"&amp;"2"&amp;RIGHT("00000"&amp;1637,5))</f>
        <v/>
      </c>
      <c r="Q1642" t="str">
        <f>IF(Sync!$J1642="","",IF(ISNUMBER(Sync!$J1642),IF(AND(Sync!$J1642&gt;=10000101,Sync!$J1642&lt;=99991231),INT(Sync!$J1642/10000)&amp;"/"&amp;RIGHT("00"&amp;INT(MOD(Sync!$J1642,10000)/100),2)&amp;"/"&amp;RIGHT("00"&amp;MOD(Sync!$J1642,100),2),"نامعتبر"),IF(LEN(Sync!$J1642)=10,Sync!$J1642,"نامعتبر")))</f>
        <v/>
      </c>
      <c r="R1642" t="str">
        <f t="shared" si="140"/>
        <v/>
      </c>
      <c r="S1642" t="str">
        <f t="shared" si="141"/>
        <v/>
      </c>
      <c r="T1642" t="str">
        <f>IF($N1642="","",IF(Sync!$N1642="",0,Sync!$N1642))</f>
        <v/>
      </c>
      <c r="U1642" t="str">
        <f>IF($N1642="","",IF(Sync!$O1642="",0,Sync!$O1642))</f>
        <v/>
      </c>
      <c r="V1642" t="str">
        <f>IF($N1642="","",Sync!$L1642)</f>
        <v/>
      </c>
      <c r="W1642" t="str">
        <f>IF($N1642="","",Sync!$P1642)</f>
        <v/>
      </c>
    </row>
    <row r="1643" spans="14:23" x14ac:dyDescent="0.2">
      <c r="N1643" t="str">
        <f>IF(OR(Sync!$M1643="",$Q1643="",$Q1643="نامعتبر"),"",Sync!$M1643)</f>
        <v/>
      </c>
      <c r="O1643" t="str">
        <f t="shared" si="139"/>
        <v/>
      </c>
      <c r="P1643" t="str">
        <f>IF($N1643="","",LEFT($Q1643,4)&amp;MID($Q1643,6,2)&amp;RIGHT($Q1643,2)&amp;IF(Sync!$K1643="","0000",IF(AND(ISNUMBER(Sync!$K1643),Sync!$K1643&gt;=0,Sync!$K1643&lt;1),RIGHT("00"&amp;HOUR(Sync!$K1643),2)&amp;RIGHT("00"&amp;MINUTE(Sync!$K1643),2),IFERROR(RIGHT("00"&amp;VALUE(LEFT(Sync!$K1643,FIND(":",Sync!$K1643)-1)),2)&amp;RIGHT("00"&amp;VALUE(MID(Sync!$K1643,FIND(":",Sync!$K1643)+1,2)),2),"0000")))&amp;"|"&amp;"2"&amp;RIGHT("00000"&amp;1638,5))</f>
        <v/>
      </c>
      <c r="Q1643" t="str">
        <f>IF(Sync!$J1643="","",IF(ISNUMBER(Sync!$J1643),IF(AND(Sync!$J1643&gt;=10000101,Sync!$J1643&lt;=99991231),INT(Sync!$J1643/10000)&amp;"/"&amp;RIGHT("00"&amp;INT(MOD(Sync!$J1643,10000)/100),2)&amp;"/"&amp;RIGHT("00"&amp;MOD(Sync!$J1643,100),2),"نامعتبر"),IF(LEN(Sync!$J1643)=10,Sync!$J1643,"نامعتبر")))</f>
        <v/>
      </c>
      <c r="R1643" t="str">
        <f t="shared" si="140"/>
        <v/>
      </c>
      <c r="S1643" t="str">
        <f t="shared" si="141"/>
        <v/>
      </c>
      <c r="T1643" t="str">
        <f>IF($N1643="","",IF(Sync!$N1643="",0,Sync!$N1643))</f>
        <v/>
      </c>
      <c r="U1643" t="str">
        <f>IF($N1643="","",IF(Sync!$O1643="",0,Sync!$O1643))</f>
        <v/>
      </c>
      <c r="V1643" t="str">
        <f>IF($N1643="","",Sync!$L1643)</f>
        <v/>
      </c>
      <c r="W1643" t="str">
        <f>IF($N1643="","",Sync!$P1643)</f>
        <v/>
      </c>
    </row>
    <row r="1644" spans="14:23" x14ac:dyDescent="0.2">
      <c r="N1644" t="str">
        <f>IF(OR(Sync!$M1644="",$Q1644="",$Q1644="نامعتبر"),"",Sync!$M1644)</f>
        <v/>
      </c>
      <c r="O1644" t="str">
        <f t="shared" si="139"/>
        <v/>
      </c>
      <c r="P1644" t="str">
        <f>IF($N1644="","",LEFT($Q1644,4)&amp;MID($Q1644,6,2)&amp;RIGHT($Q1644,2)&amp;IF(Sync!$K1644="","0000",IF(AND(ISNUMBER(Sync!$K1644),Sync!$K1644&gt;=0,Sync!$K1644&lt;1),RIGHT("00"&amp;HOUR(Sync!$K1644),2)&amp;RIGHT("00"&amp;MINUTE(Sync!$K1644),2),IFERROR(RIGHT("00"&amp;VALUE(LEFT(Sync!$K1644,FIND(":",Sync!$K1644)-1)),2)&amp;RIGHT("00"&amp;VALUE(MID(Sync!$K1644,FIND(":",Sync!$K1644)+1,2)),2),"0000")))&amp;"|"&amp;"2"&amp;RIGHT("00000"&amp;1639,5))</f>
        <v/>
      </c>
      <c r="Q1644" t="str">
        <f>IF(Sync!$J1644="","",IF(ISNUMBER(Sync!$J1644),IF(AND(Sync!$J1644&gt;=10000101,Sync!$J1644&lt;=99991231),INT(Sync!$J1644/10000)&amp;"/"&amp;RIGHT("00"&amp;INT(MOD(Sync!$J1644,10000)/100),2)&amp;"/"&amp;RIGHT("00"&amp;MOD(Sync!$J1644,100),2),"نامعتبر"),IF(LEN(Sync!$J1644)=10,Sync!$J1644,"نامعتبر")))</f>
        <v/>
      </c>
      <c r="R1644" t="str">
        <f t="shared" si="140"/>
        <v/>
      </c>
      <c r="S1644" t="str">
        <f t="shared" si="141"/>
        <v/>
      </c>
      <c r="T1644" t="str">
        <f>IF($N1644="","",IF(Sync!$N1644="",0,Sync!$N1644))</f>
        <v/>
      </c>
      <c r="U1644" t="str">
        <f>IF($N1644="","",IF(Sync!$O1644="",0,Sync!$O1644))</f>
        <v/>
      </c>
      <c r="V1644" t="str">
        <f>IF($N1644="","",Sync!$L1644)</f>
        <v/>
      </c>
      <c r="W1644" t="str">
        <f>IF($N1644="","",Sync!$P1644)</f>
        <v/>
      </c>
    </row>
    <row r="1645" spans="14:23" x14ac:dyDescent="0.2">
      <c r="N1645" t="str">
        <f>IF(OR(Sync!$M1645="",$Q1645="",$Q1645="نامعتبر"),"",Sync!$M1645)</f>
        <v/>
      </c>
      <c r="O1645" t="str">
        <f t="shared" si="139"/>
        <v/>
      </c>
      <c r="P1645" t="str">
        <f>IF($N1645="","",LEFT($Q1645,4)&amp;MID($Q1645,6,2)&amp;RIGHT($Q1645,2)&amp;IF(Sync!$K1645="","0000",IF(AND(ISNUMBER(Sync!$K1645),Sync!$K1645&gt;=0,Sync!$K1645&lt;1),RIGHT("00"&amp;HOUR(Sync!$K1645),2)&amp;RIGHT("00"&amp;MINUTE(Sync!$K1645),2),IFERROR(RIGHT("00"&amp;VALUE(LEFT(Sync!$K1645,FIND(":",Sync!$K1645)-1)),2)&amp;RIGHT("00"&amp;VALUE(MID(Sync!$K1645,FIND(":",Sync!$K1645)+1,2)),2),"0000")))&amp;"|"&amp;"2"&amp;RIGHT("00000"&amp;1640,5))</f>
        <v/>
      </c>
      <c r="Q1645" t="str">
        <f>IF(Sync!$J1645="","",IF(ISNUMBER(Sync!$J1645),IF(AND(Sync!$J1645&gt;=10000101,Sync!$J1645&lt;=99991231),INT(Sync!$J1645/10000)&amp;"/"&amp;RIGHT("00"&amp;INT(MOD(Sync!$J1645,10000)/100),2)&amp;"/"&amp;RIGHT("00"&amp;MOD(Sync!$J1645,100),2),"نامعتبر"),IF(LEN(Sync!$J1645)=10,Sync!$J1645,"نامعتبر")))</f>
        <v/>
      </c>
      <c r="R1645" t="str">
        <f t="shared" si="140"/>
        <v/>
      </c>
      <c r="S1645" t="str">
        <f t="shared" si="141"/>
        <v/>
      </c>
      <c r="T1645" t="str">
        <f>IF($N1645="","",IF(Sync!$N1645="",0,Sync!$N1645))</f>
        <v/>
      </c>
      <c r="U1645" t="str">
        <f>IF($N1645="","",IF(Sync!$O1645="",0,Sync!$O1645))</f>
        <v/>
      </c>
      <c r="V1645" t="str">
        <f>IF($N1645="","",Sync!$L1645)</f>
        <v/>
      </c>
      <c r="W1645" t="str">
        <f>IF($N1645="","",Sync!$P1645)</f>
        <v/>
      </c>
    </row>
    <row r="1646" spans="14:23" x14ac:dyDescent="0.2">
      <c r="N1646" t="str">
        <f>IF(OR(Sync!$M1646="",$Q1646="",$Q1646="نامعتبر"),"",Sync!$M1646)</f>
        <v/>
      </c>
      <c r="O1646" t="str">
        <f t="shared" si="139"/>
        <v/>
      </c>
      <c r="P1646" t="str">
        <f>IF($N1646="","",LEFT($Q1646,4)&amp;MID($Q1646,6,2)&amp;RIGHT($Q1646,2)&amp;IF(Sync!$K1646="","0000",IF(AND(ISNUMBER(Sync!$K1646),Sync!$K1646&gt;=0,Sync!$K1646&lt;1),RIGHT("00"&amp;HOUR(Sync!$K1646),2)&amp;RIGHT("00"&amp;MINUTE(Sync!$K1646),2),IFERROR(RIGHT("00"&amp;VALUE(LEFT(Sync!$K1646,FIND(":",Sync!$K1646)-1)),2)&amp;RIGHT("00"&amp;VALUE(MID(Sync!$K1646,FIND(":",Sync!$K1646)+1,2)),2),"0000")))&amp;"|"&amp;"2"&amp;RIGHT("00000"&amp;1641,5))</f>
        <v/>
      </c>
      <c r="Q1646" t="str">
        <f>IF(Sync!$J1646="","",IF(ISNUMBER(Sync!$J1646),IF(AND(Sync!$J1646&gt;=10000101,Sync!$J1646&lt;=99991231),INT(Sync!$J1646/10000)&amp;"/"&amp;RIGHT("00"&amp;INT(MOD(Sync!$J1646,10000)/100),2)&amp;"/"&amp;RIGHT("00"&amp;MOD(Sync!$J1646,100),2),"نامعتبر"),IF(LEN(Sync!$J1646)=10,Sync!$J1646,"نامعتبر")))</f>
        <v/>
      </c>
      <c r="R1646" t="str">
        <f t="shared" si="140"/>
        <v/>
      </c>
      <c r="S1646" t="str">
        <f t="shared" si="141"/>
        <v/>
      </c>
      <c r="T1646" t="str">
        <f>IF($N1646="","",IF(Sync!$N1646="",0,Sync!$N1646))</f>
        <v/>
      </c>
      <c r="U1646" t="str">
        <f>IF($N1646="","",IF(Sync!$O1646="",0,Sync!$O1646))</f>
        <v/>
      </c>
      <c r="V1646" t="str">
        <f>IF($N1646="","",Sync!$L1646)</f>
        <v/>
      </c>
      <c r="W1646" t="str">
        <f>IF($N1646="","",Sync!$P1646)</f>
        <v/>
      </c>
    </row>
    <row r="1647" spans="14:23" x14ac:dyDescent="0.2">
      <c r="N1647" t="str">
        <f>IF(OR(Sync!$M1647="",$Q1647="",$Q1647="نامعتبر"),"",Sync!$M1647)</f>
        <v/>
      </c>
      <c r="O1647" t="str">
        <f t="shared" si="139"/>
        <v/>
      </c>
      <c r="P1647" t="str">
        <f>IF($N1647="","",LEFT($Q1647,4)&amp;MID($Q1647,6,2)&amp;RIGHT($Q1647,2)&amp;IF(Sync!$K1647="","0000",IF(AND(ISNUMBER(Sync!$K1647),Sync!$K1647&gt;=0,Sync!$K1647&lt;1),RIGHT("00"&amp;HOUR(Sync!$K1647),2)&amp;RIGHT("00"&amp;MINUTE(Sync!$K1647),2),IFERROR(RIGHT("00"&amp;VALUE(LEFT(Sync!$K1647,FIND(":",Sync!$K1647)-1)),2)&amp;RIGHT("00"&amp;VALUE(MID(Sync!$K1647,FIND(":",Sync!$K1647)+1,2)),2),"0000")))&amp;"|"&amp;"2"&amp;RIGHT("00000"&amp;1642,5))</f>
        <v/>
      </c>
      <c r="Q1647" t="str">
        <f>IF(Sync!$J1647="","",IF(ISNUMBER(Sync!$J1647),IF(AND(Sync!$J1647&gt;=10000101,Sync!$J1647&lt;=99991231),INT(Sync!$J1647/10000)&amp;"/"&amp;RIGHT("00"&amp;INT(MOD(Sync!$J1647,10000)/100),2)&amp;"/"&amp;RIGHT("00"&amp;MOD(Sync!$J1647,100),2),"نامعتبر"),IF(LEN(Sync!$J1647)=10,Sync!$J1647,"نامعتبر")))</f>
        <v/>
      </c>
      <c r="R1647" t="str">
        <f t="shared" si="140"/>
        <v/>
      </c>
      <c r="S1647" t="str">
        <f t="shared" si="141"/>
        <v/>
      </c>
      <c r="T1647" t="str">
        <f>IF($N1647="","",IF(Sync!$N1647="",0,Sync!$N1647))</f>
        <v/>
      </c>
      <c r="U1647" t="str">
        <f>IF($N1647="","",IF(Sync!$O1647="",0,Sync!$O1647))</f>
        <v/>
      </c>
      <c r="V1647" t="str">
        <f>IF($N1647="","",Sync!$L1647)</f>
        <v/>
      </c>
      <c r="W1647" t="str">
        <f>IF($N1647="","",Sync!$P1647)</f>
        <v/>
      </c>
    </row>
    <row r="1648" spans="14:23" x14ac:dyDescent="0.2">
      <c r="N1648" t="str">
        <f>IF(OR(Sync!$M1648="",$Q1648="",$Q1648="نامعتبر"),"",Sync!$M1648)</f>
        <v/>
      </c>
      <c r="O1648" t="str">
        <f t="shared" si="139"/>
        <v/>
      </c>
      <c r="P1648" t="str">
        <f>IF($N1648="","",LEFT($Q1648,4)&amp;MID($Q1648,6,2)&amp;RIGHT($Q1648,2)&amp;IF(Sync!$K1648="","0000",IF(AND(ISNUMBER(Sync!$K1648),Sync!$K1648&gt;=0,Sync!$K1648&lt;1),RIGHT("00"&amp;HOUR(Sync!$K1648),2)&amp;RIGHT("00"&amp;MINUTE(Sync!$K1648),2),IFERROR(RIGHT("00"&amp;VALUE(LEFT(Sync!$K1648,FIND(":",Sync!$K1648)-1)),2)&amp;RIGHT("00"&amp;VALUE(MID(Sync!$K1648,FIND(":",Sync!$K1648)+1,2)),2),"0000")))&amp;"|"&amp;"2"&amp;RIGHT("00000"&amp;1643,5))</f>
        <v/>
      </c>
      <c r="Q1648" t="str">
        <f>IF(Sync!$J1648="","",IF(ISNUMBER(Sync!$J1648),IF(AND(Sync!$J1648&gt;=10000101,Sync!$J1648&lt;=99991231),INT(Sync!$J1648/10000)&amp;"/"&amp;RIGHT("00"&amp;INT(MOD(Sync!$J1648,10000)/100),2)&amp;"/"&amp;RIGHT("00"&amp;MOD(Sync!$J1648,100),2),"نامعتبر"),IF(LEN(Sync!$J1648)=10,Sync!$J1648,"نامعتبر")))</f>
        <v/>
      </c>
      <c r="R1648" t="str">
        <f t="shared" si="140"/>
        <v/>
      </c>
      <c r="S1648" t="str">
        <f t="shared" si="141"/>
        <v/>
      </c>
      <c r="T1648" t="str">
        <f>IF($N1648="","",IF(Sync!$N1648="",0,Sync!$N1648))</f>
        <v/>
      </c>
      <c r="U1648" t="str">
        <f>IF($N1648="","",IF(Sync!$O1648="",0,Sync!$O1648))</f>
        <v/>
      </c>
      <c r="V1648" t="str">
        <f>IF($N1648="","",Sync!$L1648)</f>
        <v/>
      </c>
      <c r="W1648" t="str">
        <f>IF($N1648="","",Sync!$P1648)</f>
        <v/>
      </c>
    </row>
    <row r="1649" spans="14:23" x14ac:dyDescent="0.2">
      <c r="N1649" t="str">
        <f>IF(OR(Sync!$M1649="",$Q1649="",$Q1649="نامعتبر"),"",Sync!$M1649)</f>
        <v/>
      </c>
      <c r="O1649" t="str">
        <f t="shared" si="139"/>
        <v/>
      </c>
      <c r="P1649" t="str">
        <f>IF($N1649="","",LEFT($Q1649,4)&amp;MID($Q1649,6,2)&amp;RIGHT($Q1649,2)&amp;IF(Sync!$K1649="","0000",IF(AND(ISNUMBER(Sync!$K1649),Sync!$K1649&gt;=0,Sync!$K1649&lt;1),RIGHT("00"&amp;HOUR(Sync!$K1649),2)&amp;RIGHT("00"&amp;MINUTE(Sync!$K1649),2),IFERROR(RIGHT("00"&amp;VALUE(LEFT(Sync!$K1649,FIND(":",Sync!$K1649)-1)),2)&amp;RIGHT("00"&amp;VALUE(MID(Sync!$K1649,FIND(":",Sync!$K1649)+1,2)),2),"0000")))&amp;"|"&amp;"2"&amp;RIGHT("00000"&amp;1644,5))</f>
        <v/>
      </c>
      <c r="Q1649" t="str">
        <f>IF(Sync!$J1649="","",IF(ISNUMBER(Sync!$J1649),IF(AND(Sync!$J1649&gt;=10000101,Sync!$J1649&lt;=99991231),INT(Sync!$J1649/10000)&amp;"/"&amp;RIGHT("00"&amp;INT(MOD(Sync!$J1649,10000)/100),2)&amp;"/"&amp;RIGHT("00"&amp;MOD(Sync!$J1649,100),2),"نامعتبر"),IF(LEN(Sync!$J1649)=10,Sync!$J1649,"نامعتبر")))</f>
        <v/>
      </c>
      <c r="R1649" t="str">
        <f t="shared" si="140"/>
        <v/>
      </c>
      <c r="S1649" t="str">
        <f t="shared" si="141"/>
        <v/>
      </c>
      <c r="T1649" t="str">
        <f>IF($N1649="","",IF(Sync!$N1649="",0,Sync!$N1649))</f>
        <v/>
      </c>
      <c r="U1649" t="str">
        <f>IF($N1649="","",IF(Sync!$O1649="",0,Sync!$O1649))</f>
        <v/>
      </c>
      <c r="V1649" t="str">
        <f>IF($N1649="","",Sync!$L1649)</f>
        <v/>
      </c>
      <c r="W1649" t="str">
        <f>IF($N1649="","",Sync!$P1649)</f>
        <v/>
      </c>
    </row>
    <row r="1650" spans="14:23" x14ac:dyDescent="0.2">
      <c r="N1650" t="str">
        <f>IF(OR(Sync!$M1650="",$Q1650="",$Q1650="نامعتبر"),"",Sync!$M1650)</f>
        <v/>
      </c>
      <c r="O1650" t="str">
        <f t="shared" si="139"/>
        <v/>
      </c>
      <c r="P1650" t="str">
        <f>IF($N1650="","",LEFT($Q1650,4)&amp;MID($Q1650,6,2)&amp;RIGHT($Q1650,2)&amp;IF(Sync!$K1650="","0000",IF(AND(ISNUMBER(Sync!$K1650),Sync!$K1650&gt;=0,Sync!$K1650&lt;1),RIGHT("00"&amp;HOUR(Sync!$K1650),2)&amp;RIGHT("00"&amp;MINUTE(Sync!$K1650),2),IFERROR(RIGHT("00"&amp;VALUE(LEFT(Sync!$K1650,FIND(":",Sync!$K1650)-1)),2)&amp;RIGHT("00"&amp;VALUE(MID(Sync!$K1650,FIND(":",Sync!$K1650)+1,2)),2),"0000")))&amp;"|"&amp;"2"&amp;RIGHT("00000"&amp;1645,5))</f>
        <v/>
      </c>
      <c r="Q1650" t="str">
        <f>IF(Sync!$J1650="","",IF(ISNUMBER(Sync!$J1650),IF(AND(Sync!$J1650&gt;=10000101,Sync!$J1650&lt;=99991231),INT(Sync!$J1650/10000)&amp;"/"&amp;RIGHT("00"&amp;INT(MOD(Sync!$J1650,10000)/100),2)&amp;"/"&amp;RIGHT("00"&amp;MOD(Sync!$J1650,100),2),"نامعتبر"),IF(LEN(Sync!$J1650)=10,Sync!$J1650,"نامعتبر")))</f>
        <v/>
      </c>
      <c r="R1650" t="str">
        <f t="shared" si="140"/>
        <v/>
      </c>
      <c r="S1650" t="str">
        <f t="shared" si="141"/>
        <v/>
      </c>
      <c r="T1650" t="str">
        <f>IF($N1650="","",IF(Sync!$N1650="",0,Sync!$N1650))</f>
        <v/>
      </c>
      <c r="U1650" t="str">
        <f>IF($N1650="","",IF(Sync!$O1650="",0,Sync!$O1650))</f>
        <v/>
      </c>
      <c r="V1650" t="str">
        <f>IF($N1650="","",Sync!$L1650)</f>
        <v/>
      </c>
      <c r="W1650" t="str">
        <f>IF($N1650="","",Sync!$P1650)</f>
        <v/>
      </c>
    </row>
    <row r="1651" spans="14:23" x14ac:dyDescent="0.2">
      <c r="N1651" t="str">
        <f>IF(OR(Sync!$M1651="",$Q1651="",$Q1651="نامعتبر"),"",Sync!$M1651)</f>
        <v/>
      </c>
      <c r="O1651" t="str">
        <f t="shared" si="139"/>
        <v/>
      </c>
      <c r="P1651" t="str">
        <f>IF($N1651="","",LEFT($Q1651,4)&amp;MID($Q1651,6,2)&amp;RIGHT($Q1651,2)&amp;IF(Sync!$K1651="","0000",IF(AND(ISNUMBER(Sync!$K1651),Sync!$K1651&gt;=0,Sync!$K1651&lt;1),RIGHT("00"&amp;HOUR(Sync!$K1651),2)&amp;RIGHT("00"&amp;MINUTE(Sync!$K1651),2),IFERROR(RIGHT("00"&amp;VALUE(LEFT(Sync!$K1651,FIND(":",Sync!$K1651)-1)),2)&amp;RIGHT("00"&amp;VALUE(MID(Sync!$K1651,FIND(":",Sync!$K1651)+1,2)),2),"0000")))&amp;"|"&amp;"2"&amp;RIGHT("00000"&amp;1646,5))</f>
        <v/>
      </c>
      <c r="Q1651" t="str">
        <f>IF(Sync!$J1651="","",IF(ISNUMBER(Sync!$J1651),IF(AND(Sync!$J1651&gt;=10000101,Sync!$J1651&lt;=99991231),INT(Sync!$J1651/10000)&amp;"/"&amp;RIGHT("00"&amp;INT(MOD(Sync!$J1651,10000)/100),2)&amp;"/"&amp;RIGHT("00"&amp;MOD(Sync!$J1651,100),2),"نامعتبر"),IF(LEN(Sync!$J1651)=10,Sync!$J1651,"نامعتبر")))</f>
        <v/>
      </c>
      <c r="R1651" t="str">
        <f t="shared" si="140"/>
        <v/>
      </c>
      <c r="S1651" t="str">
        <f t="shared" si="141"/>
        <v/>
      </c>
      <c r="T1651" t="str">
        <f>IF($N1651="","",IF(Sync!$N1651="",0,Sync!$N1651))</f>
        <v/>
      </c>
      <c r="U1651" t="str">
        <f>IF($N1651="","",IF(Sync!$O1651="",0,Sync!$O1651))</f>
        <v/>
      </c>
      <c r="V1651" t="str">
        <f>IF($N1651="","",Sync!$L1651)</f>
        <v/>
      </c>
      <c r="W1651" t="str">
        <f>IF($N1651="","",Sync!$P1651)</f>
        <v/>
      </c>
    </row>
    <row r="1652" spans="14:23" x14ac:dyDescent="0.2">
      <c r="N1652" t="str">
        <f>IF(OR(Sync!$M1652="",$Q1652="",$Q1652="نامعتبر"),"",Sync!$M1652)</f>
        <v/>
      </c>
      <c r="O1652" t="str">
        <f t="shared" si="139"/>
        <v/>
      </c>
      <c r="P1652" t="str">
        <f>IF($N1652="","",LEFT($Q1652,4)&amp;MID($Q1652,6,2)&amp;RIGHT($Q1652,2)&amp;IF(Sync!$K1652="","0000",IF(AND(ISNUMBER(Sync!$K1652),Sync!$K1652&gt;=0,Sync!$K1652&lt;1),RIGHT("00"&amp;HOUR(Sync!$K1652),2)&amp;RIGHT("00"&amp;MINUTE(Sync!$K1652),2),IFERROR(RIGHT("00"&amp;VALUE(LEFT(Sync!$K1652,FIND(":",Sync!$K1652)-1)),2)&amp;RIGHT("00"&amp;VALUE(MID(Sync!$K1652,FIND(":",Sync!$K1652)+1,2)),2),"0000")))&amp;"|"&amp;"2"&amp;RIGHT("00000"&amp;1647,5))</f>
        <v/>
      </c>
      <c r="Q1652" t="str">
        <f>IF(Sync!$J1652="","",IF(ISNUMBER(Sync!$J1652),IF(AND(Sync!$J1652&gt;=10000101,Sync!$J1652&lt;=99991231),INT(Sync!$J1652/10000)&amp;"/"&amp;RIGHT("00"&amp;INT(MOD(Sync!$J1652,10000)/100),2)&amp;"/"&amp;RIGHT("00"&amp;MOD(Sync!$J1652,100),2),"نامعتبر"),IF(LEN(Sync!$J1652)=10,Sync!$J1652,"نامعتبر")))</f>
        <v/>
      </c>
      <c r="R1652" t="str">
        <f t="shared" si="140"/>
        <v/>
      </c>
      <c r="S1652" t="str">
        <f t="shared" si="141"/>
        <v/>
      </c>
      <c r="T1652" t="str">
        <f>IF($N1652="","",IF(Sync!$N1652="",0,Sync!$N1652))</f>
        <v/>
      </c>
      <c r="U1652" t="str">
        <f>IF($N1652="","",IF(Sync!$O1652="",0,Sync!$O1652))</f>
        <v/>
      </c>
      <c r="V1652" t="str">
        <f>IF($N1652="","",Sync!$L1652)</f>
        <v/>
      </c>
      <c r="W1652" t="str">
        <f>IF($N1652="","",Sync!$P1652)</f>
        <v/>
      </c>
    </row>
    <row r="1653" spans="14:23" x14ac:dyDescent="0.2">
      <c r="N1653" t="str">
        <f>IF(OR(Sync!$M1653="",$Q1653="",$Q1653="نامعتبر"),"",Sync!$M1653)</f>
        <v/>
      </c>
      <c r="O1653" t="str">
        <f t="shared" si="139"/>
        <v/>
      </c>
      <c r="P1653" t="str">
        <f>IF($N1653="","",LEFT($Q1653,4)&amp;MID($Q1653,6,2)&amp;RIGHT($Q1653,2)&amp;IF(Sync!$K1653="","0000",IF(AND(ISNUMBER(Sync!$K1653),Sync!$K1653&gt;=0,Sync!$K1653&lt;1),RIGHT("00"&amp;HOUR(Sync!$K1653),2)&amp;RIGHT("00"&amp;MINUTE(Sync!$K1653),2),IFERROR(RIGHT("00"&amp;VALUE(LEFT(Sync!$K1653,FIND(":",Sync!$K1653)-1)),2)&amp;RIGHT("00"&amp;VALUE(MID(Sync!$K1653,FIND(":",Sync!$K1653)+1,2)),2),"0000")))&amp;"|"&amp;"2"&amp;RIGHT("00000"&amp;1648,5))</f>
        <v/>
      </c>
      <c r="Q1653" t="str">
        <f>IF(Sync!$J1653="","",IF(ISNUMBER(Sync!$J1653),IF(AND(Sync!$J1653&gt;=10000101,Sync!$J1653&lt;=99991231),INT(Sync!$J1653/10000)&amp;"/"&amp;RIGHT("00"&amp;INT(MOD(Sync!$J1653,10000)/100),2)&amp;"/"&amp;RIGHT("00"&amp;MOD(Sync!$J1653,100),2),"نامعتبر"),IF(LEN(Sync!$J1653)=10,Sync!$J1653,"نامعتبر")))</f>
        <v/>
      </c>
      <c r="R1653" t="str">
        <f t="shared" si="140"/>
        <v/>
      </c>
      <c r="S1653" t="str">
        <f t="shared" si="141"/>
        <v/>
      </c>
      <c r="T1653" t="str">
        <f>IF($N1653="","",IF(Sync!$N1653="",0,Sync!$N1653))</f>
        <v/>
      </c>
      <c r="U1653" t="str">
        <f>IF($N1653="","",IF(Sync!$O1653="",0,Sync!$O1653))</f>
        <v/>
      </c>
      <c r="V1653" t="str">
        <f>IF($N1653="","",Sync!$L1653)</f>
        <v/>
      </c>
      <c r="W1653" t="str">
        <f>IF($N1653="","",Sync!$P1653)</f>
        <v/>
      </c>
    </row>
    <row r="1654" spans="14:23" x14ac:dyDescent="0.2">
      <c r="N1654" t="str">
        <f>IF(OR(Sync!$M1654="",$Q1654="",$Q1654="نامعتبر"),"",Sync!$M1654)</f>
        <v/>
      </c>
      <c r="O1654" t="str">
        <f t="shared" si="139"/>
        <v/>
      </c>
      <c r="P1654" t="str">
        <f>IF($N1654="","",LEFT($Q1654,4)&amp;MID($Q1654,6,2)&amp;RIGHT($Q1654,2)&amp;IF(Sync!$K1654="","0000",IF(AND(ISNUMBER(Sync!$K1654),Sync!$K1654&gt;=0,Sync!$K1654&lt;1),RIGHT("00"&amp;HOUR(Sync!$K1654),2)&amp;RIGHT("00"&amp;MINUTE(Sync!$K1654),2),IFERROR(RIGHT("00"&amp;VALUE(LEFT(Sync!$K1654,FIND(":",Sync!$K1654)-1)),2)&amp;RIGHT("00"&amp;VALUE(MID(Sync!$K1654,FIND(":",Sync!$K1654)+1,2)),2),"0000")))&amp;"|"&amp;"2"&amp;RIGHT("00000"&amp;1649,5))</f>
        <v/>
      </c>
      <c r="Q1654" t="str">
        <f>IF(Sync!$J1654="","",IF(ISNUMBER(Sync!$J1654),IF(AND(Sync!$J1654&gt;=10000101,Sync!$J1654&lt;=99991231),INT(Sync!$J1654/10000)&amp;"/"&amp;RIGHT("00"&amp;INT(MOD(Sync!$J1654,10000)/100),2)&amp;"/"&amp;RIGHT("00"&amp;MOD(Sync!$J1654,100),2),"نامعتبر"),IF(LEN(Sync!$J1654)=10,Sync!$J1654,"نامعتبر")))</f>
        <v/>
      </c>
      <c r="R1654" t="str">
        <f t="shared" si="140"/>
        <v/>
      </c>
      <c r="S1654" t="str">
        <f t="shared" si="141"/>
        <v/>
      </c>
      <c r="T1654" t="str">
        <f>IF($N1654="","",IF(Sync!$N1654="",0,Sync!$N1654))</f>
        <v/>
      </c>
      <c r="U1654" t="str">
        <f>IF($N1654="","",IF(Sync!$O1654="",0,Sync!$O1654))</f>
        <v/>
      </c>
      <c r="V1654" t="str">
        <f>IF($N1654="","",Sync!$L1654)</f>
        <v/>
      </c>
      <c r="W1654" t="str">
        <f>IF($N1654="","",Sync!$P1654)</f>
        <v/>
      </c>
    </row>
    <row r="1655" spans="14:23" x14ac:dyDescent="0.2">
      <c r="N1655" t="str">
        <f>IF(OR(Sync!$M1655="",$Q1655="",$Q1655="نامعتبر"),"",Sync!$M1655)</f>
        <v/>
      </c>
      <c r="O1655" t="str">
        <f t="shared" si="139"/>
        <v/>
      </c>
      <c r="P1655" t="str">
        <f>IF($N1655="","",LEFT($Q1655,4)&amp;MID($Q1655,6,2)&amp;RIGHT($Q1655,2)&amp;IF(Sync!$K1655="","0000",IF(AND(ISNUMBER(Sync!$K1655),Sync!$K1655&gt;=0,Sync!$K1655&lt;1),RIGHT("00"&amp;HOUR(Sync!$K1655),2)&amp;RIGHT("00"&amp;MINUTE(Sync!$K1655),2),IFERROR(RIGHT("00"&amp;VALUE(LEFT(Sync!$K1655,FIND(":",Sync!$K1655)-1)),2)&amp;RIGHT("00"&amp;VALUE(MID(Sync!$K1655,FIND(":",Sync!$K1655)+1,2)),2),"0000")))&amp;"|"&amp;"2"&amp;RIGHT("00000"&amp;1650,5))</f>
        <v/>
      </c>
      <c r="Q1655" t="str">
        <f>IF(Sync!$J1655="","",IF(ISNUMBER(Sync!$J1655),IF(AND(Sync!$J1655&gt;=10000101,Sync!$J1655&lt;=99991231),INT(Sync!$J1655/10000)&amp;"/"&amp;RIGHT("00"&amp;INT(MOD(Sync!$J1655,10000)/100),2)&amp;"/"&amp;RIGHT("00"&amp;MOD(Sync!$J1655,100),2),"نامعتبر"),IF(LEN(Sync!$J1655)=10,Sync!$J1655,"نامعتبر")))</f>
        <v/>
      </c>
      <c r="R1655" t="str">
        <f t="shared" si="140"/>
        <v/>
      </c>
      <c r="S1655" t="str">
        <f t="shared" si="141"/>
        <v/>
      </c>
      <c r="T1655" t="str">
        <f>IF($N1655="","",IF(Sync!$N1655="",0,Sync!$N1655))</f>
        <v/>
      </c>
      <c r="U1655" t="str">
        <f>IF($N1655="","",IF(Sync!$O1655="",0,Sync!$O1655))</f>
        <v/>
      </c>
      <c r="V1655" t="str">
        <f>IF($N1655="","",Sync!$L1655)</f>
        <v/>
      </c>
      <c r="W1655" t="str">
        <f>IF($N1655="","",Sync!$P1655)</f>
        <v/>
      </c>
    </row>
    <row r="1656" spans="14:23" x14ac:dyDescent="0.2">
      <c r="N1656" t="str">
        <f>IF(OR(Sync!$M1656="",$Q1656="",$Q1656="نامعتبر"),"",Sync!$M1656)</f>
        <v/>
      </c>
      <c r="O1656" t="str">
        <f t="shared" si="139"/>
        <v/>
      </c>
      <c r="P1656" t="str">
        <f>IF($N1656="","",LEFT($Q1656,4)&amp;MID($Q1656,6,2)&amp;RIGHT($Q1656,2)&amp;IF(Sync!$K1656="","0000",IF(AND(ISNUMBER(Sync!$K1656),Sync!$K1656&gt;=0,Sync!$K1656&lt;1),RIGHT("00"&amp;HOUR(Sync!$K1656),2)&amp;RIGHT("00"&amp;MINUTE(Sync!$K1656),2),IFERROR(RIGHT("00"&amp;VALUE(LEFT(Sync!$K1656,FIND(":",Sync!$K1656)-1)),2)&amp;RIGHT("00"&amp;VALUE(MID(Sync!$K1656,FIND(":",Sync!$K1656)+1,2)),2),"0000")))&amp;"|"&amp;"2"&amp;RIGHT("00000"&amp;1651,5))</f>
        <v/>
      </c>
      <c r="Q1656" t="str">
        <f>IF(Sync!$J1656="","",IF(ISNUMBER(Sync!$J1656),IF(AND(Sync!$J1656&gt;=10000101,Sync!$J1656&lt;=99991231),INT(Sync!$J1656/10000)&amp;"/"&amp;RIGHT("00"&amp;INT(MOD(Sync!$J1656,10000)/100),2)&amp;"/"&amp;RIGHT("00"&amp;MOD(Sync!$J1656,100),2),"نامعتبر"),IF(LEN(Sync!$J1656)=10,Sync!$J1656,"نامعتبر")))</f>
        <v/>
      </c>
      <c r="R1656" t="str">
        <f t="shared" si="140"/>
        <v/>
      </c>
      <c r="S1656" t="str">
        <f t="shared" si="141"/>
        <v/>
      </c>
      <c r="T1656" t="str">
        <f>IF($N1656="","",IF(Sync!$N1656="",0,Sync!$N1656))</f>
        <v/>
      </c>
      <c r="U1656" t="str">
        <f>IF($N1656="","",IF(Sync!$O1656="",0,Sync!$O1656))</f>
        <v/>
      </c>
      <c r="V1656" t="str">
        <f>IF($N1656="","",Sync!$L1656)</f>
        <v/>
      </c>
      <c r="W1656" t="str">
        <f>IF($N1656="","",Sync!$P1656)</f>
        <v/>
      </c>
    </row>
    <row r="1657" spans="14:23" x14ac:dyDescent="0.2">
      <c r="N1657" t="str">
        <f>IF(OR(Sync!$M1657="",$Q1657="",$Q1657="نامعتبر"),"",Sync!$M1657)</f>
        <v/>
      </c>
      <c r="O1657" t="str">
        <f t="shared" si="139"/>
        <v/>
      </c>
      <c r="P1657" t="str">
        <f>IF($N1657="","",LEFT($Q1657,4)&amp;MID($Q1657,6,2)&amp;RIGHT($Q1657,2)&amp;IF(Sync!$K1657="","0000",IF(AND(ISNUMBER(Sync!$K1657),Sync!$K1657&gt;=0,Sync!$K1657&lt;1),RIGHT("00"&amp;HOUR(Sync!$K1657),2)&amp;RIGHT("00"&amp;MINUTE(Sync!$K1657),2),IFERROR(RIGHT("00"&amp;VALUE(LEFT(Sync!$K1657,FIND(":",Sync!$K1657)-1)),2)&amp;RIGHT("00"&amp;VALUE(MID(Sync!$K1657,FIND(":",Sync!$K1657)+1,2)),2),"0000")))&amp;"|"&amp;"2"&amp;RIGHT("00000"&amp;1652,5))</f>
        <v/>
      </c>
      <c r="Q1657" t="str">
        <f>IF(Sync!$J1657="","",IF(ISNUMBER(Sync!$J1657),IF(AND(Sync!$J1657&gt;=10000101,Sync!$J1657&lt;=99991231),INT(Sync!$J1657/10000)&amp;"/"&amp;RIGHT("00"&amp;INT(MOD(Sync!$J1657,10000)/100),2)&amp;"/"&amp;RIGHT("00"&amp;MOD(Sync!$J1657,100),2),"نامعتبر"),IF(LEN(Sync!$J1657)=10,Sync!$J1657,"نامعتبر")))</f>
        <v/>
      </c>
      <c r="R1657" t="str">
        <f t="shared" si="140"/>
        <v/>
      </c>
      <c r="S1657" t="str">
        <f t="shared" si="141"/>
        <v/>
      </c>
      <c r="T1657" t="str">
        <f>IF($N1657="","",IF(Sync!$N1657="",0,Sync!$N1657))</f>
        <v/>
      </c>
      <c r="U1657" t="str">
        <f>IF($N1657="","",IF(Sync!$O1657="",0,Sync!$O1657))</f>
        <v/>
      </c>
      <c r="V1657" t="str">
        <f>IF($N1657="","",Sync!$L1657)</f>
        <v/>
      </c>
      <c r="W1657" t="str">
        <f>IF($N1657="","",Sync!$P1657)</f>
        <v/>
      </c>
    </row>
    <row r="1658" spans="14:23" x14ac:dyDescent="0.2">
      <c r="N1658" t="str">
        <f>IF(OR(Sync!$M1658="",$Q1658="",$Q1658="نامعتبر"),"",Sync!$M1658)</f>
        <v/>
      </c>
      <c r="O1658" t="str">
        <f t="shared" si="139"/>
        <v/>
      </c>
      <c r="P1658" t="str">
        <f>IF($N1658="","",LEFT($Q1658,4)&amp;MID($Q1658,6,2)&amp;RIGHT($Q1658,2)&amp;IF(Sync!$K1658="","0000",IF(AND(ISNUMBER(Sync!$K1658),Sync!$K1658&gt;=0,Sync!$K1658&lt;1),RIGHT("00"&amp;HOUR(Sync!$K1658),2)&amp;RIGHT("00"&amp;MINUTE(Sync!$K1658),2),IFERROR(RIGHT("00"&amp;VALUE(LEFT(Sync!$K1658,FIND(":",Sync!$K1658)-1)),2)&amp;RIGHT("00"&amp;VALUE(MID(Sync!$K1658,FIND(":",Sync!$K1658)+1,2)),2),"0000")))&amp;"|"&amp;"2"&amp;RIGHT("00000"&amp;1653,5))</f>
        <v/>
      </c>
      <c r="Q1658" t="str">
        <f>IF(Sync!$J1658="","",IF(ISNUMBER(Sync!$J1658),IF(AND(Sync!$J1658&gt;=10000101,Sync!$J1658&lt;=99991231),INT(Sync!$J1658/10000)&amp;"/"&amp;RIGHT("00"&amp;INT(MOD(Sync!$J1658,10000)/100),2)&amp;"/"&amp;RIGHT("00"&amp;MOD(Sync!$J1658,100),2),"نامعتبر"),IF(LEN(Sync!$J1658)=10,Sync!$J1658,"نامعتبر")))</f>
        <v/>
      </c>
      <c r="R1658" t="str">
        <f t="shared" si="140"/>
        <v/>
      </c>
      <c r="S1658" t="str">
        <f t="shared" si="141"/>
        <v/>
      </c>
      <c r="T1658" t="str">
        <f>IF($N1658="","",IF(Sync!$N1658="",0,Sync!$N1658))</f>
        <v/>
      </c>
      <c r="U1658" t="str">
        <f>IF($N1658="","",IF(Sync!$O1658="",0,Sync!$O1658))</f>
        <v/>
      </c>
      <c r="V1658" t="str">
        <f>IF($N1658="","",Sync!$L1658)</f>
        <v/>
      </c>
      <c r="W1658" t="str">
        <f>IF($N1658="","",Sync!$P1658)</f>
        <v/>
      </c>
    </row>
    <row r="1659" spans="14:23" x14ac:dyDescent="0.2">
      <c r="N1659" t="str">
        <f>IF(OR(Sync!$M1659="",$Q1659="",$Q1659="نامعتبر"),"",Sync!$M1659)</f>
        <v/>
      </c>
      <c r="O1659" t="str">
        <f t="shared" si="139"/>
        <v/>
      </c>
      <c r="P1659" t="str">
        <f>IF($N1659="","",LEFT($Q1659,4)&amp;MID($Q1659,6,2)&amp;RIGHT($Q1659,2)&amp;IF(Sync!$K1659="","0000",IF(AND(ISNUMBER(Sync!$K1659),Sync!$K1659&gt;=0,Sync!$K1659&lt;1),RIGHT("00"&amp;HOUR(Sync!$K1659),2)&amp;RIGHT("00"&amp;MINUTE(Sync!$K1659),2),IFERROR(RIGHT("00"&amp;VALUE(LEFT(Sync!$K1659,FIND(":",Sync!$K1659)-1)),2)&amp;RIGHT("00"&amp;VALUE(MID(Sync!$K1659,FIND(":",Sync!$K1659)+1,2)),2),"0000")))&amp;"|"&amp;"2"&amp;RIGHT("00000"&amp;1654,5))</f>
        <v/>
      </c>
      <c r="Q1659" t="str">
        <f>IF(Sync!$J1659="","",IF(ISNUMBER(Sync!$J1659),IF(AND(Sync!$J1659&gt;=10000101,Sync!$J1659&lt;=99991231),INT(Sync!$J1659/10000)&amp;"/"&amp;RIGHT("00"&amp;INT(MOD(Sync!$J1659,10000)/100),2)&amp;"/"&amp;RIGHT("00"&amp;MOD(Sync!$J1659,100),2),"نامعتبر"),IF(LEN(Sync!$J1659)=10,Sync!$J1659,"نامعتبر")))</f>
        <v/>
      </c>
      <c r="R1659" t="str">
        <f t="shared" si="140"/>
        <v/>
      </c>
      <c r="S1659" t="str">
        <f t="shared" si="141"/>
        <v/>
      </c>
      <c r="T1659" t="str">
        <f>IF($N1659="","",IF(Sync!$N1659="",0,Sync!$N1659))</f>
        <v/>
      </c>
      <c r="U1659" t="str">
        <f>IF($N1659="","",IF(Sync!$O1659="",0,Sync!$O1659))</f>
        <v/>
      </c>
      <c r="V1659" t="str">
        <f>IF($N1659="","",Sync!$L1659)</f>
        <v/>
      </c>
      <c r="W1659" t="str">
        <f>IF($N1659="","",Sync!$P1659)</f>
        <v/>
      </c>
    </row>
    <row r="1660" spans="14:23" x14ac:dyDescent="0.2">
      <c r="N1660" t="str">
        <f>IF(OR(Sync!$M1660="",$Q1660="",$Q1660="نامعتبر"),"",Sync!$M1660)</f>
        <v/>
      </c>
      <c r="O1660" t="str">
        <f t="shared" si="139"/>
        <v/>
      </c>
      <c r="P1660" t="str">
        <f>IF($N1660="","",LEFT($Q1660,4)&amp;MID($Q1660,6,2)&amp;RIGHT($Q1660,2)&amp;IF(Sync!$K1660="","0000",IF(AND(ISNUMBER(Sync!$K1660),Sync!$K1660&gt;=0,Sync!$K1660&lt;1),RIGHT("00"&amp;HOUR(Sync!$K1660),2)&amp;RIGHT("00"&amp;MINUTE(Sync!$K1660),2),IFERROR(RIGHT("00"&amp;VALUE(LEFT(Sync!$K1660,FIND(":",Sync!$K1660)-1)),2)&amp;RIGHT("00"&amp;VALUE(MID(Sync!$K1660,FIND(":",Sync!$K1660)+1,2)),2),"0000")))&amp;"|"&amp;"2"&amp;RIGHT("00000"&amp;1655,5))</f>
        <v/>
      </c>
      <c r="Q1660" t="str">
        <f>IF(Sync!$J1660="","",IF(ISNUMBER(Sync!$J1660),IF(AND(Sync!$J1660&gt;=10000101,Sync!$J1660&lt;=99991231),INT(Sync!$J1660/10000)&amp;"/"&amp;RIGHT("00"&amp;INT(MOD(Sync!$J1660,10000)/100),2)&amp;"/"&amp;RIGHT("00"&amp;MOD(Sync!$J1660,100),2),"نامعتبر"),IF(LEN(Sync!$J1660)=10,Sync!$J1660,"نامعتبر")))</f>
        <v/>
      </c>
      <c r="R1660" t="str">
        <f t="shared" si="140"/>
        <v/>
      </c>
      <c r="S1660" t="str">
        <f t="shared" si="141"/>
        <v/>
      </c>
      <c r="T1660" t="str">
        <f>IF($N1660="","",IF(Sync!$N1660="",0,Sync!$N1660))</f>
        <v/>
      </c>
      <c r="U1660" t="str">
        <f>IF($N1660="","",IF(Sync!$O1660="",0,Sync!$O1660))</f>
        <v/>
      </c>
      <c r="V1660" t="str">
        <f>IF($N1660="","",Sync!$L1660)</f>
        <v/>
      </c>
      <c r="W1660" t="str">
        <f>IF($N1660="","",Sync!$P1660)</f>
        <v/>
      </c>
    </row>
    <row r="1661" spans="14:23" x14ac:dyDescent="0.2">
      <c r="N1661" t="str">
        <f>IF(OR(Sync!$M1661="",$Q1661="",$Q1661="نامعتبر"),"",Sync!$M1661)</f>
        <v/>
      </c>
      <c r="O1661" t="str">
        <f t="shared" si="139"/>
        <v/>
      </c>
      <c r="P1661" t="str">
        <f>IF($N1661="","",LEFT($Q1661,4)&amp;MID($Q1661,6,2)&amp;RIGHT($Q1661,2)&amp;IF(Sync!$K1661="","0000",IF(AND(ISNUMBER(Sync!$K1661),Sync!$K1661&gt;=0,Sync!$K1661&lt;1),RIGHT("00"&amp;HOUR(Sync!$K1661),2)&amp;RIGHT("00"&amp;MINUTE(Sync!$K1661),2),IFERROR(RIGHT("00"&amp;VALUE(LEFT(Sync!$K1661,FIND(":",Sync!$K1661)-1)),2)&amp;RIGHT("00"&amp;VALUE(MID(Sync!$K1661,FIND(":",Sync!$K1661)+1,2)),2),"0000")))&amp;"|"&amp;"2"&amp;RIGHT("00000"&amp;1656,5))</f>
        <v/>
      </c>
      <c r="Q1661" t="str">
        <f>IF(Sync!$J1661="","",IF(ISNUMBER(Sync!$J1661),IF(AND(Sync!$J1661&gt;=10000101,Sync!$J1661&lt;=99991231),INT(Sync!$J1661/10000)&amp;"/"&amp;RIGHT("00"&amp;INT(MOD(Sync!$J1661,10000)/100),2)&amp;"/"&amp;RIGHT("00"&amp;MOD(Sync!$J1661,100),2),"نامعتبر"),IF(LEN(Sync!$J1661)=10,Sync!$J1661,"نامعتبر")))</f>
        <v/>
      </c>
      <c r="R1661" t="str">
        <f t="shared" si="140"/>
        <v/>
      </c>
      <c r="S1661" t="str">
        <f t="shared" si="141"/>
        <v/>
      </c>
      <c r="T1661" t="str">
        <f>IF($N1661="","",IF(Sync!$N1661="",0,Sync!$N1661))</f>
        <v/>
      </c>
      <c r="U1661" t="str">
        <f>IF($N1661="","",IF(Sync!$O1661="",0,Sync!$O1661))</f>
        <v/>
      </c>
      <c r="V1661" t="str">
        <f>IF($N1661="","",Sync!$L1661)</f>
        <v/>
      </c>
      <c r="W1661" t="str">
        <f>IF($N1661="","",Sync!$P1661)</f>
        <v/>
      </c>
    </row>
    <row r="1662" spans="14:23" x14ac:dyDescent="0.2">
      <c r="N1662" t="str">
        <f>IF(OR(Sync!$M1662="",$Q1662="",$Q1662="نامعتبر"),"",Sync!$M1662)</f>
        <v/>
      </c>
      <c r="O1662" t="str">
        <f t="shared" si="139"/>
        <v/>
      </c>
      <c r="P1662" t="str">
        <f>IF($N1662="","",LEFT($Q1662,4)&amp;MID($Q1662,6,2)&amp;RIGHT($Q1662,2)&amp;IF(Sync!$K1662="","0000",IF(AND(ISNUMBER(Sync!$K1662),Sync!$K1662&gt;=0,Sync!$K1662&lt;1),RIGHT("00"&amp;HOUR(Sync!$K1662),2)&amp;RIGHT("00"&amp;MINUTE(Sync!$K1662),2),IFERROR(RIGHT("00"&amp;VALUE(LEFT(Sync!$K1662,FIND(":",Sync!$K1662)-1)),2)&amp;RIGHT("00"&amp;VALUE(MID(Sync!$K1662,FIND(":",Sync!$K1662)+1,2)),2),"0000")))&amp;"|"&amp;"2"&amp;RIGHT("00000"&amp;1657,5))</f>
        <v/>
      </c>
      <c r="Q1662" t="str">
        <f>IF(Sync!$J1662="","",IF(ISNUMBER(Sync!$J1662),IF(AND(Sync!$J1662&gt;=10000101,Sync!$J1662&lt;=99991231),INT(Sync!$J1662/10000)&amp;"/"&amp;RIGHT("00"&amp;INT(MOD(Sync!$J1662,10000)/100),2)&amp;"/"&amp;RIGHT("00"&amp;MOD(Sync!$J1662,100),2),"نامعتبر"),IF(LEN(Sync!$J1662)=10,Sync!$J1662,"نامعتبر")))</f>
        <v/>
      </c>
      <c r="R1662" t="str">
        <f t="shared" si="140"/>
        <v/>
      </c>
      <c r="S1662" t="str">
        <f t="shared" si="141"/>
        <v/>
      </c>
      <c r="T1662" t="str">
        <f>IF($N1662="","",IF(Sync!$N1662="",0,Sync!$N1662))</f>
        <v/>
      </c>
      <c r="U1662" t="str">
        <f>IF($N1662="","",IF(Sync!$O1662="",0,Sync!$O1662))</f>
        <v/>
      </c>
      <c r="V1662" t="str">
        <f>IF($N1662="","",Sync!$L1662)</f>
        <v/>
      </c>
      <c r="W1662" t="str">
        <f>IF($N1662="","",Sync!$P1662)</f>
        <v/>
      </c>
    </row>
    <row r="1663" spans="14:23" x14ac:dyDescent="0.2">
      <c r="N1663" t="str">
        <f>IF(OR(Sync!$M1663="",$Q1663="",$Q1663="نامعتبر"),"",Sync!$M1663)</f>
        <v/>
      </c>
      <c r="O1663" t="str">
        <f t="shared" si="139"/>
        <v/>
      </c>
      <c r="P1663" t="str">
        <f>IF($N1663="","",LEFT($Q1663,4)&amp;MID($Q1663,6,2)&amp;RIGHT($Q1663,2)&amp;IF(Sync!$K1663="","0000",IF(AND(ISNUMBER(Sync!$K1663),Sync!$K1663&gt;=0,Sync!$K1663&lt;1),RIGHT("00"&amp;HOUR(Sync!$K1663),2)&amp;RIGHT("00"&amp;MINUTE(Sync!$K1663),2),IFERROR(RIGHT("00"&amp;VALUE(LEFT(Sync!$K1663,FIND(":",Sync!$K1663)-1)),2)&amp;RIGHT("00"&amp;VALUE(MID(Sync!$K1663,FIND(":",Sync!$K1663)+1,2)),2),"0000")))&amp;"|"&amp;"2"&amp;RIGHT("00000"&amp;1658,5))</f>
        <v/>
      </c>
      <c r="Q1663" t="str">
        <f>IF(Sync!$J1663="","",IF(ISNUMBER(Sync!$J1663),IF(AND(Sync!$J1663&gt;=10000101,Sync!$J1663&lt;=99991231),INT(Sync!$J1663/10000)&amp;"/"&amp;RIGHT("00"&amp;INT(MOD(Sync!$J1663,10000)/100),2)&amp;"/"&amp;RIGHT("00"&amp;MOD(Sync!$J1663,100),2),"نامعتبر"),IF(LEN(Sync!$J1663)=10,Sync!$J1663,"نامعتبر")))</f>
        <v/>
      </c>
      <c r="R1663" t="str">
        <f t="shared" si="140"/>
        <v/>
      </c>
      <c r="S1663" t="str">
        <f t="shared" si="141"/>
        <v/>
      </c>
      <c r="T1663" t="str">
        <f>IF($N1663="","",IF(Sync!$N1663="",0,Sync!$N1663))</f>
        <v/>
      </c>
      <c r="U1663" t="str">
        <f>IF($N1663="","",IF(Sync!$O1663="",0,Sync!$O1663))</f>
        <v/>
      </c>
      <c r="V1663" t="str">
        <f>IF($N1663="","",Sync!$L1663)</f>
        <v/>
      </c>
      <c r="W1663" t="str">
        <f>IF($N1663="","",Sync!$P1663)</f>
        <v/>
      </c>
    </row>
    <row r="1664" spans="14:23" x14ac:dyDescent="0.2">
      <c r="N1664" t="str">
        <f>IF(OR(Sync!$M1664="",$Q1664="",$Q1664="نامعتبر"),"",Sync!$M1664)</f>
        <v/>
      </c>
      <c r="O1664" t="str">
        <f t="shared" si="139"/>
        <v/>
      </c>
      <c r="P1664" t="str">
        <f>IF($N1664="","",LEFT($Q1664,4)&amp;MID($Q1664,6,2)&amp;RIGHT($Q1664,2)&amp;IF(Sync!$K1664="","0000",IF(AND(ISNUMBER(Sync!$K1664),Sync!$K1664&gt;=0,Sync!$K1664&lt;1),RIGHT("00"&amp;HOUR(Sync!$K1664),2)&amp;RIGHT("00"&amp;MINUTE(Sync!$K1664),2),IFERROR(RIGHT("00"&amp;VALUE(LEFT(Sync!$K1664,FIND(":",Sync!$K1664)-1)),2)&amp;RIGHT("00"&amp;VALUE(MID(Sync!$K1664,FIND(":",Sync!$K1664)+1,2)),2),"0000")))&amp;"|"&amp;"2"&amp;RIGHT("00000"&amp;1659,5))</f>
        <v/>
      </c>
      <c r="Q1664" t="str">
        <f>IF(Sync!$J1664="","",IF(ISNUMBER(Sync!$J1664),IF(AND(Sync!$J1664&gt;=10000101,Sync!$J1664&lt;=99991231),INT(Sync!$J1664/10000)&amp;"/"&amp;RIGHT("00"&amp;INT(MOD(Sync!$J1664,10000)/100),2)&amp;"/"&amp;RIGHT("00"&amp;MOD(Sync!$J1664,100),2),"نامعتبر"),IF(LEN(Sync!$J1664)=10,Sync!$J1664,"نامعتبر")))</f>
        <v/>
      </c>
      <c r="R1664" t="str">
        <f t="shared" si="140"/>
        <v/>
      </c>
      <c r="S1664" t="str">
        <f t="shared" si="141"/>
        <v/>
      </c>
      <c r="T1664" t="str">
        <f>IF($N1664="","",IF(Sync!$N1664="",0,Sync!$N1664))</f>
        <v/>
      </c>
      <c r="U1664" t="str">
        <f>IF($N1664="","",IF(Sync!$O1664="",0,Sync!$O1664))</f>
        <v/>
      </c>
      <c r="V1664" t="str">
        <f>IF($N1664="","",Sync!$L1664)</f>
        <v/>
      </c>
      <c r="W1664" t="str">
        <f>IF($N1664="","",Sync!$P1664)</f>
        <v/>
      </c>
    </row>
    <row r="1665" spans="14:23" x14ac:dyDescent="0.2">
      <c r="N1665" t="str">
        <f>IF(OR(Sync!$M1665="",$Q1665="",$Q1665="نامعتبر"),"",Sync!$M1665)</f>
        <v/>
      </c>
      <c r="O1665" t="str">
        <f t="shared" si="139"/>
        <v/>
      </c>
      <c r="P1665" t="str">
        <f>IF($N1665="","",LEFT($Q1665,4)&amp;MID($Q1665,6,2)&amp;RIGHT($Q1665,2)&amp;IF(Sync!$K1665="","0000",IF(AND(ISNUMBER(Sync!$K1665),Sync!$K1665&gt;=0,Sync!$K1665&lt;1),RIGHT("00"&amp;HOUR(Sync!$K1665),2)&amp;RIGHT("00"&amp;MINUTE(Sync!$K1665),2),IFERROR(RIGHT("00"&amp;VALUE(LEFT(Sync!$K1665,FIND(":",Sync!$K1665)-1)),2)&amp;RIGHT("00"&amp;VALUE(MID(Sync!$K1665,FIND(":",Sync!$K1665)+1,2)),2),"0000")))&amp;"|"&amp;"2"&amp;RIGHT("00000"&amp;1660,5))</f>
        <v/>
      </c>
      <c r="Q1665" t="str">
        <f>IF(Sync!$J1665="","",IF(ISNUMBER(Sync!$J1665),IF(AND(Sync!$J1665&gt;=10000101,Sync!$J1665&lt;=99991231),INT(Sync!$J1665/10000)&amp;"/"&amp;RIGHT("00"&amp;INT(MOD(Sync!$J1665,10000)/100),2)&amp;"/"&amp;RIGHT("00"&amp;MOD(Sync!$J1665,100),2),"نامعتبر"),IF(LEN(Sync!$J1665)=10,Sync!$J1665,"نامعتبر")))</f>
        <v/>
      </c>
      <c r="R1665" t="str">
        <f t="shared" si="140"/>
        <v/>
      </c>
      <c r="S1665" t="str">
        <f t="shared" si="141"/>
        <v/>
      </c>
      <c r="T1665" t="str">
        <f>IF($N1665="","",IF(Sync!$N1665="",0,Sync!$N1665))</f>
        <v/>
      </c>
      <c r="U1665" t="str">
        <f>IF($N1665="","",IF(Sync!$O1665="",0,Sync!$O1665))</f>
        <v/>
      </c>
      <c r="V1665" t="str">
        <f>IF($N1665="","",Sync!$L1665)</f>
        <v/>
      </c>
      <c r="W1665" t="str">
        <f>IF($N1665="","",Sync!$P1665)</f>
        <v/>
      </c>
    </row>
    <row r="1666" spans="14:23" x14ac:dyDescent="0.2">
      <c r="N1666" t="str">
        <f>IF(OR(Sync!$M1666="",$Q1666="",$Q1666="نامعتبر"),"",Sync!$M1666)</f>
        <v/>
      </c>
      <c r="O1666" t="str">
        <f t="shared" si="139"/>
        <v/>
      </c>
      <c r="P1666" t="str">
        <f>IF($N1666="","",LEFT($Q1666,4)&amp;MID($Q1666,6,2)&amp;RIGHT($Q1666,2)&amp;IF(Sync!$K1666="","0000",IF(AND(ISNUMBER(Sync!$K1666),Sync!$K1666&gt;=0,Sync!$K1666&lt;1),RIGHT("00"&amp;HOUR(Sync!$K1666),2)&amp;RIGHT("00"&amp;MINUTE(Sync!$K1666),2),IFERROR(RIGHT("00"&amp;VALUE(LEFT(Sync!$K1666,FIND(":",Sync!$K1666)-1)),2)&amp;RIGHT("00"&amp;VALUE(MID(Sync!$K1666,FIND(":",Sync!$K1666)+1,2)),2),"0000")))&amp;"|"&amp;"2"&amp;RIGHT("00000"&amp;1661,5))</f>
        <v/>
      </c>
      <c r="Q1666" t="str">
        <f>IF(Sync!$J1666="","",IF(ISNUMBER(Sync!$J1666),IF(AND(Sync!$J1666&gt;=10000101,Sync!$J1666&lt;=99991231),INT(Sync!$J1666/10000)&amp;"/"&amp;RIGHT("00"&amp;INT(MOD(Sync!$J1666,10000)/100),2)&amp;"/"&amp;RIGHT("00"&amp;MOD(Sync!$J1666,100),2),"نامعتبر"),IF(LEN(Sync!$J1666)=10,Sync!$J1666,"نامعتبر")))</f>
        <v/>
      </c>
      <c r="R1666" t="str">
        <f t="shared" si="140"/>
        <v/>
      </c>
      <c r="S1666" t="str">
        <f t="shared" si="141"/>
        <v/>
      </c>
      <c r="T1666" t="str">
        <f>IF($N1666="","",IF(Sync!$N1666="",0,Sync!$N1666))</f>
        <v/>
      </c>
      <c r="U1666" t="str">
        <f>IF($N1666="","",IF(Sync!$O1666="",0,Sync!$O1666))</f>
        <v/>
      </c>
      <c r="V1666" t="str">
        <f>IF($N1666="","",Sync!$L1666)</f>
        <v/>
      </c>
      <c r="W1666" t="str">
        <f>IF($N1666="","",Sync!$P1666)</f>
        <v/>
      </c>
    </row>
    <row r="1667" spans="14:23" x14ac:dyDescent="0.2">
      <c r="N1667" t="str">
        <f>IF(OR(Sync!$M1667="",$Q1667="",$Q1667="نامعتبر"),"",Sync!$M1667)</f>
        <v/>
      </c>
      <c r="O1667" t="str">
        <f t="shared" si="139"/>
        <v/>
      </c>
      <c r="P1667" t="str">
        <f>IF($N1667="","",LEFT($Q1667,4)&amp;MID($Q1667,6,2)&amp;RIGHT($Q1667,2)&amp;IF(Sync!$K1667="","0000",IF(AND(ISNUMBER(Sync!$K1667),Sync!$K1667&gt;=0,Sync!$K1667&lt;1),RIGHT("00"&amp;HOUR(Sync!$K1667),2)&amp;RIGHT("00"&amp;MINUTE(Sync!$K1667),2),IFERROR(RIGHT("00"&amp;VALUE(LEFT(Sync!$K1667,FIND(":",Sync!$K1667)-1)),2)&amp;RIGHT("00"&amp;VALUE(MID(Sync!$K1667,FIND(":",Sync!$K1667)+1,2)),2),"0000")))&amp;"|"&amp;"2"&amp;RIGHT("00000"&amp;1662,5))</f>
        <v/>
      </c>
      <c r="Q1667" t="str">
        <f>IF(Sync!$J1667="","",IF(ISNUMBER(Sync!$J1667),IF(AND(Sync!$J1667&gt;=10000101,Sync!$J1667&lt;=99991231),INT(Sync!$J1667/10000)&amp;"/"&amp;RIGHT("00"&amp;INT(MOD(Sync!$J1667,10000)/100),2)&amp;"/"&amp;RIGHT("00"&amp;MOD(Sync!$J1667,100),2),"نامعتبر"),IF(LEN(Sync!$J1667)=10,Sync!$J1667,"نامعتبر")))</f>
        <v/>
      </c>
      <c r="R1667" t="str">
        <f t="shared" si="140"/>
        <v/>
      </c>
      <c r="S1667" t="str">
        <f t="shared" si="141"/>
        <v/>
      </c>
      <c r="T1667" t="str">
        <f>IF($N1667="","",IF(Sync!$N1667="",0,Sync!$N1667))</f>
        <v/>
      </c>
      <c r="U1667" t="str">
        <f>IF($N1667="","",IF(Sync!$O1667="",0,Sync!$O1667))</f>
        <v/>
      </c>
      <c r="V1667" t="str">
        <f>IF($N1667="","",Sync!$L1667)</f>
        <v/>
      </c>
      <c r="W1667" t="str">
        <f>IF($N1667="","",Sync!$P1667)</f>
        <v/>
      </c>
    </row>
    <row r="1668" spans="14:23" x14ac:dyDescent="0.2">
      <c r="N1668" t="str">
        <f>IF(OR(Sync!$M1668="",$Q1668="",$Q1668="نامعتبر"),"",Sync!$M1668)</f>
        <v/>
      </c>
      <c r="O1668" t="str">
        <f t="shared" si="139"/>
        <v/>
      </c>
      <c r="P1668" t="str">
        <f>IF($N1668="","",LEFT($Q1668,4)&amp;MID($Q1668,6,2)&amp;RIGHT($Q1668,2)&amp;IF(Sync!$K1668="","0000",IF(AND(ISNUMBER(Sync!$K1668),Sync!$K1668&gt;=0,Sync!$K1668&lt;1),RIGHT("00"&amp;HOUR(Sync!$K1668),2)&amp;RIGHT("00"&amp;MINUTE(Sync!$K1668),2),IFERROR(RIGHT("00"&amp;VALUE(LEFT(Sync!$K1668,FIND(":",Sync!$K1668)-1)),2)&amp;RIGHT("00"&amp;VALUE(MID(Sync!$K1668,FIND(":",Sync!$K1668)+1,2)),2),"0000")))&amp;"|"&amp;"2"&amp;RIGHT("00000"&amp;1663,5))</f>
        <v/>
      </c>
      <c r="Q1668" t="str">
        <f>IF(Sync!$J1668="","",IF(ISNUMBER(Sync!$J1668),IF(AND(Sync!$J1668&gt;=10000101,Sync!$J1668&lt;=99991231),INT(Sync!$J1668/10000)&amp;"/"&amp;RIGHT("00"&amp;INT(MOD(Sync!$J1668,10000)/100),2)&amp;"/"&amp;RIGHT("00"&amp;MOD(Sync!$J1668,100),2),"نامعتبر"),IF(LEN(Sync!$J1668)=10,Sync!$J1668,"نامعتبر")))</f>
        <v/>
      </c>
      <c r="R1668" t="str">
        <f t="shared" si="140"/>
        <v/>
      </c>
      <c r="S1668" t="str">
        <f t="shared" si="141"/>
        <v/>
      </c>
      <c r="T1668" t="str">
        <f>IF($N1668="","",IF(Sync!$N1668="",0,Sync!$N1668))</f>
        <v/>
      </c>
      <c r="U1668" t="str">
        <f>IF($N1668="","",IF(Sync!$O1668="",0,Sync!$O1668))</f>
        <v/>
      </c>
      <c r="V1668" t="str">
        <f>IF($N1668="","",Sync!$L1668)</f>
        <v/>
      </c>
      <c r="W1668" t="str">
        <f>IF($N1668="","",Sync!$P1668)</f>
        <v/>
      </c>
    </row>
    <row r="1669" spans="14:23" x14ac:dyDescent="0.2">
      <c r="N1669" t="str">
        <f>IF(OR(Sync!$M1669="",$Q1669="",$Q1669="نامعتبر"),"",Sync!$M1669)</f>
        <v/>
      </c>
      <c r="O1669" t="str">
        <f t="shared" si="139"/>
        <v/>
      </c>
      <c r="P1669" t="str">
        <f>IF($N1669="","",LEFT($Q1669,4)&amp;MID($Q1669,6,2)&amp;RIGHT($Q1669,2)&amp;IF(Sync!$K1669="","0000",IF(AND(ISNUMBER(Sync!$K1669),Sync!$K1669&gt;=0,Sync!$K1669&lt;1),RIGHT("00"&amp;HOUR(Sync!$K1669),2)&amp;RIGHT("00"&amp;MINUTE(Sync!$K1669),2),IFERROR(RIGHT("00"&amp;VALUE(LEFT(Sync!$K1669,FIND(":",Sync!$K1669)-1)),2)&amp;RIGHT("00"&amp;VALUE(MID(Sync!$K1669,FIND(":",Sync!$K1669)+1,2)),2),"0000")))&amp;"|"&amp;"2"&amp;RIGHT("00000"&amp;1664,5))</f>
        <v/>
      </c>
      <c r="Q1669" t="str">
        <f>IF(Sync!$J1669="","",IF(ISNUMBER(Sync!$J1669),IF(AND(Sync!$J1669&gt;=10000101,Sync!$J1669&lt;=99991231),INT(Sync!$J1669/10000)&amp;"/"&amp;RIGHT("00"&amp;INT(MOD(Sync!$J1669,10000)/100),2)&amp;"/"&amp;RIGHT("00"&amp;MOD(Sync!$J1669,100),2),"نامعتبر"),IF(LEN(Sync!$J1669)=10,Sync!$J1669,"نامعتبر")))</f>
        <v/>
      </c>
      <c r="R1669" t="str">
        <f t="shared" si="140"/>
        <v/>
      </c>
      <c r="S1669" t="str">
        <f t="shared" si="141"/>
        <v/>
      </c>
      <c r="T1669" t="str">
        <f>IF($N1669="","",IF(Sync!$N1669="",0,Sync!$N1669))</f>
        <v/>
      </c>
      <c r="U1669" t="str">
        <f>IF($N1669="","",IF(Sync!$O1669="",0,Sync!$O1669))</f>
        <v/>
      </c>
      <c r="V1669" t="str">
        <f>IF($N1669="","",Sync!$L1669)</f>
        <v/>
      </c>
      <c r="W1669" t="str">
        <f>IF($N1669="","",Sync!$P1669)</f>
        <v/>
      </c>
    </row>
    <row r="1670" spans="14:23" x14ac:dyDescent="0.2">
      <c r="N1670" t="str">
        <f>IF(OR(Sync!$M1670="",$Q1670="",$Q1670="نامعتبر"),"",Sync!$M1670)</f>
        <v/>
      </c>
      <c r="O1670" t="str">
        <f t="shared" ref="O1670:O1733" si="142">IF($N1670="","",$Q1670)</f>
        <v/>
      </c>
      <c r="P1670" t="str">
        <f>IF($N1670="","",LEFT($Q1670,4)&amp;MID($Q1670,6,2)&amp;RIGHT($Q1670,2)&amp;IF(Sync!$K1670="","0000",IF(AND(ISNUMBER(Sync!$K1670),Sync!$K1670&gt;=0,Sync!$K1670&lt;1),RIGHT("00"&amp;HOUR(Sync!$K1670),2)&amp;RIGHT("00"&amp;MINUTE(Sync!$K1670),2),IFERROR(RIGHT("00"&amp;VALUE(LEFT(Sync!$K1670,FIND(":",Sync!$K1670)-1)),2)&amp;RIGHT("00"&amp;VALUE(MID(Sync!$K1670,FIND(":",Sync!$K1670)+1,2)),2),"0000")))&amp;"|"&amp;"2"&amp;RIGHT("00000"&amp;1665,5))</f>
        <v/>
      </c>
      <c r="Q1670" t="str">
        <f>IF(Sync!$J1670="","",IF(ISNUMBER(Sync!$J1670),IF(AND(Sync!$J1670&gt;=10000101,Sync!$J1670&lt;=99991231),INT(Sync!$J1670/10000)&amp;"/"&amp;RIGHT("00"&amp;INT(MOD(Sync!$J1670,10000)/100),2)&amp;"/"&amp;RIGHT("00"&amp;MOD(Sync!$J1670,100),2),"نامعتبر"),IF(LEN(Sync!$J1670)=10,Sync!$J1670,"نامعتبر")))</f>
        <v/>
      </c>
      <c r="R1670" t="str">
        <f t="shared" ref="R1670:R1733" si="143">IF($P1670="","",COUNTIFS($N$6:$N$2005,$N1670,$P$6:$P$2005,"&lt;"&amp;$P1670)+COUNTIFS($A$6:$A$1005,$N1670,$B$6:$B$1005,"&lt;"&amp;$P1670)+1)</f>
        <v/>
      </c>
      <c r="S1670" t="str">
        <f t="shared" ref="S1670:S1733" si="144">IF($N1670="","",$N1670&amp;"|"&amp;RIGHT("000000"&amp;$R1670,6))</f>
        <v/>
      </c>
      <c r="T1670" t="str">
        <f>IF($N1670="","",IF(Sync!$N1670="",0,Sync!$N1670))</f>
        <v/>
      </c>
      <c r="U1670" t="str">
        <f>IF($N1670="","",IF(Sync!$O1670="",0,Sync!$O1670))</f>
        <v/>
      </c>
      <c r="V1670" t="str">
        <f>IF($N1670="","",Sync!$L1670)</f>
        <v/>
      </c>
      <c r="W1670" t="str">
        <f>IF($N1670="","",Sync!$P1670)</f>
        <v/>
      </c>
    </row>
    <row r="1671" spans="14:23" x14ac:dyDescent="0.2">
      <c r="N1671" t="str">
        <f>IF(OR(Sync!$M1671="",$Q1671="",$Q1671="نامعتبر"),"",Sync!$M1671)</f>
        <v/>
      </c>
      <c r="O1671" t="str">
        <f t="shared" si="142"/>
        <v/>
      </c>
      <c r="P1671" t="str">
        <f>IF($N1671="","",LEFT($Q1671,4)&amp;MID($Q1671,6,2)&amp;RIGHT($Q1671,2)&amp;IF(Sync!$K1671="","0000",IF(AND(ISNUMBER(Sync!$K1671),Sync!$K1671&gt;=0,Sync!$K1671&lt;1),RIGHT("00"&amp;HOUR(Sync!$K1671),2)&amp;RIGHT("00"&amp;MINUTE(Sync!$K1671),2),IFERROR(RIGHT("00"&amp;VALUE(LEFT(Sync!$K1671,FIND(":",Sync!$K1671)-1)),2)&amp;RIGHT("00"&amp;VALUE(MID(Sync!$K1671,FIND(":",Sync!$K1671)+1,2)),2),"0000")))&amp;"|"&amp;"2"&amp;RIGHT("00000"&amp;1666,5))</f>
        <v/>
      </c>
      <c r="Q1671" t="str">
        <f>IF(Sync!$J1671="","",IF(ISNUMBER(Sync!$J1671),IF(AND(Sync!$J1671&gt;=10000101,Sync!$J1671&lt;=99991231),INT(Sync!$J1671/10000)&amp;"/"&amp;RIGHT("00"&amp;INT(MOD(Sync!$J1671,10000)/100),2)&amp;"/"&amp;RIGHT("00"&amp;MOD(Sync!$J1671,100),2),"نامعتبر"),IF(LEN(Sync!$J1671)=10,Sync!$J1671,"نامعتبر")))</f>
        <v/>
      </c>
      <c r="R1671" t="str">
        <f t="shared" si="143"/>
        <v/>
      </c>
      <c r="S1671" t="str">
        <f t="shared" si="144"/>
        <v/>
      </c>
      <c r="T1671" t="str">
        <f>IF($N1671="","",IF(Sync!$N1671="",0,Sync!$N1671))</f>
        <v/>
      </c>
      <c r="U1671" t="str">
        <f>IF($N1671="","",IF(Sync!$O1671="",0,Sync!$O1671))</f>
        <v/>
      </c>
      <c r="V1671" t="str">
        <f>IF($N1671="","",Sync!$L1671)</f>
        <v/>
      </c>
      <c r="W1671" t="str">
        <f>IF($N1671="","",Sync!$P1671)</f>
        <v/>
      </c>
    </row>
    <row r="1672" spans="14:23" x14ac:dyDescent="0.2">
      <c r="N1672" t="str">
        <f>IF(OR(Sync!$M1672="",$Q1672="",$Q1672="نامعتبر"),"",Sync!$M1672)</f>
        <v/>
      </c>
      <c r="O1672" t="str">
        <f t="shared" si="142"/>
        <v/>
      </c>
      <c r="P1672" t="str">
        <f>IF($N1672="","",LEFT($Q1672,4)&amp;MID($Q1672,6,2)&amp;RIGHT($Q1672,2)&amp;IF(Sync!$K1672="","0000",IF(AND(ISNUMBER(Sync!$K1672),Sync!$K1672&gt;=0,Sync!$K1672&lt;1),RIGHT("00"&amp;HOUR(Sync!$K1672),2)&amp;RIGHT("00"&amp;MINUTE(Sync!$K1672),2),IFERROR(RIGHT("00"&amp;VALUE(LEFT(Sync!$K1672,FIND(":",Sync!$K1672)-1)),2)&amp;RIGHT("00"&amp;VALUE(MID(Sync!$K1672,FIND(":",Sync!$K1672)+1,2)),2),"0000")))&amp;"|"&amp;"2"&amp;RIGHT("00000"&amp;1667,5))</f>
        <v/>
      </c>
      <c r="Q1672" t="str">
        <f>IF(Sync!$J1672="","",IF(ISNUMBER(Sync!$J1672),IF(AND(Sync!$J1672&gt;=10000101,Sync!$J1672&lt;=99991231),INT(Sync!$J1672/10000)&amp;"/"&amp;RIGHT("00"&amp;INT(MOD(Sync!$J1672,10000)/100),2)&amp;"/"&amp;RIGHT("00"&amp;MOD(Sync!$J1672,100),2),"نامعتبر"),IF(LEN(Sync!$J1672)=10,Sync!$J1672,"نامعتبر")))</f>
        <v/>
      </c>
      <c r="R1672" t="str">
        <f t="shared" si="143"/>
        <v/>
      </c>
      <c r="S1672" t="str">
        <f t="shared" si="144"/>
        <v/>
      </c>
      <c r="T1672" t="str">
        <f>IF($N1672="","",IF(Sync!$N1672="",0,Sync!$N1672))</f>
        <v/>
      </c>
      <c r="U1672" t="str">
        <f>IF($N1672="","",IF(Sync!$O1672="",0,Sync!$O1672))</f>
        <v/>
      </c>
      <c r="V1672" t="str">
        <f>IF($N1672="","",Sync!$L1672)</f>
        <v/>
      </c>
      <c r="W1672" t="str">
        <f>IF($N1672="","",Sync!$P1672)</f>
        <v/>
      </c>
    </row>
    <row r="1673" spans="14:23" x14ac:dyDescent="0.2">
      <c r="N1673" t="str">
        <f>IF(OR(Sync!$M1673="",$Q1673="",$Q1673="نامعتبر"),"",Sync!$M1673)</f>
        <v/>
      </c>
      <c r="O1673" t="str">
        <f t="shared" si="142"/>
        <v/>
      </c>
      <c r="P1673" t="str">
        <f>IF($N1673="","",LEFT($Q1673,4)&amp;MID($Q1673,6,2)&amp;RIGHT($Q1673,2)&amp;IF(Sync!$K1673="","0000",IF(AND(ISNUMBER(Sync!$K1673),Sync!$K1673&gt;=0,Sync!$K1673&lt;1),RIGHT("00"&amp;HOUR(Sync!$K1673),2)&amp;RIGHT("00"&amp;MINUTE(Sync!$K1673),2),IFERROR(RIGHT("00"&amp;VALUE(LEFT(Sync!$K1673,FIND(":",Sync!$K1673)-1)),2)&amp;RIGHT("00"&amp;VALUE(MID(Sync!$K1673,FIND(":",Sync!$K1673)+1,2)),2),"0000")))&amp;"|"&amp;"2"&amp;RIGHT("00000"&amp;1668,5))</f>
        <v/>
      </c>
      <c r="Q1673" t="str">
        <f>IF(Sync!$J1673="","",IF(ISNUMBER(Sync!$J1673),IF(AND(Sync!$J1673&gt;=10000101,Sync!$J1673&lt;=99991231),INT(Sync!$J1673/10000)&amp;"/"&amp;RIGHT("00"&amp;INT(MOD(Sync!$J1673,10000)/100),2)&amp;"/"&amp;RIGHT("00"&amp;MOD(Sync!$J1673,100),2),"نامعتبر"),IF(LEN(Sync!$J1673)=10,Sync!$J1673,"نامعتبر")))</f>
        <v/>
      </c>
      <c r="R1673" t="str">
        <f t="shared" si="143"/>
        <v/>
      </c>
      <c r="S1673" t="str">
        <f t="shared" si="144"/>
        <v/>
      </c>
      <c r="T1673" t="str">
        <f>IF($N1673="","",IF(Sync!$N1673="",0,Sync!$N1673))</f>
        <v/>
      </c>
      <c r="U1673" t="str">
        <f>IF($N1673="","",IF(Sync!$O1673="",0,Sync!$O1673))</f>
        <v/>
      </c>
      <c r="V1673" t="str">
        <f>IF($N1673="","",Sync!$L1673)</f>
        <v/>
      </c>
      <c r="W1673" t="str">
        <f>IF($N1673="","",Sync!$P1673)</f>
        <v/>
      </c>
    </row>
    <row r="1674" spans="14:23" x14ac:dyDescent="0.2">
      <c r="N1674" t="str">
        <f>IF(OR(Sync!$M1674="",$Q1674="",$Q1674="نامعتبر"),"",Sync!$M1674)</f>
        <v/>
      </c>
      <c r="O1674" t="str">
        <f t="shared" si="142"/>
        <v/>
      </c>
      <c r="P1674" t="str">
        <f>IF($N1674="","",LEFT($Q1674,4)&amp;MID($Q1674,6,2)&amp;RIGHT($Q1674,2)&amp;IF(Sync!$K1674="","0000",IF(AND(ISNUMBER(Sync!$K1674),Sync!$K1674&gt;=0,Sync!$K1674&lt;1),RIGHT("00"&amp;HOUR(Sync!$K1674),2)&amp;RIGHT("00"&amp;MINUTE(Sync!$K1674),2),IFERROR(RIGHT("00"&amp;VALUE(LEFT(Sync!$K1674,FIND(":",Sync!$K1674)-1)),2)&amp;RIGHT("00"&amp;VALUE(MID(Sync!$K1674,FIND(":",Sync!$K1674)+1,2)),2),"0000")))&amp;"|"&amp;"2"&amp;RIGHT("00000"&amp;1669,5))</f>
        <v/>
      </c>
      <c r="Q1674" t="str">
        <f>IF(Sync!$J1674="","",IF(ISNUMBER(Sync!$J1674),IF(AND(Sync!$J1674&gt;=10000101,Sync!$J1674&lt;=99991231),INT(Sync!$J1674/10000)&amp;"/"&amp;RIGHT("00"&amp;INT(MOD(Sync!$J1674,10000)/100),2)&amp;"/"&amp;RIGHT("00"&amp;MOD(Sync!$J1674,100),2),"نامعتبر"),IF(LEN(Sync!$J1674)=10,Sync!$J1674,"نامعتبر")))</f>
        <v/>
      </c>
      <c r="R1674" t="str">
        <f t="shared" si="143"/>
        <v/>
      </c>
      <c r="S1674" t="str">
        <f t="shared" si="144"/>
        <v/>
      </c>
      <c r="T1674" t="str">
        <f>IF($N1674="","",IF(Sync!$N1674="",0,Sync!$N1674))</f>
        <v/>
      </c>
      <c r="U1674" t="str">
        <f>IF($N1674="","",IF(Sync!$O1674="",0,Sync!$O1674))</f>
        <v/>
      </c>
      <c r="V1674" t="str">
        <f>IF($N1674="","",Sync!$L1674)</f>
        <v/>
      </c>
      <c r="W1674" t="str">
        <f>IF($N1674="","",Sync!$P1674)</f>
        <v/>
      </c>
    </row>
    <row r="1675" spans="14:23" x14ac:dyDescent="0.2">
      <c r="N1675" t="str">
        <f>IF(OR(Sync!$M1675="",$Q1675="",$Q1675="نامعتبر"),"",Sync!$M1675)</f>
        <v/>
      </c>
      <c r="O1675" t="str">
        <f t="shared" si="142"/>
        <v/>
      </c>
      <c r="P1675" t="str">
        <f>IF($N1675="","",LEFT($Q1675,4)&amp;MID($Q1675,6,2)&amp;RIGHT($Q1675,2)&amp;IF(Sync!$K1675="","0000",IF(AND(ISNUMBER(Sync!$K1675),Sync!$K1675&gt;=0,Sync!$K1675&lt;1),RIGHT("00"&amp;HOUR(Sync!$K1675),2)&amp;RIGHT("00"&amp;MINUTE(Sync!$K1675),2),IFERROR(RIGHT("00"&amp;VALUE(LEFT(Sync!$K1675,FIND(":",Sync!$K1675)-1)),2)&amp;RIGHT("00"&amp;VALUE(MID(Sync!$K1675,FIND(":",Sync!$K1675)+1,2)),2),"0000")))&amp;"|"&amp;"2"&amp;RIGHT("00000"&amp;1670,5))</f>
        <v/>
      </c>
      <c r="Q1675" t="str">
        <f>IF(Sync!$J1675="","",IF(ISNUMBER(Sync!$J1675),IF(AND(Sync!$J1675&gt;=10000101,Sync!$J1675&lt;=99991231),INT(Sync!$J1675/10000)&amp;"/"&amp;RIGHT("00"&amp;INT(MOD(Sync!$J1675,10000)/100),2)&amp;"/"&amp;RIGHT("00"&amp;MOD(Sync!$J1675,100),2),"نامعتبر"),IF(LEN(Sync!$J1675)=10,Sync!$J1675,"نامعتبر")))</f>
        <v/>
      </c>
      <c r="R1675" t="str">
        <f t="shared" si="143"/>
        <v/>
      </c>
      <c r="S1675" t="str">
        <f t="shared" si="144"/>
        <v/>
      </c>
      <c r="T1675" t="str">
        <f>IF($N1675="","",IF(Sync!$N1675="",0,Sync!$N1675))</f>
        <v/>
      </c>
      <c r="U1675" t="str">
        <f>IF($N1675="","",IF(Sync!$O1675="",0,Sync!$O1675))</f>
        <v/>
      </c>
      <c r="V1675" t="str">
        <f>IF($N1675="","",Sync!$L1675)</f>
        <v/>
      </c>
      <c r="W1675" t="str">
        <f>IF($N1675="","",Sync!$P1675)</f>
        <v/>
      </c>
    </row>
    <row r="1676" spans="14:23" x14ac:dyDescent="0.2">
      <c r="N1676" t="str">
        <f>IF(OR(Sync!$M1676="",$Q1676="",$Q1676="نامعتبر"),"",Sync!$M1676)</f>
        <v/>
      </c>
      <c r="O1676" t="str">
        <f t="shared" si="142"/>
        <v/>
      </c>
      <c r="P1676" t="str">
        <f>IF($N1676="","",LEFT($Q1676,4)&amp;MID($Q1676,6,2)&amp;RIGHT($Q1676,2)&amp;IF(Sync!$K1676="","0000",IF(AND(ISNUMBER(Sync!$K1676),Sync!$K1676&gt;=0,Sync!$K1676&lt;1),RIGHT("00"&amp;HOUR(Sync!$K1676),2)&amp;RIGHT("00"&amp;MINUTE(Sync!$K1676),2),IFERROR(RIGHT("00"&amp;VALUE(LEFT(Sync!$K1676,FIND(":",Sync!$K1676)-1)),2)&amp;RIGHT("00"&amp;VALUE(MID(Sync!$K1676,FIND(":",Sync!$K1676)+1,2)),2),"0000")))&amp;"|"&amp;"2"&amp;RIGHT("00000"&amp;1671,5))</f>
        <v/>
      </c>
      <c r="Q1676" t="str">
        <f>IF(Sync!$J1676="","",IF(ISNUMBER(Sync!$J1676),IF(AND(Sync!$J1676&gt;=10000101,Sync!$J1676&lt;=99991231),INT(Sync!$J1676/10000)&amp;"/"&amp;RIGHT("00"&amp;INT(MOD(Sync!$J1676,10000)/100),2)&amp;"/"&amp;RIGHT("00"&amp;MOD(Sync!$J1676,100),2),"نامعتبر"),IF(LEN(Sync!$J1676)=10,Sync!$J1676,"نامعتبر")))</f>
        <v/>
      </c>
      <c r="R1676" t="str">
        <f t="shared" si="143"/>
        <v/>
      </c>
      <c r="S1676" t="str">
        <f t="shared" si="144"/>
        <v/>
      </c>
      <c r="T1676" t="str">
        <f>IF($N1676="","",IF(Sync!$N1676="",0,Sync!$N1676))</f>
        <v/>
      </c>
      <c r="U1676" t="str">
        <f>IF($N1676="","",IF(Sync!$O1676="",0,Sync!$O1676))</f>
        <v/>
      </c>
      <c r="V1676" t="str">
        <f>IF($N1676="","",Sync!$L1676)</f>
        <v/>
      </c>
      <c r="W1676" t="str">
        <f>IF($N1676="","",Sync!$P1676)</f>
        <v/>
      </c>
    </row>
    <row r="1677" spans="14:23" x14ac:dyDescent="0.2">
      <c r="N1677" t="str">
        <f>IF(OR(Sync!$M1677="",$Q1677="",$Q1677="نامعتبر"),"",Sync!$M1677)</f>
        <v/>
      </c>
      <c r="O1677" t="str">
        <f t="shared" si="142"/>
        <v/>
      </c>
      <c r="P1677" t="str">
        <f>IF($N1677="","",LEFT($Q1677,4)&amp;MID($Q1677,6,2)&amp;RIGHT($Q1677,2)&amp;IF(Sync!$K1677="","0000",IF(AND(ISNUMBER(Sync!$K1677),Sync!$K1677&gt;=0,Sync!$K1677&lt;1),RIGHT("00"&amp;HOUR(Sync!$K1677),2)&amp;RIGHT("00"&amp;MINUTE(Sync!$K1677),2),IFERROR(RIGHT("00"&amp;VALUE(LEFT(Sync!$K1677,FIND(":",Sync!$K1677)-1)),2)&amp;RIGHT("00"&amp;VALUE(MID(Sync!$K1677,FIND(":",Sync!$K1677)+1,2)),2),"0000")))&amp;"|"&amp;"2"&amp;RIGHT("00000"&amp;1672,5))</f>
        <v/>
      </c>
      <c r="Q1677" t="str">
        <f>IF(Sync!$J1677="","",IF(ISNUMBER(Sync!$J1677),IF(AND(Sync!$J1677&gt;=10000101,Sync!$J1677&lt;=99991231),INT(Sync!$J1677/10000)&amp;"/"&amp;RIGHT("00"&amp;INT(MOD(Sync!$J1677,10000)/100),2)&amp;"/"&amp;RIGHT("00"&amp;MOD(Sync!$J1677,100),2),"نامعتبر"),IF(LEN(Sync!$J1677)=10,Sync!$J1677,"نامعتبر")))</f>
        <v/>
      </c>
      <c r="R1677" t="str">
        <f t="shared" si="143"/>
        <v/>
      </c>
      <c r="S1677" t="str">
        <f t="shared" si="144"/>
        <v/>
      </c>
      <c r="T1677" t="str">
        <f>IF($N1677="","",IF(Sync!$N1677="",0,Sync!$N1677))</f>
        <v/>
      </c>
      <c r="U1677" t="str">
        <f>IF($N1677="","",IF(Sync!$O1677="",0,Sync!$O1677))</f>
        <v/>
      </c>
      <c r="V1677" t="str">
        <f>IF($N1677="","",Sync!$L1677)</f>
        <v/>
      </c>
      <c r="W1677" t="str">
        <f>IF($N1677="","",Sync!$P1677)</f>
        <v/>
      </c>
    </row>
    <row r="1678" spans="14:23" x14ac:dyDescent="0.2">
      <c r="N1678" t="str">
        <f>IF(OR(Sync!$M1678="",$Q1678="",$Q1678="نامعتبر"),"",Sync!$M1678)</f>
        <v/>
      </c>
      <c r="O1678" t="str">
        <f t="shared" si="142"/>
        <v/>
      </c>
      <c r="P1678" t="str">
        <f>IF($N1678="","",LEFT($Q1678,4)&amp;MID($Q1678,6,2)&amp;RIGHT($Q1678,2)&amp;IF(Sync!$K1678="","0000",IF(AND(ISNUMBER(Sync!$K1678),Sync!$K1678&gt;=0,Sync!$K1678&lt;1),RIGHT("00"&amp;HOUR(Sync!$K1678),2)&amp;RIGHT("00"&amp;MINUTE(Sync!$K1678),2),IFERROR(RIGHT("00"&amp;VALUE(LEFT(Sync!$K1678,FIND(":",Sync!$K1678)-1)),2)&amp;RIGHT("00"&amp;VALUE(MID(Sync!$K1678,FIND(":",Sync!$K1678)+1,2)),2),"0000")))&amp;"|"&amp;"2"&amp;RIGHT("00000"&amp;1673,5))</f>
        <v/>
      </c>
      <c r="Q1678" t="str">
        <f>IF(Sync!$J1678="","",IF(ISNUMBER(Sync!$J1678),IF(AND(Sync!$J1678&gt;=10000101,Sync!$J1678&lt;=99991231),INT(Sync!$J1678/10000)&amp;"/"&amp;RIGHT("00"&amp;INT(MOD(Sync!$J1678,10000)/100),2)&amp;"/"&amp;RIGHT("00"&amp;MOD(Sync!$J1678,100),2),"نامعتبر"),IF(LEN(Sync!$J1678)=10,Sync!$J1678,"نامعتبر")))</f>
        <v/>
      </c>
      <c r="R1678" t="str">
        <f t="shared" si="143"/>
        <v/>
      </c>
      <c r="S1678" t="str">
        <f t="shared" si="144"/>
        <v/>
      </c>
      <c r="T1678" t="str">
        <f>IF($N1678="","",IF(Sync!$N1678="",0,Sync!$N1678))</f>
        <v/>
      </c>
      <c r="U1678" t="str">
        <f>IF($N1678="","",IF(Sync!$O1678="",0,Sync!$O1678))</f>
        <v/>
      </c>
      <c r="V1678" t="str">
        <f>IF($N1678="","",Sync!$L1678)</f>
        <v/>
      </c>
      <c r="W1678" t="str">
        <f>IF($N1678="","",Sync!$P1678)</f>
        <v/>
      </c>
    </row>
    <row r="1679" spans="14:23" x14ac:dyDescent="0.2">
      <c r="N1679" t="str">
        <f>IF(OR(Sync!$M1679="",$Q1679="",$Q1679="نامعتبر"),"",Sync!$M1679)</f>
        <v/>
      </c>
      <c r="O1679" t="str">
        <f t="shared" si="142"/>
        <v/>
      </c>
      <c r="P1679" t="str">
        <f>IF($N1679="","",LEFT($Q1679,4)&amp;MID($Q1679,6,2)&amp;RIGHT($Q1679,2)&amp;IF(Sync!$K1679="","0000",IF(AND(ISNUMBER(Sync!$K1679),Sync!$K1679&gt;=0,Sync!$K1679&lt;1),RIGHT("00"&amp;HOUR(Sync!$K1679),2)&amp;RIGHT("00"&amp;MINUTE(Sync!$K1679),2),IFERROR(RIGHT("00"&amp;VALUE(LEFT(Sync!$K1679,FIND(":",Sync!$K1679)-1)),2)&amp;RIGHT("00"&amp;VALUE(MID(Sync!$K1679,FIND(":",Sync!$K1679)+1,2)),2),"0000")))&amp;"|"&amp;"2"&amp;RIGHT("00000"&amp;1674,5))</f>
        <v/>
      </c>
      <c r="Q1679" t="str">
        <f>IF(Sync!$J1679="","",IF(ISNUMBER(Sync!$J1679),IF(AND(Sync!$J1679&gt;=10000101,Sync!$J1679&lt;=99991231),INT(Sync!$J1679/10000)&amp;"/"&amp;RIGHT("00"&amp;INT(MOD(Sync!$J1679,10000)/100),2)&amp;"/"&amp;RIGHT("00"&amp;MOD(Sync!$J1679,100),2),"نامعتبر"),IF(LEN(Sync!$J1679)=10,Sync!$J1679,"نامعتبر")))</f>
        <v/>
      </c>
      <c r="R1679" t="str">
        <f t="shared" si="143"/>
        <v/>
      </c>
      <c r="S1679" t="str">
        <f t="shared" si="144"/>
        <v/>
      </c>
      <c r="T1679" t="str">
        <f>IF($N1679="","",IF(Sync!$N1679="",0,Sync!$N1679))</f>
        <v/>
      </c>
      <c r="U1679" t="str">
        <f>IF($N1679="","",IF(Sync!$O1679="",0,Sync!$O1679))</f>
        <v/>
      </c>
      <c r="V1679" t="str">
        <f>IF($N1679="","",Sync!$L1679)</f>
        <v/>
      </c>
      <c r="W1679" t="str">
        <f>IF($N1679="","",Sync!$P1679)</f>
        <v/>
      </c>
    </row>
    <row r="1680" spans="14:23" x14ac:dyDescent="0.2">
      <c r="N1680" t="str">
        <f>IF(OR(Sync!$M1680="",$Q1680="",$Q1680="نامعتبر"),"",Sync!$M1680)</f>
        <v/>
      </c>
      <c r="O1680" t="str">
        <f t="shared" si="142"/>
        <v/>
      </c>
      <c r="P1680" t="str">
        <f>IF($N1680="","",LEFT($Q1680,4)&amp;MID($Q1680,6,2)&amp;RIGHT($Q1680,2)&amp;IF(Sync!$K1680="","0000",IF(AND(ISNUMBER(Sync!$K1680),Sync!$K1680&gt;=0,Sync!$K1680&lt;1),RIGHT("00"&amp;HOUR(Sync!$K1680),2)&amp;RIGHT("00"&amp;MINUTE(Sync!$K1680),2),IFERROR(RIGHT("00"&amp;VALUE(LEFT(Sync!$K1680,FIND(":",Sync!$K1680)-1)),2)&amp;RIGHT("00"&amp;VALUE(MID(Sync!$K1680,FIND(":",Sync!$K1680)+1,2)),2),"0000")))&amp;"|"&amp;"2"&amp;RIGHT("00000"&amp;1675,5))</f>
        <v/>
      </c>
      <c r="Q1680" t="str">
        <f>IF(Sync!$J1680="","",IF(ISNUMBER(Sync!$J1680),IF(AND(Sync!$J1680&gt;=10000101,Sync!$J1680&lt;=99991231),INT(Sync!$J1680/10000)&amp;"/"&amp;RIGHT("00"&amp;INT(MOD(Sync!$J1680,10000)/100),2)&amp;"/"&amp;RIGHT("00"&amp;MOD(Sync!$J1680,100),2),"نامعتبر"),IF(LEN(Sync!$J1680)=10,Sync!$J1680,"نامعتبر")))</f>
        <v/>
      </c>
      <c r="R1680" t="str">
        <f t="shared" si="143"/>
        <v/>
      </c>
      <c r="S1680" t="str">
        <f t="shared" si="144"/>
        <v/>
      </c>
      <c r="T1680" t="str">
        <f>IF($N1680="","",IF(Sync!$N1680="",0,Sync!$N1680))</f>
        <v/>
      </c>
      <c r="U1680" t="str">
        <f>IF($N1680="","",IF(Sync!$O1680="",0,Sync!$O1680))</f>
        <v/>
      </c>
      <c r="V1680" t="str">
        <f>IF($N1680="","",Sync!$L1680)</f>
        <v/>
      </c>
      <c r="W1680" t="str">
        <f>IF($N1680="","",Sync!$P1680)</f>
        <v/>
      </c>
    </row>
    <row r="1681" spans="14:23" x14ac:dyDescent="0.2">
      <c r="N1681" t="str">
        <f>IF(OR(Sync!$M1681="",$Q1681="",$Q1681="نامعتبر"),"",Sync!$M1681)</f>
        <v/>
      </c>
      <c r="O1681" t="str">
        <f t="shared" si="142"/>
        <v/>
      </c>
      <c r="P1681" t="str">
        <f>IF($N1681="","",LEFT($Q1681,4)&amp;MID($Q1681,6,2)&amp;RIGHT($Q1681,2)&amp;IF(Sync!$K1681="","0000",IF(AND(ISNUMBER(Sync!$K1681),Sync!$K1681&gt;=0,Sync!$K1681&lt;1),RIGHT("00"&amp;HOUR(Sync!$K1681),2)&amp;RIGHT("00"&amp;MINUTE(Sync!$K1681),2),IFERROR(RIGHT("00"&amp;VALUE(LEFT(Sync!$K1681,FIND(":",Sync!$K1681)-1)),2)&amp;RIGHT("00"&amp;VALUE(MID(Sync!$K1681,FIND(":",Sync!$K1681)+1,2)),2),"0000")))&amp;"|"&amp;"2"&amp;RIGHT("00000"&amp;1676,5))</f>
        <v/>
      </c>
      <c r="Q1681" t="str">
        <f>IF(Sync!$J1681="","",IF(ISNUMBER(Sync!$J1681),IF(AND(Sync!$J1681&gt;=10000101,Sync!$J1681&lt;=99991231),INT(Sync!$J1681/10000)&amp;"/"&amp;RIGHT("00"&amp;INT(MOD(Sync!$J1681,10000)/100),2)&amp;"/"&amp;RIGHT("00"&amp;MOD(Sync!$J1681,100),2),"نامعتبر"),IF(LEN(Sync!$J1681)=10,Sync!$J1681,"نامعتبر")))</f>
        <v/>
      </c>
      <c r="R1681" t="str">
        <f t="shared" si="143"/>
        <v/>
      </c>
      <c r="S1681" t="str">
        <f t="shared" si="144"/>
        <v/>
      </c>
      <c r="T1681" t="str">
        <f>IF($N1681="","",IF(Sync!$N1681="",0,Sync!$N1681))</f>
        <v/>
      </c>
      <c r="U1681" t="str">
        <f>IF($N1681="","",IF(Sync!$O1681="",0,Sync!$O1681))</f>
        <v/>
      </c>
      <c r="V1681" t="str">
        <f>IF($N1681="","",Sync!$L1681)</f>
        <v/>
      </c>
      <c r="W1681" t="str">
        <f>IF($N1681="","",Sync!$P1681)</f>
        <v/>
      </c>
    </row>
    <row r="1682" spans="14:23" x14ac:dyDescent="0.2">
      <c r="N1682" t="str">
        <f>IF(OR(Sync!$M1682="",$Q1682="",$Q1682="نامعتبر"),"",Sync!$M1682)</f>
        <v/>
      </c>
      <c r="O1682" t="str">
        <f t="shared" si="142"/>
        <v/>
      </c>
      <c r="P1682" t="str">
        <f>IF($N1682="","",LEFT($Q1682,4)&amp;MID($Q1682,6,2)&amp;RIGHT($Q1682,2)&amp;IF(Sync!$K1682="","0000",IF(AND(ISNUMBER(Sync!$K1682),Sync!$K1682&gt;=0,Sync!$K1682&lt;1),RIGHT("00"&amp;HOUR(Sync!$K1682),2)&amp;RIGHT("00"&amp;MINUTE(Sync!$K1682),2),IFERROR(RIGHT("00"&amp;VALUE(LEFT(Sync!$K1682,FIND(":",Sync!$K1682)-1)),2)&amp;RIGHT("00"&amp;VALUE(MID(Sync!$K1682,FIND(":",Sync!$K1682)+1,2)),2),"0000")))&amp;"|"&amp;"2"&amp;RIGHT("00000"&amp;1677,5))</f>
        <v/>
      </c>
      <c r="Q1682" t="str">
        <f>IF(Sync!$J1682="","",IF(ISNUMBER(Sync!$J1682),IF(AND(Sync!$J1682&gt;=10000101,Sync!$J1682&lt;=99991231),INT(Sync!$J1682/10000)&amp;"/"&amp;RIGHT("00"&amp;INT(MOD(Sync!$J1682,10000)/100),2)&amp;"/"&amp;RIGHT("00"&amp;MOD(Sync!$J1682,100),2),"نامعتبر"),IF(LEN(Sync!$J1682)=10,Sync!$J1682,"نامعتبر")))</f>
        <v/>
      </c>
      <c r="R1682" t="str">
        <f t="shared" si="143"/>
        <v/>
      </c>
      <c r="S1682" t="str">
        <f t="shared" si="144"/>
        <v/>
      </c>
      <c r="T1682" t="str">
        <f>IF($N1682="","",IF(Sync!$N1682="",0,Sync!$N1682))</f>
        <v/>
      </c>
      <c r="U1682" t="str">
        <f>IF($N1682="","",IF(Sync!$O1682="",0,Sync!$O1682))</f>
        <v/>
      </c>
      <c r="V1682" t="str">
        <f>IF($N1682="","",Sync!$L1682)</f>
        <v/>
      </c>
      <c r="W1682" t="str">
        <f>IF($N1682="","",Sync!$P1682)</f>
        <v/>
      </c>
    </row>
    <row r="1683" spans="14:23" x14ac:dyDescent="0.2">
      <c r="N1683" t="str">
        <f>IF(OR(Sync!$M1683="",$Q1683="",$Q1683="نامعتبر"),"",Sync!$M1683)</f>
        <v/>
      </c>
      <c r="O1683" t="str">
        <f t="shared" si="142"/>
        <v/>
      </c>
      <c r="P1683" t="str">
        <f>IF($N1683="","",LEFT($Q1683,4)&amp;MID($Q1683,6,2)&amp;RIGHT($Q1683,2)&amp;IF(Sync!$K1683="","0000",IF(AND(ISNUMBER(Sync!$K1683),Sync!$K1683&gt;=0,Sync!$K1683&lt;1),RIGHT("00"&amp;HOUR(Sync!$K1683),2)&amp;RIGHT("00"&amp;MINUTE(Sync!$K1683),2),IFERROR(RIGHT("00"&amp;VALUE(LEFT(Sync!$K1683,FIND(":",Sync!$K1683)-1)),2)&amp;RIGHT("00"&amp;VALUE(MID(Sync!$K1683,FIND(":",Sync!$K1683)+1,2)),2),"0000")))&amp;"|"&amp;"2"&amp;RIGHT("00000"&amp;1678,5))</f>
        <v/>
      </c>
      <c r="Q1683" t="str">
        <f>IF(Sync!$J1683="","",IF(ISNUMBER(Sync!$J1683),IF(AND(Sync!$J1683&gt;=10000101,Sync!$J1683&lt;=99991231),INT(Sync!$J1683/10000)&amp;"/"&amp;RIGHT("00"&amp;INT(MOD(Sync!$J1683,10000)/100),2)&amp;"/"&amp;RIGHT("00"&amp;MOD(Sync!$J1683,100),2),"نامعتبر"),IF(LEN(Sync!$J1683)=10,Sync!$J1683,"نامعتبر")))</f>
        <v/>
      </c>
      <c r="R1683" t="str">
        <f t="shared" si="143"/>
        <v/>
      </c>
      <c r="S1683" t="str">
        <f t="shared" si="144"/>
        <v/>
      </c>
      <c r="T1683" t="str">
        <f>IF($N1683="","",IF(Sync!$N1683="",0,Sync!$N1683))</f>
        <v/>
      </c>
      <c r="U1683" t="str">
        <f>IF($N1683="","",IF(Sync!$O1683="",0,Sync!$O1683))</f>
        <v/>
      </c>
      <c r="V1683" t="str">
        <f>IF($N1683="","",Sync!$L1683)</f>
        <v/>
      </c>
      <c r="W1683" t="str">
        <f>IF($N1683="","",Sync!$P1683)</f>
        <v/>
      </c>
    </row>
    <row r="1684" spans="14:23" x14ac:dyDescent="0.2">
      <c r="N1684" t="str">
        <f>IF(OR(Sync!$M1684="",$Q1684="",$Q1684="نامعتبر"),"",Sync!$M1684)</f>
        <v/>
      </c>
      <c r="O1684" t="str">
        <f t="shared" si="142"/>
        <v/>
      </c>
      <c r="P1684" t="str">
        <f>IF($N1684="","",LEFT($Q1684,4)&amp;MID($Q1684,6,2)&amp;RIGHT($Q1684,2)&amp;IF(Sync!$K1684="","0000",IF(AND(ISNUMBER(Sync!$K1684),Sync!$K1684&gt;=0,Sync!$K1684&lt;1),RIGHT("00"&amp;HOUR(Sync!$K1684),2)&amp;RIGHT("00"&amp;MINUTE(Sync!$K1684),2),IFERROR(RIGHT("00"&amp;VALUE(LEFT(Sync!$K1684,FIND(":",Sync!$K1684)-1)),2)&amp;RIGHT("00"&amp;VALUE(MID(Sync!$K1684,FIND(":",Sync!$K1684)+1,2)),2),"0000")))&amp;"|"&amp;"2"&amp;RIGHT("00000"&amp;1679,5))</f>
        <v/>
      </c>
      <c r="Q1684" t="str">
        <f>IF(Sync!$J1684="","",IF(ISNUMBER(Sync!$J1684),IF(AND(Sync!$J1684&gt;=10000101,Sync!$J1684&lt;=99991231),INT(Sync!$J1684/10000)&amp;"/"&amp;RIGHT("00"&amp;INT(MOD(Sync!$J1684,10000)/100),2)&amp;"/"&amp;RIGHT("00"&amp;MOD(Sync!$J1684,100),2),"نامعتبر"),IF(LEN(Sync!$J1684)=10,Sync!$J1684,"نامعتبر")))</f>
        <v/>
      </c>
      <c r="R1684" t="str">
        <f t="shared" si="143"/>
        <v/>
      </c>
      <c r="S1684" t="str">
        <f t="shared" si="144"/>
        <v/>
      </c>
      <c r="T1684" t="str">
        <f>IF($N1684="","",IF(Sync!$N1684="",0,Sync!$N1684))</f>
        <v/>
      </c>
      <c r="U1684" t="str">
        <f>IF($N1684="","",IF(Sync!$O1684="",0,Sync!$O1684))</f>
        <v/>
      </c>
      <c r="V1684" t="str">
        <f>IF($N1684="","",Sync!$L1684)</f>
        <v/>
      </c>
      <c r="W1684" t="str">
        <f>IF($N1684="","",Sync!$P1684)</f>
        <v/>
      </c>
    </row>
    <row r="1685" spans="14:23" x14ac:dyDescent="0.2">
      <c r="N1685" t="str">
        <f>IF(OR(Sync!$M1685="",$Q1685="",$Q1685="نامعتبر"),"",Sync!$M1685)</f>
        <v/>
      </c>
      <c r="O1685" t="str">
        <f t="shared" si="142"/>
        <v/>
      </c>
      <c r="P1685" t="str">
        <f>IF($N1685="","",LEFT($Q1685,4)&amp;MID($Q1685,6,2)&amp;RIGHT($Q1685,2)&amp;IF(Sync!$K1685="","0000",IF(AND(ISNUMBER(Sync!$K1685),Sync!$K1685&gt;=0,Sync!$K1685&lt;1),RIGHT("00"&amp;HOUR(Sync!$K1685),2)&amp;RIGHT("00"&amp;MINUTE(Sync!$K1685),2),IFERROR(RIGHT("00"&amp;VALUE(LEFT(Sync!$K1685,FIND(":",Sync!$K1685)-1)),2)&amp;RIGHT("00"&amp;VALUE(MID(Sync!$K1685,FIND(":",Sync!$K1685)+1,2)),2),"0000")))&amp;"|"&amp;"2"&amp;RIGHT("00000"&amp;1680,5))</f>
        <v/>
      </c>
      <c r="Q1685" t="str">
        <f>IF(Sync!$J1685="","",IF(ISNUMBER(Sync!$J1685),IF(AND(Sync!$J1685&gt;=10000101,Sync!$J1685&lt;=99991231),INT(Sync!$J1685/10000)&amp;"/"&amp;RIGHT("00"&amp;INT(MOD(Sync!$J1685,10000)/100),2)&amp;"/"&amp;RIGHT("00"&amp;MOD(Sync!$J1685,100),2),"نامعتبر"),IF(LEN(Sync!$J1685)=10,Sync!$J1685,"نامعتبر")))</f>
        <v/>
      </c>
      <c r="R1685" t="str">
        <f t="shared" si="143"/>
        <v/>
      </c>
      <c r="S1685" t="str">
        <f t="shared" si="144"/>
        <v/>
      </c>
      <c r="T1685" t="str">
        <f>IF($N1685="","",IF(Sync!$N1685="",0,Sync!$N1685))</f>
        <v/>
      </c>
      <c r="U1685" t="str">
        <f>IF($N1685="","",IF(Sync!$O1685="",0,Sync!$O1685))</f>
        <v/>
      </c>
      <c r="V1685" t="str">
        <f>IF($N1685="","",Sync!$L1685)</f>
        <v/>
      </c>
      <c r="W1685" t="str">
        <f>IF($N1685="","",Sync!$P1685)</f>
        <v/>
      </c>
    </row>
    <row r="1686" spans="14:23" x14ac:dyDescent="0.2">
      <c r="N1686" t="str">
        <f>IF(OR(Sync!$M1686="",$Q1686="",$Q1686="نامعتبر"),"",Sync!$M1686)</f>
        <v/>
      </c>
      <c r="O1686" t="str">
        <f t="shared" si="142"/>
        <v/>
      </c>
      <c r="P1686" t="str">
        <f>IF($N1686="","",LEFT($Q1686,4)&amp;MID($Q1686,6,2)&amp;RIGHT($Q1686,2)&amp;IF(Sync!$K1686="","0000",IF(AND(ISNUMBER(Sync!$K1686),Sync!$K1686&gt;=0,Sync!$K1686&lt;1),RIGHT("00"&amp;HOUR(Sync!$K1686),2)&amp;RIGHT("00"&amp;MINUTE(Sync!$K1686),2),IFERROR(RIGHT("00"&amp;VALUE(LEFT(Sync!$K1686,FIND(":",Sync!$K1686)-1)),2)&amp;RIGHT("00"&amp;VALUE(MID(Sync!$K1686,FIND(":",Sync!$K1686)+1,2)),2),"0000")))&amp;"|"&amp;"2"&amp;RIGHT("00000"&amp;1681,5))</f>
        <v/>
      </c>
      <c r="Q1686" t="str">
        <f>IF(Sync!$J1686="","",IF(ISNUMBER(Sync!$J1686),IF(AND(Sync!$J1686&gt;=10000101,Sync!$J1686&lt;=99991231),INT(Sync!$J1686/10000)&amp;"/"&amp;RIGHT("00"&amp;INT(MOD(Sync!$J1686,10000)/100),2)&amp;"/"&amp;RIGHT("00"&amp;MOD(Sync!$J1686,100),2),"نامعتبر"),IF(LEN(Sync!$J1686)=10,Sync!$J1686,"نامعتبر")))</f>
        <v/>
      </c>
      <c r="R1686" t="str">
        <f t="shared" si="143"/>
        <v/>
      </c>
      <c r="S1686" t="str">
        <f t="shared" si="144"/>
        <v/>
      </c>
      <c r="T1686" t="str">
        <f>IF($N1686="","",IF(Sync!$N1686="",0,Sync!$N1686))</f>
        <v/>
      </c>
      <c r="U1686" t="str">
        <f>IF($N1686="","",IF(Sync!$O1686="",0,Sync!$O1686))</f>
        <v/>
      </c>
      <c r="V1686" t="str">
        <f>IF($N1686="","",Sync!$L1686)</f>
        <v/>
      </c>
      <c r="W1686" t="str">
        <f>IF($N1686="","",Sync!$P1686)</f>
        <v/>
      </c>
    </row>
    <row r="1687" spans="14:23" x14ac:dyDescent="0.2">
      <c r="N1687" t="str">
        <f>IF(OR(Sync!$M1687="",$Q1687="",$Q1687="نامعتبر"),"",Sync!$M1687)</f>
        <v/>
      </c>
      <c r="O1687" t="str">
        <f t="shared" si="142"/>
        <v/>
      </c>
      <c r="P1687" t="str">
        <f>IF($N1687="","",LEFT($Q1687,4)&amp;MID($Q1687,6,2)&amp;RIGHT($Q1687,2)&amp;IF(Sync!$K1687="","0000",IF(AND(ISNUMBER(Sync!$K1687),Sync!$K1687&gt;=0,Sync!$K1687&lt;1),RIGHT("00"&amp;HOUR(Sync!$K1687),2)&amp;RIGHT("00"&amp;MINUTE(Sync!$K1687),2),IFERROR(RIGHT("00"&amp;VALUE(LEFT(Sync!$K1687,FIND(":",Sync!$K1687)-1)),2)&amp;RIGHT("00"&amp;VALUE(MID(Sync!$K1687,FIND(":",Sync!$K1687)+1,2)),2),"0000")))&amp;"|"&amp;"2"&amp;RIGHT("00000"&amp;1682,5))</f>
        <v/>
      </c>
      <c r="Q1687" t="str">
        <f>IF(Sync!$J1687="","",IF(ISNUMBER(Sync!$J1687),IF(AND(Sync!$J1687&gt;=10000101,Sync!$J1687&lt;=99991231),INT(Sync!$J1687/10000)&amp;"/"&amp;RIGHT("00"&amp;INT(MOD(Sync!$J1687,10000)/100),2)&amp;"/"&amp;RIGHT("00"&amp;MOD(Sync!$J1687,100),2),"نامعتبر"),IF(LEN(Sync!$J1687)=10,Sync!$J1687,"نامعتبر")))</f>
        <v/>
      </c>
      <c r="R1687" t="str">
        <f t="shared" si="143"/>
        <v/>
      </c>
      <c r="S1687" t="str">
        <f t="shared" si="144"/>
        <v/>
      </c>
      <c r="T1687" t="str">
        <f>IF($N1687="","",IF(Sync!$N1687="",0,Sync!$N1687))</f>
        <v/>
      </c>
      <c r="U1687" t="str">
        <f>IF($N1687="","",IF(Sync!$O1687="",0,Sync!$O1687))</f>
        <v/>
      </c>
      <c r="V1687" t="str">
        <f>IF($N1687="","",Sync!$L1687)</f>
        <v/>
      </c>
      <c r="W1687" t="str">
        <f>IF($N1687="","",Sync!$P1687)</f>
        <v/>
      </c>
    </row>
    <row r="1688" spans="14:23" x14ac:dyDescent="0.2">
      <c r="N1688" t="str">
        <f>IF(OR(Sync!$M1688="",$Q1688="",$Q1688="نامعتبر"),"",Sync!$M1688)</f>
        <v/>
      </c>
      <c r="O1688" t="str">
        <f t="shared" si="142"/>
        <v/>
      </c>
      <c r="P1688" t="str">
        <f>IF($N1688="","",LEFT($Q1688,4)&amp;MID($Q1688,6,2)&amp;RIGHT($Q1688,2)&amp;IF(Sync!$K1688="","0000",IF(AND(ISNUMBER(Sync!$K1688),Sync!$K1688&gt;=0,Sync!$K1688&lt;1),RIGHT("00"&amp;HOUR(Sync!$K1688),2)&amp;RIGHT("00"&amp;MINUTE(Sync!$K1688),2),IFERROR(RIGHT("00"&amp;VALUE(LEFT(Sync!$K1688,FIND(":",Sync!$K1688)-1)),2)&amp;RIGHT("00"&amp;VALUE(MID(Sync!$K1688,FIND(":",Sync!$K1688)+1,2)),2),"0000")))&amp;"|"&amp;"2"&amp;RIGHT("00000"&amp;1683,5))</f>
        <v/>
      </c>
      <c r="Q1688" t="str">
        <f>IF(Sync!$J1688="","",IF(ISNUMBER(Sync!$J1688),IF(AND(Sync!$J1688&gt;=10000101,Sync!$J1688&lt;=99991231),INT(Sync!$J1688/10000)&amp;"/"&amp;RIGHT("00"&amp;INT(MOD(Sync!$J1688,10000)/100),2)&amp;"/"&amp;RIGHT("00"&amp;MOD(Sync!$J1688,100),2),"نامعتبر"),IF(LEN(Sync!$J1688)=10,Sync!$J1688,"نامعتبر")))</f>
        <v/>
      </c>
      <c r="R1688" t="str">
        <f t="shared" si="143"/>
        <v/>
      </c>
      <c r="S1688" t="str">
        <f t="shared" si="144"/>
        <v/>
      </c>
      <c r="T1688" t="str">
        <f>IF($N1688="","",IF(Sync!$N1688="",0,Sync!$N1688))</f>
        <v/>
      </c>
      <c r="U1688" t="str">
        <f>IF($N1688="","",IF(Sync!$O1688="",0,Sync!$O1688))</f>
        <v/>
      </c>
      <c r="V1688" t="str">
        <f>IF($N1688="","",Sync!$L1688)</f>
        <v/>
      </c>
      <c r="W1688" t="str">
        <f>IF($N1688="","",Sync!$P1688)</f>
        <v/>
      </c>
    </row>
    <row r="1689" spans="14:23" x14ac:dyDescent="0.2">
      <c r="N1689" t="str">
        <f>IF(OR(Sync!$M1689="",$Q1689="",$Q1689="نامعتبر"),"",Sync!$M1689)</f>
        <v/>
      </c>
      <c r="O1689" t="str">
        <f t="shared" si="142"/>
        <v/>
      </c>
      <c r="P1689" t="str">
        <f>IF($N1689="","",LEFT($Q1689,4)&amp;MID($Q1689,6,2)&amp;RIGHT($Q1689,2)&amp;IF(Sync!$K1689="","0000",IF(AND(ISNUMBER(Sync!$K1689),Sync!$K1689&gt;=0,Sync!$K1689&lt;1),RIGHT("00"&amp;HOUR(Sync!$K1689),2)&amp;RIGHT("00"&amp;MINUTE(Sync!$K1689),2),IFERROR(RIGHT("00"&amp;VALUE(LEFT(Sync!$K1689,FIND(":",Sync!$K1689)-1)),2)&amp;RIGHT("00"&amp;VALUE(MID(Sync!$K1689,FIND(":",Sync!$K1689)+1,2)),2),"0000")))&amp;"|"&amp;"2"&amp;RIGHT("00000"&amp;1684,5))</f>
        <v/>
      </c>
      <c r="Q1689" t="str">
        <f>IF(Sync!$J1689="","",IF(ISNUMBER(Sync!$J1689),IF(AND(Sync!$J1689&gt;=10000101,Sync!$J1689&lt;=99991231),INT(Sync!$J1689/10000)&amp;"/"&amp;RIGHT("00"&amp;INT(MOD(Sync!$J1689,10000)/100),2)&amp;"/"&amp;RIGHT("00"&amp;MOD(Sync!$J1689,100),2),"نامعتبر"),IF(LEN(Sync!$J1689)=10,Sync!$J1689,"نامعتبر")))</f>
        <v/>
      </c>
      <c r="R1689" t="str">
        <f t="shared" si="143"/>
        <v/>
      </c>
      <c r="S1689" t="str">
        <f t="shared" si="144"/>
        <v/>
      </c>
      <c r="T1689" t="str">
        <f>IF($N1689="","",IF(Sync!$N1689="",0,Sync!$N1689))</f>
        <v/>
      </c>
      <c r="U1689" t="str">
        <f>IF($N1689="","",IF(Sync!$O1689="",0,Sync!$O1689))</f>
        <v/>
      </c>
      <c r="V1689" t="str">
        <f>IF($N1689="","",Sync!$L1689)</f>
        <v/>
      </c>
      <c r="W1689" t="str">
        <f>IF($N1689="","",Sync!$P1689)</f>
        <v/>
      </c>
    </row>
    <row r="1690" spans="14:23" x14ac:dyDescent="0.2">
      <c r="N1690" t="str">
        <f>IF(OR(Sync!$M1690="",$Q1690="",$Q1690="نامعتبر"),"",Sync!$M1690)</f>
        <v/>
      </c>
      <c r="O1690" t="str">
        <f t="shared" si="142"/>
        <v/>
      </c>
      <c r="P1690" t="str">
        <f>IF($N1690="","",LEFT($Q1690,4)&amp;MID($Q1690,6,2)&amp;RIGHT($Q1690,2)&amp;IF(Sync!$K1690="","0000",IF(AND(ISNUMBER(Sync!$K1690),Sync!$K1690&gt;=0,Sync!$K1690&lt;1),RIGHT("00"&amp;HOUR(Sync!$K1690),2)&amp;RIGHT("00"&amp;MINUTE(Sync!$K1690),2),IFERROR(RIGHT("00"&amp;VALUE(LEFT(Sync!$K1690,FIND(":",Sync!$K1690)-1)),2)&amp;RIGHT("00"&amp;VALUE(MID(Sync!$K1690,FIND(":",Sync!$K1690)+1,2)),2),"0000")))&amp;"|"&amp;"2"&amp;RIGHT("00000"&amp;1685,5))</f>
        <v/>
      </c>
      <c r="Q1690" t="str">
        <f>IF(Sync!$J1690="","",IF(ISNUMBER(Sync!$J1690),IF(AND(Sync!$J1690&gt;=10000101,Sync!$J1690&lt;=99991231),INT(Sync!$J1690/10000)&amp;"/"&amp;RIGHT("00"&amp;INT(MOD(Sync!$J1690,10000)/100),2)&amp;"/"&amp;RIGHT("00"&amp;MOD(Sync!$J1690,100),2),"نامعتبر"),IF(LEN(Sync!$J1690)=10,Sync!$J1690,"نامعتبر")))</f>
        <v/>
      </c>
      <c r="R1690" t="str">
        <f t="shared" si="143"/>
        <v/>
      </c>
      <c r="S1690" t="str">
        <f t="shared" si="144"/>
        <v/>
      </c>
      <c r="T1690" t="str">
        <f>IF($N1690="","",IF(Sync!$N1690="",0,Sync!$N1690))</f>
        <v/>
      </c>
      <c r="U1690" t="str">
        <f>IF($N1690="","",IF(Sync!$O1690="",0,Sync!$O1690))</f>
        <v/>
      </c>
      <c r="V1690" t="str">
        <f>IF($N1690="","",Sync!$L1690)</f>
        <v/>
      </c>
      <c r="W1690" t="str">
        <f>IF($N1690="","",Sync!$P1690)</f>
        <v/>
      </c>
    </row>
    <row r="1691" spans="14:23" x14ac:dyDescent="0.2">
      <c r="N1691" t="str">
        <f>IF(OR(Sync!$M1691="",$Q1691="",$Q1691="نامعتبر"),"",Sync!$M1691)</f>
        <v/>
      </c>
      <c r="O1691" t="str">
        <f t="shared" si="142"/>
        <v/>
      </c>
      <c r="P1691" t="str">
        <f>IF($N1691="","",LEFT($Q1691,4)&amp;MID($Q1691,6,2)&amp;RIGHT($Q1691,2)&amp;IF(Sync!$K1691="","0000",IF(AND(ISNUMBER(Sync!$K1691),Sync!$K1691&gt;=0,Sync!$K1691&lt;1),RIGHT("00"&amp;HOUR(Sync!$K1691),2)&amp;RIGHT("00"&amp;MINUTE(Sync!$K1691),2),IFERROR(RIGHT("00"&amp;VALUE(LEFT(Sync!$K1691,FIND(":",Sync!$K1691)-1)),2)&amp;RIGHT("00"&amp;VALUE(MID(Sync!$K1691,FIND(":",Sync!$K1691)+1,2)),2),"0000")))&amp;"|"&amp;"2"&amp;RIGHT("00000"&amp;1686,5))</f>
        <v/>
      </c>
      <c r="Q1691" t="str">
        <f>IF(Sync!$J1691="","",IF(ISNUMBER(Sync!$J1691),IF(AND(Sync!$J1691&gt;=10000101,Sync!$J1691&lt;=99991231),INT(Sync!$J1691/10000)&amp;"/"&amp;RIGHT("00"&amp;INT(MOD(Sync!$J1691,10000)/100),2)&amp;"/"&amp;RIGHT("00"&amp;MOD(Sync!$J1691,100),2),"نامعتبر"),IF(LEN(Sync!$J1691)=10,Sync!$J1691,"نامعتبر")))</f>
        <v/>
      </c>
      <c r="R1691" t="str">
        <f t="shared" si="143"/>
        <v/>
      </c>
      <c r="S1691" t="str">
        <f t="shared" si="144"/>
        <v/>
      </c>
      <c r="T1691" t="str">
        <f>IF($N1691="","",IF(Sync!$N1691="",0,Sync!$N1691))</f>
        <v/>
      </c>
      <c r="U1691" t="str">
        <f>IF($N1691="","",IF(Sync!$O1691="",0,Sync!$O1691))</f>
        <v/>
      </c>
      <c r="V1691" t="str">
        <f>IF($N1691="","",Sync!$L1691)</f>
        <v/>
      </c>
      <c r="W1691" t="str">
        <f>IF($N1691="","",Sync!$P1691)</f>
        <v/>
      </c>
    </row>
    <row r="1692" spans="14:23" x14ac:dyDescent="0.2">
      <c r="N1692" t="str">
        <f>IF(OR(Sync!$M1692="",$Q1692="",$Q1692="نامعتبر"),"",Sync!$M1692)</f>
        <v/>
      </c>
      <c r="O1692" t="str">
        <f t="shared" si="142"/>
        <v/>
      </c>
      <c r="P1692" t="str">
        <f>IF($N1692="","",LEFT($Q1692,4)&amp;MID($Q1692,6,2)&amp;RIGHT($Q1692,2)&amp;IF(Sync!$K1692="","0000",IF(AND(ISNUMBER(Sync!$K1692),Sync!$K1692&gt;=0,Sync!$K1692&lt;1),RIGHT("00"&amp;HOUR(Sync!$K1692),2)&amp;RIGHT("00"&amp;MINUTE(Sync!$K1692),2),IFERROR(RIGHT("00"&amp;VALUE(LEFT(Sync!$K1692,FIND(":",Sync!$K1692)-1)),2)&amp;RIGHT("00"&amp;VALUE(MID(Sync!$K1692,FIND(":",Sync!$K1692)+1,2)),2),"0000")))&amp;"|"&amp;"2"&amp;RIGHT("00000"&amp;1687,5))</f>
        <v/>
      </c>
      <c r="Q1692" t="str">
        <f>IF(Sync!$J1692="","",IF(ISNUMBER(Sync!$J1692),IF(AND(Sync!$J1692&gt;=10000101,Sync!$J1692&lt;=99991231),INT(Sync!$J1692/10000)&amp;"/"&amp;RIGHT("00"&amp;INT(MOD(Sync!$J1692,10000)/100),2)&amp;"/"&amp;RIGHT("00"&amp;MOD(Sync!$J1692,100),2),"نامعتبر"),IF(LEN(Sync!$J1692)=10,Sync!$J1692,"نامعتبر")))</f>
        <v/>
      </c>
      <c r="R1692" t="str">
        <f t="shared" si="143"/>
        <v/>
      </c>
      <c r="S1692" t="str">
        <f t="shared" si="144"/>
        <v/>
      </c>
      <c r="T1692" t="str">
        <f>IF($N1692="","",IF(Sync!$N1692="",0,Sync!$N1692))</f>
        <v/>
      </c>
      <c r="U1692" t="str">
        <f>IF($N1692="","",IF(Sync!$O1692="",0,Sync!$O1692))</f>
        <v/>
      </c>
      <c r="V1692" t="str">
        <f>IF($N1692="","",Sync!$L1692)</f>
        <v/>
      </c>
      <c r="W1692" t="str">
        <f>IF($N1692="","",Sync!$P1692)</f>
        <v/>
      </c>
    </row>
    <row r="1693" spans="14:23" x14ac:dyDescent="0.2">
      <c r="N1693" t="str">
        <f>IF(OR(Sync!$M1693="",$Q1693="",$Q1693="نامعتبر"),"",Sync!$M1693)</f>
        <v/>
      </c>
      <c r="O1693" t="str">
        <f t="shared" si="142"/>
        <v/>
      </c>
      <c r="P1693" t="str">
        <f>IF($N1693="","",LEFT($Q1693,4)&amp;MID($Q1693,6,2)&amp;RIGHT($Q1693,2)&amp;IF(Sync!$K1693="","0000",IF(AND(ISNUMBER(Sync!$K1693),Sync!$K1693&gt;=0,Sync!$K1693&lt;1),RIGHT("00"&amp;HOUR(Sync!$K1693),2)&amp;RIGHT("00"&amp;MINUTE(Sync!$K1693),2),IFERROR(RIGHT("00"&amp;VALUE(LEFT(Sync!$K1693,FIND(":",Sync!$K1693)-1)),2)&amp;RIGHT("00"&amp;VALUE(MID(Sync!$K1693,FIND(":",Sync!$K1693)+1,2)),2),"0000")))&amp;"|"&amp;"2"&amp;RIGHT("00000"&amp;1688,5))</f>
        <v/>
      </c>
      <c r="Q1693" t="str">
        <f>IF(Sync!$J1693="","",IF(ISNUMBER(Sync!$J1693),IF(AND(Sync!$J1693&gt;=10000101,Sync!$J1693&lt;=99991231),INT(Sync!$J1693/10000)&amp;"/"&amp;RIGHT("00"&amp;INT(MOD(Sync!$J1693,10000)/100),2)&amp;"/"&amp;RIGHT("00"&amp;MOD(Sync!$J1693,100),2),"نامعتبر"),IF(LEN(Sync!$J1693)=10,Sync!$J1693,"نامعتبر")))</f>
        <v/>
      </c>
      <c r="R1693" t="str">
        <f t="shared" si="143"/>
        <v/>
      </c>
      <c r="S1693" t="str">
        <f t="shared" si="144"/>
        <v/>
      </c>
      <c r="T1693" t="str">
        <f>IF($N1693="","",IF(Sync!$N1693="",0,Sync!$N1693))</f>
        <v/>
      </c>
      <c r="U1693" t="str">
        <f>IF($N1693="","",IF(Sync!$O1693="",0,Sync!$O1693))</f>
        <v/>
      </c>
      <c r="V1693" t="str">
        <f>IF($N1693="","",Sync!$L1693)</f>
        <v/>
      </c>
      <c r="W1693" t="str">
        <f>IF($N1693="","",Sync!$P1693)</f>
        <v/>
      </c>
    </row>
    <row r="1694" spans="14:23" x14ac:dyDescent="0.2">
      <c r="N1694" t="str">
        <f>IF(OR(Sync!$M1694="",$Q1694="",$Q1694="نامعتبر"),"",Sync!$M1694)</f>
        <v/>
      </c>
      <c r="O1694" t="str">
        <f t="shared" si="142"/>
        <v/>
      </c>
      <c r="P1694" t="str">
        <f>IF($N1694="","",LEFT($Q1694,4)&amp;MID($Q1694,6,2)&amp;RIGHT($Q1694,2)&amp;IF(Sync!$K1694="","0000",IF(AND(ISNUMBER(Sync!$K1694),Sync!$K1694&gt;=0,Sync!$K1694&lt;1),RIGHT("00"&amp;HOUR(Sync!$K1694),2)&amp;RIGHT("00"&amp;MINUTE(Sync!$K1694),2),IFERROR(RIGHT("00"&amp;VALUE(LEFT(Sync!$K1694,FIND(":",Sync!$K1694)-1)),2)&amp;RIGHT("00"&amp;VALUE(MID(Sync!$K1694,FIND(":",Sync!$K1694)+1,2)),2),"0000")))&amp;"|"&amp;"2"&amp;RIGHT("00000"&amp;1689,5))</f>
        <v/>
      </c>
      <c r="Q1694" t="str">
        <f>IF(Sync!$J1694="","",IF(ISNUMBER(Sync!$J1694),IF(AND(Sync!$J1694&gt;=10000101,Sync!$J1694&lt;=99991231),INT(Sync!$J1694/10000)&amp;"/"&amp;RIGHT("00"&amp;INT(MOD(Sync!$J1694,10000)/100),2)&amp;"/"&amp;RIGHT("00"&amp;MOD(Sync!$J1694,100),2),"نامعتبر"),IF(LEN(Sync!$J1694)=10,Sync!$J1694,"نامعتبر")))</f>
        <v/>
      </c>
      <c r="R1694" t="str">
        <f t="shared" si="143"/>
        <v/>
      </c>
      <c r="S1694" t="str">
        <f t="shared" si="144"/>
        <v/>
      </c>
      <c r="T1694" t="str">
        <f>IF($N1694="","",IF(Sync!$N1694="",0,Sync!$N1694))</f>
        <v/>
      </c>
      <c r="U1694" t="str">
        <f>IF($N1694="","",IF(Sync!$O1694="",0,Sync!$O1694))</f>
        <v/>
      </c>
      <c r="V1694" t="str">
        <f>IF($N1694="","",Sync!$L1694)</f>
        <v/>
      </c>
      <c r="W1694" t="str">
        <f>IF($N1694="","",Sync!$P1694)</f>
        <v/>
      </c>
    </row>
    <row r="1695" spans="14:23" x14ac:dyDescent="0.2">
      <c r="N1695" t="str">
        <f>IF(OR(Sync!$M1695="",$Q1695="",$Q1695="نامعتبر"),"",Sync!$M1695)</f>
        <v/>
      </c>
      <c r="O1695" t="str">
        <f t="shared" si="142"/>
        <v/>
      </c>
      <c r="P1695" t="str">
        <f>IF($N1695="","",LEFT($Q1695,4)&amp;MID($Q1695,6,2)&amp;RIGHT($Q1695,2)&amp;IF(Sync!$K1695="","0000",IF(AND(ISNUMBER(Sync!$K1695),Sync!$K1695&gt;=0,Sync!$K1695&lt;1),RIGHT("00"&amp;HOUR(Sync!$K1695),2)&amp;RIGHT("00"&amp;MINUTE(Sync!$K1695),2),IFERROR(RIGHT("00"&amp;VALUE(LEFT(Sync!$K1695,FIND(":",Sync!$K1695)-1)),2)&amp;RIGHT("00"&amp;VALUE(MID(Sync!$K1695,FIND(":",Sync!$K1695)+1,2)),2),"0000")))&amp;"|"&amp;"2"&amp;RIGHT("00000"&amp;1690,5))</f>
        <v/>
      </c>
      <c r="Q1695" t="str">
        <f>IF(Sync!$J1695="","",IF(ISNUMBER(Sync!$J1695),IF(AND(Sync!$J1695&gt;=10000101,Sync!$J1695&lt;=99991231),INT(Sync!$J1695/10000)&amp;"/"&amp;RIGHT("00"&amp;INT(MOD(Sync!$J1695,10000)/100),2)&amp;"/"&amp;RIGHT("00"&amp;MOD(Sync!$J1695,100),2),"نامعتبر"),IF(LEN(Sync!$J1695)=10,Sync!$J1695,"نامعتبر")))</f>
        <v/>
      </c>
      <c r="R1695" t="str">
        <f t="shared" si="143"/>
        <v/>
      </c>
      <c r="S1695" t="str">
        <f t="shared" si="144"/>
        <v/>
      </c>
      <c r="T1695" t="str">
        <f>IF($N1695="","",IF(Sync!$N1695="",0,Sync!$N1695))</f>
        <v/>
      </c>
      <c r="U1695" t="str">
        <f>IF($N1695="","",IF(Sync!$O1695="",0,Sync!$O1695))</f>
        <v/>
      </c>
      <c r="V1695" t="str">
        <f>IF($N1695="","",Sync!$L1695)</f>
        <v/>
      </c>
      <c r="W1695" t="str">
        <f>IF($N1695="","",Sync!$P1695)</f>
        <v/>
      </c>
    </row>
    <row r="1696" spans="14:23" x14ac:dyDescent="0.2">
      <c r="N1696" t="str">
        <f>IF(OR(Sync!$M1696="",$Q1696="",$Q1696="نامعتبر"),"",Sync!$M1696)</f>
        <v/>
      </c>
      <c r="O1696" t="str">
        <f t="shared" si="142"/>
        <v/>
      </c>
      <c r="P1696" t="str">
        <f>IF($N1696="","",LEFT($Q1696,4)&amp;MID($Q1696,6,2)&amp;RIGHT($Q1696,2)&amp;IF(Sync!$K1696="","0000",IF(AND(ISNUMBER(Sync!$K1696),Sync!$K1696&gt;=0,Sync!$K1696&lt;1),RIGHT("00"&amp;HOUR(Sync!$K1696),2)&amp;RIGHT("00"&amp;MINUTE(Sync!$K1696),2),IFERROR(RIGHT("00"&amp;VALUE(LEFT(Sync!$K1696,FIND(":",Sync!$K1696)-1)),2)&amp;RIGHT("00"&amp;VALUE(MID(Sync!$K1696,FIND(":",Sync!$K1696)+1,2)),2),"0000")))&amp;"|"&amp;"2"&amp;RIGHT("00000"&amp;1691,5))</f>
        <v/>
      </c>
      <c r="Q1696" t="str">
        <f>IF(Sync!$J1696="","",IF(ISNUMBER(Sync!$J1696),IF(AND(Sync!$J1696&gt;=10000101,Sync!$J1696&lt;=99991231),INT(Sync!$J1696/10000)&amp;"/"&amp;RIGHT("00"&amp;INT(MOD(Sync!$J1696,10000)/100),2)&amp;"/"&amp;RIGHT("00"&amp;MOD(Sync!$J1696,100),2),"نامعتبر"),IF(LEN(Sync!$J1696)=10,Sync!$J1696,"نامعتبر")))</f>
        <v/>
      </c>
      <c r="R1696" t="str">
        <f t="shared" si="143"/>
        <v/>
      </c>
      <c r="S1696" t="str">
        <f t="shared" si="144"/>
        <v/>
      </c>
      <c r="T1696" t="str">
        <f>IF($N1696="","",IF(Sync!$N1696="",0,Sync!$N1696))</f>
        <v/>
      </c>
      <c r="U1696" t="str">
        <f>IF($N1696="","",IF(Sync!$O1696="",0,Sync!$O1696))</f>
        <v/>
      </c>
      <c r="V1696" t="str">
        <f>IF($N1696="","",Sync!$L1696)</f>
        <v/>
      </c>
      <c r="W1696" t="str">
        <f>IF($N1696="","",Sync!$P1696)</f>
        <v/>
      </c>
    </row>
    <row r="1697" spans="14:23" x14ac:dyDescent="0.2">
      <c r="N1697" t="str">
        <f>IF(OR(Sync!$M1697="",$Q1697="",$Q1697="نامعتبر"),"",Sync!$M1697)</f>
        <v/>
      </c>
      <c r="O1697" t="str">
        <f t="shared" si="142"/>
        <v/>
      </c>
      <c r="P1697" t="str">
        <f>IF($N1697="","",LEFT($Q1697,4)&amp;MID($Q1697,6,2)&amp;RIGHT($Q1697,2)&amp;IF(Sync!$K1697="","0000",IF(AND(ISNUMBER(Sync!$K1697),Sync!$K1697&gt;=0,Sync!$K1697&lt;1),RIGHT("00"&amp;HOUR(Sync!$K1697),2)&amp;RIGHT("00"&amp;MINUTE(Sync!$K1697),2),IFERROR(RIGHT("00"&amp;VALUE(LEFT(Sync!$K1697,FIND(":",Sync!$K1697)-1)),2)&amp;RIGHT("00"&amp;VALUE(MID(Sync!$K1697,FIND(":",Sync!$K1697)+1,2)),2),"0000")))&amp;"|"&amp;"2"&amp;RIGHT("00000"&amp;1692,5))</f>
        <v/>
      </c>
      <c r="Q1697" t="str">
        <f>IF(Sync!$J1697="","",IF(ISNUMBER(Sync!$J1697),IF(AND(Sync!$J1697&gt;=10000101,Sync!$J1697&lt;=99991231),INT(Sync!$J1697/10000)&amp;"/"&amp;RIGHT("00"&amp;INT(MOD(Sync!$J1697,10000)/100),2)&amp;"/"&amp;RIGHT("00"&amp;MOD(Sync!$J1697,100),2),"نامعتبر"),IF(LEN(Sync!$J1697)=10,Sync!$J1697,"نامعتبر")))</f>
        <v/>
      </c>
      <c r="R1697" t="str">
        <f t="shared" si="143"/>
        <v/>
      </c>
      <c r="S1697" t="str">
        <f t="shared" si="144"/>
        <v/>
      </c>
      <c r="T1697" t="str">
        <f>IF($N1697="","",IF(Sync!$N1697="",0,Sync!$N1697))</f>
        <v/>
      </c>
      <c r="U1697" t="str">
        <f>IF($N1697="","",IF(Sync!$O1697="",0,Sync!$O1697))</f>
        <v/>
      </c>
      <c r="V1697" t="str">
        <f>IF($N1697="","",Sync!$L1697)</f>
        <v/>
      </c>
      <c r="W1697" t="str">
        <f>IF($N1697="","",Sync!$P1697)</f>
        <v/>
      </c>
    </row>
    <row r="1698" spans="14:23" x14ac:dyDescent="0.2">
      <c r="N1698" t="str">
        <f>IF(OR(Sync!$M1698="",$Q1698="",$Q1698="نامعتبر"),"",Sync!$M1698)</f>
        <v/>
      </c>
      <c r="O1698" t="str">
        <f t="shared" si="142"/>
        <v/>
      </c>
      <c r="P1698" t="str">
        <f>IF($N1698="","",LEFT($Q1698,4)&amp;MID($Q1698,6,2)&amp;RIGHT($Q1698,2)&amp;IF(Sync!$K1698="","0000",IF(AND(ISNUMBER(Sync!$K1698),Sync!$K1698&gt;=0,Sync!$K1698&lt;1),RIGHT("00"&amp;HOUR(Sync!$K1698),2)&amp;RIGHT("00"&amp;MINUTE(Sync!$K1698),2),IFERROR(RIGHT("00"&amp;VALUE(LEFT(Sync!$K1698,FIND(":",Sync!$K1698)-1)),2)&amp;RIGHT("00"&amp;VALUE(MID(Sync!$K1698,FIND(":",Sync!$K1698)+1,2)),2),"0000")))&amp;"|"&amp;"2"&amp;RIGHT("00000"&amp;1693,5))</f>
        <v/>
      </c>
      <c r="Q1698" t="str">
        <f>IF(Sync!$J1698="","",IF(ISNUMBER(Sync!$J1698),IF(AND(Sync!$J1698&gt;=10000101,Sync!$J1698&lt;=99991231),INT(Sync!$J1698/10000)&amp;"/"&amp;RIGHT("00"&amp;INT(MOD(Sync!$J1698,10000)/100),2)&amp;"/"&amp;RIGHT("00"&amp;MOD(Sync!$J1698,100),2),"نامعتبر"),IF(LEN(Sync!$J1698)=10,Sync!$J1698,"نامعتبر")))</f>
        <v/>
      </c>
      <c r="R1698" t="str">
        <f t="shared" si="143"/>
        <v/>
      </c>
      <c r="S1698" t="str">
        <f t="shared" si="144"/>
        <v/>
      </c>
      <c r="T1698" t="str">
        <f>IF($N1698="","",IF(Sync!$N1698="",0,Sync!$N1698))</f>
        <v/>
      </c>
      <c r="U1698" t="str">
        <f>IF($N1698="","",IF(Sync!$O1698="",0,Sync!$O1698))</f>
        <v/>
      </c>
      <c r="V1698" t="str">
        <f>IF($N1698="","",Sync!$L1698)</f>
        <v/>
      </c>
      <c r="W1698" t="str">
        <f>IF($N1698="","",Sync!$P1698)</f>
        <v/>
      </c>
    </row>
    <row r="1699" spans="14:23" x14ac:dyDescent="0.2">
      <c r="N1699" t="str">
        <f>IF(OR(Sync!$M1699="",$Q1699="",$Q1699="نامعتبر"),"",Sync!$M1699)</f>
        <v/>
      </c>
      <c r="O1699" t="str">
        <f t="shared" si="142"/>
        <v/>
      </c>
      <c r="P1699" t="str">
        <f>IF($N1699="","",LEFT($Q1699,4)&amp;MID($Q1699,6,2)&amp;RIGHT($Q1699,2)&amp;IF(Sync!$K1699="","0000",IF(AND(ISNUMBER(Sync!$K1699),Sync!$K1699&gt;=0,Sync!$K1699&lt;1),RIGHT("00"&amp;HOUR(Sync!$K1699),2)&amp;RIGHT("00"&amp;MINUTE(Sync!$K1699),2),IFERROR(RIGHT("00"&amp;VALUE(LEFT(Sync!$K1699,FIND(":",Sync!$K1699)-1)),2)&amp;RIGHT("00"&amp;VALUE(MID(Sync!$K1699,FIND(":",Sync!$K1699)+1,2)),2),"0000")))&amp;"|"&amp;"2"&amp;RIGHT("00000"&amp;1694,5))</f>
        <v/>
      </c>
      <c r="Q1699" t="str">
        <f>IF(Sync!$J1699="","",IF(ISNUMBER(Sync!$J1699),IF(AND(Sync!$J1699&gt;=10000101,Sync!$J1699&lt;=99991231),INT(Sync!$J1699/10000)&amp;"/"&amp;RIGHT("00"&amp;INT(MOD(Sync!$J1699,10000)/100),2)&amp;"/"&amp;RIGHT("00"&amp;MOD(Sync!$J1699,100),2),"نامعتبر"),IF(LEN(Sync!$J1699)=10,Sync!$J1699,"نامعتبر")))</f>
        <v/>
      </c>
      <c r="R1699" t="str">
        <f t="shared" si="143"/>
        <v/>
      </c>
      <c r="S1699" t="str">
        <f t="shared" si="144"/>
        <v/>
      </c>
      <c r="T1699" t="str">
        <f>IF($N1699="","",IF(Sync!$N1699="",0,Sync!$N1699))</f>
        <v/>
      </c>
      <c r="U1699" t="str">
        <f>IF($N1699="","",IF(Sync!$O1699="",0,Sync!$O1699))</f>
        <v/>
      </c>
      <c r="V1699" t="str">
        <f>IF($N1699="","",Sync!$L1699)</f>
        <v/>
      </c>
      <c r="W1699" t="str">
        <f>IF($N1699="","",Sync!$P1699)</f>
        <v/>
      </c>
    </row>
    <row r="1700" spans="14:23" x14ac:dyDescent="0.2">
      <c r="N1700" t="str">
        <f>IF(OR(Sync!$M1700="",$Q1700="",$Q1700="نامعتبر"),"",Sync!$M1700)</f>
        <v/>
      </c>
      <c r="O1700" t="str">
        <f t="shared" si="142"/>
        <v/>
      </c>
      <c r="P1700" t="str">
        <f>IF($N1700="","",LEFT($Q1700,4)&amp;MID($Q1700,6,2)&amp;RIGHT($Q1700,2)&amp;IF(Sync!$K1700="","0000",IF(AND(ISNUMBER(Sync!$K1700),Sync!$K1700&gt;=0,Sync!$K1700&lt;1),RIGHT("00"&amp;HOUR(Sync!$K1700),2)&amp;RIGHT("00"&amp;MINUTE(Sync!$K1700),2),IFERROR(RIGHT("00"&amp;VALUE(LEFT(Sync!$K1700,FIND(":",Sync!$K1700)-1)),2)&amp;RIGHT("00"&amp;VALUE(MID(Sync!$K1700,FIND(":",Sync!$K1700)+1,2)),2),"0000")))&amp;"|"&amp;"2"&amp;RIGHT("00000"&amp;1695,5))</f>
        <v/>
      </c>
      <c r="Q1700" t="str">
        <f>IF(Sync!$J1700="","",IF(ISNUMBER(Sync!$J1700),IF(AND(Sync!$J1700&gt;=10000101,Sync!$J1700&lt;=99991231),INT(Sync!$J1700/10000)&amp;"/"&amp;RIGHT("00"&amp;INT(MOD(Sync!$J1700,10000)/100),2)&amp;"/"&amp;RIGHT("00"&amp;MOD(Sync!$J1700,100),2),"نامعتبر"),IF(LEN(Sync!$J1700)=10,Sync!$J1700,"نامعتبر")))</f>
        <v/>
      </c>
      <c r="R1700" t="str">
        <f t="shared" si="143"/>
        <v/>
      </c>
      <c r="S1700" t="str">
        <f t="shared" si="144"/>
        <v/>
      </c>
      <c r="T1700" t="str">
        <f>IF($N1700="","",IF(Sync!$N1700="",0,Sync!$N1700))</f>
        <v/>
      </c>
      <c r="U1700" t="str">
        <f>IF($N1700="","",IF(Sync!$O1700="",0,Sync!$O1700))</f>
        <v/>
      </c>
      <c r="V1700" t="str">
        <f>IF($N1700="","",Sync!$L1700)</f>
        <v/>
      </c>
      <c r="W1700" t="str">
        <f>IF($N1700="","",Sync!$P1700)</f>
        <v/>
      </c>
    </row>
    <row r="1701" spans="14:23" x14ac:dyDescent="0.2">
      <c r="N1701" t="str">
        <f>IF(OR(Sync!$M1701="",$Q1701="",$Q1701="نامعتبر"),"",Sync!$M1701)</f>
        <v/>
      </c>
      <c r="O1701" t="str">
        <f t="shared" si="142"/>
        <v/>
      </c>
      <c r="P1701" t="str">
        <f>IF($N1701="","",LEFT($Q1701,4)&amp;MID($Q1701,6,2)&amp;RIGHT($Q1701,2)&amp;IF(Sync!$K1701="","0000",IF(AND(ISNUMBER(Sync!$K1701),Sync!$K1701&gt;=0,Sync!$K1701&lt;1),RIGHT("00"&amp;HOUR(Sync!$K1701),2)&amp;RIGHT("00"&amp;MINUTE(Sync!$K1701),2),IFERROR(RIGHT("00"&amp;VALUE(LEFT(Sync!$K1701,FIND(":",Sync!$K1701)-1)),2)&amp;RIGHT("00"&amp;VALUE(MID(Sync!$K1701,FIND(":",Sync!$K1701)+1,2)),2),"0000")))&amp;"|"&amp;"2"&amp;RIGHT("00000"&amp;1696,5))</f>
        <v/>
      </c>
      <c r="Q1701" t="str">
        <f>IF(Sync!$J1701="","",IF(ISNUMBER(Sync!$J1701),IF(AND(Sync!$J1701&gt;=10000101,Sync!$J1701&lt;=99991231),INT(Sync!$J1701/10000)&amp;"/"&amp;RIGHT("00"&amp;INT(MOD(Sync!$J1701,10000)/100),2)&amp;"/"&amp;RIGHT("00"&amp;MOD(Sync!$J1701,100),2),"نامعتبر"),IF(LEN(Sync!$J1701)=10,Sync!$J1701,"نامعتبر")))</f>
        <v/>
      </c>
      <c r="R1701" t="str">
        <f t="shared" si="143"/>
        <v/>
      </c>
      <c r="S1701" t="str">
        <f t="shared" si="144"/>
        <v/>
      </c>
      <c r="T1701" t="str">
        <f>IF($N1701="","",IF(Sync!$N1701="",0,Sync!$N1701))</f>
        <v/>
      </c>
      <c r="U1701" t="str">
        <f>IF($N1701="","",IF(Sync!$O1701="",0,Sync!$O1701))</f>
        <v/>
      </c>
      <c r="V1701" t="str">
        <f>IF($N1701="","",Sync!$L1701)</f>
        <v/>
      </c>
      <c r="W1701" t="str">
        <f>IF($N1701="","",Sync!$P1701)</f>
        <v/>
      </c>
    </row>
    <row r="1702" spans="14:23" x14ac:dyDescent="0.2">
      <c r="N1702" t="str">
        <f>IF(OR(Sync!$M1702="",$Q1702="",$Q1702="نامعتبر"),"",Sync!$M1702)</f>
        <v/>
      </c>
      <c r="O1702" t="str">
        <f t="shared" si="142"/>
        <v/>
      </c>
      <c r="P1702" t="str">
        <f>IF($N1702="","",LEFT($Q1702,4)&amp;MID($Q1702,6,2)&amp;RIGHT($Q1702,2)&amp;IF(Sync!$K1702="","0000",IF(AND(ISNUMBER(Sync!$K1702),Sync!$K1702&gt;=0,Sync!$K1702&lt;1),RIGHT("00"&amp;HOUR(Sync!$K1702),2)&amp;RIGHT("00"&amp;MINUTE(Sync!$K1702),2),IFERROR(RIGHT("00"&amp;VALUE(LEFT(Sync!$K1702,FIND(":",Sync!$K1702)-1)),2)&amp;RIGHT("00"&amp;VALUE(MID(Sync!$K1702,FIND(":",Sync!$K1702)+1,2)),2),"0000")))&amp;"|"&amp;"2"&amp;RIGHT("00000"&amp;1697,5))</f>
        <v/>
      </c>
      <c r="Q1702" t="str">
        <f>IF(Sync!$J1702="","",IF(ISNUMBER(Sync!$J1702),IF(AND(Sync!$J1702&gt;=10000101,Sync!$J1702&lt;=99991231),INT(Sync!$J1702/10000)&amp;"/"&amp;RIGHT("00"&amp;INT(MOD(Sync!$J1702,10000)/100),2)&amp;"/"&amp;RIGHT("00"&amp;MOD(Sync!$J1702,100),2),"نامعتبر"),IF(LEN(Sync!$J1702)=10,Sync!$J1702,"نامعتبر")))</f>
        <v/>
      </c>
      <c r="R1702" t="str">
        <f t="shared" si="143"/>
        <v/>
      </c>
      <c r="S1702" t="str">
        <f t="shared" si="144"/>
        <v/>
      </c>
      <c r="T1702" t="str">
        <f>IF($N1702="","",IF(Sync!$N1702="",0,Sync!$N1702))</f>
        <v/>
      </c>
      <c r="U1702" t="str">
        <f>IF($N1702="","",IF(Sync!$O1702="",0,Sync!$O1702))</f>
        <v/>
      </c>
      <c r="V1702" t="str">
        <f>IF($N1702="","",Sync!$L1702)</f>
        <v/>
      </c>
      <c r="W1702" t="str">
        <f>IF($N1702="","",Sync!$P1702)</f>
        <v/>
      </c>
    </row>
    <row r="1703" spans="14:23" x14ac:dyDescent="0.2">
      <c r="N1703" t="str">
        <f>IF(OR(Sync!$M1703="",$Q1703="",$Q1703="نامعتبر"),"",Sync!$M1703)</f>
        <v/>
      </c>
      <c r="O1703" t="str">
        <f t="shared" si="142"/>
        <v/>
      </c>
      <c r="P1703" t="str">
        <f>IF($N1703="","",LEFT($Q1703,4)&amp;MID($Q1703,6,2)&amp;RIGHT($Q1703,2)&amp;IF(Sync!$K1703="","0000",IF(AND(ISNUMBER(Sync!$K1703),Sync!$K1703&gt;=0,Sync!$K1703&lt;1),RIGHT("00"&amp;HOUR(Sync!$K1703),2)&amp;RIGHT("00"&amp;MINUTE(Sync!$K1703),2),IFERROR(RIGHT("00"&amp;VALUE(LEFT(Sync!$K1703,FIND(":",Sync!$K1703)-1)),2)&amp;RIGHT("00"&amp;VALUE(MID(Sync!$K1703,FIND(":",Sync!$K1703)+1,2)),2),"0000")))&amp;"|"&amp;"2"&amp;RIGHT("00000"&amp;1698,5))</f>
        <v/>
      </c>
      <c r="Q1703" t="str">
        <f>IF(Sync!$J1703="","",IF(ISNUMBER(Sync!$J1703),IF(AND(Sync!$J1703&gt;=10000101,Sync!$J1703&lt;=99991231),INT(Sync!$J1703/10000)&amp;"/"&amp;RIGHT("00"&amp;INT(MOD(Sync!$J1703,10000)/100),2)&amp;"/"&amp;RIGHT("00"&amp;MOD(Sync!$J1703,100),2),"نامعتبر"),IF(LEN(Sync!$J1703)=10,Sync!$J1703,"نامعتبر")))</f>
        <v/>
      </c>
      <c r="R1703" t="str">
        <f t="shared" si="143"/>
        <v/>
      </c>
      <c r="S1703" t="str">
        <f t="shared" si="144"/>
        <v/>
      </c>
      <c r="T1703" t="str">
        <f>IF($N1703="","",IF(Sync!$N1703="",0,Sync!$N1703))</f>
        <v/>
      </c>
      <c r="U1703" t="str">
        <f>IF($N1703="","",IF(Sync!$O1703="",0,Sync!$O1703))</f>
        <v/>
      </c>
      <c r="V1703" t="str">
        <f>IF($N1703="","",Sync!$L1703)</f>
        <v/>
      </c>
      <c r="W1703" t="str">
        <f>IF($N1703="","",Sync!$P1703)</f>
        <v/>
      </c>
    </row>
    <row r="1704" spans="14:23" x14ac:dyDescent="0.2">
      <c r="N1704" t="str">
        <f>IF(OR(Sync!$M1704="",$Q1704="",$Q1704="نامعتبر"),"",Sync!$M1704)</f>
        <v/>
      </c>
      <c r="O1704" t="str">
        <f t="shared" si="142"/>
        <v/>
      </c>
      <c r="P1704" t="str">
        <f>IF($N1704="","",LEFT($Q1704,4)&amp;MID($Q1704,6,2)&amp;RIGHT($Q1704,2)&amp;IF(Sync!$K1704="","0000",IF(AND(ISNUMBER(Sync!$K1704),Sync!$K1704&gt;=0,Sync!$K1704&lt;1),RIGHT("00"&amp;HOUR(Sync!$K1704),2)&amp;RIGHT("00"&amp;MINUTE(Sync!$K1704),2),IFERROR(RIGHT("00"&amp;VALUE(LEFT(Sync!$K1704,FIND(":",Sync!$K1704)-1)),2)&amp;RIGHT("00"&amp;VALUE(MID(Sync!$K1704,FIND(":",Sync!$K1704)+1,2)),2),"0000")))&amp;"|"&amp;"2"&amp;RIGHT("00000"&amp;1699,5))</f>
        <v/>
      </c>
      <c r="Q1704" t="str">
        <f>IF(Sync!$J1704="","",IF(ISNUMBER(Sync!$J1704),IF(AND(Sync!$J1704&gt;=10000101,Sync!$J1704&lt;=99991231),INT(Sync!$J1704/10000)&amp;"/"&amp;RIGHT("00"&amp;INT(MOD(Sync!$J1704,10000)/100),2)&amp;"/"&amp;RIGHT("00"&amp;MOD(Sync!$J1704,100),2),"نامعتبر"),IF(LEN(Sync!$J1704)=10,Sync!$J1704,"نامعتبر")))</f>
        <v/>
      </c>
      <c r="R1704" t="str">
        <f t="shared" si="143"/>
        <v/>
      </c>
      <c r="S1704" t="str">
        <f t="shared" si="144"/>
        <v/>
      </c>
      <c r="T1704" t="str">
        <f>IF($N1704="","",IF(Sync!$N1704="",0,Sync!$N1704))</f>
        <v/>
      </c>
      <c r="U1704" t="str">
        <f>IF($N1704="","",IF(Sync!$O1704="",0,Sync!$O1704))</f>
        <v/>
      </c>
      <c r="V1704" t="str">
        <f>IF($N1704="","",Sync!$L1704)</f>
        <v/>
      </c>
      <c r="W1704" t="str">
        <f>IF($N1704="","",Sync!$P1704)</f>
        <v/>
      </c>
    </row>
    <row r="1705" spans="14:23" x14ac:dyDescent="0.2">
      <c r="N1705" t="str">
        <f>IF(OR(Sync!$M1705="",$Q1705="",$Q1705="نامعتبر"),"",Sync!$M1705)</f>
        <v/>
      </c>
      <c r="O1705" t="str">
        <f t="shared" si="142"/>
        <v/>
      </c>
      <c r="P1705" t="str">
        <f>IF($N1705="","",LEFT($Q1705,4)&amp;MID($Q1705,6,2)&amp;RIGHT($Q1705,2)&amp;IF(Sync!$K1705="","0000",IF(AND(ISNUMBER(Sync!$K1705),Sync!$K1705&gt;=0,Sync!$K1705&lt;1),RIGHT("00"&amp;HOUR(Sync!$K1705),2)&amp;RIGHT("00"&amp;MINUTE(Sync!$K1705),2),IFERROR(RIGHT("00"&amp;VALUE(LEFT(Sync!$K1705,FIND(":",Sync!$K1705)-1)),2)&amp;RIGHT("00"&amp;VALUE(MID(Sync!$K1705,FIND(":",Sync!$K1705)+1,2)),2),"0000")))&amp;"|"&amp;"2"&amp;RIGHT("00000"&amp;1700,5))</f>
        <v/>
      </c>
      <c r="Q1705" t="str">
        <f>IF(Sync!$J1705="","",IF(ISNUMBER(Sync!$J1705),IF(AND(Sync!$J1705&gt;=10000101,Sync!$J1705&lt;=99991231),INT(Sync!$J1705/10000)&amp;"/"&amp;RIGHT("00"&amp;INT(MOD(Sync!$J1705,10000)/100),2)&amp;"/"&amp;RIGHT("00"&amp;MOD(Sync!$J1705,100),2),"نامعتبر"),IF(LEN(Sync!$J1705)=10,Sync!$J1705,"نامعتبر")))</f>
        <v/>
      </c>
      <c r="R1705" t="str">
        <f t="shared" si="143"/>
        <v/>
      </c>
      <c r="S1705" t="str">
        <f t="shared" si="144"/>
        <v/>
      </c>
      <c r="T1705" t="str">
        <f>IF($N1705="","",IF(Sync!$N1705="",0,Sync!$N1705))</f>
        <v/>
      </c>
      <c r="U1705" t="str">
        <f>IF($N1705="","",IF(Sync!$O1705="",0,Sync!$O1705))</f>
        <v/>
      </c>
      <c r="V1705" t="str">
        <f>IF($N1705="","",Sync!$L1705)</f>
        <v/>
      </c>
      <c r="W1705" t="str">
        <f>IF($N1705="","",Sync!$P1705)</f>
        <v/>
      </c>
    </row>
    <row r="1706" spans="14:23" x14ac:dyDescent="0.2">
      <c r="N1706" t="str">
        <f>IF(OR(Sync!$M1706="",$Q1706="",$Q1706="نامعتبر"),"",Sync!$M1706)</f>
        <v/>
      </c>
      <c r="O1706" t="str">
        <f t="shared" si="142"/>
        <v/>
      </c>
      <c r="P1706" t="str">
        <f>IF($N1706="","",LEFT($Q1706,4)&amp;MID($Q1706,6,2)&amp;RIGHT($Q1706,2)&amp;IF(Sync!$K1706="","0000",IF(AND(ISNUMBER(Sync!$K1706),Sync!$K1706&gt;=0,Sync!$K1706&lt;1),RIGHT("00"&amp;HOUR(Sync!$K1706),2)&amp;RIGHT("00"&amp;MINUTE(Sync!$K1706),2),IFERROR(RIGHT("00"&amp;VALUE(LEFT(Sync!$K1706,FIND(":",Sync!$K1706)-1)),2)&amp;RIGHT("00"&amp;VALUE(MID(Sync!$K1706,FIND(":",Sync!$K1706)+1,2)),2),"0000")))&amp;"|"&amp;"2"&amp;RIGHT("00000"&amp;1701,5))</f>
        <v/>
      </c>
      <c r="Q1706" t="str">
        <f>IF(Sync!$J1706="","",IF(ISNUMBER(Sync!$J1706),IF(AND(Sync!$J1706&gt;=10000101,Sync!$J1706&lt;=99991231),INT(Sync!$J1706/10000)&amp;"/"&amp;RIGHT("00"&amp;INT(MOD(Sync!$J1706,10000)/100),2)&amp;"/"&amp;RIGHT("00"&amp;MOD(Sync!$J1706,100),2),"نامعتبر"),IF(LEN(Sync!$J1706)=10,Sync!$J1706,"نامعتبر")))</f>
        <v/>
      </c>
      <c r="R1706" t="str">
        <f t="shared" si="143"/>
        <v/>
      </c>
      <c r="S1706" t="str">
        <f t="shared" si="144"/>
        <v/>
      </c>
      <c r="T1706" t="str">
        <f>IF($N1706="","",IF(Sync!$N1706="",0,Sync!$N1706))</f>
        <v/>
      </c>
      <c r="U1706" t="str">
        <f>IF($N1706="","",IF(Sync!$O1706="",0,Sync!$O1706))</f>
        <v/>
      </c>
      <c r="V1706" t="str">
        <f>IF($N1706="","",Sync!$L1706)</f>
        <v/>
      </c>
      <c r="W1706" t="str">
        <f>IF($N1706="","",Sync!$P1706)</f>
        <v/>
      </c>
    </row>
    <row r="1707" spans="14:23" x14ac:dyDescent="0.2">
      <c r="N1707" t="str">
        <f>IF(OR(Sync!$M1707="",$Q1707="",$Q1707="نامعتبر"),"",Sync!$M1707)</f>
        <v/>
      </c>
      <c r="O1707" t="str">
        <f t="shared" si="142"/>
        <v/>
      </c>
      <c r="P1707" t="str">
        <f>IF($N1707="","",LEFT($Q1707,4)&amp;MID($Q1707,6,2)&amp;RIGHT($Q1707,2)&amp;IF(Sync!$K1707="","0000",IF(AND(ISNUMBER(Sync!$K1707),Sync!$K1707&gt;=0,Sync!$K1707&lt;1),RIGHT("00"&amp;HOUR(Sync!$K1707),2)&amp;RIGHT("00"&amp;MINUTE(Sync!$K1707),2),IFERROR(RIGHT("00"&amp;VALUE(LEFT(Sync!$K1707,FIND(":",Sync!$K1707)-1)),2)&amp;RIGHT("00"&amp;VALUE(MID(Sync!$K1707,FIND(":",Sync!$K1707)+1,2)),2),"0000")))&amp;"|"&amp;"2"&amp;RIGHT("00000"&amp;1702,5))</f>
        <v/>
      </c>
      <c r="Q1707" t="str">
        <f>IF(Sync!$J1707="","",IF(ISNUMBER(Sync!$J1707),IF(AND(Sync!$J1707&gt;=10000101,Sync!$J1707&lt;=99991231),INT(Sync!$J1707/10000)&amp;"/"&amp;RIGHT("00"&amp;INT(MOD(Sync!$J1707,10000)/100),2)&amp;"/"&amp;RIGHT("00"&amp;MOD(Sync!$J1707,100),2),"نامعتبر"),IF(LEN(Sync!$J1707)=10,Sync!$J1707,"نامعتبر")))</f>
        <v/>
      </c>
      <c r="R1707" t="str">
        <f t="shared" si="143"/>
        <v/>
      </c>
      <c r="S1707" t="str">
        <f t="shared" si="144"/>
        <v/>
      </c>
      <c r="T1707" t="str">
        <f>IF($N1707="","",IF(Sync!$N1707="",0,Sync!$N1707))</f>
        <v/>
      </c>
      <c r="U1707" t="str">
        <f>IF($N1707="","",IF(Sync!$O1707="",0,Sync!$O1707))</f>
        <v/>
      </c>
      <c r="V1707" t="str">
        <f>IF($N1707="","",Sync!$L1707)</f>
        <v/>
      </c>
      <c r="W1707" t="str">
        <f>IF($N1707="","",Sync!$P1707)</f>
        <v/>
      </c>
    </row>
    <row r="1708" spans="14:23" x14ac:dyDescent="0.2">
      <c r="N1708" t="str">
        <f>IF(OR(Sync!$M1708="",$Q1708="",$Q1708="نامعتبر"),"",Sync!$M1708)</f>
        <v/>
      </c>
      <c r="O1708" t="str">
        <f t="shared" si="142"/>
        <v/>
      </c>
      <c r="P1708" t="str">
        <f>IF($N1708="","",LEFT($Q1708,4)&amp;MID($Q1708,6,2)&amp;RIGHT($Q1708,2)&amp;IF(Sync!$K1708="","0000",IF(AND(ISNUMBER(Sync!$K1708),Sync!$K1708&gt;=0,Sync!$K1708&lt;1),RIGHT("00"&amp;HOUR(Sync!$K1708),2)&amp;RIGHT("00"&amp;MINUTE(Sync!$K1708),2),IFERROR(RIGHT("00"&amp;VALUE(LEFT(Sync!$K1708,FIND(":",Sync!$K1708)-1)),2)&amp;RIGHT("00"&amp;VALUE(MID(Sync!$K1708,FIND(":",Sync!$K1708)+1,2)),2),"0000")))&amp;"|"&amp;"2"&amp;RIGHT("00000"&amp;1703,5))</f>
        <v/>
      </c>
      <c r="Q1708" t="str">
        <f>IF(Sync!$J1708="","",IF(ISNUMBER(Sync!$J1708),IF(AND(Sync!$J1708&gt;=10000101,Sync!$J1708&lt;=99991231),INT(Sync!$J1708/10000)&amp;"/"&amp;RIGHT("00"&amp;INT(MOD(Sync!$J1708,10000)/100),2)&amp;"/"&amp;RIGHT("00"&amp;MOD(Sync!$J1708,100),2),"نامعتبر"),IF(LEN(Sync!$J1708)=10,Sync!$J1708,"نامعتبر")))</f>
        <v/>
      </c>
      <c r="R1708" t="str">
        <f t="shared" si="143"/>
        <v/>
      </c>
      <c r="S1708" t="str">
        <f t="shared" si="144"/>
        <v/>
      </c>
      <c r="T1708" t="str">
        <f>IF($N1708="","",IF(Sync!$N1708="",0,Sync!$N1708))</f>
        <v/>
      </c>
      <c r="U1708" t="str">
        <f>IF($N1708="","",IF(Sync!$O1708="",0,Sync!$O1708))</f>
        <v/>
      </c>
      <c r="V1708" t="str">
        <f>IF($N1708="","",Sync!$L1708)</f>
        <v/>
      </c>
      <c r="W1708" t="str">
        <f>IF($N1708="","",Sync!$P1708)</f>
        <v/>
      </c>
    </row>
    <row r="1709" spans="14:23" x14ac:dyDescent="0.2">
      <c r="N1709" t="str">
        <f>IF(OR(Sync!$M1709="",$Q1709="",$Q1709="نامعتبر"),"",Sync!$M1709)</f>
        <v/>
      </c>
      <c r="O1709" t="str">
        <f t="shared" si="142"/>
        <v/>
      </c>
      <c r="P1709" t="str">
        <f>IF($N1709="","",LEFT($Q1709,4)&amp;MID($Q1709,6,2)&amp;RIGHT($Q1709,2)&amp;IF(Sync!$K1709="","0000",IF(AND(ISNUMBER(Sync!$K1709),Sync!$K1709&gt;=0,Sync!$K1709&lt;1),RIGHT("00"&amp;HOUR(Sync!$K1709),2)&amp;RIGHT("00"&amp;MINUTE(Sync!$K1709),2),IFERROR(RIGHT("00"&amp;VALUE(LEFT(Sync!$K1709,FIND(":",Sync!$K1709)-1)),2)&amp;RIGHT("00"&amp;VALUE(MID(Sync!$K1709,FIND(":",Sync!$K1709)+1,2)),2),"0000")))&amp;"|"&amp;"2"&amp;RIGHT("00000"&amp;1704,5))</f>
        <v/>
      </c>
      <c r="Q1709" t="str">
        <f>IF(Sync!$J1709="","",IF(ISNUMBER(Sync!$J1709),IF(AND(Sync!$J1709&gt;=10000101,Sync!$J1709&lt;=99991231),INT(Sync!$J1709/10000)&amp;"/"&amp;RIGHT("00"&amp;INT(MOD(Sync!$J1709,10000)/100),2)&amp;"/"&amp;RIGHT("00"&amp;MOD(Sync!$J1709,100),2),"نامعتبر"),IF(LEN(Sync!$J1709)=10,Sync!$J1709,"نامعتبر")))</f>
        <v/>
      </c>
      <c r="R1709" t="str">
        <f t="shared" si="143"/>
        <v/>
      </c>
      <c r="S1709" t="str">
        <f t="shared" si="144"/>
        <v/>
      </c>
      <c r="T1709" t="str">
        <f>IF($N1709="","",IF(Sync!$N1709="",0,Sync!$N1709))</f>
        <v/>
      </c>
      <c r="U1709" t="str">
        <f>IF($N1709="","",IF(Sync!$O1709="",0,Sync!$O1709))</f>
        <v/>
      </c>
      <c r="V1709" t="str">
        <f>IF($N1709="","",Sync!$L1709)</f>
        <v/>
      </c>
      <c r="W1709" t="str">
        <f>IF($N1709="","",Sync!$P1709)</f>
        <v/>
      </c>
    </row>
    <row r="1710" spans="14:23" x14ac:dyDescent="0.2">
      <c r="N1710" t="str">
        <f>IF(OR(Sync!$M1710="",$Q1710="",$Q1710="نامعتبر"),"",Sync!$M1710)</f>
        <v/>
      </c>
      <c r="O1710" t="str">
        <f t="shared" si="142"/>
        <v/>
      </c>
      <c r="P1710" t="str">
        <f>IF($N1710="","",LEFT($Q1710,4)&amp;MID($Q1710,6,2)&amp;RIGHT($Q1710,2)&amp;IF(Sync!$K1710="","0000",IF(AND(ISNUMBER(Sync!$K1710),Sync!$K1710&gt;=0,Sync!$K1710&lt;1),RIGHT("00"&amp;HOUR(Sync!$K1710),2)&amp;RIGHT("00"&amp;MINUTE(Sync!$K1710),2),IFERROR(RIGHT("00"&amp;VALUE(LEFT(Sync!$K1710,FIND(":",Sync!$K1710)-1)),2)&amp;RIGHT("00"&amp;VALUE(MID(Sync!$K1710,FIND(":",Sync!$K1710)+1,2)),2),"0000")))&amp;"|"&amp;"2"&amp;RIGHT("00000"&amp;1705,5))</f>
        <v/>
      </c>
      <c r="Q1710" t="str">
        <f>IF(Sync!$J1710="","",IF(ISNUMBER(Sync!$J1710),IF(AND(Sync!$J1710&gt;=10000101,Sync!$J1710&lt;=99991231),INT(Sync!$J1710/10000)&amp;"/"&amp;RIGHT("00"&amp;INT(MOD(Sync!$J1710,10000)/100),2)&amp;"/"&amp;RIGHT("00"&amp;MOD(Sync!$J1710,100),2),"نامعتبر"),IF(LEN(Sync!$J1710)=10,Sync!$J1710,"نامعتبر")))</f>
        <v/>
      </c>
      <c r="R1710" t="str">
        <f t="shared" si="143"/>
        <v/>
      </c>
      <c r="S1710" t="str">
        <f t="shared" si="144"/>
        <v/>
      </c>
      <c r="T1710" t="str">
        <f>IF($N1710="","",IF(Sync!$N1710="",0,Sync!$N1710))</f>
        <v/>
      </c>
      <c r="U1710" t="str">
        <f>IF($N1710="","",IF(Sync!$O1710="",0,Sync!$O1710))</f>
        <v/>
      </c>
      <c r="V1710" t="str">
        <f>IF($N1710="","",Sync!$L1710)</f>
        <v/>
      </c>
      <c r="W1710" t="str">
        <f>IF($N1710="","",Sync!$P1710)</f>
        <v/>
      </c>
    </row>
    <row r="1711" spans="14:23" x14ac:dyDescent="0.2">
      <c r="N1711" t="str">
        <f>IF(OR(Sync!$M1711="",$Q1711="",$Q1711="نامعتبر"),"",Sync!$M1711)</f>
        <v/>
      </c>
      <c r="O1711" t="str">
        <f t="shared" si="142"/>
        <v/>
      </c>
      <c r="P1711" t="str">
        <f>IF($N1711="","",LEFT($Q1711,4)&amp;MID($Q1711,6,2)&amp;RIGHT($Q1711,2)&amp;IF(Sync!$K1711="","0000",IF(AND(ISNUMBER(Sync!$K1711),Sync!$K1711&gt;=0,Sync!$K1711&lt;1),RIGHT("00"&amp;HOUR(Sync!$K1711),2)&amp;RIGHT("00"&amp;MINUTE(Sync!$K1711),2),IFERROR(RIGHT("00"&amp;VALUE(LEFT(Sync!$K1711,FIND(":",Sync!$K1711)-1)),2)&amp;RIGHT("00"&amp;VALUE(MID(Sync!$K1711,FIND(":",Sync!$K1711)+1,2)),2),"0000")))&amp;"|"&amp;"2"&amp;RIGHT("00000"&amp;1706,5))</f>
        <v/>
      </c>
      <c r="Q1711" t="str">
        <f>IF(Sync!$J1711="","",IF(ISNUMBER(Sync!$J1711),IF(AND(Sync!$J1711&gt;=10000101,Sync!$J1711&lt;=99991231),INT(Sync!$J1711/10000)&amp;"/"&amp;RIGHT("00"&amp;INT(MOD(Sync!$J1711,10000)/100),2)&amp;"/"&amp;RIGHT("00"&amp;MOD(Sync!$J1711,100),2),"نامعتبر"),IF(LEN(Sync!$J1711)=10,Sync!$J1711,"نامعتبر")))</f>
        <v/>
      </c>
      <c r="R1711" t="str">
        <f t="shared" si="143"/>
        <v/>
      </c>
      <c r="S1711" t="str">
        <f t="shared" si="144"/>
        <v/>
      </c>
      <c r="T1711" t="str">
        <f>IF($N1711="","",IF(Sync!$N1711="",0,Sync!$N1711))</f>
        <v/>
      </c>
      <c r="U1711" t="str">
        <f>IF($N1711="","",IF(Sync!$O1711="",0,Sync!$O1711))</f>
        <v/>
      </c>
      <c r="V1711" t="str">
        <f>IF($N1711="","",Sync!$L1711)</f>
        <v/>
      </c>
      <c r="W1711" t="str">
        <f>IF($N1711="","",Sync!$P1711)</f>
        <v/>
      </c>
    </row>
    <row r="1712" spans="14:23" x14ac:dyDescent="0.2">
      <c r="N1712" t="str">
        <f>IF(OR(Sync!$M1712="",$Q1712="",$Q1712="نامعتبر"),"",Sync!$M1712)</f>
        <v/>
      </c>
      <c r="O1712" t="str">
        <f t="shared" si="142"/>
        <v/>
      </c>
      <c r="P1712" t="str">
        <f>IF($N1712="","",LEFT($Q1712,4)&amp;MID($Q1712,6,2)&amp;RIGHT($Q1712,2)&amp;IF(Sync!$K1712="","0000",IF(AND(ISNUMBER(Sync!$K1712),Sync!$K1712&gt;=0,Sync!$K1712&lt;1),RIGHT("00"&amp;HOUR(Sync!$K1712),2)&amp;RIGHT("00"&amp;MINUTE(Sync!$K1712),2),IFERROR(RIGHT("00"&amp;VALUE(LEFT(Sync!$K1712,FIND(":",Sync!$K1712)-1)),2)&amp;RIGHT("00"&amp;VALUE(MID(Sync!$K1712,FIND(":",Sync!$K1712)+1,2)),2),"0000")))&amp;"|"&amp;"2"&amp;RIGHT("00000"&amp;1707,5))</f>
        <v/>
      </c>
      <c r="Q1712" t="str">
        <f>IF(Sync!$J1712="","",IF(ISNUMBER(Sync!$J1712),IF(AND(Sync!$J1712&gt;=10000101,Sync!$J1712&lt;=99991231),INT(Sync!$J1712/10000)&amp;"/"&amp;RIGHT("00"&amp;INT(MOD(Sync!$J1712,10000)/100),2)&amp;"/"&amp;RIGHT("00"&amp;MOD(Sync!$J1712,100),2),"نامعتبر"),IF(LEN(Sync!$J1712)=10,Sync!$J1712,"نامعتبر")))</f>
        <v/>
      </c>
      <c r="R1712" t="str">
        <f t="shared" si="143"/>
        <v/>
      </c>
      <c r="S1712" t="str">
        <f t="shared" si="144"/>
        <v/>
      </c>
      <c r="T1712" t="str">
        <f>IF($N1712="","",IF(Sync!$N1712="",0,Sync!$N1712))</f>
        <v/>
      </c>
      <c r="U1712" t="str">
        <f>IF($N1712="","",IF(Sync!$O1712="",0,Sync!$O1712))</f>
        <v/>
      </c>
      <c r="V1712" t="str">
        <f>IF($N1712="","",Sync!$L1712)</f>
        <v/>
      </c>
      <c r="W1712" t="str">
        <f>IF($N1712="","",Sync!$P1712)</f>
        <v/>
      </c>
    </row>
    <row r="1713" spans="14:23" x14ac:dyDescent="0.2">
      <c r="N1713" t="str">
        <f>IF(OR(Sync!$M1713="",$Q1713="",$Q1713="نامعتبر"),"",Sync!$M1713)</f>
        <v/>
      </c>
      <c r="O1713" t="str">
        <f t="shared" si="142"/>
        <v/>
      </c>
      <c r="P1713" t="str">
        <f>IF($N1713="","",LEFT($Q1713,4)&amp;MID($Q1713,6,2)&amp;RIGHT($Q1713,2)&amp;IF(Sync!$K1713="","0000",IF(AND(ISNUMBER(Sync!$K1713),Sync!$K1713&gt;=0,Sync!$K1713&lt;1),RIGHT("00"&amp;HOUR(Sync!$K1713),2)&amp;RIGHT("00"&amp;MINUTE(Sync!$K1713),2),IFERROR(RIGHT("00"&amp;VALUE(LEFT(Sync!$K1713,FIND(":",Sync!$K1713)-1)),2)&amp;RIGHT("00"&amp;VALUE(MID(Sync!$K1713,FIND(":",Sync!$K1713)+1,2)),2),"0000")))&amp;"|"&amp;"2"&amp;RIGHT("00000"&amp;1708,5))</f>
        <v/>
      </c>
      <c r="Q1713" t="str">
        <f>IF(Sync!$J1713="","",IF(ISNUMBER(Sync!$J1713),IF(AND(Sync!$J1713&gt;=10000101,Sync!$J1713&lt;=99991231),INT(Sync!$J1713/10000)&amp;"/"&amp;RIGHT("00"&amp;INT(MOD(Sync!$J1713,10000)/100),2)&amp;"/"&amp;RIGHT("00"&amp;MOD(Sync!$J1713,100),2),"نامعتبر"),IF(LEN(Sync!$J1713)=10,Sync!$J1713,"نامعتبر")))</f>
        <v/>
      </c>
      <c r="R1713" t="str">
        <f t="shared" si="143"/>
        <v/>
      </c>
      <c r="S1713" t="str">
        <f t="shared" si="144"/>
        <v/>
      </c>
      <c r="T1713" t="str">
        <f>IF($N1713="","",IF(Sync!$N1713="",0,Sync!$N1713))</f>
        <v/>
      </c>
      <c r="U1713" t="str">
        <f>IF($N1713="","",IF(Sync!$O1713="",0,Sync!$O1713))</f>
        <v/>
      </c>
      <c r="V1713" t="str">
        <f>IF($N1713="","",Sync!$L1713)</f>
        <v/>
      </c>
      <c r="W1713" t="str">
        <f>IF($N1713="","",Sync!$P1713)</f>
        <v/>
      </c>
    </row>
    <row r="1714" spans="14:23" x14ac:dyDescent="0.2">
      <c r="N1714" t="str">
        <f>IF(OR(Sync!$M1714="",$Q1714="",$Q1714="نامعتبر"),"",Sync!$M1714)</f>
        <v/>
      </c>
      <c r="O1714" t="str">
        <f t="shared" si="142"/>
        <v/>
      </c>
      <c r="P1714" t="str">
        <f>IF($N1714="","",LEFT($Q1714,4)&amp;MID($Q1714,6,2)&amp;RIGHT($Q1714,2)&amp;IF(Sync!$K1714="","0000",IF(AND(ISNUMBER(Sync!$K1714),Sync!$K1714&gt;=0,Sync!$K1714&lt;1),RIGHT("00"&amp;HOUR(Sync!$K1714),2)&amp;RIGHT("00"&amp;MINUTE(Sync!$K1714),2),IFERROR(RIGHT("00"&amp;VALUE(LEFT(Sync!$K1714,FIND(":",Sync!$K1714)-1)),2)&amp;RIGHT("00"&amp;VALUE(MID(Sync!$K1714,FIND(":",Sync!$K1714)+1,2)),2),"0000")))&amp;"|"&amp;"2"&amp;RIGHT("00000"&amp;1709,5))</f>
        <v/>
      </c>
      <c r="Q1714" t="str">
        <f>IF(Sync!$J1714="","",IF(ISNUMBER(Sync!$J1714),IF(AND(Sync!$J1714&gt;=10000101,Sync!$J1714&lt;=99991231),INT(Sync!$J1714/10000)&amp;"/"&amp;RIGHT("00"&amp;INT(MOD(Sync!$J1714,10000)/100),2)&amp;"/"&amp;RIGHT("00"&amp;MOD(Sync!$J1714,100),2),"نامعتبر"),IF(LEN(Sync!$J1714)=10,Sync!$J1714,"نامعتبر")))</f>
        <v/>
      </c>
      <c r="R1714" t="str">
        <f t="shared" si="143"/>
        <v/>
      </c>
      <c r="S1714" t="str">
        <f t="shared" si="144"/>
        <v/>
      </c>
      <c r="T1714" t="str">
        <f>IF($N1714="","",IF(Sync!$N1714="",0,Sync!$N1714))</f>
        <v/>
      </c>
      <c r="U1714" t="str">
        <f>IF($N1714="","",IF(Sync!$O1714="",0,Sync!$O1714))</f>
        <v/>
      </c>
      <c r="V1714" t="str">
        <f>IF($N1714="","",Sync!$L1714)</f>
        <v/>
      </c>
      <c r="W1714" t="str">
        <f>IF($N1714="","",Sync!$P1714)</f>
        <v/>
      </c>
    </row>
    <row r="1715" spans="14:23" x14ac:dyDescent="0.2">
      <c r="N1715" t="str">
        <f>IF(OR(Sync!$M1715="",$Q1715="",$Q1715="نامعتبر"),"",Sync!$M1715)</f>
        <v/>
      </c>
      <c r="O1715" t="str">
        <f t="shared" si="142"/>
        <v/>
      </c>
      <c r="P1715" t="str">
        <f>IF($N1715="","",LEFT($Q1715,4)&amp;MID($Q1715,6,2)&amp;RIGHT($Q1715,2)&amp;IF(Sync!$K1715="","0000",IF(AND(ISNUMBER(Sync!$K1715),Sync!$K1715&gt;=0,Sync!$K1715&lt;1),RIGHT("00"&amp;HOUR(Sync!$K1715),2)&amp;RIGHT("00"&amp;MINUTE(Sync!$K1715),2),IFERROR(RIGHT("00"&amp;VALUE(LEFT(Sync!$K1715,FIND(":",Sync!$K1715)-1)),2)&amp;RIGHT("00"&amp;VALUE(MID(Sync!$K1715,FIND(":",Sync!$K1715)+1,2)),2),"0000")))&amp;"|"&amp;"2"&amp;RIGHT("00000"&amp;1710,5))</f>
        <v/>
      </c>
      <c r="Q1715" t="str">
        <f>IF(Sync!$J1715="","",IF(ISNUMBER(Sync!$J1715),IF(AND(Sync!$J1715&gt;=10000101,Sync!$J1715&lt;=99991231),INT(Sync!$J1715/10000)&amp;"/"&amp;RIGHT("00"&amp;INT(MOD(Sync!$J1715,10000)/100),2)&amp;"/"&amp;RIGHT("00"&amp;MOD(Sync!$J1715,100),2),"نامعتبر"),IF(LEN(Sync!$J1715)=10,Sync!$J1715,"نامعتبر")))</f>
        <v/>
      </c>
      <c r="R1715" t="str">
        <f t="shared" si="143"/>
        <v/>
      </c>
      <c r="S1715" t="str">
        <f t="shared" si="144"/>
        <v/>
      </c>
      <c r="T1715" t="str">
        <f>IF($N1715="","",IF(Sync!$N1715="",0,Sync!$N1715))</f>
        <v/>
      </c>
      <c r="U1715" t="str">
        <f>IF($N1715="","",IF(Sync!$O1715="",0,Sync!$O1715))</f>
        <v/>
      </c>
      <c r="V1715" t="str">
        <f>IF($N1715="","",Sync!$L1715)</f>
        <v/>
      </c>
      <c r="W1715" t="str">
        <f>IF($N1715="","",Sync!$P1715)</f>
        <v/>
      </c>
    </row>
    <row r="1716" spans="14:23" x14ac:dyDescent="0.2">
      <c r="N1716" t="str">
        <f>IF(OR(Sync!$M1716="",$Q1716="",$Q1716="نامعتبر"),"",Sync!$M1716)</f>
        <v/>
      </c>
      <c r="O1716" t="str">
        <f t="shared" si="142"/>
        <v/>
      </c>
      <c r="P1716" t="str">
        <f>IF($N1716="","",LEFT($Q1716,4)&amp;MID($Q1716,6,2)&amp;RIGHT($Q1716,2)&amp;IF(Sync!$K1716="","0000",IF(AND(ISNUMBER(Sync!$K1716),Sync!$K1716&gt;=0,Sync!$K1716&lt;1),RIGHT("00"&amp;HOUR(Sync!$K1716),2)&amp;RIGHT("00"&amp;MINUTE(Sync!$K1716),2),IFERROR(RIGHT("00"&amp;VALUE(LEFT(Sync!$K1716,FIND(":",Sync!$K1716)-1)),2)&amp;RIGHT("00"&amp;VALUE(MID(Sync!$K1716,FIND(":",Sync!$K1716)+1,2)),2),"0000")))&amp;"|"&amp;"2"&amp;RIGHT("00000"&amp;1711,5))</f>
        <v/>
      </c>
      <c r="Q1716" t="str">
        <f>IF(Sync!$J1716="","",IF(ISNUMBER(Sync!$J1716),IF(AND(Sync!$J1716&gt;=10000101,Sync!$J1716&lt;=99991231),INT(Sync!$J1716/10000)&amp;"/"&amp;RIGHT("00"&amp;INT(MOD(Sync!$J1716,10000)/100),2)&amp;"/"&amp;RIGHT("00"&amp;MOD(Sync!$J1716,100),2),"نامعتبر"),IF(LEN(Sync!$J1716)=10,Sync!$J1716,"نامعتبر")))</f>
        <v/>
      </c>
      <c r="R1716" t="str">
        <f t="shared" si="143"/>
        <v/>
      </c>
      <c r="S1716" t="str">
        <f t="shared" si="144"/>
        <v/>
      </c>
      <c r="T1716" t="str">
        <f>IF($N1716="","",IF(Sync!$N1716="",0,Sync!$N1716))</f>
        <v/>
      </c>
      <c r="U1716" t="str">
        <f>IF($N1716="","",IF(Sync!$O1716="",0,Sync!$O1716))</f>
        <v/>
      </c>
      <c r="V1716" t="str">
        <f>IF($N1716="","",Sync!$L1716)</f>
        <v/>
      </c>
      <c r="W1716" t="str">
        <f>IF($N1716="","",Sync!$P1716)</f>
        <v/>
      </c>
    </row>
    <row r="1717" spans="14:23" x14ac:dyDescent="0.2">
      <c r="N1717" t="str">
        <f>IF(OR(Sync!$M1717="",$Q1717="",$Q1717="نامعتبر"),"",Sync!$M1717)</f>
        <v/>
      </c>
      <c r="O1717" t="str">
        <f t="shared" si="142"/>
        <v/>
      </c>
      <c r="P1717" t="str">
        <f>IF($N1717="","",LEFT($Q1717,4)&amp;MID($Q1717,6,2)&amp;RIGHT($Q1717,2)&amp;IF(Sync!$K1717="","0000",IF(AND(ISNUMBER(Sync!$K1717),Sync!$K1717&gt;=0,Sync!$K1717&lt;1),RIGHT("00"&amp;HOUR(Sync!$K1717),2)&amp;RIGHT("00"&amp;MINUTE(Sync!$K1717),2),IFERROR(RIGHT("00"&amp;VALUE(LEFT(Sync!$K1717,FIND(":",Sync!$K1717)-1)),2)&amp;RIGHT("00"&amp;VALUE(MID(Sync!$K1717,FIND(":",Sync!$K1717)+1,2)),2),"0000")))&amp;"|"&amp;"2"&amp;RIGHT("00000"&amp;1712,5))</f>
        <v/>
      </c>
      <c r="Q1717" t="str">
        <f>IF(Sync!$J1717="","",IF(ISNUMBER(Sync!$J1717),IF(AND(Sync!$J1717&gt;=10000101,Sync!$J1717&lt;=99991231),INT(Sync!$J1717/10000)&amp;"/"&amp;RIGHT("00"&amp;INT(MOD(Sync!$J1717,10000)/100),2)&amp;"/"&amp;RIGHT("00"&amp;MOD(Sync!$J1717,100),2),"نامعتبر"),IF(LEN(Sync!$J1717)=10,Sync!$J1717,"نامعتبر")))</f>
        <v/>
      </c>
      <c r="R1717" t="str">
        <f t="shared" si="143"/>
        <v/>
      </c>
      <c r="S1717" t="str">
        <f t="shared" si="144"/>
        <v/>
      </c>
      <c r="T1717" t="str">
        <f>IF($N1717="","",IF(Sync!$N1717="",0,Sync!$N1717))</f>
        <v/>
      </c>
      <c r="U1717" t="str">
        <f>IF($N1717="","",IF(Sync!$O1717="",0,Sync!$O1717))</f>
        <v/>
      </c>
      <c r="V1717" t="str">
        <f>IF($N1717="","",Sync!$L1717)</f>
        <v/>
      </c>
      <c r="W1717" t="str">
        <f>IF($N1717="","",Sync!$P1717)</f>
        <v/>
      </c>
    </row>
    <row r="1718" spans="14:23" x14ac:dyDescent="0.2">
      <c r="N1718" t="str">
        <f>IF(OR(Sync!$M1718="",$Q1718="",$Q1718="نامعتبر"),"",Sync!$M1718)</f>
        <v/>
      </c>
      <c r="O1718" t="str">
        <f t="shared" si="142"/>
        <v/>
      </c>
      <c r="P1718" t="str">
        <f>IF($N1718="","",LEFT($Q1718,4)&amp;MID($Q1718,6,2)&amp;RIGHT($Q1718,2)&amp;IF(Sync!$K1718="","0000",IF(AND(ISNUMBER(Sync!$K1718),Sync!$K1718&gt;=0,Sync!$K1718&lt;1),RIGHT("00"&amp;HOUR(Sync!$K1718),2)&amp;RIGHT("00"&amp;MINUTE(Sync!$K1718),2),IFERROR(RIGHT("00"&amp;VALUE(LEFT(Sync!$K1718,FIND(":",Sync!$K1718)-1)),2)&amp;RIGHT("00"&amp;VALUE(MID(Sync!$K1718,FIND(":",Sync!$K1718)+1,2)),2),"0000")))&amp;"|"&amp;"2"&amp;RIGHT("00000"&amp;1713,5))</f>
        <v/>
      </c>
      <c r="Q1718" t="str">
        <f>IF(Sync!$J1718="","",IF(ISNUMBER(Sync!$J1718),IF(AND(Sync!$J1718&gt;=10000101,Sync!$J1718&lt;=99991231),INT(Sync!$J1718/10000)&amp;"/"&amp;RIGHT("00"&amp;INT(MOD(Sync!$J1718,10000)/100),2)&amp;"/"&amp;RIGHT("00"&amp;MOD(Sync!$J1718,100),2),"نامعتبر"),IF(LEN(Sync!$J1718)=10,Sync!$J1718,"نامعتبر")))</f>
        <v/>
      </c>
      <c r="R1718" t="str">
        <f t="shared" si="143"/>
        <v/>
      </c>
      <c r="S1718" t="str">
        <f t="shared" si="144"/>
        <v/>
      </c>
      <c r="T1718" t="str">
        <f>IF($N1718="","",IF(Sync!$N1718="",0,Sync!$N1718))</f>
        <v/>
      </c>
      <c r="U1718" t="str">
        <f>IF($N1718="","",IF(Sync!$O1718="",0,Sync!$O1718))</f>
        <v/>
      </c>
      <c r="V1718" t="str">
        <f>IF($N1718="","",Sync!$L1718)</f>
        <v/>
      </c>
      <c r="W1718" t="str">
        <f>IF($N1718="","",Sync!$P1718)</f>
        <v/>
      </c>
    </row>
    <row r="1719" spans="14:23" x14ac:dyDescent="0.2">
      <c r="N1719" t="str">
        <f>IF(OR(Sync!$M1719="",$Q1719="",$Q1719="نامعتبر"),"",Sync!$M1719)</f>
        <v/>
      </c>
      <c r="O1719" t="str">
        <f t="shared" si="142"/>
        <v/>
      </c>
      <c r="P1719" t="str">
        <f>IF($N1719="","",LEFT($Q1719,4)&amp;MID($Q1719,6,2)&amp;RIGHT($Q1719,2)&amp;IF(Sync!$K1719="","0000",IF(AND(ISNUMBER(Sync!$K1719),Sync!$K1719&gt;=0,Sync!$K1719&lt;1),RIGHT("00"&amp;HOUR(Sync!$K1719),2)&amp;RIGHT("00"&amp;MINUTE(Sync!$K1719),2),IFERROR(RIGHT("00"&amp;VALUE(LEFT(Sync!$K1719,FIND(":",Sync!$K1719)-1)),2)&amp;RIGHT("00"&amp;VALUE(MID(Sync!$K1719,FIND(":",Sync!$K1719)+1,2)),2),"0000")))&amp;"|"&amp;"2"&amp;RIGHT("00000"&amp;1714,5))</f>
        <v/>
      </c>
      <c r="Q1719" t="str">
        <f>IF(Sync!$J1719="","",IF(ISNUMBER(Sync!$J1719),IF(AND(Sync!$J1719&gt;=10000101,Sync!$J1719&lt;=99991231),INT(Sync!$J1719/10000)&amp;"/"&amp;RIGHT("00"&amp;INT(MOD(Sync!$J1719,10000)/100),2)&amp;"/"&amp;RIGHT("00"&amp;MOD(Sync!$J1719,100),2),"نامعتبر"),IF(LEN(Sync!$J1719)=10,Sync!$J1719,"نامعتبر")))</f>
        <v/>
      </c>
      <c r="R1719" t="str">
        <f t="shared" si="143"/>
        <v/>
      </c>
      <c r="S1719" t="str">
        <f t="shared" si="144"/>
        <v/>
      </c>
      <c r="T1719" t="str">
        <f>IF($N1719="","",IF(Sync!$N1719="",0,Sync!$N1719))</f>
        <v/>
      </c>
      <c r="U1719" t="str">
        <f>IF($N1719="","",IF(Sync!$O1719="",0,Sync!$O1719))</f>
        <v/>
      </c>
      <c r="V1719" t="str">
        <f>IF($N1719="","",Sync!$L1719)</f>
        <v/>
      </c>
      <c r="W1719" t="str">
        <f>IF($N1719="","",Sync!$P1719)</f>
        <v/>
      </c>
    </row>
    <row r="1720" spans="14:23" x14ac:dyDescent="0.2">
      <c r="N1720" t="str">
        <f>IF(OR(Sync!$M1720="",$Q1720="",$Q1720="نامعتبر"),"",Sync!$M1720)</f>
        <v/>
      </c>
      <c r="O1720" t="str">
        <f t="shared" si="142"/>
        <v/>
      </c>
      <c r="P1720" t="str">
        <f>IF($N1720="","",LEFT($Q1720,4)&amp;MID($Q1720,6,2)&amp;RIGHT($Q1720,2)&amp;IF(Sync!$K1720="","0000",IF(AND(ISNUMBER(Sync!$K1720),Sync!$K1720&gt;=0,Sync!$K1720&lt;1),RIGHT("00"&amp;HOUR(Sync!$K1720),2)&amp;RIGHT("00"&amp;MINUTE(Sync!$K1720),2),IFERROR(RIGHT("00"&amp;VALUE(LEFT(Sync!$K1720,FIND(":",Sync!$K1720)-1)),2)&amp;RIGHT("00"&amp;VALUE(MID(Sync!$K1720,FIND(":",Sync!$K1720)+1,2)),2),"0000")))&amp;"|"&amp;"2"&amp;RIGHT("00000"&amp;1715,5))</f>
        <v/>
      </c>
      <c r="Q1720" t="str">
        <f>IF(Sync!$J1720="","",IF(ISNUMBER(Sync!$J1720),IF(AND(Sync!$J1720&gt;=10000101,Sync!$J1720&lt;=99991231),INT(Sync!$J1720/10000)&amp;"/"&amp;RIGHT("00"&amp;INT(MOD(Sync!$J1720,10000)/100),2)&amp;"/"&amp;RIGHT("00"&amp;MOD(Sync!$J1720,100),2),"نامعتبر"),IF(LEN(Sync!$J1720)=10,Sync!$J1720,"نامعتبر")))</f>
        <v/>
      </c>
      <c r="R1720" t="str">
        <f t="shared" si="143"/>
        <v/>
      </c>
      <c r="S1720" t="str">
        <f t="shared" si="144"/>
        <v/>
      </c>
      <c r="T1720" t="str">
        <f>IF($N1720="","",IF(Sync!$N1720="",0,Sync!$N1720))</f>
        <v/>
      </c>
      <c r="U1720" t="str">
        <f>IF($N1720="","",IF(Sync!$O1720="",0,Sync!$O1720))</f>
        <v/>
      </c>
      <c r="V1720" t="str">
        <f>IF($N1720="","",Sync!$L1720)</f>
        <v/>
      </c>
      <c r="W1720" t="str">
        <f>IF($N1720="","",Sync!$P1720)</f>
        <v/>
      </c>
    </row>
    <row r="1721" spans="14:23" x14ac:dyDescent="0.2">
      <c r="N1721" t="str">
        <f>IF(OR(Sync!$M1721="",$Q1721="",$Q1721="نامعتبر"),"",Sync!$M1721)</f>
        <v/>
      </c>
      <c r="O1721" t="str">
        <f t="shared" si="142"/>
        <v/>
      </c>
      <c r="P1721" t="str">
        <f>IF($N1721="","",LEFT($Q1721,4)&amp;MID($Q1721,6,2)&amp;RIGHT($Q1721,2)&amp;IF(Sync!$K1721="","0000",IF(AND(ISNUMBER(Sync!$K1721),Sync!$K1721&gt;=0,Sync!$K1721&lt;1),RIGHT("00"&amp;HOUR(Sync!$K1721),2)&amp;RIGHT("00"&amp;MINUTE(Sync!$K1721),2),IFERROR(RIGHT("00"&amp;VALUE(LEFT(Sync!$K1721,FIND(":",Sync!$K1721)-1)),2)&amp;RIGHT("00"&amp;VALUE(MID(Sync!$K1721,FIND(":",Sync!$K1721)+1,2)),2),"0000")))&amp;"|"&amp;"2"&amp;RIGHT("00000"&amp;1716,5))</f>
        <v/>
      </c>
      <c r="Q1721" t="str">
        <f>IF(Sync!$J1721="","",IF(ISNUMBER(Sync!$J1721),IF(AND(Sync!$J1721&gt;=10000101,Sync!$J1721&lt;=99991231),INT(Sync!$J1721/10000)&amp;"/"&amp;RIGHT("00"&amp;INT(MOD(Sync!$J1721,10000)/100),2)&amp;"/"&amp;RIGHT("00"&amp;MOD(Sync!$J1721,100),2),"نامعتبر"),IF(LEN(Sync!$J1721)=10,Sync!$J1721,"نامعتبر")))</f>
        <v/>
      </c>
      <c r="R1721" t="str">
        <f t="shared" si="143"/>
        <v/>
      </c>
      <c r="S1721" t="str">
        <f t="shared" si="144"/>
        <v/>
      </c>
      <c r="T1721" t="str">
        <f>IF($N1721="","",IF(Sync!$N1721="",0,Sync!$N1721))</f>
        <v/>
      </c>
      <c r="U1721" t="str">
        <f>IF($N1721="","",IF(Sync!$O1721="",0,Sync!$O1721))</f>
        <v/>
      </c>
      <c r="V1721" t="str">
        <f>IF($N1721="","",Sync!$L1721)</f>
        <v/>
      </c>
      <c r="W1721" t="str">
        <f>IF($N1721="","",Sync!$P1721)</f>
        <v/>
      </c>
    </row>
    <row r="1722" spans="14:23" x14ac:dyDescent="0.2">
      <c r="N1722" t="str">
        <f>IF(OR(Sync!$M1722="",$Q1722="",$Q1722="نامعتبر"),"",Sync!$M1722)</f>
        <v/>
      </c>
      <c r="O1722" t="str">
        <f t="shared" si="142"/>
        <v/>
      </c>
      <c r="P1722" t="str">
        <f>IF($N1722="","",LEFT($Q1722,4)&amp;MID($Q1722,6,2)&amp;RIGHT($Q1722,2)&amp;IF(Sync!$K1722="","0000",IF(AND(ISNUMBER(Sync!$K1722),Sync!$K1722&gt;=0,Sync!$K1722&lt;1),RIGHT("00"&amp;HOUR(Sync!$K1722),2)&amp;RIGHT("00"&amp;MINUTE(Sync!$K1722),2),IFERROR(RIGHT("00"&amp;VALUE(LEFT(Sync!$K1722,FIND(":",Sync!$K1722)-1)),2)&amp;RIGHT("00"&amp;VALUE(MID(Sync!$K1722,FIND(":",Sync!$K1722)+1,2)),2),"0000")))&amp;"|"&amp;"2"&amp;RIGHT("00000"&amp;1717,5))</f>
        <v/>
      </c>
      <c r="Q1722" t="str">
        <f>IF(Sync!$J1722="","",IF(ISNUMBER(Sync!$J1722),IF(AND(Sync!$J1722&gt;=10000101,Sync!$J1722&lt;=99991231),INT(Sync!$J1722/10000)&amp;"/"&amp;RIGHT("00"&amp;INT(MOD(Sync!$J1722,10000)/100),2)&amp;"/"&amp;RIGHT("00"&amp;MOD(Sync!$J1722,100),2),"نامعتبر"),IF(LEN(Sync!$J1722)=10,Sync!$J1722,"نامعتبر")))</f>
        <v/>
      </c>
      <c r="R1722" t="str">
        <f t="shared" si="143"/>
        <v/>
      </c>
      <c r="S1722" t="str">
        <f t="shared" si="144"/>
        <v/>
      </c>
      <c r="T1722" t="str">
        <f>IF($N1722="","",IF(Sync!$N1722="",0,Sync!$N1722))</f>
        <v/>
      </c>
      <c r="U1722" t="str">
        <f>IF($N1722="","",IF(Sync!$O1722="",0,Sync!$O1722))</f>
        <v/>
      </c>
      <c r="V1722" t="str">
        <f>IF($N1722="","",Sync!$L1722)</f>
        <v/>
      </c>
      <c r="W1722" t="str">
        <f>IF($N1722="","",Sync!$P1722)</f>
        <v/>
      </c>
    </row>
    <row r="1723" spans="14:23" x14ac:dyDescent="0.2">
      <c r="N1723" t="str">
        <f>IF(OR(Sync!$M1723="",$Q1723="",$Q1723="نامعتبر"),"",Sync!$M1723)</f>
        <v/>
      </c>
      <c r="O1723" t="str">
        <f t="shared" si="142"/>
        <v/>
      </c>
      <c r="P1723" t="str">
        <f>IF($N1723="","",LEFT($Q1723,4)&amp;MID($Q1723,6,2)&amp;RIGHT($Q1723,2)&amp;IF(Sync!$K1723="","0000",IF(AND(ISNUMBER(Sync!$K1723),Sync!$K1723&gt;=0,Sync!$K1723&lt;1),RIGHT("00"&amp;HOUR(Sync!$K1723),2)&amp;RIGHT("00"&amp;MINUTE(Sync!$K1723),2),IFERROR(RIGHT("00"&amp;VALUE(LEFT(Sync!$K1723,FIND(":",Sync!$K1723)-1)),2)&amp;RIGHT("00"&amp;VALUE(MID(Sync!$K1723,FIND(":",Sync!$K1723)+1,2)),2),"0000")))&amp;"|"&amp;"2"&amp;RIGHT("00000"&amp;1718,5))</f>
        <v/>
      </c>
      <c r="Q1723" t="str">
        <f>IF(Sync!$J1723="","",IF(ISNUMBER(Sync!$J1723),IF(AND(Sync!$J1723&gt;=10000101,Sync!$J1723&lt;=99991231),INT(Sync!$J1723/10000)&amp;"/"&amp;RIGHT("00"&amp;INT(MOD(Sync!$J1723,10000)/100),2)&amp;"/"&amp;RIGHT("00"&amp;MOD(Sync!$J1723,100),2),"نامعتبر"),IF(LEN(Sync!$J1723)=10,Sync!$J1723,"نامعتبر")))</f>
        <v/>
      </c>
      <c r="R1723" t="str">
        <f t="shared" si="143"/>
        <v/>
      </c>
      <c r="S1723" t="str">
        <f t="shared" si="144"/>
        <v/>
      </c>
      <c r="T1723" t="str">
        <f>IF($N1723="","",IF(Sync!$N1723="",0,Sync!$N1723))</f>
        <v/>
      </c>
      <c r="U1723" t="str">
        <f>IF($N1723="","",IF(Sync!$O1723="",0,Sync!$O1723))</f>
        <v/>
      </c>
      <c r="V1723" t="str">
        <f>IF($N1723="","",Sync!$L1723)</f>
        <v/>
      </c>
      <c r="W1723" t="str">
        <f>IF($N1723="","",Sync!$P1723)</f>
        <v/>
      </c>
    </row>
    <row r="1724" spans="14:23" x14ac:dyDescent="0.2">
      <c r="N1724" t="str">
        <f>IF(OR(Sync!$M1724="",$Q1724="",$Q1724="نامعتبر"),"",Sync!$M1724)</f>
        <v/>
      </c>
      <c r="O1724" t="str">
        <f t="shared" si="142"/>
        <v/>
      </c>
      <c r="P1724" t="str">
        <f>IF($N1724="","",LEFT($Q1724,4)&amp;MID($Q1724,6,2)&amp;RIGHT($Q1724,2)&amp;IF(Sync!$K1724="","0000",IF(AND(ISNUMBER(Sync!$K1724),Sync!$K1724&gt;=0,Sync!$K1724&lt;1),RIGHT("00"&amp;HOUR(Sync!$K1724),2)&amp;RIGHT("00"&amp;MINUTE(Sync!$K1724),2),IFERROR(RIGHT("00"&amp;VALUE(LEFT(Sync!$K1724,FIND(":",Sync!$K1724)-1)),2)&amp;RIGHT("00"&amp;VALUE(MID(Sync!$K1724,FIND(":",Sync!$K1724)+1,2)),2),"0000")))&amp;"|"&amp;"2"&amp;RIGHT("00000"&amp;1719,5))</f>
        <v/>
      </c>
      <c r="Q1724" t="str">
        <f>IF(Sync!$J1724="","",IF(ISNUMBER(Sync!$J1724),IF(AND(Sync!$J1724&gt;=10000101,Sync!$J1724&lt;=99991231),INT(Sync!$J1724/10000)&amp;"/"&amp;RIGHT("00"&amp;INT(MOD(Sync!$J1724,10000)/100),2)&amp;"/"&amp;RIGHT("00"&amp;MOD(Sync!$J1724,100),2),"نامعتبر"),IF(LEN(Sync!$J1724)=10,Sync!$J1724,"نامعتبر")))</f>
        <v/>
      </c>
      <c r="R1724" t="str">
        <f t="shared" si="143"/>
        <v/>
      </c>
      <c r="S1724" t="str">
        <f t="shared" si="144"/>
        <v/>
      </c>
      <c r="T1724" t="str">
        <f>IF($N1724="","",IF(Sync!$N1724="",0,Sync!$N1724))</f>
        <v/>
      </c>
      <c r="U1724" t="str">
        <f>IF($N1724="","",IF(Sync!$O1724="",0,Sync!$O1724))</f>
        <v/>
      </c>
      <c r="V1724" t="str">
        <f>IF($N1724="","",Sync!$L1724)</f>
        <v/>
      </c>
      <c r="W1724" t="str">
        <f>IF($N1724="","",Sync!$P1724)</f>
        <v/>
      </c>
    </row>
    <row r="1725" spans="14:23" x14ac:dyDescent="0.2">
      <c r="N1725" t="str">
        <f>IF(OR(Sync!$M1725="",$Q1725="",$Q1725="نامعتبر"),"",Sync!$M1725)</f>
        <v/>
      </c>
      <c r="O1725" t="str">
        <f t="shared" si="142"/>
        <v/>
      </c>
      <c r="P1725" t="str">
        <f>IF($N1725="","",LEFT($Q1725,4)&amp;MID($Q1725,6,2)&amp;RIGHT($Q1725,2)&amp;IF(Sync!$K1725="","0000",IF(AND(ISNUMBER(Sync!$K1725),Sync!$K1725&gt;=0,Sync!$K1725&lt;1),RIGHT("00"&amp;HOUR(Sync!$K1725),2)&amp;RIGHT("00"&amp;MINUTE(Sync!$K1725),2),IFERROR(RIGHT("00"&amp;VALUE(LEFT(Sync!$K1725,FIND(":",Sync!$K1725)-1)),2)&amp;RIGHT("00"&amp;VALUE(MID(Sync!$K1725,FIND(":",Sync!$K1725)+1,2)),2),"0000")))&amp;"|"&amp;"2"&amp;RIGHT("00000"&amp;1720,5))</f>
        <v/>
      </c>
      <c r="Q1725" t="str">
        <f>IF(Sync!$J1725="","",IF(ISNUMBER(Sync!$J1725),IF(AND(Sync!$J1725&gt;=10000101,Sync!$J1725&lt;=99991231),INT(Sync!$J1725/10000)&amp;"/"&amp;RIGHT("00"&amp;INT(MOD(Sync!$J1725,10000)/100),2)&amp;"/"&amp;RIGHT("00"&amp;MOD(Sync!$J1725,100),2),"نامعتبر"),IF(LEN(Sync!$J1725)=10,Sync!$J1725,"نامعتبر")))</f>
        <v/>
      </c>
      <c r="R1725" t="str">
        <f t="shared" si="143"/>
        <v/>
      </c>
      <c r="S1725" t="str">
        <f t="shared" si="144"/>
        <v/>
      </c>
      <c r="T1725" t="str">
        <f>IF($N1725="","",IF(Sync!$N1725="",0,Sync!$N1725))</f>
        <v/>
      </c>
      <c r="U1725" t="str">
        <f>IF($N1725="","",IF(Sync!$O1725="",0,Sync!$O1725))</f>
        <v/>
      </c>
      <c r="V1725" t="str">
        <f>IF($N1725="","",Sync!$L1725)</f>
        <v/>
      </c>
      <c r="W1725" t="str">
        <f>IF($N1725="","",Sync!$P1725)</f>
        <v/>
      </c>
    </row>
    <row r="1726" spans="14:23" x14ac:dyDescent="0.2">
      <c r="N1726" t="str">
        <f>IF(OR(Sync!$M1726="",$Q1726="",$Q1726="نامعتبر"),"",Sync!$M1726)</f>
        <v/>
      </c>
      <c r="O1726" t="str">
        <f t="shared" si="142"/>
        <v/>
      </c>
      <c r="P1726" t="str">
        <f>IF($N1726="","",LEFT($Q1726,4)&amp;MID($Q1726,6,2)&amp;RIGHT($Q1726,2)&amp;IF(Sync!$K1726="","0000",IF(AND(ISNUMBER(Sync!$K1726),Sync!$K1726&gt;=0,Sync!$K1726&lt;1),RIGHT("00"&amp;HOUR(Sync!$K1726),2)&amp;RIGHT("00"&amp;MINUTE(Sync!$K1726),2),IFERROR(RIGHT("00"&amp;VALUE(LEFT(Sync!$K1726,FIND(":",Sync!$K1726)-1)),2)&amp;RIGHT("00"&amp;VALUE(MID(Sync!$K1726,FIND(":",Sync!$K1726)+1,2)),2),"0000")))&amp;"|"&amp;"2"&amp;RIGHT("00000"&amp;1721,5))</f>
        <v/>
      </c>
      <c r="Q1726" t="str">
        <f>IF(Sync!$J1726="","",IF(ISNUMBER(Sync!$J1726),IF(AND(Sync!$J1726&gt;=10000101,Sync!$J1726&lt;=99991231),INT(Sync!$J1726/10000)&amp;"/"&amp;RIGHT("00"&amp;INT(MOD(Sync!$J1726,10000)/100),2)&amp;"/"&amp;RIGHT("00"&amp;MOD(Sync!$J1726,100),2),"نامعتبر"),IF(LEN(Sync!$J1726)=10,Sync!$J1726,"نامعتبر")))</f>
        <v/>
      </c>
      <c r="R1726" t="str">
        <f t="shared" si="143"/>
        <v/>
      </c>
      <c r="S1726" t="str">
        <f t="shared" si="144"/>
        <v/>
      </c>
      <c r="T1726" t="str">
        <f>IF($N1726="","",IF(Sync!$N1726="",0,Sync!$N1726))</f>
        <v/>
      </c>
      <c r="U1726" t="str">
        <f>IF($N1726="","",IF(Sync!$O1726="",0,Sync!$O1726))</f>
        <v/>
      </c>
      <c r="V1726" t="str">
        <f>IF($N1726="","",Sync!$L1726)</f>
        <v/>
      </c>
      <c r="W1726" t="str">
        <f>IF($N1726="","",Sync!$P1726)</f>
        <v/>
      </c>
    </row>
    <row r="1727" spans="14:23" x14ac:dyDescent="0.2">
      <c r="N1727" t="str">
        <f>IF(OR(Sync!$M1727="",$Q1727="",$Q1727="نامعتبر"),"",Sync!$M1727)</f>
        <v/>
      </c>
      <c r="O1727" t="str">
        <f t="shared" si="142"/>
        <v/>
      </c>
      <c r="P1727" t="str">
        <f>IF($N1727="","",LEFT($Q1727,4)&amp;MID($Q1727,6,2)&amp;RIGHT($Q1727,2)&amp;IF(Sync!$K1727="","0000",IF(AND(ISNUMBER(Sync!$K1727),Sync!$K1727&gt;=0,Sync!$K1727&lt;1),RIGHT("00"&amp;HOUR(Sync!$K1727),2)&amp;RIGHT("00"&amp;MINUTE(Sync!$K1727),2),IFERROR(RIGHT("00"&amp;VALUE(LEFT(Sync!$K1727,FIND(":",Sync!$K1727)-1)),2)&amp;RIGHT("00"&amp;VALUE(MID(Sync!$K1727,FIND(":",Sync!$K1727)+1,2)),2),"0000")))&amp;"|"&amp;"2"&amp;RIGHT("00000"&amp;1722,5))</f>
        <v/>
      </c>
      <c r="Q1727" t="str">
        <f>IF(Sync!$J1727="","",IF(ISNUMBER(Sync!$J1727),IF(AND(Sync!$J1727&gt;=10000101,Sync!$J1727&lt;=99991231),INT(Sync!$J1727/10000)&amp;"/"&amp;RIGHT("00"&amp;INT(MOD(Sync!$J1727,10000)/100),2)&amp;"/"&amp;RIGHT("00"&amp;MOD(Sync!$J1727,100),2),"نامعتبر"),IF(LEN(Sync!$J1727)=10,Sync!$J1727,"نامعتبر")))</f>
        <v/>
      </c>
      <c r="R1727" t="str">
        <f t="shared" si="143"/>
        <v/>
      </c>
      <c r="S1727" t="str">
        <f t="shared" si="144"/>
        <v/>
      </c>
      <c r="T1727" t="str">
        <f>IF($N1727="","",IF(Sync!$N1727="",0,Sync!$N1727))</f>
        <v/>
      </c>
      <c r="U1727" t="str">
        <f>IF($N1727="","",IF(Sync!$O1727="",0,Sync!$O1727))</f>
        <v/>
      </c>
      <c r="V1727" t="str">
        <f>IF($N1727="","",Sync!$L1727)</f>
        <v/>
      </c>
      <c r="W1727" t="str">
        <f>IF($N1727="","",Sync!$P1727)</f>
        <v/>
      </c>
    </row>
    <row r="1728" spans="14:23" x14ac:dyDescent="0.2">
      <c r="N1728" t="str">
        <f>IF(OR(Sync!$M1728="",$Q1728="",$Q1728="نامعتبر"),"",Sync!$M1728)</f>
        <v/>
      </c>
      <c r="O1728" t="str">
        <f t="shared" si="142"/>
        <v/>
      </c>
      <c r="P1728" t="str">
        <f>IF($N1728="","",LEFT($Q1728,4)&amp;MID($Q1728,6,2)&amp;RIGHT($Q1728,2)&amp;IF(Sync!$K1728="","0000",IF(AND(ISNUMBER(Sync!$K1728),Sync!$K1728&gt;=0,Sync!$K1728&lt;1),RIGHT("00"&amp;HOUR(Sync!$K1728),2)&amp;RIGHT("00"&amp;MINUTE(Sync!$K1728),2),IFERROR(RIGHT("00"&amp;VALUE(LEFT(Sync!$K1728,FIND(":",Sync!$K1728)-1)),2)&amp;RIGHT("00"&amp;VALUE(MID(Sync!$K1728,FIND(":",Sync!$K1728)+1,2)),2),"0000")))&amp;"|"&amp;"2"&amp;RIGHT("00000"&amp;1723,5))</f>
        <v/>
      </c>
      <c r="Q1728" t="str">
        <f>IF(Sync!$J1728="","",IF(ISNUMBER(Sync!$J1728),IF(AND(Sync!$J1728&gt;=10000101,Sync!$J1728&lt;=99991231),INT(Sync!$J1728/10000)&amp;"/"&amp;RIGHT("00"&amp;INT(MOD(Sync!$J1728,10000)/100),2)&amp;"/"&amp;RIGHT("00"&amp;MOD(Sync!$J1728,100),2),"نامعتبر"),IF(LEN(Sync!$J1728)=10,Sync!$J1728,"نامعتبر")))</f>
        <v/>
      </c>
      <c r="R1728" t="str">
        <f t="shared" si="143"/>
        <v/>
      </c>
      <c r="S1728" t="str">
        <f t="shared" si="144"/>
        <v/>
      </c>
      <c r="T1728" t="str">
        <f>IF($N1728="","",IF(Sync!$N1728="",0,Sync!$N1728))</f>
        <v/>
      </c>
      <c r="U1728" t="str">
        <f>IF($N1728="","",IF(Sync!$O1728="",0,Sync!$O1728))</f>
        <v/>
      </c>
      <c r="V1728" t="str">
        <f>IF($N1728="","",Sync!$L1728)</f>
        <v/>
      </c>
      <c r="W1728" t="str">
        <f>IF($N1728="","",Sync!$P1728)</f>
        <v/>
      </c>
    </row>
    <row r="1729" spans="14:23" x14ac:dyDescent="0.2">
      <c r="N1729" t="str">
        <f>IF(OR(Sync!$M1729="",$Q1729="",$Q1729="نامعتبر"),"",Sync!$M1729)</f>
        <v/>
      </c>
      <c r="O1729" t="str">
        <f t="shared" si="142"/>
        <v/>
      </c>
      <c r="P1729" t="str">
        <f>IF($N1729="","",LEFT($Q1729,4)&amp;MID($Q1729,6,2)&amp;RIGHT($Q1729,2)&amp;IF(Sync!$K1729="","0000",IF(AND(ISNUMBER(Sync!$K1729),Sync!$K1729&gt;=0,Sync!$K1729&lt;1),RIGHT("00"&amp;HOUR(Sync!$K1729),2)&amp;RIGHT("00"&amp;MINUTE(Sync!$K1729),2),IFERROR(RIGHT("00"&amp;VALUE(LEFT(Sync!$K1729,FIND(":",Sync!$K1729)-1)),2)&amp;RIGHT("00"&amp;VALUE(MID(Sync!$K1729,FIND(":",Sync!$K1729)+1,2)),2),"0000")))&amp;"|"&amp;"2"&amp;RIGHT("00000"&amp;1724,5))</f>
        <v/>
      </c>
      <c r="Q1729" t="str">
        <f>IF(Sync!$J1729="","",IF(ISNUMBER(Sync!$J1729),IF(AND(Sync!$J1729&gt;=10000101,Sync!$J1729&lt;=99991231),INT(Sync!$J1729/10000)&amp;"/"&amp;RIGHT("00"&amp;INT(MOD(Sync!$J1729,10000)/100),2)&amp;"/"&amp;RIGHT("00"&amp;MOD(Sync!$J1729,100),2),"نامعتبر"),IF(LEN(Sync!$J1729)=10,Sync!$J1729,"نامعتبر")))</f>
        <v/>
      </c>
      <c r="R1729" t="str">
        <f t="shared" si="143"/>
        <v/>
      </c>
      <c r="S1729" t="str">
        <f t="shared" si="144"/>
        <v/>
      </c>
      <c r="T1729" t="str">
        <f>IF($N1729="","",IF(Sync!$N1729="",0,Sync!$N1729))</f>
        <v/>
      </c>
      <c r="U1729" t="str">
        <f>IF($N1729="","",IF(Sync!$O1729="",0,Sync!$O1729))</f>
        <v/>
      </c>
      <c r="V1729" t="str">
        <f>IF($N1729="","",Sync!$L1729)</f>
        <v/>
      </c>
      <c r="W1729" t="str">
        <f>IF($N1729="","",Sync!$P1729)</f>
        <v/>
      </c>
    </row>
    <row r="1730" spans="14:23" x14ac:dyDescent="0.2">
      <c r="N1730" t="str">
        <f>IF(OR(Sync!$M1730="",$Q1730="",$Q1730="نامعتبر"),"",Sync!$M1730)</f>
        <v/>
      </c>
      <c r="O1730" t="str">
        <f t="shared" si="142"/>
        <v/>
      </c>
      <c r="P1730" t="str">
        <f>IF($N1730="","",LEFT($Q1730,4)&amp;MID($Q1730,6,2)&amp;RIGHT($Q1730,2)&amp;IF(Sync!$K1730="","0000",IF(AND(ISNUMBER(Sync!$K1730),Sync!$K1730&gt;=0,Sync!$K1730&lt;1),RIGHT("00"&amp;HOUR(Sync!$K1730),2)&amp;RIGHT("00"&amp;MINUTE(Sync!$K1730),2),IFERROR(RIGHT("00"&amp;VALUE(LEFT(Sync!$K1730,FIND(":",Sync!$K1730)-1)),2)&amp;RIGHT("00"&amp;VALUE(MID(Sync!$K1730,FIND(":",Sync!$K1730)+1,2)),2),"0000")))&amp;"|"&amp;"2"&amp;RIGHT("00000"&amp;1725,5))</f>
        <v/>
      </c>
      <c r="Q1730" t="str">
        <f>IF(Sync!$J1730="","",IF(ISNUMBER(Sync!$J1730),IF(AND(Sync!$J1730&gt;=10000101,Sync!$J1730&lt;=99991231),INT(Sync!$J1730/10000)&amp;"/"&amp;RIGHT("00"&amp;INT(MOD(Sync!$J1730,10000)/100),2)&amp;"/"&amp;RIGHT("00"&amp;MOD(Sync!$J1730,100),2),"نامعتبر"),IF(LEN(Sync!$J1730)=10,Sync!$J1730,"نامعتبر")))</f>
        <v/>
      </c>
      <c r="R1730" t="str">
        <f t="shared" si="143"/>
        <v/>
      </c>
      <c r="S1730" t="str">
        <f t="shared" si="144"/>
        <v/>
      </c>
      <c r="T1730" t="str">
        <f>IF($N1730="","",IF(Sync!$N1730="",0,Sync!$N1730))</f>
        <v/>
      </c>
      <c r="U1730" t="str">
        <f>IF($N1730="","",IF(Sync!$O1730="",0,Sync!$O1730))</f>
        <v/>
      </c>
      <c r="V1730" t="str">
        <f>IF($N1730="","",Sync!$L1730)</f>
        <v/>
      </c>
      <c r="W1730" t="str">
        <f>IF($N1730="","",Sync!$P1730)</f>
        <v/>
      </c>
    </row>
    <row r="1731" spans="14:23" x14ac:dyDescent="0.2">
      <c r="N1731" t="str">
        <f>IF(OR(Sync!$M1731="",$Q1731="",$Q1731="نامعتبر"),"",Sync!$M1731)</f>
        <v/>
      </c>
      <c r="O1731" t="str">
        <f t="shared" si="142"/>
        <v/>
      </c>
      <c r="P1731" t="str">
        <f>IF($N1731="","",LEFT($Q1731,4)&amp;MID($Q1731,6,2)&amp;RIGHT($Q1731,2)&amp;IF(Sync!$K1731="","0000",IF(AND(ISNUMBER(Sync!$K1731),Sync!$K1731&gt;=0,Sync!$K1731&lt;1),RIGHT("00"&amp;HOUR(Sync!$K1731),2)&amp;RIGHT("00"&amp;MINUTE(Sync!$K1731),2),IFERROR(RIGHT("00"&amp;VALUE(LEFT(Sync!$K1731,FIND(":",Sync!$K1731)-1)),2)&amp;RIGHT("00"&amp;VALUE(MID(Sync!$K1731,FIND(":",Sync!$K1731)+1,2)),2),"0000")))&amp;"|"&amp;"2"&amp;RIGHT("00000"&amp;1726,5))</f>
        <v/>
      </c>
      <c r="Q1731" t="str">
        <f>IF(Sync!$J1731="","",IF(ISNUMBER(Sync!$J1731),IF(AND(Sync!$J1731&gt;=10000101,Sync!$J1731&lt;=99991231),INT(Sync!$J1731/10000)&amp;"/"&amp;RIGHT("00"&amp;INT(MOD(Sync!$J1731,10000)/100),2)&amp;"/"&amp;RIGHT("00"&amp;MOD(Sync!$J1731,100),2),"نامعتبر"),IF(LEN(Sync!$J1731)=10,Sync!$J1731,"نامعتبر")))</f>
        <v/>
      </c>
      <c r="R1731" t="str">
        <f t="shared" si="143"/>
        <v/>
      </c>
      <c r="S1731" t="str">
        <f t="shared" si="144"/>
        <v/>
      </c>
      <c r="T1731" t="str">
        <f>IF($N1731="","",IF(Sync!$N1731="",0,Sync!$N1731))</f>
        <v/>
      </c>
      <c r="U1731" t="str">
        <f>IF($N1731="","",IF(Sync!$O1731="",0,Sync!$O1731))</f>
        <v/>
      </c>
      <c r="V1731" t="str">
        <f>IF($N1731="","",Sync!$L1731)</f>
        <v/>
      </c>
      <c r="W1731" t="str">
        <f>IF($N1731="","",Sync!$P1731)</f>
        <v/>
      </c>
    </row>
    <row r="1732" spans="14:23" x14ac:dyDescent="0.2">
      <c r="N1732" t="str">
        <f>IF(OR(Sync!$M1732="",$Q1732="",$Q1732="نامعتبر"),"",Sync!$M1732)</f>
        <v/>
      </c>
      <c r="O1732" t="str">
        <f t="shared" si="142"/>
        <v/>
      </c>
      <c r="P1732" t="str">
        <f>IF($N1732="","",LEFT($Q1732,4)&amp;MID($Q1732,6,2)&amp;RIGHT($Q1732,2)&amp;IF(Sync!$K1732="","0000",IF(AND(ISNUMBER(Sync!$K1732),Sync!$K1732&gt;=0,Sync!$K1732&lt;1),RIGHT("00"&amp;HOUR(Sync!$K1732),2)&amp;RIGHT("00"&amp;MINUTE(Sync!$K1732),2),IFERROR(RIGHT("00"&amp;VALUE(LEFT(Sync!$K1732,FIND(":",Sync!$K1732)-1)),2)&amp;RIGHT("00"&amp;VALUE(MID(Sync!$K1732,FIND(":",Sync!$K1732)+1,2)),2),"0000")))&amp;"|"&amp;"2"&amp;RIGHT("00000"&amp;1727,5))</f>
        <v/>
      </c>
      <c r="Q1732" t="str">
        <f>IF(Sync!$J1732="","",IF(ISNUMBER(Sync!$J1732),IF(AND(Sync!$J1732&gt;=10000101,Sync!$J1732&lt;=99991231),INT(Sync!$J1732/10000)&amp;"/"&amp;RIGHT("00"&amp;INT(MOD(Sync!$J1732,10000)/100),2)&amp;"/"&amp;RIGHT("00"&amp;MOD(Sync!$J1732,100),2),"نامعتبر"),IF(LEN(Sync!$J1732)=10,Sync!$J1732,"نامعتبر")))</f>
        <v/>
      </c>
      <c r="R1732" t="str">
        <f t="shared" si="143"/>
        <v/>
      </c>
      <c r="S1732" t="str">
        <f t="shared" si="144"/>
        <v/>
      </c>
      <c r="T1732" t="str">
        <f>IF($N1732="","",IF(Sync!$N1732="",0,Sync!$N1732))</f>
        <v/>
      </c>
      <c r="U1732" t="str">
        <f>IF($N1732="","",IF(Sync!$O1732="",0,Sync!$O1732))</f>
        <v/>
      </c>
      <c r="V1732" t="str">
        <f>IF($N1732="","",Sync!$L1732)</f>
        <v/>
      </c>
      <c r="W1732" t="str">
        <f>IF($N1732="","",Sync!$P1732)</f>
        <v/>
      </c>
    </row>
    <row r="1733" spans="14:23" x14ac:dyDescent="0.2">
      <c r="N1733" t="str">
        <f>IF(OR(Sync!$M1733="",$Q1733="",$Q1733="نامعتبر"),"",Sync!$M1733)</f>
        <v/>
      </c>
      <c r="O1733" t="str">
        <f t="shared" si="142"/>
        <v/>
      </c>
      <c r="P1733" t="str">
        <f>IF($N1733="","",LEFT($Q1733,4)&amp;MID($Q1733,6,2)&amp;RIGHT($Q1733,2)&amp;IF(Sync!$K1733="","0000",IF(AND(ISNUMBER(Sync!$K1733),Sync!$K1733&gt;=0,Sync!$K1733&lt;1),RIGHT("00"&amp;HOUR(Sync!$K1733),2)&amp;RIGHT("00"&amp;MINUTE(Sync!$K1733),2),IFERROR(RIGHT("00"&amp;VALUE(LEFT(Sync!$K1733,FIND(":",Sync!$K1733)-1)),2)&amp;RIGHT("00"&amp;VALUE(MID(Sync!$K1733,FIND(":",Sync!$K1733)+1,2)),2),"0000")))&amp;"|"&amp;"2"&amp;RIGHT("00000"&amp;1728,5))</f>
        <v/>
      </c>
      <c r="Q1733" t="str">
        <f>IF(Sync!$J1733="","",IF(ISNUMBER(Sync!$J1733),IF(AND(Sync!$J1733&gt;=10000101,Sync!$J1733&lt;=99991231),INT(Sync!$J1733/10000)&amp;"/"&amp;RIGHT("00"&amp;INT(MOD(Sync!$J1733,10000)/100),2)&amp;"/"&amp;RIGHT("00"&amp;MOD(Sync!$J1733,100),2),"نامعتبر"),IF(LEN(Sync!$J1733)=10,Sync!$J1733,"نامعتبر")))</f>
        <v/>
      </c>
      <c r="R1733" t="str">
        <f t="shared" si="143"/>
        <v/>
      </c>
      <c r="S1733" t="str">
        <f t="shared" si="144"/>
        <v/>
      </c>
      <c r="T1733" t="str">
        <f>IF($N1733="","",IF(Sync!$N1733="",0,Sync!$N1733))</f>
        <v/>
      </c>
      <c r="U1733" t="str">
        <f>IF($N1733="","",IF(Sync!$O1733="",0,Sync!$O1733))</f>
        <v/>
      </c>
      <c r="V1733" t="str">
        <f>IF($N1733="","",Sync!$L1733)</f>
        <v/>
      </c>
      <c r="W1733" t="str">
        <f>IF($N1733="","",Sync!$P1733)</f>
        <v/>
      </c>
    </row>
    <row r="1734" spans="14:23" x14ac:dyDescent="0.2">
      <c r="N1734" t="str">
        <f>IF(OR(Sync!$M1734="",$Q1734="",$Q1734="نامعتبر"),"",Sync!$M1734)</f>
        <v/>
      </c>
      <c r="O1734" t="str">
        <f t="shared" ref="O1734:O1797" si="145">IF($N1734="","",$Q1734)</f>
        <v/>
      </c>
      <c r="P1734" t="str">
        <f>IF($N1734="","",LEFT($Q1734,4)&amp;MID($Q1734,6,2)&amp;RIGHT($Q1734,2)&amp;IF(Sync!$K1734="","0000",IF(AND(ISNUMBER(Sync!$K1734),Sync!$K1734&gt;=0,Sync!$K1734&lt;1),RIGHT("00"&amp;HOUR(Sync!$K1734),2)&amp;RIGHT("00"&amp;MINUTE(Sync!$K1734),2),IFERROR(RIGHT("00"&amp;VALUE(LEFT(Sync!$K1734,FIND(":",Sync!$K1734)-1)),2)&amp;RIGHT("00"&amp;VALUE(MID(Sync!$K1734,FIND(":",Sync!$K1734)+1,2)),2),"0000")))&amp;"|"&amp;"2"&amp;RIGHT("00000"&amp;1729,5))</f>
        <v/>
      </c>
      <c r="Q1734" t="str">
        <f>IF(Sync!$J1734="","",IF(ISNUMBER(Sync!$J1734),IF(AND(Sync!$J1734&gt;=10000101,Sync!$J1734&lt;=99991231),INT(Sync!$J1734/10000)&amp;"/"&amp;RIGHT("00"&amp;INT(MOD(Sync!$J1734,10000)/100),2)&amp;"/"&amp;RIGHT("00"&amp;MOD(Sync!$J1734,100),2),"نامعتبر"),IF(LEN(Sync!$J1734)=10,Sync!$J1734,"نامعتبر")))</f>
        <v/>
      </c>
      <c r="R1734" t="str">
        <f t="shared" ref="R1734:R1797" si="146">IF($P1734="","",COUNTIFS($N$6:$N$2005,$N1734,$P$6:$P$2005,"&lt;"&amp;$P1734)+COUNTIFS($A$6:$A$1005,$N1734,$B$6:$B$1005,"&lt;"&amp;$P1734)+1)</f>
        <v/>
      </c>
      <c r="S1734" t="str">
        <f t="shared" ref="S1734:S1797" si="147">IF($N1734="","",$N1734&amp;"|"&amp;RIGHT("000000"&amp;$R1734,6))</f>
        <v/>
      </c>
      <c r="T1734" t="str">
        <f>IF($N1734="","",IF(Sync!$N1734="",0,Sync!$N1734))</f>
        <v/>
      </c>
      <c r="U1734" t="str">
        <f>IF($N1734="","",IF(Sync!$O1734="",0,Sync!$O1734))</f>
        <v/>
      </c>
      <c r="V1734" t="str">
        <f>IF($N1734="","",Sync!$L1734)</f>
        <v/>
      </c>
      <c r="W1734" t="str">
        <f>IF($N1734="","",Sync!$P1734)</f>
        <v/>
      </c>
    </row>
    <row r="1735" spans="14:23" x14ac:dyDescent="0.2">
      <c r="N1735" t="str">
        <f>IF(OR(Sync!$M1735="",$Q1735="",$Q1735="نامعتبر"),"",Sync!$M1735)</f>
        <v/>
      </c>
      <c r="O1735" t="str">
        <f t="shared" si="145"/>
        <v/>
      </c>
      <c r="P1735" t="str">
        <f>IF($N1735="","",LEFT($Q1735,4)&amp;MID($Q1735,6,2)&amp;RIGHT($Q1735,2)&amp;IF(Sync!$K1735="","0000",IF(AND(ISNUMBER(Sync!$K1735),Sync!$K1735&gt;=0,Sync!$K1735&lt;1),RIGHT("00"&amp;HOUR(Sync!$K1735),2)&amp;RIGHT("00"&amp;MINUTE(Sync!$K1735),2),IFERROR(RIGHT("00"&amp;VALUE(LEFT(Sync!$K1735,FIND(":",Sync!$K1735)-1)),2)&amp;RIGHT("00"&amp;VALUE(MID(Sync!$K1735,FIND(":",Sync!$K1735)+1,2)),2),"0000")))&amp;"|"&amp;"2"&amp;RIGHT("00000"&amp;1730,5))</f>
        <v/>
      </c>
      <c r="Q1735" t="str">
        <f>IF(Sync!$J1735="","",IF(ISNUMBER(Sync!$J1735),IF(AND(Sync!$J1735&gt;=10000101,Sync!$J1735&lt;=99991231),INT(Sync!$J1735/10000)&amp;"/"&amp;RIGHT("00"&amp;INT(MOD(Sync!$J1735,10000)/100),2)&amp;"/"&amp;RIGHT("00"&amp;MOD(Sync!$J1735,100),2),"نامعتبر"),IF(LEN(Sync!$J1735)=10,Sync!$J1735,"نامعتبر")))</f>
        <v/>
      </c>
      <c r="R1735" t="str">
        <f t="shared" si="146"/>
        <v/>
      </c>
      <c r="S1735" t="str">
        <f t="shared" si="147"/>
        <v/>
      </c>
      <c r="T1735" t="str">
        <f>IF($N1735="","",IF(Sync!$N1735="",0,Sync!$N1735))</f>
        <v/>
      </c>
      <c r="U1735" t="str">
        <f>IF($N1735="","",IF(Sync!$O1735="",0,Sync!$O1735))</f>
        <v/>
      </c>
      <c r="V1735" t="str">
        <f>IF($N1735="","",Sync!$L1735)</f>
        <v/>
      </c>
      <c r="W1735" t="str">
        <f>IF($N1735="","",Sync!$P1735)</f>
        <v/>
      </c>
    </row>
    <row r="1736" spans="14:23" x14ac:dyDescent="0.2">
      <c r="N1736" t="str">
        <f>IF(OR(Sync!$M1736="",$Q1736="",$Q1736="نامعتبر"),"",Sync!$M1736)</f>
        <v/>
      </c>
      <c r="O1736" t="str">
        <f t="shared" si="145"/>
        <v/>
      </c>
      <c r="P1736" t="str">
        <f>IF($N1736="","",LEFT($Q1736,4)&amp;MID($Q1736,6,2)&amp;RIGHT($Q1736,2)&amp;IF(Sync!$K1736="","0000",IF(AND(ISNUMBER(Sync!$K1736),Sync!$K1736&gt;=0,Sync!$K1736&lt;1),RIGHT("00"&amp;HOUR(Sync!$K1736),2)&amp;RIGHT("00"&amp;MINUTE(Sync!$K1736),2),IFERROR(RIGHT("00"&amp;VALUE(LEFT(Sync!$K1736,FIND(":",Sync!$K1736)-1)),2)&amp;RIGHT("00"&amp;VALUE(MID(Sync!$K1736,FIND(":",Sync!$K1736)+1,2)),2),"0000")))&amp;"|"&amp;"2"&amp;RIGHT("00000"&amp;1731,5))</f>
        <v/>
      </c>
      <c r="Q1736" t="str">
        <f>IF(Sync!$J1736="","",IF(ISNUMBER(Sync!$J1736),IF(AND(Sync!$J1736&gt;=10000101,Sync!$J1736&lt;=99991231),INT(Sync!$J1736/10000)&amp;"/"&amp;RIGHT("00"&amp;INT(MOD(Sync!$J1736,10000)/100),2)&amp;"/"&amp;RIGHT("00"&amp;MOD(Sync!$J1736,100),2),"نامعتبر"),IF(LEN(Sync!$J1736)=10,Sync!$J1736,"نامعتبر")))</f>
        <v/>
      </c>
      <c r="R1736" t="str">
        <f t="shared" si="146"/>
        <v/>
      </c>
      <c r="S1736" t="str">
        <f t="shared" si="147"/>
        <v/>
      </c>
      <c r="T1736" t="str">
        <f>IF($N1736="","",IF(Sync!$N1736="",0,Sync!$N1736))</f>
        <v/>
      </c>
      <c r="U1736" t="str">
        <f>IF($N1736="","",IF(Sync!$O1736="",0,Sync!$O1736))</f>
        <v/>
      </c>
      <c r="V1736" t="str">
        <f>IF($N1736="","",Sync!$L1736)</f>
        <v/>
      </c>
      <c r="W1736" t="str">
        <f>IF($N1736="","",Sync!$P1736)</f>
        <v/>
      </c>
    </row>
    <row r="1737" spans="14:23" x14ac:dyDescent="0.2">
      <c r="N1737" t="str">
        <f>IF(OR(Sync!$M1737="",$Q1737="",$Q1737="نامعتبر"),"",Sync!$M1737)</f>
        <v/>
      </c>
      <c r="O1737" t="str">
        <f t="shared" si="145"/>
        <v/>
      </c>
      <c r="P1737" t="str">
        <f>IF($N1737="","",LEFT($Q1737,4)&amp;MID($Q1737,6,2)&amp;RIGHT($Q1737,2)&amp;IF(Sync!$K1737="","0000",IF(AND(ISNUMBER(Sync!$K1737),Sync!$K1737&gt;=0,Sync!$K1737&lt;1),RIGHT("00"&amp;HOUR(Sync!$K1737),2)&amp;RIGHT("00"&amp;MINUTE(Sync!$K1737),2),IFERROR(RIGHT("00"&amp;VALUE(LEFT(Sync!$K1737,FIND(":",Sync!$K1737)-1)),2)&amp;RIGHT("00"&amp;VALUE(MID(Sync!$K1737,FIND(":",Sync!$K1737)+1,2)),2),"0000")))&amp;"|"&amp;"2"&amp;RIGHT("00000"&amp;1732,5))</f>
        <v/>
      </c>
      <c r="Q1737" t="str">
        <f>IF(Sync!$J1737="","",IF(ISNUMBER(Sync!$J1737),IF(AND(Sync!$J1737&gt;=10000101,Sync!$J1737&lt;=99991231),INT(Sync!$J1737/10000)&amp;"/"&amp;RIGHT("00"&amp;INT(MOD(Sync!$J1737,10000)/100),2)&amp;"/"&amp;RIGHT("00"&amp;MOD(Sync!$J1737,100),2),"نامعتبر"),IF(LEN(Sync!$J1737)=10,Sync!$J1737,"نامعتبر")))</f>
        <v/>
      </c>
      <c r="R1737" t="str">
        <f t="shared" si="146"/>
        <v/>
      </c>
      <c r="S1737" t="str">
        <f t="shared" si="147"/>
        <v/>
      </c>
      <c r="T1737" t="str">
        <f>IF($N1737="","",IF(Sync!$N1737="",0,Sync!$N1737))</f>
        <v/>
      </c>
      <c r="U1737" t="str">
        <f>IF($N1737="","",IF(Sync!$O1737="",0,Sync!$O1737))</f>
        <v/>
      </c>
      <c r="V1737" t="str">
        <f>IF($N1737="","",Sync!$L1737)</f>
        <v/>
      </c>
      <c r="W1737" t="str">
        <f>IF($N1737="","",Sync!$P1737)</f>
        <v/>
      </c>
    </row>
    <row r="1738" spans="14:23" x14ac:dyDescent="0.2">
      <c r="N1738" t="str">
        <f>IF(OR(Sync!$M1738="",$Q1738="",$Q1738="نامعتبر"),"",Sync!$M1738)</f>
        <v/>
      </c>
      <c r="O1738" t="str">
        <f t="shared" si="145"/>
        <v/>
      </c>
      <c r="P1738" t="str">
        <f>IF($N1738="","",LEFT($Q1738,4)&amp;MID($Q1738,6,2)&amp;RIGHT($Q1738,2)&amp;IF(Sync!$K1738="","0000",IF(AND(ISNUMBER(Sync!$K1738),Sync!$K1738&gt;=0,Sync!$K1738&lt;1),RIGHT("00"&amp;HOUR(Sync!$K1738),2)&amp;RIGHT("00"&amp;MINUTE(Sync!$K1738),2),IFERROR(RIGHT("00"&amp;VALUE(LEFT(Sync!$K1738,FIND(":",Sync!$K1738)-1)),2)&amp;RIGHT("00"&amp;VALUE(MID(Sync!$K1738,FIND(":",Sync!$K1738)+1,2)),2),"0000")))&amp;"|"&amp;"2"&amp;RIGHT("00000"&amp;1733,5))</f>
        <v/>
      </c>
      <c r="Q1738" t="str">
        <f>IF(Sync!$J1738="","",IF(ISNUMBER(Sync!$J1738),IF(AND(Sync!$J1738&gt;=10000101,Sync!$J1738&lt;=99991231),INT(Sync!$J1738/10000)&amp;"/"&amp;RIGHT("00"&amp;INT(MOD(Sync!$J1738,10000)/100),2)&amp;"/"&amp;RIGHT("00"&amp;MOD(Sync!$J1738,100),2),"نامعتبر"),IF(LEN(Sync!$J1738)=10,Sync!$J1738,"نامعتبر")))</f>
        <v/>
      </c>
      <c r="R1738" t="str">
        <f t="shared" si="146"/>
        <v/>
      </c>
      <c r="S1738" t="str">
        <f t="shared" si="147"/>
        <v/>
      </c>
      <c r="T1738" t="str">
        <f>IF($N1738="","",IF(Sync!$N1738="",0,Sync!$N1738))</f>
        <v/>
      </c>
      <c r="U1738" t="str">
        <f>IF($N1738="","",IF(Sync!$O1738="",0,Sync!$O1738))</f>
        <v/>
      </c>
      <c r="V1738" t="str">
        <f>IF($N1738="","",Sync!$L1738)</f>
        <v/>
      </c>
      <c r="W1738" t="str">
        <f>IF($N1738="","",Sync!$P1738)</f>
        <v/>
      </c>
    </row>
    <row r="1739" spans="14:23" x14ac:dyDescent="0.2">
      <c r="N1739" t="str">
        <f>IF(OR(Sync!$M1739="",$Q1739="",$Q1739="نامعتبر"),"",Sync!$M1739)</f>
        <v/>
      </c>
      <c r="O1739" t="str">
        <f t="shared" si="145"/>
        <v/>
      </c>
      <c r="P1739" t="str">
        <f>IF($N1739="","",LEFT($Q1739,4)&amp;MID($Q1739,6,2)&amp;RIGHT($Q1739,2)&amp;IF(Sync!$K1739="","0000",IF(AND(ISNUMBER(Sync!$K1739),Sync!$K1739&gt;=0,Sync!$K1739&lt;1),RIGHT("00"&amp;HOUR(Sync!$K1739),2)&amp;RIGHT("00"&amp;MINUTE(Sync!$K1739),2),IFERROR(RIGHT("00"&amp;VALUE(LEFT(Sync!$K1739,FIND(":",Sync!$K1739)-1)),2)&amp;RIGHT("00"&amp;VALUE(MID(Sync!$K1739,FIND(":",Sync!$K1739)+1,2)),2),"0000")))&amp;"|"&amp;"2"&amp;RIGHT("00000"&amp;1734,5))</f>
        <v/>
      </c>
      <c r="Q1739" t="str">
        <f>IF(Sync!$J1739="","",IF(ISNUMBER(Sync!$J1739),IF(AND(Sync!$J1739&gt;=10000101,Sync!$J1739&lt;=99991231),INT(Sync!$J1739/10000)&amp;"/"&amp;RIGHT("00"&amp;INT(MOD(Sync!$J1739,10000)/100),2)&amp;"/"&amp;RIGHT("00"&amp;MOD(Sync!$J1739,100),2),"نامعتبر"),IF(LEN(Sync!$J1739)=10,Sync!$J1739,"نامعتبر")))</f>
        <v/>
      </c>
      <c r="R1739" t="str">
        <f t="shared" si="146"/>
        <v/>
      </c>
      <c r="S1739" t="str">
        <f t="shared" si="147"/>
        <v/>
      </c>
      <c r="T1739" t="str">
        <f>IF($N1739="","",IF(Sync!$N1739="",0,Sync!$N1739))</f>
        <v/>
      </c>
      <c r="U1739" t="str">
        <f>IF($N1739="","",IF(Sync!$O1739="",0,Sync!$O1739))</f>
        <v/>
      </c>
      <c r="V1739" t="str">
        <f>IF($N1739="","",Sync!$L1739)</f>
        <v/>
      </c>
      <c r="W1739" t="str">
        <f>IF($N1739="","",Sync!$P1739)</f>
        <v/>
      </c>
    </row>
    <row r="1740" spans="14:23" x14ac:dyDescent="0.2">
      <c r="N1740" t="str">
        <f>IF(OR(Sync!$M1740="",$Q1740="",$Q1740="نامعتبر"),"",Sync!$M1740)</f>
        <v/>
      </c>
      <c r="O1740" t="str">
        <f t="shared" si="145"/>
        <v/>
      </c>
      <c r="P1740" t="str">
        <f>IF($N1740="","",LEFT($Q1740,4)&amp;MID($Q1740,6,2)&amp;RIGHT($Q1740,2)&amp;IF(Sync!$K1740="","0000",IF(AND(ISNUMBER(Sync!$K1740),Sync!$K1740&gt;=0,Sync!$K1740&lt;1),RIGHT("00"&amp;HOUR(Sync!$K1740),2)&amp;RIGHT("00"&amp;MINUTE(Sync!$K1740),2),IFERROR(RIGHT("00"&amp;VALUE(LEFT(Sync!$K1740,FIND(":",Sync!$K1740)-1)),2)&amp;RIGHT("00"&amp;VALUE(MID(Sync!$K1740,FIND(":",Sync!$K1740)+1,2)),2),"0000")))&amp;"|"&amp;"2"&amp;RIGHT("00000"&amp;1735,5))</f>
        <v/>
      </c>
      <c r="Q1740" t="str">
        <f>IF(Sync!$J1740="","",IF(ISNUMBER(Sync!$J1740),IF(AND(Sync!$J1740&gt;=10000101,Sync!$J1740&lt;=99991231),INT(Sync!$J1740/10000)&amp;"/"&amp;RIGHT("00"&amp;INT(MOD(Sync!$J1740,10000)/100),2)&amp;"/"&amp;RIGHT("00"&amp;MOD(Sync!$J1740,100),2),"نامعتبر"),IF(LEN(Sync!$J1740)=10,Sync!$J1740,"نامعتبر")))</f>
        <v/>
      </c>
      <c r="R1740" t="str">
        <f t="shared" si="146"/>
        <v/>
      </c>
      <c r="S1740" t="str">
        <f t="shared" si="147"/>
        <v/>
      </c>
      <c r="T1740" t="str">
        <f>IF($N1740="","",IF(Sync!$N1740="",0,Sync!$N1740))</f>
        <v/>
      </c>
      <c r="U1740" t="str">
        <f>IF($N1740="","",IF(Sync!$O1740="",0,Sync!$O1740))</f>
        <v/>
      </c>
      <c r="V1740" t="str">
        <f>IF($N1740="","",Sync!$L1740)</f>
        <v/>
      </c>
      <c r="W1740" t="str">
        <f>IF($N1740="","",Sync!$P1740)</f>
        <v/>
      </c>
    </row>
    <row r="1741" spans="14:23" x14ac:dyDescent="0.2">
      <c r="N1741" t="str">
        <f>IF(OR(Sync!$M1741="",$Q1741="",$Q1741="نامعتبر"),"",Sync!$M1741)</f>
        <v/>
      </c>
      <c r="O1741" t="str">
        <f t="shared" si="145"/>
        <v/>
      </c>
      <c r="P1741" t="str">
        <f>IF($N1741="","",LEFT($Q1741,4)&amp;MID($Q1741,6,2)&amp;RIGHT($Q1741,2)&amp;IF(Sync!$K1741="","0000",IF(AND(ISNUMBER(Sync!$K1741),Sync!$K1741&gt;=0,Sync!$K1741&lt;1),RIGHT("00"&amp;HOUR(Sync!$K1741),2)&amp;RIGHT("00"&amp;MINUTE(Sync!$K1741),2),IFERROR(RIGHT("00"&amp;VALUE(LEFT(Sync!$K1741,FIND(":",Sync!$K1741)-1)),2)&amp;RIGHT("00"&amp;VALUE(MID(Sync!$K1741,FIND(":",Sync!$K1741)+1,2)),2),"0000")))&amp;"|"&amp;"2"&amp;RIGHT("00000"&amp;1736,5))</f>
        <v/>
      </c>
      <c r="Q1741" t="str">
        <f>IF(Sync!$J1741="","",IF(ISNUMBER(Sync!$J1741),IF(AND(Sync!$J1741&gt;=10000101,Sync!$J1741&lt;=99991231),INT(Sync!$J1741/10000)&amp;"/"&amp;RIGHT("00"&amp;INT(MOD(Sync!$J1741,10000)/100),2)&amp;"/"&amp;RIGHT("00"&amp;MOD(Sync!$J1741,100),2),"نامعتبر"),IF(LEN(Sync!$J1741)=10,Sync!$J1741,"نامعتبر")))</f>
        <v/>
      </c>
      <c r="R1741" t="str">
        <f t="shared" si="146"/>
        <v/>
      </c>
      <c r="S1741" t="str">
        <f t="shared" si="147"/>
        <v/>
      </c>
      <c r="T1741" t="str">
        <f>IF($N1741="","",IF(Sync!$N1741="",0,Sync!$N1741))</f>
        <v/>
      </c>
      <c r="U1741" t="str">
        <f>IF($N1741="","",IF(Sync!$O1741="",0,Sync!$O1741))</f>
        <v/>
      </c>
      <c r="V1741" t="str">
        <f>IF($N1741="","",Sync!$L1741)</f>
        <v/>
      </c>
      <c r="W1741" t="str">
        <f>IF($N1741="","",Sync!$P1741)</f>
        <v/>
      </c>
    </row>
    <row r="1742" spans="14:23" x14ac:dyDescent="0.2">
      <c r="N1742" t="str">
        <f>IF(OR(Sync!$M1742="",$Q1742="",$Q1742="نامعتبر"),"",Sync!$M1742)</f>
        <v/>
      </c>
      <c r="O1742" t="str">
        <f t="shared" si="145"/>
        <v/>
      </c>
      <c r="P1742" t="str">
        <f>IF($N1742="","",LEFT($Q1742,4)&amp;MID($Q1742,6,2)&amp;RIGHT($Q1742,2)&amp;IF(Sync!$K1742="","0000",IF(AND(ISNUMBER(Sync!$K1742),Sync!$K1742&gt;=0,Sync!$K1742&lt;1),RIGHT("00"&amp;HOUR(Sync!$K1742),2)&amp;RIGHT("00"&amp;MINUTE(Sync!$K1742),2),IFERROR(RIGHT("00"&amp;VALUE(LEFT(Sync!$K1742,FIND(":",Sync!$K1742)-1)),2)&amp;RIGHT("00"&amp;VALUE(MID(Sync!$K1742,FIND(":",Sync!$K1742)+1,2)),2),"0000")))&amp;"|"&amp;"2"&amp;RIGHT("00000"&amp;1737,5))</f>
        <v/>
      </c>
      <c r="Q1742" t="str">
        <f>IF(Sync!$J1742="","",IF(ISNUMBER(Sync!$J1742),IF(AND(Sync!$J1742&gt;=10000101,Sync!$J1742&lt;=99991231),INT(Sync!$J1742/10000)&amp;"/"&amp;RIGHT("00"&amp;INT(MOD(Sync!$J1742,10000)/100),2)&amp;"/"&amp;RIGHT("00"&amp;MOD(Sync!$J1742,100),2),"نامعتبر"),IF(LEN(Sync!$J1742)=10,Sync!$J1742,"نامعتبر")))</f>
        <v/>
      </c>
      <c r="R1742" t="str">
        <f t="shared" si="146"/>
        <v/>
      </c>
      <c r="S1742" t="str">
        <f t="shared" si="147"/>
        <v/>
      </c>
      <c r="T1742" t="str">
        <f>IF($N1742="","",IF(Sync!$N1742="",0,Sync!$N1742))</f>
        <v/>
      </c>
      <c r="U1742" t="str">
        <f>IF($N1742="","",IF(Sync!$O1742="",0,Sync!$O1742))</f>
        <v/>
      </c>
      <c r="V1742" t="str">
        <f>IF($N1742="","",Sync!$L1742)</f>
        <v/>
      </c>
      <c r="W1742" t="str">
        <f>IF($N1742="","",Sync!$P1742)</f>
        <v/>
      </c>
    </row>
    <row r="1743" spans="14:23" x14ac:dyDescent="0.2">
      <c r="N1743" t="str">
        <f>IF(OR(Sync!$M1743="",$Q1743="",$Q1743="نامعتبر"),"",Sync!$M1743)</f>
        <v/>
      </c>
      <c r="O1743" t="str">
        <f t="shared" si="145"/>
        <v/>
      </c>
      <c r="P1743" t="str">
        <f>IF($N1743="","",LEFT($Q1743,4)&amp;MID($Q1743,6,2)&amp;RIGHT($Q1743,2)&amp;IF(Sync!$K1743="","0000",IF(AND(ISNUMBER(Sync!$K1743),Sync!$K1743&gt;=0,Sync!$K1743&lt;1),RIGHT("00"&amp;HOUR(Sync!$K1743),2)&amp;RIGHT("00"&amp;MINUTE(Sync!$K1743),2),IFERROR(RIGHT("00"&amp;VALUE(LEFT(Sync!$K1743,FIND(":",Sync!$K1743)-1)),2)&amp;RIGHT("00"&amp;VALUE(MID(Sync!$K1743,FIND(":",Sync!$K1743)+1,2)),2),"0000")))&amp;"|"&amp;"2"&amp;RIGHT("00000"&amp;1738,5))</f>
        <v/>
      </c>
      <c r="Q1743" t="str">
        <f>IF(Sync!$J1743="","",IF(ISNUMBER(Sync!$J1743),IF(AND(Sync!$J1743&gt;=10000101,Sync!$J1743&lt;=99991231),INT(Sync!$J1743/10000)&amp;"/"&amp;RIGHT("00"&amp;INT(MOD(Sync!$J1743,10000)/100),2)&amp;"/"&amp;RIGHT("00"&amp;MOD(Sync!$J1743,100),2),"نامعتبر"),IF(LEN(Sync!$J1743)=10,Sync!$J1743,"نامعتبر")))</f>
        <v/>
      </c>
      <c r="R1743" t="str">
        <f t="shared" si="146"/>
        <v/>
      </c>
      <c r="S1743" t="str">
        <f t="shared" si="147"/>
        <v/>
      </c>
      <c r="T1743" t="str">
        <f>IF($N1743="","",IF(Sync!$N1743="",0,Sync!$N1743))</f>
        <v/>
      </c>
      <c r="U1743" t="str">
        <f>IF($N1743="","",IF(Sync!$O1743="",0,Sync!$O1743))</f>
        <v/>
      </c>
      <c r="V1743" t="str">
        <f>IF($N1743="","",Sync!$L1743)</f>
        <v/>
      </c>
      <c r="W1743" t="str">
        <f>IF($N1743="","",Sync!$P1743)</f>
        <v/>
      </c>
    </row>
    <row r="1744" spans="14:23" x14ac:dyDescent="0.2">
      <c r="N1744" t="str">
        <f>IF(OR(Sync!$M1744="",$Q1744="",$Q1744="نامعتبر"),"",Sync!$M1744)</f>
        <v/>
      </c>
      <c r="O1744" t="str">
        <f t="shared" si="145"/>
        <v/>
      </c>
      <c r="P1744" t="str">
        <f>IF($N1744="","",LEFT($Q1744,4)&amp;MID($Q1744,6,2)&amp;RIGHT($Q1744,2)&amp;IF(Sync!$K1744="","0000",IF(AND(ISNUMBER(Sync!$K1744),Sync!$K1744&gt;=0,Sync!$K1744&lt;1),RIGHT("00"&amp;HOUR(Sync!$K1744),2)&amp;RIGHT("00"&amp;MINUTE(Sync!$K1744),2),IFERROR(RIGHT("00"&amp;VALUE(LEFT(Sync!$K1744,FIND(":",Sync!$K1744)-1)),2)&amp;RIGHT("00"&amp;VALUE(MID(Sync!$K1744,FIND(":",Sync!$K1744)+1,2)),2),"0000")))&amp;"|"&amp;"2"&amp;RIGHT("00000"&amp;1739,5))</f>
        <v/>
      </c>
      <c r="Q1744" t="str">
        <f>IF(Sync!$J1744="","",IF(ISNUMBER(Sync!$J1744),IF(AND(Sync!$J1744&gt;=10000101,Sync!$J1744&lt;=99991231),INT(Sync!$J1744/10000)&amp;"/"&amp;RIGHT("00"&amp;INT(MOD(Sync!$J1744,10000)/100),2)&amp;"/"&amp;RIGHT("00"&amp;MOD(Sync!$J1744,100),2),"نامعتبر"),IF(LEN(Sync!$J1744)=10,Sync!$J1744,"نامعتبر")))</f>
        <v/>
      </c>
      <c r="R1744" t="str">
        <f t="shared" si="146"/>
        <v/>
      </c>
      <c r="S1744" t="str">
        <f t="shared" si="147"/>
        <v/>
      </c>
      <c r="T1744" t="str">
        <f>IF($N1744="","",IF(Sync!$N1744="",0,Sync!$N1744))</f>
        <v/>
      </c>
      <c r="U1744" t="str">
        <f>IF($N1744="","",IF(Sync!$O1744="",0,Sync!$O1744))</f>
        <v/>
      </c>
      <c r="V1744" t="str">
        <f>IF($N1744="","",Sync!$L1744)</f>
        <v/>
      </c>
      <c r="W1744" t="str">
        <f>IF($N1744="","",Sync!$P1744)</f>
        <v/>
      </c>
    </row>
    <row r="1745" spans="14:23" x14ac:dyDescent="0.2">
      <c r="N1745" t="str">
        <f>IF(OR(Sync!$M1745="",$Q1745="",$Q1745="نامعتبر"),"",Sync!$M1745)</f>
        <v/>
      </c>
      <c r="O1745" t="str">
        <f t="shared" si="145"/>
        <v/>
      </c>
      <c r="P1745" t="str">
        <f>IF($N1745="","",LEFT($Q1745,4)&amp;MID($Q1745,6,2)&amp;RIGHT($Q1745,2)&amp;IF(Sync!$K1745="","0000",IF(AND(ISNUMBER(Sync!$K1745),Sync!$K1745&gt;=0,Sync!$K1745&lt;1),RIGHT("00"&amp;HOUR(Sync!$K1745),2)&amp;RIGHT("00"&amp;MINUTE(Sync!$K1745),2),IFERROR(RIGHT("00"&amp;VALUE(LEFT(Sync!$K1745,FIND(":",Sync!$K1745)-1)),2)&amp;RIGHT("00"&amp;VALUE(MID(Sync!$K1745,FIND(":",Sync!$K1745)+1,2)),2),"0000")))&amp;"|"&amp;"2"&amp;RIGHT("00000"&amp;1740,5))</f>
        <v/>
      </c>
      <c r="Q1745" t="str">
        <f>IF(Sync!$J1745="","",IF(ISNUMBER(Sync!$J1745),IF(AND(Sync!$J1745&gt;=10000101,Sync!$J1745&lt;=99991231),INT(Sync!$J1745/10000)&amp;"/"&amp;RIGHT("00"&amp;INT(MOD(Sync!$J1745,10000)/100),2)&amp;"/"&amp;RIGHT("00"&amp;MOD(Sync!$J1745,100),2),"نامعتبر"),IF(LEN(Sync!$J1745)=10,Sync!$J1745,"نامعتبر")))</f>
        <v/>
      </c>
      <c r="R1745" t="str">
        <f t="shared" si="146"/>
        <v/>
      </c>
      <c r="S1745" t="str">
        <f t="shared" si="147"/>
        <v/>
      </c>
      <c r="T1745" t="str">
        <f>IF($N1745="","",IF(Sync!$N1745="",0,Sync!$N1745))</f>
        <v/>
      </c>
      <c r="U1745" t="str">
        <f>IF($N1745="","",IF(Sync!$O1745="",0,Sync!$O1745))</f>
        <v/>
      </c>
      <c r="V1745" t="str">
        <f>IF($N1745="","",Sync!$L1745)</f>
        <v/>
      </c>
      <c r="W1745" t="str">
        <f>IF($N1745="","",Sync!$P1745)</f>
        <v/>
      </c>
    </row>
    <row r="1746" spans="14:23" x14ac:dyDescent="0.2">
      <c r="N1746" t="str">
        <f>IF(OR(Sync!$M1746="",$Q1746="",$Q1746="نامعتبر"),"",Sync!$M1746)</f>
        <v/>
      </c>
      <c r="O1746" t="str">
        <f t="shared" si="145"/>
        <v/>
      </c>
      <c r="P1746" t="str">
        <f>IF($N1746="","",LEFT($Q1746,4)&amp;MID($Q1746,6,2)&amp;RIGHT($Q1746,2)&amp;IF(Sync!$K1746="","0000",IF(AND(ISNUMBER(Sync!$K1746),Sync!$K1746&gt;=0,Sync!$K1746&lt;1),RIGHT("00"&amp;HOUR(Sync!$K1746),2)&amp;RIGHT("00"&amp;MINUTE(Sync!$K1746),2),IFERROR(RIGHT("00"&amp;VALUE(LEFT(Sync!$K1746,FIND(":",Sync!$K1746)-1)),2)&amp;RIGHT("00"&amp;VALUE(MID(Sync!$K1746,FIND(":",Sync!$K1746)+1,2)),2),"0000")))&amp;"|"&amp;"2"&amp;RIGHT("00000"&amp;1741,5))</f>
        <v/>
      </c>
      <c r="Q1746" t="str">
        <f>IF(Sync!$J1746="","",IF(ISNUMBER(Sync!$J1746),IF(AND(Sync!$J1746&gt;=10000101,Sync!$J1746&lt;=99991231),INT(Sync!$J1746/10000)&amp;"/"&amp;RIGHT("00"&amp;INT(MOD(Sync!$J1746,10000)/100),2)&amp;"/"&amp;RIGHT("00"&amp;MOD(Sync!$J1746,100),2),"نامعتبر"),IF(LEN(Sync!$J1746)=10,Sync!$J1746,"نامعتبر")))</f>
        <v/>
      </c>
      <c r="R1746" t="str">
        <f t="shared" si="146"/>
        <v/>
      </c>
      <c r="S1746" t="str">
        <f t="shared" si="147"/>
        <v/>
      </c>
      <c r="T1746" t="str">
        <f>IF($N1746="","",IF(Sync!$N1746="",0,Sync!$N1746))</f>
        <v/>
      </c>
      <c r="U1746" t="str">
        <f>IF($N1746="","",IF(Sync!$O1746="",0,Sync!$O1746))</f>
        <v/>
      </c>
      <c r="V1746" t="str">
        <f>IF($N1746="","",Sync!$L1746)</f>
        <v/>
      </c>
      <c r="W1746" t="str">
        <f>IF($N1746="","",Sync!$P1746)</f>
        <v/>
      </c>
    </row>
    <row r="1747" spans="14:23" x14ac:dyDescent="0.2">
      <c r="N1747" t="str">
        <f>IF(OR(Sync!$M1747="",$Q1747="",$Q1747="نامعتبر"),"",Sync!$M1747)</f>
        <v/>
      </c>
      <c r="O1747" t="str">
        <f t="shared" si="145"/>
        <v/>
      </c>
      <c r="P1747" t="str">
        <f>IF($N1747="","",LEFT($Q1747,4)&amp;MID($Q1747,6,2)&amp;RIGHT($Q1747,2)&amp;IF(Sync!$K1747="","0000",IF(AND(ISNUMBER(Sync!$K1747),Sync!$K1747&gt;=0,Sync!$K1747&lt;1),RIGHT("00"&amp;HOUR(Sync!$K1747),2)&amp;RIGHT("00"&amp;MINUTE(Sync!$K1747),2),IFERROR(RIGHT("00"&amp;VALUE(LEFT(Sync!$K1747,FIND(":",Sync!$K1747)-1)),2)&amp;RIGHT("00"&amp;VALUE(MID(Sync!$K1747,FIND(":",Sync!$K1747)+1,2)),2),"0000")))&amp;"|"&amp;"2"&amp;RIGHT("00000"&amp;1742,5))</f>
        <v/>
      </c>
      <c r="Q1747" t="str">
        <f>IF(Sync!$J1747="","",IF(ISNUMBER(Sync!$J1747),IF(AND(Sync!$J1747&gt;=10000101,Sync!$J1747&lt;=99991231),INT(Sync!$J1747/10000)&amp;"/"&amp;RIGHT("00"&amp;INT(MOD(Sync!$J1747,10000)/100),2)&amp;"/"&amp;RIGHT("00"&amp;MOD(Sync!$J1747,100),2),"نامعتبر"),IF(LEN(Sync!$J1747)=10,Sync!$J1747,"نامعتبر")))</f>
        <v/>
      </c>
      <c r="R1747" t="str">
        <f t="shared" si="146"/>
        <v/>
      </c>
      <c r="S1747" t="str">
        <f t="shared" si="147"/>
        <v/>
      </c>
      <c r="T1747" t="str">
        <f>IF($N1747="","",IF(Sync!$N1747="",0,Sync!$N1747))</f>
        <v/>
      </c>
      <c r="U1747" t="str">
        <f>IF($N1747="","",IF(Sync!$O1747="",0,Sync!$O1747))</f>
        <v/>
      </c>
      <c r="V1747" t="str">
        <f>IF($N1747="","",Sync!$L1747)</f>
        <v/>
      </c>
      <c r="W1747" t="str">
        <f>IF($N1747="","",Sync!$P1747)</f>
        <v/>
      </c>
    </row>
    <row r="1748" spans="14:23" x14ac:dyDescent="0.2">
      <c r="N1748" t="str">
        <f>IF(OR(Sync!$M1748="",$Q1748="",$Q1748="نامعتبر"),"",Sync!$M1748)</f>
        <v/>
      </c>
      <c r="O1748" t="str">
        <f t="shared" si="145"/>
        <v/>
      </c>
      <c r="P1748" t="str">
        <f>IF($N1748="","",LEFT($Q1748,4)&amp;MID($Q1748,6,2)&amp;RIGHT($Q1748,2)&amp;IF(Sync!$K1748="","0000",IF(AND(ISNUMBER(Sync!$K1748),Sync!$K1748&gt;=0,Sync!$K1748&lt;1),RIGHT("00"&amp;HOUR(Sync!$K1748),2)&amp;RIGHT("00"&amp;MINUTE(Sync!$K1748),2),IFERROR(RIGHT("00"&amp;VALUE(LEFT(Sync!$K1748,FIND(":",Sync!$K1748)-1)),2)&amp;RIGHT("00"&amp;VALUE(MID(Sync!$K1748,FIND(":",Sync!$K1748)+1,2)),2),"0000")))&amp;"|"&amp;"2"&amp;RIGHT("00000"&amp;1743,5))</f>
        <v/>
      </c>
      <c r="Q1748" t="str">
        <f>IF(Sync!$J1748="","",IF(ISNUMBER(Sync!$J1748),IF(AND(Sync!$J1748&gt;=10000101,Sync!$J1748&lt;=99991231),INT(Sync!$J1748/10000)&amp;"/"&amp;RIGHT("00"&amp;INT(MOD(Sync!$J1748,10000)/100),2)&amp;"/"&amp;RIGHT("00"&amp;MOD(Sync!$J1748,100),2),"نامعتبر"),IF(LEN(Sync!$J1748)=10,Sync!$J1748,"نامعتبر")))</f>
        <v/>
      </c>
      <c r="R1748" t="str">
        <f t="shared" si="146"/>
        <v/>
      </c>
      <c r="S1748" t="str">
        <f t="shared" si="147"/>
        <v/>
      </c>
      <c r="T1748" t="str">
        <f>IF($N1748="","",IF(Sync!$N1748="",0,Sync!$N1748))</f>
        <v/>
      </c>
      <c r="U1748" t="str">
        <f>IF($N1748="","",IF(Sync!$O1748="",0,Sync!$O1748))</f>
        <v/>
      </c>
      <c r="V1748" t="str">
        <f>IF($N1748="","",Sync!$L1748)</f>
        <v/>
      </c>
      <c r="W1748" t="str">
        <f>IF($N1748="","",Sync!$P1748)</f>
        <v/>
      </c>
    </row>
    <row r="1749" spans="14:23" x14ac:dyDescent="0.2">
      <c r="N1749" t="str">
        <f>IF(OR(Sync!$M1749="",$Q1749="",$Q1749="نامعتبر"),"",Sync!$M1749)</f>
        <v/>
      </c>
      <c r="O1749" t="str">
        <f t="shared" si="145"/>
        <v/>
      </c>
      <c r="P1749" t="str">
        <f>IF($N1749="","",LEFT($Q1749,4)&amp;MID($Q1749,6,2)&amp;RIGHT($Q1749,2)&amp;IF(Sync!$K1749="","0000",IF(AND(ISNUMBER(Sync!$K1749),Sync!$K1749&gt;=0,Sync!$K1749&lt;1),RIGHT("00"&amp;HOUR(Sync!$K1749),2)&amp;RIGHT("00"&amp;MINUTE(Sync!$K1749),2),IFERROR(RIGHT("00"&amp;VALUE(LEFT(Sync!$K1749,FIND(":",Sync!$K1749)-1)),2)&amp;RIGHT("00"&amp;VALUE(MID(Sync!$K1749,FIND(":",Sync!$K1749)+1,2)),2),"0000")))&amp;"|"&amp;"2"&amp;RIGHT("00000"&amp;1744,5))</f>
        <v/>
      </c>
      <c r="Q1749" t="str">
        <f>IF(Sync!$J1749="","",IF(ISNUMBER(Sync!$J1749),IF(AND(Sync!$J1749&gt;=10000101,Sync!$J1749&lt;=99991231),INT(Sync!$J1749/10000)&amp;"/"&amp;RIGHT("00"&amp;INT(MOD(Sync!$J1749,10000)/100),2)&amp;"/"&amp;RIGHT("00"&amp;MOD(Sync!$J1749,100),2),"نامعتبر"),IF(LEN(Sync!$J1749)=10,Sync!$J1749,"نامعتبر")))</f>
        <v/>
      </c>
      <c r="R1749" t="str">
        <f t="shared" si="146"/>
        <v/>
      </c>
      <c r="S1749" t="str">
        <f t="shared" si="147"/>
        <v/>
      </c>
      <c r="T1749" t="str">
        <f>IF($N1749="","",IF(Sync!$N1749="",0,Sync!$N1749))</f>
        <v/>
      </c>
      <c r="U1749" t="str">
        <f>IF($N1749="","",IF(Sync!$O1749="",0,Sync!$O1749))</f>
        <v/>
      </c>
      <c r="V1749" t="str">
        <f>IF($N1749="","",Sync!$L1749)</f>
        <v/>
      </c>
      <c r="W1749" t="str">
        <f>IF($N1749="","",Sync!$P1749)</f>
        <v/>
      </c>
    </row>
    <row r="1750" spans="14:23" x14ac:dyDescent="0.2">
      <c r="N1750" t="str">
        <f>IF(OR(Sync!$M1750="",$Q1750="",$Q1750="نامعتبر"),"",Sync!$M1750)</f>
        <v/>
      </c>
      <c r="O1750" t="str">
        <f t="shared" si="145"/>
        <v/>
      </c>
      <c r="P1750" t="str">
        <f>IF($N1750="","",LEFT($Q1750,4)&amp;MID($Q1750,6,2)&amp;RIGHT($Q1750,2)&amp;IF(Sync!$K1750="","0000",IF(AND(ISNUMBER(Sync!$K1750),Sync!$K1750&gt;=0,Sync!$K1750&lt;1),RIGHT("00"&amp;HOUR(Sync!$K1750),2)&amp;RIGHT("00"&amp;MINUTE(Sync!$K1750),2),IFERROR(RIGHT("00"&amp;VALUE(LEFT(Sync!$K1750,FIND(":",Sync!$K1750)-1)),2)&amp;RIGHT("00"&amp;VALUE(MID(Sync!$K1750,FIND(":",Sync!$K1750)+1,2)),2),"0000")))&amp;"|"&amp;"2"&amp;RIGHT("00000"&amp;1745,5))</f>
        <v/>
      </c>
      <c r="Q1750" t="str">
        <f>IF(Sync!$J1750="","",IF(ISNUMBER(Sync!$J1750),IF(AND(Sync!$J1750&gt;=10000101,Sync!$J1750&lt;=99991231),INT(Sync!$J1750/10000)&amp;"/"&amp;RIGHT("00"&amp;INT(MOD(Sync!$J1750,10000)/100),2)&amp;"/"&amp;RIGHT("00"&amp;MOD(Sync!$J1750,100),2),"نامعتبر"),IF(LEN(Sync!$J1750)=10,Sync!$J1750,"نامعتبر")))</f>
        <v/>
      </c>
      <c r="R1750" t="str">
        <f t="shared" si="146"/>
        <v/>
      </c>
      <c r="S1750" t="str">
        <f t="shared" si="147"/>
        <v/>
      </c>
      <c r="T1750" t="str">
        <f>IF($N1750="","",IF(Sync!$N1750="",0,Sync!$N1750))</f>
        <v/>
      </c>
      <c r="U1750" t="str">
        <f>IF($N1750="","",IF(Sync!$O1750="",0,Sync!$O1750))</f>
        <v/>
      </c>
      <c r="V1750" t="str">
        <f>IF($N1750="","",Sync!$L1750)</f>
        <v/>
      </c>
      <c r="W1750" t="str">
        <f>IF($N1750="","",Sync!$P1750)</f>
        <v/>
      </c>
    </row>
    <row r="1751" spans="14:23" x14ac:dyDescent="0.2">
      <c r="N1751" t="str">
        <f>IF(OR(Sync!$M1751="",$Q1751="",$Q1751="نامعتبر"),"",Sync!$M1751)</f>
        <v/>
      </c>
      <c r="O1751" t="str">
        <f t="shared" si="145"/>
        <v/>
      </c>
      <c r="P1751" t="str">
        <f>IF($N1751="","",LEFT($Q1751,4)&amp;MID($Q1751,6,2)&amp;RIGHT($Q1751,2)&amp;IF(Sync!$K1751="","0000",IF(AND(ISNUMBER(Sync!$K1751),Sync!$K1751&gt;=0,Sync!$K1751&lt;1),RIGHT("00"&amp;HOUR(Sync!$K1751),2)&amp;RIGHT("00"&amp;MINUTE(Sync!$K1751),2),IFERROR(RIGHT("00"&amp;VALUE(LEFT(Sync!$K1751,FIND(":",Sync!$K1751)-1)),2)&amp;RIGHT("00"&amp;VALUE(MID(Sync!$K1751,FIND(":",Sync!$K1751)+1,2)),2),"0000")))&amp;"|"&amp;"2"&amp;RIGHT("00000"&amp;1746,5))</f>
        <v/>
      </c>
      <c r="Q1751" t="str">
        <f>IF(Sync!$J1751="","",IF(ISNUMBER(Sync!$J1751),IF(AND(Sync!$J1751&gt;=10000101,Sync!$J1751&lt;=99991231),INT(Sync!$J1751/10000)&amp;"/"&amp;RIGHT("00"&amp;INT(MOD(Sync!$J1751,10000)/100),2)&amp;"/"&amp;RIGHT("00"&amp;MOD(Sync!$J1751,100),2),"نامعتبر"),IF(LEN(Sync!$J1751)=10,Sync!$J1751,"نامعتبر")))</f>
        <v/>
      </c>
      <c r="R1751" t="str">
        <f t="shared" si="146"/>
        <v/>
      </c>
      <c r="S1751" t="str">
        <f t="shared" si="147"/>
        <v/>
      </c>
      <c r="T1751" t="str">
        <f>IF($N1751="","",IF(Sync!$N1751="",0,Sync!$N1751))</f>
        <v/>
      </c>
      <c r="U1751" t="str">
        <f>IF($N1751="","",IF(Sync!$O1751="",0,Sync!$O1751))</f>
        <v/>
      </c>
      <c r="V1751" t="str">
        <f>IF($N1751="","",Sync!$L1751)</f>
        <v/>
      </c>
      <c r="W1751" t="str">
        <f>IF($N1751="","",Sync!$P1751)</f>
        <v/>
      </c>
    </row>
    <row r="1752" spans="14:23" x14ac:dyDescent="0.2">
      <c r="N1752" t="str">
        <f>IF(OR(Sync!$M1752="",$Q1752="",$Q1752="نامعتبر"),"",Sync!$M1752)</f>
        <v/>
      </c>
      <c r="O1752" t="str">
        <f t="shared" si="145"/>
        <v/>
      </c>
      <c r="P1752" t="str">
        <f>IF($N1752="","",LEFT($Q1752,4)&amp;MID($Q1752,6,2)&amp;RIGHT($Q1752,2)&amp;IF(Sync!$K1752="","0000",IF(AND(ISNUMBER(Sync!$K1752),Sync!$K1752&gt;=0,Sync!$K1752&lt;1),RIGHT("00"&amp;HOUR(Sync!$K1752),2)&amp;RIGHT("00"&amp;MINUTE(Sync!$K1752),2),IFERROR(RIGHT("00"&amp;VALUE(LEFT(Sync!$K1752,FIND(":",Sync!$K1752)-1)),2)&amp;RIGHT("00"&amp;VALUE(MID(Sync!$K1752,FIND(":",Sync!$K1752)+1,2)),2),"0000")))&amp;"|"&amp;"2"&amp;RIGHT("00000"&amp;1747,5))</f>
        <v/>
      </c>
      <c r="Q1752" t="str">
        <f>IF(Sync!$J1752="","",IF(ISNUMBER(Sync!$J1752),IF(AND(Sync!$J1752&gt;=10000101,Sync!$J1752&lt;=99991231),INT(Sync!$J1752/10000)&amp;"/"&amp;RIGHT("00"&amp;INT(MOD(Sync!$J1752,10000)/100),2)&amp;"/"&amp;RIGHT("00"&amp;MOD(Sync!$J1752,100),2),"نامعتبر"),IF(LEN(Sync!$J1752)=10,Sync!$J1752,"نامعتبر")))</f>
        <v/>
      </c>
      <c r="R1752" t="str">
        <f t="shared" si="146"/>
        <v/>
      </c>
      <c r="S1752" t="str">
        <f t="shared" si="147"/>
        <v/>
      </c>
      <c r="T1752" t="str">
        <f>IF($N1752="","",IF(Sync!$N1752="",0,Sync!$N1752))</f>
        <v/>
      </c>
      <c r="U1752" t="str">
        <f>IF($N1752="","",IF(Sync!$O1752="",0,Sync!$O1752))</f>
        <v/>
      </c>
      <c r="V1752" t="str">
        <f>IF($N1752="","",Sync!$L1752)</f>
        <v/>
      </c>
      <c r="W1752" t="str">
        <f>IF($N1752="","",Sync!$P1752)</f>
        <v/>
      </c>
    </row>
    <row r="1753" spans="14:23" x14ac:dyDescent="0.2">
      <c r="N1753" t="str">
        <f>IF(OR(Sync!$M1753="",$Q1753="",$Q1753="نامعتبر"),"",Sync!$M1753)</f>
        <v/>
      </c>
      <c r="O1753" t="str">
        <f t="shared" si="145"/>
        <v/>
      </c>
      <c r="P1753" t="str">
        <f>IF($N1753="","",LEFT($Q1753,4)&amp;MID($Q1753,6,2)&amp;RIGHT($Q1753,2)&amp;IF(Sync!$K1753="","0000",IF(AND(ISNUMBER(Sync!$K1753),Sync!$K1753&gt;=0,Sync!$K1753&lt;1),RIGHT("00"&amp;HOUR(Sync!$K1753),2)&amp;RIGHT("00"&amp;MINUTE(Sync!$K1753),2),IFERROR(RIGHT("00"&amp;VALUE(LEFT(Sync!$K1753,FIND(":",Sync!$K1753)-1)),2)&amp;RIGHT("00"&amp;VALUE(MID(Sync!$K1753,FIND(":",Sync!$K1753)+1,2)),2),"0000")))&amp;"|"&amp;"2"&amp;RIGHT("00000"&amp;1748,5))</f>
        <v/>
      </c>
      <c r="Q1753" t="str">
        <f>IF(Sync!$J1753="","",IF(ISNUMBER(Sync!$J1753),IF(AND(Sync!$J1753&gt;=10000101,Sync!$J1753&lt;=99991231),INT(Sync!$J1753/10000)&amp;"/"&amp;RIGHT("00"&amp;INT(MOD(Sync!$J1753,10000)/100),2)&amp;"/"&amp;RIGHT("00"&amp;MOD(Sync!$J1753,100),2),"نامعتبر"),IF(LEN(Sync!$J1753)=10,Sync!$J1753,"نامعتبر")))</f>
        <v/>
      </c>
      <c r="R1753" t="str">
        <f t="shared" si="146"/>
        <v/>
      </c>
      <c r="S1753" t="str">
        <f t="shared" si="147"/>
        <v/>
      </c>
      <c r="T1753" t="str">
        <f>IF($N1753="","",IF(Sync!$N1753="",0,Sync!$N1753))</f>
        <v/>
      </c>
      <c r="U1753" t="str">
        <f>IF($N1753="","",IF(Sync!$O1753="",0,Sync!$O1753))</f>
        <v/>
      </c>
      <c r="V1753" t="str">
        <f>IF($N1753="","",Sync!$L1753)</f>
        <v/>
      </c>
      <c r="W1753" t="str">
        <f>IF($N1753="","",Sync!$P1753)</f>
        <v/>
      </c>
    </row>
    <row r="1754" spans="14:23" x14ac:dyDescent="0.2">
      <c r="N1754" t="str">
        <f>IF(OR(Sync!$M1754="",$Q1754="",$Q1754="نامعتبر"),"",Sync!$M1754)</f>
        <v/>
      </c>
      <c r="O1754" t="str">
        <f t="shared" si="145"/>
        <v/>
      </c>
      <c r="P1754" t="str">
        <f>IF($N1754="","",LEFT($Q1754,4)&amp;MID($Q1754,6,2)&amp;RIGHT($Q1754,2)&amp;IF(Sync!$K1754="","0000",IF(AND(ISNUMBER(Sync!$K1754),Sync!$K1754&gt;=0,Sync!$K1754&lt;1),RIGHT("00"&amp;HOUR(Sync!$K1754),2)&amp;RIGHT("00"&amp;MINUTE(Sync!$K1754),2),IFERROR(RIGHT("00"&amp;VALUE(LEFT(Sync!$K1754,FIND(":",Sync!$K1754)-1)),2)&amp;RIGHT("00"&amp;VALUE(MID(Sync!$K1754,FIND(":",Sync!$K1754)+1,2)),2),"0000")))&amp;"|"&amp;"2"&amp;RIGHT("00000"&amp;1749,5))</f>
        <v/>
      </c>
      <c r="Q1754" t="str">
        <f>IF(Sync!$J1754="","",IF(ISNUMBER(Sync!$J1754),IF(AND(Sync!$J1754&gt;=10000101,Sync!$J1754&lt;=99991231),INT(Sync!$J1754/10000)&amp;"/"&amp;RIGHT("00"&amp;INT(MOD(Sync!$J1754,10000)/100),2)&amp;"/"&amp;RIGHT("00"&amp;MOD(Sync!$J1754,100),2),"نامعتبر"),IF(LEN(Sync!$J1754)=10,Sync!$J1754,"نامعتبر")))</f>
        <v/>
      </c>
      <c r="R1754" t="str">
        <f t="shared" si="146"/>
        <v/>
      </c>
      <c r="S1754" t="str">
        <f t="shared" si="147"/>
        <v/>
      </c>
      <c r="T1754" t="str">
        <f>IF($N1754="","",IF(Sync!$N1754="",0,Sync!$N1754))</f>
        <v/>
      </c>
      <c r="U1754" t="str">
        <f>IF($N1754="","",IF(Sync!$O1754="",0,Sync!$O1754))</f>
        <v/>
      </c>
      <c r="V1754" t="str">
        <f>IF($N1754="","",Sync!$L1754)</f>
        <v/>
      </c>
      <c r="W1754" t="str">
        <f>IF($N1754="","",Sync!$P1754)</f>
        <v/>
      </c>
    </row>
    <row r="1755" spans="14:23" x14ac:dyDescent="0.2">
      <c r="N1755" t="str">
        <f>IF(OR(Sync!$M1755="",$Q1755="",$Q1755="نامعتبر"),"",Sync!$M1755)</f>
        <v/>
      </c>
      <c r="O1755" t="str">
        <f t="shared" si="145"/>
        <v/>
      </c>
      <c r="P1755" t="str">
        <f>IF($N1755="","",LEFT($Q1755,4)&amp;MID($Q1755,6,2)&amp;RIGHT($Q1755,2)&amp;IF(Sync!$K1755="","0000",IF(AND(ISNUMBER(Sync!$K1755),Sync!$K1755&gt;=0,Sync!$K1755&lt;1),RIGHT("00"&amp;HOUR(Sync!$K1755),2)&amp;RIGHT("00"&amp;MINUTE(Sync!$K1755),2),IFERROR(RIGHT("00"&amp;VALUE(LEFT(Sync!$K1755,FIND(":",Sync!$K1755)-1)),2)&amp;RIGHT("00"&amp;VALUE(MID(Sync!$K1755,FIND(":",Sync!$K1755)+1,2)),2),"0000")))&amp;"|"&amp;"2"&amp;RIGHT("00000"&amp;1750,5))</f>
        <v/>
      </c>
      <c r="Q1755" t="str">
        <f>IF(Sync!$J1755="","",IF(ISNUMBER(Sync!$J1755),IF(AND(Sync!$J1755&gt;=10000101,Sync!$J1755&lt;=99991231),INT(Sync!$J1755/10000)&amp;"/"&amp;RIGHT("00"&amp;INT(MOD(Sync!$J1755,10000)/100),2)&amp;"/"&amp;RIGHT("00"&amp;MOD(Sync!$J1755,100),2),"نامعتبر"),IF(LEN(Sync!$J1755)=10,Sync!$J1755,"نامعتبر")))</f>
        <v/>
      </c>
      <c r="R1755" t="str">
        <f t="shared" si="146"/>
        <v/>
      </c>
      <c r="S1755" t="str">
        <f t="shared" si="147"/>
        <v/>
      </c>
      <c r="T1755" t="str">
        <f>IF($N1755="","",IF(Sync!$N1755="",0,Sync!$N1755))</f>
        <v/>
      </c>
      <c r="U1755" t="str">
        <f>IF($N1755="","",IF(Sync!$O1755="",0,Sync!$O1755))</f>
        <v/>
      </c>
      <c r="V1755" t="str">
        <f>IF($N1755="","",Sync!$L1755)</f>
        <v/>
      </c>
      <c r="W1755" t="str">
        <f>IF($N1755="","",Sync!$P1755)</f>
        <v/>
      </c>
    </row>
    <row r="1756" spans="14:23" x14ac:dyDescent="0.2">
      <c r="N1756" t="str">
        <f>IF(OR(Sync!$M1756="",$Q1756="",$Q1756="نامعتبر"),"",Sync!$M1756)</f>
        <v/>
      </c>
      <c r="O1756" t="str">
        <f t="shared" si="145"/>
        <v/>
      </c>
      <c r="P1756" t="str">
        <f>IF($N1756="","",LEFT($Q1756,4)&amp;MID($Q1756,6,2)&amp;RIGHT($Q1756,2)&amp;IF(Sync!$K1756="","0000",IF(AND(ISNUMBER(Sync!$K1756),Sync!$K1756&gt;=0,Sync!$K1756&lt;1),RIGHT("00"&amp;HOUR(Sync!$K1756),2)&amp;RIGHT("00"&amp;MINUTE(Sync!$K1756),2),IFERROR(RIGHT("00"&amp;VALUE(LEFT(Sync!$K1756,FIND(":",Sync!$K1756)-1)),2)&amp;RIGHT("00"&amp;VALUE(MID(Sync!$K1756,FIND(":",Sync!$K1756)+1,2)),2),"0000")))&amp;"|"&amp;"2"&amp;RIGHT("00000"&amp;1751,5))</f>
        <v/>
      </c>
      <c r="Q1756" t="str">
        <f>IF(Sync!$J1756="","",IF(ISNUMBER(Sync!$J1756),IF(AND(Sync!$J1756&gt;=10000101,Sync!$J1756&lt;=99991231),INT(Sync!$J1756/10000)&amp;"/"&amp;RIGHT("00"&amp;INT(MOD(Sync!$J1756,10000)/100),2)&amp;"/"&amp;RIGHT("00"&amp;MOD(Sync!$J1756,100),2),"نامعتبر"),IF(LEN(Sync!$J1756)=10,Sync!$J1756,"نامعتبر")))</f>
        <v/>
      </c>
      <c r="R1756" t="str">
        <f t="shared" si="146"/>
        <v/>
      </c>
      <c r="S1756" t="str">
        <f t="shared" si="147"/>
        <v/>
      </c>
      <c r="T1756" t="str">
        <f>IF($N1756="","",IF(Sync!$N1756="",0,Sync!$N1756))</f>
        <v/>
      </c>
      <c r="U1756" t="str">
        <f>IF($N1756="","",IF(Sync!$O1756="",0,Sync!$O1756))</f>
        <v/>
      </c>
      <c r="V1756" t="str">
        <f>IF($N1756="","",Sync!$L1756)</f>
        <v/>
      </c>
      <c r="W1756" t="str">
        <f>IF($N1756="","",Sync!$P1756)</f>
        <v/>
      </c>
    </row>
    <row r="1757" spans="14:23" x14ac:dyDescent="0.2">
      <c r="N1757" t="str">
        <f>IF(OR(Sync!$M1757="",$Q1757="",$Q1757="نامعتبر"),"",Sync!$M1757)</f>
        <v/>
      </c>
      <c r="O1757" t="str">
        <f t="shared" si="145"/>
        <v/>
      </c>
      <c r="P1757" t="str">
        <f>IF($N1757="","",LEFT($Q1757,4)&amp;MID($Q1757,6,2)&amp;RIGHT($Q1757,2)&amp;IF(Sync!$K1757="","0000",IF(AND(ISNUMBER(Sync!$K1757),Sync!$K1757&gt;=0,Sync!$K1757&lt;1),RIGHT("00"&amp;HOUR(Sync!$K1757),2)&amp;RIGHT("00"&amp;MINUTE(Sync!$K1757),2),IFERROR(RIGHT("00"&amp;VALUE(LEFT(Sync!$K1757,FIND(":",Sync!$K1757)-1)),2)&amp;RIGHT("00"&amp;VALUE(MID(Sync!$K1757,FIND(":",Sync!$K1757)+1,2)),2),"0000")))&amp;"|"&amp;"2"&amp;RIGHT("00000"&amp;1752,5))</f>
        <v/>
      </c>
      <c r="Q1757" t="str">
        <f>IF(Sync!$J1757="","",IF(ISNUMBER(Sync!$J1757),IF(AND(Sync!$J1757&gt;=10000101,Sync!$J1757&lt;=99991231),INT(Sync!$J1757/10000)&amp;"/"&amp;RIGHT("00"&amp;INT(MOD(Sync!$J1757,10000)/100),2)&amp;"/"&amp;RIGHT("00"&amp;MOD(Sync!$J1757,100),2),"نامعتبر"),IF(LEN(Sync!$J1757)=10,Sync!$J1757,"نامعتبر")))</f>
        <v/>
      </c>
      <c r="R1757" t="str">
        <f t="shared" si="146"/>
        <v/>
      </c>
      <c r="S1757" t="str">
        <f t="shared" si="147"/>
        <v/>
      </c>
      <c r="T1757" t="str">
        <f>IF($N1757="","",IF(Sync!$N1757="",0,Sync!$N1757))</f>
        <v/>
      </c>
      <c r="U1757" t="str">
        <f>IF($N1757="","",IF(Sync!$O1757="",0,Sync!$O1757))</f>
        <v/>
      </c>
      <c r="V1757" t="str">
        <f>IF($N1757="","",Sync!$L1757)</f>
        <v/>
      </c>
      <c r="W1757" t="str">
        <f>IF($N1757="","",Sync!$P1757)</f>
        <v/>
      </c>
    </row>
    <row r="1758" spans="14:23" x14ac:dyDescent="0.2">
      <c r="N1758" t="str">
        <f>IF(OR(Sync!$M1758="",$Q1758="",$Q1758="نامعتبر"),"",Sync!$M1758)</f>
        <v/>
      </c>
      <c r="O1758" t="str">
        <f t="shared" si="145"/>
        <v/>
      </c>
      <c r="P1758" t="str">
        <f>IF($N1758="","",LEFT($Q1758,4)&amp;MID($Q1758,6,2)&amp;RIGHT($Q1758,2)&amp;IF(Sync!$K1758="","0000",IF(AND(ISNUMBER(Sync!$K1758),Sync!$K1758&gt;=0,Sync!$K1758&lt;1),RIGHT("00"&amp;HOUR(Sync!$K1758),2)&amp;RIGHT("00"&amp;MINUTE(Sync!$K1758),2),IFERROR(RIGHT("00"&amp;VALUE(LEFT(Sync!$K1758,FIND(":",Sync!$K1758)-1)),2)&amp;RIGHT("00"&amp;VALUE(MID(Sync!$K1758,FIND(":",Sync!$K1758)+1,2)),2),"0000")))&amp;"|"&amp;"2"&amp;RIGHT("00000"&amp;1753,5))</f>
        <v/>
      </c>
      <c r="Q1758" t="str">
        <f>IF(Sync!$J1758="","",IF(ISNUMBER(Sync!$J1758),IF(AND(Sync!$J1758&gt;=10000101,Sync!$J1758&lt;=99991231),INT(Sync!$J1758/10000)&amp;"/"&amp;RIGHT("00"&amp;INT(MOD(Sync!$J1758,10000)/100),2)&amp;"/"&amp;RIGHT("00"&amp;MOD(Sync!$J1758,100),2),"نامعتبر"),IF(LEN(Sync!$J1758)=10,Sync!$J1758,"نامعتبر")))</f>
        <v/>
      </c>
      <c r="R1758" t="str">
        <f t="shared" si="146"/>
        <v/>
      </c>
      <c r="S1758" t="str">
        <f t="shared" si="147"/>
        <v/>
      </c>
      <c r="T1758" t="str">
        <f>IF($N1758="","",IF(Sync!$N1758="",0,Sync!$N1758))</f>
        <v/>
      </c>
      <c r="U1758" t="str">
        <f>IF($N1758="","",IF(Sync!$O1758="",0,Sync!$O1758))</f>
        <v/>
      </c>
      <c r="V1758" t="str">
        <f>IF($N1758="","",Sync!$L1758)</f>
        <v/>
      </c>
      <c r="W1758" t="str">
        <f>IF($N1758="","",Sync!$P1758)</f>
        <v/>
      </c>
    </row>
    <row r="1759" spans="14:23" x14ac:dyDescent="0.2">
      <c r="N1759" t="str">
        <f>IF(OR(Sync!$M1759="",$Q1759="",$Q1759="نامعتبر"),"",Sync!$M1759)</f>
        <v/>
      </c>
      <c r="O1759" t="str">
        <f t="shared" si="145"/>
        <v/>
      </c>
      <c r="P1759" t="str">
        <f>IF($N1759="","",LEFT($Q1759,4)&amp;MID($Q1759,6,2)&amp;RIGHT($Q1759,2)&amp;IF(Sync!$K1759="","0000",IF(AND(ISNUMBER(Sync!$K1759),Sync!$K1759&gt;=0,Sync!$K1759&lt;1),RIGHT("00"&amp;HOUR(Sync!$K1759),2)&amp;RIGHT("00"&amp;MINUTE(Sync!$K1759),2),IFERROR(RIGHT("00"&amp;VALUE(LEFT(Sync!$K1759,FIND(":",Sync!$K1759)-1)),2)&amp;RIGHT("00"&amp;VALUE(MID(Sync!$K1759,FIND(":",Sync!$K1759)+1,2)),2),"0000")))&amp;"|"&amp;"2"&amp;RIGHT("00000"&amp;1754,5))</f>
        <v/>
      </c>
      <c r="Q1759" t="str">
        <f>IF(Sync!$J1759="","",IF(ISNUMBER(Sync!$J1759),IF(AND(Sync!$J1759&gt;=10000101,Sync!$J1759&lt;=99991231),INT(Sync!$J1759/10000)&amp;"/"&amp;RIGHT("00"&amp;INT(MOD(Sync!$J1759,10000)/100),2)&amp;"/"&amp;RIGHT("00"&amp;MOD(Sync!$J1759,100),2),"نامعتبر"),IF(LEN(Sync!$J1759)=10,Sync!$J1759,"نامعتبر")))</f>
        <v/>
      </c>
      <c r="R1759" t="str">
        <f t="shared" si="146"/>
        <v/>
      </c>
      <c r="S1759" t="str">
        <f t="shared" si="147"/>
        <v/>
      </c>
      <c r="T1759" t="str">
        <f>IF($N1759="","",IF(Sync!$N1759="",0,Sync!$N1759))</f>
        <v/>
      </c>
      <c r="U1759" t="str">
        <f>IF($N1759="","",IF(Sync!$O1759="",0,Sync!$O1759))</f>
        <v/>
      </c>
      <c r="V1759" t="str">
        <f>IF($N1759="","",Sync!$L1759)</f>
        <v/>
      </c>
      <c r="W1759" t="str">
        <f>IF($N1759="","",Sync!$P1759)</f>
        <v/>
      </c>
    </row>
    <row r="1760" spans="14:23" x14ac:dyDescent="0.2">
      <c r="N1760" t="str">
        <f>IF(OR(Sync!$M1760="",$Q1760="",$Q1760="نامعتبر"),"",Sync!$M1760)</f>
        <v/>
      </c>
      <c r="O1760" t="str">
        <f t="shared" si="145"/>
        <v/>
      </c>
      <c r="P1760" t="str">
        <f>IF($N1760="","",LEFT($Q1760,4)&amp;MID($Q1760,6,2)&amp;RIGHT($Q1760,2)&amp;IF(Sync!$K1760="","0000",IF(AND(ISNUMBER(Sync!$K1760),Sync!$K1760&gt;=0,Sync!$K1760&lt;1),RIGHT("00"&amp;HOUR(Sync!$K1760),2)&amp;RIGHT("00"&amp;MINUTE(Sync!$K1760),2),IFERROR(RIGHT("00"&amp;VALUE(LEFT(Sync!$K1760,FIND(":",Sync!$K1760)-1)),2)&amp;RIGHT("00"&amp;VALUE(MID(Sync!$K1760,FIND(":",Sync!$K1760)+1,2)),2),"0000")))&amp;"|"&amp;"2"&amp;RIGHT("00000"&amp;1755,5))</f>
        <v/>
      </c>
      <c r="Q1760" t="str">
        <f>IF(Sync!$J1760="","",IF(ISNUMBER(Sync!$J1760),IF(AND(Sync!$J1760&gt;=10000101,Sync!$J1760&lt;=99991231),INT(Sync!$J1760/10000)&amp;"/"&amp;RIGHT("00"&amp;INT(MOD(Sync!$J1760,10000)/100),2)&amp;"/"&amp;RIGHT("00"&amp;MOD(Sync!$J1760,100),2),"نامعتبر"),IF(LEN(Sync!$J1760)=10,Sync!$J1760,"نامعتبر")))</f>
        <v/>
      </c>
      <c r="R1760" t="str">
        <f t="shared" si="146"/>
        <v/>
      </c>
      <c r="S1760" t="str">
        <f t="shared" si="147"/>
        <v/>
      </c>
      <c r="T1760" t="str">
        <f>IF($N1760="","",IF(Sync!$N1760="",0,Sync!$N1760))</f>
        <v/>
      </c>
      <c r="U1760" t="str">
        <f>IF($N1760="","",IF(Sync!$O1760="",0,Sync!$O1760))</f>
        <v/>
      </c>
      <c r="V1760" t="str">
        <f>IF($N1760="","",Sync!$L1760)</f>
        <v/>
      </c>
      <c r="W1760" t="str">
        <f>IF($N1760="","",Sync!$P1760)</f>
        <v/>
      </c>
    </row>
    <row r="1761" spans="14:23" x14ac:dyDescent="0.2">
      <c r="N1761" t="str">
        <f>IF(OR(Sync!$M1761="",$Q1761="",$Q1761="نامعتبر"),"",Sync!$M1761)</f>
        <v/>
      </c>
      <c r="O1761" t="str">
        <f t="shared" si="145"/>
        <v/>
      </c>
      <c r="P1761" t="str">
        <f>IF($N1761="","",LEFT($Q1761,4)&amp;MID($Q1761,6,2)&amp;RIGHT($Q1761,2)&amp;IF(Sync!$K1761="","0000",IF(AND(ISNUMBER(Sync!$K1761),Sync!$K1761&gt;=0,Sync!$K1761&lt;1),RIGHT("00"&amp;HOUR(Sync!$K1761),2)&amp;RIGHT("00"&amp;MINUTE(Sync!$K1761),2),IFERROR(RIGHT("00"&amp;VALUE(LEFT(Sync!$K1761,FIND(":",Sync!$K1761)-1)),2)&amp;RIGHT("00"&amp;VALUE(MID(Sync!$K1761,FIND(":",Sync!$K1761)+1,2)),2),"0000")))&amp;"|"&amp;"2"&amp;RIGHT("00000"&amp;1756,5))</f>
        <v/>
      </c>
      <c r="Q1761" t="str">
        <f>IF(Sync!$J1761="","",IF(ISNUMBER(Sync!$J1761),IF(AND(Sync!$J1761&gt;=10000101,Sync!$J1761&lt;=99991231),INT(Sync!$J1761/10000)&amp;"/"&amp;RIGHT("00"&amp;INT(MOD(Sync!$J1761,10000)/100),2)&amp;"/"&amp;RIGHT("00"&amp;MOD(Sync!$J1761,100),2),"نامعتبر"),IF(LEN(Sync!$J1761)=10,Sync!$J1761,"نامعتبر")))</f>
        <v/>
      </c>
      <c r="R1761" t="str">
        <f t="shared" si="146"/>
        <v/>
      </c>
      <c r="S1761" t="str">
        <f t="shared" si="147"/>
        <v/>
      </c>
      <c r="T1761" t="str">
        <f>IF($N1761="","",IF(Sync!$N1761="",0,Sync!$N1761))</f>
        <v/>
      </c>
      <c r="U1761" t="str">
        <f>IF($N1761="","",IF(Sync!$O1761="",0,Sync!$O1761))</f>
        <v/>
      </c>
      <c r="V1761" t="str">
        <f>IF($N1761="","",Sync!$L1761)</f>
        <v/>
      </c>
      <c r="W1761" t="str">
        <f>IF($N1761="","",Sync!$P1761)</f>
        <v/>
      </c>
    </row>
    <row r="1762" spans="14:23" x14ac:dyDescent="0.2">
      <c r="N1762" t="str">
        <f>IF(OR(Sync!$M1762="",$Q1762="",$Q1762="نامعتبر"),"",Sync!$M1762)</f>
        <v/>
      </c>
      <c r="O1762" t="str">
        <f t="shared" si="145"/>
        <v/>
      </c>
      <c r="P1762" t="str">
        <f>IF($N1762="","",LEFT($Q1762,4)&amp;MID($Q1762,6,2)&amp;RIGHT($Q1762,2)&amp;IF(Sync!$K1762="","0000",IF(AND(ISNUMBER(Sync!$K1762),Sync!$K1762&gt;=0,Sync!$K1762&lt;1),RIGHT("00"&amp;HOUR(Sync!$K1762),2)&amp;RIGHT("00"&amp;MINUTE(Sync!$K1762),2),IFERROR(RIGHT("00"&amp;VALUE(LEFT(Sync!$K1762,FIND(":",Sync!$K1762)-1)),2)&amp;RIGHT("00"&amp;VALUE(MID(Sync!$K1762,FIND(":",Sync!$K1762)+1,2)),2),"0000")))&amp;"|"&amp;"2"&amp;RIGHT("00000"&amp;1757,5))</f>
        <v/>
      </c>
      <c r="Q1762" t="str">
        <f>IF(Sync!$J1762="","",IF(ISNUMBER(Sync!$J1762),IF(AND(Sync!$J1762&gt;=10000101,Sync!$J1762&lt;=99991231),INT(Sync!$J1762/10000)&amp;"/"&amp;RIGHT("00"&amp;INT(MOD(Sync!$J1762,10000)/100),2)&amp;"/"&amp;RIGHT("00"&amp;MOD(Sync!$J1762,100),2),"نامعتبر"),IF(LEN(Sync!$J1762)=10,Sync!$J1762,"نامعتبر")))</f>
        <v/>
      </c>
      <c r="R1762" t="str">
        <f t="shared" si="146"/>
        <v/>
      </c>
      <c r="S1762" t="str">
        <f t="shared" si="147"/>
        <v/>
      </c>
      <c r="T1762" t="str">
        <f>IF($N1762="","",IF(Sync!$N1762="",0,Sync!$N1762))</f>
        <v/>
      </c>
      <c r="U1762" t="str">
        <f>IF($N1762="","",IF(Sync!$O1762="",0,Sync!$O1762))</f>
        <v/>
      </c>
      <c r="V1762" t="str">
        <f>IF($N1762="","",Sync!$L1762)</f>
        <v/>
      </c>
      <c r="W1762" t="str">
        <f>IF($N1762="","",Sync!$P1762)</f>
        <v/>
      </c>
    </row>
    <row r="1763" spans="14:23" x14ac:dyDescent="0.2">
      <c r="N1763" t="str">
        <f>IF(OR(Sync!$M1763="",$Q1763="",$Q1763="نامعتبر"),"",Sync!$M1763)</f>
        <v/>
      </c>
      <c r="O1763" t="str">
        <f t="shared" si="145"/>
        <v/>
      </c>
      <c r="P1763" t="str">
        <f>IF($N1763="","",LEFT($Q1763,4)&amp;MID($Q1763,6,2)&amp;RIGHT($Q1763,2)&amp;IF(Sync!$K1763="","0000",IF(AND(ISNUMBER(Sync!$K1763),Sync!$K1763&gt;=0,Sync!$K1763&lt;1),RIGHT("00"&amp;HOUR(Sync!$K1763),2)&amp;RIGHT("00"&amp;MINUTE(Sync!$K1763),2),IFERROR(RIGHT("00"&amp;VALUE(LEFT(Sync!$K1763,FIND(":",Sync!$K1763)-1)),2)&amp;RIGHT("00"&amp;VALUE(MID(Sync!$K1763,FIND(":",Sync!$K1763)+1,2)),2),"0000")))&amp;"|"&amp;"2"&amp;RIGHT("00000"&amp;1758,5))</f>
        <v/>
      </c>
      <c r="Q1763" t="str">
        <f>IF(Sync!$J1763="","",IF(ISNUMBER(Sync!$J1763),IF(AND(Sync!$J1763&gt;=10000101,Sync!$J1763&lt;=99991231),INT(Sync!$J1763/10000)&amp;"/"&amp;RIGHT("00"&amp;INT(MOD(Sync!$J1763,10000)/100),2)&amp;"/"&amp;RIGHT("00"&amp;MOD(Sync!$J1763,100),2),"نامعتبر"),IF(LEN(Sync!$J1763)=10,Sync!$J1763,"نامعتبر")))</f>
        <v/>
      </c>
      <c r="R1763" t="str">
        <f t="shared" si="146"/>
        <v/>
      </c>
      <c r="S1763" t="str">
        <f t="shared" si="147"/>
        <v/>
      </c>
      <c r="T1763" t="str">
        <f>IF($N1763="","",IF(Sync!$N1763="",0,Sync!$N1763))</f>
        <v/>
      </c>
      <c r="U1763" t="str">
        <f>IF($N1763="","",IF(Sync!$O1763="",0,Sync!$O1763))</f>
        <v/>
      </c>
      <c r="V1763" t="str">
        <f>IF($N1763="","",Sync!$L1763)</f>
        <v/>
      </c>
      <c r="W1763" t="str">
        <f>IF($N1763="","",Sync!$P1763)</f>
        <v/>
      </c>
    </row>
    <row r="1764" spans="14:23" x14ac:dyDescent="0.2">
      <c r="N1764" t="str">
        <f>IF(OR(Sync!$M1764="",$Q1764="",$Q1764="نامعتبر"),"",Sync!$M1764)</f>
        <v/>
      </c>
      <c r="O1764" t="str">
        <f t="shared" si="145"/>
        <v/>
      </c>
      <c r="P1764" t="str">
        <f>IF($N1764="","",LEFT($Q1764,4)&amp;MID($Q1764,6,2)&amp;RIGHT($Q1764,2)&amp;IF(Sync!$K1764="","0000",IF(AND(ISNUMBER(Sync!$K1764),Sync!$K1764&gt;=0,Sync!$K1764&lt;1),RIGHT("00"&amp;HOUR(Sync!$K1764),2)&amp;RIGHT("00"&amp;MINUTE(Sync!$K1764),2),IFERROR(RIGHT("00"&amp;VALUE(LEFT(Sync!$K1764,FIND(":",Sync!$K1764)-1)),2)&amp;RIGHT("00"&amp;VALUE(MID(Sync!$K1764,FIND(":",Sync!$K1764)+1,2)),2),"0000")))&amp;"|"&amp;"2"&amp;RIGHT("00000"&amp;1759,5))</f>
        <v/>
      </c>
      <c r="Q1764" t="str">
        <f>IF(Sync!$J1764="","",IF(ISNUMBER(Sync!$J1764),IF(AND(Sync!$J1764&gt;=10000101,Sync!$J1764&lt;=99991231),INT(Sync!$J1764/10000)&amp;"/"&amp;RIGHT("00"&amp;INT(MOD(Sync!$J1764,10000)/100),2)&amp;"/"&amp;RIGHT("00"&amp;MOD(Sync!$J1764,100),2),"نامعتبر"),IF(LEN(Sync!$J1764)=10,Sync!$J1764,"نامعتبر")))</f>
        <v/>
      </c>
      <c r="R1764" t="str">
        <f t="shared" si="146"/>
        <v/>
      </c>
      <c r="S1764" t="str">
        <f t="shared" si="147"/>
        <v/>
      </c>
      <c r="T1764" t="str">
        <f>IF($N1764="","",IF(Sync!$N1764="",0,Sync!$N1764))</f>
        <v/>
      </c>
      <c r="U1764" t="str">
        <f>IF($N1764="","",IF(Sync!$O1764="",0,Sync!$O1764))</f>
        <v/>
      </c>
      <c r="V1764" t="str">
        <f>IF($N1764="","",Sync!$L1764)</f>
        <v/>
      </c>
      <c r="W1764" t="str">
        <f>IF($N1764="","",Sync!$P1764)</f>
        <v/>
      </c>
    </row>
    <row r="1765" spans="14:23" x14ac:dyDescent="0.2">
      <c r="N1765" t="str">
        <f>IF(OR(Sync!$M1765="",$Q1765="",$Q1765="نامعتبر"),"",Sync!$M1765)</f>
        <v/>
      </c>
      <c r="O1765" t="str">
        <f t="shared" si="145"/>
        <v/>
      </c>
      <c r="P1765" t="str">
        <f>IF($N1765="","",LEFT($Q1765,4)&amp;MID($Q1765,6,2)&amp;RIGHT($Q1765,2)&amp;IF(Sync!$K1765="","0000",IF(AND(ISNUMBER(Sync!$K1765),Sync!$K1765&gt;=0,Sync!$K1765&lt;1),RIGHT("00"&amp;HOUR(Sync!$K1765),2)&amp;RIGHT("00"&amp;MINUTE(Sync!$K1765),2),IFERROR(RIGHT("00"&amp;VALUE(LEFT(Sync!$K1765,FIND(":",Sync!$K1765)-1)),2)&amp;RIGHT("00"&amp;VALUE(MID(Sync!$K1765,FIND(":",Sync!$K1765)+1,2)),2),"0000")))&amp;"|"&amp;"2"&amp;RIGHT("00000"&amp;1760,5))</f>
        <v/>
      </c>
      <c r="Q1765" t="str">
        <f>IF(Sync!$J1765="","",IF(ISNUMBER(Sync!$J1765),IF(AND(Sync!$J1765&gt;=10000101,Sync!$J1765&lt;=99991231),INT(Sync!$J1765/10000)&amp;"/"&amp;RIGHT("00"&amp;INT(MOD(Sync!$J1765,10000)/100),2)&amp;"/"&amp;RIGHT("00"&amp;MOD(Sync!$J1765,100),2),"نامعتبر"),IF(LEN(Sync!$J1765)=10,Sync!$J1765,"نامعتبر")))</f>
        <v/>
      </c>
      <c r="R1765" t="str">
        <f t="shared" si="146"/>
        <v/>
      </c>
      <c r="S1765" t="str">
        <f t="shared" si="147"/>
        <v/>
      </c>
      <c r="T1765" t="str">
        <f>IF($N1765="","",IF(Sync!$N1765="",0,Sync!$N1765))</f>
        <v/>
      </c>
      <c r="U1765" t="str">
        <f>IF($N1765="","",IF(Sync!$O1765="",0,Sync!$O1765))</f>
        <v/>
      </c>
      <c r="V1765" t="str">
        <f>IF($N1765="","",Sync!$L1765)</f>
        <v/>
      </c>
      <c r="W1765" t="str">
        <f>IF($N1765="","",Sync!$P1765)</f>
        <v/>
      </c>
    </row>
    <row r="1766" spans="14:23" x14ac:dyDescent="0.2">
      <c r="N1766" t="str">
        <f>IF(OR(Sync!$M1766="",$Q1766="",$Q1766="نامعتبر"),"",Sync!$M1766)</f>
        <v/>
      </c>
      <c r="O1766" t="str">
        <f t="shared" si="145"/>
        <v/>
      </c>
      <c r="P1766" t="str">
        <f>IF($N1766="","",LEFT($Q1766,4)&amp;MID($Q1766,6,2)&amp;RIGHT($Q1766,2)&amp;IF(Sync!$K1766="","0000",IF(AND(ISNUMBER(Sync!$K1766),Sync!$K1766&gt;=0,Sync!$K1766&lt;1),RIGHT("00"&amp;HOUR(Sync!$K1766),2)&amp;RIGHT("00"&amp;MINUTE(Sync!$K1766),2),IFERROR(RIGHT("00"&amp;VALUE(LEFT(Sync!$K1766,FIND(":",Sync!$K1766)-1)),2)&amp;RIGHT("00"&amp;VALUE(MID(Sync!$K1766,FIND(":",Sync!$K1766)+1,2)),2),"0000")))&amp;"|"&amp;"2"&amp;RIGHT("00000"&amp;1761,5))</f>
        <v/>
      </c>
      <c r="Q1766" t="str">
        <f>IF(Sync!$J1766="","",IF(ISNUMBER(Sync!$J1766),IF(AND(Sync!$J1766&gt;=10000101,Sync!$J1766&lt;=99991231),INT(Sync!$J1766/10000)&amp;"/"&amp;RIGHT("00"&amp;INT(MOD(Sync!$J1766,10000)/100),2)&amp;"/"&amp;RIGHT("00"&amp;MOD(Sync!$J1766,100),2),"نامعتبر"),IF(LEN(Sync!$J1766)=10,Sync!$J1766,"نامعتبر")))</f>
        <v/>
      </c>
      <c r="R1766" t="str">
        <f t="shared" si="146"/>
        <v/>
      </c>
      <c r="S1766" t="str">
        <f t="shared" si="147"/>
        <v/>
      </c>
      <c r="T1766" t="str">
        <f>IF($N1766="","",IF(Sync!$N1766="",0,Sync!$N1766))</f>
        <v/>
      </c>
      <c r="U1766" t="str">
        <f>IF($N1766="","",IF(Sync!$O1766="",0,Sync!$O1766))</f>
        <v/>
      </c>
      <c r="V1766" t="str">
        <f>IF($N1766="","",Sync!$L1766)</f>
        <v/>
      </c>
      <c r="W1766" t="str">
        <f>IF($N1766="","",Sync!$P1766)</f>
        <v/>
      </c>
    </row>
    <row r="1767" spans="14:23" x14ac:dyDescent="0.2">
      <c r="N1767" t="str">
        <f>IF(OR(Sync!$M1767="",$Q1767="",$Q1767="نامعتبر"),"",Sync!$M1767)</f>
        <v/>
      </c>
      <c r="O1767" t="str">
        <f t="shared" si="145"/>
        <v/>
      </c>
      <c r="P1767" t="str">
        <f>IF($N1767="","",LEFT($Q1767,4)&amp;MID($Q1767,6,2)&amp;RIGHT($Q1767,2)&amp;IF(Sync!$K1767="","0000",IF(AND(ISNUMBER(Sync!$K1767),Sync!$K1767&gt;=0,Sync!$K1767&lt;1),RIGHT("00"&amp;HOUR(Sync!$K1767),2)&amp;RIGHT("00"&amp;MINUTE(Sync!$K1767),2),IFERROR(RIGHT("00"&amp;VALUE(LEFT(Sync!$K1767,FIND(":",Sync!$K1767)-1)),2)&amp;RIGHT("00"&amp;VALUE(MID(Sync!$K1767,FIND(":",Sync!$K1767)+1,2)),2),"0000")))&amp;"|"&amp;"2"&amp;RIGHT("00000"&amp;1762,5))</f>
        <v/>
      </c>
      <c r="Q1767" t="str">
        <f>IF(Sync!$J1767="","",IF(ISNUMBER(Sync!$J1767),IF(AND(Sync!$J1767&gt;=10000101,Sync!$J1767&lt;=99991231),INT(Sync!$J1767/10000)&amp;"/"&amp;RIGHT("00"&amp;INT(MOD(Sync!$J1767,10000)/100),2)&amp;"/"&amp;RIGHT("00"&amp;MOD(Sync!$J1767,100),2),"نامعتبر"),IF(LEN(Sync!$J1767)=10,Sync!$J1767,"نامعتبر")))</f>
        <v/>
      </c>
      <c r="R1767" t="str">
        <f t="shared" si="146"/>
        <v/>
      </c>
      <c r="S1767" t="str">
        <f t="shared" si="147"/>
        <v/>
      </c>
      <c r="T1767" t="str">
        <f>IF($N1767="","",IF(Sync!$N1767="",0,Sync!$N1767))</f>
        <v/>
      </c>
      <c r="U1767" t="str">
        <f>IF($N1767="","",IF(Sync!$O1767="",0,Sync!$O1767))</f>
        <v/>
      </c>
      <c r="V1767" t="str">
        <f>IF($N1767="","",Sync!$L1767)</f>
        <v/>
      </c>
      <c r="W1767" t="str">
        <f>IF($N1767="","",Sync!$P1767)</f>
        <v/>
      </c>
    </row>
    <row r="1768" spans="14:23" x14ac:dyDescent="0.2">
      <c r="N1768" t="str">
        <f>IF(OR(Sync!$M1768="",$Q1768="",$Q1768="نامعتبر"),"",Sync!$M1768)</f>
        <v/>
      </c>
      <c r="O1768" t="str">
        <f t="shared" si="145"/>
        <v/>
      </c>
      <c r="P1768" t="str">
        <f>IF($N1768="","",LEFT($Q1768,4)&amp;MID($Q1768,6,2)&amp;RIGHT($Q1768,2)&amp;IF(Sync!$K1768="","0000",IF(AND(ISNUMBER(Sync!$K1768),Sync!$K1768&gt;=0,Sync!$K1768&lt;1),RIGHT("00"&amp;HOUR(Sync!$K1768),2)&amp;RIGHT("00"&amp;MINUTE(Sync!$K1768),2),IFERROR(RIGHT("00"&amp;VALUE(LEFT(Sync!$K1768,FIND(":",Sync!$K1768)-1)),2)&amp;RIGHT("00"&amp;VALUE(MID(Sync!$K1768,FIND(":",Sync!$K1768)+1,2)),2),"0000")))&amp;"|"&amp;"2"&amp;RIGHT("00000"&amp;1763,5))</f>
        <v/>
      </c>
      <c r="Q1768" t="str">
        <f>IF(Sync!$J1768="","",IF(ISNUMBER(Sync!$J1768),IF(AND(Sync!$J1768&gt;=10000101,Sync!$J1768&lt;=99991231),INT(Sync!$J1768/10000)&amp;"/"&amp;RIGHT("00"&amp;INT(MOD(Sync!$J1768,10000)/100),2)&amp;"/"&amp;RIGHT("00"&amp;MOD(Sync!$J1768,100),2),"نامعتبر"),IF(LEN(Sync!$J1768)=10,Sync!$J1768,"نامعتبر")))</f>
        <v/>
      </c>
      <c r="R1768" t="str">
        <f t="shared" si="146"/>
        <v/>
      </c>
      <c r="S1768" t="str">
        <f t="shared" si="147"/>
        <v/>
      </c>
      <c r="T1768" t="str">
        <f>IF($N1768="","",IF(Sync!$N1768="",0,Sync!$N1768))</f>
        <v/>
      </c>
      <c r="U1768" t="str">
        <f>IF($N1768="","",IF(Sync!$O1768="",0,Sync!$O1768))</f>
        <v/>
      </c>
      <c r="V1768" t="str">
        <f>IF($N1768="","",Sync!$L1768)</f>
        <v/>
      </c>
      <c r="W1768" t="str">
        <f>IF($N1768="","",Sync!$P1768)</f>
        <v/>
      </c>
    </row>
    <row r="1769" spans="14:23" x14ac:dyDescent="0.2">
      <c r="N1769" t="str">
        <f>IF(OR(Sync!$M1769="",$Q1769="",$Q1769="نامعتبر"),"",Sync!$M1769)</f>
        <v/>
      </c>
      <c r="O1769" t="str">
        <f t="shared" si="145"/>
        <v/>
      </c>
      <c r="P1769" t="str">
        <f>IF($N1769="","",LEFT($Q1769,4)&amp;MID($Q1769,6,2)&amp;RIGHT($Q1769,2)&amp;IF(Sync!$K1769="","0000",IF(AND(ISNUMBER(Sync!$K1769),Sync!$K1769&gt;=0,Sync!$K1769&lt;1),RIGHT("00"&amp;HOUR(Sync!$K1769),2)&amp;RIGHT("00"&amp;MINUTE(Sync!$K1769),2),IFERROR(RIGHT("00"&amp;VALUE(LEFT(Sync!$K1769,FIND(":",Sync!$K1769)-1)),2)&amp;RIGHT("00"&amp;VALUE(MID(Sync!$K1769,FIND(":",Sync!$K1769)+1,2)),2),"0000")))&amp;"|"&amp;"2"&amp;RIGHT("00000"&amp;1764,5))</f>
        <v/>
      </c>
      <c r="Q1769" t="str">
        <f>IF(Sync!$J1769="","",IF(ISNUMBER(Sync!$J1769),IF(AND(Sync!$J1769&gt;=10000101,Sync!$J1769&lt;=99991231),INT(Sync!$J1769/10000)&amp;"/"&amp;RIGHT("00"&amp;INT(MOD(Sync!$J1769,10000)/100),2)&amp;"/"&amp;RIGHT("00"&amp;MOD(Sync!$J1769,100),2),"نامعتبر"),IF(LEN(Sync!$J1769)=10,Sync!$J1769,"نامعتبر")))</f>
        <v/>
      </c>
      <c r="R1769" t="str">
        <f t="shared" si="146"/>
        <v/>
      </c>
      <c r="S1769" t="str">
        <f t="shared" si="147"/>
        <v/>
      </c>
      <c r="T1769" t="str">
        <f>IF($N1769="","",IF(Sync!$N1769="",0,Sync!$N1769))</f>
        <v/>
      </c>
      <c r="U1769" t="str">
        <f>IF($N1769="","",IF(Sync!$O1769="",0,Sync!$O1769))</f>
        <v/>
      </c>
      <c r="V1769" t="str">
        <f>IF($N1769="","",Sync!$L1769)</f>
        <v/>
      </c>
      <c r="W1769" t="str">
        <f>IF($N1769="","",Sync!$P1769)</f>
        <v/>
      </c>
    </row>
    <row r="1770" spans="14:23" x14ac:dyDescent="0.2">
      <c r="N1770" t="str">
        <f>IF(OR(Sync!$M1770="",$Q1770="",$Q1770="نامعتبر"),"",Sync!$M1770)</f>
        <v/>
      </c>
      <c r="O1770" t="str">
        <f t="shared" si="145"/>
        <v/>
      </c>
      <c r="P1770" t="str">
        <f>IF($N1770="","",LEFT($Q1770,4)&amp;MID($Q1770,6,2)&amp;RIGHT($Q1770,2)&amp;IF(Sync!$K1770="","0000",IF(AND(ISNUMBER(Sync!$K1770),Sync!$K1770&gt;=0,Sync!$K1770&lt;1),RIGHT("00"&amp;HOUR(Sync!$K1770),2)&amp;RIGHT("00"&amp;MINUTE(Sync!$K1770),2),IFERROR(RIGHT("00"&amp;VALUE(LEFT(Sync!$K1770,FIND(":",Sync!$K1770)-1)),2)&amp;RIGHT("00"&amp;VALUE(MID(Sync!$K1770,FIND(":",Sync!$K1770)+1,2)),2),"0000")))&amp;"|"&amp;"2"&amp;RIGHT("00000"&amp;1765,5))</f>
        <v/>
      </c>
      <c r="Q1770" t="str">
        <f>IF(Sync!$J1770="","",IF(ISNUMBER(Sync!$J1770),IF(AND(Sync!$J1770&gt;=10000101,Sync!$J1770&lt;=99991231),INT(Sync!$J1770/10000)&amp;"/"&amp;RIGHT("00"&amp;INT(MOD(Sync!$J1770,10000)/100),2)&amp;"/"&amp;RIGHT("00"&amp;MOD(Sync!$J1770,100),2),"نامعتبر"),IF(LEN(Sync!$J1770)=10,Sync!$J1770,"نامعتبر")))</f>
        <v/>
      </c>
      <c r="R1770" t="str">
        <f t="shared" si="146"/>
        <v/>
      </c>
      <c r="S1770" t="str">
        <f t="shared" si="147"/>
        <v/>
      </c>
      <c r="T1770" t="str">
        <f>IF($N1770="","",IF(Sync!$N1770="",0,Sync!$N1770))</f>
        <v/>
      </c>
      <c r="U1770" t="str">
        <f>IF($N1770="","",IF(Sync!$O1770="",0,Sync!$O1770))</f>
        <v/>
      </c>
      <c r="V1770" t="str">
        <f>IF($N1770="","",Sync!$L1770)</f>
        <v/>
      </c>
      <c r="W1770" t="str">
        <f>IF($N1770="","",Sync!$P1770)</f>
        <v/>
      </c>
    </row>
    <row r="1771" spans="14:23" x14ac:dyDescent="0.2">
      <c r="N1771" t="str">
        <f>IF(OR(Sync!$M1771="",$Q1771="",$Q1771="نامعتبر"),"",Sync!$M1771)</f>
        <v/>
      </c>
      <c r="O1771" t="str">
        <f t="shared" si="145"/>
        <v/>
      </c>
      <c r="P1771" t="str">
        <f>IF($N1771="","",LEFT($Q1771,4)&amp;MID($Q1771,6,2)&amp;RIGHT($Q1771,2)&amp;IF(Sync!$K1771="","0000",IF(AND(ISNUMBER(Sync!$K1771),Sync!$K1771&gt;=0,Sync!$K1771&lt;1),RIGHT("00"&amp;HOUR(Sync!$K1771),2)&amp;RIGHT("00"&amp;MINUTE(Sync!$K1771),2),IFERROR(RIGHT("00"&amp;VALUE(LEFT(Sync!$K1771,FIND(":",Sync!$K1771)-1)),2)&amp;RIGHT("00"&amp;VALUE(MID(Sync!$K1771,FIND(":",Sync!$K1771)+1,2)),2),"0000")))&amp;"|"&amp;"2"&amp;RIGHT("00000"&amp;1766,5))</f>
        <v/>
      </c>
      <c r="Q1771" t="str">
        <f>IF(Sync!$J1771="","",IF(ISNUMBER(Sync!$J1771),IF(AND(Sync!$J1771&gt;=10000101,Sync!$J1771&lt;=99991231),INT(Sync!$J1771/10000)&amp;"/"&amp;RIGHT("00"&amp;INT(MOD(Sync!$J1771,10000)/100),2)&amp;"/"&amp;RIGHT("00"&amp;MOD(Sync!$J1771,100),2),"نامعتبر"),IF(LEN(Sync!$J1771)=10,Sync!$J1771,"نامعتبر")))</f>
        <v/>
      </c>
      <c r="R1771" t="str">
        <f t="shared" si="146"/>
        <v/>
      </c>
      <c r="S1771" t="str">
        <f t="shared" si="147"/>
        <v/>
      </c>
      <c r="T1771" t="str">
        <f>IF($N1771="","",IF(Sync!$N1771="",0,Sync!$N1771))</f>
        <v/>
      </c>
      <c r="U1771" t="str">
        <f>IF($N1771="","",IF(Sync!$O1771="",0,Sync!$O1771))</f>
        <v/>
      </c>
      <c r="V1771" t="str">
        <f>IF($N1771="","",Sync!$L1771)</f>
        <v/>
      </c>
      <c r="W1771" t="str">
        <f>IF($N1771="","",Sync!$P1771)</f>
        <v/>
      </c>
    </row>
    <row r="1772" spans="14:23" x14ac:dyDescent="0.2">
      <c r="N1772" t="str">
        <f>IF(OR(Sync!$M1772="",$Q1772="",$Q1772="نامعتبر"),"",Sync!$M1772)</f>
        <v/>
      </c>
      <c r="O1772" t="str">
        <f t="shared" si="145"/>
        <v/>
      </c>
      <c r="P1772" t="str">
        <f>IF($N1772="","",LEFT($Q1772,4)&amp;MID($Q1772,6,2)&amp;RIGHT($Q1772,2)&amp;IF(Sync!$K1772="","0000",IF(AND(ISNUMBER(Sync!$K1772),Sync!$K1772&gt;=0,Sync!$K1772&lt;1),RIGHT("00"&amp;HOUR(Sync!$K1772),2)&amp;RIGHT("00"&amp;MINUTE(Sync!$K1772),2),IFERROR(RIGHT("00"&amp;VALUE(LEFT(Sync!$K1772,FIND(":",Sync!$K1772)-1)),2)&amp;RIGHT("00"&amp;VALUE(MID(Sync!$K1772,FIND(":",Sync!$K1772)+1,2)),2),"0000")))&amp;"|"&amp;"2"&amp;RIGHT("00000"&amp;1767,5))</f>
        <v/>
      </c>
      <c r="Q1772" t="str">
        <f>IF(Sync!$J1772="","",IF(ISNUMBER(Sync!$J1772),IF(AND(Sync!$J1772&gt;=10000101,Sync!$J1772&lt;=99991231),INT(Sync!$J1772/10000)&amp;"/"&amp;RIGHT("00"&amp;INT(MOD(Sync!$J1772,10000)/100),2)&amp;"/"&amp;RIGHT("00"&amp;MOD(Sync!$J1772,100),2),"نامعتبر"),IF(LEN(Sync!$J1772)=10,Sync!$J1772,"نامعتبر")))</f>
        <v/>
      </c>
      <c r="R1772" t="str">
        <f t="shared" si="146"/>
        <v/>
      </c>
      <c r="S1772" t="str">
        <f t="shared" si="147"/>
        <v/>
      </c>
      <c r="T1772" t="str">
        <f>IF($N1772="","",IF(Sync!$N1772="",0,Sync!$N1772))</f>
        <v/>
      </c>
      <c r="U1772" t="str">
        <f>IF($N1772="","",IF(Sync!$O1772="",0,Sync!$O1772))</f>
        <v/>
      </c>
      <c r="V1772" t="str">
        <f>IF($N1772="","",Sync!$L1772)</f>
        <v/>
      </c>
      <c r="W1772" t="str">
        <f>IF($N1772="","",Sync!$P1772)</f>
        <v/>
      </c>
    </row>
    <row r="1773" spans="14:23" x14ac:dyDescent="0.2">
      <c r="N1773" t="str">
        <f>IF(OR(Sync!$M1773="",$Q1773="",$Q1773="نامعتبر"),"",Sync!$M1773)</f>
        <v/>
      </c>
      <c r="O1773" t="str">
        <f t="shared" si="145"/>
        <v/>
      </c>
      <c r="P1773" t="str">
        <f>IF($N1773="","",LEFT($Q1773,4)&amp;MID($Q1773,6,2)&amp;RIGHT($Q1773,2)&amp;IF(Sync!$K1773="","0000",IF(AND(ISNUMBER(Sync!$K1773),Sync!$K1773&gt;=0,Sync!$K1773&lt;1),RIGHT("00"&amp;HOUR(Sync!$K1773),2)&amp;RIGHT("00"&amp;MINUTE(Sync!$K1773),2),IFERROR(RIGHT("00"&amp;VALUE(LEFT(Sync!$K1773,FIND(":",Sync!$K1773)-1)),2)&amp;RIGHT("00"&amp;VALUE(MID(Sync!$K1773,FIND(":",Sync!$K1773)+1,2)),2),"0000")))&amp;"|"&amp;"2"&amp;RIGHT("00000"&amp;1768,5))</f>
        <v/>
      </c>
      <c r="Q1773" t="str">
        <f>IF(Sync!$J1773="","",IF(ISNUMBER(Sync!$J1773),IF(AND(Sync!$J1773&gt;=10000101,Sync!$J1773&lt;=99991231),INT(Sync!$J1773/10000)&amp;"/"&amp;RIGHT("00"&amp;INT(MOD(Sync!$J1773,10000)/100),2)&amp;"/"&amp;RIGHT("00"&amp;MOD(Sync!$J1773,100),2),"نامعتبر"),IF(LEN(Sync!$J1773)=10,Sync!$J1773,"نامعتبر")))</f>
        <v/>
      </c>
      <c r="R1773" t="str">
        <f t="shared" si="146"/>
        <v/>
      </c>
      <c r="S1773" t="str">
        <f t="shared" si="147"/>
        <v/>
      </c>
      <c r="T1773" t="str">
        <f>IF($N1773="","",IF(Sync!$N1773="",0,Sync!$N1773))</f>
        <v/>
      </c>
      <c r="U1773" t="str">
        <f>IF($N1773="","",IF(Sync!$O1773="",0,Sync!$O1773))</f>
        <v/>
      </c>
      <c r="V1773" t="str">
        <f>IF($N1773="","",Sync!$L1773)</f>
        <v/>
      </c>
      <c r="W1773" t="str">
        <f>IF($N1773="","",Sync!$P1773)</f>
        <v/>
      </c>
    </row>
    <row r="1774" spans="14:23" x14ac:dyDescent="0.2">
      <c r="N1774" t="str">
        <f>IF(OR(Sync!$M1774="",$Q1774="",$Q1774="نامعتبر"),"",Sync!$M1774)</f>
        <v/>
      </c>
      <c r="O1774" t="str">
        <f t="shared" si="145"/>
        <v/>
      </c>
      <c r="P1774" t="str">
        <f>IF($N1774="","",LEFT($Q1774,4)&amp;MID($Q1774,6,2)&amp;RIGHT($Q1774,2)&amp;IF(Sync!$K1774="","0000",IF(AND(ISNUMBER(Sync!$K1774),Sync!$K1774&gt;=0,Sync!$K1774&lt;1),RIGHT("00"&amp;HOUR(Sync!$K1774),2)&amp;RIGHT("00"&amp;MINUTE(Sync!$K1774),2),IFERROR(RIGHT("00"&amp;VALUE(LEFT(Sync!$K1774,FIND(":",Sync!$K1774)-1)),2)&amp;RIGHT("00"&amp;VALUE(MID(Sync!$K1774,FIND(":",Sync!$K1774)+1,2)),2),"0000")))&amp;"|"&amp;"2"&amp;RIGHT("00000"&amp;1769,5))</f>
        <v/>
      </c>
      <c r="Q1774" t="str">
        <f>IF(Sync!$J1774="","",IF(ISNUMBER(Sync!$J1774),IF(AND(Sync!$J1774&gt;=10000101,Sync!$J1774&lt;=99991231),INT(Sync!$J1774/10000)&amp;"/"&amp;RIGHT("00"&amp;INT(MOD(Sync!$J1774,10000)/100),2)&amp;"/"&amp;RIGHT("00"&amp;MOD(Sync!$J1774,100),2),"نامعتبر"),IF(LEN(Sync!$J1774)=10,Sync!$J1774,"نامعتبر")))</f>
        <v/>
      </c>
      <c r="R1774" t="str">
        <f t="shared" si="146"/>
        <v/>
      </c>
      <c r="S1774" t="str">
        <f t="shared" si="147"/>
        <v/>
      </c>
      <c r="T1774" t="str">
        <f>IF($N1774="","",IF(Sync!$N1774="",0,Sync!$N1774))</f>
        <v/>
      </c>
      <c r="U1774" t="str">
        <f>IF($N1774="","",IF(Sync!$O1774="",0,Sync!$O1774))</f>
        <v/>
      </c>
      <c r="V1774" t="str">
        <f>IF($N1774="","",Sync!$L1774)</f>
        <v/>
      </c>
      <c r="W1774" t="str">
        <f>IF($N1774="","",Sync!$P1774)</f>
        <v/>
      </c>
    </row>
    <row r="1775" spans="14:23" x14ac:dyDescent="0.2">
      <c r="N1775" t="str">
        <f>IF(OR(Sync!$M1775="",$Q1775="",$Q1775="نامعتبر"),"",Sync!$M1775)</f>
        <v/>
      </c>
      <c r="O1775" t="str">
        <f t="shared" si="145"/>
        <v/>
      </c>
      <c r="P1775" t="str">
        <f>IF($N1775="","",LEFT($Q1775,4)&amp;MID($Q1775,6,2)&amp;RIGHT($Q1775,2)&amp;IF(Sync!$K1775="","0000",IF(AND(ISNUMBER(Sync!$K1775),Sync!$K1775&gt;=0,Sync!$K1775&lt;1),RIGHT("00"&amp;HOUR(Sync!$K1775),2)&amp;RIGHT("00"&amp;MINUTE(Sync!$K1775),2),IFERROR(RIGHT("00"&amp;VALUE(LEFT(Sync!$K1775,FIND(":",Sync!$K1775)-1)),2)&amp;RIGHT("00"&amp;VALUE(MID(Sync!$K1775,FIND(":",Sync!$K1775)+1,2)),2),"0000")))&amp;"|"&amp;"2"&amp;RIGHT("00000"&amp;1770,5))</f>
        <v/>
      </c>
      <c r="Q1775" t="str">
        <f>IF(Sync!$J1775="","",IF(ISNUMBER(Sync!$J1775),IF(AND(Sync!$J1775&gt;=10000101,Sync!$J1775&lt;=99991231),INT(Sync!$J1775/10000)&amp;"/"&amp;RIGHT("00"&amp;INT(MOD(Sync!$J1775,10000)/100),2)&amp;"/"&amp;RIGHT("00"&amp;MOD(Sync!$J1775,100),2),"نامعتبر"),IF(LEN(Sync!$J1775)=10,Sync!$J1775,"نامعتبر")))</f>
        <v/>
      </c>
      <c r="R1775" t="str">
        <f t="shared" si="146"/>
        <v/>
      </c>
      <c r="S1775" t="str">
        <f t="shared" si="147"/>
        <v/>
      </c>
      <c r="T1775" t="str">
        <f>IF($N1775="","",IF(Sync!$N1775="",0,Sync!$N1775))</f>
        <v/>
      </c>
      <c r="U1775" t="str">
        <f>IF($N1775="","",IF(Sync!$O1775="",0,Sync!$O1775))</f>
        <v/>
      </c>
      <c r="V1775" t="str">
        <f>IF($N1775="","",Sync!$L1775)</f>
        <v/>
      </c>
      <c r="W1775" t="str">
        <f>IF($N1775="","",Sync!$P1775)</f>
        <v/>
      </c>
    </row>
    <row r="1776" spans="14:23" x14ac:dyDescent="0.2">
      <c r="N1776" t="str">
        <f>IF(OR(Sync!$M1776="",$Q1776="",$Q1776="نامعتبر"),"",Sync!$M1776)</f>
        <v/>
      </c>
      <c r="O1776" t="str">
        <f t="shared" si="145"/>
        <v/>
      </c>
      <c r="P1776" t="str">
        <f>IF($N1776="","",LEFT($Q1776,4)&amp;MID($Q1776,6,2)&amp;RIGHT($Q1776,2)&amp;IF(Sync!$K1776="","0000",IF(AND(ISNUMBER(Sync!$K1776),Sync!$K1776&gt;=0,Sync!$K1776&lt;1),RIGHT("00"&amp;HOUR(Sync!$K1776),2)&amp;RIGHT("00"&amp;MINUTE(Sync!$K1776),2),IFERROR(RIGHT("00"&amp;VALUE(LEFT(Sync!$K1776,FIND(":",Sync!$K1776)-1)),2)&amp;RIGHT("00"&amp;VALUE(MID(Sync!$K1776,FIND(":",Sync!$K1776)+1,2)),2),"0000")))&amp;"|"&amp;"2"&amp;RIGHT("00000"&amp;1771,5))</f>
        <v/>
      </c>
      <c r="Q1776" t="str">
        <f>IF(Sync!$J1776="","",IF(ISNUMBER(Sync!$J1776),IF(AND(Sync!$J1776&gt;=10000101,Sync!$J1776&lt;=99991231),INT(Sync!$J1776/10000)&amp;"/"&amp;RIGHT("00"&amp;INT(MOD(Sync!$J1776,10000)/100),2)&amp;"/"&amp;RIGHT("00"&amp;MOD(Sync!$J1776,100),2),"نامعتبر"),IF(LEN(Sync!$J1776)=10,Sync!$J1776,"نامعتبر")))</f>
        <v/>
      </c>
      <c r="R1776" t="str">
        <f t="shared" si="146"/>
        <v/>
      </c>
      <c r="S1776" t="str">
        <f t="shared" si="147"/>
        <v/>
      </c>
      <c r="T1776" t="str">
        <f>IF($N1776="","",IF(Sync!$N1776="",0,Sync!$N1776))</f>
        <v/>
      </c>
      <c r="U1776" t="str">
        <f>IF($N1776="","",IF(Sync!$O1776="",0,Sync!$O1776))</f>
        <v/>
      </c>
      <c r="V1776" t="str">
        <f>IF($N1776="","",Sync!$L1776)</f>
        <v/>
      </c>
      <c r="W1776" t="str">
        <f>IF($N1776="","",Sync!$P1776)</f>
        <v/>
      </c>
    </row>
    <row r="1777" spans="14:23" x14ac:dyDescent="0.2">
      <c r="N1777" t="str">
        <f>IF(OR(Sync!$M1777="",$Q1777="",$Q1777="نامعتبر"),"",Sync!$M1777)</f>
        <v/>
      </c>
      <c r="O1777" t="str">
        <f t="shared" si="145"/>
        <v/>
      </c>
      <c r="P1777" t="str">
        <f>IF($N1777="","",LEFT($Q1777,4)&amp;MID($Q1777,6,2)&amp;RIGHT($Q1777,2)&amp;IF(Sync!$K1777="","0000",IF(AND(ISNUMBER(Sync!$K1777),Sync!$K1777&gt;=0,Sync!$K1777&lt;1),RIGHT("00"&amp;HOUR(Sync!$K1777),2)&amp;RIGHT("00"&amp;MINUTE(Sync!$K1777),2),IFERROR(RIGHT("00"&amp;VALUE(LEFT(Sync!$K1777,FIND(":",Sync!$K1777)-1)),2)&amp;RIGHT("00"&amp;VALUE(MID(Sync!$K1777,FIND(":",Sync!$K1777)+1,2)),2),"0000")))&amp;"|"&amp;"2"&amp;RIGHT("00000"&amp;1772,5))</f>
        <v/>
      </c>
      <c r="Q1777" t="str">
        <f>IF(Sync!$J1777="","",IF(ISNUMBER(Sync!$J1777),IF(AND(Sync!$J1777&gt;=10000101,Sync!$J1777&lt;=99991231),INT(Sync!$J1777/10000)&amp;"/"&amp;RIGHT("00"&amp;INT(MOD(Sync!$J1777,10000)/100),2)&amp;"/"&amp;RIGHT("00"&amp;MOD(Sync!$J1777,100),2),"نامعتبر"),IF(LEN(Sync!$J1777)=10,Sync!$J1777,"نامعتبر")))</f>
        <v/>
      </c>
      <c r="R1777" t="str">
        <f t="shared" si="146"/>
        <v/>
      </c>
      <c r="S1777" t="str">
        <f t="shared" si="147"/>
        <v/>
      </c>
      <c r="T1777" t="str">
        <f>IF($N1777="","",IF(Sync!$N1777="",0,Sync!$N1777))</f>
        <v/>
      </c>
      <c r="U1777" t="str">
        <f>IF($N1777="","",IF(Sync!$O1777="",0,Sync!$O1777))</f>
        <v/>
      </c>
      <c r="V1777" t="str">
        <f>IF($N1777="","",Sync!$L1777)</f>
        <v/>
      </c>
      <c r="W1777" t="str">
        <f>IF($N1777="","",Sync!$P1777)</f>
        <v/>
      </c>
    </row>
    <row r="1778" spans="14:23" x14ac:dyDescent="0.2">
      <c r="N1778" t="str">
        <f>IF(OR(Sync!$M1778="",$Q1778="",$Q1778="نامعتبر"),"",Sync!$M1778)</f>
        <v/>
      </c>
      <c r="O1778" t="str">
        <f t="shared" si="145"/>
        <v/>
      </c>
      <c r="P1778" t="str">
        <f>IF($N1778="","",LEFT($Q1778,4)&amp;MID($Q1778,6,2)&amp;RIGHT($Q1778,2)&amp;IF(Sync!$K1778="","0000",IF(AND(ISNUMBER(Sync!$K1778),Sync!$K1778&gt;=0,Sync!$K1778&lt;1),RIGHT("00"&amp;HOUR(Sync!$K1778),2)&amp;RIGHT("00"&amp;MINUTE(Sync!$K1778),2),IFERROR(RIGHT("00"&amp;VALUE(LEFT(Sync!$K1778,FIND(":",Sync!$K1778)-1)),2)&amp;RIGHT("00"&amp;VALUE(MID(Sync!$K1778,FIND(":",Sync!$K1778)+1,2)),2),"0000")))&amp;"|"&amp;"2"&amp;RIGHT("00000"&amp;1773,5))</f>
        <v/>
      </c>
      <c r="Q1778" t="str">
        <f>IF(Sync!$J1778="","",IF(ISNUMBER(Sync!$J1778),IF(AND(Sync!$J1778&gt;=10000101,Sync!$J1778&lt;=99991231),INT(Sync!$J1778/10000)&amp;"/"&amp;RIGHT("00"&amp;INT(MOD(Sync!$J1778,10000)/100),2)&amp;"/"&amp;RIGHT("00"&amp;MOD(Sync!$J1778,100),2),"نامعتبر"),IF(LEN(Sync!$J1778)=10,Sync!$J1778,"نامعتبر")))</f>
        <v/>
      </c>
      <c r="R1778" t="str">
        <f t="shared" si="146"/>
        <v/>
      </c>
      <c r="S1778" t="str">
        <f t="shared" si="147"/>
        <v/>
      </c>
      <c r="T1778" t="str">
        <f>IF($N1778="","",IF(Sync!$N1778="",0,Sync!$N1778))</f>
        <v/>
      </c>
      <c r="U1778" t="str">
        <f>IF($N1778="","",IF(Sync!$O1778="",0,Sync!$O1778))</f>
        <v/>
      </c>
      <c r="V1778" t="str">
        <f>IF($N1778="","",Sync!$L1778)</f>
        <v/>
      </c>
      <c r="W1778" t="str">
        <f>IF($N1778="","",Sync!$P1778)</f>
        <v/>
      </c>
    </row>
    <row r="1779" spans="14:23" x14ac:dyDescent="0.2">
      <c r="N1779" t="str">
        <f>IF(OR(Sync!$M1779="",$Q1779="",$Q1779="نامعتبر"),"",Sync!$M1779)</f>
        <v/>
      </c>
      <c r="O1779" t="str">
        <f t="shared" si="145"/>
        <v/>
      </c>
      <c r="P1779" t="str">
        <f>IF($N1779="","",LEFT($Q1779,4)&amp;MID($Q1779,6,2)&amp;RIGHT($Q1779,2)&amp;IF(Sync!$K1779="","0000",IF(AND(ISNUMBER(Sync!$K1779),Sync!$K1779&gt;=0,Sync!$K1779&lt;1),RIGHT("00"&amp;HOUR(Sync!$K1779),2)&amp;RIGHT("00"&amp;MINUTE(Sync!$K1779),2),IFERROR(RIGHT("00"&amp;VALUE(LEFT(Sync!$K1779,FIND(":",Sync!$K1779)-1)),2)&amp;RIGHT("00"&amp;VALUE(MID(Sync!$K1779,FIND(":",Sync!$K1779)+1,2)),2),"0000")))&amp;"|"&amp;"2"&amp;RIGHT("00000"&amp;1774,5))</f>
        <v/>
      </c>
      <c r="Q1779" t="str">
        <f>IF(Sync!$J1779="","",IF(ISNUMBER(Sync!$J1779),IF(AND(Sync!$J1779&gt;=10000101,Sync!$J1779&lt;=99991231),INT(Sync!$J1779/10000)&amp;"/"&amp;RIGHT("00"&amp;INT(MOD(Sync!$J1779,10000)/100),2)&amp;"/"&amp;RIGHT("00"&amp;MOD(Sync!$J1779,100),2),"نامعتبر"),IF(LEN(Sync!$J1779)=10,Sync!$J1779,"نامعتبر")))</f>
        <v/>
      </c>
      <c r="R1779" t="str">
        <f t="shared" si="146"/>
        <v/>
      </c>
      <c r="S1779" t="str">
        <f t="shared" si="147"/>
        <v/>
      </c>
      <c r="T1779" t="str">
        <f>IF($N1779="","",IF(Sync!$N1779="",0,Sync!$N1779))</f>
        <v/>
      </c>
      <c r="U1779" t="str">
        <f>IF($N1779="","",IF(Sync!$O1779="",0,Sync!$O1779))</f>
        <v/>
      </c>
      <c r="V1779" t="str">
        <f>IF($N1779="","",Sync!$L1779)</f>
        <v/>
      </c>
      <c r="W1779" t="str">
        <f>IF($N1779="","",Sync!$P1779)</f>
        <v/>
      </c>
    </row>
    <row r="1780" spans="14:23" x14ac:dyDescent="0.2">
      <c r="N1780" t="str">
        <f>IF(OR(Sync!$M1780="",$Q1780="",$Q1780="نامعتبر"),"",Sync!$M1780)</f>
        <v/>
      </c>
      <c r="O1780" t="str">
        <f t="shared" si="145"/>
        <v/>
      </c>
      <c r="P1780" t="str">
        <f>IF($N1780="","",LEFT($Q1780,4)&amp;MID($Q1780,6,2)&amp;RIGHT($Q1780,2)&amp;IF(Sync!$K1780="","0000",IF(AND(ISNUMBER(Sync!$K1780),Sync!$K1780&gt;=0,Sync!$K1780&lt;1),RIGHT("00"&amp;HOUR(Sync!$K1780),2)&amp;RIGHT("00"&amp;MINUTE(Sync!$K1780),2),IFERROR(RIGHT("00"&amp;VALUE(LEFT(Sync!$K1780,FIND(":",Sync!$K1780)-1)),2)&amp;RIGHT("00"&amp;VALUE(MID(Sync!$K1780,FIND(":",Sync!$K1780)+1,2)),2),"0000")))&amp;"|"&amp;"2"&amp;RIGHT("00000"&amp;1775,5))</f>
        <v/>
      </c>
      <c r="Q1780" t="str">
        <f>IF(Sync!$J1780="","",IF(ISNUMBER(Sync!$J1780),IF(AND(Sync!$J1780&gt;=10000101,Sync!$J1780&lt;=99991231),INT(Sync!$J1780/10000)&amp;"/"&amp;RIGHT("00"&amp;INT(MOD(Sync!$J1780,10000)/100),2)&amp;"/"&amp;RIGHT("00"&amp;MOD(Sync!$J1780,100),2),"نامعتبر"),IF(LEN(Sync!$J1780)=10,Sync!$J1780,"نامعتبر")))</f>
        <v/>
      </c>
      <c r="R1780" t="str">
        <f t="shared" si="146"/>
        <v/>
      </c>
      <c r="S1780" t="str">
        <f t="shared" si="147"/>
        <v/>
      </c>
      <c r="T1780" t="str">
        <f>IF($N1780="","",IF(Sync!$N1780="",0,Sync!$N1780))</f>
        <v/>
      </c>
      <c r="U1780" t="str">
        <f>IF($N1780="","",IF(Sync!$O1780="",0,Sync!$O1780))</f>
        <v/>
      </c>
      <c r="V1780" t="str">
        <f>IF($N1780="","",Sync!$L1780)</f>
        <v/>
      </c>
      <c r="W1780" t="str">
        <f>IF($N1780="","",Sync!$P1780)</f>
        <v/>
      </c>
    </row>
    <row r="1781" spans="14:23" x14ac:dyDescent="0.2">
      <c r="N1781" t="str">
        <f>IF(OR(Sync!$M1781="",$Q1781="",$Q1781="نامعتبر"),"",Sync!$M1781)</f>
        <v/>
      </c>
      <c r="O1781" t="str">
        <f t="shared" si="145"/>
        <v/>
      </c>
      <c r="P1781" t="str">
        <f>IF($N1781="","",LEFT($Q1781,4)&amp;MID($Q1781,6,2)&amp;RIGHT($Q1781,2)&amp;IF(Sync!$K1781="","0000",IF(AND(ISNUMBER(Sync!$K1781),Sync!$K1781&gt;=0,Sync!$K1781&lt;1),RIGHT("00"&amp;HOUR(Sync!$K1781),2)&amp;RIGHT("00"&amp;MINUTE(Sync!$K1781),2),IFERROR(RIGHT("00"&amp;VALUE(LEFT(Sync!$K1781,FIND(":",Sync!$K1781)-1)),2)&amp;RIGHT("00"&amp;VALUE(MID(Sync!$K1781,FIND(":",Sync!$K1781)+1,2)),2),"0000")))&amp;"|"&amp;"2"&amp;RIGHT("00000"&amp;1776,5))</f>
        <v/>
      </c>
      <c r="Q1781" t="str">
        <f>IF(Sync!$J1781="","",IF(ISNUMBER(Sync!$J1781),IF(AND(Sync!$J1781&gt;=10000101,Sync!$J1781&lt;=99991231),INT(Sync!$J1781/10000)&amp;"/"&amp;RIGHT("00"&amp;INT(MOD(Sync!$J1781,10000)/100),2)&amp;"/"&amp;RIGHT("00"&amp;MOD(Sync!$J1781,100),2),"نامعتبر"),IF(LEN(Sync!$J1781)=10,Sync!$J1781,"نامعتبر")))</f>
        <v/>
      </c>
      <c r="R1781" t="str">
        <f t="shared" si="146"/>
        <v/>
      </c>
      <c r="S1781" t="str">
        <f t="shared" si="147"/>
        <v/>
      </c>
      <c r="T1781" t="str">
        <f>IF($N1781="","",IF(Sync!$N1781="",0,Sync!$N1781))</f>
        <v/>
      </c>
      <c r="U1781" t="str">
        <f>IF($N1781="","",IF(Sync!$O1781="",0,Sync!$O1781))</f>
        <v/>
      </c>
      <c r="V1781" t="str">
        <f>IF($N1781="","",Sync!$L1781)</f>
        <v/>
      </c>
      <c r="W1781" t="str">
        <f>IF($N1781="","",Sync!$P1781)</f>
        <v/>
      </c>
    </row>
    <row r="1782" spans="14:23" x14ac:dyDescent="0.2">
      <c r="N1782" t="str">
        <f>IF(OR(Sync!$M1782="",$Q1782="",$Q1782="نامعتبر"),"",Sync!$M1782)</f>
        <v/>
      </c>
      <c r="O1782" t="str">
        <f t="shared" si="145"/>
        <v/>
      </c>
      <c r="P1782" t="str">
        <f>IF($N1782="","",LEFT($Q1782,4)&amp;MID($Q1782,6,2)&amp;RIGHT($Q1782,2)&amp;IF(Sync!$K1782="","0000",IF(AND(ISNUMBER(Sync!$K1782),Sync!$K1782&gt;=0,Sync!$K1782&lt;1),RIGHT("00"&amp;HOUR(Sync!$K1782),2)&amp;RIGHT("00"&amp;MINUTE(Sync!$K1782),2),IFERROR(RIGHT("00"&amp;VALUE(LEFT(Sync!$K1782,FIND(":",Sync!$K1782)-1)),2)&amp;RIGHT("00"&amp;VALUE(MID(Sync!$K1782,FIND(":",Sync!$K1782)+1,2)),2),"0000")))&amp;"|"&amp;"2"&amp;RIGHT("00000"&amp;1777,5))</f>
        <v/>
      </c>
      <c r="Q1782" t="str">
        <f>IF(Sync!$J1782="","",IF(ISNUMBER(Sync!$J1782),IF(AND(Sync!$J1782&gt;=10000101,Sync!$J1782&lt;=99991231),INT(Sync!$J1782/10000)&amp;"/"&amp;RIGHT("00"&amp;INT(MOD(Sync!$J1782,10000)/100),2)&amp;"/"&amp;RIGHT("00"&amp;MOD(Sync!$J1782,100),2),"نامعتبر"),IF(LEN(Sync!$J1782)=10,Sync!$J1782,"نامعتبر")))</f>
        <v/>
      </c>
      <c r="R1782" t="str">
        <f t="shared" si="146"/>
        <v/>
      </c>
      <c r="S1782" t="str">
        <f t="shared" si="147"/>
        <v/>
      </c>
      <c r="T1782" t="str">
        <f>IF($N1782="","",IF(Sync!$N1782="",0,Sync!$N1782))</f>
        <v/>
      </c>
      <c r="U1782" t="str">
        <f>IF($N1782="","",IF(Sync!$O1782="",0,Sync!$O1782))</f>
        <v/>
      </c>
      <c r="V1782" t="str">
        <f>IF($N1782="","",Sync!$L1782)</f>
        <v/>
      </c>
      <c r="W1782" t="str">
        <f>IF($N1782="","",Sync!$P1782)</f>
        <v/>
      </c>
    </row>
    <row r="1783" spans="14:23" x14ac:dyDescent="0.2">
      <c r="N1783" t="str">
        <f>IF(OR(Sync!$M1783="",$Q1783="",$Q1783="نامعتبر"),"",Sync!$M1783)</f>
        <v/>
      </c>
      <c r="O1783" t="str">
        <f t="shared" si="145"/>
        <v/>
      </c>
      <c r="P1783" t="str">
        <f>IF($N1783="","",LEFT($Q1783,4)&amp;MID($Q1783,6,2)&amp;RIGHT($Q1783,2)&amp;IF(Sync!$K1783="","0000",IF(AND(ISNUMBER(Sync!$K1783),Sync!$K1783&gt;=0,Sync!$K1783&lt;1),RIGHT("00"&amp;HOUR(Sync!$K1783),2)&amp;RIGHT("00"&amp;MINUTE(Sync!$K1783),2),IFERROR(RIGHT("00"&amp;VALUE(LEFT(Sync!$K1783,FIND(":",Sync!$K1783)-1)),2)&amp;RIGHT("00"&amp;VALUE(MID(Sync!$K1783,FIND(":",Sync!$K1783)+1,2)),2),"0000")))&amp;"|"&amp;"2"&amp;RIGHT("00000"&amp;1778,5))</f>
        <v/>
      </c>
      <c r="Q1783" t="str">
        <f>IF(Sync!$J1783="","",IF(ISNUMBER(Sync!$J1783),IF(AND(Sync!$J1783&gt;=10000101,Sync!$J1783&lt;=99991231),INT(Sync!$J1783/10000)&amp;"/"&amp;RIGHT("00"&amp;INT(MOD(Sync!$J1783,10000)/100),2)&amp;"/"&amp;RIGHT("00"&amp;MOD(Sync!$J1783,100),2),"نامعتبر"),IF(LEN(Sync!$J1783)=10,Sync!$J1783,"نامعتبر")))</f>
        <v/>
      </c>
      <c r="R1783" t="str">
        <f t="shared" si="146"/>
        <v/>
      </c>
      <c r="S1783" t="str">
        <f t="shared" si="147"/>
        <v/>
      </c>
      <c r="T1783" t="str">
        <f>IF($N1783="","",IF(Sync!$N1783="",0,Sync!$N1783))</f>
        <v/>
      </c>
      <c r="U1783" t="str">
        <f>IF($N1783="","",IF(Sync!$O1783="",0,Sync!$O1783))</f>
        <v/>
      </c>
      <c r="V1783" t="str">
        <f>IF($N1783="","",Sync!$L1783)</f>
        <v/>
      </c>
      <c r="W1783" t="str">
        <f>IF($N1783="","",Sync!$P1783)</f>
        <v/>
      </c>
    </row>
    <row r="1784" spans="14:23" x14ac:dyDescent="0.2">
      <c r="N1784" t="str">
        <f>IF(OR(Sync!$M1784="",$Q1784="",$Q1784="نامعتبر"),"",Sync!$M1784)</f>
        <v/>
      </c>
      <c r="O1784" t="str">
        <f t="shared" si="145"/>
        <v/>
      </c>
      <c r="P1784" t="str">
        <f>IF($N1784="","",LEFT($Q1784,4)&amp;MID($Q1784,6,2)&amp;RIGHT($Q1784,2)&amp;IF(Sync!$K1784="","0000",IF(AND(ISNUMBER(Sync!$K1784),Sync!$K1784&gt;=0,Sync!$K1784&lt;1),RIGHT("00"&amp;HOUR(Sync!$K1784),2)&amp;RIGHT("00"&amp;MINUTE(Sync!$K1784),2),IFERROR(RIGHT("00"&amp;VALUE(LEFT(Sync!$K1784,FIND(":",Sync!$K1784)-1)),2)&amp;RIGHT("00"&amp;VALUE(MID(Sync!$K1784,FIND(":",Sync!$K1784)+1,2)),2),"0000")))&amp;"|"&amp;"2"&amp;RIGHT("00000"&amp;1779,5))</f>
        <v/>
      </c>
      <c r="Q1784" t="str">
        <f>IF(Sync!$J1784="","",IF(ISNUMBER(Sync!$J1784),IF(AND(Sync!$J1784&gt;=10000101,Sync!$J1784&lt;=99991231),INT(Sync!$J1784/10000)&amp;"/"&amp;RIGHT("00"&amp;INT(MOD(Sync!$J1784,10000)/100),2)&amp;"/"&amp;RIGHT("00"&amp;MOD(Sync!$J1784,100),2),"نامعتبر"),IF(LEN(Sync!$J1784)=10,Sync!$J1784,"نامعتبر")))</f>
        <v/>
      </c>
      <c r="R1784" t="str">
        <f t="shared" si="146"/>
        <v/>
      </c>
      <c r="S1784" t="str">
        <f t="shared" si="147"/>
        <v/>
      </c>
      <c r="T1784" t="str">
        <f>IF($N1784="","",IF(Sync!$N1784="",0,Sync!$N1784))</f>
        <v/>
      </c>
      <c r="U1784" t="str">
        <f>IF($N1784="","",IF(Sync!$O1784="",0,Sync!$O1784))</f>
        <v/>
      </c>
      <c r="V1784" t="str">
        <f>IF($N1784="","",Sync!$L1784)</f>
        <v/>
      </c>
      <c r="W1784" t="str">
        <f>IF($N1784="","",Sync!$P1784)</f>
        <v/>
      </c>
    </row>
    <row r="1785" spans="14:23" x14ac:dyDescent="0.2">
      <c r="N1785" t="str">
        <f>IF(OR(Sync!$M1785="",$Q1785="",$Q1785="نامعتبر"),"",Sync!$M1785)</f>
        <v/>
      </c>
      <c r="O1785" t="str">
        <f t="shared" si="145"/>
        <v/>
      </c>
      <c r="P1785" t="str">
        <f>IF($N1785="","",LEFT($Q1785,4)&amp;MID($Q1785,6,2)&amp;RIGHT($Q1785,2)&amp;IF(Sync!$K1785="","0000",IF(AND(ISNUMBER(Sync!$K1785),Sync!$K1785&gt;=0,Sync!$K1785&lt;1),RIGHT("00"&amp;HOUR(Sync!$K1785),2)&amp;RIGHT("00"&amp;MINUTE(Sync!$K1785),2),IFERROR(RIGHT("00"&amp;VALUE(LEFT(Sync!$K1785,FIND(":",Sync!$K1785)-1)),2)&amp;RIGHT("00"&amp;VALUE(MID(Sync!$K1785,FIND(":",Sync!$K1785)+1,2)),2),"0000")))&amp;"|"&amp;"2"&amp;RIGHT("00000"&amp;1780,5))</f>
        <v/>
      </c>
      <c r="Q1785" t="str">
        <f>IF(Sync!$J1785="","",IF(ISNUMBER(Sync!$J1785),IF(AND(Sync!$J1785&gt;=10000101,Sync!$J1785&lt;=99991231),INT(Sync!$J1785/10000)&amp;"/"&amp;RIGHT("00"&amp;INT(MOD(Sync!$J1785,10000)/100),2)&amp;"/"&amp;RIGHT("00"&amp;MOD(Sync!$J1785,100),2),"نامعتبر"),IF(LEN(Sync!$J1785)=10,Sync!$J1785,"نامعتبر")))</f>
        <v/>
      </c>
      <c r="R1785" t="str">
        <f t="shared" si="146"/>
        <v/>
      </c>
      <c r="S1785" t="str">
        <f t="shared" si="147"/>
        <v/>
      </c>
      <c r="T1785" t="str">
        <f>IF($N1785="","",IF(Sync!$N1785="",0,Sync!$N1785))</f>
        <v/>
      </c>
      <c r="U1785" t="str">
        <f>IF($N1785="","",IF(Sync!$O1785="",0,Sync!$O1785))</f>
        <v/>
      </c>
      <c r="V1785" t="str">
        <f>IF($N1785="","",Sync!$L1785)</f>
        <v/>
      </c>
      <c r="W1785" t="str">
        <f>IF($N1785="","",Sync!$P1785)</f>
        <v/>
      </c>
    </row>
    <row r="1786" spans="14:23" x14ac:dyDescent="0.2">
      <c r="N1786" t="str">
        <f>IF(OR(Sync!$M1786="",$Q1786="",$Q1786="نامعتبر"),"",Sync!$M1786)</f>
        <v/>
      </c>
      <c r="O1786" t="str">
        <f t="shared" si="145"/>
        <v/>
      </c>
      <c r="P1786" t="str">
        <f>IF($N1786="","",LEFT($Q1786,4)&amp;MID($Q1786,6,2)&amp;RIGHT($Q1786,2)&amp;IF(Sync!$K1786="","0000",IF(AND(ISNUMBER(Sync!$K1786),Sync!$K1786&gt;=0,Sync!$K1786&lt;1),RIGHT("00"&amp;HOUR(Sync!$K1786),2)&amp;RIGHT("00"&amp;MINUTE(Sync!$K1786),2),IFERROR(RIGHT("00"&amp;VALUE(LEFT(Sync!$K1786,FIND(":",Sync!$K1786)-1)),2)&amp;RIGHT("00"&amp;VALUE(MID(Sync!$K1786,FIND(":",Sync!$K1786)+1,2)),2),"0000")))&amp;"|"&amp;"2"&amp;RIGHT("00000"&amp;1781,5))</f>
        <v/>
      </c>
      <c r="Q1786" t="str">
        <f>IF(Sync!$J1786="","",IF(ISNUMBER(Sync!$J1786),IF(AND(Sync!$J1786&gt;=10000101,Sync!$J1786&lt;=99991231),INT(Sync!$J1786/10000)&amp;"/"&amp;RIGHT("00"&amp;INT(MOD(Sync!$J1786,10000)/100),2)&amp;"/"&amp;RIGHT("00"&amp;MOD(Sync!$J1786,100),2),"نامعتبر"),IF(LEN(Sync!$J1786)=10,Sync!$J1786,"نامعتبر")))</f>
        <v/>
      </c>
      <c r="R1786" t="str">
        <f t="shared" si="146"/>
        <v/>
      </c>
      <c r="S1786" t="str">
        <f t="shared" si="147"/>
        <v/>
      </c>
      <c r="T1786" t="str">
        <f>IF($N1786="","",IF(Sync!$N1786="",0,Sync!$N1786))</f>
        <v/>
      </c>
      <c r="U1786" t="str">
        <f>IF($N1786="","",IF(Sync!$O1786="",0,Sync!$O1786))</f>
        <v/>
      </c>
      <c r="V1786" t="str">
        <f>IF($N1786="","",Sync!$L1786)</f>
        <v/>
      </c>
      <c r="W1786" t="str">
        <f>IF($N1786="","",Sync!$P1786)</f>
        <v/>
      </c>
    </row>
    <row r="1787" spans="14:23" x14ac:dyDescent="0.2">
      <c r="N1787" t="str">
        <f>IF(OR(Sync!$M1787="",$Q1787="",$Q1787="نامعتبر"),"",Sync!$M1787)</f>
        <v/>
      </c>
      <c r="O1787" t="str">
        <f t="shared" si="145"/>
        <v/>
      </c>
      <c r="P1787" t="str">
        <f>IF($N1787="","",LEFT($Q1787,4)&amp;MID($Q1787,6,2)&amp;RIGHT($Q1787,2)&amp;IF(Sync!$K1787="","0000",IF(AND(ISNUMBER(Sync!$K1787),Sync!$K1787&gt;=0,Sync!$K1787&lt;1),RIGHT("00"&amp;HOUR(Sync!$K1787),2)&amp;RIGHT("00"&amp;MINUTE(Sync!$K1787),2),IFERROR(RIGHT("00"&amp;VALUE(LEFT(Sync!$K1787,FIND(":",Sync!$K1787)-1)),2)&amp;RIGHT("00"&amp;VALUE(MID(Sync!$K1787,FIND(":",Sync!$K1787)+1,2)),2),"0000")))&amp;"|"&amp;"2"&amp;RIGHT("00000"&amp;1782,5))</f>
        <v/>
      </c>
      <c r="Q1787" t="str">
        <f>IF(Sync!$J1787="","",IF(ISNUMBER(Sync!$J1787),IF(AND(Sync!$J1787&gt;=10000101,Sync!$J1787&lt;=99991231),INT(Sync!$J1787/10000)&amp;"/"&amp;RIGHT("00"&amp;INT(MOD(Sync!$J1787,10000)/100),2)&amp;"/"&amp;RIGHT("00"&amp;MOD(Sync!$J1787,100),2),"نامعتبر"),IF(LEN(Sync!$J1787)=10,Sync!$J1787,"نامعتبر")))</f>
        <v/>
      </c>
      <c r="R1787" t="str">
        <f t="shared" si="146"/>
        <v/>
      </c>
      <c r="S1787" t="str">
        <f t="shared" si="147"/>
        <v/>
      </c>
      <c r="T1787" t="str">
        <f>IF($N1787="","",IF(Sync!$N1787="",0,Sync!$N1787))</f>
        <v/>
      </c>
      <c r="U1787" t="str">
        <f>IF($N1787="","",IF(Sync!$O1787="",0,Sync!$O1787))</f>
        <v/>
      </c>
      <c r="V1787" t="str">
        <f>IF($N1787="","",Sync!$L1787)</f>
        <v/>
      </c>
      <c r="W1787" t="str">
        <f>IF($N1787="","",Sync!$P1787)</f>
        <v/>
      </c>
    </row>
    <row r="1788" spans="14:23" x14ac:dyDescent="0.2">
      <c r="N1788" t="str">
        <f>IF(OR(Sync!$M1788="",$Q1788="",$Q1788="نامعتبر"),"",Sync!$M1788)</f>
        <v/>
      </c>
      <c r="O1788" t="str">
        <f t="shared" si="145"/>
        <v/>
      </c>
      <c r="P1788" t="str">
        <f>IF($N1788="","",LEFT($Q1788,4)&amp;MID($Q1788,6,2)&amp;RIGHT($Q1788,2)&amp;IF(Sync!$K1788="","0000",IF(AND(ISNUMBER(Sync!$K1788),Sync!$K1788&gt;=0,Sync!$K1788&lt;1),RIGHT("00"&amp;HOUR(Sync!$K1788),2)&amp;RIGHT("00"&amp;MINUTE(Sync!$K1788),2),IFERROR(RIGHT("00"&amp;VALUE(LEFT(Sync!$K1788,FIND(":",Sync!$K1788)-1)),2)&amp;RIGHT("00"&amp;VALUE(MID(Sync!$K1788,FIND(":",Sync!$K1788)+1,2)),2),"0000")))&amp;"|"&amp;"2"&amp;RIGHT("00000"&amp;1783,5))</f>
        <v/>
      </c>
      <c r="Q1788" t="str">
        <f>IF(Sync!$J1788="","",IF(ISNUMBER(Sync!$J1788),IF(AND(Sync!$J1788&gt;=10000101,Sync!$J1788&lt;=99991231),INT(Sync!$J1788/10000)&amp;"/"&amp;RIGHT("00"&amp;INT(MOD(Sync!$J1788,10000)/100),2)&amp;"/"&amp;RIGHT("00"&amp;MOD(Sync!$J1788,100),2),"نامعتبر"),IF(LEN(Sync!$J1788)=10,Sync!$J1788,"نامعتبر")))</f>
        <v/>
      </c>
      <c r="R1788" t="str">
        <f t="shared" si="146"/>
        <v/>
      </c>
      <c r="S1788" t="str">
        <f t="shared" si="147"/>
        <v/>
      </c>
      <c r="T1788" t="str">
        <f>IF($N1788="","",IF(Sync!$N1788="",0,Sync!$N1788))</f>
        <v/>
      </c>
      <c r="U1788" t="str">
        <f>IF($N1788="","",IF(Sync!$O1788="",0,Sync!$O1788))</f>
        <v/>
      </c>
      <c r="V1788" t="str">
        <f>IF($N1788="","",Sync!$L1788)</f>
        <v/>
      </c>
      <c r="W1788" t="str">
        <f>IF($N1788="","",Sync!$P1788)</f>
        <v/>
      </c>
    </row>
    <row r="1789" spans="14:23" x14ac:dyDescent="0.2">
      <c r="N1789" t="str">
        <f>IF(OR(Sync!$M1789="",$Q1789="",$Q1789="نامعتبر"),"",Sync!$M1789)</f>
        <v/>
      </c>
      <c r="O1789" t="str">
        <f t="shared" si="145"/>
        <v/>
      </c>
      <c r="P1789" t="str">
        <f>IF($N1789="","",LEFT($Q1789,4)&amp;MID($Q1789,6,2)&amp;RIGHT($Q1789,2)&amp;IF(Sync!$K1789="","0000",IF(AND(ISNUMBER(Sync!$K1789),Sync!$K1789&gt;=0,Sync!$K1789&lt;1),RIGHT("00"&amp;HOUR(Sync!$K1789),2)&amp;RIGHT("00"&amp;MINUTE(Sync!$K1789),2),IFERROR(RIGHT("00"&amp;VALUE(LEFT(Sync!$K1789,FIND(":",Sync!$K1789)-1)),2)&amp;RIGHT("00"&amp;VALUE(MID(Sync!$K1789,FIND(":",Sync!$K1789)+1,2)),2),"0000")))&amp;"|"&amp;"2"&amp;RIGHT("00000"&amp;1784,5))</f>
        <v/>
      </c>
      <c r="Q1789" t="str">
        <f>IF(Sync!$J1789="","",IF(ISNUMBER(Sync!$J1789),IF(AND(Sync!$J1789&gt;=10000101,Sync!$J1789&lt;=99991231),INT(Sync!$J1789/10000)&amp;"/"&amp;RIGHT("00"&amp;INT(MOD(Sync!$J1789,10000)/100),2)&amp;"/"&amp;RIGHT("00"&amp;MOD(Sync!$J1789,100),2),"نامعتبر"),IF(LEN(Sync!$J1789)=10,Sync!$J1789,"نامعتبر")))</f>
        <v/>
      </c>
      <c r="R1789" t="str">
        <f t="shared" si="146"/>
        <v/>
      </c>
      <c r="S1789" t="str">
        <f t="shared" si="147"/>
        <v/>
      </c>
      <c r="T1789" t="str">
        <f>IF($N1789="","",IF(Sync!$N1789="",0,Sync!$N1789))</f>
        <v/>
      </c>
      <c r="U1789" t="str">
        <f>IF($N1789="","",IF(Sync!$O1789="",0,Sync!$O1789))</f>
        <v/>
      </c>
      <c r="V1789" t="str">
        <f>IF($N1789="","",Sync!$L1789)</f>
        <v/>
      </c>
      <c r="W1789" t="str">
        <f>IF($N1789="","",Sync!$P1789)</f>
        <v/>
      </c>
    </row>
    <row r="1790" spans="14:23" x14ac:dyDescent="0.2">
      <c r="N1790" t="str">
        <f>IF(OR(Sync!$M1790="",$Q1790="",$Q1790="نامعتبر"),"",Sync!$M1790)</f>
        <v/>
      </c>
      <c r="O1790" t="str">
        <f t="shared" si="145"/>
        <v/>
      </c>
      <c r="P1790" t="str">
        <f>IF($N1790="","",LEFT($Q1790,4)&amp;MID($Q1790,6,2)&amp;RIGHT($Q1790,2)&amp;IF(Sync!$K1790="","0000",IF(AND(ISNUMBER(Sync!$K1790),Sync!$K1790&gt;=0,Sync!$K1790&lt;1),RIGHT("00"&amp;HOUR(Sync!$K1790),2)&amp;RIGHT("00"&amp;MINUTE(Sync!$K1790),2),IFERROR(RIGHT("00"&amp;VALUE(LEFT(Sync!$K1790,FIND(":",Sync!$K1790)-1)),2)&amp;RIGHT("00"&amp;VALUE(MID(Sync!$K1790,FIND(":",Sync!$K1790)+1,2)),2),"0000")))&amp;"|"&amp;"2"&amp;RIGHT("00000"&amp;1785,5))</f>
        <v/>
      </c>
      <c r="Q1790" t="str">
        <f>IF(Sync!$J1790="","",IF(ISNUMBER(Sync!$J1790),IF(AND(Sync!$J1790&gt;=10000101,Sync!$J1790&lt;=99991231),INT(Sync!$J1790/10000)&amp;"/"&amp;RIGHT("00"&amp;INT(MOD(Sync!$J1790,10000)/100),2)&amp;"/"&amp;RIGHT("00"&amp;MOD(Sync!$J1790,100),2),"نامعتبر"),IF(LEN(Sync!$J1790)=10,Sync!$J1790,"نامعتبر")))</f>
        <v/>
      </c>
      <c r="R1790" t="str">
        <f t="shared" si="146"/>
        <v/>
      </c>
      <c r="S1790" t="str">
        <f t="shared" si="147"/>
        <v/>
      </c>
      <c r="T1790" t="str">
        <f>IF($N1790="","",IF(Sync!$N1790="",0,Sync!$N1790))</f>
        <v/>
      </c>
      <c r="U1790" t="str">
        <f>IF($N1790="","",IF(Sync!$O1790="",0,Sync!$O1790))</f>
        <v/>
      </c>
      <c r="V1790" t="str">
        <f>IF($N1790="","",Sync!$L1790)</f>
        <v/>
      </c>
      <c r="W1790" t="str">
        <f>IF($N1790="","",Sync!$P1790)</f>
        <v/>
      </c>
    </row>
    <row r="1791" spans="14:23" x14ac:dyDescent="0.2">
      <c r="N1791" t="str">
        <f>IF(OR(Sync!$M1791="",$Q1791="",$Q1791="نامعتبر"),"",Sync!$M1791)</f>
        <v/>
      </c>
      <c r="O1791" t="str">
        <f t="shared" si="145"/>
        <v/>
      </c>
      <c r="P1791" t="str">
        <f>IF($N1791="","",LEFT($Q1791,4)&amp;MID($Q1791,6,2)&amp;RIGHT($Q1791,2)&amp;IF(Sync!$K1791="","0000",IF(AND(ISNUMBER(Sync!$K1791),Sync!$K1791&gt;=0,Sync!$K1791&lt;1),RIGHT("00"&amp;HOUR(Sync!$K1791),2)&amp;RIGHT("00"&amp;MINUTE(Sync!$K1791),2),IFERROR(RIGHT("00"&amp;VALUE(LEFT(Sync!$K1791,FIND(":",Sync!$K1791)-1)),2)&amp;RIGHT("00"&amp;VALUE(MID(Sync!$K1791,FIND(":",Sync!$K1791)+1,2)),2),"0000")))&amp;"|"&amp;"2"&amp;RIGHT("00000"&amp;1786,5))</f>
        <v/>
      </c>
      <c r="Q1791" t="str">
        <f>IF(Sync!$J1791="","",IF(ISNUMBER(Sync!$J1791),IF(AND(Sync!$J1791&gt;=10000101,Sync!$J1791&lt;=99991231),INT(Sync!$J1791/10000)&amp;"/"&amp;RIGHT("00"&amp;INT(MOD(Sync!$J1791,10000)/100),2)&amp;"/"&amp;RIGHT("00"&amp;MOD(Sync!$J1791,100),2),"نامعتبر"),IF(LEN(Sync!$J1791)=10,Sync!$J1791,"نامعتبر")))</f>
        <v/>
      </c>
      <c r="R1791" t="str">
        <f t="shared" si="146"/>
        <v/>
      </c>
      <c r="S1791" t="str">
        <f t="shared" si="147"/>
        <v/>
      </c>
      <c r="T1791" t="str">
        <f>IF($N1791="","",IF(Sync!$N1791="",0,Sync!$N1791))</f>
        <v/>
      </c>
      <c r="U1791" t="str">
        <f>IF($N1791="","",IF(Sync!$O1791="",0,Sync!$O1791))</f>
        <v/>
      </c>
      <c r="V1791" t="str">
        <f>IF($N1791="","",Sync!$L1791)</f>
        <v/>
      </c>
      <c r="W1791" t="str">
        <f>IF($N1791="","",Sync!$P1791)</f>
        <v/>
      </c>
    </row>
    <row r="1792" spans="14:23" x14ac:dyDescent="0.2">
      <c r="N1792" t="str">
        <f>IF(OR(Sync!$M1792="",$Q1792="",$Q1792="نامعتبر"),"",Sync!$M1792)</f>
        <v/>
      </c>
      <c r="O1792" t="str">
        <f t="shared" si="145"/>
        <v/>
      </c>
      <c r="P1792" t="str">
        <f>IF($N1792="","",LEFT($Q1792,4)&amp;MID($Q1792,6,2)&amp;RIGHT($Q1792,2)&amp;IF(Sync!$K1792="","0000",IF(AND(ISNUMBER(Sync!$K1792),Sync!$K1792&gt;=0,Sync!$K1792&lt;1),RIGHT("00"&amp;HOUR(Sync!$K1792),2)&amp;RIGHT("00"&amp;MINUTE(Sync!$K1792),2),IFERROR(RIGHT("00"&amp;VALUE(LEFT(Sync!$K1792,FIND(":",Sync!$K1792)-1)),2)&amp;RIGHT("00"&amp;VALUE(MID(Sync!$K1792,FIND(":",Sync!$K1792)+1,2)),2),"0000")))&amp;"|"&amp;"2"&amp;RIGHT("00000"&amp;1787,5))</f>
        <v/>
      </c>
      <c r="Q1792" t="str">
        <f>IF(Sync!$J1792="","",IF(ISNUMBER(Sync!$J1792),IF(AND(Sync!$J1792&gt;=10000101,Sync!$J1792&lt;=99991231),INT(Sync!$J1792/10000)&amp;"/"&amp;RIGHT("00"&amp;INT(MOD(Sync!$J1792,10000)/100),2)&amp;"/"&amp;RIGHT("00"&amp;MOD(Sync!$J1792,100),2),"نامعتبر"),IF(LEN(Sync!$J1792)=10,Sync!$J1792,"نامعتبر")))</f>
        <v/>
      </c>
      <c r="R1792" t="str">
        <f t="shared" si="146"/>
        <v/>
      </c>
      <c r="S1792" t="str">
        <f t="shared" si="147"/>
        <v/>
      </c>
      <c r="T1792" t="str">
        <f>IF($N1792="","",IF(Sync!$N1792="",0,Sync!$N1792))</f>
        <v/>
      </c>
      <c r="U1792" t="str">
        <f>IF($N1792="","",IF(Sync!$O1792="",0,Sync!$O1792))</f>
        <v/>
      </c>
      <c r="V1792" t="str">
        <f>IF($N1792="","",Sync!$L1792)</f>
        <v/>
      </c>
      <c r="W1792" t="str">
        <f>IF($N1792="","",Sync!$P1792)</f>
        <v/>
      </c>
    </row>
    <row r="1793" spans="14:23" x14ac:dyDescent="0.2">
      <c r="N1793" t="str">
        <f>IF(OR(Sync!$M1793="",$Q1793="",$Q1793="نامعتبر"),"",Sync!$M1793)</f>
        <v/>
      </c>
      <c r="O1793" t="str">
        <f t="shared" si="145"/>
        <v/>
      </c>
      <c r="P1793" t="str">
        <f>IF($N1793="","",LEFT($Q1793,4)&amp;MID($Q1793,6,2)&amp;RIGHT($Q1793,2)&amp;IF(Sync!$K1793="","0000",IF(AND(ISNUMBER(Sync!$K1793),Sync!$K1793&gt;=0,Sync!$K1793&lt;1),RIGHT("00"&amp;HOUR(Sync!$K1793),2)&amp;RIGHT("00"&amp;MINUTE(Sync!$K1793),2),IFERROR(RIGHT("00"&amp;VALUE(LEFT(Sync!$K1793,FIND(":",Sync!$K1793)-1)),2)&amp;RIGHT("00"&amp;VALUE(MID(Sync!$K1793,FIND(":",Sync!$K1793)+1,2)),2),"0000")))&amp;"|"&amp;"2"&amp;RIGHT("00000"&amp;1788,5))</f>
        <v/>
      </c>
      <c r="Q1793" t="str">
        <f>IF(Sync!$J1793="","",IF(ISNUMBER(Sync!$J1793),IF(AND(Sync!$J1793&gt;=10000101,Sync!$J1793&lt;=99991231),INT(Sync!$J1793/10000)&amp;"/"&amp;RIGHT("00"&amp;INT(MOD(Sync!$J1793,10000)/100),2)&amp;"/"&amp;RIGHT("00"&amp;MOD(Sync!$J1793,100),2),"نامعتبر"),IF(LEN(Sync!$J1793)=10,Sync!$J1793,"نامعتبر")))</f>
        <v/>
      </c>
      <c r="R1793" t="str">
        <f t="shared" si="146"/>
        <v/>
      </c>
      <c r="S1793" t="str">
        <f t="shared" si="147"/>
        <v/>
      </c>
      <c r="T1793" t="str">
        <f>IF($N1793="","",IF(Sync!$N1793="",0,Sync!$N1793))</f>
        <v/>
      </c>
      <c r="U1793" t="str">
        <f>IF($N1793="","",IF(Sync!$O1793="",0,Sync!$O1793))</f>
        <v/>
      </c>
      <c r="V1793" t="str">
        <f>IF($N1793="","",Sync!$L1793)</f>
        <v/>
      </c>
      <c r="W1793" t="str">
        <f>IF($N1793="","",Sync!$P1793)</f>
        <v/>
      </c>
    </row>
    <row r="1794" spans="14:23" x14ac:dyDescent="0.2">
      <c r="N1794" t="str">
        <f>IF(OR(Sync!$M1794="",$Q1794="",$Q1794="نامعتبر"),"",Sync!$M1794)</f>
        <v/>
      </c>
      <c r="O1794" t="str">
        <f t="shared" si="145"/>
        <v/>
      </c>
      <c r="P1794" t="str">
        <f>IF($N1794="","",LEFT($Q1794,4)&amp;MID($Q1794,6,2)&amp;RIGHT($Q1794,2)&amp;IF(Sync!$K1794="","0000",IF(AND(ISNUMBER(Sync!$K1794),Sync!$K1794&gt;=0,Sync!$K1794&lt;1),RIGHT("00"&amp;HOUR(Sync!$K1794),2)&amp;RIGHT("00"&amp;MINUTE(Sync!$K1794),2),IFERROR(RIGHT("00"&amp;VALUE(LEFT(Sync!$K1794,FIND(":",Sync!$K1794)-1)),2)&amp;RIGHT("00"&amp;VALUE(MID(Sync!$K1794,FIND(":",Sync!$K1794)+1,2)),2),"0000")))&amp;"|"&amp;"2"&amp;RIGHT("00000"&amp;1789,5))</f>
        <v/>
      </c>
      <c r="Q1794" t="str">
        <f>IF(Sync!$J1794="","",IF(ISNUMBER(Sync!$J1794),IF(AND(Sync!$J1794&gt;=10000101,Sync!$J1794&lt;=99991231),INT(Sync!$J1794/10000)&amp;"/"&amp;RIGHT("00"&amp;INT(MOD(Sync!$J1794,10000)/100),2)&amp;"/"&amp;RIGHT("00"&amp;MOD(Sync!$J1794,100),2),"نامعتبر"),IF(LEN(Sync!$J1794)=10,Sync!$J1794,"نامعتبر")))</f>
        <v/>
      </c>
      <c r="R1794" t="str">
        <f t="shared" si="146"/>
        <v/>
      </c>
      <c r="S1794" t="str">
        <f t="shared" si="147"/>
        <v/>
      </c>
      <c r="T1794" t="str">
        <f>IF($N1794="","",IF(Sync!$N1794="",0,Sync!$N1794))</f>
        <v/>
      </c>
      <c r="U1794" t="str">
        <f>IF($N1794="","",IF(Sync!$O1794="",0,Sync!$O1794))</f>
        <v/>
      </c>
      <c r="V1794" t="str">
        <f>IF($N1794="","",Sync!$L1794)</f>
        <v/>
      </c>
      <c r="W1794" t="str">
        <f>IF($N1794="","",Sync!$P1794)</f>
        <v/>
      </c>
    </row>
    <row r="1795" spans="14:23" x14ac:dyDescent="0.2">
      <c r="N1795" t="str">
        <f>IF(OR(Sync!$M1795="",$Q1795="",$Q1795="نامعتبر"),"",Sync!$M1795)</f>
        <v/>
      </c>
      <c r="O1795" t="str">
        <f t="shared" si="145"/>
        <v/>
      </c>
      <c r="P1795" t="str">
        <f>IF($N1795="","",LEFT($Q1795,4)&amp;MID($Q1795,6,2)&amp;RIGHT($Q1795,2)&amp;IF(Sync!$K1795="","0000",IF(AND(ISNUMBER(Sync!$K1795),Sync!$K1795&gt;=0,Sync!$K1795&lt;1),RIGHT("00"&amp;HOUR(Sync!$K1795),2)&amp;RIGHT("00"&amp;MINUTE(Sync!$K1795),2),IFERROR(RIGHT("00"&amp;VALUE(LEFT(Sync!$K1795,FIND(":",Sync!$K1795)-1)),2)&amp;RIGHT("00"&amp;VALUE(MID(Sync!$K1795,FIND(":",Sync!$K1795)+1,2)),2),"0000")))&amp;"|"&amp;"2"&amp;RIGHT("00000"&amp;1790,5))</f>
        <v/>
      </c>
      <c r="Q1795" t="str">
        <f>IF(Sync!$J1795="","",IF(ISNUMBER(Sync!$J1795),IF(AND(Sync!$J1795&gt;=10000101,Sync!$J1795&lt;=99991231),INT(Sync!$J1795/10000)&amp;"/"&amp;RIGHT("00"&amp;INT(MOD(Sync!$J1795,10000)/100),2)&amp;"/"&amp;RIGHT("00"&amp;MOD(Sync!$J1795,100),2),"نامعتبر"),IF(LEN(Sync!$J1795)=10,Sync!$J1795,"نامعتبر")))</f>
        <v/>
      </c>
      <c r="R1795" t="str">
        <f t="shared" si="146"/>
        <v/>
      </c>
      <c r="S1795" t="str">
        <f t="shared" si="147"/>
        <v/>
      </c>
      <c r="T1795" t="str">
        <f>IF($N1795="","",IF(Sync!$N1795="",0,Sync!$N1795))</f>
        <v/>
      </c>
      <c r="U1795" t="str">
        <f>IF($N1795="","",IF(Sync!$O1795="",0,Sync!$O1795))</f>
        <v/>
      </c>
      <c r="V1795" t="str">
        <f>IF($N1795="","",Sync!$L1795)</f>
        <v/>
      </c>
      <c r="W1795" t="str">
        <f>IF($N1795="","",Sync!$P1795)</f>
        <v/>
      </c>
    </row>
    <row r="1796" spans="14:23" x14ac:dyDescent="0.2">
      <c r="N1796" t="str">
        <f>IF(OR(Sync!$M1796="",$Q1796="",$Q1796="نامعتبر"),"",Sync!$M1796)</f>
        <v/>
      </c>
      <c r="O1796" t="str">
        <f t="shared" si="145"/>
        <v/>
      </c>
      <c r="P1796" t="str">
        <f>IF($N1796="","",LEFT($Q1796,4)&amp;MID($Q1796,6,2)&amp;RIGHT($Q1796,2)&amp;IF(Sync!$K1796="","0000",IF(AND(ISNUMBER(Sync!$K1796),Sync!$K1796&gt;=0,Sync!$K1796&lt;1),RIGHT("00"&amp;HOUR(Sync!$K1796),2)&amp;RIGHT("00"&amp;MINUTE(Sync!$K1796),2),IFERROR(RIGHT("00"&amp;VALUE(LEFT(Sync!$K1796,FIND(":",Sync!$K1796)-1)),2)&amp;RIGHT("00"&amp;VALUE(MID(Sync!$K1796,FIND(":",Sync!$K1796)+1,2)),2),"0000")))&amp;"|"&amp;"2"&amp;RIGHT("00000"&amp;1791,5))</f>
        <v/>
      </c>
      <c r="Q1796" t="str">
        <f>IF(Sync!$J1796="","",IF(ISNUMBER(Sync!$J1796),IF(AND(Sync!$J1796&gt;=10000101,Sync!$J1796&lt;=99991231),INT(Sync!$J1796/10000)&amp;"/"&amp;RIGHT("00"&amp;INT(MOD(Sync!$J1796,10000)/100),2)&amp;"/"&amp;RIGHT("00"&amp;MOD(Sync!$J1796,100),2),"نامعتبر"),IF(LEN(Sync!$J1796)=10,Sync!$J1796,"نامعتبر")))</f>
        <v/>
      </c>
      <c r="R1796" t="str">
        <f t="shared" si="146"/>
        <v/>
      </c>
      <c r="S1796" t="str">
        <f t="shared" si="147"/>
        <v/>
      </c>
      <c r="T1796" t="str">
        <f>IF($N1796="","",IF(Sync!$N1796="",0,Sync!$N1796))</f>
        <v/>
      </c>
      <c r="U1796" t="str">
        <f>IF($N1796="","",IF(Sync!$O1796="",0,Sync!$O1796))</f>
        <v/>
      </c>
      <c r="V1796" t="str">
        <f>IF($N1796="","",Sync!$L1796)</f>
        <v/>
      </c>
      <c r="W1796" t="str">
        <f>IF($N1796="","",Sync!$P1796)</f>
        <v/>
      </c>
    </row>
    <row r="1797" spans="14:23" x14ac:dyDescent="0.2">
      <c r="N1797" t="str">
        <f>IF(OR(Sync!$M1797="",$Q1797="",$Q1797="نامعتبر"),"",Sync!$M1797)</f>
        <v/>
      </c>
      <c r="O1797" t="str">
        <f t="shared" si="145"/>
        <v/>
      </c>
      <c r="P1797" t="str">
        <f>IF($N1797="","",LEFT($Q1797,4)&amp;MID($Q1797,6,2)&amp;RIGHT($Q1797,2)&amp;IF(Sync!$K1797="","0000",IF(AND(ISNUMBER(Sync!$K1797),Sync!$K1797&gt;=0,Sync!$K1797&lt;1),RIGHT("00"&amp;HOUR(Sync!$K1797),2)&amp;RIGHT("00"&amp;MINUTE(Sync!$K1797),2),IFERROR(RIGHT("00"&amp;VALUE(LEFT(Sync!$K1797,FIND(":",Sync!$K1797)-1)),2)&amp;RIGHT("00"&amp;VALUE(MID(Sync!$K1797,FIND(":",Sync!$K1797)+1,2)),2),"0000")))&amp;"|"&amp;"2"&amp;RIGHT("00000"&amp;1792,5))</f>
        <v/>
      </c>
      <c r="Q1797" t="str">
        <f>IF(Sync!$J1797="","",IF(ISNUMBER(Sync!$J1797),IF(AND(Sync!$J1797&gt;=10000101,Sync!$J1797&lt;=99991231),INT(Sync!$J1797/10000)&amp;"/"&amp;RIGHT("00"&amp;INT(MOD(Sync!$J1797,10000)/100),2)&amp;"/"&amp;RIGHT("00"&amp;MOD(Sync!$J1797,100),2),"نامعتبر"),IF(LEN(Sync!$J1797)=10,Sync!$J1797,"نامعتبر")))</f>
        <v/>
      </c>
      <c r="R1797" t="str">
        <f t="shared" si="146"/>
        <v/>
      </c>
      <c r="S1797" t="str">
        <f t="shared" si="147"/>
        <v/>
      </c>
      <c r="T1797" t="str">
        <f>IF($N1797="","",IF(Sync!$N1797="",0,Sync!$N1797))</f>
        <v/>
      </c>
      <c r="U1797" t="str">
        <f>IF($N1797="","",IF(Sync!$O1797="",0,Sync!$O1797))</f>
        <v/>
      </c>
      <c r="V1797" t="str">
        <f>IF($N1797="","",Sync!$L1797)</f>
        <v/>
      </c>
      <c r="W1797" t="str">
        <f>IF($N1797="","",Sync!$P1797)</f>
        <v/>
      </c>
    </row>
    <row r="1798" spans="14:23" x14ac:dyDescent="0.2">
      <c r="N1798" t="str">
        <f>IF(OR(Sync!$M1798="",$Q1798="",$Q1798="نامعتبر"),"",Sync!$M1798)</f>
        <v/>
      </c>
      <c r="O1798" t="str">
        <f t="shared" ref="O1798:O1861" si="148">IF($N1798="","",$Q1798)</f>
        <v/>
      </c>
      <c r="P1798" t="str">
        <f>IF($N1798="","",LEFT($Q1798,4)&amp;MID($Q1798,6,2)&amp;RIGHT($Q1798,2)&amp;IF(Sync!$K1798="","0000",IF(AND(ISNUMBER(Sync!$K1798),Sync!$K1798&gt;=0,Sync!$K1798&lt;1),RIGHT("00"&amp;HOUR(Sync!$K1798),2)&amp;RIGHT("00"&amp;MINUTE(Sync!$K1798),2),IFERROR(RIGHT("00"&amp;VALUE(LEFT(Sync!$K1798,FIND(":",Sync!$K1798)-1)),2)&amp;RIGHT("00"&amp;VALUE(MID(Sync!$K1798,FIND(":",Sync!$K1798)+1,2)),2),"0000")))&amp;"|"&amp;"2"&amp;RIGHT("00000"&amp;1793,5))</f>
        <v/>
      </c>
      <c r="Q1798" t="str">
        <f>IF(Sync!$J1798="","",IF(ISNUMBER(Sync!$J1798),IF(AND(Sync!$J1798&gt;=10000101,Sync!$J1798&lt;=99991231),INT(Sync!$J1798/10000)&amp;"/"&amp;RIGHT("00"&amp;INT(MOD(Sync!$J1798,10000)/100),2)&amp;"/"&amp;RIGHT("00"&amp;MOD(Sync!$J1798,100),2),"نامعتبر"),IF(LEN(Sync!$J1798)=10,Sync!$J1798,"نامعتبر")))</f>
        <v/>
      </c>
      <c r="R1798" t="str">
        <f t="shared" ref="R1798:R1861" si="149">IF($P1798="","",COUNTIFS($N$6:$N$2005,$N1798,$P$6:$P$2005,"&lt;"&amp;$P1798)+COUNTIFS($A$6:$A$1005,$N1798,$B$6:$B$1005,"&lt;"&amp;$P1798)+1)</f>
        <v/>
      </c>
      <c r="S1798" t="str">
        <f t="shared" ref="S1798:S1861" si="150">IF($N1798="","",$N1798&amp;"|"&amp;RIGHT("000000"&amp;$R1798,6))</f>
        <v/>
      </c>
      <c r="T1798" t="str">
        <f>IF($N1798="","",IF(Sync!$N1798="",0,Sync!$N1798))</f>
        <v/>
      </c>
      <c r="U1798" t="str">
        <f>IF($N1798="","",IF(Sync!$O1798="",0,Sync!$O1798))</f>
        <v/>
      </c>
      <c r="V1798" t="str">
        <f>IF($N1798="","",Sync!$L1798)</f>
        <v/>
      </c>
      <c r="W1798" t="str">
        <f>IF($N1798="","",Sync!$P1798)</f>
        <v/>
      </c>
    </row>
    <row r="1799" spans="14:23" x14ac:dyDescent="0.2">
      <c r="N1799" t="str">
        <f>IF(OR(Sync!$M1799="",$Q1799="",$Q1799="نامعتبر"),"",Sync!$M1799)</f>
        <v/>
      </c>
      <c r="O1799" t="str">
        <f t="shared" si="148"/>
        <v/>
      </c>
      <c r="P1799" t="str">
        <f>IF($N1799="","",LEFT($Q1799,4)&amp;MID($Q1799,6,2)&amp;RIGHT($Q1799,2)&amp;IF(Sync!$K1799="","0000",IF(AND(ISNUMBER(Sync!$K1799),Sync!$K1799&gt;=0,Sync!$K1799&lt;1),RIGHT("00"&amp;HOUR(Sync!$K1799),2)&amp;RIGHT("00"&amp;MINUTE(Sync!$K1799),2),IFERROR(RIGHT("00"&amp;VALUE(LEFT(Sync!$K1799,FIND(":",Sync!$K1799)-1)),2)&amp;RIGHT("00"&amp;VALUE(MID(Sync!$K1799,FIND(":",Sync!$K1799)+1,2)),2),"0000")))&amp;"|"&amp;"2"&amp;RIGHT("00000"&amp;1794,5))</f>
        <v/>
      </c>
      <c r="Q1799" t="str">
        <f>IF(Sync!$J1799="","",IF(ISNUMBER(Sync!$J1799),IF(AND(Sync!$J1799&gt;=10000101,Sync!$J1799&lt;=99991231),INT(Sync!$J1799/10000)&amp;"/"&amp;RIGHT("00"&amp;INT(MOD(Sync!$J1799,10000)/100),2)&amp;"/"&amp;RIGHT("00"&amp;MOD(Sync!$J1799,100),2),"نامعتبر"),IF(LEN(Sync!$J1799)=10,Sync!$J1799,"نامعتبر")))</f>
        <v/>
      </c>
      <c r="R1799" t="str">
        <f t="shared" si="149"/>
        <v/>
      </c>
      <c r="S1799" t="str">
        <f t="shared" si="150"/>
        <v/>
      </c>
      <c r="T1799" t="str">
        <f>IF($N1799="","",IF(Sync!$N1799="",0,Sync!$N1799))</f>
        <v/>
      </c>
      <c r="U1799" t="str">
        <f>IF($N1799="","",IF(Sync!$O1799="",0,Sync!$O1799))</f>
        <v/>
      </c>
      <c r="V1799" t="str">
        <f>IF($N1799="","",Sync!$L1799)</f>
        <v/>
      </c>
      <c r="W1799" t="str">
        <f>IF($N1799="","",Sync!$P1799)</f>
        <v/>
      </c>
    </row>
    <row r="1800" spans="14:23" x14ac:dyDescent="0.2">
      <c r="N1800" t="str">
        <f>IF(OR(Sync!$M1800="",$Q1800="",$Q1800="نامعتبر"),"",Sync!$M1800)</f>
        <v/>
      </c>
      <c r="O1800" t="str">
        <f t="shared" si="148"/>
        <v/>
      </c>
      <c r="P1800" t="str">
        <f>IF($N1800="","",LEFT($Q1800,4)&amp;MID($Q1800,6,2)&amp;RIGHT($Q1800,2)&amp;IF(Sync!$K1800="","0000",IF(AND(ISNUMBER(Sync!$K1800),Sync!$K1800&gt;=0,Sync!$K1800&lt;1),RIGHT("00"&amp;HOUR(Sync!$K1800),2)&amp;RIGHT("00"&amp;MINUTE(Sync!$K1800),2),IFERROR(RIGHT("00"&amp;VALUE(LEFT(Sync!$K1800,FIND(":",Sync!$K1800)-1)),2)&amp;RIGHT("00"&amp;VALUE(MID(Sync!$K1800,FIND(":",Sync!$K1800)+1,2)),2),"0000")))&amp;"|"&amp;"2"&amp;RIGHT("00000"&amp;1795,5))</f>
        <v/>
      </c>
      <c r="Q1800" t="str">
        <f>IF(Sync!$J1800="","",IF(ISNUMBER(Sync!$J1800),IF(AND(Sync!$J1800&gt;=10000101,Sync!$J1800&lt;=99991231),INT(Sync!$J1800/10000)&amp;"/"&amp;RIGHT("00"&amp;INT(MOD(Sync!$J1800,10000)/100),2)&amp;"/"&amp;RIGHT("00"&amp;MOD(Sync!$J1800,100),2),"نامعتبر"),IF(LEN(Sync!$J1800)=10,Sync!$J1800,"نامعتبر")))</f>
        <v/>
      </c>
      <c r="R1800" t="str">
        <f t="shared" si="149"/>
        <v/>
      </c>
      <c r="S1800" t="str">
        <f t="shared" si="150"/>
        <v/>
      </c>
      <c r="T1800" t="str">
        <f>IF($N1800="","",IF(Sync!$N1800="",0,Sync!$N1800))</f>
        <v/>
      </c>
      <c r="U1800" t="str">
        <f>IF($N1800="","",IF(Sync!$O1800="",0,Sync!$O1800))</f>
        <v/>
      </c>
      <c r="V1800" t="str">
        <f>IF($N1800="","",Sync!$L1800)</f>
        <v/>
      </c>
      <c r="W1800" t="str">
        <f>IF($N1800="","",Sync!$P1800)</f>
        <v/>
      </c>
    </row>
    <row r="1801" spans="14:23" x14ac:dyDescent="0.2">
      <c r="N1801" t="str">
        <f>IF(OR(Sync!$M1801="",$Q1801="",$Q1801="نامعتبر"),"",Sync!$M1801)</f>
        <v/>
      </c>
      <c r="O1801" t="str">
        <f t="shared" si="148"/>
        <v/>
      </c>
      <c r="P1801" t="str">
        <f>IF($N1801="","",LEFT($Q1801,4)&amp;MID($Q1801,6,2)&amp;RIGHT($Q1801,2)&amp;IF(Sync!$K1801="","0000",IF(AND(ISNUMBER(Sync!$K1801),Sync!$K1801&gt;=0,Sync!$K1801&lt;1),RIGHT("00"&amp;HOUR(Sync!$K1801),2)&amp;RIGHT("00"&amp;MINUTE(Sync!$K1801),2),IFERROR(RIGHT("00"&amp;VALUE(LEFT(Sync!$K1801,FIND(":",Sync!$K1801)-1)),2)&amp;RIGHT("00"&amp;VALUE(MID(Sync!$K1801,FIND(":",Sync!$K1801)+1,2)),2),"0000")))&amp;"|"&amp;"2"&amp;RIGHT("00000"&amp;1796,5))</f>
        <v/>
      </c>
      <c r="Q1801" t="str">
        <f>IF(Sync!$J1801="","",IF(ISNUMBER(Sync!$J1801),IF(AND(Sync!$J1801&gt;=10000101,Sync!$J1801&lt;=99991231),INT(Sync!$J1801/10000)&amp;"/"&amp;RIGHT("00"&amp;INT(MOD(Sync!$J1801,10000)/100),2)&amp;"/"&amp;RIGHT("00"&amp;MOD(Sync!$J1801,100),2),"نامعتبر"),IF(LEN(Sync!$J1801)=10,Sync!$J1801,"نامعتبر")))</f>
        <v/>
      </c>
      <c r="R1801" t="str">
        <f t="shared" si="149"/>
        <v/>
      </c>
      <c r="S1801" t="str">
        <f t="shared" si="150"/>
        <v/>
      </c>
      <c r="T1801" t="str">
        <f>IF($N1801="","",IF(Sync!$N1801="",0,Sync!$N1801))</f>
        <v/>
      </c>
      <c r="U1801" t="str">
        <f>IF($N1801="","",IF(Sync!$O1801="",0,Sync!$O1801))</f>
        <v/>
      </c>
      <c r="V1801" t="str">
        <f>IF($N1801="","",Sync!$L1801)</f>
        <v/>
      </c>
      <c r="W1801" t="str">
        <f>IF($N1801="","",Sync!$P1801)</f>
        <v/>
      </c>
    </row>
    <row r="1802" spans="14:23" x14ac:dyDescent="0.2">
      <c r="N1802" t="str">
        <f>IF(OR(Sync!$M1802="",$Q1802="",$Q1802="نامعتبر"),"",Sync!$M1802)</f>
        <v/>
      </c>
      <c r="O1802" t="str">
        <f t="shared" si="148"/>
        <v/>
      </c>
      <c r="P1802" t="str">
        <f>IF($N1802="","",LEFT($Q1802,4)&amp;MID($Q1802,6,2)&amp;RIGHT($Q1802,2)&amp;IF(Sync!$K1802="","0000",IF(AND(ISNUMBER(Sync!$K1802),Sync!$K1802&gt;=0,Sync!$K1802&lt;1),RIGHT("00"&amp;HOUR(Sync!$K1802),2)&amp;RIGHT("00"&amp;MINUTE(Sync!$K1802),2),IFERROR(RIGHT("00"&amp;VALUE(LEFT(Sync!$K1802,FIND(":",Sync!$K1802)-1)),2)&amp;RIGHT("00"&amp;VALUE(MID(Sync!$K1802,FIND(":",Sync!$K1802)+1,2)),2),"0000")))&amp;"|"&amp;"2"&amp;RIGHT("00000"&amp;1797,5))</f>
        <v/>
      </c>
      <c r="Q1802" t="str">
        <f>IF(Sync!$J1802="","",IF(ISNUMBER(Sync!$J1802),IF(AND(Sync!$J1802&gt;=10000101,Sync!$J1802&lt;=99991231),INT(Sync!$J1802/10000)&amp;"/"&amp;RIGHT("00"&amp;INT(MOD(Sync!$J1802,10000)/100),2)&amp;"/"&amp;RIGHT("00"&amp;MOD(Sync!$J1802,100),2),"نامعتبر"),IF(LEN(Sync!$J1802)=10,Sync!$J1802,"نامعتبر")))</f>
        <v/>
      </c>
      <c r="R1802" t="str">
        <f t="shared" si="149"/>
        <v/>
      </c>
      <c r="S1802" t="str">
        <f t="shared" si="150"/>
        <v/>
      </c>
      <c r="T1802" t="str">
        <f>IF($N1802="","",IF(Sync!$N1802="",0,Sync!$N1802))</f>
        <v/>
      </c>
      <c r="U1802" t="str">
        <f>IF($N1802="","",IF(Sync!$O1802="",0,Sync!$O1802))</f>
        <v/>
      </c>
      <c r="V1802" t="str">
        <f>IF($N1802="","",Sync!$L1802)</f>
        <v/>
      </c>
      <c r="W1802" t="str">
        <f>IF($N1802="","",Sync!$P1802)</f>
        <v/>
      </c>
    </row>
    <row r="1803" spans="14:23" x14ac:dyDescent="0.2">
      <c r="N1803" t="str">
        <f>IF(OR(Sync!$M1803="",$Q1803="",$Q1803="نامعتبر"),"",Sync!$M1803)</f>
        <v/>
      </c>
      <c r="O1803" t="str">
        <f t="shared" si="148"/>
        <v/>
      </c>
      <c r="P1803" t="str">
        <f>IF($N1803="","",LEFT($Q1803,4)&amp;MID($Q1803,6,2)&amp;RIGHT($Q1803,2)&amp;IF(Sync!$K1803="","0000",IF(AND(ISNUMBER(Sync!$K1803),Sync!$K1803&gt;=0,Sync!$K1803&lt;1),RIGHT("00"&amp;HOUR(Sync!$K1803),2)&amp;RIGHT("00"&amp;MINUTE(Sync!$K1803),2),IFERROR(RIGHT("00"&amp;VALUE(LEFT(Sync!$K1803,FIND(":",Sync!$K1803)-1)),2)&amp;RIGHT("00"&amp;VALUE(MID(Sync!$K1803,FIND(":",Sync!$K1803)+1,2)),2),"0000")))&amp;"|"&amp;"2"&amp;RIGHT("00000"&amp;1798,5))</f>
        <v/>
      </c>
      <c r="Q1803" t="str">
        <f>IF(Sync!$J1803="","",IF(ISNUMBER(Sync!$J1803),IF(AND(Sync!$J1803&gt;=10000101,Sync!$J1803&lt;=99991231),INT(Sync!$J1803/10000)&amp;"/"&amp;RIGHT("00"&amp;INT(MOD(Sync!$J1803,10000)/100),2)&amp;"/"&amp;RIGHT("00"&amp;MOD(Sync!$J1803,100),2),"نامعتبر"),IF(LEN(Sync!$J1803)=10,Sync!$J1803,"نامعتبر")))</f>
        <v/>
      </c>
      <c r="R1803" t="str">
        <f t="shared" si="149"/>
        <v/>
      </c>
      <c r="S1803" t="str">
        <f t="shared" si="150"/>
        <v/>
      </c>
      <c r="T1803" t="str">
        <f>IF($N1803="","",IF(Sync!$N1803="",0,Sync!$N1803))</f>
        <v/>
      </c>
      <c r="U1803" t="str">
        <f>IF($N1803="","",IF(Sync!$O1803="",0,Sync!$O1803))</f>
        <v/>
      </c>
      <c r="V1803" t="str">
        <f>IF($N1803="","",Sync!$L1803)</f>
        <v/>
      </c>
      <c r="W1803" t="str">
        <f>IF($N1803="","",Sync!$P1803)</f>
        <v/>
      </c>
    </row>
    <row r="1804" spans="14:23" x14ac:dyDescent="0.2">
      <c r="N1804" t="str">
        <f>IF(OR(Sync!$M1804="",$Q1804="",$Q1804="نامعتبر"),"",Sync!$M1804)</f>
        <v/>
      </c>
      <c r="O1804" t="str">
        <f t="shared" si="148"/>
        <v/>
      </c>
      <c r="P1804" t="str">
        <f>IF($N1804="","",LEFT($Q1804,4)&amp;MID($Q1804,6,2)&amp;RIGHT($Q1804,2)&amp;IF(Sync!$K1804="","0000",IF(AND(ISNUMBER(Sync!$K1804),Sync!$K1804&gt;=0,Sync!$K1804&lt;1),RIGHT("00"&amp;HOUR(Sync!$K1804),2)&amp;RIGHT("00"&amp;MINUTE(Sync!$K1804),2),IFERROR(RIGHT("00"&amp;VALUE(LEFT(Sync!$K1804,FIND(":",Sync!$K1804)-1)),2)&amp;RIGHT("00"&amp;VALUE(MID(Sync!$K1804,FIND(":",Sync!$K1804)+1,2)),2),"0000")))&amp;"|"&amp;"2"&amp;RIGHT("00000"&amp;1799,5))</f>
        <v/>
      </c>
      <c r="Q1804" t="str">
        <f>IF(Sync!$J1804="","",IF(ISNUMBER(Sync!$J1804),IF(AND(Sync!$J1804&gt;=10000101,Sync!$J1804&lt;=99991231),INT(Sync!$J1804/10000)&amp;"/"&amp;RIGHT("00"&amp;INT(MOD(Sync!$J1804,10000)/100),2)&amp;"/"&amp;RIGHT("00"&amp;MOD(Sync!$J1804,100),2),"نامعتبر"),IF(LEN(Sync!$J1804)=10,Sync!$J1804,"نامعتبر")))</f>
        <v/>
      </c>
      <c r="R1804" t="str">
        <f t="shared" si="149"/>
        <v/>
      </c>
      <c r="S1804" t="str">
        <f t="shared" si="150"/>
        <v/>
      </c>
      <c r="T1804" t="str">
        <f>IF($N1804="","",IF(Sync!$N1804="",0,Sync!$N1804))</f>
        <v/>
      </c>
      <c r="U1804" t="str">
        <f>IF($N1804="","",IF(Sync!$O1804="",0,Sync!$O1804))</f>
        <v/>
      </c>
      <c r="V1804" t="str">
        <f>IF($N1804="","",Sync!$L1804)</f>
        <v/>
      </c>
      <c r="W1804" t="str">
        <f>IF($N1804="","",Sync!$P1804)</f>
        <v/>
      </c>
    </row>
    <row r="1805" spans="14:23" x14ac:dyDescent="0.2">
      <c r="N1805" t="str">
        <f>IF(OR(Sync!$M1805="",$Q1805="",$Q1805="نامعتبر"),"",Sync!$M1805)</f>
        <v/>
      </c>
      <c r="O1805" t="str">
        <f t="shared" si="148"/>
        <v/>
      </c>
      <c r="P1805" t="str">
        <f>IF($N1805="","",LEFT($Q1805,4)&amp;MID($Q1805,6,2)&amp;RIGHT($Q1805,2)&amp;IF(Sync!$K1805="","0000",IF(AND(ISNUMBER(Sync!$K1805),Sync!$K1805&gt;=0,Sync!$K1805&lt;1),RIGHT("00"&amp;HOUR(Sync!$K1805),2)&amp;RIGHT("00"&amp;MINUTE(Sync!$K1805),2),IFERROR(RIGHT("00"&amp;VALUE(LEFT(Sync!$K1805,FIND(":",Sync!$K1805)-1)),2)&amp;RIGHT("00"&amp;VALUE(MID(Sync!$K1805,FIND(":",Sync!$K1805)+1,2)),2),"0000")))&amp;"|"&amp;"2"&amp;RIGHT("00000"&amp;1800,5))</f>
        <v/>
      </c>
      <c r="Q1805" t="str">
        <f>IF(Sync!$J1805="","",IF(ISNUMBER(Sync!$J1805),IF(AND(Sync!$J1805&gt;=10000101,Sync!$J1805&lt;=99991231),INT(Sync!$J1805/10000)&amp;"/"&amp;RIGHT("00"&amp;INT(MOD(Sync!$J1805,10000)/100),2)&amp;"/"&amp;RIGHT("00"&amp;MOD(Sync!$J1805,100),2),"نامعتبر"),IF(LEN(Sync!$J1805)=10,Sync!$J1805,"نامعتبر")))</f>
        <v/>
      </c>
      <c r="R1805" t="str">
        <f t="shared" si="149"/>
        <v/>
      </c>
      <c r="S1805" t="str">
        <f t="shared" si="150"/>
        <v/>
      </c>
      <c r="T1805" t="str">
        <f>IF($N1805="","",IF(Sync!$N1805="",0,Sync!$N1805))</f>
        <v/>
      </c>
      <c r="U1805" t="str">
        <f>IF($N1805="","",IF(Sync!$O1805="",0,Sync!$O1805))</f>
        <v/>
      </c>
      <c r="V1805" t="str">
        <f>IF($N1805="","",Sync!$L1805)</f>
        <v/>
      </c>
      <c r="W1805" t="str">
        <f>IF($N1805="","",Sync!$P1805)</f>
        <v/>
      </c>
    </row>
    <row r="1806" spans="14:23" x14ac:dyDescent="0.2">
      <c r="N1806" t="str">
        <f>IF(OR(Sync!$M1806="",$Q1806="",$Q1806="نامعتبر"),"",Sync!$M1806)</f>
        <v/>
      </c>
      <c r="O1806" t="str">
        <f t="shared" si="148"/>
        <v/>
      </c>
      <c r="P1806" t="str">
        <f>IF($N1806="","",LEFT($Q1806,4)&amp;MID($Q1806,6,2)&amp;RIGHT($Q1806,2)&amp;IF(Sync!$K1806="","0000",IF(AND(ISNUMBER(Sync!$K1806),Sync!$K1806&gt;=0,Sync!$K1806&lt;1),RIGHT("00"&amp;HOUR(Sync!$K1806),2)&amp;RIGHT("00"&amp;MINUTE(Sync!$K1806),2),IFERROR(RIGHT("00"&amp;VALUE(LEFT(Sync!$K1806,FIND(":",Sync!$K1806)-1)),2)&amp;RIGHT("00"&amp;VALUE(MID(Sync!$K1806,FIND(":",Sync!$K1806)+1,2)),2),"0000")))&amp;"|"&amp;"2"&amp;RIGHT("00000"&amp;1801,5))</f>
        <v/>
      </c>
      <c r="Q1806" t="str">
        <f>IF(Sync!$J1806="","",IF(ISNUMBER(Sync!$J1806),IF(AND(Sync!$J1806&gt;=10000101,Sync!$J1806&lt;=99991231),INT(Sync!$J1806/10000)&amp;"/"&amp;RIGHT("00"&amp;INT(MOD(Sync!$J1806,10000)/100),2)&amp;"/"&amp;RIGHT("00"&amp;MOD(Sync!$J1806,100),2),"نامعتبر"),IF(LEN(Sync!$J1806)=10,Sync!$J1806,"نامعتبر")))</f>
        <v/>
      </c>
      <c r="R1806" t="str">
        <f t="shared" si="149"/>
        <v/>
      </c>
      <c r="S1806" t="str">
        <f t="shared" si="150"/>
        <v/>
      </c>
      <c r="T1806" t="str">
        <f>IF($N1806="","",IF(Sync!$N1806="",0,Sync!$N1806))</f>
        <v/>
      </c>
      <c r="U1806" t="str">
        <f>IF($N1806="","",IF(Sync!$O1806="",0,Sync!$O1806))</f>
        <v/>
      </c>
      <c r="V1806" t="str">
        <f>IF($N1806="","",Sync!$L1806)</f>
        <v/>
      </c>
      <c r="W1806" t="str">
        <f>IF($N1806="","",Sync!$P1806)</f>
        <v/>
      </c>
    </row>
    <row r="1807" spans="14:23" x14ac:dyDescent="0.2">
      <c r="N1807" t="str">
        <f>IF(OR(Sync!$M1807="",$Q1807="",$Q1807="نامعتبر"),"",Sync!$M1807)</f>
        <v/>
      </c>
      <c r="O1807" t="str">
        <f t="shared" si="148"/>
        <v/>
      </c>
      <c r="P1807" t="str">
        <f>IF($N1807="","",LEFT($Q1807,4)&amp;MID($Q1807,6,2)&amp;RIGHT($Q1807,2)&amp;IF(Sync!$K1807="","0000",IF(AND(ISNUMBER(Sync!$K1807),Sync!$K1807&gt;=0,Sync!$K1807&lt;1),RIGHT("00"&amp;HOUR(Sync!$K1807),2)&amp;RIGHT("00"&amp;MINUTE(Sync!$K1807),2),IFERROR(RIGHT("00"&amp;VALUE(LEFT(Sync!$K1807,FIND(":",Sync!$K1807)-1)),2)&amp;RIGHT("00"&amp;VALUE(MID(Sync!$K1807,FIND(":",Sync!$K1807)+1,2)),2),"0000")))&amp;"|"&amp;"2"&amp;RIGHT("00000"&amp;1802,5))</f>
        <v/>
      </c>
      <c r="Q1807" t="str">
        <f>IF(Sync!$J1807="","",IF(ISNUMBER(Sync!$J1807),IF(AND(Sync!$J1807&gt;=10000101,Sync!$J1807&lt;=99991231),INT(Sync!$J1807/10000)&amp;"/"&amp;RIGHT("00"&amp;INT(MOD(Sync!$J1807,10000)/100),2)&amp;"/"&amp;RIGHT("00"&amp;MOD(Sync!$J1807,100),2),"نامعتبر"),IF(LEN(Sync!$J1807)=10,Sync!$J1807,"نامعتبر")))</f>
        <v/>
      </c>
      <c r="R1807" t="str">
        <f t="shared" si="149"/>
        <v/>
      </c>
      <c r="S1807" t="str">
        <f t="shared" si="150"/>
        <v/>
      </c>
      <c r="T1807" t="str">
        <f>IF($N1807="","",IF(Sync!$N1807="",0,Sync!$N1807))</f>
        <v/>
      </c>
      <c r="U1807" t="str">
        <f>IF($N1807="","",IF(Sync!$O1807="",0,Sync!$O1807))</f>
        <v/>
      </c>
      <c r="V1807" t="str">
        <f>IF($N1807="","",Sync!$L1807)</f>
        <v/>
      </c>
      <c r="W1807" t="str">
        <f>IF($N1807="","",Sync!$P1807)</f>
        <v/>
      </c>
    </row>
    <row r="1808" spans="14:23" x14ac:dyDescent="0.2">
      <c r="N1808" t="str">
        <f>IF(OR(Sync!$M1808="",$Q1808="",$Q1808="نامعتبر"),"",Sync!$M1808)</f>
        <v/>
      </c>
      <c r="O1808" t="str">
        <f t="shared" si="148"/>
        <v/>
      </c>
      <c r="P1808" t="str">
        <f>IF($N1808="","",LEFT($Q1808,4)&amp;MID($Q1808,6,2)&amp;RIGHT($Q1808,2)&amp;IF(Sync!$K1808="","0000",IF(AND(ISNUMBER(Sync!$K1808),Sync!$K1808&gt;=0,Sync!$K1808&lt;1),RIGHT("00"&amp;HOUR(Sync!$K1808),2)&amp;RIGHT("00"&amp;MINUTE(Sync!$K1808),2),IFERROR(RIGHT("00"&amp;VALUE(LEFT(Sync!$K1808,FIND(":",Sync!$K1808)-1)),2)&amp;RIGHT("00"&amp;VALUE(MID(Sync!$K1808,FIND(":",Sync!$K1808)+1,2)),2),"0000")))&amp;"|"&amp;"2"&amp;RIGHT("00000"&amp;1803,5))</f>
        <v/>
      </c>
      <c r="Q1808" t="str">
        <f>IF(Sync!$J1808="","",IF(ISNUMBER(Sync!$J1808),IF(AND(Sync!$J1808&gt;=10000101,Sync!$J1808&lt;=99991231),INT(Sync!$J1808/10000)&amp;"/"&amp;RIGHT("00"&amp;INT(MOD(Sync!$J1808,10000)/100),2)&amp;"/"&amp;RIGHT("00"&amp;MOD(Sync!$J1808,100),2),"نامعتبر"),IF(LEN(Sync!$J1808)=10,Sync!$J1808,"نامعتبر")))</f>
        <v/>
      </c>
      <c r="R1808" t="str">
        <f t="shared" si="149"/>
        <v/>
      </c>
      <c r="S1808" t="str">
        <f t="shared" si="150"/>
        <v/>
      </c>
      <c r="T1808" t="str">
        <f>IF($N1808="","",IF(Sync!$N1808="",0,Sync!$N1808))</f>
        <v/>
      </c>
      <c r="U1808" t="str">
        <f>IF($N1808="","",IF(Sync!$O1808="",0,Sync!$O1808))</f>
        <v/>
      </c>
      <c r="V1808" t="str">
        <f>IF($N1808="","",Sync!$L1808)</f>
        <v/>
      </c>
      <c r="W1808" t="str">
        <f>IF($N1808="","",Sync!$P1808)</f>
        <v/>
      </c>
    </row>
    <row r="1809" spans="14:23" x14ac:dyDescent="0.2">
      <c r="N1809" t="str">
        <f>IF(OR(Sync!$M1809="",$Q1809="",$Q1809="نامعتبر"),"",Sync!$M1809)</f>
        <v/>
      </c>
      <c r="O1809" t="str">
        <f t="shared" si="148"/>
        <v/>
      </c>
      <c r="P1809" t="str">
        <f>IF($N1809="","",LEFT($Q1809,4)&amp;MID($Q1809,6,2)&amp;RIGHT($Q1809,2)&amp;IF(Sync!$K1809="","0000",IF(AND(ISNUMBER(Sync!$K1809),Sync!$K1809&gt;=0,Sync!$K1809&lt;1),RIGHT("00"&amp;HOUR(Sync!$K1809),2)&amp;RIGHT("00"&amp;MINUTE(Sync!$K1809),2),IFERROR(RIGHT("00"&amp;VALUE(LEFT(Sync!$K1809,FIND(":",Sync!$K1809)-1)),2)&amp;RIGHT("00"&amp;VALUE(MID(Sync!$K1809,FIND(":",Sync!$K1809)+1,2)),2),"0000")))&amp;"|"&amp;"2"&amp;RIGHT("00000"&amp;1804,5))</f>
        <v/>
      </c>
      <c r="Q1809" t="str">
        <f>IF(Sync!$J1809="","",IF(ISNUMBER(Sync!$J1809),IF(AND(Sync!$J1809&gt;=10000101,Sync!$J1809&lt;=99991231),INT(Sync!$J1809/10000)&amp;"/"&amp;RIGHT("00"&amp;INT(MOD(Sync!$J1809,10000)/100),2)&amp;"/"&amp;RIGHT("00"&amp;MOD(Sync!$J1809,100),2),"نامعتبر"),IF(LEN(Sync!$J1809)=10,Sync!$J1809,"نامعتبر")))</f>
        <v/>
      </c>
      <c r="R1809" t="str">
        <f t="shared" si="149"/>
        <v/>
      </c>
      <c r="S1809" t="str">
        <f t="shared" si="150"/>
        <v/>
      </c>
      <c r="T1809" t="str">
        <f>IF($N1809="","",IF(Sync!$N1809="",0,Sync!$N1809))</f>
        <v/>
      </c>
      <c r="U1809" t="str">
        <f>IF($N1809="","",IF(Sync!$O1809="",0,Sync!$O1809))</f>
        <v/>
      </c>
      <c r="V1809" t="str">
        <f>IF($N1809="","",Sync!$L1809)</f>
        <v/>
      </c>
      <c r="W1809" t="str">
        <f>IF($N1809="","",Sync!$P1809)</f>
        <v/>
      </c>
    </row>
    <row r="1810" spans="14:23" x14ac:dyDescent="0.2">
      <c r="N1810" t="str">
        <f>IF(OR(Sync!$M1810="",$Q1810="",$Q1810="نامعتبر"),"",Sync!$M1810)</f>
        <v/>
      </c>
      <c r="O1810" t="str">
        <f t="shared" si="148"/>
        <v/>
      </c>
      <c r="P1810" t="str">
        <f>IF($N1810="","",LEFT($Q1810,4)&amp;MID($Q1810,6,2)&amp;RIGHT($Q1810,2)&amp;IF(Sync!$K1810="","0000",IF(AND(ISNUMBER(Sync!$K1810),Sync!$K1810&gt;=0,Sync!$K1810&lt;1),RIGHT("00"&amp;HOUR(Sync!$K1810),2)&amp;RIGHT("00"&amp;MINUTE(Sync!$K1810),2),IFERROR(RIGHT("00"&amp;VALUE(LEFT(Sync!$K1810,FIND(":",Sync!$K1810)-1)),2)&amp;RIGHT("00"&amp;VALUE(MID(Sync!$K1810,FIND(":",Sync!$K1810)+1,2)),2),"0000")))&amp;"|"&amp;"2"&amp;RIGHT("00000"&amp;1805,5))</f>
        <v/>
      </c>
      <c r="Q1810" t="str">
        <f>IF(Sync!$J1810="","",IF(ISNUMBER(Sync!$J1810),IF(AND(Sync!$J1810&gt;=10000101,Sync!$J1810&lt;=99991231),INT(Sync!$J1810/10000)&amp;"/"&amp;RIGHT("00"&amp;INT(MOD(Sync!$J1810,10000)/100),2)&amp;"/"&amp;RIGHT("00"&amp;MOD(Sync!$J1810,100),2),"نامعتبر"),IF(LEN(Sync!$J1810)=10,Sync!$J1810,"نامعتبر")))</f>
        <v/>
      </c>
      <c r="R1810" t="str">
        <f t="shared" si="149"/>
        <v/>
      </c>
      <c r="S1810" t="str">
        <f t="shared" si="150"/>
        <v/>
      </c>
      <c r="T1810" t="str">
        <f>IF($N1810="","",IF(Sync!$N1810="",0,Sync!$N1810))</f>
        <v/>
      </c>
      <c r="U1810" t="str">
        <f>IF($N1810="","",IF(Sync!$O1810="",0,Sync!$O1810))</f>
        <v/>
      </c>
      <c r="V1810" t="str">
        <f>IF($N1810="","",Sync!$L1810)</f>
        <v/>
      </c>
      <c r="W1810" t="str">
        <f>IF($N1810="","",Sync!$P1810)</f>
        <v/>
      </c>
    </row>
    <row r="1811" spans="14:23" x14ac:dyDescent="0.2">
      <c r="N1811" t="str">
        <f>IF(OR(Sync!$M1811="",$Q1811="",$Q1811="نامعتبر"),"",Sync!$M1811)</f>
        <v/>
      </c>
      <c r="O1811" t="str">
        <f t="shared" si="148"/>
        <v/>
      </c>
      <c r="P1811" t="str">
        <f>IF($N1811="","",LEFT($Q1811,4)&amp;MID($Q1811,6,2)&amp;RIGHT($Q1811,2)&amp;IF(Sync!$K1811="","0000",IF(AND(ISNUMBER(Sync!$K1811),Sync!$K1811&gt;=0,Sync!$K1811&lt;1),RIGHT("00"&amp;HOUR(Sync!$K1811),2)&amp;RIGHT("00"&amp;MINUTE(Sync!$K1811),2),IFERROR(RIGHT("00"&amp;VALUE(LEFT(Sync!$K1811,FIND(":",Sync!$K1811)-1)),2)&amp;RIGHT("00"&amp;VALUE(MID(Sync!$K1811,FIND(":",Sync!$K1811)+1,2)),2),"0000")))&amp;"|"&amp;"2"&amp;RIGHT("00000"&amp;1806,5))</f>
        <v/>
      </c>
      <c r="Q1811" t="str">
        <f>IF(Sync!$J1811="","",IF(ISNUMBER(Sync!$J1811),IF(AND(Sync!$J1811&gt;=10000101,Sync!$J1811&lt;=99991231),INT(Sync!$J1811/10000)&amp;"/"&amp;RIGHT("00"&amp;INT(MOD(Sync!$J1811,10000)/100),2)&amp;"/"&amp;RIGHT("00"&amp;MOD(Sync!$J1811,100),2),"نامعتبر"),IF(LEN(Sync!$J1811)=10,Sync!$J1811,"نامعتبر")))</f>
        <v/>
      </c>
      <c r="R1811" t="str">
        <f t="shared" si="149"/>
        <v/>
      </c>
      <c r="S1811" t="str">
        <f t="shared" si="150"/>
        <v/>
      </c>
      <c r="T1811" t="str">
        <f>IF($N1811="","",IF(Sync!$N1811="",0,Sync!$N1811))</f>
        <v/>
      </c>
      <c r="U1811" t="str">
        <f>IF($N1811="","",IF(Sync!$O1811="",0,Sync!$O1811))</f>
        <v/>
      </c>
      <c r="V1811" t="str">
        <f>IF($N1811="","",Sync!$L1811)</f>
        <v/>
      </c>
      <c r="W1811" t="str">
        <f>IF($N1811="","",Sync!$P1811)</f>
        <v/>
      </c>
    </row>
    <row r="1812" spans="14:23" x14ac:dyDescent="0.2">
      <c r="N1812" t="str">
        <f>IF(OR(Sync!$M1812="",$Q1812="",$Q1812="نامعتبر"),"",Sync!$M1812)</f>
        <v/>
      </c>
      <c r="O1812" t="str">
        <f t="shared" si="148"/>
        <v/>
      </c>
      <c r="P1812" t="str">
        <f>IF($N1812="","",LEFT($Q1812,4)&amp;MID($Q1812,6,2)&amp;RIGHT($Q1812,2)&amp;IF(Sync!$K1812="","0000",IF(AND(ISNUMBER(Sync!$K1812),Sync!$K1812&gt;=0,Sync!$K1812&lt;1),RIGHT("00"&amp;HOUR(Sync!$K1812),2)&amp;RIGHT("00"&amp;MINUTE(Sync!$K1812),2),IFERROR(RIGHT("00"&amp;VALUE(LEFT(Sync!$K1812,FIND(":",Sync!$K1812)-1)),2)&amp;RIGHT("00"&amp;VALUE(MID(Sync!$K1812,FIND(":",Sync!$K1812)+1,2)),2),"0000")))&amp;"|"&amp;"2"&amp;RIGHT("00000"&amp;1807,5))</f>
        <v/>
      </c>
      <c r="Q1812" t="str">
        <f>IF(Sync!$J1812="","",IF(ISNUMBER(Sync!$J1812),IF(AND(Sync!$J1812&gt;=10000101,Sync!$J1812&lt;=99991231),INT(Sync!$J1812/10000)&amp;"/"&amp;RIGHT("00"&amp;INT(MOD(Sync!$J1812,10000)/100),2)&amp;"/"&amp;RIGHT("00"&amp;MOD(Sync!$J1812,100),2),"نامعتبر"),IF(LEN(Sync!$J1812)=10,Sync!$J1812,"نامعتبر")))</f>
        <v/>
      </c>
      <c r="R1812" t="str">
        <f t="shared" si="149"/>
        <v/>
      </c>
      <c r="S1812" t="str">
        <f t="shared" si="150"/>
        <v/>
      </c>
      <c r="T1812" t="str">
        <f>IF($N1812="","",IF(Sync!$N1812="",0,Sync!$N1812))</f>
        <v/>
      </c>
      <c r="U1812" t="str">
        <f>IF($N1812="","",IF(Sync!$O1812="",0,Sync!$O1812))</f>
        <v/>
      </c>
      <c r="V1812" t="str">
        <f>IF($N1812="","",Sync!$L1812)</f>
        <v/>
      </c>
      <c r="W1812" t="str">
        <f>IF($N1812="","",Sync!$P1812)</f>
        <v/>
      </c>
    </row>
    <row r="1813" spans="14:23" x14ac:dyDescent="0.2">
      <c r="N1813" t="str">
        <f>IF(OR(Sync!$M1813="",$Q1813="",$Q1813="نامعتبر"),"",Sync!$M1813)</f>
        <v/>
      </c>
      <c r="O1813" t="str">
        <f t="shared" si="148"/>
        <v/>
      </c>
      <c r="P1813" t="str">
        <f>IF($N1813="","",LEFT($Q1813,4)&amp;MID($Q1813,6,2)&amp;RIGHT($Q1813,2)&amp;IF(Sync!$K1813="","0000",IF(AND(ISNUMBER(Sync!$K1813),Sync!$K1813&gt;=0,Sync!$K1813&lt;1),RIGHT("00"&amp;HOUR(Sync!$K1813),2)&amp;RIGHT("00"&amp;MINUTE(Sync!$K1813),2),IFERROR(RIGHT("00"&amp;VALUE(LEFT(Sync!$K1813,FIND(":",Sync!$K1813)-1)),2)&amp;RIGHT("00"&amp;VALUE(MID(Sync!$K1813,FIND(":",Sync!$K1813)+1,2)),2),"0000")))&amp;"|"&amp;"2"&amp;RIGHT("00000"&amp;1808,5))</f>
        <v/>
      </c>
      <c r="Q1813" t="str">
        <f>IF(Sync!$J1813="","",IF(ISNUMBER(Sync!$J1813),IF(AND(Sync!$J1813&gt;=10000101,Sync!$J1813&lt;=99991231),INT(Sync!$J1813/10000)&amp;"/"&amp;RIGHT("00"&amp;INT(MOD(Sync!$J1813,10000)/100),2)&amp;"/"&amp;RIGHT("00"&amp;MOD(Sync!$J1813,100),2),"نامعتبر"),IF(LEN(Sync!$J1813)=10,Sync!$J1813,"نامعتبر")))</f>
        <v/>
      </c>
      <c r="R1813" t="str">
        <f t="shared" si="149"/>
        <v/>
      </c>
      <c r="S1813" t="str">
        <f t="shared" si="150"/>
        <v/>
      </c>
      <c r="T1813" t="str">
        <f>IF($N1813="","",IF(Sync!$N1813="",0,Sync!$N1813))</f>
        <v/>
      </c>
      <c r="U1813" t="str">
        <f>IF($N1813="","",IF(Sync!$O1813="",0,Sync!$O1813))</f>
        <v/>
      </c>
      <c r="V1813" t="str">
        <f>IF($N1813="","",Sync!$L1813)</f>
        <v/>
      </c>
      <c r="W1813" t="str">
        <f>IF($N1813="","",Sync!$P1813)</f>
        <v/>
      </c>
    </row>
    <row r="1814" spans="14:23" x14ac:dyDescent="0.2">
      <c r="N1814" t="str">
        <f>IF(OR(Sync!$M1814="",$Q1814="",$Q1814="نامعتبر"),"",Sync!$M1814)</f>
        <v/>
      </c>
      <c r="O1814" t="str">
        <f t="shared" si="148"/>
        <v/>
      </c>
      <c r="P1814" t="str">
        <f>IF($N1814="","",LEFT($Q1814,4)&amp;MID($Q1814,6,2)&amp;RIGHT($Q1814,2)&amp;IF(Sync!$K1814="","0000",IF(AND(ISNUMBER(Sync!$K1814),Sync!$K1814&gt;=0,Sync!$K1814&lt;1),RIGHT("00"&amp;HOUR(Sync!$K1814),2)&amp;RIGHT("00"&amp;MINUTE(Sync!$K1814),2),IFERROR(RIGHT("00"&amp;VALUE(LEFT(Sync!$K1814,FIND(":",Sync!$K1814)-1)),2)&amp;RIGHT("00"&amp;VALUE(MID(Sync!$K1814,FIND(":",Sync!$K1814)+1,2)),2),"0000")))&amp;"|"&amp;"2"&amp;RIGHT("00000"&amp;1809,5))</f>
        <v/>
      </c>
      <c r="Q1814" t="str">
        <f>IF(Sync!$J1814="","",IF(ISNUMBER(Sync!$J1814),IF(AND(Sync!$J1814&gt;=10000101,Sync!$J1814&lt;=99991231),INT(Sync!$J1814/10000)&amp;"/"&amp;RIGHT("00"&amp;INT(MOD(Sync!$J1814,10000)/100),2)&amp;"/"&amp;RIGHT("00"&amp;MOD(Sync!$J1814,100),2),"نامعتبر"),IF(LEN(Sync!$J1814)=10,Sync!$J1814,"نامعتبر")))</f>
        <v/>
      </c>
      <c r="R1814" t="str">
        <f t="shared" si="149"/>
        <v/>
      </c>
      <c r="S1814" t="str">
        <f t="shared" si="150"/>
        <v/>
      </c>
      <c r="T1814" t="str">
        <f>IF($N1814="","",IF(Sync!$N1814="",0,Sync!$N1814))</f>
        <v/>
      </c>
      <c r="U1814" t="str">
        <f>IF($N1814="","",IF(Sync!$O1814="",0,Sync!$O1814))</f>
        <v/>
      </c>
      <c r="V1814" t="str">
        <f>IF($N1814="","",Sync!$L1814)</f>
        <v/>
      </c>
      <c r="W1814" t="str">
        <f>IF($N1814="","",Sync!$P1814)</f>
        <v/>
      </c>
    </row>
    <row r="1815" spans="14:23" x14ac:dyDescent="0.2">
      <c r="N1815" t="str">
        <f>IF(OR(Sync!$M1815="",$Q1815="",$Q1815="نامعتبر"),"",Sync!$M1815)</f>
        <v/>
      </c>
      <c r="O1815" t="str">
        <f t="shared" si="148"/>
        <v/>
      </c>
      <c r="P1815" t="str">
        <f>IF($N1815="","",LEFT($Q1815,4)&amp;MID($Q1815,6,2)&amp;RIGHT($Q1815,2)&amp;IF(Sync!$K1815="","0000",IF(AND(ISNUMBER(Sync!$K1815),Sync!$K1815&gt;=0,Sync!$K1815&lt;1),RIGHT("00"&amp;HOUR(Sync!$K1815),2)&amp;RIGHT("00"&amp;MINUTE(Sync!$K1815),2),IFERROR(RIGHT("00"&amp;VALUE(LEFT(Sync!$K1815,FIND(":",Sync!$K1815)-1)),2)&amp;RIGHT("00"&amp;VALUE(MID(Sync!$K1815,FIND(":",Sync!$K1815)+1,2)),2),"0000")))&amp;"|"&amp;"2"&amp;RIGHT("00000"&amp;1810,5))</f>
        <v/>
      </c>
      <c r="Q1815" t="str">
        <f>IF(Sync!$J1815="","",IF(ISNUMBER(Sync!$J1815),IF(AND(Sync!$J1815&gt;=10000101,Sync!$J1815&lt;=99991231),INT(Sync!$J1815/10000)&amp;"/"&amp;RIGHT("00"&amp;INT(MOD(Sync!$J1815,10000)/100),2)&amp;"/"&amp;RIGHT("00"&amp;MOD(Sync!$J1815,100),2),"نامعتبر"),IF(LEN(Sync!$J1815)=10,Sync!$J1815,"نامعتبر")))</f>
        <v/>
      </c>
      <c r="R1815" t="str">
        <f t="shared" si="149"/>
        <v/>
      </c>
      <c r="S1815" t="str">
        <f t="shared" si="150"/>
        <v/>
      </c>
      <c r="T1815" t="str">
        <f>IF($N1815="","",IF(Sync!$N1815="",0,Sync!$N1815))</f>
        <v/>
      </c>
      <c r="U1815" t="str">
        <f>IF($N1815="","",IF(Sync!$O1815="",0,Sync!$O1815))</f>
        <v/>
      </c>
      <c r="V1815" t="str">
        <f>IF($N1815="","",Sync!$L1815)</f>
        <v/>
      </c>
      <c r="W1815" t="str">
        <f>IF($N1815="","",Sync!$P1815)</f>
        <v/>
      </c>
    </row>
    <row r="1816" spans="14:23" x14ac:dyDescent="0.2">
      <c r="N1816" t="str">
        <f>IF(OR(Sync!$M1816="",$Q1816="",$Q1816="نامعتبر"),"",Sync!$M1816)</f>
        <v/>
      </c>
      <c r="O1816" t="str">
        <f t="shared" si="148"/>
        <v/>
      </c>
      <c r="P1816" t="str">
        <f>IF($N1816="","",LEFT($Q1816,4)&amp;MID($Q1816,6,2)&amp;RIGHT($Q1816,2)&amp;IF(Sync!$K1816="","0000",IF(AND(ISNUMBER(Sync!$K1816),Sync!$K1816&gt;=0,Sync!$K1816&lt;1),RIGHT("00"&amp;HOUR(Sync!$K1816),2)&amp;RIGHT("00"&amp;MINUTE(Sync!$K1816),2),IFERROR(RIGHT("00"&amp;VALUE(LEFT(Sync!$K1816,FIND(":",Sync!$K1816)-1)),2)&amp;RIGHT("00"&amp;VALUE(MID(Sync!$K1816,FIND(":",Sync!$K1816)+1,2)),2),"0000")))&amp;"|"&amp;"2"&amp;RIGHT("00000"&amp;1811,5))</f>
        <v/>
      </c>
      <c r="Q1816" t="str">
        <f>IF(Sync!$J1816="","",IF(ISNUMBER(Sync!$J1816),IF(AND(Sync!$J1816&gt;=10000101,Sync!$J1816&lt;=99991231),INT(Sync!$J1816/10000)&amp;"/"&amp;RIGHT("00"&amp;INT(MOD(Sync!$J1816,10000)/100),2)&amp;"/"&amp;RIGHT("00"&amp;MOD(Sync!$J1816,100),2),"نامعتبر"),IF(LEN(Sync!$J1816)=10,Sync!$J1816,"نامعتبر")))</f>
        <v/>
      </c>
      <c r="R1816" t="str">
        <f t="shared" si="149"/>
        <v/>
      </c>
      <c r="S1816" t="str">
        <f t="shared" si="150"/>
        <v/>
      </c>
      <c r="T1816" t="str">
        <f>IF($N1816="","",IF(Sync!$N1816="",0,Sync!$N1816))</f>
        <v/>
      </c>
      <c r="U1816" t="str">
        <f>IF($N1816="","",IF(Sync!$O1816="",0,Sync!$O1816))</f>
        <v/>
      </c>
      <c r="V1816" t="str">
        <f>IF($N1816="","",Sync!$L1816)</f>
        <v/>
      </c>
      <c r="W1816" t="str">
        <f>IF($N1816="","",Sync!$P1816)</f>
        <v/>
      </c>
    </row>
    <row r="1817" spans="14:23" x14ac:dyDescent="0.2">
      <c r="N1817" t="str">
        <f>IF(OR(Sync!$M1817="",$Q1817="",$Q1817="نامعتبر"),"",Sync!$M1817)</f>
        <v/>
      </c>
      <c r="O1817" t="str">
        <f t="shared" si="148"/>
        <v/>
      </c>
      <c r="P1817" t="str">
        <f>IF($N1817="","",LEFT($Q1817,4)&amp;MID($Q1817,6,2)&amp;RIGHT($Q1817,2)&amp;IF(Sync!$K1817="","0000",IF(AND(ISNUMBER(Sync!$K1817),Sync!$K1817&gt;=0,Sync!$K1817&lt;1),RIGHT("00"&amp;HOUR(Sync!$K1817),2)&amp;RIGHT("00"&amp;MINUTE(Sync!$K1817),2),IFERROR(RIGHT("00"&amp;VALUE(LEFT(Sync!$K1817,FIND(":",Sync!$K1817)-1)),2)&amp;RIGHT("00"&amp;VALUE(MID(Sync!$K1817,FIND(":",Sync!$K1817)+1,2)),2),"0000")))&amp;"|"&amp;"2"&amp;RIGHT("00000"&amp;1812,5))</f>
        <v/>
      </c>
      <c r="Q1817" t="str">
        <f>IF(Sync!$J1817="","",IF(ISNUMBER(Sync!$J1817),IF(AND(Sync!$J1817&gt;=10000101,Sync!$J1817&lt;=99991231),INT(Sync!$J1817/10000)&amp;"/"&amp;RIGHT("00"&amp;INT(MOD(Sync!$J1817,10000)/100),2)&amp;"/"&amp;RIGHT("00"&amp;MOD(Sync!$J1817,100),2),"نامعتبر"),IF(LEN(Sync!$J1817)=10,Sync!$J1817,"نامعتبر")))</f>
        <v/>
      </c>
      <c r="R1817" t="str">
        <f t="shared" si="149"/>
        <v/>
      </c>
      <c r="S1817" t="str">
        <f t="shared" si="150"/>
        <v/>
      </c>
      <c r="T1817" t="str">
        <f>IF($N1817="","",IF(Sync!$N1817="",0,Sync!$N1817))</f>
        <v/>
      </c>
      <c r="U1817" t="str">
        <f>IF($N1817="","",IF(Sync!$O1817="",0,Sync!$O1817))</f>
        <v/>
      </c>
      <c r="V1817" t="str">
        <f>IF($N1817="","",Sync!$L1817)</f>
        <v/>
      </c>
      <c r="W1817" t="str">
        <f>IF($N1817="","",Sync!$P1817)</f>
        <v/>
      </c>
    </row>
    <row r="1818" spans="14:23" x14ac:dyDescent="0.2">
      <c r="N1818" t="str">
        <f>IF(OR(Sync!$M1818="",$Q1818="",$Q1818="نامعتبر"),"",Sync!$M1818)</f>
        <v/>
      </c>
      <c r="O1818" t="str">
        <f t="shared" si="148"/>
        <v/>
      </c>
      <c r="P1818" t="str">
        <f>IF($N1818="","",LEFT($Q1818,4)&amp;MID($Q1818,6,2)&amp;RIGHT($Q1818,2)&amp;IF(Sync!$K1818="","0000",IF(AND(ISNUMBER(Sync!$K1818),Sync!$K1818&gt;=0,Sync!$K1818&lt;1),RIGHT("00"&amp;HOUR(Sync!$K1818),2)&amp;RIGHT("00"&amp;MINUTE(Sync!$K1818),2),IFERROR(RIGHT("00"&amp;VALUE(LEFT(Sync!$K1818,FIND(":",Sync!$K1818)-1)),2)&amp;RIGHT("00"&amp;VALUE(MID(Sync!$K1818,FIND(":",Sync!$K1818)+1,2)),2),"0000")))&amp;"|"&amp;"2"&amp;RIGHT("00000"&amp;1813,5))</f>
        <v/>
      </c>
      <c r="Q1818" t="str">
        <f>IF(Sync!$J1818="","",IF(ISNUMBER(Sync!$J1818),IF(AND(Sync!$J1818&gt;=10000101,Sync!$J1818&lt;=99991231),INT(Sync!$J1818/10000)&amp;"/"&amp;RIGHT("00"&amp;INT(MOD(Sync!$J1818,10000)/100),2)&amp;"/"&amp;RIGHT("00"&amp;MOD(Sync!$J1818,100),2),"نامعتبر"),IF(LEN(Sync!$J1818)=10,Sync!$J1818,"نامعتبر")))</f>
        <v/>
      </c>
      <c r="R1818" t="str">
        <f t="shared" si="149"/>
        <v/>
      </c>
      <c r="S1818" t="str">
        <f t="shared" si="150"/>
        <v/>
      </c>
      <c r="T1818" t="str">
        <f>IF($N1818="","",IF(Sync!$N1818="",0,Sync!$N1818))</f>
        <v/>
      </c>
      <c r="U1818" t="str">
        <f>IF($N1818="","",IF(Sync!$O1818="",0,Sync!$O1818))</f>
        <v/>
      </c>
      <c r="V1818" t="str">
        <f>IF($N1818="","",Sync!$L1818)</f>
        <v/>
      </c>
      <c r="W1818" t="str">
        <f>IF($N1818="","",Sync!$P1818)</f>
        <v/>
      </c>
    </row>
    <row r="1819" spans="14:23" x14ac:dyDescent="0.2">
      <c r="N1819" t="str">
        <f>IF(OR(Sync!$M1819="",$Q1819="",$Q1819="نامعتبر"),"",Sync!$M1819)</f>
        <v/>
      </c>
      <c r="O1819" t="str">
        <f t="shared" si="148"/>
        <v/>
      </c>
      <c r="P1819" t="str">
        <f>IF($N1819="","",LEFT($Q1819,4)&amp;MID($Q1819,6,2)&amp;RIGHT($Q1819,2)&amp;IF(Sync!$K1819="","0000",IF(AND(ISNUMBER(Sync!$K1819),Sync!$K1819&gt;=0,Sync!$K1819&lt;1),RIGHT("00"&amp;HOUR(Sync!$K1819),2)&amp;RIGHT("00"&amp;MINUTE(Sync!$K1819),2),IFERROR(RIGHT("00"&amp;VALUE(LEFT(Sync!$K1819,FIND(":",Sync!$K1819)-1)),2)&amp;RIGHT("00"&amp;VALUE(MID(Sync!$K1819,FIND(":",Sync!$K1819)+1,2)),2),"0000")))&amp;"|"&amp;"2"&amp;RIGHT("00000"&amp;1814,5))</f>
        <v/>
      </c>
      <c r="Q1819" t="str">
        <f>IF(Sync!$J1819="","",IF(ISNUMBER(Sync!$J1819),IF(AND(Sync!$J1819&gt;=10000101,Sync!$J1819&lt;=99991231),INT(Sync!$J1819/10000)&amp;"/"&amp;RIGHT("00"&amp;INT(MOD(Sync!$J1819,10000)/100),2)&amp;"/"&amp;RIGHT("00"&amp;MOD(Sync!$J1819,100),2),"نامعتبر"),IF(LEN(Sync!$J1819)=10,Sync!$J1819,"نامعتبر")))</f>
        <v/>
      </c>
      <c r="R1819" t="str">
        <f t="shared" si="149"/>
        <v/>
      </c>
      <c r="S1819" t="str">
        <f t="shared" si="150"/>
        <v/>
      </c>
      <c r="T1819" t="str">
        <f>IF($N1819="","",IF(Sync!$N1819="",0,Sync!$N1819))</f>
        <v/>
      </c>
      <c r="U1819" t="str">
        <f>IF($N1819="","",IF(Sync!$O1819="",0,Sync!$O1819))</f>
        <v/>
      </c>
      <c r="V1819" t="str">
        <f>IF($N1819="","",Sync!$L1819)</f>
        <v/>
      </c>
      <c r="W1819" t="str">
        <f>IF($N1819="","",Sync!$P1819)</f>
        <v/>
      </c>
    </row>
    <row r="1820" spans="14:23" x14ac:dyDescent="0.2">
      <c r="N1820" t="str">
        <f>IF(OR(Sync!$M1820="",$Q1820="",$Q1820="نامعتبر"),"",Sync!$M1820)</f>
        <v/>
      </c>
      <c r="O1820" t="str">
        <f t="shared" si="148"/>
        <v/>
      </c>
      <c r="P1820" t="str">
        <f>IF($N1820="","",LEFT($Q1820,4)&amp;MID($Q1820,6,2)&amp;RIGHT($Q1820,2)&amp;IF(Sync!$K1820="","0000",IF(AND(ISNUMBER(Sync!$K1820),Sync!$K1820&gt;=0,Sync!$K1820&lt;1),RIGHT("00"&amp;HOUR(Sync!$K1820),2)&amp;RIGHT("00"&amp;MINUTE(Sync!$K1820),2),IFERROR(RIGHT("00"&amp;VALUE(LEFT(Sync!$K1820,FIND(":",Sync!$K1820)-1)),2)&amp;RIGHT("00"&amp;VALUE(MID(Sync!$K1820,FIND(":",Sync!$K1820)+1,2)),2),"0000")))&amp;"|"&amp;"2"&amp;RIGHT("00000"&amp;1815,5))</f>
        <v/>
      </c>
      <c r="Q1820" t="str">
        <f>IF(Sync!$J1820="","",IF(ISNUMBER(Sync!$J1820),IF(AND(Sync!$J1820&gt;=10000101,Sync!$J1820&lt;=99991231),INT(Sync!$J1820/10000)&amp;"/"&amp;RIGHT("00"&amp;INT(MOD(Sync!$J1820,10000)/100),2)&amp;"/"&amp;RIGHT("00"&amp;MOD(Sync!$J1820,100),2),"نامعتبر"),IF(LEN(Sync!$J1820)=10,Sync!$J1820,"نامعتبر")))</f>
        <v/>
      </c>
      <c r="R1820" t="str">
        <f t="shared" si="149"/>
        <v/>
      </c>
      <c r="S1820" t="str">
        <f t="shared" si="150"/>
        <v/>
      </c>
      <c r="T1820" t="str">
        <f>IF($N1820="","",IF(Sync!$N1820="",0,Sync!$N1820))</f>
        <v/>
      </c>
      <c r="U1820" t="str">
        <f>IF($N1820="","",IF(Sync!$O1820="",0,Sync!$O1820))</f>
        <v/>
      </c>
      <c r="V1820" t="str">
        <f>IF($N1820="","",Sync!$L1820)</f>
        <v/>
      </c>
      <c r="W1820" t="str">
        <f>IF($N1820="","",Sync!$P1820)</f>
        <v/>
      </c>
    </row>
    <row r="1821" spans="14:23" x14ac:dyDescent="0.2">
      <c r="N1821" t="str">
        <f>IF(OR(Sync!$M1821="",$Q1821="",$Q1821="نامعتبر"),"",Sync!$M1821)</f>
        <v/>
      </c>
      <c r="O1821" t="str">
        <f t="shared" si="148"/>
        <v/>
      </c>
      <c r="P1821" t="str">
        <f>IF($N1821="","",LEFT($Q1821,4)&amp;MID($Q1821,6,2)&amp;RIGHT($Q1821,2)&amp;IF(Sync!$K1821="","0000",IF(AND(ISNUMBER(Sync!$K1821),Sync!$K1821&gt;=0,Sync!$K1821&lt;1),RIGHT("00"&amp;HOUR(Sync!$K1821),2)&amp;RIGHT("00"&amp;MINUTE(Sync!$K1821),2),IFERROR(RIGHT("00"&amp;VALUE(LEFT(Sync!$K1821,FIND(":",Sync!$K1821)-1)),2)&amp;RIGHT("00"&amp;VALUE(MID(Sync!$K1821,FIND(":",Sync!$K1821)+1,2)),2),"0000")))&amp;"|"&amp;"2"&amp;RIGHT("00000"&amp;1816,5))</f>
        <v/>
      </c>
      <c r="Q1821" t="str">
        <f>IF(Sync!$J1821="","",IF(ISNUMBER(Sync!$J1821),IF(AND(Sync!$J1821&gt;=10000101,Sync!$J1821&lt;=99991231),INT(Sync!$J1821/10000)&amp;"/"&amp;RIGHT("00"&amp;INT(MOD(Sync!$J1821,10000)/100),2)&amp;"/"&amp;RIGHT("00"&amp;MOD(Sync!$J1821,100),2),"نامعتبر"),IF(LEN(Sync!$J1821)=10,Sync!$J1821,"نامعتبر")))</f>
        <v/>
      </c>
      <c r="R1821" t="str">
        <f t="shared" si="149"/>
        <v/>
      </c>
      <c r="S1821" t="str">
        <f t="shared" si="150"/>
        <v/>
      </c>
      <c r="T1821" t="str">
        <f>IF($N1821="","",IF(Sync!$N1821="",0,Sync!$N1821))</f>
        <v/>
      </c>
      <c r="U1821" t="str">
        <f>IF($N1821="","",IF(Sync!$O1821="",0,Sync!$O1821))</f>
        <v/>
      </c>
      <c r="V1821" t="str">
        <f>IF($N1821="","",Sync!$L1821)</f>
        <v/>
      </c>
      <c r="W1821" t="str">
        <f>IF($N1821="","",Sync!$P1821)</f>
        <v/>
      </c>
    </row>
    <row r="1822" spans="14:23" x14ac:dyDescent="0.2">
      <c r="N1822" t="str">
        <f>IF(OR(Sync!$M1822="",$Q1822="",$Q1822="نامعتبر"),"",Sync!$M1822)</f>
        <v/>
      </c>
      <c r="O1822" t="str">
        <f t="shared" si="148"/>
        <v/>
      </c>
      <c r="P1822" t="str">
        <f>IF($N1822="","",LEFT($Q1822,4)&amp;MID($Q1822,6,2)&amp;RIGHT($Q1822,2)&amp;IF(Sync!$K1822="","0000",IF(AND(ISNUMBER(Sync!$K1822),Sync!$K1822&gt;=0,Sync!$K1822&lt;1),RIGHT("00"&amp;HOUR(Sync!$K1822),2)&amp;RIGHT("00"&amp;MINUTE(Sync!$K1822),2),IFERROR(RIGHT("00"&amp;VALUE(LEFT(Sync!$K1822,FIND(":",Sync!$K1822)-1)),2)&amp;RIGHT("00"&amp;VALUE(MID(Sync!$K1822,FIND(":",Sync!$K1822)+1,2)),2),"0000")))&amp;"|"&amp;"2"&amp;RIGHT("00000"&amp;1817,5))</f>
        <v/>
      </c>
      <c r="Q1822" t="str">
        <f>IF(Sync!$J1822="","",IF(ISNUMBER(Sync!$J1822),IF(AND(Sync!$J1822&gt;=10000101,Sync!$J1822&lt;=99991231),INT(Sync!$J1822/10000)&amp;"/"&amp;RIGHT("00"&amp;INT(MOD(Sync!$J1822,10000)/100),2)&amp;"/"&amp;RIGHT("00"&amp;MOD(Sync!$J1822,100),2),"نامعتبر"),IF(LEN(Sync!$J1822)=10,Sync!$J1822,"نامعتبر")))</f>
        <v/>
      </c>
      <c r="R1822" t="str">
        <f t="shared" si="149"/>
        <v/>
      </c>
      <c r="S1822" t="str">
        <f t="shared" si="150"/>
        <v/>
      </c>
      <c r="T1822" t="str">
        <f>IF($N1822="","",IF(Sync!$N1822="",0,Sync!$N1822))</f>
        <v/>
      </c>
      <c r="U1822" t="str">
        <f>IF($N1822="","",IF(Sync!$O1822="",0,Sync!$O1822))</f>
        <v/>
      </c>
      <c r="V1822" t="str">
        <f>IF($N1822="","",Sync!$L1822)</f>
        <v/>
      </c>
      <c r="W1822" t="str">
        <f>IF($N1822="","",Sync!$P1822)</f>
        <v/>
      </c>
    </row>
    <row r="1823" spans="14:23" x14ac:dyDescent="0.2">
      <c r="N1823" t="str">
        <f>IF(OR(Sync!$M1823="",$Q1823="",$Q1823="نامعتبر"),"",Sync!$M1823)</f>
        <v/>
      </c>
      <c r="O1823" t="str">
        <f t="shared" si="148"/>
        <v/>
      </c>
      <c r="P1823" t="str">
        <f>IF($N1823="","",LEFT($Q1823,4)&amp;MID($Q1823,6,2)&amp;RIGHT($Q1823,2)&amp;IF(Sync!$K1823="","0000",IF(AND(ISNUMBER(Sync!$K1823),Sync!$K1823&gt;=0,Sync!$K1823&lt;1),RIGHT("00"&amp;HOUR(Sync!$K1823),2)&amp;RIGHT("00"&amp;MINUTE(Sync!$K1823),2),IFERROR(RIGHT("00"&amp;VALUE(LEFT(Sync!$K1823,FIND(":",Sync!$K1823)-1)),2)&amp;RIGHT("00"&amp;VALUE(MID(Sync!$K1823,FIND(":",Sync!$K1823)+1,2)),2),"0000")))&amp;"|"&amp;"2"&amp;RIGHT("00000"&amp;1818,5))</f>
        <v/>
      </c>
      <c r="Q1823" t="str">
        <f>IF(Sync!$J1823="","",IF(ISNUMBER(Sync!$J1823),IF(AND(Sync!$J1823&gt;=10000101,Sync!$J1823&lt;=99991231),INT(Sync!$J1823/10000)&amp;"/"&amp;RIGHT("00"&amp;INT(MOD(Sync!$J1823,10000)/100),2)&amp;"/"&amp;RIGHT("00"&amp;MOD(Sync!$J1823,100),2),"نامعتبر"),IF(LEN(Sync!$J1823)=10,Sync!$J1823,"نامعتبر")))</f>
        <v/>
      </c>
      <c r="R1823" t="str">
        <f t="shared" si="149"/>
        <v/>
      </c>
      <c r="S1823" t="str">
        <f t="shared" si="150"/>
        <v/>
      </c>
      <c r="T1823" t="str">
        <f>IF($N1823="","",IF(Sync!$N1823="",0,Sync!$N1823))</f>
        <v/>
      </c>
      <c r="U1823" t="str">
        <f>IF($N1823="","",IF(Sync!$O1823="",0,Sync!$O1823))</f>
        <v/>
      </c>
      <c r="V1823" t="str">
        <f>IF($N1823="","",Sync!$L1823)</f>
        <v/>
      </c>
      <c r="W1823" t="str">
        <f>IF($N1823="","",Sync!$P1823)</f>
        <v/>
      </c>
    </row>
    <row r="1824" spans="14:23" x14ac:dyDescent="0.2">
      <c r="N1824" t="str">
        <f>IF(OR(Sync!$M1824="",$Q1824="",$Q1824="نامعتبر"),"",Sync!$M1824)</f>
        <v/>
      </c>
      <c r="O1824" t="str">
        <f t="shared" si="148"/>
        <v/>
      </c>
      <c r="P1824" t="str">
        <f>IF($N1824="","",LEFT($Q1824,4)&amp;MID($Q1824,6,2)&amp;RIGHT($Q1824,2)&amp;IF(Sync!$K1824="","0000",IF(AND(ISNUMBER(Sync!$K1824),Sync!$K1824&gt;=0,Sync!$K1824&lt;1),RIGHT("00"&amp;HOUR(Sync!$K1824),2)&amp;RIGHT("00"&amp;MINUTE(Sync!$K1824),2),IFERROR(RIGHT("00"&amp;VALUE(LEFT(Sync!$K1824,FIND(":",Sync!$K1824)-1)),2)&amp;RIGHT("00"&amp;VALUE(MID(Sync!$K1824,FIND(":",Sync!$K1824)+1,2)),2),"0000")))&amp;"|"&amp;"2"&amp;RIGHT("00000"&amp;1819,5))</f>
        <v/>
      </c>
      <c r="Q1824" t="str">
        <f>IF(Sync!$J1824="","",IF(ISNUMBER(Sync!$J1824),IF(AND(Sync!$J1824&gt;=10000101,Sync!$J1824&lt;=99991231),INT(Sync!$J1824/10000)&amp;"/"&amp;RIGHT("00"&amp;INT(MOD(Sync!$J1824,10000)/100),2)&amp;"/"&amp;RIGHT("00"&amp;MOD(Sync!$J1824,100),2),"نامعتبر"),IF(LEN(Sync!$J1824)=10,Sync!$J1824,"نامعتبر")))</f>
        <v/>
      </c>
      <c r="R1824" t="str">
        <f t="shared" si="149"/>
        <v/>
      </c>
      <c r="S1824" t="str">
        <f t="shared" si="150"/>
        <v/>
      </c>
      <c r="T1824" t="str">
        <f>IF($N1824="","",IF(Sync!$N1824="",0,Sync!$N1824))</f>
        <v/>
      </c>
      <c r="U1824" t="str">
        <f>IF($N1824="","",IF(Sync!$O1824="",0,Sync!$O1824))</f>
        <v/>
      </c>
      <c r="V1824" t="str">
        <f>IF($N1824="","",Sync!$L1824)</f>
        <v/>
      </c>
      <c r="W1824" t="str">
        <f>IF($N1824="","",Sync!$P1824)</f>
        <v/>
      </c>
    </row>
    <row r="1825" spans="14:23" x14ac:dyDescent="0.2">
      <c r="N1825" t="str">
        <f>IF(OR(Sync!$M1825="",$Q1825="",$Q1825="نامعتبر"),"",Sync!$M1825)</f>
        <v/>
      </c>
      <c r="O1825" t="str">
        <f t="shared" si="148"/>
        <v/>
      </c>
      <c r="P1825" t="str">
        <f>IF($N1825="","",LEFT($Q1825,4)&amp;MID($Q1825,6,2)&amp;RIGHT($Q1825,2)&amp;IF(Sync!$K1825="","0000",IF(AND(ISNUMBER(Sync!$K1825),Sync!$K1825&gt;=0,Sync!$K1825&lt;1),RIGHT("00"&amp;HOUR(Sync!$K1825),2)&amp;RIGHT("00"&amp;MINUTE(Sync!$K1825),2),IFERROR(RIGHT("00"&amp;VALUE(LEFT(Sync!$K1825,FIND(":",Sync!$K1825)-1)),2)&amp;RIGHT("00"&amp;VALUE(MID(Sync!$K1825,FIND(":",Sync!$K1825)+1,2)),2),"0000")))&amp;"|"&amp;"2"&amp;RIGHT("00000"&amp;1820,5))</f>
        <v/>
      </c>
      <c r="Q1825" t="str">
        <f>IF(Sync!$J1825="","",IF(ISNUMBER(Sync!$J1825),IF(AND(Sync!$J1825&gt;=10000101,Sync!$J1825&lt;=99991231),INT(Sync!$J1825/10000)&amp;"/"&amp;RIGHT("00"&amp;INT(MOD(Sync!$J1825,10000)/100),2)&amp;"/"&amp;RIGHT("00"&amp;MOD(Sync!$J1825,100),2),"نامعتبر"),IF(LEN(Sync!$J1825)=10,Sync!$J1825,"نامعتبر")))</f>
        <v/>
      </c>
      <c r="R1825" t="str">
        <f t="shared" si="149"/>
        <v/>
      </c>
      <c r="S1825" t="str">
        <f t="shared" si="150"/>
        <v/>
      </c>
      <c r="T1825" t="str">
        <f>IF($N1825="","",IF(Sync!$N1825="",0,Sync!$N1825))</f>
        <v/>
      </c>
      <c r="U1825" t="str">
        <f>IF($N1825="","",IF(Sync!$O1825="",0,Sync!$O1825))</f>
        <v/>
      </c>
      <c r="V1825" t="str">
        <f>IF($N1825="","",Sync!$L1825)</f>
        <v/>
      </c>
      <c r="W1825" t="str">
        <f>IF($N1825="","",Sync!$P1825)</f>
        <v/>
      </c>
    </row>
    <row r="1826" spans="14:23" x14ac:dyDescent="0.2">
      <c r="N1826" t="str">
        <f>IF(OR(Sync!$M1826="",$Q1826="",$Q1826="نامعتبر"),"",Sync!$M1826)</f>
        <v/>
      </c>
      <c r="O1826" t="str">
        <f t="shared" si="148"/>
        <v/>
      </c>
      <c r="P1826" t="str">
        <f>IF($N1826="","",LEFT($Q1826,4)&amp;MID($Q1826,6,2)&amp;RIGHT($Q1826,2)&amp;IF(Sync!$K1826="","0000",IF(AND(ISNUMBER(Sync!$K1826),Sync!$K1826&gt;=0,Sync!$K1826&lt;1),RIGHT("00"&amp;HOUR(Sync!$K1826),2)&amp;RIGHT("00"&amp;MINUTE(Sync!$K1826),2),IFERROR(RIGHT("00"&amp;VALUE(LEFT(Sync!$K1826,FIND(":",Sync!$K1826)-1)),2)&amp;RIGHT("00"&amp;VALUE(MID(Sync!$K1826,FIND(":",Sync!$K1826)+1,2)),2),"0000")))&amp;"|"&amp;"2"&amp;RIGHT("00000"&amp;1821,5))</f>
        <v/>
      </c>
      <c r="Q1826" t="str">
        <f>IF(Sync!$J1826="","",IF(ISNUMBER(Sync!$J1826),IF(AND(Sync!$J1826&gt;=10000101,Sync!$J1826&lt;=99991231),INT(Sync!$J1826/10000)&amp;"/"&amp;RIGHT("00"&amp;INT(MOD(Sync!$J1826,10000)/100),2)&amp;"/"&amp;RIGHT("00"&amp;MOD(Sync!$J1826,100),2),"نامعتبر"),IF(LEN(Sync!$J1826)=10,Sync!$J1826,"نامعتبر")))</f>
        <v/>
      </c>
      <c r="R1826" t="str">
        <f t="shared" si="149"/>
        <v/>
      </c>
      <c r="S1826" t="str">
        <f t="shared" si="150"/>
        <v/>
      </c>
      <c r="T1826" t="str">
        <f>IF($N1826="","",IF(Sync!$N1826="",0,Sync!$N1826))</f>
        <v/>
      </c>
      <c r="U1826" t="str">
        <f>IF($N1826="","",IF(Sync!$O1826="",0,Sync!$O1826))</f>
        <v/>
      </c>
      <c r="V1826" t="str">
        <f>IF($N1826="","",Sync!$L1826)</f>
        <v/>
      </c>
      <c r="W1826" t="str">
        <f>IF($N1826="","",Sync!$P1826)</f>
        <v/>
      </c>
    </row>
    <row r="1827" spans="14:23" x14ac:dyDescent="0.2">
      <c r="N1827" t="str">
        <f>IF(OR(Sync!$M1827="",$Q1827="",$Q1827="نامعتبر"),"",Sync!$M1827)</f>
        <v/>
      </c>
      <c r="O1827" t="str">
        <f t="shared" si="148"/>
        <v/>
      </c>
      <c r="P1827" t="str">
        <f>IF($N1827="","",LEFT($Q1827,4)&amp;MID($Q1827,6,2)&amp;RIGHT($Q1827,2)&amp;IF(Sync!$K1827="","0000",IF(AND(ISNUMBER(Sync!$K1827),Sync!$K1827&gt;=0,Sync!$K1827&lt;1),RIGHT("00"&amp;HOUR(Sync!$K1827),2)&amp;RIGHT("00"&amp;MINUTE(Sync!$K1827),2),IFERROR(RIGHT("00"&amp;VALUE(LEFT(Sync!$K1827,FIND(":",Sync!$K1827)-1)),2)&amp;RIGHT("00"&amp;VALUE(MID(Sync!$K1827,FIND(":",Sync!$K1827)+1,2)),2),"0000")))&amp;"|"&amp;"2"&amp;RIGHT("00000"&amp;1822,5))</f>
        <v/>
      </c>
      <c r="Q1827" t="str">
        <f>IF(Sync!$J1827="","",IF(ISNUMBER(Sync!$J1827),IF(AND(Sync!$J1827&gt;=10000101,Sync!$J1827&lt;=99991231),INT(Sync!$J1827/10000)&amp;"/"&amp;RIGHT("00"&amp;INT(MOD(Sync!$J1827,10000)/100),2)&amp;"/"&amp;RIGHT("00"&amp;MOD(Sync!$J1827,100),2),"نامعتبر"),IF(LEN(Sync!$J1827)=10,Sync!$J1827,"نامعتبر")))</f>
        <v/>
      </c>
      <c r="R1827" t="str">
        <f t="shared" si="149"/>
        <v/>
      </c>
      <c r="S1827" t="str">
        <f t="shared" si="150"/>
        <v/>
      </c>
      <c r="T1827" t="str">
        <f>IF($N1827="","",IF(Sync!$N1827="",0,Sync!$N1827))</f>
        <v/>
      </c>
      <c r="U1827" t="str">
        <f>IF($N1827="","",IF(Sync!$O1827="",0,Sync!$O1827))</f>
        <v/>
      </c>
      <c r="V1827" t="str">
        <f>IF($N1827="","",Sync!$L1827)</f>
        <v/>
      </c>
      <c r="W1827" t="str">
        <f>IF($N1827="","",Sync!$P1827)</f>
        <v/>
      </c>
    </row>
    <row r="1828" spans="14:23" x14ac:dyDescent="0.2">
      <c r="N1828" t="str">
        <f>IF(OR(Sync!$M1828="",$Q1828="",$Q1828="نامعتبر"),"",Sync!$M1828)</f>
        <v/>
      </c>
      <c r="O1828" t="str">
        <f t="shared" si="148"/>
        <v/>
      </c>
      <c r="P1828" t="str">
        <f>IF($N1828="","",LEFT($Q1828,4)&amp;MID($Q1828,6,2)&amp;RIGHT($Q1828,2)&amp;IF(Sync!$K1828="","0000",IF(AND(ISNUMBER(Sync!$K1828),Sync!$K1828&gt;=0,Sync!$K1828&lt;1),RIGHT("00"&amp;HOUR(Sync!$K1828),2)&amp;RIGHT("00"&amp;MINUTE(Sync!$K1828),2),IFERROR(RIGHT("00"&amp;VALUE(LEFT(Sync!$K1828,FIND(":",Sync!$K1828)-1)),2)&amp;RIGHT("00"&amp;VALUE(MID(Sync!$K1828,FIND(":",Sync!$K1828)+1,2)),2),"0000")))&amp;"|"&amp;"2"&amp;RIGHT("00000"&amp;1823,5))</f>
        <v/>
      </c>
      <c r="Q1828" t="str">
        <f>IF(Sync!$J1828="","",IF(ISNUMBER(Sync!$J1828),IF(AND(Sync!$J1828&gt;=10000101,Sync!$J1828&lt;=99991231),INT(Sync!$J1828/10000)&amp;"/"&amp;RIGHT("00"&amp;INT(MOD(Sync!$J1828,10000)/100),2)&amp;"/"&amp;RIGHT("00"&amp;MOD(Sync!$J1828,100),2),"نامعتبر"),IF(LEN(Sync!$J1828)=10,Sync!$J1828,"نامعتبر")))</f>
        <v/>
      </c>
      <c r="R1828" t="str">
        <f t="shared" si="149"/>
        <v/>
      </c>
      <c r="S1828" t="str">
        <f t="shared" si="150"/>
        <v/>
      </c>
      <c r="T1828" t="str">
        <f>IF($N1828="","",IF(Sync!$N1828="",0,Sync!$N1828))</f>
        <v/>
      </c>
      <c r="U1828" t="str">
        <f>IF($N1828="","",IF(Sync!$O1828="",0,Sync!$O1828))</f>
        <v/>
      </c>
      <c r="V1828" t="str">
        <f>IF($N1828="","",Sync!$L1828)</f>
        <v/>
      </c>
      <c r="W1828" t="str">
        <f>IF($N1828="","",Sync!$P1828)</f>
        <v/>
      </c>
    </row>
    <row r="1829" spans="14:23" x14ac:dyDescent="0.2">
      <c r="N1829" t="str">
        <f>IF(OR(Sync!$M1829="",$Q1829="",$Q1829="نامعتبر"),"",Sync!$M1829)</f>
        <v/>
      </c>
      <c r="O1829" t="str">
        <f t="shared" si="148"/>
        <v/>
      </c>
      <c r="P1829" t="str">
        <f>IF($N1829="","",LEFT($Q1829,4)&amp;MID($Q1829,6,2)&amp;RIGHT($Q1829,2)&amp;IF(Sync!$K1829="","0000",IF(AND(ISNUMBER(Sync!$K1829),Sync!$K1829&gt;=0,Sync!$K1829&lt;1),RIGHT("00"&amp;HOUR(Sync!$K1829),2)&amp;RIGHT("00"&amp;MINUTE(Sync!$K1829),2),IFERROR(RIGHT("00"&amp;VALUE(LEFT(Sync!$K1829,FIND(":",Sync!$K1829)-1)),2)&amp;RIGHT("00"&amp;VALUE(MID(Sync!$K1829,FIND(":",Sync!$K1829)+1,2)),2),"0000")))&amp;"|"&amp;"2"&amp;RIGHT("00000"&amp;1824,5))</f>
        <v/>
      </c>
      <c r="Q1829" t="str">
        <f>IF(Sync!$J1829="","",IF(ISNUMBER(Sync!$J1829),IF(AND(Sync!$J1829&gt;=10000101,Sync!$J1829&lt;=99991231),INT(Sync!$J1829/10000)&amp;"/"&amp;RIGHT("00"&amp;INT(MOD(Sync!$J1829,10000)/100),2)&amp;"/"&amp;RIGHT("00"&amp;MOD(Sync!$J1829,100),2),"نامعتبر"),IF(LEN(Sync!$J1829)=10,Sync!$J1829,"نامعتبر")))</f>
        <v/>
      </c>
      <c r="R1829" t="str">
        <f t="shared" si="149"/>
        <v/>
      </c>
      <c r="S1829" t="str">
        <f t="shared" si="150"/>
        <v/>
      </c>
      <c r="T1829" t="str">
        <f>IF($N1829="","",IF(Sync!$N1829="",0,Sync!$N1829))</f>
        <v/>
      </c>
      <c r="U1829" t="str">
        <f>IF($N1829="","",IF(Sync!$O1829="",0,Sync!$O1829))</f>
        <v/>
      </c>
      <c r="V1829" t="str">
        <f>IF($N1829="","",Sync!$L1829)</f>
        <v/>
      </c>
      <c r="W1829" t="str">
        <f>IF($N1829="","",Sync!$P1829)</f>
        <v/>
      </c>
    </row>
    <row r="1830" spans="14:23" x14ac:dyDescent="0.2">
      <c r="N1830" t="str">
        <f>IF(OR(Sync!$M1830="",$Q1830="",$Q1830="نامعتبر"),"",Sync!$M1830)</f>
        <v/>
      </c>
      <c r="O1830" t="str">
        <f t="shared" si="148"/>
        <v/>
      </c>
      <c r="P1830" t="str">
        <f>IF($N1830="","",LEFT($Q1830,4)&amp;MID($Q1830,6,2)&amp;RIGHT($Q1830,2)&amp;IF(Sync!$K1830="","0000",IF(AND(ISNUMBER(Sync!$K1830),Sync!$K1830&gt;=0,Sync!$K1830&lt;1),RIGHT("00"&amp;HOUR(Sync!$K1830),2)&amp;RIGHT("00"&amp;MINUTE(Sync!$K1830),2),IFERROR(RIGHT("00"&amp;VALUE(LEFT(Sync!$K1830,FIND(":",Sync!$K1830)-1)),2)&amp;RIGHT("00"&amp;VALUE(MID(Sync!$K1830,FIND(":",Sync!$K1830)+1,2)),2),"0000")))&amp;"|"&amp;"2"&amp;RIGHT("00000"&amp;1825,5))</f>
        <v/>
      </c>
      <c r="Q1830" t="str">
        <f>IF(Sync!$J1830="","",IF(ISNUMBER(Sync!$J1830),IF(AND(Sync!$J1830&gt;=10000101,Sync!$J1830&lt;=99991231),INT(Sync!$J1830/10000)&amp;"/"&amp;RIGHT("00"&amp;INT(MOD(Sync!$J1830,10000)/100),2)&amp;"/"&amp;RIGHT("00"&amp;MOD(Sync!$J1830,100),2),"نامعتبر"),IF(LEN(Sync!$J1830)=10,Sync!$J1830,"نامعتبر")))</f>
        <v/>
      </c>
      <c r="R1830" t="str">
        <f t="shared" si="149"/>
        <v/>
      </c>
      <c r="S1830" t="str">
        <f t="shared" si="150"/>
        <v/>
      </c>
      <c r="T1830" t="str">
        <f>IF($N1830="","",IF(Sync!$N1830="",0,Sync!$N1830))</f>
        <v/>
      </c>
      <c r="U1830" t="str">
        <f>IF($N1830="","",IF(Sync!$O1830="",0,Sync!$O1830))</f>
        <v/>
      </c>
      <c r="V1830" t="str">
        <f>IF($N1830="","",Sync!$L1830)</f>
        <v/>
      </c>
      <c r="W1830" t="str">
        <f>IF($N1830="","",Sync!$P1830)</f>
        <v/>
      </c>
    </row>
    <row r="1831" spans="14:23" x14ac:dyDescent="0.2">
      <c r="N1831" t="str">
        <f>IF(OR(Sync!$M1831="",$Q1831="",$Q1831="نامعتبر"),"",Sync!$M1831)</f>
        <v/>
      </c>
      <c r="O1831" t="str">
        <f t="shared" si="148"/>
        <v/>
      </c>
      <c r="P1831" t="str">
        <f>IF($N1831="","",LEFT($Q1831,4)&amp;MID($Q1831,6,2)&amp;RIGHT($Q1831,2)&amp;IF(Sync!$K1831="","0000",IF(AND(ISNUMBER(Sync!$K1831),Sync!$K1831&gt;=0,Sync!$K1831&lt;1),RIGHT("00"&amp;HOUR(Sync!$K1831),2)&amp;RIGHT("00"&amp;MINUTE(Sync!$K1831),2),IFERROR(RIGHT("00"&amp;VALUE(LEFT(Sync!$K1831,FIND(":",Sync!$K1831)-1)),2)&amp;RIGHT("00"&amp;VALUE(MID(Sync!$K1831,FIND(":",Sync!$K1831)+1,2)),2),"0000")))&amp;"|"&amp;"2"&amp;RIGHT("00000"&amp;1826,5))</f>
        <v/>
      </c>
      <c r="Q1831" t="str">
        <f>IF(Sync!$J1831="","",IF(ISNUMBER(Sync!$J1831),IF(AND(Sync!$J1831&gt;=10000101,Sync!$J1831&lt;=99991231),INT(Sync!$J1831/10000)&amp;"/"&amp;RIGHT("00"&amp;INT(MOD(Sync!$J1831,10000)/100),2)&amp;"/"&amp;RIGHT("00"&amp;MOD(Sync!$J1831,100),2),"نامعتبر"),IF(LEN(Sync!$J1831)=10,Sync!$J1831,"نامعتبر")))</f>
        <v/>
      </c>
      <c r="R1831" t="str">
        <f t="shared" si="149"/>
        <v/>
      </c>
      <c r="S1831" t="str">
        <f t="shared" si="150"/>
        <v/>
      </c>
      <c r="T1831" t="str">
        <f>IF($N1831="","",IF(Sync!$N1831="",0,Sync!$N1831))</f>
        <v/>
      </c>
      <c r="U1831" t="str">
        <f>IF($N1831="","",IF(Sync!$O1831="",0,Sync!$O1831))</f>
        <v/>
      </c>
      <c r="V1831" t="str">
        <f>IF($N1831="","",Sync!$L1831)</f>
        <v/>
      </c>
      <c r="W1831" t="str">
        <f>IF($N1831="","",Sync!$P1831)</f>
        <v/>
      </c>
    </row>
    <row r="1832" spans="14:23" x14ac:dyDescent="0.2">
      <c r="N1832" t="str">
        <f>IF(OR(Sync!$M1832="",$Q1832="",$Q1832="نامعتبر"),"",Sync!$M1832)</f>
        <v/>
      </c>
      <c r="O1832" t="str">
        <f t="shared" si="148"/>
        <v/>
      </c>
      <c r="P1832" t="str">
        <f>IF($N1832="","",LEFT($Q1832,4)&amp;MID($Q1832,6,2)&amp;RIGHT($Q1832,2)&amp;IF(Sync!$K1832="","0000",IF(AND(ISNUMBER(Sync!$K1832),Sync!$K1832&gt;=0,Sync!$K1832&lt;1),RIGHT("00"&amp;HOUR(Sync!$K1832),2)&amp;RIGHT("00"&amp;MINUTE(Sync!$K1832),2),IFERROR(RIGHT("00"&amp;VALUE(LEFT(Sync!$K1832,FIND(":",Sync!$K1832)-1)),2)&amp;RIGHT("00"&amp;VALUE(MID(Sync!$K1832,FIND(":",Sync!$K1832)+1,2)),2),"0000")))&amp;"|"&amp;"2"&amp;RIGHT("00000"&amp;1827,5))</f>
        <v/>
      </c>
      <c r="Q1832" t="str">
        <f>IF(Sync!$J1832="","",IF(ISNUMBER(Sync!$J1832),IF(AND(Sync!$J1832&gt;=10000101,Sync!$J1832&lt;=99991231),INT(Sync!$J1832/10000)&amp;"/"&amp;RIGHT("00"&amp;INT(MOD(Sync!$J1832,10000)/100),2)&amp;"/"&amp;RIGHT("00"&amp;MOD(Sync!$J1832,100),2),"نامعتبر"),IF(LEN(Sync!$J1832)=10,Sync!$J1832,"نامعتبر")))</f>
        <v/>
      </c>
      <c r="R1832" t="str">
        <f t="shared" si="149"/>
        <v/>
      </c>
      <c r="S1832" t="str">
        <f t="shared" si="150"/>
        <v/>
      </c>
      <c r="T1832" t="str">
        <f>IF($N1832="","",IF(Sync!$N1832="",0,Sync!$N1832))</f>
        <v/>
      </c>
      <c r="U1832" t="str">
        <f>IF($N1832="","",IF(Sync!$O1832="",0,Sync!$O1832))</f>
        <v/>
      </c>
      <c r="V1832" t="str">
        <f>IF($N1832="","",Sync!$L1832)</f>
        <v/>
      </c>
      <c r="W1832" t="str">
        <f>IF($N1832="","",Sync!$P1832)</f>
        <v/>
      </c>
    </row>
    <row r="1833" spans="14:23" x14ac:dyDescent="0.2">
      <c r="N1833" t="str">
        <f>IF(OR(Sync!$M1833="",$Q1833="",$Q1833="نامعتبر"),"",Sync!$M1833)</f>
        <v/>
      </c>
      <c r="O1833" t="str">
        <f t="shared" si="148"/>
        <v/>
      </c>
      <c r="P1833" t="str">
        <f>IF($N1833="","",LEFT($Q1833,4)&amp;MID($Q1833,6,2)&amp;RIGHT($Q1833,2)&amp;IF(Sync!$K1833="","0000",IF(AND(ISNUMBER(Sync!$K1833),Sync!$K1833&gt;=0,Sync!$K1833&lt;1),RIGHT("00"&amp;HOUR(Sync!$K1833),2)&amp;RIGHT("00"&amp;MINUTE(Sync!$K1833),2),IFERROR(RIGHT("00"&amp;VALUE(LEFT(Sync!$K1833,FIND(":",Sync!$K1833)-1)),2)&amp;RIGHT("00"&amp;VALUE(MID(Sync!$K1833,FIND(":",Sync!$K1833)+1,2)),2),"0000")))&amp;"|"&amp;"2"&amp;RIGHT("00000"&amp;1828,5))</f>
        <v/>
      </c>
      <c r="Q1833" t="str">
        <f>IF(Sync!$J1833="","",IF(ISNUMBER(Sync!$J1833),IF(AND(Sync!$J1833&gt;=10000101,Sync!$J1833&lt;=99991231),INT(Sync!$J1833/10000)&amp;"/"&amp;RIGHT("00"&amp;INT(MOD(Sync!$J1833,10000)/100),2)&amp;"/"&amp;RIGHT("00"&amp;MOD(Sync!$J1833,100),2),"نامعتبر"),IF(LEN(Sync!$J1833)=10,Sync!$J1833,"نامعتبر")))</f>
        <v/>
      </c>
      <c r="R1833" t="str">
        <f t="shared" si="149"/>
        <v/>
      </c>
      <c r="S1833" t="str">
        <f t="shared" si="150"/>
        <v/>
      </c>
      <c r="T1833" t="str">
        <f>IF($N1833="","",IF(Sync!$N1833="",0,Sync!$N1833))</f>
        <v/>
      </c>
      <c r="U1833" t="str">
        <f>IF($N1833="","",IF(Sync!$O1833="",0,Sync!$O1833))</f>
        <v/>
      </c>
      <c r="V1833" t="str">
        <f>IF($N1833="","",Sync!$L1833)</f>
        <v/>
      </c>
      <c r="W1833" t="str">
        <f>IF($N1833="","",Sync!$P1833)</f>
        <v/>
      </c>
    </row>
    <row r="1834" spans="14:23" x14ac:dyDescent="0.2">
      <c r="N1834" t="str">
        <f>IF(OR(Sync!$M1834="",$Q1834="",$Q1834="نامعتبر"),"",Sync!$M1834)</f>
        <v/>
      </c>
      <c r="O1834" t="str">
        <f t="shared" si="148"/>
        <v/>
      </c>
      <c r="P1834" t="str">
        <f>IF($N1834="","",LEFT($Q1834,4)&amp;MID($Q1834,6,2)&amp;RIGHT($Q1834,2)&amp;IF(Sync!$K1834="","0000",IF(AND(ISNUMBER(Sync!$K1834),Sync!$K1834&gt;=0,Sync!$K1834&lt;1),RIGHT("00"&amp;HOUR(Sync!$K1834),2)&amp;RIGHT("00"&amp;MINUTE(Sync!$K1834),2),IFERROR(RIGHT("00"&amp;VALUE(LEFT(Sync!$K1834,FIND(":",Sync!$K1834)-1)),2)&amp;RIGHT("00"&amp;VALUE(MID(Sync!$K1834,FIND(":",Sync!$K1834)+1,2)),2),"0000")))&amp;"|"&amp;"2"&amp;RIGHT("00000"&amp;1829,5))</f>
        <v/>
      </c>
      <c r="Q1834" t="str">
        <f>IF(Sync!$J1834="","",IF(ISNUMBER(Sync!$J1834),IF(AND(Sync!$J1834&gt;=10000101,Sync!$J1834&lt;=99991231),INT(Sync!$J1834/10000)&amp;"/"&amp;RIGHT("00"&amp;INT(MOD(Sync!$J1834,10000)/100),2)&amp;"/"&amp;RIGHT("00"&amp;MOD(Sync!$J1834,100),2),"نامعتبر"),IF(LEN(Sync!$J1834)=10,Sync!$J1834,"نامعتبر")))</f>
        <v/>
      </c>
      <c r="R1834" t="str">
        <f t="shared" si="149"/>
        <v/>
      </c>
      <c r="S1834" t="str">
        <f t="shared" si="150"/>
        <v/>
      </c>
      <c r="T1834" t="str">
        <f>IF($N1834="","",IF(Sync!$N1834="",0,Sync!$N1834))</f>
        <v/>
      </c>
      <c r="U1834" t="str">
        <f>IF($N1834="","",IF(Sync!$O1834="",0,Sync!$O1834))</f>
        <v/>
      </c>
      <c r="V1834" t="str">
        <f>IF($N1834="","",Sync!$L1834)</f>
        <v/>
      </c>
      <c r="W1834" t="str">
        <f>IF($N1834="","",Sync!$P1834)</f>
        <v/>
      </c>
    </row>
    <row r="1835" spans="14:23" x14ac:dyDescent="0.2">
      <c r="N1835" t="str">
        <f>IF(OR(Sync!$M1835="",$Q1835="",$Q1835="نامعتبر"),"",Sync!$M1835)</f>
        <v/>
      </c>
      <c r="O1835" t="str">
        <f t="shared" si="148"/>
        <v/>
      </c>
      <c r="P1835" t="str">
        <f>IF($N1835="","",LEFT($Q1835,4)&amp;MID($Q1835,6,2)&amp;RIGHT($Q1835,2)&amp;IF(Sync!$K1835="","0000",IF(AND(ISNUMBER(Sync!$K1835),Sync!$K1835&gt;=0,Sync!$K1835&lt;1),RIGHT("00"&amp;HOUR(Sync!$K1835),2)&amp;RIGHT("00"&amp;MINUTE(Sync!$K1835),2),IFERROR(RIGHT("00"&amp;VALUE(LEFT(Sync!$K1835,FIND(":",Sync!$K1835)-1)),2)&amp;RIGHT("00"&amp;VALUE(MID(Sync!$K1835,FIND(":",Sync!$K1835)+1,2)),2),"0000")))&amp;"|"&amp;"2"&amp;RIGHT("00000"&amp;1830,5))</f>
        <v/>
      </c>
      <c r="Q1835" t="str">
        <f>IF(Sync!$J1835="","",IF(ISNUMBER(Sync!$J1835),IF(AND(Sync!$J1835&gt;=10000101,Sync!$J1835&lt;=99991231),INT(Sync!$J1835/10000)&amp;"/"&amp;RIGHT("00"&amp;INT(MOD(Sync!$J1835,10000)/100),2)&amp;"/"&amp;RIGHT("00"&amp;MOD(Sync!$J1835,100),2),"نامعتبر"),IF(LEN(Sync!$J1835)=10,Sync!$J1835,"نامعتبر")))</f>
        <v/>
      </c>
      <c r="R1835" t="str">
        <f t="shared" si="149"/>
        <v/>
      </c>
      <c r="S1835" t="str">
        <f t="shared" si="150"/>
        <v/>
      </c>
      <c r="T1835" t="str">
        <f>IF($N1835="","",IF(Sync!$N1835="",0,Sync!$N1835))</f>
        <v/>
      </c>
      <c r="U1835" t="str">
        <f>IF($N1835="","",IF(Sync!$O1835="",0,Sync!$O1835))</f>
        <v/>
      </c>
      <c r="V1835" t="str">
        <f>IF($N1835="","",Sync!$L1835)</f>
        <v/>
      </c>
      <c r="W1835" t="str">
        <f>IF($N1835="","",Sync!$P1835)</f>
        <v/>
      </c>
    </row>
    <row r="1836" spans="14:23" x14ac:dyDescent="0.2">
      <c r="N1836" t="str">
        <f>IF(OR(Sync!$M1836="",$Q1836="",$Q1836="نامعتبر"),"",Sync!$M1836)</f>
        <v/>
      </c>
      <c r="O1836" t="str">
        <f t="shared" si="148"/>
        <v/>
      </c>
      <c r="P1836" t="str">
        <f>IF($N1836="","",LEFT($Q1836,4)&amp;MID($Q1836,6,2)&amp;RIGHT($Q1836,2)&amp;IF(Sync!$K1836="","0000",IF(AND(ISNUMBER(Sync!$K1836),Sync!$K1836&gt;=0,Sync!$K1836&lt;1),RIGHT("00"&amp;HOUR(Sync!$K1836),2)&amp;RIGHT("00"&amp;MINUTE(Sync!$K1836),2),IFERROR(RIGHT("00"&amp;VALUE(LEFT(Sync!$K1836,FIND(":",Sync!$K1836)-1)),2)&amp;RIGHT("00"&amp;VALUE(MID(Sync!$K1836,FIND(":",Sync!$K1836)+1,2)),2),"0000")))&amp;"|"&amp;"2"&amp;RIGHT("00000"&amp;1831,5))</f>
        <v/>
      </c>
      <c r="Q1836" t="str">
        <f>IF(Sync!$J1836="","",IF(ISNUMBER(Sync!$J1836),IF(AND(Sync!$J1836&gt;=10000101,Sync!$J1836&lt;=99991231),INT(Sync!$J1836/10000)&amp;"/"&amp;RIGHT("00"&amp;INT(MOD(Sync!$J1836,10000)/100),2)&amp;"/"&amp;RIGHT("00"&amp;MOD(Sync!$J1836,100),2),"نامعتبر"),IF(LEN(Sync!$J1836)=10,Sync!$J1836,"نامعتبر")))</f>
        <v/>
      </c>
      <c r="R1836" t="str">
        <f t="shared" si="149"/>
        <v/>
      </c>
      <c r="S1836" t="str">
        <f t="shared" si="150"/>
        <v/>
      </c>
      <c r="T1836" t="str">
        <f>IF($N1836="","",IF(Sync!$N1836="",0,Sync!$N1836))</f>
        <v/>
      </c>
      <c r="U1836" t="str">
        <f>IF($N1836="","",IF(Sync!$O1836="",0,Sync!$O1836))</f>
        <v/>
      </c>
      <c r="V1836" t="str">
        <f>IF($N1836="","",Sync!$L1836)</f>
        <v/>
      </c>
      <c r="W1836" t="str">
        <f>IF($N1836="","",Sync!$P1836)</f>
        <v/>
      </c>
    </row>
    <row r="1837" spans="14:23" x14ac:dyDescent="0.2">
      <c r="N1837" t="str">
        <f>IF(OR(Sync!$M1837="",$Q1837="",$Q1837="نامعتبر"),"",Sync!$M1837)</f>
        <v/>
      </c>
      <c r="O1837" t="str">
        <f t="shared" si="148"/>
        <v/>
      </c>
      <c r="P1837" t="str">
        <f>IF($N1837="","",LEFT($Q1837,4)&amp;MID($Q1837,6,2)&amp;RIGHT($Q1837,2)&amp;IF(Sync!$K1837="","0000",IF(AND(ISNUMBER(Sync!$K1837),Sync!$K1837&gt;=0,Sync!$K1837&lt;1),RIGHT("00"&amp;HOUR(Sync!$K1837),2)&amp;RIGHT("00"&amp;MINUTE(Sync!$K1837),2),IFERROR(RIGHT("00"&amp;VALUE(LEFT(Sync!$K1837,FIND(":",Sync!$K1837)-1)),2)&amp;RIGHT("00"&amp;VALUE(MID(Sync!$K1837,FIND(":",Sync!$K1837)+1,2)),2),"0000")))&amp;"|"&amp;"2"&amp;RIGHT("00000"&amp;1832,5))</f>
        <v/>
      </c>
      <c r="Q1837" t="str">
        <f>IF(Sync!$J1837="","",IF(ISNUMBER(Sync!$J1837),IF(AND(Sync!$J1837&gt;=10000101,Sync!$J1837&lt;=99991231),INT(Sync!$J1837/10000)&amp;"/"&amp;RIGHT("00"&amp;INT(MOD(Sync!$J1837,10000)/100),2)&amp;"/"&amp;RIGHT("00"&amp;MOD(Sync!$J1837,100),2),"نامعتبر"),IF(LEN(Sync!$J1837)=10,Sync!$J1837,"نامعتبر")))</f>
        <v/>
      </c>
      <c r="R1837" t="str">
        <f t="shared" si="149"/>
        <v/>
      </c>
      <c r="S1837" t="str">
        <f t="shared" si="150"/>
        <v/>
      </c>
      <c r="T1837" t="str">
        <f>IF($N1837="","",IF(Sync!$N1837="",0,Sync!$N1837))</f>
        <v/>
      </c>
      <c r="U1837" t="str">
        <f>IF($N1837="","",IF(Sync!$O1837="",0,Sync!$O1837))</f>
        <v/>
      </c>
      <c r="V1837" t="str">
        <f>IF($N1837="","",Sync!$L1837)</f>
        <v/>
      </c>
      <c r="W1837" t="str">
        <f>IF($N1837="","",Sync!$P1837)</f>
        <v/>
      </c>
    </row>
    <row r="1838" spans="14:23" x14ac:dyDescent="0.2">
      <c r="N1838" t="str">
        <f>IF(OR(Sync!$M1838="",$Q1838="",$Q1838="نامعتبر"),"",Sync!$M1838)</f>
        <v/>
      </c>
      <c r="O1838" t="str">
        <f t="shared" si="148"/>
        <v/>
      </c>
      <c r="P1838" t="str">
        <f>IF($N1838="","",LEFT($Q1838,4)&amp;MID($Q1838,6,2)&amp;RIGHT($Q1838,2)&amp;IF(Sync!$K1838="","0000",IF(AND(ISNUMBER(Sync!$K1838),Sync!$K1838&gt;=0,Sync!$K1838&lt;1),RIGHT("00"&amp;HOUR(Sync!$K1838),2)&amp;RIGHT("00"&amp;MINUTE(Sync!$K1838),2),IFERROR(RIGHT("00"&amp;VALUE(LEFT(Sync!$K1838,FIND(":",Sync!$K1838)-1)),2)&amp;RIGHT("00"&amp;VALUE(MID(Sync!$K1838,FIND(":",Sync!$K1838)+1,2)),2),"0000")))&amp;"|"&amp;"2"&amp;RIGHT("00000"&amp;1833,5))</f>
        <v/>
      </c>
      <c r="Q1838" t="str">
        <f>IF(Sync!$J1838="","",IF(ISNUMBER(Sync!$J1838),IF(AND(Sync!$J1838&gt;=10000101,Sync!$J1838&lt;=99991231),INT(Sync!$J1838/10000)&amp;"/"&amp;RIGHT("00"&amp;INT(MOD(Sync!$J1838,10000)/100),2)&amp;"/"&amp;RIGHT("00"&amp;MOD(Sync!$J1838,100),2),"نامعتبر"),IF(LEN(Sync!$J1838)=10,Sync!$J1838,"نامعتبر")))</f>
        <v/>
      </c>
      <c r="R1838" t="str">
        <f t="shared" si="149"/>
        <v/>
      </c>
      <c r="S1838" t="str">
        <f t="shared" si="150"/>
        <v/>
      </c>
      <c r="T1838" t="str">
        <f>IF($N1838="","",IF(Sync!$N1838="",0,Sync!$N1838))</f>
        <v/>
      </c>
      <c r="U1838" t="str">
        <f>IF($N1838="","",IF(Sync!$O1838="",0,Sync!$O1838))</f>
        <v/>
      </c>
      <c r="V1838" t="str">
        <f>IF($N1838="","",Sync!$L1838)</f>
        <v/>
      </c>
      <c r="W1838" t="str">
        <f>IF($N1838="","",Sync!$P1838)</f>
        <v/>
      </c>
    </row>
    <row r="1839" spans="14:23" x14ac:dyDescent="0.2">
      <c r="N1839" t="str">
        <f>IF(OR(Sync!$M1839="",$Q1839="",$Q1839="نامعتبر"),"",Sync!$M1839)</f>
        <v/>
      </c>
      <c r="O1839" t="str">
        <f t="shared" si="148"/>
        <v/>
      </c>
      <c r="P1839" t="str">
        <f>IF($N1839="","",LEFT($Q1839,4)&amp;MID($Q1839,6,2)&amp;RIGHT($Q1839,2)&amp;IF(Sync!$K1839="","0000",IF(AND(ISNUMBER(Sync!$K1839),Sync!$K1839&gt;=0,Sync!$K1839&lt;1),RIGHT("00"&amp;HOUR(Sync!$K1839),2)&amp;RIGHT("00"&amp;MINUTE(Sync!$K1839),2),IFERROR(RIGHT("00"&amp;VALUE(LEFT(Sync!$K1839,FIND(":",Sync!$K1839)-1)),2)&amp;RIGHT("00"&amp;VALUE(MID(Sync!$K1839,FIND(":",Sync!$K1839)+1,2)),2),"0000")))&amp;"|"&amp;"2"&amp;RIGHT("00000"&amp;1834,5))</f>
        <v/>
      </c>
      <c r="Q1839" t="str">
        <f>IF(Sync!$J1839="","",IF(ISNUMBER(Sync!$J1839),IF(AND(Sync!$J1839&gt;=10000101,Sync!$J1839&lt;=99991231),INT(Sync!$J1839/10000)&amp;"/"&amp;RIGHT("00"&amp;INT(MOD(Sync!$J1839,10000)/100),2)&amp;"/"&amp;RIGHT("00"&amp;MOD(Sync!$J1839,100),2),"نامعتبر"),IF(LEN(Sync!$J1839)=10,Sync!$J1839,"نامعتبر")))</f>
        <v/>
      </c>
      <c r="R1839" t="str">
        <f t="shared" si="149"/>
        <v/>
      </c>
      <c r="S1839" t="str">
        <f t="shared" si="150"/>
        <v/>
      </c>
      <c r="T1839" t="str">
        <f>IF($N1839="","",IF(Sync!$N1839="",0,Sync!$N1839))</f>
        <v/>
      </c>
      <c r="U1839" t="str">
        <f>IF($N1839="","",IF(Sync!$O1839="",0,Sync!$O1839))</f>
        <v/>
      </c>
      <c r="V1839" t="str">
        <f>IF($N1839="","",Sync!$L1839)</f>
        <v/>
      </c>
      <c r="W1839" t="str">
        <f>IF($N1839="","",Sync!$P1839)</f>
        <v/>
      </c>
    </row>
    <row r="1840" spans="14:23" x14ac:dyDescent="0.2">
      <c r="N1840" t="str">
        <f>IF(OR(Sync!$M1840="",$Q1840="",$Q1840="نامعتبر"),"",Sync!$M1840)</f>
        <v/>
      </c>
      <c r="O1840" t="str">
        <f t="shared" si="148"/>
        <v/>
      </c>
      <c r="P1840" t="str">
        <f>IF($N1840="","",LEFT($Q1840,4)&amp;MID($Q1840,6,2)&amp;RIGHT($Q1840,2)&amp;IF(Sync!$K1840="","0000",IF(AND(ISNUMBER(Sync!$K1840),Sync!$K1840&gt;=0,Sync!$K1840&lt;1),RIGHT("00"&amp;HOUR(Sync!$K1840),2)&amp;RIGHT("00"&amp;MINUTE(Sync!$K1840),2),IFERROR(RIGHT("00"&amp;VALUE(LEFT(Sync!$K1840,FIND(":",Sync!$K1840)-1)),2)&amp;RIGHT("00"&amp;VALUE(MID(Sync!$K1840,FIND(":",Sync!$K1840)+1,2)),2),"0000")))&amp;"|"&amp;"2"&amp;RIGHT("00000"&amp;1835,5))</f>
        <v/>
      </c>
      <c r="Q1840" t="str">
        <f>IF(Sync!$J1840="","",IF(ISNUMBER(Sync!$J1840),IF(AND(Sync!$J1840&gt;=10000101,Sync!$J1840&lt;=99991231),INT(Sync!$J1840/10000)&amp;"/"&amp;RIGHT("00"&amp;INT(MOD(Sync!$J1840,10000)/100),2)&amp;"/"&amp;RIGHT("00"&amp;MOD(Sync!$J1840,100),2),"نامعتبر"),IF(LEN(Sync!$J1840)=10,Sync!$J1840,"نامعتبر")))</f>
        <v/>
      </c>
      <c r="R1840" t="str">
        <f t="shared" si="149"/>
        <v/>
      </c>
      <c r="S1840" t="str">
        <f t="shared" si="150"/>
        <v/>
      </c>
      <c r="T1840" t="str">
        <f>IF($N1840="","",IF(Sync!$N1840="",0,Sync!$N1840))</f>
        <v/>
      </c>
      <c r="U1840" t="str">
        <f>IF($N1840="","",IF(Sync!$O1840="",0,Sync!$O1840))</f>
        <v/>
      </c>
      <c r="V1840" t="str">
        <f>IF($N1840="","",Sync!$L1840)</f>
        <v/>
      </c>
      <c r="W1840" t="str">
        <f>IF($N1840="","",Sync!$P1840)</f>
        <v/>
      </c>
    </row>
    <row r="1841" spans="14:23" x14ac:dyDescent="0.2">
      <c r="N1841" t="str">
        <f>IF(OR(Sync!$M1841="",$Q1841="",$Q1841="نامعتبر"),"",Sync!$M1841)</f>
        <v/>
      </c>
      <c r="O1841" t="str">
        <f t="shared" si="148"/>
        <v/>
      </c>
      <c r="P1841" t="str">
        <f>IF($N1841="","",LEFT($Q1841,4)&amp;MID($Q1841,6,2)&amp;RIGHT($Q1841,2)&amp;IF(Sync!$K1841="","0000",IF(AND(ISNUMBER(Sync!$K1841),Sync!$K1841&gt;=0,Sync!$K1841&lt;1),RIGHT("00"&amp;HOUR(Sync!$K1841),2)&amp;RIGHT("00"&amp;MINUTE(Sync!$K1841),2),IFERROR(RIGHT("00"&amp;VALUE(LEFT(Sync!$K1841,FIND(":",Sync!$K1841)-1)),2)&amp;RIGHT("00"&amp;VALUE(MID(Sync!$K1841,FIND(":",Sync!$K1841)+1,2)),2),"0000")))&amp;"|"&amp;"2"&amp;RIGHT("00000"&amp;1836,5))</f>
        <v/>
      </c>
      <c r="Q1841" t="str">
        <f>IF(Sync!$J1841="","",IF(ISNUMBER(Sync!$J1841),IF(AND(Sync!$J1841&gt;=10000101,Sync!$J1841&lt;=99991231),INT(Sync!$J1841/10000)&amp;"/"&amp;RIGHT("00"&amp;INT(MOD(Sync!$J1841,10000)/100),2)&amp;"/"&amp;RIGHT("00"&amp;MOD(Sync!$J1841,100),2),"نامعتبر"),IF(LEN(Sync!$J1841)=10,Sync!$J1841,"نامعتبر")))</f>
        <v/>
      </c>
      <c r="R1841" t="str">
        <f t="shared" si="149"/>
        <v/>
      </c>
      <c r="S1841" t="str">
        <f t="shared" si="150"/>
        <v/>
      </c>
      <c r="T1841" t="str">
        <f>IF($N1841="","",IF(Sync!$N1841="",0,Sync!$N1841))</f>
        <v/>
      </c>
      <c r="U1841" t="str">
        <f>IF($N1841="","",IF(Sync!$O1841="",0,Sync!$O1841))</f>
        <v/>
      </c>
      <c r="V1841" t="str">
        <f>IF($N1841="","",Sync!$L1841)</f>
        <v/>
      </c>
      <c r="W1841" t="str">
        <f>IF($N1841="","",Sync!$P1841)</f>
        <v/>
      </c>
    </row>
    <row r="1842" spans="14:23" x14ac:dyDescent="0.2">
      <c r="N1842" t="str">
        <f>IF(OR(Sync!$M1842="",$Q1842="",$Q1842="نامعتبر"),"",Sync!$M1842)</f>
        <v/>
      </c>
      <c r="O1842" t="str">
        <f t="shared" si="148"/>
        <v/>
      </c>
      <c r="P1842" t="str">
        <f>IF($N1842="","",LEFT($Q1842,4)&amp;MID($Q1842,6,2)&amp;RIGHT($Q1842,2)&amp;IF(Sync!$K1842="","0000",IF(AND(ISNUMBER(Sync!$K1842),Sync!$K1842&gt;=0,Sync!$K1842&lt;1),RIGHT("00"&amp;HOUR(Sync!$K1842),2)&amp;RIGHT("00"&amp;MINUTE(Sync!$K1842),2),IFERROR(RIGHT("00"&amp;VALUE(LEFT(Sync!$K1842,FIND(":",Sync!$K1842)-1)),2)&amp;RIGHT("00"&amp;VALUE(MID(Sync!$K1842,FIND(":",Sync!$K1842)+1,2)),2),"0000")))&amp;"|"&amp;"2"&amp;RIGHT("00000"&amp;1837,5))</f>
        <v/>
      </c>
      <c r="Q1842" t="str">
        <f>IF(Sync!$J1842="","",IF(ISNUMBER(Sync!$J1842),IF(AND(Sync!$J1842&gt;=10000101,Sync!$J1842&lt;=99991231),INT(Sync!$J1842/10000)&amp;"/"&amp;RIGHT("00"&amp;INT(MOD(Sync!$J1842,10000)/100),2)&amp;"/"&amp;RIGHT("00"&amp;MOD(Sync!$J1842,100),2),"نامعتبر"),IF(LEN(Sync!$J1842)=10,Sync!$J1842,"نامعتبر")))</f>
        <v/>
      </c>
      <c r="R1842" t="str">
        <f t="shared" si="149"/>
        <v/>
      </c>
      <c r="S1842" t="str">
        <f t="shared" si="150"/>
        <v/>
      </c>
      <c r="T1842" t="str">
        <f>IF($N1842="","",IF(Sync!$N1842="",0,Sync!$N1842))</f>
        <v/>
      </c>
      <c r="U1842" t="str">
        <f>IF($N1842="","",IF(Sync!$O1842="",0,Sync!$O1842))</f>
        <v/>
      </c>
      <c r="V1842" t="str">
        <f>IF($N1842="","",Sync!$L1842)</f>
        <v/>
      </c>
      <c r="W1842" t="str">
        <f>IF($N1842="","",Sync!$P1842)</f>
        <v/>
      </c>
    </row>
    <row r="1843" spans="14:23" x14ac:dyDescent="0.2">
      <c r="N1843" t="str">
        <f>IF(OR(Sync!$M1843="",$Q1843="",$Q1843="نامعتبر"),"",Sync!$M1843)</f>
        <v/>
      </c>
      <c r="O1843" t="str">
        <f t="shared" si="148"/>
        <v/>
      </c>
      <c r="P1843" t="str">
        <f>IF($N1843="","",LEFT($Q1843,4)&amp;MID($Q1843,6,2)&amp;RIGHT($Q1843,2)&amp;IF(Sync!$K1843="","0000",IF(AND(ISNUMBER(Sync!$K1843),Sync!$K1843&gt;=0,Sync!$K1843&lt;1),RIGHT("00"&amp;HOUR(Sync!$K1843),2)&amp;RIGHT("00"&amp;MINUTE(Sync!$K1843),2),IFERROR(RIGHT("00"&amp;VALUE(LEFT(Sync!$K1843,FIND(":",Sync!$K1843)-1)),2)&amp;RIGHT("00"&amp;VALUE(MID(Sync!$K1843,FIND(":",Sync!$K1843)+1,2)),2),"0000")))&amp;"|"&amp;"2"&amp;RIGHT("00000"&amp;1838,5))</f>
        <v/>
      </c>
      <c r="Q1843" t="str">
        <f>IF(Sync!$J1843="","",IF(ISNUMBER(Sync!$J1843),IF(AND(Sync!$J1843&gt;=10000101,Sync!$J1843&lt;=99991231),INT(Sync!$J1843/10000)&amp;"/"&amp;RIGHT("00"&amp;INT(MOD(Sync!$J1843,10000)/100),2)&amp;"/"&amp;RIGHT("00"&amp;MOD(Sync!$J1843,100),2),"نامعتبر"),IF(LEN(Sync!$J1843)=10,Sync!$J1843,"نامعتبر")))</f>
        <v/>
      </c>
      <c r="R1843" t="str">
        <f t="shared" si="149"/>
        <v/>
      </c>
      <c r="S1843" t="str">
        <f t="shared" si="150"/>
        <v/>
      </c>
      <c r="T1843" t="str">
        <f>IF($N1843="","",IF(Sync!$N1843="",0,Sync!$N1843))</f>
        <v/>
      </c>
      <c r="U1843" t="str">
        <f>IF($N1843="","",IF(Sync!$O1843="",0,Sync!$O1843))</f>
        <v/>
      </c>
      <c r="V1843" t="str">
        <f>IF($N1843="","",Sync!$L1843)</f>
        <v/>
      </c>
      <c r="W1843" t="str">
        <f>IF($N1843="","",Sync!$P1843)</f>
        <v/>
      </c>
    </row>
    <row r="1844" spans="14:23" x14ac:dyDescent="0.2">
      <c r="N1844" t="str">
        <f>IF(OR(Sync!$M1844="",$Q1844="",$Q1844="نامعتبر"),"",Sync!$M1844)</f>
        <v/>
      </c>
      <c r="O1844" t="str">
        <f t="shared" si="148"/>
        <v/>
      </c>
      <c r="P1844" t="str">
        <f>IF($N1844="","",LEFT($Q1844,4)&amp;MID($Q1844,6,2)&amp;RIGHT($Q1844,2)&amp;IF(Sync!$K1844="","0000",IF(AND(ISNUMBER(Sync!$K1844),Sync!$K1844&gt;=0,Sync!$K1844&lt;1),RIGHT("00"&amp;HOUR(Sync!$K1844),2)&amp;RIGHT("00"&amp;MINUTE(Sync!$K1844),2),IFERROR(RIGHT("00"&amp;VALUE(LEFT(Sync!$K1844,FIND(":",Sync!$K1844)-1)),2)&amp;RIGHT("00"&amp;VALUE(MID(Sync!$K1844,FIND(":",Sync!$K1844)+1,2)),2),"0000")))&amp;"|"&amp;"2"&amp;RIGHT("00000"&amp;1839,5))</f>
        <v/>
      </c>
      <c r="Q1844" t="str">
        <f>IF(Sync!$J1844="","",IF(ISNUMBER(Sync!$J1844),IF(AND(Sync!$J1844&gt;=10000101,Sync!$J1844&lt;=99991231),INT(Sync!$J1844/10000)&amp;"/"&amp;RIGHT("00"&amp;INT(MOD(Sync!$J1844,10000)/100),2)&amp;"/"&amp;RIGHT("00"&amp;MOD(Sync!$J1844,100),2),"نامعتبر"),IF(LEN(Sync!$J1844)=10,Sync!$J1844,"نامعتبر")))</f>
        <v/>
      </c>
      <c r="R1844" t="str">
        <f t="shared" si="149"/>
        <v/>
      </c>
      <c r="S1844" t="str">
        <f t="shared" si="150"/>
        <v/>
      </c>
      <c r="T1844" t="str">
        <f>IF($N1844="","",IF(Sync!$N1844="",0,Sync!$N1844))</f>
        <v/>
      </c>
      <c r="U1844" t="str">
        <f>IF($N1844="","",IF(Sync!$O1844="",0,Sync!$O1844))</f>
        <v/>
      </c>
      <c r="V1844" t="str">
        <f>IF($N1844="","",Sync!$L1844)</f>
        <v/>
      </c>
      <c r="W1844" t="str">
        <f>IF($N1844="","",Sync!$P1844)</f>
        <v/>
      </c>
    </row>
    <row r="1845" spans="14:23" x14ac:dyDescent="0.2">
      <c r="N1845" t="str">
        <f>IF(OR(Sync!$M1845="",$Q1845="",$Q1845="نامعتبر"),"",Sync!$M1845)</f>
        <v/>
      </c>
      <c r="O1845" t="str">
        <f t="shared" si="148"/>
        <v/>
      </c>
      <c r="P1845" t="str">
        <f>IF($N1845="","",LEFT($Q1845,4)&amp;MID($Q1845,6,2)&amp;RIGHT($Q1845,2)&amp;IF(Sync!$K1845="","0000",IF(AND(ISNUMBER(Sync!$K1845),Sync!$K1845&gt;=0,Sync!$K1845&lt;1),RIGHT("00"&amp;HOUR(Sync!$K1845),2)&amp;RIGHT("00"&amp;MINUTE(Sync!$K1845),2),IFERROR(RIGHT("00"&amp;VALUE(LEFT(Sync!$K1845,FIND(":",Sync!$K1845)-1)),2)&amp;RIGHT("00"&amp;VALUE(MID(Sync!$K1845,FIND(":",Sync!$K1845)+1,2)),2),"0000")))&amp;"|"&amp;"2"&amp;RIGHT("00000"&amp;1840,5))</f>
        <v/>
      </c>
      <c r="Q1845" t="str">
        <f>IF(Sync!$J1845="","",IF(ISNUMBER(Sync!$J1845),IF(AND(Sync!$J1845&gt;=10000101,Sync!$J1845&lt;=99991231),INT(Sync!$J1845/10000)&amp;"/"&amp;RIGHT("00"&amp;INT(MOD(Sync!$J1845,10000)/100),2)&amp;"/"&amp;RIGHT("00"&amp;MOD(Sync!$J1845,100),2),"نامعتبر"),IF(LEN(Sync!$J1845)=10,Sync!$J1845,"نامعتبر")))</f>
        <v/>
      </c>
      <c r="R1845" t="str">
        <f t="shared" si="149"/>
        <v/>
      </c>
      <c r="S1845" t="str">
        <f t="shared" si="150"/>
        <v/>
      </c>
      <c r="T1845" t="str">
        <f>IF($N1845="","",IF(Sync!$N1845="",0,Sync!$N1845))</f>
        <v/>
      </c>
      <c r="U1845" t="str">
        <f>IF($N1845="","",IF(Sync!$O1845="",0,Sync!$O1845))</f>
        <v/>
      </c>
      <c r="V1845" t="str">
        <f>IF($N1845="","",Sync!$L1845)</f>
        <v/>
      </c>
      <c r="W1845" t="str">
        <f>IF($N1845="","",Sync!$P1845)</f>
        <v/>
      </c>
    </row>
    <row r="1846" spans="14:23" x14ac:dyDescent="0.2">
      <c r="N1846" t="str">
        <f>IF(OR(Sync!$M1846="",$Q1846="",$Q1846="نامعتبر"),"",Sync!$M1846)</f>
        <v/>
      </c>
      <c r="O1846" t="str">
        <f t="shared" si="148"/>
        <v/>
      </c>
      <c r="P1846" t="str">
        <f>IF($N1846="","",LEFT($Q1846,4)&amp;MID($Q1846,6,2)&amp;RIGHT($Q1846,2)&amp;IF(Sync!$K1846="","0000",IF(AND(ISNUMBER(Sync!$K1846),Sync!$K1846&gt;=0,Sync!$K1846&lt;1),RIGHT("00"&amp;HOUR(Sync!$K1846),2)&amp;RIGHT("00"&amp;MINUTE(Sync!$K1846),2),IFERROR(RIGHT("00"&amp;VALUE(LEFT(Sync!$K1846,FIND(":",Sync!$K1846)-1)),2)&amp;RIGHT("00"&amp;VALUE(MID(Sync!$K1846,FIND(":",Sync!$K1846)+1,2)),2),"0000")))&amp;"|"&amp;"2"&amp;RIGHT("00000"&amp;1841,5))</f>
        <v/>
      </c>
      <c r="Q1846" t="str">
        <f>IF(Sync!$J1846="","",IF(ISNUMBER(Sync!$J1846),IF(AND(Sync!$J1846&gt;=10000101,Sync!$J1846&lt;=99991231),INT(Sync!$J1846/10000)&amp;"/"&amp;RIGHT("00"&amp;INT(MOD(Sync!$J1846,10000)/100),2)&amp;"/"&amp;RIGHT("00"&amp;MOD(Sync!$J1846,100),2),"نامعتبر"),IF(LEN(Sync!$J1846)=10,Sync!$J1846,"نامعتبر")))</f>
        <v/>
      </c>
      <c r="R1846" t="str">
        <f t="shared" si="149"/>
        <v/>
      </c>
      <c r="S1846" t="str">
        <f t="shared" si="150"/>
        <v/>
      </c>
      <c r="T1846" t="str">
        <f>IF($N1846="","",IF(Sync!$N1846="",0,Sync!$N1846))</f>
        <v/>
      </c>
      <c r="U1846" t="str">
        <f>IF($N1846="","",IF(Sync!$O1846="",0,Sync!$O1846))</f>
        <v/>
      </c>
      <c r="V1846" t="str">
        <f>IF($N1846="","",Sync!$L1846)</f>
        <v/>
      </c>
      <c r="W1846" t="str">
        <f>IF($N1846="","",Sync!$P1846)</f>
        <v/>
      </c>
    </row>
    <row r="1847" spans="14:23" x14ac:dyDescent="0.2">
      <c r="N1847" t="str">
        <f>IF(OR(Sync!$M1847="",$Q1847="",$Q1847="نامعتبر"),"",Sync!$M1847)</f>
        <v/>
      </c>
      <c r="O1847" t="str">
        <f t="shared" si="148"/>
        <v/>
      </c>
      <c r="P1847" t="str">
        <f>IF($N1847="","",LEFT($Q1847,4)&amp;MID($Q1847,6,2)&amp;RIGHT($Q1847,2)&amp;IF(Sync!$K1847="","0000",IF(AND(ISNUMBER(Sync!$K1847),Sync!$K1847&gt;=0,Sync!$K1847&lt;1),RIGHT("00"&amp;HOUR(Sync!$K1847),2)&amp;RIGHT("00"&amp;MINUTE(Sync!$K1847),2),IFERROR(RIGHT("00"&amp;VALUE(LEFT(Sync!$K1847,FIND(":",Sync!$K1847)-1)),2)&amp;RIGHT("00"&amp;VALUE(MID(Sync!$K1847,FIND(":",Sync!$K1847)+1,2)),2),"0000")))&amp;"|"&amp;"2"&amp;RIGHT("00000"&amp;1842,5))</f>
        <v/>
      </c>
      <c r="Q1847" t="str">
        <f>IF(Sync!$J1847="","",IF(ISNUMBER(Sync!$J1847),IF(AND(Sync!$J1847&gt;=10000101,Sync!$J1847&lt;=99991231),INT(Sync!$J1847/10000)&amp;"/"&amp;RIGHT("00"&amp;INT(MOD(Sync!$J1847,10000)/100),2)&amp;"/"&amp;RIGHT("00"&amp;MOD(Sync!$J1847,100),2),"نامعتبر"),IF(LEN(Sync!$J1847)=10,Sync!$J1847,"نامعتبر")))</f>
        <v/>
      </c>
      <c r="R1847" t="str">
        <f t="shared" si="149"/>
        <v/>
      </c>
      <c r="S1847" t="str">
        <f t="shared" si="150"/>
        <v/>
      </c>
      <c r="T1847" t="str">
        <f>IF($N1847="","",IF(Sync!$N1847="",0,Sync!$N1847))</f>
        <v/>
      </c>
      <c r="U1847" t="str">
        <f>IF($N1847="","",IF(Sync!$O1847="",0,Sync!$O1847))</f>
        <v/>
      </c>
      <c r="V1847" t="str">
        <f>IF($N1847="","",Sync!$L1847)</f>
        <v/>
      </c>
      <c r="W1847" t="str">
        <f>IF($N1847="","",Sync!$P1847)</f>
        <v/>
      </c>
    </row>
    <row r="1848" spans="14:23" x14ac:dyDescent="0.2">
      <c r="N1848" t="str">
        <f>IF(OR(Sync!$M1848="",$Q1848="",$Q1848="نامعتبر"),"",Sync!$M1848)</f>
        <v/>
      </c>
      <c r="O1848" t="str">
        <f t="shared" si="148"/>
        <v/>
      </c>
      <c r="P1848" t="str">
        <f>IF($N1848="","",LEFT($Q1848,4)&amp;MID($Q1848,6,2)&amp;RIGHT($Q1848,2)&amp;IF(Sync!$K1848="","0000",IF(AND(ISNUMBER(Sync!$K1848),Sync!$K1848&gt;=0,Sync!$K1848&lt;1),RIGHT("00"&amp;HOUR(Sync!$K1848),2)&amp;RIGHT("00"&amp;MINUTE(Sync!$K1848),2),IFERROR(RIGHT("00"&amp;VALUE(LEFT(Sync!$K1848,FIND(":",Sync!$K1848)-1)),2)&amp;RIGHT("00"&amp;VALUE(MID(Sync!$K1848,FIND(":",Sync!$K1848)+1,2)),2),"0000")))&amp;"|"&amp;"2"&amp;RIGHT("00000"&amp;1843,5))</f>
        <v/>
      </c>
      <c r="Q1848" t="str">
        <f>IF(Sync!$J1848="","",IF(ISNUMBER(Sync!$J1848),IF(AND(Sync!$J1848&gt;=10000101,Sync!$J1848&lt;=99991231),INT(Sync!$J1848/10000)&amp;"/"&amp;RIGHT("00"&amp;INT(MOD(Sync!$J1848,10000)/100),2)&amp;"/"&amp;RIGHT("00"&amp;MOD(Sync!$J1848,100),2),"نامعتبر"),IF(LEN(Sync!$J1848)=10,Sync!$J1848,"نامعتبر")))</f>
        <v/>
      </c>
      <c r="R1848" t="str">
        <f t="shared" si="149"/>
        <v/>
      </c>
      <c r="S1848" t="str">
        <f t="shared" si="150"/>
        <v/>
      </c>
      <c r="T1848" t="str">
        <f>IF($N1848="","",IF(Sync!$N1848="",0,Sync!$N1848))</f>
        <v/>
      </c>
      <c r="U1848" t="str">
        <f>IF($N1848="","",IF(Sync!$O1848="",0,Sync!$O1848))</f>
        <v/>
      </c>
      <c r="V1848" t="str">
        <f>IF($N1848="","",Sync!$L1848)</f>
        <v/>
      </c>
      <c r="W1848" t="str">
        <f>IF($N1848="","",Sync!$P1848)</f>
        <v/>
      </c>
    </row>
    <row r="1849" spans="14:23" x14ac:dyDescent="0.2">
      <c r="N1849" t="str">
        <f>IF(OR(Sync!$M1849="",$Q1849="",$Q1849="نامعتبر"),"",Sync!$M1849)</f>
        <v/>
      </c>
      <c r="O1849" t="str">
        <f t="shared" si="148"/>
        <v/>
      </c>
      <c r="P1849" t="str">
        <f>IF($N1849="","",LEFT($Q1849,4)&amp;MID($Q1849,6,2)&amp;RIGHT($Q1849,2)&amp;IF(Sync!$K1849="","0000",IF(AND(ISNUMBER(Sync!$K1849),Sync!$K1849&gt;=0,Sync!$K1849&lt;1),RIGHT("00"&amp;HOUR(Sync!$K1849),2)&amp;RIGHT("00"&amp;MINUTE(Sync!$K1849),2),IFERROR(RIGHT("00"&amp;VALUE(LEFT(Sync!$K1849,FIND(":",Sync!$K1849)-1)),2)&amp;RIGHT("00"&amp;VALUE(MID(Sync!$K1849,FIND(":",Sync!$K1849)+1,2)),2),"0000")))&amp;"|"&amp;"2"&amp;RIGHT("00000"&amp;1844,5))</f>
        <v/>
      </c>
      <c r="Q1849" t="str">
        <f>IF(Sync!$J1849="","",IF(ISNUMBER(Sync!$J1849),IF(AND(Sync!$J1849&gt;=10000101,Sync!$J1849&lt;=99991231),INT(Sync!$J1849/10000)&amp;"/"&amp;RIGHT("00"&amp;INT(MOD(Sync!$J1849,10000)/100),2)&amp;"/"&amp;RIGHT("00"&amp;MOD(Sync!$J1849,100),2),"نامعتبر"),IF(LEN(Sync!$J1849)=10,Sync!$J1849,"نامعتبر")))</f>
        <v/>
      </c>
      <c r="R1849" t="str">
        <f t="shared" si="149"/>
        <v/>
      </c>
      <c r="S1849" t="str">
        <f t="shared" si="150"/>
        <v/>
      </c>
      <c r="T1849" t="str">
        <f>IF($N1849="","",IF(Sync!$N1849="",0,Sync!$N1849))</f>
        <v/>
      </c>
      <c r="U1849" t="str">
        <f>IF($N1849="","",IF(Sync!$O1849="",0,Sync!$O1849))</f>
        <v/>
      </c>
      <c r="V1849" t="str">
        <f>IF($N1849="","",Sync!$L1849)</f>
        <v/>
      </c>
      <c r="W1849" t="str">
        <f>IF($N1849="","",Sync!$P1849)</f>
        <v/>
      </c>
    </row>
    <row r="1850" spans="14:23" x14ac:dyDescent="0.2">
      <c r="N1850" t="str">
        <f>IF(OR(Sync!$M1850="",$Q1850="",$Q1850="نامعتبر"),"",Sync!$M1850)</f>
        <v/>
      </c>
      <c r="O1850" t="str">
        <f t="shared" si="148"/>
        <v/>
      </c>
      <c r="P1850" t="str">
        <f>IF($N1850="","",LEFT($Q1850,4)&amp;MID($Q1850,6,2)&amp;RIGHT($Q1850,2)&amp;IF(Sync!$K1850="","0000",IF(AND(ISNUMBER(Sync!$K1850),Sync!$K1850&gt;=0,Sync!$K1850&lt;1),RIGHT("00"&amp;HOUR(Sync!$K1850),2)&amp;RIGHT("00"&amp;MINUTE(Sync!$K1850),2),IFERROR(RIGHT("00"&amp;VALUE(LEFT(Sync!$K1850,FIND(":",Sync!$K1850)-1)),2)&amp;RIGHT("00"&amp;VALUE(MID(Sync!$K1850,FIND(":",Sync!$K1850)+1,2)),2),"0000")))&amp;"|"&amp;"2"&amp;RIGHT("00000"&amp;1845,5))</f>
        <v/>
      </c>
      <c r="Q1850" t="str">
        <f>IF(Sync!$J1850="","",IF(ISNUMBER(Sync!$J1850),IF(AND(Sync!$J1850&gt;=10000101,Sync!$J1850&lt;=99991231),INT(Sync!$J1850/10000)&amp;"/"&amp;RIGHT("00"&amp;INT(MOD(Sync!$J1850,10000)/100),2)&amp;"/"&amp;RIGHT("00"&amp;MOD(Sync!$J1850,100),2),"نامعتبر"),IF(LEN(Sync!$J1850)=10,Sync!$J1850,"نامعتبر")))</f>
        <v/>
      </c>
      <c r="R1850" t="str">
        <f t="shared" si="149"/>
        <v/>
      </c>
      <c r="S1850" t="str">
        <f t="shared" si="150"/>
        <v/>
      </c>
      <c r="T1850" t="str">
        <f>IF($N1850="","",IF(Sync!$N1850="",0,Sync!$N1850))</f>
        <v/>
      </c>
      <c r="U1850" t="str">
        <f>IF($N1850="","",IF(Sync!$O1850="",0,Sync!$O1850))</f>
        <v/>
      </c>
      <c r="V1850" t="str">
        <f>IF($N1850="","",Sync!$L1850)</f>
        <v/>
      </c>
      <c r="W1850" t="str">
        <f>IF($N1850="","",Sync!$P1850)</f>
        <v/>
      </c>
    </row>
    <row r="1851" spans="14:23" x14ac:dyDescent="0.2">
      <c r="N1851" t="str">
        <f>IF(OR(Sync!$M1851="",$Q1851="",$Q1851="نامعتبر"),"",Sync!$M1851)</f>
        <v/>
      </c>
      <c r="O1851" t="str">
        <f t="shared" si="148"/>
        <v/>
      </c>
      <c r="P1851" t="str">
        <f>IF($N1851="","",LEFT($Q1851,4)&amp;MID($Q1851,6,2)&amp;RIGHT($Q1851,2)&amp;IF(Sync!$K1851="","0000",IF(AND(ISNUMBER(Sync!$K1851),Sync!$K1851&gt;=0,Sync!$K1851&lt;1),RIGHT("00"&amp;HOUR(Sync!$K1851),2)&amp;RIGHT("00"&amp;MINUTE(Sync!$K1851),2),IFERROR(RIGHT("00"&amp;VALUE(LEFT(Sync!$K1851,FIND(":",Sync!$K1851)-1)),2)&amp;RIGHT("00"&amp;VALUE(MID(Sync!$K1851,FIND(":",Sync!$K1851)+1,2)),2),"0000")))&amp;"|"&amp;"2"&amp;RIGHT("00000"&amp;1846,5))</f>
        <v/>
      </c>
      <c r="Q1851" t="str">
        <f>IF(Sync!$J1851="","",IF(ISNUMBER(Sync!$J1851),IF(AND(Sync!$J1851&gt;=10000101,Sync!$J1851&lt;=99991231),INT(Sync!$J1851/10000)&amp;"/"&amp;RIGHT("00"&amp;INT(MOD(Sync!$J1851,10000)/100),2)&amp;"/"&amp;RIGHT("00"&amp;MOD(Sync!$J1851,100),2),"نامعتبر"),IF(LEN(Sync!$J1851)=10,Sync!$J1851,"نامعتبر")))</f>
        <v/>
      </c>
      <c r="R1851" t="str">
        <f t="shared" si="149"/>
        <v/>
      </c>
      <c r="S1851" t="str">
        <f t="shared" si="150"/>
        <v/>
      </c>
      <c r="T1851" t="str">
        <f>IF($N1851="","",IF(Sync!$N1851="",0,Sync!$N1851))</f>
        <v/>
      </c>
      <c r="U1851" t="str">
        <f>IF($N1851="","",IF(Sync!$O1851="",0,Sync!$O1851))</f>
        <v/>
      </c>
      <c r="V1851" t="str">
        <f>IF($N1851="","",Sync!$L1851)</f>
        <v/>
      </c>
      <c r="W1851" t="str">
        <f>IF($N1851="","",Sync!$P1851)</f>
        <v/>
      </c>
    </row>
    <row r="1852" spans="14:23" x14ac:dyDescent="0.2">
      <c r="N1852" t="str">
        <f>IF(OR(Sync!$M1852="",$Q1852="",$Q1852="نامعتبر"),"",Sync!$M1852)</f>
        <v/>
      </c>
      <c r="O1852" t="str">
        <f t="shared" si="148"/>
        <v/>
      </c>
      <c r="P1852" t="str">
        <f>IF($N1852="","",LEFT($Q1852,4)&amp;MID($Q1852,6,2)&amp;RIGHT($Q1852,2)&amp;IF(Sync!$K1852="","0000",IF(AND(ISNUMBER(Sync!$K1852),Sync!$K1852&gt;=0,Sync!$K1852&lt;1),RIGHT("00"&amp;HOUR(Sync!$K1852),2)&amp;RIGHT("00"&amp;MINUTE(Sync!$K1852),2),IFERROR(RIGHT("00"&amp;VALUE(LEFT(Sync!$K1852,FIND(":",Sync!$K1852)-1)),2)&amp;RIGHT("00"&amp;VALUE(MID(Sync!$K1852,FIND(":",Sync!$K1852)+1,2)),2),"0000")))&amp;"|"&amp;"2"&amp;RIGHT("00000"&amp;1847,5))</f>
        <v/>
      </c>
      <c r="Q1852" t="str">
        <f>IF(Sync!$J1852="","",IF(ISNUMBER(Sync!$J1852),IF(AND(Sync!$J1852&gt;=10000101,Sync!$J1852&lt;=99991231),INT(Sync!$J1852/10000)&amp;"/"&amp;RIGHT("00"&amp;INT(MOD(Sync!$J1852,10000)/100),2)&amp;"/"&amp;RIGHT("00"&amp;MOD(Sync!$J1852,100),2),"نامعتبر"),IF(LEN(Sync!$J1852)=10,Sync!$J1852,"نامعتبر")))</f>
        <v/>
      </c>
      <c r="R1852" t="str">
        <f t="shared" si="149"/>
        <v/>
      </c>
      <c r="S1852" t="str">
        <f t="shared" si="150"/>
        <v/>
      </c>
      <c r="T1852" t="str">
        <f>IF($N1852="","",IF(Sync!$N1852="",0,Sync!$N1852))</f>
        <v/>
      </c>
      <c r="U1852" t="str">
        <f>IF($N1852="","",IF(Sync!$O1852="",0,Sync!$O1852))</f>
        <v/>
      </c>
      <c r="V1852" t="str">
        <f>IF($N1852="","",Sync!$L1852)</f>
        <v/>
      </c>
      <c r="W1852" t="str">
        <f>IF($N1852="","",Sync!$P1852)</f>
        <v/>
      </c>
    </row>
    <row r="1853" spans="14:23" x14ac:dyDescent="0.2">
      <c r="N1853" t="str">
        <f>IF(OR(Sync!$M1853="",$Q1853="",$Q1853="نامعتبر"),"",Sync!$M1853)</f>
        <v/>
      </c>
      <c r="O1853" t="str">
        <f t="shared" si="148"/>
        <v/>
      </c>
      <c r="P1853" t="str">
        <f>IF($N1853="","",LEFT($Q1853,4)&amp;MID($Q1853,6,2)&amp;RIGHT($Q1853,2)&amp;IF(Sync!$K1853="","0000",IF(AND(ISNUMBER(Sync!$K1853),Sync!$K1853&gt;=0,Sync!$K1853&lt;1),RIGHT("00"&amp;HOUR(Sync!$K1853),2)&amp;RIGHT("00"&amp;MINUTE(Sync!$K1853),2),IFERROR(RIGHT("00"&amp;VALUE(LEFT(Sync!$K1853,FIND(":",Sync!$K1853)-1)),2)&amp;RIGHT("00"&amp;VALUE(MID(Sync!$K1853,FIND(":",Sync!$K1853)+1,2)),2),"0000")))&amp;"|"&amp;"2"&amp;RIGHT("00000"&amp;1848,5))</f>
        <v/>
      </c>
      <c r="Q1853" t="str">
        <f>IF(Sync!$J1853="","",IF(ISNUMBER(Sync!$J1853),IF(AND(Sync!$J1853&gt;=10000101,Sync!$J1853&lt;=99991231),INT(Sync!$J1853/10000)&amp;"/"&amp;RIGHT("00"&amp;INT(MOD(Sync!$J1853,10000)/100),2)&amp;"/"&amp;RIGHT("00"&amp;MOD(Sync!$J1853,100),2),"نامعتبر"),IF(LEN(Sync!$J1853)=10,Sync!$J1853,"نامعتبر")))</f>
        <v/>
      </c>
      <c r="R1853" t="str">
        <f t="shared" si="149"/>
        <v/>
      </c>
      <c r="S1853" t="str">
        <f t="shared" si="150"/>
        <v/>
      </c>
      <c r="T1853" t="str">
        <f>IF($N1853="","",IF(Sync!$N1853="",0,Sync!$N1853))</f>
        <v/>
      </c>
      <c r="U1853" t="str">
        <f>IF($N1853="","",IF(Sync!$O1853="",0,Sync!$O1853))</f>
        <v/>
      </c>
      <c r="V1853" t="str">
        <f>IF($N1853="","",Sync!$L1853)</f>
        <v/>
      </c>
      <c r="W1853" t="str">
        <f>IF($N1853="","",Sync!$P1853)</f>
        <v/>
      </c>
    </row>
    <row r="1854" spans="14:23" x14ac:dyDescent="0.2">
      <c r="N1854" t="str">
        <f>IF(OR(Sync!$M1854="",$Q1854="",$Q1854="نامعتبر"),"",Sync!$M1854)</f>
        <v/>
      </c>
      <c r="O1854" t="str">
        <f t="shared" si="148"/>
        <v/>
      </c>
      <c r="P1854" t="str">
        <f>IF($N1854="","",LEFT($Q1854,4)&amp;MID($Q1854,6,2)&amp;RIGHT($Q1854,2)&amp;IF(Sync!$K1854="","0000",IF(AND(ISNUMBER(Sync!$K1854),Sync!$K1854&gt;=0,Sync!$K1854&lt;1),RIGHT("00"&amp;HOUR(Sync!$K1854),2)&amp;RIGHT("00"&amp;MINUTE(Sync!$K1854),2),IFERROR(RIGHT("00"&amp;VALUE(LEFT(Sync!$K1854,FIND(":",Sync!$K1854)-1)),2)&amp;RIGHT("00"&amp;VALUE(MID(Sync!$K1854,FIND(":",Sync!$K1854)+1,2)),2),"0000")))&amp;"|"&amp;"2"&amp;RIGHT("00000"&amp;1849,5))</f>
        <v/>
      </c>
      <c r="Q1854" t="str">
        <f>IF(Sync!$J1854="","",IF(ISNUMBER(Sync!$J1854),IF(AND(Sync!$J1854&gt;=10000101,Sync!$J1854&lt;=99991231),INT(Sync!$J1854/10000)&amp;"/"&amp;RIGHT("00"&amp;INT(MOD(Sync!$J1854,10000)/100),2)&amp;"/"&amp;RIGHT("00"&amp;MOD(Sync!$J1854,100),2),"نامعتبر"),IF(LEN(Sync!$J1854)=10,Sync!$J1854,"نامعتبر")))</f>
        <v/>
      </c>
      <c r="R1854" t="str">
        <f t="shared" si="149"/>
        <v/>
      </c>
      <c r="S1854" t="str">
        <f t="shared" si="150"/>
        <v/>
      </c>
      <c r="T1854" t="str">
        <f>IF($N1854="","",IF(Sync!$N1854="",0,Sync!$N1854))</f>
        <v/>
      </c>
      <c r="U1854" t="str">
        <f>IF($N1854="","",IF(Sync!$O1854="",0,Sync!$O1854))</f>
        <v/>
      </c>
      <c r="V1854" t="str">
        <f>IF($N1854="","",Sync!$L1854)</f>
        <v/>
      </c>
      <c r="W1854" t="str">
        <f>IF($N1854="","",Sync!$P1854)</f>
        <v/>
      </c>
    </row>
    <row r="1855" spans="14:23" x14ac:dyDescent="0.2">
      <c r="N1855" t="str">
        <f>IF(OR(Sync!$M1855="",$Q1855="",$Q1855="نامعتبر"),"",Sync!$M1855)</f>
        <v/>
      </c>
      <c r="O1855" t="str">
        <f t="shared" si="148"/>
        <v/>
      </c>
      <c r="P1855" t="str">
        <f>IF($N1855="","",LEFT($Q1855,4)&amp;MID($Q1855,6,2)&amp;RIGHT($Q1855,2)&amp;IF(Sync!$K1855="","0000",IF(AND(ISNUMBER(Sync!$K1855),Sync!$K1855&gt;=0,Sync!$K1855&lt;1),RIGHT("00"&amp;HOUR(Sync!$K1855),2)&amp;RIGHT("00"&amp;MINUTE(Sync!$K1855),2),IFERROR(RIGHT("00"&amp;VALUE(LEFT(Sync!$K1855,FIND(":",Sync!$K1855)-1)),2)&amp;RIGHT("00"&amp;VALUE(MID(Sync!$K1855,FIND(":",Sync!$K1855)+1,2)),2),"0000")))&amp;"|"&amp;"2"&amp;RIGHT("00000"&amp;1850,5))</f>
        <v/>
      </c>
      <c r="Q1855" t="str">
        <f>IF(Sync!$J1855="","",IF(ISNUMBER(Sync!$J1855),IF(AND(Sync!$J1855&gt;=10000101,Sync!$J1855&lt;=99991231),INT(Sync!$J1855/10000)&amp;"/"&amp;RIGHT("00"&amp;INT(MOD(Sync!$J1855,10000)/100),2)&amp;"/"&amp;RIGHT("00"&amp;MOD(Sync!$J1855,100),2),"نامعتبر"),IF(LEN(Sync!$J1855)=10,Sync!$J1855,"نامعتبر")))</f>
        <v/>
      </c>
      <c r="R1855" t="str">
        <f t="shared" si="149"/>
        <v/>
      </c>
      <c r="S1855" t="str">
        <f t="shared" si="150"/>
        <v/>
      </c>
      <c r="T1855" t="str">
        <f>IF($N1855="","",IF(Sync!$N1855="",0,Sync!$N1855))</f>
        <v/>
      </c>
      <c r="U1855" t="str">
        <f>IF($N1855="","",IF(Sync!$O1855="",0,Sync!$O1855))</f>
        <v/>
      </c>
      <c r="V1855" t="str">
        <f>IF($N1855="","",Sync!$L1855)</f>
        <v/>
      </c>
      <c r="W1855" t="str">
        <f>IF($N1855="","",Sync!$P1855)</f>
        <v/>
      </c>
    </row>
    <row r="1856" spans="14:23" x14ac:dyDescent="0.2">
      <c r="N1856" t="str">
        <f>IF(OR(Sync!$M1856="",$Q1856="",$Q1856="نامعتبر"),"",Sync!$M1856)</f>
        <v/>
      </c>
      <c r="O1856" t="str">
        <f t="shared" si="148"/>
        <v/>
      </c>
      <c r="P1856" t="str">
        <f>IF($N1856="","",LEFT($Q1856,4)&amp;MID($Q1856,6,2)&amp;RIGHT($Q1856,2)&amp;IF(Sync!$K1856="","0000",IF(AND(ISNUMBER(Sync!$K1856),Sync!$K1856&gt;=0,Sync!$K1856&lt;1),RIGHT("00"&amp;HOUR(Sync!$K1856),2)&amp;RIGHT("00"&amp;MINUTE(Sync!$K1856),2),IFERROR(RIGHT("00"&amp;VALUE(LEFT(Sync!$K1856,FIND(":",Sync!$K1856)-1)),2)&amp;RIGHT("00"&amp;VALUE(MID(Sync!$K1856,FIND(":",Sync!$K1856)+1,2)),2),"0000")))&amp;"|"&amp;"2"&amp;RIGHT("00000"&amp;1851,5))</f>
        <v/>
      </c>
      <c r="Q1856" t="str">
        <f>IF(Sync!$J1856="","",IF(ISNUMBER(Sync!$J1856),IF(AND(Sync!$J1856&gt;=10000101,Sync!$J1856&lt;=99991231),INT(Sync!$J1856/10000)&amp;"/"&amp;RIGHT("00"&amp;INT(MOD(Sync!$J1856,10000)/100),2)&amp;"/"&amp;RIGHT("00"&amp;MOD(Sync!$J1856,100),2),"نامعتبر"),IF(LEN(Sync!$J1856)=10,Sync!$J1856,"نامعتبر")))</f>
        <v/>
      </c>
      <c r="R1856" t="str">
        <f t="shared" si="149"/>
        <v/>
      </c>
      <c r="S1856" t="str">
        <f t="shared" si="150"/>
        <v/>
      </c>
      <c r="T1856" t="str">
        <f>IF($N1856="","",IF(Sync!$N1856="",0,Sync!$N1856))</f>
        <v/>
      </c>
      <c r="U1856" t="str">
        <f>IF($N1856="","",IF(Sync!$O1856="",0,Sync!$O1856))</f>
        <v/>
      </c>
      <c r="V1856" t="str">
        <f>IF($N1856="","",Sync!$L1856)</f>
        <v/>
      </c>
      <c r="W1856" t="str">
        <f>IF($N1856="","",Sync!$P1856)</f>
        <v/>
      </c>
    </row>
    <row r="1857" spans="14:23" x14ac:dyDescent="0.2">
      <c r="N1857" t="str">
        <f>IF(OR(Sync!$M1857="",$Q1857="",$Q1857="نامعتبر"),"",Sync!$M1857)</f>
        <v/>
      </c>
      <c r="O1857" t="str">
        <f t="shared" si="148"/>
        <v/>
      </c>
      <c r="P1857" t="str">
        <f>IF($N1857="","",LEFT($Q1857,4)&amp;MID($Q1857,6,2)&amp;RIGHT($Q1857,2)&amp;IF(Sync!$K1857="","0000",IF(AND(ISNUMBER(Sync!$K1857),Sync!$K1857&gt;=0,Sync!$K1857&lt;1),RIGHT("00"&amp;HOUR(Sync!$K1857),2)&amp;RIGHT("00"&amp;MINUTE(Sync!$K1857),2),IFERROR(RIGHT("00"&amp;VALUE(LEFT(Sync!$K1857,FIND(":",Sync!$K1857)-1)),2)&amp;RIGHT("00"&amp;VALUE(MID(Sync!$K1857,FIND(":",Sync!$K1857)+1,2)),2),"0000")))&amp;"|"&amp;"2"&amp;RIGHT("00000"&amp;1852,5))</f>
        <v/>
      </c>
      <c r="Q1857" t="str">
        <f>IF(Sync!$J1857="","",IF(ISNUMBER(Sync!$J1857),IF(AND(Sync!$J1857&gt;=10000101,Sync!$J1857&lt;=99991231),INT(Sync!$J1857/10000)&amp;"/"&amp;RIGHT("00"&amp;INT(MOD(Sync!$J1857,10000)/100),2)&amp;"/"&amp;RIGHT("00"&amp;MOD(Sync!$J1857,100),2),"نامعتبر"),IF(LEN(Sync!$J1857)=10,Sync!$J1857,"نامعتبر")))</f>
        <v/>
      </c>
      <c r="R1857" t="str">
        <f t="shared" si="149"/>
        <v/>
      </c>
      <c r="S1857" t="str">
        <f t="shared" si="150"/>
        <v/>
      </c>
      <c r="T1857" t="str">
        <f>IF($N1857="","",IF(Sync!$N1857="",0,Sync!$N1857))</f>
        <v/>
      </c>
      <c r="U1857" t="str">
        <f>IF($N1857="","",IF(Sync!$O1857="",0,Sync!$O1857))</f>
        <v/>
      </c>
      <c r="V1857" t="str">
        <f>IF($N1857="","",Sync!$L1857)</f>
        <v/>
      </c>
      <c r="W1857" t="str">
        <f>IF($N1857="","",Sync!$P1857)</f>
        <v/>
      </c>
    </row>
    <row r="1858" spans="14:23" x14ac:dyDescent="0.2">
      <c r="N1858" t="str">
        <f>IF(OR(Sync!$M1858="",$Q1858="",$Q1858="نامعتبر"),"",Sync!$M1858)</f>
        <v/>
      </c>
      <c r="O1858" t="str">
        <f t="shared" si="148"/>
        <v/>
      </c>
      <c r="P1858" t="str">
        <f>IF($N1858="","",LEFT($Q1858,4)&amp;MID($Q1858,6,2)&amp;RIGHT($Q1858,2)&amp;IF(Sync!$K1858="","0000",IF(AND(ISNUMBER(Sync!$K1858),Sync!$K1858&gt;=0,Sync!$K1858&lt;1),RIGHT("00"&amp;HOUR(Sync!$K1858),2)&amp;RIGHT("00"&amp;MINUTE(Sync!$K1858),2),IFERROR(RIGHT("00"&amp;VALUE(LEFT(Sync!$K1858,FIND(":",Sync!$K1858)-1)),2)&amp;RIGHT("00"&amp;VALUE(MID(Sync!$K1858,FIND(":",Sync!$K1858)+1,2)),2),"0000")))&amp;"|"&amp;"2"&amp;RIGHT("00000"&amp;1853,5))</f>
        <v/>
      </c>
      <c r="Q1858" t="str">
        <f>IF(Sync!$J1858="","",IF(ISNUMBER(Sync!$J1858),IF(AND(Sync!$J1858&gt;=10000101,Sync!$J1858&lt;=99991231),INT(Sync!$J1858/10000)&amp;"/"&amp;RIGHT("00"&amp;INT(MOD(Sync!$J1858,10000)/100),2)&amp;"/"&amp;RIGHT("00"&amp;MOD(Sync!$J1858,100),2),"نامعتبر"),IF(LEN(Sync!$J1858)=10,Sync!$J1858,"نامعتبر")))</f>
        <v/>
      </c>
      <c r="R1858" t="str">
        <f t="shared" si="149"/>
        <v/>
      </c>
      <c r="S1858" t="str">
        <f t="shared" si="150"/>
        <v/>
      </c>
      <c r="T1858" t="str">
        <f>IF($N1858="","",IF(Sync!$N1858="",0,Sync!$N1858))</f>
        <v/>
      </c>
      <c r="U1858" t="str">
        <f>IF($N1858="","",IF(Sync!$O1858="",0,Sync!$O1858))</f>
        <v/>
      </c>
      <c r="V1858" t="str">
        <f>IF($N1858="","",Sync!$L1858)</f>
        <v/>
      </c>
      <c r="W1858" t="str">
        <f>IF($N1858="","",Sync!$P1858)</f>
        <v/>
      </c>
    </row>
    <row r="1859" spans="14:23" x14ac:dyDescent="0.2">
      <c r="N1859" t="str">
        <f>IF(OR(Sync!$M1859="",$Q1859="",$Q1859="نامعتبر"),"",Sync!$M1859)</f>
        <v/>
      </c>
      <c r="O1859" t="str">
        <f t="shared" si="148"/>
        <v/>
      </c>
      <c r="P1859" t="str">
        <f>IF($N1859="","",LEFT($Q1859,4)&amp;MID($Q1859,6,2)&amp;RIGHT($Q1859,2)&amp;IF(Sync!$K1859="","0000",IF(AND(ISNUMBER(Sync!$K1859),Sync!$K1859&gt;=0,Sync!$K1859&lt;1),RIGHT("00"&amp;HOUR(Sync!$K1859),2)&amp;RIGHT("00"&amp;MINUTE(Sync!$K1859),2),IFERROR(RIGHT("00"&amp;VALUE(LEFT(Sync!$K1859,FIND(":",Sync!$K1859)-1)),2)&amp;RIGHT("00"&amp;VALUE(MID(Sync!$K1859,FIND(":",Sync!$K1859)+1,2)),2),"0000")))&amp;"|"&amp;"2"&amp;RIGHT("00000"&amp;1854,5))</f>
        <v/>
      </c>
      <c r="Q1859" t="str">
        <f>IF(Sync!$J1859="","",IF(ISNUMBER(Sync!$J1859),IF(AND(Sync!$J1859&gt;=10000101,Sync!$J1859&lt;=99991231),INT(Sync!$J1859/10000)&amp;"/"&amp;RIGHT("00"&amp;INT(MOD(Sync!$J1859,10000)/100),2)&amp;"/"&amp;RIGHT("00"&amp;MOD(Sync!$J1859,100),2),"نامعتبر"),IF(LEN(Sync!$J1859)=10,Sync!$J1859,"نامعتبر")))</f>
        <v/>
      </c>
      <c r="R1859" t="str">
        <f t="shared" si="149"/>
        <v/>
      </c>
      <c r="S1859" t="str">
        <f t="shared" si="150"/>
        <v/>
      </c>
      <c r="T1859" t="str">
        <f>IF($N1859="","",IF(Sync!$N1859="",0,Sync!$N1859))</f>
        <v/>
      </c>
      <c r="U1859" t="str">
        <f>IF($N1859="","",IF(Sync!$O1859="",0,Sync!$O1859))</f>
        <v/>
      </c>
      <c r="V1859" t="str">
        <f>IF($N1859="","",Sync!$L1859)</f>
        <v/>
      </c>
      <c r="W1859" t="str">
        <f>IF($N1859="","",Sync!$P1859)</f>
        <v/>
      </c>
    </row>
    <row r="1860" spans="14:23" x14ac:dyDescent="0.2">
      <c r="N1860" t="str">
        <f>IF(OR(Sync!$M1860="",$Q1860="",$Q1860="نامعتبر"),"",Sync!$M1860)</f>
        <v/>
      </c>
      <c r="O1860" t="str">
        <f t="shared" si="148"/>
        <v/>
      </c>
      <c r="P1860" t="str">
        <f>IF($N1860="","",LEFT($Q1860,4)&amp;MID($Q1860,6,2)&amp;RIGHT($Q1860,2)&amp;IF(Sync!$K1860="","0000",IF(AND(ISNUMBER(Sync!$K1860),Sync!$K1860&gt;=0,Sync!$K1860&lt;1),RIGHT("00"&amp;HOUR(Sync!$K1860),2)&amp;RIGHT("00"&amp;MINUTE(Sync!$K1860),2),IFERROR(RIGHT("00"&amp;VALUE(LEFT(Sync!$K1860,FIND(":",Sync!$K1860)-1)),2)&amp;RIGHT("00"&amp;VALUE(MID(Sync!$K1860,FIND(":",Sync!$K1860)+1,2)),2),"0000")))&amp;"|"&amp;"2"&amp;RIGHT("00000"&amp;1855,5))</f>
        <v/>
      </c>
      <c r="Q1860" t="str">
        <f>IF(Sync!$J1860="","",IF(ISNUMBER(Sync!$J1860),IF(AND(Sync!$J1860&gt;=10000101,Sync!$J1860&lt;=99991231),INT(Sync!$J1860/10000)&amp;"/"&amp;RIGHT("00"&amp;INT(MOD(Sync!$J1860,10000)/100),2)&amp;"/"&amp;RIGHT("00"&amp;MOD(Sync!$J1860,100),2),"نامعتبر"),IF(LEN(Sync!$J1860)=10,Sync!$J1860,"نامعتبر")))</f>
        <v/>
      </c>
      <c r="R1860" t="str">
        <f t="shared" si="149"/>
        <v/>
      </c>
      <c r="S1860" t="str">
        <f t="shared" si="150"/>
        <v/>
      </c>
      <c r="T1860" t="str">
        <f>IF($N1860="","",IF(Sync!$N1860="",0,Sync!$N1860))</f>
        <v/>
      </c>
      <c r="U1860" t="str">
        <f>IF($N1860="","",IF(Sync!$O1860="",0,Sync!$O1860))</f>
        <v/>
      </c>
      <c r="V1860" t="str">
        <f>IF($N1860="","",Sync!$L1860)</f>
        <v/>
      </c>
      <c r="W1860" t="str">
        <f>IF($N1860="","",Sync!$P1860)</f>
        <v/>
      </c>
    </row>
    <row r="1861" spans="14:23" x14ac:dyDescent="0.2">
      <c r="N1861" t="str">
        <f>IF(OR(Sync!$M1861="",$Q1861="",$Q1861="نامعتبر"),"",Sync!$M1861)</f>
        <v/>
      </c>
      <c r="O1861" t="str">
        <f t="shared" si="148"/>
        <v/>
      </c>
      <c r="P1861" t="str">
        <f>IF($N1861="","",LEFT($Q1861,4)&amp;MID($Q1861,6,2)&amp;RIGHT($Q1861,2)&amp;IF(Sync!$K1861="","0000",IF(AND(ISNUMBER(Sync!$K1861),Sync!$K1861&gt;=0,Sync!$K1861&lt;1),RIGHT("00"&amp;HOUR(Sync!$K1861),2)&amp;RIGHT("00"&amp;MINUTE(Sync!$K1861),2),IFERROR(RIGHT("00"&amp;VALUE(LEFT(Sync!$K1861,FIND(":",Sync!$K1861)-1)),2)&amp;RIGHT("00"&amp;VALUE(MID(Sync!$K1861,FIND(":",Sync!$K1861)+1,2)),2),"0000")))&amp;"|"&amp;"2"&amp;RIGHT("00000"&amp;1856,5))</f>
        <v/>
      </c>
      <c r="Q1861" t="str">
        <f>IF(Sync!$J1861="","",IF(ISNUMBER(Sync!$J1861),IF(AND(Sync!$J1861&gt;=10000101,Sync!$J1861&lt;=99991231),INT(Sync!$J1861/10000)&amp;"/"&amp;RIGHT("00"&amp;INT(MOD(Sync!$J1861,10000)/100),2)&amp;"/"&amp;RIGHT("00"&amp;MOD(Sync!$J1861,100),2),"نامعتبر"),IF(LEN(Sync!$J1861)=10,Sync!$J1861,"نامعتبر")))</f>
        <v/>
      </c>
      <c r="R1861" t="str">
        <f t="shared" si="149"/>
        <v/>
      </c>
      <c r="S1861" t="str">
        <f t="shared" si="150"/>
        <v/>
      </c>
      <c r="T1861" t="str">
        <f>IF($N1861="","",IF(Sync!$N1861="",0,Sync!$N1861))</f>
        <v/>
      </c>
      <c r="U1861" t="str">
        <f>IF($N1861="","",IF(Sync!$O1861="",0,Sync!$O1861))</f>
        <v/>
      </c>
      <c r="V1861" t="str">
        <f>IF($N1861="","",Sync!$L1861)</f>
        <v/>
      </c>
      <c r="W1861" t="str">
        <f>IF($N1861="","",Sync!$P1861)</f>
        <v/>
      </c>
    </row>
    <row r="1862" spans="14:23" x14ac:dyDescent="0.2">
      <c r="N1862" t="str">
        <f>IF(OR(Sync!$M1862="",$Q1862="",$Q1862="نامعتبر"),"",Sync!$M1862)</f>
        <v/>
      </c>
      <c r="O1862" t="str">
        <f t="shared" ref="O1862:O1925" si="151">IF($N1862="","",$Q1862)</f>
        <v/>
      </c>
      <c r="P1862" t="str">
        <f>IF($N1862="","",LEFT($Q1862,4)&amp;MID($Q1862,6,2)&amp;RIGHT($Q1862,2)&amp;IF(Sync!$K1862="","0000",IF(AND(ISNUMBER(Sync!$K1862),Sync!$K1862&gt;=0,Sync!$K1862&lt;1),RIGHT("00"&amp;HOUR(Sync!$K1862),2)&amp;RIGHT("00"&amp;MINUTE(Sync!$K1862),2),IFERROR(RIGHT("00"&amp;VALUE(LEFT(Sync!$K1862,FIND(":",Sync!$K1862)-1)),2)&amp;RIGHT("00"&amp;VALUE(MID(Sync!$K1862,FIND(":",Sync!$K1862)+1,2)),2),"0000")))&amp;"|"&amp;"2"&amp;RIGHT("00000"&amp;1857,5))</f>
        <v/>
      </c>
      <c r="Q1862" t="str">
        <f>IF(Sync!$J1862="","",IF(ISNUMBER(Sync!$J1862),IF(AND(Sync!$J1862&gt;=10000101,Sync!$J1862&lt;=99991231),INT(Sync!$J1862/10000)&amp;"/"&amp;RIGHT("00"&amp;INT(MOD(Sync!$J1862,10000)/100),2)&amp;"/"&amp;RIGHT("00"&amp;MOD(Sync!$J1862,100),2),"نامعتبر"),IF(LEN(Sync!$J1862)=10,Sync!$J1862,"نامعتبر")))</f>
        <v/>
      </c>
      <c r="R1862" t="str">
        <f t="shared" ref="R1862:R1925" si="152">IF($P1862="","",COUNTIFS($N$6:$N$2005,$N1862,$P$6:$P$2005,"&lt;"&amp;$P1862)+COUNTIFS($A$6:$A$1005,$N1862,$B$6:$B$1005,"&lt;"&amp;$P1862)+1)</f>
        <v/>
      </c>
      <c r="S1862" t="str">
        <f t="shared" ref="S1862:S1925" si="153">IF($N1862="","",$N1862&amp;"|"&amp;RIGHT("000000"&amp;$R1862,6))</f>
        <v/>
      </c>
      <c r="T1862" t="str">
        <f>IF($N1862="","",IF(Sync!$N1862="",0,Sync!$N1862))</f>
        <v/>
      </c>
      <c r="U1862" t="str">
        <f>IF($N1862="","",IF(Sync!$O1862="",0,Sync!$O1862))</f>
        <v/>
      </c>
      <c r="V1862" t="str">
        <f>IF($N1862="","",Sync!$L1862)</f>
        <v/>
      </c>
      <c r="W1862" t="str">
        <f>IF($N1862="","",Sync!$P1862)</f>
        <v/>
      </c>
    </row>
    <row r="1863" spans="14:23" x14ac:dyDescent="0.2">
      <c r="N1863" t="str">
        <f>IF(OR(Sync!$M1863="",$Q1863="",$Q1863="نامعتبر"),"",Sync!$M1863)</f>
        <v/>
      </c>
      <c r="O1863" t="str">
        <f t="shared" si="151"/>
        <v/>
      </c>
      <c r="P1863" t="str">
        <f>IF($N1863="","",LEFT($Q1863,4)&amp;MID($Q1863,6,2)&amp;RIGHT($Q1863,2)&amp;IF(Sync!$K1863="","0000",IF(AND(ISNUMBER(Sync!$K1863),Sync!$K1863&gt;=0,Sync!$K1863&lt;1),RIGHT("00"&amp;HOUR(Sync!$K1863),2)&amp;RIGHT("00"&amp;MINUTE(Sync!$K1863),2),IFERROR(RIGHT("00"&amp;VALUE(LEFT(Sync!$K1863,FIND(":",Sync!$K1863)-1)),2)&amp;RIGHT("00"&amp;VALUE(MID(Sync!$K1863,FIND(":",Sync!$K1863)+1,2)),2),"0000")))&amp;"|"&amp;"2"&amp;RIGHT("00000"&amp;1858,5))</f>
        <v/>
      </c>
      <c r="Q1863" t="str">
        <f>IF(Sync!$J1863="","",IF(ISNUMBER(Sync!$J1863),IF(AND(Sync!$J1863&gt;=10000101,Sync!$J1863&lt;=99991231),INT(Sync!$J1863/10000)&amp;"/"&amp;RIGHT("00"&amp;INT(MOD(Sync!$J1863,10000)/100),2)&amp;"/"&amp;RIGHT("00"&amp;MOD(Sync!$J1863,100),2),"نامعتبر"),IF(LEN(Sync!$J1863)=10,Sync!$J1863,"نامعتبر")))</f>
        <v/>
      </c>
      <c r="R1863" t="str">
        <f t="shared" si="152"/>
        <v/>
      </c>
      <c r="S1863" t="str">
        <f t="shared" si="153"/>
        <v/>
      </c>
      <c r="T1863" t="str">
        <f>IF($N1863="","",IF(Sync!$N1863="",0,Sync!$N1863))</f>
        <v/>
      </c>
      <c r="U1863" t="str">
        <f>IF($N1863="","",IF(Sync!$O1863="",0,Sync!$O1863))</f>
        <v/>
      </c>
      <c r="V1863" t="str">
        <f>IF($N1863="","",Sync!$L1863)</f>
        <v/>
      </c>
      <c r="W1863" t="str">
        <f>IF($N1863="","",Sync!$P1863)</f>
        <v/>
      </c>
    </row>
    <row r="1864" spans="14:23" x14ac:dyDescent="0.2">
      <c r="N1864" t="str">
        <f>IF(OR(Sync!$M1864="",$Q1864="",$Q1864="نامعتبر"),"",Sync!$M1864)</f>
        <v/>
      </c>
      <c r="O1864" t="str">
        <f t="shared" si="151"/>
        <v/>
      </c>
      <c r="P1864" t="str">
        <f>IF($N1864="","",LEFT($Q1864,4)&amp;MID($Q1864,6,2)&amp;RIGHT($Q1864,2)&amp;IF(Sync!$K1864="","0000",IF(AND(ISNUMBER(Sync!$K1864),Sync!$K1864&gt;=0,Sync!$K1864&lt;1),RIGHT("00"&amp;HOUR(Sync!$K1864),2)&amp;RIGHT("00"&amp;MINUTE(Sync!$K1864),2),IFERROR(RIGHT("00"&amp;VALUE(LEFT(Sync!$K1864,FIND(":",Sync!$K1864)-1)),2)&amp;RIGHT("00"&amp;VALUE(MID(Sync!$K1864,FIND(":",Sync!$K1864)+1,2)),2),"0000")))&amp;"|"&amp;"2"&amp;RIGHT("00000"&amp;1859,5))</f>
        <v/>
      </c>
      <c r="Q1864" t="str">
        <f>IF(Sync!$J1864="","",IF(ISNUMBER(Sync!$J1864),IF(AND(Sync!$J1864&gt;=10000101,Sync!$J1864&lt;=99991231),INT(Sync!$J1864/10000)&amp;"/"&amp;RIGHT("00"&amp;INT(MOD(Sync!$J1864,10000)/100),2)&amp;"/"&amp;RIGHT("00"&amp;MOD(Sync!$J1864,100),2),"نامعتبر"),IF(LEN(Sync!$J1864)=10,Sync!$J1864,"نامعتبر")))</f>
        <v/>
      </c>
      <c r="R1864" t="str">
        <f t="shared" si="152"/>
        <v/>
      </c>
      <c r="S1864" t="str">
        <f t="shared" si="153"/>
        <v/>
      </c>
      <c r="T1864" t="str">
        <f>IF($N1864="","",IF(Sync!$N1864="",0,Sync!$N1864))</f>
        <v/>
      </c>
      <c r="U1864" t="str">
        <f>IF($N1864="","",IF(Sync!$O1864="",0,Sync!$O1864))</f>
        <v/>
      </c>
      <c r="V1864" t="str">
        <f>IF($N1864="","",Sync!$L1864)</f>
        <v/>
      </c>
      <c r="W1864" t="str">
        <f>IF($N1864="","",Sync!$P1864)</f>
        <v/>
      </c>
    </row>
    <row r="1865" spans="14:23" x14ac:dyDescent="0.2">
      <c r="N1865" t="str">
        <f>IF(OR(Sync!$M1865="",$Q1865="",$Q1865="نامعتبر"),"",Sync!$M1865)</f>
        <v/>
      </c>
      <c r="O1865" t="str">
        <f t="shared" si="151"/>
        <v/>
      </c>
      <c r="P1865" t="str">
        <f>IF($N1865="","",LEFT($Q1865,4)&amp;MID($Q1865,6,2)&amp;RIGHT($Q1865,2)&amp;IF(Sync!$K1865="","0000",IF(AND(ISNUMBER(Sync!$K1865),Sync!$K1865&gt;=0,Sync!$K1865&lt;1),RIGHT("00"&amp;HOUR(Sync!$K1865),2)&amp;RIGHT("00"&amp;MINUTE(Sync!$K1865),2),IFERROR(RIGHT("00"&amp;VALUE(LEFT(Sync!$K1865,FIND(":",Sync!$K1865)-1)),2)&amp;RIGHT("00"&amp;VALUE(MID(Sync!$K1865,FIND(":",Sync!$K1865)+1,2)),2),"0000")))&amp;"|"&amp;"2"&amp;RIGHT("00000"&amp;1860,5))</f>
        <v/>
      </c>
      <c r="Q1865" t="str">
        <f>IF(Sync!$J1865="","",IF(ISNUMBER(Sync!$J1865),IF(AND(Sync!$J1865&gt;=10000101,Sync!$J1865&lt;=99991231),INT(Sync!$J1865/10000)&amp;"/"&amp;RIGHT("00"&amp;INT(MOD(Sync!$J1865,10000)/100),2)&amp;"/"&amp;RIGHT("00"&amp;MOD(Sync!$J1865,100),2),"نامعتبر"),IF(LEN(Sync!$J1865)=10,Sync!$J1865,"نامعتبر")))</f>
        <v/>
      </c>
      <c r="R1865" t="str">
        <f t="shared" si="152"/>
        <v/>
      </c>
      <c r="S1865" t="str">
        <f t="shared" si="153"/>
        <v/>
      </c>
      <c r="T1865" t="str">
        <f>IF($N1865="","",IF(Sync!$N1865="",0,Sync!$N1865))</f>
        <v/>
      </c>
      <c r="U1865" t="str">
        <f>IF($N1865="","",IF(Sync!$O1865="",0,Sync!$O1865))</f>
        <v/>
      </c>
      <c r="V1865" t="str">
        <f>IF($N1865="","",Sync!$L1865)</f>
        <v/>
      </c>
      <c r="W1865" t="str">
        <f>IF($N1865="","",Sync!$P1865)</f>
        <v/>
      </c>
    </row>
    <row r="1866" spans="14:23" x14ac:dyDescent="0.2">
      <c r="N1866" t="str">
        <f>IF(OR(Sync!$M1866="",$Q1866="",$Q1866="نامعتبر"),"",Sync!$M1866)</f>
        <v/>
      </c>
      <c r="O1866" t="str">
        <f t="shared" si="151"/>
        <v/>
      </c>
      <c r="P1866" t="str">
        <f>IF($N1866="","",LEFT($Q1866,4)&amp;MID($Q1866,6,2)&amp;RIGHT($Q1866,2)&amp;IF(Sync!$K1866="","0000",IF(AND(ISNUMBER(Sync!$K1866),Sync!$K1866&gt;=0,Sync!$K1866&lt;1),RIGHT("00"&amp;HOUR(Sync!$K1866),2)&amp;RIGHT("00"&amp;MINUTE(Sync!$K1866),2),IFERROR(RIGHT("00"&amp;VALUE(LEFT(Sync!$K1866,FIND(":",Sync!$K1866)-1)),2)&amp;RIGHT("00"&amp;VALUE(MID(Sync!$K1866,FIND(":",Sync!$K1866)+1,2)),2),"0000")))&amp;"|"&amp;"2"&amp;RIGHT("00000"&amp;1861,5))</f>
        <v/>
      </c>
      <c r="Q1866" t="str">
        <f>IF(Sync!$J1866="","",IF(ISNUMBER(Sync!$J1866),IF(AND(Sync!$J1866&gt;=10000101,Sync!$J1866&lt;=99991231),INT(Sync!$J1866/10000)&amp;"/"&amp;RIGHT("00"&amp;INT(MOD(Sync!$J1866,10000)/100),2)&amp;"/"&amp;RIGHT("00"&amp;MOD(Sync!$J1866,100),2),"نامعتبر"),IF(LEN(Sync!$J1866)=10,Sync!$J1866,"نامعتبر")))</f>
        <v/>
      </c>
      <c r="R1866" t="str">
        <f t="shared" si="152"/>
        <v/>
      </c>
      <c r="S1866" t="str">
        <f t="shared" si="153"/>
        <v/>
      </c>
      <c r="T1866" t="str">
        <f>IF($N1866="","",IF(Sync!$N1866="",0,Sync!$N1866))</f>
        <v/>
      </c>
      <c r="U1866" t="str">
        <f>IF($N1866="","",IF(Sync!$O1866="",0,Sync!$O1866))</f>
        <v/>
      </c>
      <c r="V1866" t="str">
        <f>IF($N1866="","",Sync!$L1866)</f>
        <v/>
      </c>
      <c r="W1866" t="str">
        <f>IF($N1866="","",Sync!$P1866)</f>
        <v/>
      </c>
    </row>
    <row r="1867" spans="14:23" x14ac:dyDescent="0.2">
      <c r="N1867" t="str">
        <f>IF(OR(Sync!$M1867="",$Q1867="",$Q1867="نامعتبر"),"",Sync!$M1867)</f>
        <v/>
      </c>
      <c r="O1867" t="str">
        <f t="shared" si="151"/>
        <v/>
      </c>
      <c r="P1867" t="str">
        <f>IF($N1867="","",LEFT($Q1867,4)&amp;MID($Q1867,6,2)&amp;RIGHT($Q1867,2)&amp;IF(Sync!$K1867="","0000",IF(AND(ISNUMBER(Sync!$K1867),Sync!$K1867&gt;=0,Sync!$K1867&lt;1),RIGHT("00"&amp;HOUR(Sync!$K1867),2)&amp;RIGHT("00"&amp;MINUTE(Sync!$K1867),2),IFERROR(RIGHT("00"&amp;VALUE(LEFT(Sync!$K1867,FIND(":",Sync!$K1867)-1)),2)&amp;RIGHT("00"&amp;VALUE(MID(Sync!$K1867,FIND(":",Sync!$K1867)+1,2)),2),"0000")))&amp;"|"&amp;"2"&amp;RIGHT("00000"&amp;1862,5))</f>
        <v/>
      </c>
      <c r="Q1867" t="str">
        <f>IF(Sync!$J1867="","",IF(ISNUMBER(Sync!$J1867),IF(AND(Sync!$J1867&gt;=10000101,Sync!$J1867&lt;=99991231),INT(Sync!$J1867/10000)&amp;"/"&amp;RIGHT("00"&amp;INT(MOD(Sync!$J1867,10000)/100),2)&amp;"/"&amp;RIGHT("00"&amp;MOD(Sync!$J1867,100),2),"نامعتبر"),IF(LEN(Sync!$J1867)=10,Sync!$J1867,"نامعتبر")))</f>
        <v/>
      </c>
      <c r="R1867" t="str">
        <f t="shared" si="152"/>
        <v/>
      </c>
      <c r="S1867" t="str">
        <f t="shared" si="153"/>
        <v/>
      </c>
      <c r="T1867" t="str">
        <f>IF($N1867="","",IF(Sync!$N1867="",0,Sync!$N1867))</f>
        <v/>
      </c>
      <c r="U1867" t="str">
        <f>IF($N1867="","",IF(Sync!$O1867="",0,Sync!$O1867))</f>
        <v/>
      </c>
      <c r="V1867" t="str">
        <f>IF($N1867="","",Sync!$L1867)</f>
        <v/>
      </c>
      <c r="W1867" t="str">
        <f>IF($N1867="","",Sync!$P1867)</f>
        <v/>
      </c>
    </row>
    <row r="1868" spans="14:23" x14ac:dyDescent="0.2">
      <c r="N1868" t="str">
        <f>IF(OR(Sync!$M1868="",$Q1868="",$Q1868="نامعتبر"),"",Sync!$M1868)</f>
        <v/>
      </c>
      <c r="O1868" t="str">
        <f t="shared" si="151"/>
        <v/>
      </c>
      <c r="P1868" t="str">
        <f>IF($N1868="","",LEFT($Q1868,4)&amp;MID($Q1868,6,2)&amp;RIGHT($Q1868,2)&amp;IF(Sync!$K1868="","0000",IF(AND(ISNUMBER(Sync!$K1868),Sync!$K1868&gt;=0,Sync!$K1868&lt;1),RIGHT("00"&amp;HOUR(Sync!$K1868),2)&amp;RIGHT("00"&amp;MINUTE(Sync!$K1868),2),IFERROR(RIGHT("00"&amp;VALUE(LEFT(Sync!$K1868,FIND(":",Sync!$K1868)-1)),2)&amp;RIGHT("00"&amp;VALUE(MID(Sync!$K1868,FIND(":",Sync!$K1868)+1,2)),2),"0000")))&amp;"|"&amp;"2"&amp;RIGHT("00000"&amp;1863,5))</f>
        <v/>
      </c>
      <c r="Q1868" t="str">
        <f>IF(Sync!$J1868="","",IF(ISNUMBER(Sync!$J1868),IF(AND(Sync!$J1868&gt;=10000101,Sync!$J1868&lt;=99991231),INT(Sync!$J1868/10000)&amp;"/"&amp;RIGHT("00"&amp;INT(MOD(Sync!$J1868,10000)/100),2)&amp;"/"&amp;RIGHT("00"&amp;MOD(Sync!$J1868,100),2),"نامعتبر"),IF(LEN(Sync!$J1868)=10,Sync!$J1868,"نامعتبر")))</f>
        <v/>
      </c>
      <c r="R1868" t="str">
        <f t="shared" si="152"/>
        <v/>
      </c>
      <c r="S1868" t="str">
        <f t="shared" si="153"/>
        <v/>
      </c>
      <c r="T1868" t="str">
        <f>IF($N1868="","",IF(Sync!$N1868="",0,Sync!$N1868))</f>
        <v/>
      </c>
      <c r="U1868" t="str">
        <f>IF($N1868="","",IF(Sync!$O1868="",0,Sync!$O1868))</f>
        <v/>
      </c>
      <c r="V1868" t="str">
        <f>IF($N1868="","",Sync!$L1868)</f>
        <v/>
      </c>
      <c r="W1868" t="str">
        <f>IF($N1868="","",Sync!$P1868)</f>
        <v/>
      </c>
    </row>
    <row r="1869" spans="14:23" x14ac:dyDescent="0.2">
      <c r="N1869" t="str">
        <f>IF(OR(Sync!$M1869="",$Q1869="",$Q1869="نامعتبر"),"",Sync!$M1869)</f>
        <v/>
      </c>
      <c r="O1869" t="str">
        <f t="shared" si="151"/>
        <v/>
      </c>
      <c r="P1869" t="str">
        <f>IF($N1869="","",LEFT($Q1869,4)&amp;MID($Q1869,6,2)&amp;RIGHT($Q1869,2)&amp;IF(Sync!$K1869="","0000",IF(AND(ISNUMBER(Sync!$K1869),Sync!$K1869&gt;=0,Sync!$K1869&lt;1),RIGHT("00"&amp;HOUR(Sync!$K1869),2)&amp;RIGHT("00"&amp;MINUTE(Sync!$K1869),2),IFERROR(RIGHT("00"&amp;VALUE(LEFT(Sync!$K1869,FIND(":",Sync!$K1869)-1)),2)&amp;RIGHT("00"&amp;VALUE(MID(Sync!$K1869,FIND(":",Sync!$K1869)+1,2)),2),"0000")))&amp;"|"&amp;"2"&amp;RIGHT("00000"&amp;1864,5))</f>
        <v/>
      </c>
      <c r="Q1869" t="str">
        <f>IF(Sync!$J1869="","",IF(ISNUMBER(Sync!$J1869),IF(AND(Sync!$J1869&gt;=10000101,Sync!$J1869&lt;=99991231),INT(Sync!$J1869/10000)&amp;"/"&amp;RIGHT("00"&amp;INT(MOD(Sync!$J1869,10000)/100),2)&amp;"/"&amp;RIGHT("00"&amp;MOD(Sync!$J1869,100),2),"نامعتبر"),IF(LEN(Sync!$J1869)=10,Sync!$J1869,"نامعتبر")))</f>
        <v/>
      </c>
      <c r="R1869" t="str">
        <f t="shared" si="152"/>
        <v/>
      </c>
      <c r="S1869" t="str">
        <f t="shared" si="153"/>
        <v/>
      </c>
      <c r="T1869" t="str">
        <f>IF($N1869="","",IF(Sync!$N1869="",0,Sync!$N1869))</f>
        <v/>
      </c>
      <c r="U1869" t="str">
        <f>IF($N1869="","",IF(Sync!$O1869="",0,Sync!$O1869))</f>
        <v/>
      </c>
      <c r="V1869" t="str">
        <f>IF($N1869="","",Sync!$L1869)</f>
        <v/>
      </c>
      <c r="W1869" t="str">
        <f>IF($N1869="","",Sync!$P1869)</f>
        <v/>
      </c>
    </row>
    <row r="1870" spans="14:23" x14ac:dyDescent="0.2">
      <c r="N1870" t="str">
        <f>IF(OR(Sync!$M1870="",$Q1870="",$Q1870="نامعتبر"),"",Sync!$M1870)</f>
        <v/>
      </c>
      <c r="O1870" t="str">
        <f t="shared" si="151"/>
        <v/>
      </c>
      <c r="P1870" t="str">
        <f>IF($N1870="","",LEFT($Q1870,4)&amp;MID($Q1870,6,2)&amp;RIGHT($Q1870,2)&amp;IF(Sync!$K1870="","0000",IF(AND(ISNUMBER(Sync!$K1870),Sync!$K1870&gt;=0,Sync!$K1870&lt;1),RIGHT("00"&amp;HOUR(Sync!$K1870),2)&amp;RIGHT("00"&amp;MINUTE(Sync!$K1870),2),IFERROR(RIGHT("00"&amp;VALUE(LEFT(Sync!$K1870,FIND(":",Sync!$K1870)-1)),2)&amp;RIGHT("00"&amp;VALUE(MID(Sync!$K1870,FIND(":",Sync!$K1870)+1,2)),2),"0000")))&amp;"|"&amp;"2"&amp;RIGHT("00000"&amp;1865,5))</f>
        <v/>
      </c>
      <c r="Q1870" t="str">
        <f>IF(Sync!$J1870="","",IF(ISNUMBER(Sync!$J1870),IF(AND(Sync!$J1870&gt;=10000101,Sync!$J1870&lt;=99991231),INT(Sync!$J1870/10000)&amp;"/"&amp;RIGHT("00"&amp;INT(MOD(Sync!$J1870,10000)/100),2)&amp;"/"&amp;RIGHT("00"&amp;MOD(Sync!$J1870,100),2),"نامعتبر"),IF(LEN(Sync!$J1870)=10,Sync!$J1870,"نامعتبر")))</f>
        <v/>
      </c>
      <c r="R1870" t="str">
        <f t="shared" si="152"/>
        <v/>
      </c>
      <c r="S1870" t="str">
        <f t="shared" si="153"/>
        <v/>
      </c>
      <c r="T1870" t="str">
        <f>IF($N1870="","",IF(Sync!$N1870="",0,Sync!$N1870))</f>
        <v/>
      </c>
      <c r="U1870" t="str">
        <f>IF($N1870="","",IF(Sync!$O1870="",0,Sync!$O1870))</f>
        <v/>
      </c>
      <c r="V1870" t="str">
        <f>IF($N1870="","",Sync!$L1870)</f>
        <v/>
      </c>
      <c r="W1870" t="str">
        <f>IF($N1870="","",Sync!$P1870)</f>
        <v/>
      </c>
    </row>
    <row r="1871" spans="14:23" x14ac:dyDescent="0.2">
      <c r="N1871" t="str">
        <f>IF(OR(Sync!$M1871="",$Q1871="",$Q1871="نامعتبر"),"",Sync!$M1871)</f>
        <v/>
      </c>
      <c r="O1871" t="str">
        <f t="shared" si="151"/>
        <v/>
      </c>
      <c r="P1871" t="str">
        <f>IF($N1871="","",LEFT($Q1871,4)&amp;MID($Q1871,6,2)&amp;RIGHT($Q1871,2)&amp;IF(Sync!$K1871="","0000",IF(AND(ISNUMBER(Sync!$K1871),Sync!$K1871&gt;=0,Sync!$K1871&lt;1),RIGHT("00"&amp;HOUR(Sync!$K1871),2)&amp;RIGHT("00"&amp;MINUTE(Sync!$K1871),2),IFERROR(RIGHT("00"&amp;VALUE(LEFT(Sync!$K1871,FIND(":",Sync!$K1871)-1)),2)&amp;RIGHT("00"&amp;VALUE(MID(Sync!$K1871,FIND(":",Sync!$K1871)+1,2)),2),"0000")))&amp;"|"&amp;"2"&amp;RIGHT("00000"&amp;1866,5))</f>
        <v/>
      </c>
      <c r="Q1871" t="str">
        <f>IF(Sync!$J1871="","",IF(ISNUMBER(Sync!$J1871),IF(AND(Sync!$J1871&gt;=10000101,Sync!$J1871&lt;=99991231),INT(Sync!$J1871/10000)&amp;"/"&amp;RIGHT("00"&amp;INT(MOD(Sync!$J1871,10000)/100),2)&amp;"/"&amp;RIGHT("00"&amp;MOD(Sync!$J1871,100),2),"نامعتبر"),IF(LEN(Sync!$J1871)=10,Sync!$J1871,"نامعتبر")))</f>
        <v/>
      </c>
      <c r="R1871" t="str">
        <f t="shared" si="152"/>
        <v/>
      </c>
      <c r="S1871" t="str">
        <f t="shared" si="153"/>
        <v/>
      </c>
      <c r="T1871" t="str">
        <f>IF($N1871="","",IF(Sync!$N1871="",0,Sync!$N1871))</f>
        <v/>
      </c>
      <c r="U1871" t="str">
        <f>IF($N1871="","",IF(Sync!$O1871="",0,Sync!$O1871))</f>
        <v/>
      </c>
      <c r="V1871" t="str">
        <f>IF($N1871="","",Sync!$L1871)</f>
        <v/>
      </c>
      <c r="W1871" t="str">
        <f>IF($N1871="","",Sync!$P1871)</f>
        <v/>
      </c>
    </row>
    <row r="1872" spans="14:23" x14ac:dyDescent="0.2">
      <c r="N1872" t="str">
        <f>IF(OR(Sync!$M1872="",$Q1872="",$Q1872="نامعتبر"),"",Sync!$M1872)</f>
        <v/>
      </c>
      <c r="O1872" t="str">
        <f t="shared" si="151"/>
        <v/>
      </c>
      <c r="P1872" t="str">
        <f>IF($N1872="","",LEFT($Q1872,4)&amp;MID($Q1872,6,2)&amp;RIGHT($Q1872,2)&amp;IF(Sync!$K1872="","0000",IF(AND(ISNUMBER(Sync!$K1872),Sync!$K1872&gt;=0,Sync!$K1872&lt;1),RIGHT("00"&amp;HOUR(Sync!$K1872),2)&amp;RIGHT("00"&amp;MINUTE(Sync!$K1872),2),IFERROR(RIGHT("00"&amp;VALUE(LEFT(Sync!$K1872,FIND(":",Sync!$K1872)-1)),2)&amp;RIGHT("00"&amp;VALUE(MID(Sync!$K1872,FIND(":",Sync!$K1872)+1,2)),2),"0000")))&amp;"|"&amp;"2"&amp;RIGHT("00000"&amp;1867,5))</f>
        <v/>
      </c>
      <c r="Q1872" t="str">
        <f>IF(Sync!$J1872="","",IF(ISNUMBER(Sync!$J1872),IF(AND(Sync!$J1872&gt;=10000101,Sync!$J1872&lt;=99991231),INT(Sync!$J1872/10000)&amp;"/"&amp;RIGHT("00"&amp;INT(MOD(Sync!$J1872,10000)/100),2)&amp;"/"&amp;RIGHT("00"&amp;MOD(Sync!$J1872,100),2),"نامعتبر"),IF(LEN(Sync!$J1872)=10,Sync!$J1872,"نامعتبر")))</f>
        <v/>
      </c>
      <c r="R1872" t="str">
        <f t="shared" si="152"/>
        <v/>
      </c>
      <c r="S1872" t="str">
        <f t="shared" si="153"/>
        <v/>
      </c>
      <c r="T1872" t="str">
        <f>IF($N1872="","",IF(Sync!$N1872="",0,Sync!$N1872))</f>
        <v/>
      </c>
      <c r="U1872" t="str">
        <f>IF($N1872="","",IF(Sync!$O1872="",0,Sync!$O1872))</f>
        <v/>
      </c>
      <c r="V1872" t="str">
        <f>IF($N1872="","",Sync!$L1872)</f>
        <v/>
      </c>
      <c r="W1872" t="str">
        <f>IF($N1872="","",Sync!$P1872)</f>
        <v/>
      </c>
    </row>
    <row r="1873" spans="14:23" x14ac:dyDescent="0.2">
      <c r="N1873" t="str">
        <f>IF(OR(Sync!$M1873="",$Q1873="",$Q1873="نامعتبر"),"",Sync!$M1873)</f>
        <v/>
      </c>
      <c r="O1873" t="str">
        <f t="shared" si="151"/>
        <v/>
      </c>
      <c r="P1873" t="str">
        <f>IF($N1873="","",LEFT($Q1873,4)&amp;MID($Q1873,6,2)&amp;RIGHT($Q1873,2)&amp;IF(Sync!$K1873="","0000",IF(AND(ISNUMBER(Sync!$K1873),Sync!$K1873&gt;=0,Sync!$K1873&lt;1),RIGHT("00"&amp;HOUR(Sync!$K1873),2)&amp;RIGHT("00"&amp;MINUTE(Sync!$K1873),2),IFERROR(RIGHT("00"&amp;VALUE(LEFT(Sync!$K1873,FIND(":",Sync!$K1873)-1)),2)&amp;RIGHT("00"&amp;VALUE(MID(Sync!$K1873,FIND(":",Sync!$K1873)+1,2)),2),"0000")))&amp;"|"&amp;"2"&amp;RIGHT("00000"&amp;1868,5))</f>
        <v/>
      </c>
      <c r="Q1873" t="str">
        <f>IF(Sync!$J1873="","",IF(ISNUMBER(Sync!$J1873),IF(AND(Sync!$J1873&gt;=10000101,Sync!$J1873&lt;=99991231),INT(Sync!$J1873/10000)&amp;"/"&amp;RIGHT("00"&amp;INT(MOD(Sync!$J1873,10000)/100),2)&amp;"/"&amp;RIGHT("00"&amp;MOD(Sync!$J1873,100),2),"نامعتبر"),IF(LEN(Sync!$J1873)=10,Sync!$J1873,"نامعتبر")))</f>
        <v/>
      </c>
      <c r="R1873" t="str">
        <f t="shared" si="152"/>
        <v/>
      </c>
      <c r="S1873" t="str">
        <f t="shared" si="153"/>
        <v/>
      </c>
      <c r="T1873" t="str">
        <f>IF($N1873="","",IF(Sync!$N1873="",0,Sync!$N1873))</f>
        <v/>
      </c>
      <c r="U1873" t="str">
        <f>IF($N1873="","",IF(Sync!$O1873="",0,Sync!$O1873))</f>
        <v/>
      </c>
      <c r="V1873" t="str">
        <f>IF($N1873="","",Sync!$L1873)</f>
        <v/>
      </c>
      <c r="W1873" t="str">
        <f>IF($N1873="","",Sync!$P1873)</f>
        <v/>
      </c>
    </row>
    <row r="1874" spans="14:23" x14ac:dyDescent="0.2">
      <c r="N1874" t="str">
        <f>IF(OR(Sync!$M1874="",$Q1874="",$Q1874="نامعتبر"),"",Sync!$M1874)</f>
        <v/>
      </c>
      <c r="O1874" t="str">
        <f t="shared" si="151"/>
        <v/>
      </c>
      <c r="P1874" t="str">
        <f>IF($N1874="","",LEFT($Q1874,4)&amp;MID($Q1874,6,2)&amp;RIGHT($Q1874,2)&amp;IF(Sync!$K1874="","0000",IF(AND(ISNUMBER(Sync!$K1874),Sync!$K1874&gt;=0,Sync!$K1874&lt;1),RIGHT("00"&amp;HOUR(Sync!$K1874),2)&amp;RIGHT("00"&amp;MINUTE(Sync!$K1874),2),IFERROR(RIGHT("00"&amp;VALUE(LEFT(Sync!$K1874,FIND(":",Sync!$K1874)-1)),2)&amp;RIGHT("00"&amp;VALUE(MID(Sync!$K1874,FIND(":",Sync!$K1874)+1,2)),2),"0000")))&amp;"|"&amp;"2"&amp;RIGHT("00000"&amp;1869,5))</f>
        <v/>
      </c>
      <c r="Q1874" t="str">
        <f>IF(Sync!$J1874="","",IF(ISNUMBER(Sync!$J1874),IF(AND(Sync!$J1874&gt;=10000101,Sync!$J1874&lt;=99991231),INT(Sync!$J1874/10000)&amp;"/"&amp;RIGHT("00"&amp;INT(MOD(Sync!$J1874,10000)/100),2)&amp;"/"&amp;RIGHT("00"&amp;MOD(Sync!$J1874,100),2),"نامعتبر"),IF(LEN(Sync!$J1874)=10,Sync!$J1874,"نامعتبر")))</f>
        <v/>
      </c>
      <c r="R1874" t="str">
        <f t="shared" si="152"/>
        <v/>
      </c>
      <c r="S1874" t="str">
        <f t="shared" si="153"/>
        <v/>
      </c>
      <c r="T1874" t="str">
        <f>IF($N1874="","",IF(Sync!$N1874="",0,Sync!$N1874))</f>
        <v/>
      </c>
      <c r="U1874" t="str">
        <f>IF($N1874="","",IF(Sync!$O1874="",0,Sync!$O1874))</f>
        <v/>
      </c>
      <c r="V1874" t="str">
        <f>IF($N1874="","",Sync!$L1874)</f>
        <v/>
      </c>
      <c r="W1874" t="str">
        <f>IF($N1874="","",Sync!$P1874)</f>
        <v/>
      </c>
    </row>
    <row r="1875" spans="14:23" x14ac:dyDescent="0.2">
      <c r="N1875" t="str">
        <f>IF(OR(Sync!$M1875="",$Q1875="",$Q1875="نامعتبر"),"",Sync!$M1875)</f>
        <v/>
      </c>
      <c r="O1875" t="str">
        <f t="shared" si="151"/>
        <v/>
      </c>
      <c r="P1875" t="str">
        <f>IF($N1875="","",LEFT($Q1875,4)&amp;MID($Q1875,6,2)&amp;RIGHT($Q1875,2)&amp;IF(Sync!$K1875="","0000",IF(AND(ISNUMBER(Sync!$K1875),Sync!$K1875&gt;=0,Sync!$K1875&lt;1),RIGHT("00"&amp;HOUR(Sync!$K1875),2)&amp;RIGHT("00"&amp;MINUTE(Sync!$K1875),2),IFERROR(RIGHT("00"&amp;VALUE(LEFT(Sync!$K1875,FIND(":",Sync!$K1875)-1)),2)&amp;RIGHT("00"&amp;VALUE(MID(Sync!$K1875,FIND(":",Sync!$K1875)+1,2)),2),"0000")))&amp;"|"&amp;"2"&amp;RIGHT("00000"&amp;1870,5))</f>
        <v/>
      </c>
      <c r="Q1875" t="str">
        <f>IF(Sync!$J1875="","",IF(ISNUMBER(Sync!$J1875),IF(AND(Sync!$J1875&gt;=10000101,Sync!$J1875&lt;=99991231),INT(Sync!$J1875/10000)&amp;"/"&amp;RIGHT("00"&amp;INT(MOD(Sync!$J1875,10000)/100),2)&amp;"/"&amp;RIGHT("00"&amp;MOD(Sync!$J1875,100),2),"نامعتبر"),IF(LEN(Sync!$J1875)=10,Sync!$J1875,"نامعتبر")))</f>
        <v/>
      </c>
      <c r="R1875" t="str">
        <f t="shared" si="152"/>
        <v/>
      </c>
      <c r="S1875" t="str">
        <f t="shared" si="153"/>
        <v/>
      </c>
      <c r="T1875" t="str">
        <f>IF($N1875="","",IF(Sync!$N1875="",0,Sync!$N1875))</f>
        <v/>
      </c>
      <c r="U1875" t="str">
        <f>IF($N1875="","",IF(Sync!$O1875="",0,Sync!$O1875))</f>
        <v/>
      </c>
      <c r="V1875" t="str">
        <f>IF($N1875="","",Sync!$L1875)</f>
        <v/>
      </c>
      <c r="W1875" t="str">
        <f>IF($N1875="","",Sync!$P1875)</f>
        <v/>
      </c>
    </row>
    <row r="1876" spans="14:23" x14ac:dyDescent="0.2">
      <c r="N1876" t="str">
        <f>IF(OR(Sync!$M1876="",$Q1876="",$Q1876="نامعتبر"),"",Sync!$M1876)</f>
        <v/>
      </c>
      <c r="O1876" t="str">
        <f t="shared" si="151"/>
        <v/>
      </c>
      <c r="P1876" t="str">
        <f>IF($N1876="","",LEFT($Q1876,4)&amp;MID($Q1876,6,2)&amp;RIGHT($Q1876,2)&amp;IF(Sync!$K1876="","0000",IF(AND(ISNUMBER(Sync!$K1876),Sync!$K1876&gt;=0,Sync!$K1876&lt;1),RIGHT("00"&amp;HOUR(Sync!$K1876),2)&amp;RIGHT("00"&amp;MINUTE(Sync!$K1876),2),IFERROR(RIGHT("00"&amp;VALUE(LEFT(Sync!$K1876,FIND(":",Sync!$K1876)-1)),2)&amp;RIGHT("00"&amp;VALUE(MID(Sync!$K1876,FIND(":",Sync!$K1876)+1,2)),2),"0000")))&amp;"|"&amp;"2"&amp;RIGHT("00000"&amp;1871,5))</f>
        <v/>
      </c>
      <c r="Q1876" t="str">
        <f>IF(Sync!$J1876="","",IF(ISNUMBER(Sync!$J1876),IF(AND(Sync!$J1876&gt;=10000101,Sync!$J1876&lt;=99991231),INT(Sync!$J1876/10000)&amp;"/"&amp;RIGHT("00"&amp;INT(MOD(Sync!$J1876,10000)/100),2)&amp;"/"&amp;RIGHT("00"&amp;MOD(Sync!$J1876,100),2),"نامعتبر"),IF(LEN(Sync!$J1876)=10,Sync!$J1876,"نامعتبر")))</f>
        <v/>
      </c>
      <c r="R1876" t="str">
        <f t="shared" si="152"/>
        <v/>
      </c>
      <c r="S1876" t="str">
        <f t="shared" si="153"/>
        <v/>
      </c>
      <c r="T1876" t="str">
        <f>IF($N1876="","",IF(Sync!$N1876="",0,Sync!$N1876))</f>
        <v/>
      </c>
      <c r="U1876" t="str">
        <f>IF($N1876="","",IF(Sync!$O1876="",0,Sync!$O1876))</f>
        <v/>
      </c>
      <c r="V1876" t="str">
        <f>IF($N1876="","",Sync!$L1876)</f>
        <v/>
      </c>
      <c r="W1876" t="str">
        <f>IF($N1876="","",Sync!$P1876)</f>
        <v/>
      </c>
    </row>
    <row r="1877" spans="14:23" x14ac:dyDescent="0.2">
      <c r="N1877" t="str">
        <f>IF(OR(Sync!$M1877="",$Q1877="",$Q1877="نامعتبر"),"",Sync!$M1877)</f>
        <v/>
      </c>
      <c r="O1877" t="str">
        <f t="shared" si="151"/>
        <v/>
      </c>
      <c r="P1877" t="str">
        <f>IF($N1877="","",LEFT($Q1877,4)&amp;MID($Q1877,6,2)&amp;RIGHT($Q1877,2)&amp;IF(Sync!$K1877="","0000",IF(AND(ISNUMBER(Sync!$K1877),Sync!$K1877&gt;=0,Sync!$K1877&lt;1),RIGHT("00"&amp;HOUR(Sync!$K1877),2)&amp;RIGHT("00"&amp;MINUTE(Sync!$K1877),2),IFERROR(RIGHT("00"&amp;VALUE(LEFT(Sync!$K1877,FIND(":",Sync!$K1877)-1)),2)&amp;RIGHT("00"&amp;VALUE(MID(Sync!$K1877,FIND(":",Sync!$K1877)+1,2)),2),"0000")))&amp;"|"&amp;"2"&amp;RIGHT("00000"&amp;1872,5))</f>
        <v/>
      </c>
      <c r="Q1877" t="str">
        <f>IF(Sync!$J1877="","",IF(ISNUMBER(Sync!$J1877),IF(AND(Sync!$J1877&gt;=10000101,Sync!$J1877&lt;=99991231),INT(Sync!$J1877/10000)&amp;"/"&amp;RIGHT("00"&amp;INT(MOD(Sync!$J1877,10000)/100),2)&amp;"/"&amp;RIGHT("00"&amp;MOD(Sync!$J1877,100),2),"نامعتبر"),IF(LEN(Sync!$J1877)=10,Sync!$J1877,"نامعتبر")))</f>
        <v/>
      </c>
      <c r="R1877" t="str">
        <f t="shared" si="152"/>
        <v/>
      </c>
      <c r="S1877" t="str">
        <f t="shared" si="153"/>
        <v/>
      </c>
      <c r="T1877" t="str">
        <f>IF($N1877="","",IF(Sync!$N1877="",0,Sync!$N1877))</f>
        <v/>
      </c>
      <c r="U1877" t="str">
        <f>IF($N1877="","",IF(Sync!$O1877="",0,Sync!$O1877))</f>
        <v/>
      </c>
      <c r="V1877" t="str">
        <f>IF($N1877="","",Sync!$L1877)</f>
        <v/>
      </c>
      <c r="W1877" t="str">
        <f>IF($N1877="","",Sync!$P1877)</f>
        <v/>
      </c>
    </row>
    <row r="1878" spans="14:23" x14ac:dyDescent="0.2">
      <c r="N1878" t="str">
        <f>IF(OR(Sync!$M1878="",$Q1878="",$Q1878="نامعتبر"),"",Sync!$M1878)</f>
        <v/>
      </c>
      <c r="O1878" t="str">
        <f t="shared" si="151"/>
        <v/>
      </c>
      <c r="P1878" t="str">
        <f>IF($N1878="","",LEFT($Q1878,4)&amp;MID($Q1878,6,2)&amp;RIGHT($Q1878,2)&amp;IF(Sync!$K1878="","0000",IF(AND(ISNUMBER(Sync!$K1878),Sync!$K1878&gt;=0,Sync!$K1878&lt;1),RIGHT("00"&amp;HOUR(Sync!$K1878),2)&amp;RIGHT("00"&amp;MINUTE(Sync!$K1878),2),IFERROR(RIGHT("00"&amp;VALUE(LEFT(Sync!$K1878,FIND(":",Sync!$K1878)-1)),2)&amp;RIGHT("00"&amp;VALUE(MID(Sync!$K1878,FIND(":",Sync!$K1878)+1,2)),2),"0000")))&amp;"|"&amp;"2"&amp;RIGHT("00000"&amp;1873,5))</f>
        <v/>
      </c>
      <c r="Q1878" t="str">
        <f>IF(Sync!$J1878="","",IF(ISNUMBER(Sync!$J1878),IF(AND(Sync!$J1878&gt;=10000101,Sync!$J1878&lt;=99991231),INT(Sync!$J1878/10000)&amp;"/"&amp;RIGHT("00"&amp;INT(MOD(Sync!$J1878,10000)/100),2)&amp;"/"&amp;RIGHT("00"&amp;MOD(Sync!$J1878,100),2),"نامعتبر"),IF(LEN(Sync!$J1878)=10,Sync!$J1878,"نامعتبر")))</f>
        <v/>
      </c>
      <c r="R1878" t="str">
        <f t="shared" si="152"/>
        <v/>
      </c>
      <c r="S1878" t="str">
        <f t="shared" si="153"/>
        <v/>
      </c>
      <c r="T1878" t="str">
        <f>IF($N1878="","",IF(Sync!$N1878="",0,Sync!$N1878))</f>
        <v/>
      </c>
      <c r="U1878" t="str">
        <f>IF($N1878="","",IF(Sync!$O1878="",0,Sync!$O1878))</f>
        <v/>
      </c>
      <c r="V1878" t="str">
        <f>IF($N1878="","",Sync!$L1878)</f>
        <v/>
      </c>
      <c r="W1878" t="str">
        <f>IF($N1878="","",Sync!$P1878)</f>
        <v/>
      </c>
    </row>
    <row r="1879" spans="14:23" x14ac:dyDescent="0.2">
      <c r="N1879" t="str">
        <f>IF(OR(Sync!$M1879="",$Q1879="",$Q1879="نامعتبر"),"",Sync!$M1879)</f>
        <v/>
      </c>
      <c r="O1879" t="str">
        <f t="shared" si="151"/>
        <v/>
      </c>
      <c r="P1879" t="str">
        <f>IF($N1879="","",LEFT($Q1879,4)&amp;MID($Q1879,6,2)&amp;RIGHT($Q1879,2)&amp;IF(Sync!$K1879="","0000",IF(AND(ISNUMBER(Sync!$K1879),Sync!$K1879&gt;=0,Sync!$K1879&lt;1),RIGHT("00"&amp;HOUR(Sync!$K1879),2)&amp;RIGHT("00"&amp;MINUTE(Sync!$K1879),2),IFERROR(RIGHT("00"&amp;VALUE(LEFT(Sync!$K1879,FIND(":",Sync!$K1879)-1)),2)&amp;RIGHT("00"&amp;VALUE(MID(Sync!$K1879,FIND(":",Sync!$K1879)+1,2)),2),"0000")))&amp;"|"&amp;"2"&amp;RIGHT("00000"&amp;1874,5))</f>
        <v/>
      </c>
      <c r="Q1879" t="str">
        <f>IF(Sync!$J1879="","",IF(ISNUMBER(Sync!$J1879),IF(AND(Sync!$J1879&gt;=10000101,Sync!$J1879&lt;=99991231),INT(Sync!$J1879/10000)&amp;"/"&amp;RIGHT("00"&amp;INT(MOD(Sync!$J1879,10000)/100),2)&amp;"/"&amp;RIGHT("00"&amp;MOD(Sync!$J1879,100),2),"نامعتبر"),IF(LEN(Sync!$J1879)=10,Sync!$J1879,"نامعتبر")))</f>
        <v/>
      </c>
      <c r="R1879" t="str">
        <f t="shared" si="152"/>
        <v/>
      </c>
      <c r="S1879" t="str">
        <f t="shared" si="153"/>
        <v/>
      </c>
      <c r="T1879" t="str">
        <f>IF($N1879="","",IF(Sync!$N1879="",0,Sync!$N1879))</f>
        <v/>
      </c>
      <c r="U1879" t="str">
        <f>IF($N1879="","",IF(Sync!$O1879="",0,Sync!$O1879))</f>
        <v/>
      </c>
      <c r="V1879" t="str">
        <f>IF($N1879="","",Sync!$L1879)</f>
        <v/>
      </c>
      <c r="W1879" t="str">
        <f>IF($N1879="","",Sync!$P1879)</f>
        <v/>
      </c>
    </row>
    <row r="1880" spans="14:23" x14ac:dyDescent="0.2">
      <c r="N1880" t="str">
        <f>IF(OR(Sync!$M1880="",$Q1880="",$Q1880="نامعتبر"),"",Sync!$M1880)</f>
        <v/>
      </c>
      <c r="O1880" t="str">
        <f t="shared" si="151"/>
        <v/>
      </c>
      <c r="P1880" t="str">
        <f>IF($N1880="","",LEFT($Q1880,4)&amp;MID($Q1880,6,2)&amp;RIGHT($Q1880,2)&amp;IF(Sync!$K1880="","0000",IF(AND(ISNUMBER(Sync!$K1880),Sync!$K1880&gt;=0,Sync!$K1880&lt;1),RIGHT("00"&amp;HOUR(Sync!$K1880),2)&amp;RIGHT("00"&amp;MINUTE(Sync!$K1880),2),IFERROR(RIGHT("00"&amp;VALUE(LEFT(Sync!$K1880,FIND(":",Sync!$K1880)-1)),2)&amp;RIGHT("00"&amp;VALUE(MID(Sync!$K1880,FIND(":",Sync!$K1880)+1,2)),2),"0000")))&amp;"|"&amp;"2"&amp;RIGHT("00000"&amp;1875,5))</f>
        <v/>
      </c>
      <c r="Q1880" t="str">
        <f>IF(Sync!$J1880="","",IF(ISNUMBER(Sync!$J1880),IF(AND(Sync!$J1880&gt;=10000101,Sync!$J1880&lt;=99991231),INT(Sync!$J1880/10000)&amp;"/"&amp;RIGHT("00"&amp;INT(MOD(Sync!$J1880,10000)/100),2)&amp;"/"&amp;RIGHT("00"&amp;MOD(Sync!$J1880,100),2),"نامعتبر"),IF(LEN(Sync!$J1880)=10,Sync!$J1880,"نامعتبر")))</f>
        <v/>
      </c>
      <c r="R1880" t="str">
        <f t="shared" si="152"/>
        <v/>
      </c>
      <c r="S1880" t="str">
        <f t="shared" si="153"/>
        <v/>
      </c>
      <c r="T1880" t="str">
        <f>IF($N1880="","",IF(Sync!$N1880="",0,Sync!$N1880))</f>
        <v/>
      </c>
      <c r="U1880" t="str">
        <f>IF($N1880="","",IF(Sync!$O1880="",0,Sync!$O1880))</f>
        <v/>
      </c>
      <c r="V1880" t="str">
        <f>IF($N1880="","",Sync!$L1880)</f>
        <v/>
      </c>
      <c r="W1880" t="str">
        <f>IF($N1880="","",Sync!$P1880)</f>
        <v/>
      </c>
    </row>
    <row r="1881" spans="14:23" x14ac:dyDescent="0.2">
      <c r="N1881" t="str">
        <f>IF(OR(Sync!$M1881="",$Q1881="",$Q1881="نامعتبر"),"",Sync!$M1881)</f>
        <v/>
      </c>
      <c r="O1881" t="str">
        <f t="shared" si="151"/>
        <v/>
      </c>
      <c r="P1881" t="str">
        <f>IF($N1881="","",LEFT($Q1881,4)&amp;MID($Q1881,6,2)&amp;RIGHT($Q1881,2)&amp;IF(Sync!$K1881="","0000",IF(AND(ISNUMBER(Sync!$K1881),Sync!$K1881&gt;=0,Sync!$K1881&lt;1),RIGHT("00"&amp;HOUR(Sync!$K1881),2)&amp;RIGHT("00"&amp;MINUTE(Sync!$K1881),2),IFERROR(RIGHT("00"&amp;VALUE(LEFT(Sync!$K1881,FIND(":",Sync!$K1881)-1)),2)&amp;RIGHT("00"&amp;VALUE(MID(Sync!$K1881,FIND(":",Sync!$K1881)+1,2)),2),"0000")))&amp;"|"&amp;"2"&amp;RIGHT("00000"&amp;1876,5))</f>
        <v/>
      </c>
      <c r="Q1881" t="str">
        <f>IF(Sync!$J1881="","",IF(ISNUMBER(Sync!$J1881),IF(AND(Sync!$J1881&gt;=10000101,Sync!$J1881&lt;=99991231),INT(Sync!$J1881/10000)&amp;"/"&amp;RIGHT("00"&amp;INT(MOD(Sync!$J1881,10000)/100),2)&amp;"/"&amp;RIGHT("00"&amp;MOD(Sync!$J1881,100),2),"نامعتبر"),IF(LEN(Sync!$J1881)=10,Sync!$J1881,"نامعتبر")))</f>
        <v/>
      </c>
      <c r="R1881" t="str">
        <f t="shared" si="152"/>
        <v/>
      </c>
      <c r="S1881" t="str">
        <f t="shared" si="153"/>
        <v/>
      </c>
      <c r="T1881" t="str">
        <f>IF($N1881="","",IF(Sync!$N1881="",0,Sync!$N1881))</f>
        <v/>
      </c>
      <c r="U1881" t="str">
        <f>IF($N1881="","",IF(Sync!$O1881="",0,Sync!$O1881))</f>
        <v/>
      </c>
      <c r="V1881" t="str">
        <f>IF($N1881="","",Sync!$L1881)</f>
        <v/>
      </c>
      <c r="W1881" t="str">
        <f>IF($N1881="","",Sync!$P1881)</f>
        <v/>
      </c>
    </row>
    <row r="1882" spans="14:23" x14ac:dyDescent="0.2">
      <c r="N1882" t="str">
        <f>IF(OR(Sync!$M1882="",$Q1882="",$Q1882="نامعتبر"),"",Sync!$M1882)</f>
        <v/>
      </c>
      <c r="O1882" t="str">
        <f t="shared" si="151"/>
        <v/>
      </c>
      <c r="P1882" t="str">
        <f>IF($N1882="","",LEFT($Q1882,4)&amp;MID($Q1882,6,2)&amp;RIGHT($Q1882,2)&amp;IF(Sync!$K1882="","0000",IF(AND(ISNUMBER(Sync!$K1882),Sync!$K1882&gt;=0,Sync!$K1882&lt;1),RIGHT("00"&amp;HOUR(Sync!$K1882),2)&amp;RIGHT("00"&amp;MINUTE(Sync!$K1882),2),IFERROR(RIGHT("00"&amp;VALUE(LEFT(Sync!$K1882,FIND(":",Sync!$K1882)-1)),2)&amp;RIGHT("00"&amp;VALUE(MID(Sync!$K1882,FIND(":",Sync!$K1882)+1,2)),2),"0000")))&amp;"|"&amp;"2"&amp;RIGHT("00000"&amp;1877,5))</f>
        <v/>
      </c>
      <c r="Q1882" t="str">
        <f>IF(Sync!$J1882="","",IF(ISNUMBER(Sync!$J1882),IF(AND(Sync!$J1882&gt;=10000101,Sync!$J1882&lt;=99991231),INT(Sync!$J1882/10000)&amp;"/"&amp;RIGHT("00"&amp;INT(MOD(Sync!$J1882,10000)/100),2)&amp;"/"&amp;RIGHT("00"&amp;MOD(Sync!$J1882,100),2),"نامعتبر"),IF(LEN(Sync!$J1882)=10,Sync!$J1882,"نامعتبر")))</f>
        <v/>
      </c>
      <c r="R1882" t="str">
        <f t="shared" si="152"/>
        <v/>
      </c>
      <c r="S1882" t="str">
        <f t="shared" si="153"/>
        <v/>
      </c>
      <c r="T1882" t="str">
        <f>IF($N1882="","",IF(Sync!$N1882="",0,Sync!$N1882))</f>
        <v/>
      </c>
      <c r="U1882" t="str">
        <f>IF($N1882="","",IF(Sync!$O1882="",0,Sync!$O1882))</f>
        <v/>
      </c>
      <c r="V1882" t="str">
        <f>IF($N1882="","",Sync!$L1882)</f>
        <v/>
      </c>
      <c r="W1882" t="str">
        <f>IF($N1882="","",Sync!$P1882)</f>
        <v/>
      </c>
    </row>
    <row r="1883" spans="14:23" x14ac:dyDescent="0.2">
      <c r="N1883" t="str">
        <f>IF(OR(Sync!$M1883="",$Q1883="",$Q1883="نامعتبر"),"",Sync!$M1883)</f>
        <v/>
      </c>
      <c r="O1883" t="str">
        <f t="shared" si="151"/>
        <v/>
      </c>
      <c r="P1883" t="str">
        <f>IF($N1883="","",LEFT($Q1883,4)&amp;MID($Q1883,6,2)&amp;RIGHT($Q1883,2)&amp;IF(Sync!$K1883="","0000",IF(AND(ISNUMBER(Sync!$K1883),Sync!$K1883&gt;=0,Sync!$K1883&lt;1),RIGHT("00"&amp;HOUR(Sync!$K1883),2)&amp;RIGHT("00"&amp;MINUTE(Sync!$K1883),2),IFERROR(RIGHT("00"&amp;VALUE(LEFT(Sync!$K1883,FIND(":",Sync!$K1883)-1)),2)&amp;RIGHT("00"&amp;VALUE(MID(Sync!$K1883,FIND(":",Sync!$K1883)+1,2)),2),"0000")))&amp;"|"&amp;"2"&amp;RIGHT("00000"&amp;1878,5))</f>
        <v/>
      </c>
      <c r="Q1883" t="str">
        <f>IF(Sync!$J1883="","",IF(ISNUMBER(Sync!$J1883),IF(AND(Sync!$J1883&gt;=10000101,Sync!$J1883&lt;=99991231),INT(Sync!$J1883/10000)&amp;"/"&amp;RIGHT("00"&amp;INT(MOD(Sync!$J1883,10000)/100),2)&amp;"/"&amp;RIGHT("00"&amp;MOD(Sync!$J1883,100),2),"نامعتبر"),IF(LEN(Sync!$J1883)=10,Sync!$J1883,"نامعتبر")))</f>
        <v/>
      </c>
      <c r="R1883" t="str">
        <f t="shared" si="152"/>
        <v/>
      </c>
      <c r="S1883" t="str">
        <f t="shared" si="153"/>
        <v/>
      </c>
      <c r="T1883" t="str">
        <f>IF($N1883="","",IF(Sync!$N1883="",0,Sync!$N1883))</f>
        <v/>
      </c>
      <c r="U1883" t="str">
        <f>IF($N1883="","",IF(Sync!$O1883="",0,Sync!$O1883))</f>
        <v/>
      </c>
      <c r="V1883" t="str">
        <f>IF($N1883="","",Sync!$L1883)</f>
        <v/>
      </c>
      <c r="W1883" t="str">
        <f>IF($N1883="","",Sync!$P1883)</f>
        <v/>
      </c>
    </row>
    <row r="1884" spans="14:23" x14ac:dyDescent="0.2">
      <c r="N1884" t="str">
        <f>IF(OR(Sync!$M1884="",$Q1884="",$Q1884="نامعتبر"),"",Sync!$M1884)</f>
        <v/>
      </c>
      <c r="O1884" t="str">
        <f t="shared" si="151"/>
        <v/>
      </c>
      <c r="P1884" t="str">
        <f>IF($N1884="","",LEFT($Q1884,4)&amp;MID($Q1884,6,2)&amp;RIGHT($Q1884,2)&amp;IF(Sync!$K1884="","0000",IF(AND(ISNUMBER(Sync!$K1884),Sync!$K1884&gt;=0,Sync!$K1884&lt;1),RIGHT("00"&amp;HOUR(Sync!$K1884),2)&amp;RIGHT("00"&amp;MINUTE(Sync!$K1884),2),IFERROR(RIGHT("00"&amp;VALUE(LEFT(Sync!$K1884,FIND(":",Sync!$K1884)-1)),2)&amp;RIGHT("00"&amp;VALUE(MID(Sync!$K1884,FIND(":",Sync!$K1884)+1,2)),2),"0000")))&amp;"|"&amp;"2"&amp;RIGHT("00000"&amp;1879,5))</f>
        <v/>
      </c>
      <c r="Q1884" t="str">
        <f>IF(Sync!$J1884="","",IF(ISNUMBER(Sync!$J1884),IF(AND(Sync!$J1884&gt;=10000101,Sync!$J1884&lt;=99991231),INT(Sync!$J1884/10000)&amp;"/"&amp;RIGHT("00"&amp;INT(MOD(Sync!$J1884,10000)/100),2)&amp;"/"&amp;RIGHT("00"&amp;MOD(Sync!$J1884,100),2),"نامعتبر"),IF(LEN(Sync!$J1884)=10,Sync!$J1884,"نامعتبر")))</f>
        <v/>
      </c>
      <c r="R1884" t="str">
        <f t="shared" si="152"/>
        <v/>
      </c>
      <c r="S1884" t="str">
        <f t="shared" si="153"/>
        <v/>
      </c>
      <c r="T1884" t="str">
        <f>IF($N1884="","",IF(Sync!$N1884="",0,Sync!$N1884))</f>
        <v/>
      </c>
      <c r="U1884" t="str">
        <f>IF($N1884="","",IF(Sync!$O1884="",0,Sync!$O1884))</f>
        <v/>
      </c>
      <c r="V1884" t="str">
        <f>IF($N1884="","",Sync!$L1884)</f>
        <v/>
      </c>
      <c r="W1884" t="str">
        <f>IF($N1884="","",Sync!$P1884)</f>
        <v/>
      </c>
    </row>
    <row r="1885" spans="14:23" x14ac:dyDescent="0.2">
      <c r="N1885" t="str">
        <f>IF(OR(Sync!$M1885="",$Q1885="",$Q1885="نامعتبر"),"",Sync!$M1885)</f>
        <v/>
      </c>
      <c r="O1885" t="str">
        <f t="shared" si="151"/>
        <v/>
      </c>
      <c r="P1885" t="str">
        <f>IF($N1885="","",LEFT($Q1885,4)&amp;MID($Q1885,6,2)&amp;RIGHT($Q1885,2)&amp;IF(Sync!$K1885="","0000",IF(AND(ISNUMBER(Sync!$K1885),Sync!$K1885&gt;=0,Sync!$K1885&lt;1),RIGHT("00"&amp;HOUR(Sync!$K1885),2)&amp;RIGHT("00"&amp;MINUTE(Sync!$K1885),2),IFERROR(RIGHT("00"&amp;VALUE(LEFT(Sync!$K1885,FIND(":",Sync!$K1885)-1)),2)&amp;RIGHT("00"&amp;VALUE(MID(Sync!$K1885,FIND(":",Sync!$K1885)+1,2)),2),"0000")))&amp;"|"&amp;"2"&amp;RIGHT("00000"&amp;1880,5))</f>
        <v/>
      </c>
      <c r="Q1885" t="str">
        <f>IF(Sync!$J1885="","",IF(ISNUMBER(Sync!$J1885),IF(AND(Sync!$J1885&gt;=10000101,Sync!$J1885&lt;=99991231),INT(Sync!$J1885/10000)&amp;"/"&amp;RIGHT("00"&amp;INT(MOD(Sync!$J1885,10000)/100),2)&amp;"/"&amp;RIGHT("00"&amp;MOD(Sync!$J1885,100),2),"نامعتبر"),IF(LEN(Sync!$J1885)=10,Sync!$J1885,"نامعتبر")))</f>
        <v/>
      </c>
      <c r="R1885" t="str">
        <f t="shared" si="152"/>
        <v/>
      </c>
      <c r="S1885" t="str">
        <f t="shared" si="153"/>
        <v/>
      </c>
      <c r="T1885" t="str">
        <f>IF($N1885="","",IF(Sync!$N1885="",0,Sync!$N1885))</f>
        <v/>
      </c>
      <c r="U1885" t="str">
        <f>IF($N1885="","",IF(Sync!$O1885="",0,Sync!$O1885))</f>
        <v/>
      </c>
      <c r="V1885" t="str">
        <f>IF($N1885="","",Sync!$L1885)</f>
        <v/>
      </c>
      <c r="W1885" t="str">
        <f>IF($N1885="","",Sync!$P1885)</f>
        <v/>
      </c>
    </row>
    <row r="1886" spans="14:23" x14ac:dyDescent="0.2">
      <c r="N1886" t="str">
        <f>IF(OR(Sync!$M1886="",$Q1886="",$Q1886="نامعتبر"),"",Sync!$M1886)</f>
        <v/>
      </c>
      <c r="O1886" t="str">
        <f t="shared" si="151"/>
        <v/>
      </c>
      <c r="P1886" t="str">
        <f>IF($N1886="","",LEFT($Q1886,4)&amp;MID($Q1886,6,2)&amp;RIGHT($Q1886,2)&amp;IF(Sync!$K1886="","0000",IF(AND(ISNUMBER(Sync!$K1886),Sync!$K1886&gt;=0,Sync!$K1886&lt;1),RIGHT("00"&amp;HOUR(Sync!$K1886),2)&amp;RIGHT("00"&amp;MINUTE(Sync!$K1886),2),IFERROR(RIGHT("00"&amp;VALUE(LEFT(Sync!$K1886,FIND(":",Sync!$K1886)-1)),2)&amp;RIGHT("00"&amp;VALUE(MID(Sync!$K1886,FIND(":",Sync!$K1886)+1,2)),2),"0000")))&amp;"|"&amp;"2"&amp;RIGHT("00000"&amp;1881,5))</f>
        <v/>
      </c>
      <c r="Q1886" t="str">
        <f>IF(Sync!$J1886="","",IF(ISNUMBER(Sync!$J1886),IF(AND(Sync!$J1886&gt;=10000101,Sync!$J1886&lt;=99991231),INT(Sync!$J1886/10000)&amp;"/"&amp;RIGHT("00"&amp;INT(MOD(Sync!$J1886,10000)/100),2)&amp;"/"&amp;RIGHT("00"&amp;MOD(Sync!$J1886,100),2),"نامعتبر"),IF(LEN(Sync!$J1886)=10,Sync!$J1886,"نامعتبر")))</f>
        <v/>
      </c>
      <c r="R1886" t="str">
        <f t="shared" si="152"/>
        <v/>
      </c>
      <c r="S1886" t="str">
        <f t="shared" si="153"/>
        <v/>
      </c>
      <c r="T1886" t="str">
        <f>IF($N1886="","",IF(Sync!$N1886="",0,Sync!$N1886))</f>
        <v/>
      </c>
      <c r="U1886" t="str">
        <f>IF($N1886="","",IF(Sync!$O1886="",0,Sync!$O1886))</f>
        <v/>
      </c>
      <c r="V1886" t="str">
        <f>IF($N1886="","",Sync!$L1886)</f>
        <v/>
      </c>
      <c r="W1886" t="str">
        <f>IF($N1886="","",Sync!$P1886)</f>
        <v/>
      </c>
    </row>
    <row r="1887" spans="14:23" x14ac:dyDescent="0.2">
      <c r="N1887" t="str">
        <f>IF(OR(Sync!$M1887="",$Q1887="",$Q1887="نامعتبر"),"",Sync!$M1887)</f>
        <v/>
      </c>
      <c r="O1887" t="str">
        <f t="shared" si="151"/>
        <v/>
      </c>
      <c r="P1887" t="str">
        <f>IF($N1887="","",LEFT($Q1887,4)&amp;MID($Q1887,6,2)&amp;RIGHT($Q1887,2)&amp;IF(Sync!$K1887="","0000",IF(AND(ISNUMBER(Sync!$K1887),Sync!$K1887&gt;=0,Sync!$K1887&lt;1),RIGHT("00"&amp;HOUR(Sync!$K1887),2)&amp;RIGHT("00"&amp;MINUTE(Sync!$K1887),2),IFERROR(RIGHT("00"&amp;VALUE(LEFT(Sync!$K1887,FIND(":",Sync!$K1887)-1)),2)&amp;RIGHT("00"&amp;VALUE(MID(Sync!$K1887,FIND(":",Sync!$K1887)+1,2)),2),"0000")))&amp;"|"&amp;"2"&amp;RIGHT("00000"&amp;1882,5))</f>
        <v/>
      </c>
      <c r="Q1887" t="str">
        <f>IF(Sync!$J1887="","",IF(ISNUMBER(Sync!$J1887),IF(AND(Sync!$J1887&gt;=10000101,Sync!$J1887&lt;=99991231),INT(Sync!$J1887/10000)&amp;"/"&amp;RIGHT("00"&amp;INT(MOD(Sync!$J1887,10000)/100),2)&amp;"/"&amp;RIGHT("00"&amp;MOD(Sync!$J1887,100),2),"نامعتبر"),IF(LEN(Sync!$J1887)=10,Sync!$J1887,"نامعتبر")))</f>
        <v/>
      </c>
      <c r="R1887" t="str">
        <f t="shared" si="152"/>
        <v/>
      </c>
      <c r="S1887" t="str">
        <f t="shared" si="153"/>
        <v/>
      </c>
      <c r="T1887" t="str">
        <f>IF($N1887="","",IF(Sync!$N1887="",0,Sync!$N1887))</f>
        <v/>
      </c>
      <c r="U1887" t="str">
        <f>IF($N1887="","",IF(Sync!$O1887="",0,Sync!$O1887))</f>
        <v/>
      </c>
      <c r="V1887" t="str">
        <f>IF($N1887="","",Sync!$L1887)</f>
        <v/>
      </c>
      <c r="W1887" t="str">
        <f>IF($N1887="","",Sync!$P1887)</f>
        <v/>
      </c>
    </row>
    <row r="1888" spans="14:23" x14ac:dyDescent="0.2">
      <c r="N1888" t="str">
        <f>IF(OR(Sync!$M1888="",$Q1888="",$Q1888="نامعتبر"),"",Sync!$M1888)</f>
        <v/>
      </c>
      <c r="O1888" t="str">
        <f t="shared" si="151"/>
        <v/>
      </c>
      <c r="P1888" t="str">
        <f>IF($N1888="","",LEFT($Q1888,4)&amp;MID($Q1888,6,2)&amp;RIGHT($Q1888,2)&amp;IF(Sync!$K1888="","0000",IF(AND(ISNUMBER(Sync!$K1888),Sync!$K1888&gt;=0,Sync!$K1888&lt;1),RIGHT("00"&amp;HOUR(Sync!$K1888),2)&amp;RIGHT("00"&amp;MINUTE(Sync!$K1888),2),IFERROR(RIGHT("00"&amp;VALUE(LEFT(Sync!$K1888,FIND(":",Sync!$K1888)-1)),2)&amp;RIGHT("00"&amp;VALUE(MID(Sync!$K1888,FIND(":",Sync!$K1888)+1,2)),2),"0000")))&amp;"|"&amp;"2"&amp;RIGHT("00000"&amp;1883,5))</f>
        <v/>
      </c>
      <c r="Q1888" t="str">
        <f>IF(Sync!$J1888="","",IF(ISNUMBER(Sync!$J1888),IF(AND(Sync!$J1888&gt;=10000101,Sync!$J1888&lt;=99991231),INT(Sync!$J1888/10000)&amp;"/"&amp;RIGHT("00"&amp;INT(MOD(Sync!$J1888,10000)/100),2)&amp;"/"&amp;RIGHT("00"&amp;MOD(Sync!$J1888,100),2),"نامعتبر"),IF(LEN(Sync!$J1888)=10,Sync!$J1888,"نامعتبر")))</f>
        <v/>
      </c>
      <c r="R1888" t="str">
        <f t="shared" si="152"/>
        <v/>
      </c>
      <c r="S1888" t="str">
        <f t="shared" si="153"/>
        <v/>
      </c>
      <c r="T1888" t="str">
        <f>IF($N1888="","",IF(Sync!$N1888="",0,Sync!$N1888))</f>
        <v/>
      </c>
      <c r="U1888" t="str">
        <f>IF($N1888="","",IF(Sync!$O1888="",0,Sync!$O1888))</f>
        <v/>
      </c>
      <c r="V1888" t="str">
        <f>IF($N1888="","",Sync!$L1888)</f>
        <v/>
      </c>
      <c r="W1888" t="str">
        <f>IF($N1888="","",Sync!$P1888)</f>
        <v/>
      </c>
    </row>
    <row r="1889" spans="14:23" x14ac:dyDescent="0.2">
      <c r="N1889" t="str">
        <f>IF(OR(Sync!$M1889="",$Q1889="",$Q1889="نامعتبر"),"",Sync!$M1889)</f>
        <v/>
      </c>
      <c r="O1889" t="str">
        <f t="shared" si="151"/>
        <v/>
      </c>
      <c r="P1889" t="str">
        <f>IF($N1889="","",LEFT($Q1889,4)&amp;MID($Q1889,6,2)&amp;RIGHT($Q1889,2)&amp;IF(Sync!$K1889="","0000",IF(AND(ISNUMBER(Sync!$K1889),Sync!$K1889&gt;=0,Sync!$K1889&lt;1),RIGHT("00"&amp;HOUR(Sync!$K1889),2)&amp;RIGHT("00"&amp;MINUTE(Sync!$K1889),2),IFERROR(RIGHT("00"&amp;VALUE(LEFT(Sync!$K1889,FIND(":",Sync!$K1889)-1)),2)&amp;RIGHT("00"&amp;VALUE(MID(Sync!$K1889,FIND(":",Sync!$K1889)+1,2)),2),"0000")))&amp;"|"&amp;"2"&amp;RIGHT("00000"&amp;1884,5))</f>
        <v/>
      </c>
      <c r="Q1889" t="str">
        <f>IF(Sync!$J1889="","",IF(ISNUMBER(Sync!$J1889),IF(AND(Sync!$J1889&gt;=10000101,Sync!$J1889&lt;=99991231),INT(Sync!$J1889/10000)&amp;"/"&amp;RIGHT("00"&amp;INT(MOD(Sync!$J1889,10000)/100),2)&amp;"/"&amp;RIGHT("00"&amp;MOD(Sync!$J1889,100),2),"نامعتبر"),IF(LEN(Sync!$J1889)=10,Sync!$J1889,"نامعتبر")))</f>
        <v/>
      </c>
      <c r="R1889" t="str">
        <f t="shared" si="152"/>
        <v/>
      </c>
      <c r="S1889" t="str">
        <f t="shared" si="153"/>
        <v/>
      </c>
      <c r="T1889" t="str">
        <f>IF($N1889="","",IF(Sync!$N1889="",0,Sync!$N1889))</f>
        <v/>
      </c>
      <c r="U1889" t="str">
        <f>IF($N1889="","",IF(Sync!$O1889="",0,Sync!$O1889))</f>
        <v/>
      </c>
      <c r="V1889" t="str">
        <f>IF($N1889="","",Sync!$L1889)</f>
        <v/>
      </c>
      <c r="W1889" t="str">
        <f>IF($N1889="","",Sync!$P1889)</f>
        <v/>
      </c>
    </row>
    <row r="1890" spans="14:23" x14ac:dyDescent="0.2">
      <c r="N1890" t="str">
        <f>IF(OR(Sync!$M1890="",$Q1890="",$Q1890="نامعتبر"),"",Sync!$M1890)</f>
        <v/>
      </c>
      <c r="O1890" t="str">
        <f t="shared" si="151"/>
        <v/>
      </c>
      <c r="P1890" t="str">
        <f>IF($N1890="","",LEFT($Q1890,4)&amp;MID($Q1890,6,2)&amp;RIGHT($Q1890,2)&amp;IF(Sync!$K1890="","0000",IF(AND(ISNUMBER(Sync!$K1890),Sync!$K1890&gt;=0,Sync!$K1890&lt;1),RIGHT("00"&amp;HOUR(Sync!$K1890),2)&amp;RIGHT("00"&amp;MINUTE(Sync!$K1890),2),IFERROR(RIGHT("00"&amp;VALUE(LEFT(Sync!$K1890,FIND(":",Sync!$K1890)-1)),2)&amp;RIGHT("00"&amp;VALUE(MID(Sync!$K1890,FIND(":",Sync!$K1890)+1,2)),2),"0000")))&amp;"|"&amp;"2"&amp;RIGHT("00000"&amp;1885,5))</f>
        <v/>
      </c>
      <c r="Q1890" t="str">
        <f>IF(Sync!$J1890="","",IF(ISNUMBER(Sync!$J1890),IF(AND(Sync!$J1890&gt;=10000101,Sync!$J1890&lt;=99991231),INT(Sync!$J1890/10000)&amp;"/"&amp;RIGHT("00"&amp;INT(MOD(Sync!$J1890,10000)/100),2)&amp;"/"&amp;RIGHT("00"&amp;MOD(Sync!$J1890,100),2),"نامعتبر"),IF(LEN(Sync!$J1890)=10,Sync!$J1890,"نامعتبر")))</f>
        <v/>
      </c>
      <c r="R1890" t="str">
        <f t="shared" si="152"/>
        <v/>
      </c>
      <c r="S1890" t="str">
        <f t="shared" si="153"/>
        <v/>
      </c>
      <c r="T1890" t="str">
        <f>IF($N1890="","",IF(Sync!$N1890="",0,Sync!$N1890))</f>
        <v/>
      </c>
      <c r="U1890" t="str">
        <f>IF($N1890="","",IF(Sync!$O1890="",0,Sync!$O1890))</f>
        <v/>
      </c>
      <c r="V1890" t="str">
        <f>IF($N1890="","",Sync!$L1890)</f>
        <v/>
      </c>
      <c r="W1890" t="str">
        <f>IF($N1890="","",Sync!$P1890)</f>
        <v/>
      </c>
    </row>
    <row r="1891" spans="14:23" x14ac:dyDescent="0.2">
      <c r="N1891" t="str">
        <f>IF(OR(Sync!$M1891="",$Q1891="",$Q1891="نامعتبر"),"",Sync!$M1891)</f>
        <v/>
      </c>
      <c r="O1891" t="str">
        <f t="shared" si="151"/>
        <v/>
      </c>
      <c r="P1891" t="str">
        <f>IF($N1891="","",LEFT($Q1891,4)&amp;MID($Q1891,6,2)&amp;RIGHT($Q1891,2)&amp;IF(Sync!$K1891="","0000",IF(AND(ISNUMBER(Sync!$K1891),Sync!$K1891&gt;=0,Sync!$K1891&lt;1),RIGHT("00"&amp;HOUR(Sync!$K1891),2)&amp;RIGHT("00"&amp;MINUTE(Sync!$K1891),2),IFERROR(RIGHT("00"&amp;VALUE(LEFT(Sync!$K1891,FIND(":",Sync!$K1891)-1)),2)&amp;RIGHT("00"&amp;VALUE(MID(Sync!$K1891,FIND(":",Sync!$K1891)+1,2)),2),"0000")))&amp;"|"&amp;"2"&amp;RIGHT("00000"&amp;1886,5))</f>
        <v/>
      </c>
      <c r="Q1891" t="str">
        <f>IF(Sync!$J1891="","",IF(ISNUMBER(Sync!$J1891),IF(AND(Sync!$J1891&gt;=10000101,Sync!$J1891&lt;=99991231),INT(Sync!$J1891/10000)&amp;"/"&amp;RIGHT("00"&amp;INT(MOD(Sync!$J1891,10000)/100),2)&amp;"/"&amp;RIGHT("00"&amp;MOD(Sync!$J1891,100),2),"نامعتبر"),IF(LEN(Sync!$J1891)=10,Sync!$J1891,"نامعتبر")))</f>
        <v/>
      </c>
      <c r="R1891" t="str">
        <f t="shared" si="152"/>
        <v/>
      </c>
      <c r="S1891" t="str">
        <f t="shared" si="153"/>
        <v/>
      </c>
      <c r="T1891" t="str">
        <f>IF($N1891="","",IF(Sync!$N1891="",0,Sync!$N1891))</f>
        <v/>
      </c>
      <c r="U1891" t="str">
        <f>IF($N1891="","",IF(Sync!$O1891="",0,Sync!$O1891))</f>
        <v/>
      </c>
      <c r="V1891" t="str">
        <f>IF($N1891="","",Sync!$L1891)</f>
        <v/>
      </c>
      <c r="W1891" t="str">
        <f>IF($N1891="","",Sync!$P1891)</f>
        <v/>
      </c>
    </row>
    <row r="1892" spans="14:23" x14ac:dyDescent="0.2">
      <c r="N1892" t="str">
        <f>IF(OR(Sync!$M1892="",$Q1892="",$Q1892="نامعتبر"),"",Sync!$M1892)</f>
        <v/>
      </c>
      <c r="O1892" t="str">
        <f t="shared" si="151"/>
        <v/>
      </c>
      <c r="P1892" t="str">
        <f>IF($N1892="","",LEFT($Q1892,4)&amp;MID($Q1892,6,2)&amp;RIGHT($Q1892,2)&amp;IF(Sync!$K1892="","0000",IF(AND(ISNUMBER(Sync!$K1892),Sync!$K1892&gt;=0,Sync!$K1892&lt;1),RIGHT("00"&amp;HOUR(Sync!$K1892),2)&amp;RIGHT("00"&amp;MINUTE(Sync!$K1892),2),IFERROR(RIGHT("00"&amp;VALUE(LEFT(Sync!$K1892,FIND(":",Sync!$K1892)-1)),2)&amp;RIGHT("00"&amp;VALUE(MID(Sync!$K1892,FIND(":",Sync!$K1892)+1,2)),2),"0000")))&amp;"|"&amp;"2"&amp;RIGHT("00000"&amp;1887,5))</f>
        <v/>
      </c>
      <c r="Q1892" t="str">
        <f>IF(Sync!$J1892="","",IF(ISNUMBER(Sync!$J1892),IF(AND(Sync!$J1892&gt;=10000101,Sync!$J1892&lt;=99991231),INT(Sync!$J1892/10000)&amp;"/"&amp;RIGHT("00"&amp;INT(MOD(Sync!$J1892,10000)/100),2)&amp;"/"&amp;RIGHT("00"&amp;MOD(Sync!$J1892,100),2),"نامعتبر"),IF(LEN(Sync!$J1892)=10,Sync!$J1892,"نامعتبر")))</f>
        <v/>
      </c>
      <c r="R1892" t="str">
        <f t="shared" si="152"/>
        <v/>
      </c>
      <c r="S1892" t="str">
        <f t="shared" si="153"/>
        <v/>
      </c>
      <c r="T1892" t="str">
        <f>IF($N1892="","",IF(Sync!$N1892="",0,Sync!$N1892))</f>
        <v/>
      </c>
      <c r="U1892" t="str">
        <f>IF($N1892="","",IF(Sync!$O1892="",0,Sync!$O1892))</f>
        <v/>
      </c>
      <c r="V1892" t="str">
        <f>IF($N1892="","",Sync!$L1892)</f>
        <v/>
      </c>
      <c r="W1892" t="str">
        <f>IF($N1892="","",Sync!$P1892)</f>
        <v/>
      </c>
    </row>
    <row r="1893" spans="14:23" x14ac:dyDescent="0.2">
      <c r="N1893" t="str">
        <f>IF(OR(Sync!$M1893="",$Q1893="",$Q1893="نامعتبر"),"",Sync!$M1893)</f>
        <v/>
      </c>
      <c r="O1893" t="str">
        <f t="shared" si="151"/>
        <v/>
      </c>
      <c r="P1893" t="str">
        <f>IF($N1893="","",LEFT($Q1893,4)&amp;MID($Q1893,6,2)&amp;RIGHT($Q1893,2)&amp;IF(Sync!$K1893="","0000",IF(AND(ISNUMBER(Sync!$K1893),Sync!$K1893&gt;=0,Sync!$K1893&lt;1),RIGHT("00"&amp;HOUR(Sync!$K1893),2)&amp;RIGHT("00"&amp;MINUTE(Sync!$K1893),2),IFERROR(RIGHT("00"&amp;VALUE(LEFT(Sync!$K1893,FIND(":",Sync!$K1893)-1)),2)&amp;RIGHT("00"&amp;VALUE(MID(Sync!$K1893,FIND(":",Sync!$K1893)+1,2)),2),"0000")))&amp;"|"&amp;"2"&amp;RIGHT("00000"&amp;1888,5))</f>
        <v/>
      </c>
      <c r="Q1893" t="str">
        <f>IF(Sync!$J1893="","",IF(ISNUMBER(Sync!$J1893),IF(AND(Sync!$J1893&gt;=10000101,Sync!$J1893&lt;=99991231),INT(Sync!$J1893/10000)&amp;"/"&amp;RIGHT("00"&amp;INT(MOD(Sync!$J1893,10000)/100),2)&amp;"/"&amp;RIGHT("00"&amp;MOD(Sync!$J1893,100),2),"نامعتبر"),IF(LEN(Sync!$J1893)=10,Sync!$J1893,"نامعتبر")))</f>
        <v/>
      </c>
      <c r="R1893" t="str">
        <f t="shared" si="152"/>
        <v/>
      </c>
      <c r="S1893" t="str">
        <f t="shared" si="153"/>
        <v/>
      </c>
      <c r="T1893" t="str">
        <f>IF($N1893="","",IF(Sync!$N1893="",0,Sync!$N1893))</f>
        <v/>
      </c>
      <c r="U1893" t="str">
        <f>IF($N1893="","",IF(Sync!$O1893="",0,Sync!$O1893))</f>
        <v/>
      </c>
      <c r="V1893" t="str">
        <f>IF($N1893="","",Sync!$L1893)</f>
        <v/>
      </c>
      <c r="W1893" t="str">
        <f>IF($N1893="","",Sync!$P1893)</f>
        <v/>
      </c>
    </row>
    <row r="1894" spans="14:23" x14ac:dyDescent="0.2">
      <c r="N1894" t="str">
        <f>IF(OR(Sync!$M1894="",$Q1894="",$Q1894="نامعتبر"),"",Sync!$M1894)</f>
        <v/>
      </c>
      <c r="O1894" t="str">
        <f t="shared" si="151"/>
        <v/>
      </c>
      <c r="P1894" t="str">
        <f>IF($N1894="","",LEFT($Q1894,4)&amp;MID($Q1894,6,2)&amp;RIGHT($Q1894,2)&amp;IF(Sync!$K1894="","0000",IF(AND(ISNUMBER(Sync!$K1894),Sync!$K1894&gt;=0,Sync!$K1894&lt;1),RIGHT("00"&amp;HOUR(Sync!$K1894),2)&amp;RIGHT("00"&amp;MINUTE(Sync!$K1894),2),IFERROR(RIGHT("00"&amp;VALUE(LEFT(Sync!$K1894,FIND(":",Sync!$K1894)-1)),2)&amp;RIGHT("00"&amp;VALUE(MID(Sync!$K1894,FIND(":",Sync!$K1894)+1,2)),2),"0000")))&amp;"|"&amp;"2"&amp;RIGHT("00000"&amp;1889,5))</f>
        <v/>
      </c>
      <c r="Q1894" t="str">
        <f>IF(Sync!$J1894="","",IF(ISNUMBER(Sync!$J1894),IF(AND(Sync!$J1894&gt;=10000101,Sync!$J1894&lt;=99991231),INT(Sync!$J1894/10000)&amp;"/"&amp;RIGHT("00"&amp;INT(MOD(Sync!$J1894,10000)/100),2)&amp;"/"&amp;RIGHT("00"&amp;MOD(Sync!$J1894,100),2),"نامعتبر"),IF(LEN(Sync!$J1894)=10,Sync!$J1894,"نامعتبر")))</f>
        <v/>
      </c>
      <c r="R1894" t="str">
        <f t="shared" si="152"/>
        <v/>
      </c>
      <c r="S1894" t="str">
        <f t="shared" si="153"/>
        <v/>
      </c>
      <c r="T1894" t="str">
        <f>IF($N1894="","",IF(Sync!$N1894="",0,Sync!$N1894))</f>
        <v/>
      </c>
      <c r="U1894" t="str">
        <f>IF($N1894="","",IF(Sync!$O1894="",0,Sync!$O1894))</f>
        <v/>
      </c>
      <c r="V1894" t="str">
        <f>IF($N1894="","",Sync!$L1894)</f>
        <v/>
      </c>
      <c r="W1894" t="str">
        <f>IF($N1894="","",Sync!$P1894)</f>
        <v/>
      </c>
    </row>
    <row r="1895" spans="14:23" x14ac:dyDescent="0.2">
      <c r="N1895" t="str">
        <f>IF(OR(Sync!$M1895="",$Q1895="",$Q1895="نامعتبر"),"",Sync!$M1895)</f>
        <v/>
      </c>
      <c r="O1895" t="str">
        <f t="shared" si="151"/>
        <v/>
      </c>
      <c r="P1895" t="str">
        <f>IF($N1895="","",LEFT($Q1895,4)&amp;MID($Q1895,6,2)&amp;RIGHT($Q1895,2)&amp;IF(Sync!$K1895="","0000",IF(AND(ISNUMBER(Sync!$K1895),Sync!$K1895&gt;=0,Sync!$K1895&lt;1),RIGHT("00"&amp;HOUR(Sync!$K1895),2)&amp;RIGHT("00"&amp;MINUTE(Sync!$K1895),2),IFERROR(RIGHT("00"&amp;VALUE(LEFT(Sync!$K1895,FIND(":",Sync!$K1895)-1)),2)&amp;RIGHT("00"&amp;VALUE(MID(Sync!$K1895,FIND(":",Sync!$K1895)+1,2)),2),"0000")))&amp;"|"&amp;"2"&amp;RIGHT("00000"&amp;1890,5))</f>
        <v/>
      </c>
      <c r="Q1895" t="str">
        <f>IF(Sync!$J1895="","",IF(ISNUMBER(Sync!$J1895),IF(AND(Sync!$J1895&gt;=10000101,Sync!$J1895&lt;=99991231),INT(Sync!$J1895/10000)&amp;"/"&amp;RIGHT("00"&amp;INT(MOD(Sync!$J1895,10000)/100),2)&amp;"/"&amp;RIGHT("00"&amp;MOD(Sync!$J1895,100),2),"نامعتبر"),IF(LEN(Sync!$J1895)=10,Sync!$J1895,"نامعتبر")))</f>
        <v/>
      </c>
      <c r="R1895" t="str">
        <f t="shared" si="152"/>
        <v/>
      </c>
      <c r="S1895" t="str">
        <f t="shared" si="153"/>
        <v/>
      </c>
      <c r="T1895" t="str">
        <f>IF($N1895="","",IF(Sync!$N1895="",0,Sync!$N1895))</f>
        <v/>
      </c>
      <c r="U1895" t="str">
        <f>IF($N1895="","",IF(Sync!$O1895="",0,Sync!$O1895))</f>
        <v/>
      </c>
      <c r="V1895" t="str">
        <f>IF($N1895="","",Sync!$L1895)</f>
        <v/>
      </c>
      <c r="W1895" t="str">
        <f>IF($N1895="","",Sync!$P1895)</f>
        <v/>
      </c>
    </row>
    <row r="1896" spans="14:23" x14ac:dyDescent="0.2">
      <c r="N1896" t="str">
        <f>IF(OR(Sync!$M1896="",$Q1896="",$Q1896="نامعتبر"),"",Sync!$M1896)</f>
        <v/>
      </c>
      <c r="O1896" t="str">
        <f t="shared" si="151"/>
        <v/>
      </c>
      <c r="P1896" t="str">
        <f>IF($N1896="","",LEFT($Q1896,4)&amp;MID($Q1896,6,2)&amp;RIGHT($Q1896,2)&amp;IF(Sync!$K1896="","0000",IF(AND(ISNUMBER(Sync!$K1896),Sync!$K1896&gt;=0,Sync!$K1896&lt;1),RIGHT("00"&amp;HOUR(Sync!$K1896),2)&amp;RIGHT("00"&amp;MINUTE(Sync!$K1896),2),IFERROR(RIGHT("00"&amp;VALUE(LEFT(Sync!$K1896,FIND(":",Sync!$K1896)-1)),2)&amp;RIGHT("00"&amp;VALUE(MID(Sync!$K1896,FIND(":",Sync!$K1896)+1,2)),2),"0000")))&amp;"|"&amp;"2"&amp;RIGHT("00000"&amp;1891,5))</f>
        <v/>
      </c>
      <c r="Q1896" t="str">
        <f>IF(Sync!$J1896="","",IF(ISNUMBER(Sync!$J1896),IF(AND(Sync!$J1896&gt;=10000101,Sync!$J1896&lt;=99991231),INT(Sync!$J1896/10000)&amp;"/"&amp;RIGHT("00"&amp;INT(MOD(Sync!$J1896,10000)/100),2)&amp;"/"&amp;RIGHT("00"&amp;MOD(Sync!$J1896,100),2),"نامعتبر"),IF(LEN(Sync!$J1896)=10,Sync!$J1896,"نامعتبر")))</f>
        <v/>
      </c>
      <c r="R1896" t="str">
        <f t="shared" si="152"/>
        <v/>
      </c>
      <c r="S1896" t="str">
        <f t="shared" si="153"/>
        <v/>
      </c>
      <c r="T1896" t="str">
        <f>IF($N1896="","",IF(Sync!$N1896="",0,Sync!$N1896))</f>
        <v/>
      </c>
      <c r="U1896" t="str">
        <f>IF($N1896="","",IF(Sync!$O1896="",0,Sync!$O1896))</f>
        <v/>
      </c>
      <c r="V1896" t="str">
        <f>IF($N1896="","",Sync!$L1896)</f>
        <v/>
      </c>
      <c r="W1896" t="str">
        <f>IF($N1896="","",Sync!$P1896)</f>
        <v/>
      </c>
    </row>
    <row r="1897" spans="14:23" x14ac:dyDescent="0.2">
      <c r="N1897" t="str">
        <f>IF(OR(Sync!$M1897="",$Q1897="",$Q1897="نامعتبر"),"",Sync!$M1897)</f>
        <v/>
      </c>
      <c r="O1897" t="str">
        <f t="shared" si="151"/>
        <v/>
      </c>
      <c r="P1897" t="str">
        <f>IF($N1897="","",LEFT($Q1897,4)&amp;MID($Q1897,6,2)&amp;RIGHT($Q1897,2)&amp;IF(Sync!$K1897="","0000",IF(AND(ISNUMBER(Sync!$K1897),Sync!$K1897&gt;=0,Sync!$K1897&lt;1),RIGHT("00"&amp;HOUR(Sync!$K1897),2)&amp;RIGHT("00"&amp;MINUTE(Sync!$K1897),2),IFERROR(RIGHT("00"&amp;VALUE(LEFT(Sync!$K1897,FIND(":",Sync!$K1897)-1)),2)&amp;RIGHT("00"&amp;VALUE(MID(Sync!$K1897,FIND(":",Sync!$K1897)+1,2)),2),"0000")))&amp;"|"&amp;"2"&amp;RIGHT("00000"&amp;1892,5))</f>
        <v/>
      </c>
      <c r="Q1897" t="str">
        <f>IF(Sync!$J1897="","",IF(ISNUMBER(Sync!$J1897),IF(AND(Sync!$J1897&gt;=10000101,Sync!$J1897&lt;=99991231),INT(Sync!$J1897/10000)&amp;"/"&amp;RIGHT("00"&amp;INT(MOD(Sync!$J1897,10000)/100),2)&amp;"/"&amp;RIGHT("00"&amp;MOD(Sync!$J1897,100),2),"نامعتبر"),IF(LEN(Sync!$J1897)=10,Sync!$J1897,"نامعتبر")))</f>
        <v/>
      </c>
      <c r="R1897" t="str">
        <f t="shared" si="152"/>
        <v/>
      </c>
      <c r="S1897" t="str">
        <f t="shared" si="153"/>
        <v/>
      </c>
      <c r="T1897" t="str">
        <f>IF($N1897="","",IF(Sync!$N1897="",0,Sync!$N1897))</f>
        <v/>
      </c>
      <c r="U1897" t="str">
        <f>IF($N1897="","",IF(Sync!$O1897="",0,Sync!$O1897))</f>
        <v/>
      </c>
      <c r="V1897" t="str">
        <f>IF($N1897="","",Sync!$L1897)</f>
        <v/>
      </c>
      <c r="W1897" t="str">
        <f>IF($N1897="","",Sync!$P1897)</f>
        <v/>
      </c>
    </row>
    <row r="1898" spans="14:23" x14ac:dyDescent="0.2">
      <c r="N1898" t="str">
        <f>IF(OR(Sync!$M1898="",$Q1898="",$Q1898="نامعتبر"),"",Sync!$M1898)</f>
        <v/>
      </c>
      <c r="O1898" t="str">
        <f t="shared" si="151"/>
        <v/>
      </c>
      <c r="P1898" t="str">
        <f>IF($N1898="","",LEFT($Q1898,4)&amp;MID($Q1898,6,2)&amp;RIGHT($Q1898,2)&amp;IF(Sync!$K1898="","0000",IF(AND(ISNUMBER(Sync!$K1898),Sync!$K1898&gt;=0,Sync!$K1898&lt;1),RIGHT("00"&amp;HOUR(Sync!$K1898),2)&amp;RIGHT("00"&amp;MINUTE(Sync!$K1898),2),IFERROR(RIGHT("00"&amp;VALUE(LEFT(Sync!$K1898,FIND(":",Sync!$K1898)-1)),2)&amp;RIGHT("00"&amp;VALUE(MID(Sync!$K1898,FIND(":",Sync!$K1898)+1,2)),2),"0000")))&amp;"|"&amp;"2"&amp;RIGHT("00000"&amp;1893,5))</f>
        <v/>
      </c>
      <c r="Q1898" t="str">
        <f>IF(Sync!$J1898="","",IF(ISNUMBER(Sync!$J1898),IF(AND(Sync!$J1898&gt;=10000101,Sync!$J1898&lt;=99991231),INT(Sync!$J1898/10000)&amp;"/"&amp;RIGHT("00"&amp;INT(MOD(Sync!$J1898,10000)/100),2)&amp;"/"&amp;RIGHT("00"&amp;MOD(Sync!$J1898,100),2),"نامعتبر"),IF(LEN(Sync!$J1898)=10,Sync!$J1898,"نامعتبر")))</f>
        <v/>
      </c>
      <c r="R1898" t="str">
        <f t="shared" si="152"/>
        <v/>
      </c>
      <c r="S1898" t="str">
        <f t="shared" si="153"/>
        <v/>
      </c>
      <c r="T1898" t="str">
        <f>IF($N1898="","",IF(Sync!$N1898="",0,Sync!$N1898))</f>
        <v/>
      </c>
      <c r="U1898" t="str">
        <f>IF($N1898="","",IF(Sync!$O1898="",0,Sync!$O1898))</f>
        <v/>
      </c>
      <c r="V1898" t="str">
        <f>IF($N1898="","",Sync!$L1898)</f>
        <v/>
      </c>
      <c r="W1898" t="str">
        <f>IF($N1898="","",Sync!$P1898)</f>
        <v/>
      </c>
    </row>
    <row r="1899" spans="14:23" x14ac:dyDescent="0.2">
      <c r="N1899" t="str">
        <f>IF(OR(Sync!$M1899="",$Q1899="",$Q1899="نامعتبر"),"",Sync!$M1899)</f>
        <v/>
      </c>
      <c r="O1899" t="str">
        <f t="shared" si="151"/>
        <v/>
      </c>
      <c r="P1899" t="str">
        <f>IF($N1899="","",LEFT($Q1899,4)&amp;MID($Q1899,6,2)&amp;RIGHT($Q1899,2)&amp;IF(Sync!$K1899="","0000",IF(AND(ISNUMBER(Sync!$K1899),Sync!$K1899&gt;=0,Sync!$K1899&lt;1),RIGHT("00"&amp;HOUR(Sync!$K1899),2)&amp;RIGHT("00"&amp;MINUTE(Sync!$K1899),2),IFERROR(RIGHT("00"&amp;VALUE(LEFT(Sync!$K1899,FIND(":",Sync!$K1899)-1)),2)&amp;RIGHT("00"&amp;VALUE(MID(Sync!$K1899,FIND(":",Sync!$K1899)+1,2)),2),"0000")))&amp;"|"&amp;"2"&amp;RIGHT("00000"&amp;1894,5))</f>
        <v/>
      </c>
      <c r="Q1899" t="str">
        <f>IF(Sync!$J1899="","",IF(ISNUMBER(Sync!$J1899),IF(AND(Sync!$J1899&gt;=10000101,Sync!$J1899&lt;=99991231),INT(Sync!$J1899/10000)&amp;"/"&amp;RIGHT("00"&amp;INT(MOD(Sync!$J1899,10000)/100),2)&amp;"/"&amp;RIGHT("00"&amp;MOD(Sync!$J1899,100),2),"نامعتبر"),IF(LEN(Sync!$J1899)=10,Sync!$J1899,"نامعتبر")))</f>
        <v/>
      </c>
      <c r="R1899" t="str">
        <f t="shared" si="152"/>
        <v/>
      </c>
      <c r="S1899" t="str">
        <f t="shared" si="153"/>
        <v/>
      </c>
      <c r="T1899" t="str">
        <f>IF($N1899="","",IF(Sync!$N1899="",0,Sync!$N1899))</f>
        <v/>
      </c>
      <c r="U1899" t="str">
        <f>IF($N1899="","",IF(Sync!$O1899="",0,Sync!$O1899))</f>
        <v/>
      </c>
      <c r="V1899" t="str">
        <f>IF($N1899="","",Sync!$L1899)</f>
        <v/>
      </c>
      <c r="W1899" t="str">
        <f>IF($N1899="","",Sync!$P1899)</f>
        <v/>
      </c>
    </row>
    <row r="1900" spans="14:23" x14ac:dyDescent="0.2">
      <c r="N1900" t="str">
        <f>IF(OR(Sync!$M1900="",$Q1900="",$Q1900="نامعتبر"),"",Sync!$M1900)</f>
        <v/>
      </c>
      <c r="O1900" t="str">
        <f t="shared" si="151"/>
        <v/>
      </c>
      <c r="P1900" t="str">
        <f>IF($N1900="","",LEFT($Q1900,4)&amp;MID($Q1900,6,2)&amp;RIGHT($Q1900,2)&amp;IF(Sync!$K1900="","0000",IF(AND(ISNUMBER(Sync!$K1900),Sync!$K1900&gt;=0,Sync!$K1900&lt;1),RIGHT("00"&amp;HOUR(Sync!$K1900),2)&amp;RIGHT("00"&amp;MINUTE(Sync!$K1900),2),IFERROR(RIGHT("00"&amp;VALUE(LEFT(Sync!$K1900,FIND(":",Sync!$K1900)-1)),2)&amp;RIGHT("00"&amp;VALUE(MID(Sync!$K1900,FIND(":",Sync!$K1900)+1,2)),2),"0000")))&amp;"|"&amp;"2"&amp;RIGHT("00000"&amp;1895,5))</f>
        <v/>
      </c>
      <c r="Q1900" t="str">
        <f>IF(Sync!$J1900="","",IF(ISNUMBER(Sync!$J1900),IF(AND(Sync!$J1900&gt;=10000101,Sync!$J1900&lt;=99991231),INT(Sync!$J1900/10000)&amp;"/"&amp;RIGHT("00"&amp;INT(MOD(Sync!$J1900,10000)/100),2)&amp;"/"&amp;RIGHT("00"&amp;MOD(Sync!$J1900,100),2),"نامعتبر"),IF(LEN(Sync!$J1900)=10,Sync!$J1900,"نامعتبر")))</f>
        <v/>
      </c>
      <c r="R1900" t="str">
        <f t="shared" si="152"/>
        <v/>
      </c>
      <c r="S1900" t="str">
        <f t="shared" si="153"/>
        <v/>
      </c>
      <c r="T1900" t="str">
        <f>IF($N1900="","",IF(Sync!$N1900="",0,Sync!$N1900))</f>
        <v/>
      </c>
      <c r="U1900" t="str">
        <f>IF($N1900="","",IF(Sync!$O1900="",0,Sync!$O1900))</f>
        <v/>
      </c>
      <c r="V1900" t="str">
        <f>IF($N1900="","",Sync!$L1900)</f>
        <v/>
      </c>
      <c r="W1900" t="str">
        <f>IF($N1900="","",Sync!$P1900)</f>
        <v/>
      </c>
    </row>
    <row r="1901" spans="14:23" x14ac:dyDescent="0.2">
      <c r="N1901" t="str">
        <f>IF(OR(Sync!$M1901="",$Q1901="",$Q1901="نامعتبر"),"",Sync!$M1901)</f>
        <v/>
      </c>
      <c r="O1901" t="str">
        <f t="shared" si="151"/>
        <v/>
      </c>
      <c r="P1901" t="str">
        <f>IF($N1901="","",LEFT($Q1901,4)&amp;MID($Q1901,6,2)&amp;RIGHT($Q1901,2)&amp;IF(Sync!$K1901="","0000",IF(AND(ISNUMBER(Sync!$K1901),Sync!$K1901&gt;=0,Sync!$K1901&lt;1),RIGHT("00"&amp;HOUR(Sync!$K1901),2)&amp;RIGHT("00"&amp;MINUTE(Sync!$K1901),2),IFERROR(RIGHT("00"&amp;VALUE(LEFT(Sync!$K1901,FIND(":",Sync!$K1901)-1)),2)&amp;RIGHT("00"&amp;VALUE(MID(Sync!$K1901,FIND(":",Sync!$K1901)+1,2)),2),"0000")))&amp;"|"&amp;"2"&amp;RIGHT("00000"&amp;1896,5))</f>
        <v/>
      </c>
      <c r="Q1901" t="str">
        <f>IF(Sync!$J1901="","",IF(ISNUMBER(Sync!$J1901),IF(AND(Sync!$J1901&gt;=10000101,Sync!$J1901&lt;=99991231),INT(Sync!$J1901/10000)&amp;"/"&amp;RIGHT("00"&amp;INT(MOD(Sync!$J1901,10000)/100),2)&amp;"/"&amp;RIGHT("00"&amp;MOD(Sync!$J1901,100),2),"نامعتبر"),IF(LEN(Sync!$J1901)=10,Sync!$J1901,"نامعتبر")))</f>
        <v/>
      </c>
      <c r="R1901" t="str">
        <f t="shared" si="152"/>
        <v/>
      </c>
      <c r="S1901" t="str">
        <f t="shared" si="153"/>
        <v/>
      </c>
      <c r="T1901" t="str">
        <f>IF($N1901="","",IF(Sync!$N1901="",0,Sync!$N1901))</f>
        <v/>
      </c>
      <c r="U1901" t="str">
        <f>IF($N1901="","",IF(Sync!$O1901="",0,Sync!$O1901))</f>
        <v/>
      </c>
      <c r="V1901" t="str">
        <f>IF($N1901="","",Sync!$L1901)</f>
        <v/>
      </c>
      <c r="W1901" t="str">
        <f>IF($N1901="","",Sync!$P1901)</f>
        <v/>
      </c>
    </row>
    <row r="1902" spans="14:23" x14ac:dyDescent="0.2">
      <c r="N1902" t="str">
        <f>IF(OR(Sync!$M1902="",$Q1902="",$Q1902="نامعتبر"),"",Sync!$M1902)</f>
        <v/>
      </c>
      <c r="O1902" t="str">
        <f t="shared" si="151"/>
        <v/>
      </c>
      <c r="P1902" t="str">
        <f>IF($N1902="","",LEFT($Q1902,4)&amp;MID($Q1902,6,2)&amp;RIGHT($Q1902,2)&amp;IF(Sync!$K1902="","0000",IF(AND(ISNUMBER(Sync!$K1902),Sync!$K1902&gt;=0,Sync!$K1902&lt;1),RIGHT("00"&amp;HOUR(Sync!$K1902),2)&amp;RIGHT("00"&amp;MINUTE(Sync!$K1902),2),IFERROR(RIGHT("00"&amp;VALUE(LEFT(Sync!$K1902,FIND(":",Sync!$K1902)-1)),2)&amp;RIGHT("00"&amp;VALUE(MID(Sync!$K1902,FIND(":",Sync!$K1902)+1,2)),2),"0000")))&amp;"|"&amp;"2"&amp;RIGHT("00000"&amp;1897,5))</f>
        <v/>
      </c>
      <c r="Q1902" t="str">
        <f>IF(Sync!$J1902="","",IF(ISNUMBER(Sync!$J1902),IF(AND(Sync!$J1902&gt;=10000101,Sync!$J1902&lt;=99991231),INT(Sync!$J1902/10000)&amp;"/"&amp;RIGHT("00"&amp;INT(MOD(Sync!$J1902,10000)/100),2)&amp;"/"&amp;RIGHT("00"&amp;MOD(Sync!$J1902,100),2),"نامعتبر"),IF(LEN(Sync!$J1902)=10,Sync!$J1902,"نامعتبر")))</f>
        <v/>
      </c>
      <c r="R1902" t="str">
        <f t="shared" si="152"/>
        <v/>
      </c>
      <c r="S1902" t="str">
        <f t="shared" si="153"/>
        <v/>
      </c>
      <c r="T1902" t="str">
        <f>IF($N1902="","",IF(Sync!$N1902="",0,Sync!$N1902))</f>
        <v/>
      </c>
      <c r="U1902" t="str">
        <f>IF($N1902="","",IF(Sync!$O1902="",0,Sync!$O1902))</f>
        <v/>
      </c>
      <c r="V1902" t="str">
        <f>IF($N1902="","",Sync!$L1902)</f>
        <v/>
      </c>
      <c r="W1902" t="str">
        <f>IF($N1902="","",Sync!$P1902)</f>
        <v/>
      </c>
    </row>
    <row r="1903" spans="14:23" x14ac:dyDescent="0.2">
      <c r="N1903" t="str">
        <f>IF(OR(Sync!$M1903="",$Q1903="",$Q1903="نامعتبر"),"",Sync!$M1903)</f>
        <v/>
      </c>
      <c r="O1903" t="str">
        <f t="shared" si="151"/>
        <v/>
      </c>
      <c r="P1903" t="str">
        <f>IF($N1903="","",LEFT($Q1903,4)&amp;MID($Q1903,6,2)&amp;RIGHT($Q1903,2)&amp;IF(Sync!$K1903="","0000",IF(AND(ISNUMBER(Sync!$K1903),Sync!$K1903&gt;=0,Sync!$K1903&lt;1),RIGHT("00"&amp;HOUR(Sync!$K1903),2)&amp;RIGHT("00"&amp;MINUTE(Sync!$K1903),2),IFERROR(RIGHT("00"&amp;VALUE(LEFT(Sync!$K1903,FIND(":",Sync!$K1903)-1)),2)&amp;RIGHT("00"&amp;VALUE(MID(Sync!$K1903,FIND(":",Sync!$K1903)+1,2)),2),"0000")))&amp;"|"&amp;"2"&amp;RIGHT("00000"&amp;1898,5))</f>
        <v/>
      </c>
      <c r="Q1903" t="str">
        <f>IF(Sync!$J1903="","",IF(ISNUMBER(Sync!$J1903),IF(AND(Sync!$J1903&gt;=10000101,Sync!$J1903&lt;=99991231),INT(Sync!$J1903/10000)&amp;"/"&amp;RIGHT("00"&amp;INT(MOD(Sync!$J1903,10000)/100),2)&amp;"/"&amp;RIGHT("00"&amp;MOD(Sync!$J1903,100),2),"نامعتبر"),IF(LEN(Sync!$J1903)=10,Sync!$J1903,"نامعتبر")))</f>
        <v/>
      </c>
      <c r="R1903" t="str">
        <f t="shared" si="152"/>
        <v/>
      </c>
      <c r="S1903" t="str">
        <f t="shared" si="153"/>
        <v/>
      </c>
      <c r="T1903" t="str">
        <f>IF($N1903="","",IF(Sync!$N1903="",0,Sync!$N1903))</f>
        <v/>
      </c>
      <c r="U1903" t="str">
        <f>IF($N1903="","",IF(Sync!$O1903="",0,Sync!$O1903))</f>
        <v/>
      </c>
      <c r="V1903" t="str">
        <f>IF($N1903="","",Sync!$L1903)</f>
        <v/>
      </c>
      <c r="W1903" t="str">
        <f>IF($N1903="","",Sync!$P1903)</f>
        <v/>
      </c>
    </row>
    <row r="1904" spans="14:23" x14ac:dyDescent="0.2">
      <c r="N1904" t="str">
        <f>IF(OR(Sync!$M1904="",$Q1904="",$Q1904="نامعتبر"),"",Sync!$M1904)</f>
        <v/>
      </c>
      <c r="O1904" t="str">
        <f t="shared" si="151"/>
        <v/>
      </c>
      <c r="P1904" t="str">
        <f>IF($N1904="","",LEFT($Q1904,4)&amp;MID($Q1904,6,2)&amp;RIGHT($Q1904,2)&amp;IF(Sync!$K1904="","0000",IF(AND(ISNUMBER(Sync!$K1904),Sync!$K1904&gt;=0,Sync!$K1904&lt;1),RIGHT("00"&amp;HOUR(Sync!$K1904),2)&amp;RIGHT("00"&amp;MINUTE(Sync!$K1904),2),IFERROR(RIGHT("00"&amp;VALUE(LEFT(Sync!$K1904,FIND(":",Sync!$K1904)-1)),2)&amp;RIGHT("00"&amp;VALUE(MID(Sync!$K1904,FIND(":",Sync!$K1904)+1,2)),2),"0000")))&amp;"|"&amp;"2"&amp;RIGHT("00000"&amp;1899,5))</f>
        <v/>
      </c>
      <c r="Q1904" t="str">
        <f>IF(Sync!$J1904="","",IF(ISNUMBER(Sync!$J1904),IF(AND(Sync!$J1904&gt;=10000101,Sync!$J1904&lt;=99991231),INT(Sync!$J1904/10000)&amp;"/"&amp;RIGHT("00"&amp;INT(MOD(Sync!$J1904,10000)/100),2)&amp;"/"&amp;RIGHT("00"&amp;MOD(Sync!$J1904,100),2),"نامعتبر"),IF(LEN(Sync!$J1904)=10,Sync!$J1904,"نامعتبر")))</f>
        <v/>
      </c>
      <c r="R1904" t="str">
        <f t="shared" si="152"/>
        <v/>
      </c>
      <c r="S1904" t="str">
        <f t="shared" si="153"/>
        <v/>
      </c>
      <c r="T1904" t="str">
        <f>IF($N1904="","",IF(Sync!$N1904="",0,Sync!$N1904))</f>
        <v/>
      </c>
      <c r="U1904" t="str">
        <f>IF($N1904="","",IF(Sync!$O1904="",0,Sync!$O1904))</f>
        <v/>
      </c>
      <c r="V1904" t="str">
        <f>IF($N1904="","",Sync!$L1904)</f>
        <v/>
      </c>
      <c r="W1904" t="str">
        <f>IF($N1904="","",Sync!$P1904)</f>
        <v/>
      </c>
    </row>
    <row r="1905" spans="14:23" x14ac:dyDescent="0.2">
      <c r="N1905" t="str">
        <f>IF(OR(Sync!$M1905="",$Q1905="",$Q1905="نامعتبر"),"",Sync!$M1905)</f>
        <v/>
      </c>
      <c r="O1905" t="str">
        <f t="shared" si="151"/>
        <v/>
      </c>
      <c r="P1905" t="str">
        <f>IF($N1905="","",LEFT($Q1905,4)&amp;MID($Q1905,6,2)&amp;RIGHT($Q1905,2)&amp;IF(Sync!$K1905="","0000",IF(AND(ISNUMBER(Sync!$K1905),Sync!$K1905&gt;=0,Sync!$K1905&lt;1),RIGHT("00"&amp;HOUR(Sync!$K1905),2)&amp;RIGHT("00"&amp;MINUTE(Sync!$K1905),2),IFERROR(RIGHT("00"&amp;VALUE(LEFT(Sync!$K1905,FIND(":",Sync!$K1905)-1)),2)&amp;RIGHT("00"&amp;VALUE(MID(Sync!$K1905,FIND(":",Sync!$K1905)+1,2)),2),"0000")))&amp;"|"&amp;"2"&amp;RIGHT("00000"&amp;1900,5))</f>
        <v/>
      </c>
      <c r="Q1905" t="str">
        <f>IF(Sync!$J1905="","",IF(ISNUMBER(Sync!$J1905),IF(AND(Sync!$J1905&gt;=10000101,Sync!$J1905&lt;=99991231),INT(Sync!$J1905/10000)&amp;"/"&amp;RIGHT("00"&amp;INT(MOD(Sync!$J1905,10000)/100),2)&amp;"/"&amp;RIGHT("00"&amp;MOD(Sync!$J1905,100),2),"نامعتبر"),IF(LEN(Sync!$J1905)=10,Sync!$J1905,"نامعتبر")))</f>
        <v/>
      </c>
      <c r="R1905" t="str">
        <f t="shared" si="152"/>
        <v/>
      </c>
      <c r="S1905" t="str">
        <f t="shared" si="153"/>
        <v/>
      </c>
      <c r="T1905" t="str">
        <f>IF($N1905="","",IF(Sync!$N1905="",0,Sync!$N1905))</f>
        <v/>
      </c>
      <c r="U1905" t="str">
        <f>IF($N1905="","",IF(Sync!$O1905="",0,Sync!$O1905))</f>
        <v/>
      </c>
      <c r="V1905" t="str">
        <f>IF($N1905="","",Sync!$L1905)</f>
        <v/>
      </c>
      <c r="W1905" t="str">
        <f>IF($N1905="","",Sync!$P1905)</f>
        <v/>
      </c>
    </row>
    <row r="1906" spans="14:23" x14ac:dyDescent="0.2">
      <c r="N1906" t="str">
        <f>IF(OR(Sync!$M1906="",$Q1906="",$Q1906="نامعتبر"),"",Sync!$M1906)</f>
        <v/>
      </c>
      <c r="O1906" t="str">
        <f t="shared" si="151"/>
        <v/>
      </c>
      <c r="P1906" t="str">
        <f>IF($N1906="","",LEFT($Q1906,4)&amp;MID($Q1906,6,2)&amp;RIGHT($Q1906,2)&amp;IF(Sync!$K1906="","0000",IF(AND(ISNUMBER(Sync!$K1906),Sync!$K1906&gt;=0,Sync!$K1906&lt;1),RIGHT("00"&amp;HOUR(Sync!$K1906),2)&amp;RIGHT("00"&amp;MINUTE(Sync!$K1906),2),IFERROR(RIGHT("00"&amp;VALUE(LEFT(Sync!$K1906,FIND(":",Sync!$K1906)-1)),2)&amp;RIGHT("00"&amp;VALUE(MID(Sync!$K1906,FIND(":",Sync!$K1906)+1,2)),2),"0000")))&amp;"|"&amp;"2"&amp;RIGHT("00000"&amp;1901,5))</f>
        <v/>
      </c>
      <c r="Q1906" t="str">
        <f>IF(Sync!$J1906="","",IF(ISNUMBER(Sync!$J1906),IF(AND(Sync!$J1906&gt;=10000101,Sync!$J1906&lt;=99991231),INT(Sync!$J1906/10000)&amp;"/"&amp;RIGHT("00"&amp;INT(MOD(Sync!$J1906,10000)/100),2)&amp;"/"&amp;RIGHT("00"&amp;MOD(Sync!$J1906,100),2),"نامعتبر"),IF(LEN(Sync!$J1906)=10,Sync!$J1906,"نامعتبر")))</f>
        <v/>
      </c>
      <c r="R1906" t="str">
        <f t="shared" si="152"/>
        <v/>
      </c>
      <c r="S1906" t="str">
        <f t="shared" si="153"/>
        <v/>
      </c>
      <c r="T1906" t="str">
        <f>IF($N1906="","",IF(Sync!$N1906="",0,Sync!$N1906))</f>
        <v/>
      </c>
      <c r="U1906" t="str">
        <f>IF($N1906="","",IF(Sync!$O1906="",0,Sync!$O1906))</f>
        <v/>
      </c>
      <c r="V1906" t="str">
        <f>IF($N1906="","",Sync!$L1906)</f>
        <v/>
      </c>
      <c r="W1906" t="str">
        <f>IF($N1906="","",Sync!$P1906)</f>
        <v/>
      </c>
    </row>
    <row r="1907" spans="14:23" x14ac:dyDescent="0.2">
      <c r="N1907" t="str">
        <f>IF(OR(Sync!$M1907="",$Q1907="",$Q1907="نامعتبر"),"",Sync!$M1907)</f>
        <v/>
      </c>
      <c r="O1907" t="str">
        <f t="shared" si="151"/>
        <v/>
      </c>
      <c r="P1907" t="str">
        <f>IF($N1907="","",LEFT($Q1907,4)&amp;MID($Q1907,6,2)&amp;RIGHT($Q1907,2)&amp;IF(Sync!$K1907="","0000",IF(AND(ISNUMBER(Sync!$K1907),Sync!$K1907&gt;=0,Sync!$K1907&lt;1),RIGHT("00"&amp;HOUR(Sync!$K1907),2)&amp;RIGHT("00"&amp;MINUTE(Sync!$K1907),2),IFERROR(RIGHT("00"&amp;VALUE(LEFT(Sync!$K1907,FIND(":",Sync!$K1907)-1)),2)&amp;RIGHT("00"&amp;VALUE(MID(Sync!$K1907,FIND(":",Sync!$K1907)+1,2)),2),"0000")))&amp;"|"&amp;"2"&amp;RIGHT("00000"&amp;1902,5))</f>
        <v/>
      </c>
      <c r="Q1907" t="str">
        <f>IF(Sync!$J1907="","",IF(ISNUMBER(Sync!$J1907),IF(AND(Sync!$J1907&gt;=10000101,Sync!$J1907&lt;=99991231),INT(Sync!$J1907/10000)&amp;"/"&amp;RIGHT("00"&amp;INT(MOD(Sync!$J1907,10000)/100),2)&amp;"/"&amp;RIGHT("00"&amp;MOD(Sync!$J1907,100),2),"نامعتبر"),IF(LEN(Sync!$J1907)=10,Sync!$J1907,"نامعتبر")))</f>
        <v/>
      </c>
      <c r="R1907" t="str">
        <f t="shared" si="152"/>
        <v/>
      </c>
      <c r="S1907" t="str">
        <f t="shared" si="153"/>
        <v/>
      </c>
      <c r="T1907" t="str">
        <f>IF($N1907="","",IF(Sync!$N1907="",0,Sync!$N1907))</f>
        <v/>
      </c>
      <c r="U1907" t="str">
        <f>IF($N1907="","",IF(Sync!$O1907="",0,Sync!$O1907))</f>
        <v/>
      </c>
      <c r="V1907" t="str">
        <f>IF($N1907="","",Sync!$L1907)</f>
        <v/>
      </c>
      <c r="W1907" t="str">
        <f>IF($N1907="","",Sync!$P1907)</f>
        <v/>
      </c>
    </row>
    <row r="1908" spans="14:23" x14ac:dyDescent="0.2">
      <c r="N1908" t="str">
        <f>IF(OR(Sync!$M1908="",$Q1908="",$Q1908="نامعتبر"),"",Sync!$M1908)</f>
        <v/>
      </c>
      <c r="O1908" t="str">
        <f t="shared" si="151"/>
        <v/>
      </c>
      <c r="P1908" t="str">
        <f>IF($N1908="","",LEFT($Q1908,4)&amp;MID($Q1908,6,2)&amp;RIGHT($Q1908,2)&amp;IF(Sync!$K1908="","0000",IF(AND(ISNUMBER(Sync!$K1908),Sync!$K1908&gt;=0,Sync!$K1908&lt;1),RIGHT("00"&amp;HOUR(Sync!$K1908),2)&amp;RIGHT("00"&amp;MINUTE(Sync!$K1908),2),IFERROR(RIGHT("00"&amp;VALUE(LEFT(Sync!$K1908,FIND(":",Sync!$K1908)-1)),2)&amp;RIGHT("00"&amp;VALUE(MID(Sync!$K1908,FIND(":",Sync!$K1908)+1,2)),2),"0000")))&amp;"|"&amp;"2"&amp;RIGHT("00000"&amp;1903,5))</f>
        <v/>
      </c>
      <c r="Q1908" t="str">
        <f>IF(Sync!$J1908="","",IF(ISNUMBER(Sync!$J1908),IF(AND(Sync!$J1908&gt;=10000101,Sync!$J1908&lt;=99991231),INT(Sync!$J1908/10000)&amp;"/"&amp;RIGHT("00"&amp;INT(MOD(Sync!$J1908,10000)/100),2)&amp;"/"&amp;RIGHT("00"&amp;MOD(Sync!$J1908,100),2),"نامعتبر"),IF(LEN(Sync!$J1908)=10,Sync!$J1908,"نامعتبر")))</f>
        <v/>
      </c>
      <c r="R1908" t="str">
        <f t="shared" si="152"/>
        <v/>
      </c>
      <c r="S1908" t="str">
        <f t="shared" si="153"/>
        <v/>
      </c>
      <c r="T1908" t="str">
        <f>IF($N1908="","",IF(Sync!$N1908="",0,Sync!$N1908))</f>
        <v/>
      </c>
      <c r="U1908" t="str">
        <f>IF($N1908="","",IF(Sync!$O1908="",0,Sync!$O1908))</f>
        <v/>
      </c>
      <c r="V1908" t="str">
        <f>IF($N1908="","",Sync!$L1908)</f>
        <v/>
      </c>
      <c r="W1908" t="str">
        <f>IF($N1908="","",Sync!$P1908)</f>
        <v/>
      </c>
    </row>
    <row r="1909" spans="14:23" x14ac:dyDescent="0.2">
      <c r="N1909" t="str">
        <f>IF(OR(Sync!$M1909="",$Q1909="",$Q1909="نامعتبر"),"",Sync!$M1909)</f>
        <v/>
      </c>
      <c r="O1909" t="str">
        <f t="shared" si="151"/>
        <v/>
      </c>
      <c r="P1909" t="str">
        <f>IF($N1909="","",LEFT($Q1909,4)&amp;MID($Q1909,6,2)&amp;RIGHT($Q1909,2)&amp;IF(Sync!$K1909="","0000",IF(AND(ISNUMBER(Sync!$K1909),Sync!$K1909&gt;=0,Sync!$K1909&lt;1),RIGHT("00"&amp;HOUR(Sync!$K1909),2)&amp;RIGHT("00"&amp;MINUTE(Sync!$K1909),2),IFERROR(RIGHT("00"&amp;VALUE(LEFT(Sync!$K1909,FIND(":",Sync!$K1909)-1)),2)&amp;RIGHT("00"&amp;VALUE(MID(Sync!$K1909,FIND(":",Sync!$K1909)+1,2)),2),"0000")))&amp;"|"&amp;"2"&amp;RIGHT("00000"&amp;1904,5))</f>
        <v/>
      </c>
      <c r="Q1909" t="str">
        <f>IF(Sync!$J1909="","",IF(ISNUMBER(Sync!$J1909),IF(AND(Sync!$J1909&gt;=10000101,Sync!$J1909&lt;=99991231),INT(Sync!$J1909/10000)&amp;"/"&amp;RIGHT("00"&amp;INT(MOD(Sync!$J1909,10000)/100),2)&amp;"/"&amp;RIGHT("00"&amp;MOD(Sync!$J1909,100),2),"نامعتبر"),IF(LEN(Sync!$J1909)=10,Sync!$J1909,"نامعتبر")))</f>
        <v/>
      </c>
      <c r="R1909" t="str">
        <f t="shared" si="152"/>
        <v/>
      </c>
      <c r="S1909" t="str">
        <f t="shared" si="153"/>
        <v/>
      </c>
      <c r="T1909" t="str">
        <f>IF($N1909="","",IF(Sync!$N1909="",0,Sync!$N1909))</f>
        <v/>
      </c>
      <c r="U1909" t="str">
        <f>IF($N1909="","",IF(Sync!$O1909="",0,Sync!$O1909))</f>
        <v/>
      </c>
      <c r="V1909" t="str">
        <f>IF($N1909="","",Sync!$L1909)</f>
        <v/>
      </c>
      <c r="W1909" t="str">
        <f>IF($N1909="","",Sync!$P1909)</f>
        <v/>
      </c>
    </row>
    <row r="1910" spans="14:23" x14ac:dyDescent="0.2">
      <c r="N1910" t="str">
        <f>IF(OR(Sync!$M1910="",$Q1910="",$Q1910="نامعتبر"),"",Sync!$M1910)</f>
        <v/>
      </c>
      <c r="O1910" t="str">
        <f t="shared" si="151"/>
        <v/>
      </c>
      <c r="P1910" t="str">
        <f>IF($N1910="","",LEFT($Q1910,4)&amp;MID($Q1910,6,2)&amp;RIGHT($Q1910,2)&amp;IF(Sync!$K1910="","0000",IF(AND(ISNUMBER(Sync!$K1910),Sync!$K1910&gt;=0,Sync!$K1910&lt;1),RIGHT("00"&amp;HOUR(Sync!$K1910),2)&amp;RIGHT("00"&amp;MINUTE(Sync!$K1910),2),IFERROR(RIGHT("00"&amp;VALUE(LEFT(Sync!$K1910,FIND(":",Sync!$K1910)-1)),2)&amp;RIGHT("00"&amp;VALUE(MID(Sync!$K1910,FIND(":",Sync!$K1910)+1,2)),2),"0000")))&amp;"|"&amp;"2"&amp;RIGHT("00000"&amp;1905,5))</f>
        <v/>
      </c>
      <c r="Q1910" t="str">
        <f>IF(Sync!$J1910="","",IF(ISNUMBER(Sync!$J1910),IF(AND(Sync!$J1910&gt;=10000101,Sync!$J1910&lt;=99991231),INT(Sync!$J1910/10000)&amp;"/"&amp;RIGHT("00"&amp;INT(MOD(Sync!$J1910,10000)/100),2)&amp;"/"&amp;RIGHT("00"&amp;MOD(Sync!$J1910,100),2),"نامعتبر"),IF(LEN(Sync!$J1910)=10,Sync!$J1910,"نامعتبر")))</f>
        <v/>
      </c>
      <c r="R1910" t="str">
        <f t="shared" si="152"/>
        <v/>
      </c>
      <c r="S1910" t="str">
        <f t="shared" si="153"/>
        <v/>
      </c>
      <c r="T1910" t="str">
        <f>IF($N1910="","",IF(Sync!$N1910="",0,Sync!$N1910))</f>
        <v/>
      </c>
      <c r="U1910" t="str">
        <f>IF($N1910="","",IF(Sync!$O1910="",0,Sync!$O1910))</f>
        <v/>
      </c>
      <c r="V1910" t="str">
        <f>IF($N1910="","",Sync!$L1910)</f>
        <v/>
      </c>
      <c r="W1910" t="str">
        <f>IF($N1910="","",Sync!$P1910)</f>
        <v/>
      </c>
    </row>
    <row r="1911" spans="14:23" x14ac:dyDescent="0.2">
      <c r="N1911" t="str">
        <f>IF(OR(Sync!$M1911="",$Q1911="",$Q1911="نامعتبر"),"",Sync!$M1911)</f>
        <v/>
      </c>
      <c r="O1911" t="str">
        <f t="shared" si="151"/>
        <v/>
      </c>
      <c r="P1911" t="str">
        <f>IF($N1911="","",LEFT($Q1911,4)&amp;MID($Q1911,6,2)&amp;RIGHT($Q1911,2)&amp;IF(Sync!$K1911="","0000",IF(AND(ISNUMBER(Sync!$K1911),Sync!$K1911&gt;=0,Sync!$K1911&lt;1),RIGHT("00"&amp;HOUR(Sync!$K1911),2)&amp;RIGHT("00"&amp;MINUTE(Sync!$K1911),2),IFERROR(RIGHT("00"&amp;VALUE(LEFT(Sync!$K1911,FIND(":",Sync!$K1911)-1)),2)&amp;RIGHT("00"&amp;VALUE(MID(Sync!$K1911,FIND(":",Sync!$K1911)+1,2)),2),"0000")))&amp;"|"&amp;"2"&amp;RIGHT("00000"&amp;1906,5))</f>
        <v/>
      </c>
      <c r="Q1911" t="str">
        <f>IF(Sync!$J1911="","",IF(ISNUMBER(Sync!$J1911),IF(AND(Sync!$J1911&gt;=10000101,Sync!$J1911&lt;=99991231),INT(Sync!$J1911/10000)&amp;"/"&amp;RIGHT("00"&amp;INT(MOD(Sync!$J1911,10000)/100),2)&amp;"/"&amp;RIGHT("00"&amp;MOD(Sync!$J1911,100),2),"نامعتبر"),IF(LEN(Sync!$J1911)=10,Sync!$J1911,"نامعتبر")))</f>
        <v/>
      </c>
      <c r="R1911" t="str">
        <f t="shared" si="152"/>
        <v/>
      </c>
      <c r="S1911" t="str">
        <f t="shared" si="153"/>
        <v/>
      </c>
      <c r="T1911" t="str">
        <f>IF($N1911="","",IF(Sync!$N1911="",0,Sync!$N1911))</f>
        <v/>
      </c>
      <c r="U1911" t="str">
        <f>IF($N1911="","",IF(Sync!$O1911="",0,Sync!$O1911))</f>
        <v/>
      </c>
      <c r="V1911" t="str">
        <f>IF($N1911="","",Sync!$L1911)</f>
        <v/>
      </c>
      <c r="W1911" t="str">
        <f>IF($N1911="","",Sync!$P1911)</f>
        <v/>
      </c>
    </row>
    <row r="1912" spans="14:23" x14ac:dyDescent="0.2">
      <c r="N1912" t="str">
        <f>IF(OR(Sync!$M1912="",$Q1912="",$Q1912="نامعتبر"),"",Sync!$M1912)</f>
        <v/>
      </c>
      <c r="O1912" t="str">
        <f t="shared" si="151"/>
        <v/>
      </c>
      <c r="P1912" t="str">
        <f>IF($N1912="","",LEFT($Q1912,4)&amp;MID($Q1912,6,2)&amp;RIGHT($Q1912,2)&amp;IF(Sync!$K1912="","0000",IF(AND(ISNUMBER(Sync!$K1912),Sync!$K1912&gt;=0,Sync!$K1912&lt;1),RIGHT("00"&amp;HOUR(Sync!$K1912),2)&amp;RIGHT("00"&amp;MINUTE(Sync!$K1912),2),IFERROR(RIGHT("00"&amp;VALUE(LEFT(Sync!$K1912,FIND(":",Sync!$K1912)-1)),2)&amp;RIGHT("00"&amp;VALUE(MID(Sync!$K1912,FIND(":",Sync!$K1912)+1,2)),2),"0000")))&amp;"|"&amp;"2"&amp;RIGHT("00000"&amp;1907,5))</f>
        <v/>
      </c>
      <c r="Q1912" t="str">
        <f>IF(Sync!$J1912="","",IF(ISNUMBER(Sync!$J1912),IF(AND(Sync!$J1912&gt;=10000101,Sync!$J1912&lt;=99991231),INT(Sync!$J1912/10000)&amp;"/"&amp;RIGHT("00"&amp;INT(MOD(Sync!$J1912,10000)/100),2)&amp;"/"&amp;RIGHT("00"&amp;MOD(Sync!$J1912,100),2),"نامعتبر"),IF(LEN(Sync!$J1912)=10,Sync!$J1912,"نامعتبر")))</f>
        <v/>
      </c>
      <c r="R1912" t="str">
        <f t="shared" si="152"/>
        <v/>
      </c>
      <c r="S1912" t="str">
        <f t="shared" si="153"/>
        <v/>
      </c>
      <c r="T1912" t="str">
        <f>IF($N1912="","",IF(Sync!$N1912="",0,Sync!$N1912))</f>
        <v/>
      </c>
      <c r="U1912" t="str">
        <f>IF($N1912="","",IF(Sync!$O1912="",0,Sync!$O1912))</f>
        <v/>
      </c>
      <c r="V1912" t="str">
        <f>IF($N1912="","",Sync!$L1912)</f>
        <v/>
      </c>
      <c r="W1912" t="str">
        <f>IF($N1912="","",Sync!$P1912)</f>
        <v/>
      </c>
    </row>
    <row r="1913" spans="14:23" x14ac:dyDescent="0.2">
      <c r="N1913" t="str">
        <f>IF(OR(Sync!$M1913="",$Q1913="",$Q1913="نامعتبر"),"",Sync!$M1913)</f>
        <v/>
      </c>
      <c r="O1913" t="str">
        <f t="shared" si="151"/>
        <v/>
      </c>
      <c r="P1913" t="str">
        <f>IF($N1913="","",LEFT($Q1913,4)&amp;MID($Q1913,6,2)&amp;RIGHT($Q1913,2)&amp;IF(Sync!$K1913="","0000",IF(AND(ISNUMBER(Sync!$K1913),Sync!$K1913&gt;=0,Sync!$K1913&lt;1),RIGHT("00"&amp;HOUR(Sync!$K1913),2)&amp;RIGHT("00"&amp;MINUTE(Sync!$K1913),2),IFERROR(RIGHT("00"&amp;VALUE(LEFT(Sync!$K1913,FIND(":",Sync!$K1913)-1)),2)&amp;RIGHT("00"&amp;VALUE(MID(Sync!$K1913,FIND(":",Sync!$K1913)+1,2)),2),"0000")))&amp;"|"&amp;"2"&amp;RIGHT("00000"&amp;1908,5))</f>
        <v/>
      </c>
      <c r="Q1913" t="str">
        <f>IF(Sync!$J1913="","",IF(ISNUMBER(Sync!$J1913),IF(AND(Sync!$J1913&gt;=10000101,Sync!$J1913&lt;=99991231),INT(Sync!$J1913/10000)&amp;"/"&amp;RIGHT("00"&amp;INT(MOD(Sync!$J1913,10000)/100),2)&amp;"/"&amp;RIGHT("00"&amp;MOD(Sync!$J1913,100),2),"نامعتبر"),IF(LEN(Sync!$J1913)=10,Sync!$J1913,"نامعتبر")))</f>
        <v/>
      </c>
      <c r="R1913" t="str">
        <f t="shared" si="152"/>
        <v/>
      </c>
      <c r="S1913" t="str">
        <f t="shared" si="153"/>
        <v/>
      </c>
      <c r="T1913" t="str">
        <f>IF($N1913="","",IF(Sync!$N1913="",0,Sync!$N1913))</f>
        <v/>
      </c>
      <c r="U1913" t="str">
        <f>IF($N1913="","",IF(Sync!$O1913="",0,Sync!$O1913))</f>
        <v/>
      </c>
      <c r="V1913" t="str">
        <f>IF($N1913="","",Sync!$L1913)</f>
        <v/>
      </c>
      <c r="W1913" t="str">
        <f>IF($N1913="","",Sync!$P1913)</f>
        <v/>
      </c>
    </row>
    <row r="1914" spans="14:23" x14ac:dyDescent="0.2">
      <c r="N1914" t="str">
        <f>IF(OR(Sync!$M1914="",$Q1914="",$Q1914="نامعتبر"),"",Sync!$M1914)</f>
        <v/>
      </c>
      <c r="O1914" t="str">
        <f t="shared" si="151"/>
        <v/>
      </c>
      <c r="P1914" t="str">
        <f>IF($N1914="","",LEFT($Q1914,4)&amp;MID($Q1914,6,2)&amp;RIGHT($Q1914,2)&amp;IF(Sync!$K1914="","0000",IF(AND(ISNUMBER(Sync!$K1914),Sync!$K1914&gt;=0,Sync!$K1914&lt;1),RIGHT("00"&amp;HOUR(Sync!$K1914),2)&amp;RIGHT("00"&amp;MINUTE(Sync!$K1914),2),IFERROR(RIGHT("00"&amp;VALUE(LEFT(Sync!$K1914,FIND(":",Sync!$K1914)-1)),2)&amp;RIGHT("00"&amp;VALUE(MID(Sync!$K1914,FIND(":",Sync!$K1914)+1,2)),2),"0000")))&amp;"|"&amp;"2"&amp;RIGHT("00000"&amp;1909,5))</f>
        <v/>
      </c>
      <c r="Q1914" t="str">
        <f>IF(Sync!$J1914="","",IF(ISNUMBER(Sync!$J1914),IF(AND(Sync!$J1914&gt;=10000101,Sync!$J1914&lt;=99991231),INT(Sync!$J1914/10000)&amp;"/"&amp;RIGHT("00"&amp;INT(MOD(Sync!$J1914,10000)/100),2)&amp;"/"&amp;RIGHT("00"&amp;MOD(Sync!$J1914,100),2),"نامعتبر"),IF(LEN(Sync!$J1914)=10,Sync!$J1914,"نامعتبر")))</f>
        <v/>
      </c>
      <c r="R1914" t="str">
        <f t="shared" si="152"/>
        <v/>
      </c>
      <c r="S1914" t="str">
        <f t="shared" si="153"/>
        <v/>
      </c>
      <c r="T1914" t="str">
        <f>IF($N1914="","",IF(Sync!$N1914="",0,Sync!$N1914))</f>
        <v/>
      </c>
      <c r="U1914" t="str">
        <f>IF($N1914="","",IF(Sync!$O1914="",0,Sync!$O1914))</f>
        <v/>
      </c>
      <c r="V1914" t="str">
        <f>IF($N1914="","",Sync!$L1914)</f>
        <v/>
      </c>
      <c r="W1914" t="str">
        <f>IF($N1914="","",Sync!$P1914)</f>
        <v/>
      </c>
    </row>
    <row r="1915" spans="14:23" x14ac:dyDescent="0.2">
      <c r="N1915" t="str">
        <f>IF(OR(Sync!$M1915="",$Q1915="",$Q1915="نامعتبر"),"",Sync!$M1915)</f>
        <v/>
      </c>
      <c r="O1915" t="str">
        <f t="shared" si="151"/>
        <v/>
      </c>
      <c r="P1915" t="str">
        <f>IF($N1915="","",LEFT($Q1915,4)&amp;MID($Q1915,6,2)&amp;RIGHT($Q1915,2)&amp;IF(Sync!$K1915="","0000",IF(AND(ISNUMBER(Sync!$K1915),Sync!$K1915&gt;=0,Sync!$K1915&lt;1),RIGHT("00"&amp;HOUR(Sync!$K1915),2)&amp;RIGHT("00"&amp;MINUTE(Sync!$K1915),2),IFERROR(RIGHT("00"&amp;VALUE(LEFT(Sync!$K1915,FIND(":",Sync!$K1915)-1)),2)&amp;RIGHT("00"&amp;VALUE(MID(Sync!$K1915,FIND(":",Sync!$K1915)+1,2)),2),"0000")))&amp;"|"&amp;"2"&amp;RIGHT("00000"&amp;1910,5))</f>
        <v/>
      </c>
      <c r="Q1915" t="str">
        <f>IF(Sync!$J1915="","",IF(ISNUMBER(Sync!$J1915),IF(AND(Sync!$J1915&gt;=10000101,Sync!$J1915&lt;=99991231),INT(Sync!$J1915/10000)&amp;"/"&amp;RIGHT("00"&amp;INT(MOD(Sync!$J1915,10000)/100),2)&amp;"/"&amp;RIGHT("00"&amp;MOD(Sync!$J1915,100),2),"نامعتبر"),IF(LEN(Sync!$J1915)=10,Sync!$J1915,"نامعتبر")))</f>
        <v/>
      </c>
      <c r="R1915" t="str">
        <f t="shared" si="152"/>
        <v/>
      </c>
      <c r="S1915" t="str">
        <f t="shared" si="153"/>
        <v/>
      </c>
      <c r="T1915" t="str">
        <f>IF($N1915="","",IF(Sync!$N1915="",0,Sync!$N1915))</f>
        <v/>
      </c>
      <c r="U1915" t="str">
        <f>IF($N1915="","",IF(Sync!$O1915="",0,Sync!$O1915))</f>
        <v/>
      </c>
      <c r="V1915" t="str">
        <f>IF($N1915="","",Sync!$L1915)</f>
        <v/>
      </c>
      <c r="W1915" t="str">
        <f>IF($N1915="","",Sync!$P1915)</f>
        <v/>
      </c>
    </row>
    <row r="1916" spans="14:23" x14ac:dyDescent="0.2">
      <c r="N1916" t="str">
        <f>IF(OR(Sync!$M1916="",$Q1916="",$Q1916="نامعتبر"),"",Sync!$M1916)</f>
        <v/>
      </c>
      <c r="O1916" t="str">
        <f t="shared" si="151"/>
        <v/>
      </c>
      <c r="P1916" t="str">
        <f>IF($N1916="","",LEFT($Q1916,4)&amp;MID($Q1916,6,2)&amp;RIGHT($Q1916,2)&amp;IF(Sync!$K1916="","0000",IF(AND(ISNUMBER(Sync!$K1916),Sync!$K1916&gt;=0,Sync!$K1916&lt;1),RIGHT("00"&amp;HOUR(Sync!$K1916),2)&amp;RIGHT("00"&amp;MINUTE(Sync!$K1916),2),IFERROR(RIGHT("00"&amp;VALUE(LEFT(Sync!$K1916,FIND(":",Sync!$K1916)-1)),2)&amp;RIGHT("00"&amp;VALUE(MID(Sync!$K1916,FIND(":",Sync!$K1916)+1,2)),2),"0000")))&amp;"|"&amp;"2"&amp;RIGHT("00000"&amp;1911,5))</f>
        <v/>
      </c>
      <c r="Q1916" t="str">
        <f>IF(Sync!$J1916="","",IF(ISNUMBER(Sync!$J1916),IF(AND(Sync!$J1916&gt;=10000101,Sync!$J1916&lt;=99991231),INT(Sync!$J1916/10000)&amp;"/"&amp;RIGHT("00"&amp;INT(MOD(Sync!$J1916,10000)/100),2)&amp;"/"&amp;RIGHT("00"&amp;MOD(Sync!$J1916,100),2),"نامعتبر"),IF(LEN(Sync!$J1916)=10,Sync!$J1916,"نامعتبر")))</f>
        <v/>
      </c>
      <c r="R1916" t="str">
        <f t="shared" si="152"/>
        <v/>
      </c>
      <c r="S1916" t="str">
        <f t="shared" si="153"/>
        <v/>
      </c>
      <c r="T1916" t="str">
        <f>IF($N1916="","",IF(Sync!$N1916="",0,Sync!$N1916))</f>
        <v/>
      </c>
      <c r="U1916" t="str">
        <f>IF($N1916="","",IF(Sync!$O1916="",0,Sync!$O1916))</f>
        <v/>
      </c>
      <c r="V1916" t="str">
        <f>IF($N1916="","",Sync!$L1916)</f>
        <v/>
      </c>
      <c r="W1916" t="str">
        <f>IF($N1916="","",Sync!$P1916)</f>
        <v/>
      </c>
    </row>
    <row r="1917" spans="14:23" x14ac:dyDescent="0.2">
      <c r="N1917" t="str">
        <f>IF(OR(Sync!$M1917="",$Q1917="",$Q1917="نامعتبر"),"",Sync!$M1917)</f>
        <v/>
      </c>
      <c r="O1917" t="str">
        <f t="shared" si="151"/>
        <v/>
      </c>
      <c r="P1917" t="str">
        <f>IF($N1917="","",LEFT($Q1917,4)&amp;MID($Q1917,6,2)&amp;RIGHT($Q1917,2)&amp;IF(Sync!$K1917="","0000",IF(AND(ISNUMBER(Sync!$K1917),Sync!$K1917&gt;=0,Sync!$K1917&lt;1),RIGHT("00"&amp;HOUR(Sync!$K1917),2)&amp;RIGHT("00"&amp;MINUTE(Sync!$K1917),2),IFERROR(RIGHT("00"&amp;VALUE(LEFT(Sync!$K1917,FIND(":",Sync!$K1917)-1)),2)&amp;RIGHT("00"&amp;VALUE(MID(Sync!$K1917,FIND(":",Sync!$K1917)+1,2)),2),"0000")))&amp;"|"&amp;"2"&amp;RIGHT("00000"&amp;1912,5))</f>
        <v/>
      </c>
      <c r="Q1917" t="str">
        <f>IF(Sync!$J1917="","",IF(ISNUMBER(Sync!$J1917),IF(AND(Sync!$J1917&gt;=10000101,Sync!$J1917&lt;=99991231),INT(Sync!$J1917/10000)&amp;"/"&amp;RIGHT("00"&amp;INT(MOD(Sync!$J1917,10000)/100),2)&amp;"/"&amp;RIGHT("00"&amp;MOD(Sync!$J1917,100),2),"نامعتبر"),IF(LEN(Sync!$J1917)=10,Sync!$J1917,"نامعتبر")))</f>
        <v/>
      </c>
      <c r="R1917" t="str">
        <f t="shared" si="152"/>
        <v/>
      </c>
      <c r="S1917" t="str">
        <f t="shared" si="153"/>
        <v/>
      </c>
      <c r="T1917" t="str">
        <f>IF($N1917="","",IF(Sync!$N1917="",0,Sync!$N1917))</f>
        <v/>
      </c>
      <c r="U1917" t="str">
        <f>IF($N1917="","",IF(Sync!$O1917="",0,Sync!$O1917))</f>
        <v/>
      </c>
      <c r="V1917" t="str">
        <f>IF($N1917="","",Sync!$L1917)</f>
        <v/>
      </c>
      <c r="W1917" t="str">
        <f>IF($N1917="","",Sync!$P1917)</f>
        <v/>
      </c>
    </row>
    <row r="1918" spans="14:23" x14ac:dyDescent="0.2">
      <c r="N1918" t="str">
        <f>IF(OR(Sync!$M1918="",$Q1918="",$Q1918="نامعتبر"),"",Sync!$M1918)</f>
        <v/>
      </c>
      <c r="O1918" t="str">
        <f t="shared" si="151"/>
        <v/>
      </c>
      <c r="P1918" t="str">
        <f>IF($N1918="","",LEFT($Q1918,4)&amp;MID($Q1918,6,2)&amp;RIGHT($Q1918,2)&amp;IF(Sync!$K1918="","0000",IF(AND(ISNUMBER(Sync!$K1918),Sync!$K1918&gt;=0,Sync!$K1918&lt;1),RIGHT("00"&amp;HOUR(Sync!$K1918),2)&amp;RIGHT("00"&amp;MINUTE(Sync!$K1918),2),IFERROR(RIGHT("00"&amp;VALUE(LEFT(Sync!$K1918,FIND(":",Sync!$K1918)-1)),2)&amp;RIGHT("00"&amp;VALUE(MID(Sync!$K1918,FIND(":",Sync!$K1918)+1,2)),2),"0000")))&amp;"|"&amp;"2"&amp;RIGHT("00000"&amp;1913,5))</f>
        <v/>
      </c>
      <c r="Q1918" t="str">
        <f>IF(Sync!$J1918="","",IF(ISNUMBER(Sync!$J1918),IF(AND(Sync!$J1918&gt;=10000101,Sync!$J1918&lt;=99991231),INT(Sync!$J1918/10000)&amp;"/"&amp;RIGHT("00"&amp;INT(MOD(Sync!$J1918,10000)/100),2)&amp;"/"&amp;RIGHT("00"&amp;MOD(Sync!$J1918,100),2),"نامعتبر"),IF(LEN(Sync!$J1918)=10,Sync!$J1918,"نامعتبر")))</f>
        <v/>
      </c>
      <c r="R1918" t="str">
        <f t="shared" si="152"/>
        <v/>
      </c>
      <c r="S1918" t="str">
        <f t="shared" si="153"/>
        <v/>
      </c>
      <c r="T1918" t="str">
        <f>IF($N1918="","",IF(Sync!$N1918="",0,Sync!$N1918))</f>
        <v/>
      </c>
      <c r="U1918" t="str">
        <f>IF($N1918="","",IF(Sync!$O1918="",0,Sync!$O1918))</f>
        <v/>
      </c>
      <c r="V1918" t="str">
        <f>IF($N1918="","",Sync!$L1918)</f>
        <v/>
      </c>
      <c r="W1918" t="str">
        <f>IF($N1918="","",Sync!$P1918)</f>
        <v/>
      </c>
    </row>
    <row r="1919" spans="14:23" x14ac:dyDescent="0.2">
      <c r="N1919" t="str">
        <f>IF(OR(Sync!$M1919="",$Q1919="",$Q1919="نامعتبر"),"",Sync!$M1919)</f>
        <v/>
      </c>
      <c r="O1919" t="str">
        <f t="shared" si="151"/>
        <v/>
      </c>
      <c r="P1919" t="str">
        <f>IF($N1919="","",LEFT($Q1919,4)&amp;MID($Q1919,6,2)&amp;RIGHT($Q1919,2)&amp;IF(Sync!$K1919="","0000",IF(AND(ISNUMBER(Sync!$K1919),Sync!$K1919&gt;=0,Sync!$K1919&lt;1),RIGHT("00"&amp;HOUR(Sync!$K1919),2)&amp;RIGHT("00"&amp;MINUTE(Sync!$K1919),2),IFERROR(RIGHT("00"&amp;VALUE(LEFT(Sync!$K1919,FIND(":",Sync!$K1919)-1)),2)&amp;RIGHT("00"&amp;VALUE(MID(Sync!$K1919,FIND(":",Sync!$K1919)+1,2)),2),"0000")))&amp;"|"&amp;"2"&amp;RIGHT("00000"&amp;1914,5))</f>
        <v/>
      </c>
      <c r="Q1919" t="str">
        <f>IF(Sync!$J1919="","",IF(ISNUMBER(Sync!$J1919),IF(AND(Sync!$J1919&gt;=10000101,Sync!$J1919&lt;=99991231),INT(Sync!$J1919/10000)&amp;"/"&amp;RIGHT("00"&amp;INT(MOD(Sync!$J1919,10000)/100),2)&amp;"/"&amp;RIGHT("00"&amp;MOD(Sync!$J1919,100),2),"نامعتبر"),IF(LEN(Sync!$J1919)=10,Sync!$J1919,"نامعتبر")))</f>
        <v/>
      </c>
      <c r="R1919" t="str">
        <f t="shared" si="152"/>
        <v/>
      </c>
      <c r="S1919" t="str">
        <f t="shared" si="153"/>
        <v/>
      </c>
      <c r="T1919" t="str">
        <f>IF($N1919="","",IF(Sync!$N1919="",0,Sync!$N1919))</f>
        <v/>
      </c>
      <c r="U1919" t="str">
        <f>IF($N1919="","",IF(Sync!$O1919="",0,Sync!$O1919))</f>
        <v/>
      </c>
      <c r="V1919" t="str">
        <f>IF($N1919="","",Sync!$L1919)</f>
        <v/>
      </c>
      <c r="W1919" t="str">
        <f>IF($N1919="","",Sync!$P1919)</f>
        <v/>
      </c>
    </row>
    <row r="1920" spans="14:23" x14ac:dyDescent="0.2">
      <c r="N1920" t="str">
        <f>IF(OR(Sync!$M1920="",$Q1920="",$Q1920="نامعتبر"),"",Sync!$M1920)</f>
        <v/>
      </c>
      <c r="O1920" t="str">
        <f t="shared" si="151"/>
        <v/>
      </c>
      <c r="P1920" t="str">
        <f>IF($N1920="","",LEFT($Q1920,4)&amp;MID($Q1920,6,2)&amp;RIGHT($Q1920,2)&amp;IF(Sync!$K1920="","0000",IF(AND(ISNUMBER(Sync!$K1920),Sync!$K1920&gt;=0,Sync!$K1920&lt;1),RIGHT("00"&amp;HOUR(Sync!$K1920),2)&amp;RIGHT("00"&amp;MINUTE(Sync!$K1920),2),IFERROR(RIGHT("00"&amp;VALUE(LEFT(Sync!$K1920,FIND(":",Sync!$K1920)-1)),2)&amp;RIGHT("00"&amp;VALUE(MID(Sync!$K1920,FIND(":",Sync!$K1920)+1,2)),2),"0000")))&amp;"|"&amp;"2"&amp;RIGHT("00000"&amp;1915,5))</f>
        <v/>
      </c>
      <c r="Q1920" t="str">
        <f>IF(Sync!$J1920="","",IF(ISNUMBER(Sync!$J1920),IF(AND(Sync!$J1920&gt;=10000101,Sync!$J1920&lt;=99991231),INT(Sync!$J1920/10000)&amp;"/"&amp;RIGHT("00"&amp;INT(MOD(Sync!$J1920,10000)/100),2)&amp;"/"&amp;RIGHT("00"&amp;MOD(Sync!$J1920,100),2),"نامعتبر"),IF(LEN(Sync!$J1920)=10,Sync!$J1920,"نامعتبر")))</f>
        <v/>
      </c>
      <c r="R1920" t="str">
        <f t="shared" si="152"/>
        <v/>
      </c>
      <c r="S1920" t="str">
        <f t="shared" si="153"/>
        <v/>
      </c>
      <c r="T1920" t="str">
        <f>IF($N1920="","",IF(Sync!$N1920="",0,Sync!$N1920))</f>
        <v/>
      </c>
      <c r="U1920" t="str">
        <f>IF($N1920="","",IF(Sync!$O1920="",0,Sync!$O1920))</f>
        <v/>
      </c>
      <c r="V1920" t="str">
        <f>IF($N1920="","",Sync!$L1920)</f>
        <v/>
      </c>
      <c r="W1920" t="str">
        <f>IF($N1920="","",Sync!$P1920)</f>
        <v/>
      </c>
    </row>
    <row r="1921" spans="14:23" x14ac:dyDescent="0.2">
      <c r="N1921" t="str">
        <f>IF(OR(Sync!$M1921="",$Q1921="",$Q1921="نامعتبر"),"",Sync!$M1921)</f>
        <v/>
      </c>
      <c r="O1921" t="str">
        <f t="shared" si="151"/>
        <v/>
      </c>
      <c r="P1921" t="str">
        <f>IF($N1921="","",LEFT($Q1921,4)&amp;MID($Q1921,6,2)&amp;RIGHT($Q1921,2)&amp;IF(Sync!$K1921="","0000",IF(AND(ISNUMBER(Sync!$K1921),Sync!$K1921&gt;=0,Sync!$K1921&lt;1),RIGHT("00"&amp;HOUR(Sync!$K1921),2)&amp;RIGHT("00"&amp;MINUTE(Sync!$K1921),2),IFERROR(RIGHT("00"&amp;VALUE(LEFT(Sync!$K1921,FIND(":",Sync!$K1921)-1)),2)&amp;RIGHT("00"&amp;VALUE(MID(Sync!$K1921,FIND(":",Sync!$K1921)+1,2)),2),"0000")))&amp;"|"&amp;"2"&amp;RIGHT("00000"&amp;1916,5))</f>
        <v/>
      </c>
      <c r="Q1921" t="str">
        <f>IF(Sync!$J1921="","",IF(ISNUMBER(Sync!$J1921),IF(AND(Sync!$J1921&gt;=10000101,Sync!$J1921&lt;=99991231),INT(Sync!$J1921/10000)&amp;"/"&amp;RIGHT("00"&amp;INT(MOD(Sync!$J1921,10000)/100),2)&amp;"/"&amp;RIGHT("00"&amp;MOD(Sync!$J1921,100),2),"نامعتبر"),IF(LEN(Sync!$J1921)=10,Sync!$J1921,"نامعتبر")))</f>
        <v/>
      </c>
      <c r="R1921" t="str">
        <f t="shared" si="152"/>
        <v/>
      </c>
      <c r="S1921" t="str">
        <f t="shared" si="153"/>
        <v/>
      </c>
      <c r="T1921" t="str">
        <f>IF($N1921="","",IF(Sync!$N1921="",0,Sync!$N1921))</f>
        <v/>
      </c>
      <c r="U1921" t="str">
        <f>IF($N1921="","",IF(Sync!$O1921="",0,Sync!$O1921))</f>
        <v/>
      </c>
      <c r="V1921" t="str">
        <f>IF($N1921="","",Sync!$L1921)</f>
        <v/>
      </c>
      <c r="W1921" t="str">
        <f>IF($N1921="","",Sync!$P1921)</f>
        <v/>
      </c>
    </row>
    <row r="1922" spans="14:23" x14ac:dyDescent="0.2">
      <c r="N1922" t="str">
        <f>IF(OR(Sync!$M1922="",$Q1922="",$Q1922="نامعتبر"),"",Sync!$M1922)</f>
        <v/>
      </c>
      <c r="O1922" t="str">
        <f t="shared" si="151"/>
        <v/>
      </c>
      <c r="P1922" t="str">
        <f>IF($N1922="","",LEFT($Q1922,4)&amp;MID($Q1922,6,2)&amp;RIGHT($Q1922,2)&amp;IF(Sync!$K1922="","0000",IF(AND(ISNUMBER(Sync!$K1922),Sync!$K1922&gt;=0,Sync!$K1922&lt;1),RIGHT("00"&amp;HOUR(Sync!$K1922),2)&amp;RIGHT("00"&amp;MINUTE(Sync!$K1922),2),IFERROR(RIGHT("00"&amp;VALUE(LEFT(Sync!$K1922,FIND(":",Sync!$K1922)-1)),2)&amp;RIGHT("00"&amp;VALUE(MID(Sync!$K1922,FIND(":",Sync!$K1922)+1,2)),2),"0000")))&amp;"|"&amp;"2"&amp;RIGHT("00000"&amp;1917,5))</f>
        <v/>
      </c>
      <c r="Q1922" t="str">
        <f>IF(Sync!$J1922="","",IF(ISNUMBER(Sync!$J1922),IF(AND(Sync!$J1922&gt;=10000101,Sync!$J1922&lt;=99991231),INT(Sync!$J1922/10000)&amp;"/"&amp;RIGHT("00"&amp;INT(MOD(Sync!$J1922,10000)/100),2)&amp;"/"&amp;RIGHT("00"&amp;MOD(Sync!$J1922,100),2),"نامعتبر"),IF(LEN(Sync!$J1922)=10,Sync!$J1922,"نامعتبر")))</f>
        <v/>
      </c>
      <c r="R1922" t="str">
        <f t="shared" si="152"/>
        <v/>
      </c>
      <c r="S1922" t="str">
        <f t="shared" si="153"/>
        <v/>
      </c>
      <c r="T1922" t="str">
        <f>IF($N1922="","",IF(Sync!$N1922="",0,Sync!$N1922))</f>
        <v/>
      </c>
      <c r="U1922" t="str">
        <f>IF($N1922="","",IF(Sync!$O1922="",0,Sync!$O1922))</f>
        <v/>
      </c>
      <c r="V1922" t="str">
        <f>IF($N1922="","",Sync!$L1922)</f>
        <v/>
      </c>
      <c r="W1922" t="str">
        <f>IF($N1922="","",Sync!$P1922)</f>
        <v/>
      </c>
    </row>
    <row r="1923" spans="14:23" x14ac:dyDescent="0.2">
      <c r="N1923" t="str">
        <f>IF(OR(Sync!$M1923="",$Q1923="",$Q1923="نامعتبر"),"",Sync!$M1923)</f>
        <v/>
      </c>
      <c r="O1923" t="str">
        <f t="shared" si="151"/>
        <v/>
      </c>
      <c r="P1923" t="str">
        <f>IF($N1923="","",LEFT($Q1923,4)&amp;MID($Q1923,6,2)&amp;RIGHT($Q1923,2)&amp;IF(Sync!$K1923="","0000",IF(AND(ISNUMBER(Sync!$K1923),Sync!$K1923&gt;=0,Sync!$K1923&lt;1),RIGHT("00"&amp;HOUR(Sync!$K1923),2)&amp;RIGHT("00"&amp;MINUTE(Sync!$K1923),2),IFERROR(RIGHT("00"&amp;VALUE(LEFT(Sync!$K1923,FIND(":",Sync!$K1923)-1)),2)&amp;RIGHT("00"&amp;VALUE(MID(Sync!$K1923,FIND(":",Sync!$K1923)+1,2)),2),"0000")))&amp;"|"&amp;"2"&amp;RIGHT("00000"&amp;1918,5))</f>
        <v/>
      </c>
      <c r="Q1923" t="str">
        <f>IF(Sync!$J1923="","",IF(ISNUMBER(Sync!$J1923),IF(AND(Sync!$J1923&gt;=10000101,Sync!$J1923&lt;=99991231),INT(Sync!$J1923/10000)&amp;"/"&amp;RIGHT("00"&amp;INT(MOD(Sync!$J1923,10000)/100),2)&amp;"/"&amp;RIGHT("00"&amp;MOD(Sync!$J1923,100),2),"نامعتبر"),IF(LEN(Sync!$J1923)=10,Sync!$J1923,"نامعتبر")))</f>
        <v/>
      </c>
      <c r="R1923" t="str">
        <f t="shared" si="152"/>
        <v/>
      </c>
      <c r="S1923" t="str">
        <f t="shared" si="153"/>
        <v/>
      </c>
      <c r="T1923" t="str">
        <f>IF($N1923="","",IF(Sync!$N1923="",0,Sync!$N1923))</f>
        <v/>
      </c>
      <c r="U1923" t="str">
        <f>IF($N1923="","",IF(Sync!$O1923="",0,Sync!$O1923))</f>
        <v/>
      </c>
      <c r="V1923" t="str">
        <f>IF($N1923="","",Sync!$L1923)</f>
        <v/>
      </c>
      <c r="W1923" t="str">
        <f>IF($N1923="","",Sync!$P1923)</f>
        <v/>
      </c>
    </row>
    <row r="1924" spans="14:23" x14ac:dyDescent="0.2">
      <c r="N1924" t="str">
        <f>IF(OR(Sync!$M1924="",$Q1924="",$Q1924="نامعتبر"),"",Sync!$M1924)</f>
        <v/>
      </c>
      <c r="O1924" t="str">
        <f t="shared" si="151"/>
        <v/>
      </c>
      <c r="P1924" t="str">
        <f>IF($N1924="","",LEFT($Q1924,4)&amp;MID($Q1924,6,2)&amp;RIGHT($Q1924,2)&amp;IF(Sync!$K1924="","0000",IF(AND(ISNUMBER(Sync!$K1924),Sync!$K1924&gt;=0,Sync!$K1924&lt;1),RIGHT("00"&amp;HOUR(Sync!$K1924),2)&amp;RIGHT("00"&amp;MINUTE(Sync!$K1924),2),IFERROR(RIGHT("00"&amp;VALUE(LEFT(Sync!$K1924,FIND(":",Sync!$K1924)-1)),2)&amp;RIGHT("00"&amp;VALUE(MID(Sync!$K1924,FIND(":",Sync!$K1924)+1,2)),2),"0000")))&amp;"|"&amp;"2"&amp;RIGHT("00000"&amp;1919,5))</f>
        <v/>
      </c>
      <c r="Q1924" t="str">
        <f>IF(Sync!$J1924="","",IF(ISNUMBER(Sync!$J1924),IF(AND(Sync!$J1924&gt;=10000101,Sync!$J1924&lt;=99991231),INT(Sync!$J1924/10000)&amp;"/"&amp;RIGHT("00"&amp;INT(MOD(Sync!$J1924,10000)/100),2)&amp;"/"&amp;RIGHT("00"&amp;MOD(Sync!$J1924,100),2),"نامعتبر"),IF(LEN(Sync!$J1924)=10,Sync!$J1924,"نامعتبر")))</f>
        <v/>
      </c>
      <c r="R1924" t="str">
        <f t="shared" si="152"/>
        <v/>
      </c>
      <c r="S1924" t="str">
        <f t="shared" si="153"/>
        <v/>
      </c>
      <c r="T1924" t="str">
        <f>IF($N1924="","",IF(Sync!$N1924="",0,Sync!$N1924))</f>
        <v/>
      </c>
      <c r="U1924" t="str">
        <f>IF($N1924="","",IF(Sync!$O1924="",0,Sync!$O1924))</f>
        <v/>
      </c>
      <c r="V1924" t="str">
        <f>IF($N1924="","",Sync!$L1924)</f>
        <v/>
      </c>
      <c r="W1924" t="str">
        <f>IF($N1924="","",Sync!$P1924)</f>
        <v/>
      </c>
    </row>
    <row r="1925" spans="14:23" x14ac:dyDescent="0.2">
      <c r="N1925" t="str">
        <f>IF(OR(Sync!$M1925="",$Q1925="",$Q1925="نامعتبر"),"",Sync!$M1925)</f>
        <v/>
      </c>
      <c r="O1925" t="str">
        <f t="shared" si="151"/>
        <v/>
      </c>
      <c r="P1925" t="str">
        <f>IF($N1925="","",LEFT($Q1925,4)&amp;MID($Q1925,6,2)&amp;RIGHT($Q1925,2)&amp;IF(Sync!$K1925="","0000",IF(AND(ISNUMBER(Sync!$K1925),Sync!$K1925&gt;=0,Sync!$K1925&lt;1),RIGHT("00"&amp;HOUR(Sync!$K1925),2)&amp;RIGHT("00"&amp;MINUTE(Sync!$K1925),2),IFERROR(RIGHT("00"&amp;VALUE(LEFT(Sync!$K1925,FIND(":",Sync!$K1925)-1)),2)&amp;RIGHT("00"&amp;VALUE(MID(Sync!$K1925,FIND(":",Sync!$K1925)+1,2)),2),"0000")))&amp;"|"&amp;"2"&amp;RIGHT("00000"&amp;1920,5))</f>
        <v/>
      </c>
      <c r="Q1925" t="str">
        <f>IF(Sync!$J1925="","",IF(ISNUMBER(Sync!$J1925),IF(AND(Sync!$J1925&gt;=10000101,Sync!$J1925&lt;=99991231),INT(Sync!$J1925/10000)&amp;"/"&amp;RIGHT("00"&amp;INT(MOD(Sync!$J1925,10000)/100),2)&amp;"/"&amp;RIGHT("00"&amp;MOD(Sync!$J1925,100),2),"نامعتبر"),IF(LEN(Sync!$J1925)=10,Sync!$J1925,"نامعتبر")))</f>
        <v/>
      </c>
      <c r="R1925" t="str">
        <f t="shared" si="152"/>
        <v/>
      </c>
      <c r="S1925" t="str">
        <f t="shared" si="153"/>
        <v/>
      </c>
      <c r="T1925" t="str">
        <f>IF($N1925="","",IF(Sync!$N1925="",0,Sync!$N1925))</f>
        <v/>
      </c>
      <c r="U1925" t="str">
        <f>IF($N1925="","",IF(Sync!$O1925="",0,Sync!$O1925))</f>
        <v/>
      </c>
      <c r="V1925" t="str">
        <f>IF($N1925="","",Sync!$L1925)</f>
        <v/>
      </c>
      <c r="W1925" t="str">
        <f>IF($N1925="","",Sync!$P1925)</f>
        <v/>
      </c>
    </row>
    <row r="1926" spans="14:23" x14ac:dyDescent="0.2">
      <c r="N1926" t="str">
        <f>IF(OR(Sync!$M1926="",$Q1926="",$Q1926="نامعتبر"),"",Sync!$M1926)</f>
        <v/>
      </c>
      <c r="O1926" t="str">
        <f t="shared" ref="O1926:O1989" si="154">IF($N1926="","",$Q1926)</f>
        <v/>
      </c>
      <c r="P1926" t="str">
        <f>IF($N1926="","",LEFT($Q1926,4)&amp;MID($Q1926,6,2)&amp;RIGHT($Q1926,2)&amp;IF(Sync!$K1926="","0000",IF(AND(ISNUMBER(Sync!$K1926),Sync!$K1926&gt;=0,Sync!$K1926&lt;1),RIGHT("00"&amp;HOUR(Sync!$K1926),2)&amp;RIGHT("00"&amp;MINUTE(Sync!$K1926),2),IFERROR(RIGHT("00"&amp;VALUE(LEFT(Sync!$K1926,FIND(":",Sync!$K1926)-1)),2)&amp;RIGHT("00"&amp;VALUE(MID(Sync!$K1926,FIND(":",Sync!$K1926)+1,2)),2),"0000")))&amp;"|"&amp;"2"&amp;RIGHT("00000"&amp;1921,5))</f>
        <v/>
      </c>
      <c r="Q1926" t="str">
        <f>IF(Sync!$J1926="","",IF(ISNUMBER(Sync!$J1926),IF(AND(Sync!$J1926&gt;=10000101,Sync!$J1926&lt;=99991231),INT(Sync!$J1926/10000)&amp;"/"&amp;RIGHT("00"&amp;INT(MOD(Sync!$J1926,10000)/100),2)&amp;"/"&amp;RIGHT("00"&amp;MOD(Sync!$J1926,100),2),"نامعتبر"),IF(LEN(Sync!$J1926)=10,Sync!$J1926,"نامعتبر")))</f>
        <v/>
      </c>
      <c r="R1926" t="str">
        <f t="shared" ref="R1926:R1989" si="155">IF($P1926="","",COUNTIFS($N$6:$N$2005,$N1926,$P$6:$P$2005,"&lt;"&amp;$P1926)+COUNTIFS($A$6:$A$1005,$N1926,$B$6:$B$1005,"&lt;"&amp;$P1926)+1)</f>
        <v/>
      </c>
      <c r="S1926" t="str">
        <f t="shared" ref="S1926:S1989" si="156">IF($N1926="","",$N1926&amp;"|"&amp;RIGHT("000000"&amp;$R1926,6))</f>
        <v/>
      </c>
      <c r="T1926" t="str">
        <f>IF($N1926="","",IF(Sync!$N1926="",0,Sync!$N1926))</f>
        <v/>
      </c>
      <c r="U1926" t="str">
        <f>IF($N1926="","",IF(Sync!$O1926="",0,Sync!$O1926))</f>
        <v/>
      </c>
      <c r="V1926" t="str">
        <f>IF($N1926="","",Sync!$L1926)</f>
        <v/>
      </c>
      <c r="W1926" t="str">
        <f>IF($N1926="","",Sync!$P1926)</f>
        <v/>
      </c>
    </row>
    <row r="1927" spans="14:23" x14ac:dyDescent="0.2">
      <c r="N1927" t="str">
        <f>IF(OR(Sync!$M1927="",$Q1927="",$Q1927="نامعتبر"),"",Sync!$M1927)</f>
        <v/>
      </c>
      <c r="O1927" t="str">
        <f t="shared" si="154"/>
        <v/>
      </c>
      <c r="P1927" t="str">
        <f>IF($N1927="","",LEFT($Q1927,4)&amp;MID($Q1927,6,2)&amp;RIGHT($Q1927,2)&amp;IF(Sync!$K1927="","0000",IF(AND(ISNUMBER(Sync!$K1927),Sync!$K1927&gt;=0,Sync!$K1927&lt;1),RIGHT("00"&amp;HOUR(Sync!$K1927),2)&amp;RIGHT("00"&amp;MINUTE(Sync!$K1927),2),IFERROR(RIGHT("00"&amp;VALUE(LEFT(Sync!$K1927,FIND(":",Sync!$K1927)-1)),2)&amp;RIGHT("00"&amp;VALUE(MID(Sync!$K1927,FIND(":",Sync!$K1927)+1,2)),2),"0000")))&amp;"|"&amp;"2"&amp;RIGHT("00000"&amp;1922,5))</f>
        <v/>
      </c>
      <c r="Q1927" t="str">
        <f>IF(Sync!$J1927="","",IF(ISNUMBER(Sync!$J1927),IF(AND(Sync!$J1927&gt;=10000101,Sync!$J1927&lt;=99991231),INT(Sync!$J1927/10000)&amp;"/"&amp;RIGHT("00"&amp;INT(MOD(Sync!$J1927,10000)/100),2)&amp;"/"&amp;RIGHT("00"&amp;MOD(Sync!$J1927,100),2),"نامعتبر"),IF(LEN(Sync!$J1927)=10,Sync!$J1927,"نامعتبر")))</f>
        <v/>
      </c>
      <c r="R1927" t="str">
        <f t="shared" si="155"/>
        <v/>
      </c>
      <c r="S1927" t="str">
        <f t="shared" si="156"/>
        <v/>
      </c>
      <c r="T1927" t="str">
        <f>IF($N1927="","",IF(Sync!$N1927="",0,Sync!$N1927))</f>
        <v/>
      </c>
      <c r="U1927" t="str">
        <f>IF($N1927="","",IF(Sync!$O1927="",0,Sync!$O1927))</f>
        <v/>
      </c>
      <c r="V1927" t="str">
        <f>IF($N1927="","",Sync!$L1927)</f>
        <v/>
      </c>
      <c r="W1927" t="str">
        <f>IF($N1927="","",Sync!$P1927)</f>
        <v/>
      </c>
    </row>
    <row r="1928" spans="14:23" x14ac:dyDescent="0.2">
      <c r="N1928" t="str">
        <f>IF(OR(Sync!$M1928="",$Q1928="",$Q1928="نامعتبر"),"",Sync!$M1928)</f>
        <v/>
      </c>
      <c r="O1928" t="str">
        <f t="shared" si="154"/>
        <v/>
      </c>
      <c r="P1928" t="str">
        <f>IF($N1928="","",LEFT($Q1928,4)&amp;MID($Q1928,6,2)&amp;RIGHT($Q1928,2)&amp;IF(Sync!$K1928="","0000",IF(AND(ISNUMBER(Sync!$K1928),Sync!$K1928&gt;=0,Sync!$K1928&lt;1),RIGHT("00"&amp;HOUR(Sync!$K1928),2)&amp;RIGHT("00"&amp;MINUTE(Sync!$K1928),2),IFERROR(RIGHT("00"&amp;VALUE(LEFT(Sync!$K1928,FIND(":",Sync!$K1928)-1)),2)&amp;RIGHT("00"&amp;VALUE(MID(Sync!$K1928,FIND(":",Sync!$K1928)+1,2)),2),"0000")))&amp;"|"&amp;"2"&amp;RIGHT("00000"&amp;1923,5))</f>
        <v/>
      </c>
      <c r="Q1928" t="str">
        <f>IF(Sync!$J1928="","",IF(ISNUMBER(Sync!$J1928),IF(AND(Sync!$J1928&gt;=10000101,Sync!$J1928&lt;=99991231),INT(Sync!$J1928/10000)&amp;"/"&amp;RIGHT("00"&amp;INT(MOD(Sync!$J1928,10000)/100),2)&amp;"/"&amp;RIGHT("00"&amp;MOD(Sync!$J1928,100),2),"نامعتبر"),IF(LEN(Sync!$J1928)=10,Sync!$J1928,"نامعتبر")))</f>
        <v/>
      </c>
      <c r="R1928" t="str">
        <f t="shared" si="155"/>
        <v/>
      </c>
      <c r="S1928" t="str">
        <f t="shared" si="156"/>
        <v/>
      </c>
      <c r="T1928" t="str">
        <f>IF($N1928="","",IF(Sync!$N1928="",0,Sync!$N1928))</f>
        <v/>
      </c>
      <c r="U1928" t="str">
        <f>IF($N1928="","",IF(Sync!$O1928="",0,Sync!$O1928))</f>
        <v/>
      </c>
      <c r="V1928" t="str">
        <f>IF($N1928="","",Sync!$L1928)</f>
        <v/>
      </c>
      <c r="W1928" t="str">
        <f>IF($N1928="","",Sync!$P1928)</f>
        <v/>
      </c>
    </row>
    <row r="1929" spans="14:23" x14ac:dyDescent="0.2">
      <c r="N1929" t="str">
        <f>IF(OR(Sync!$M1929="",$Q1929="",$Q1929="نامعتبر"),"",Sync!$M1929)</f>
        <v/>
      </c>
      <c r="O1929" t="str">
        <f t="shared" si="154"/>
        <v/>
      </c>
      <c r="P1929" t="str">
        <f>IF($N1929="","",LEFT($Q1929,4)&amp;MID($Q1929,6,2)&amp;RIGHT($Q1929,2)&amp;IF(Sync!$K1929="","0000",IF(AND(ISNUMBER(Sync!$K1929),Sync!$K1929&gt;=0,Sync!$K1929&lt;1),RIGHT("00"&amp;HOUR(Sync!$K1929),2)&amp;RIGHT("00"&amp;MINUTE(Sync!$K1929),2),IFERROR(RIGHT("00"&amp;VALUE(LEFT(Sync!$K1929,FIND(":",Sync!$K1929)-1)),2)&amp;RIGHT("00"&amp;VALUE(MID(Sync!$K1929,FIND(":",Sync!$K1929)+1,2)),2),"0000")))&amp;"|"&amp;"2"&amp;RIGHT("00000"&amp;1924,5))</f>
        <v/>
      </c>
      <c r="Q1929" t="str">
        <f>IF(Sync!$J1929="","",IF(ISNUMBER(Sync!$J1929),IF(AND(Sync!$J1929&gt;=10000101,Sync!$J1929&lt;=99991231),INT(Sync!$J1929/10000)&amp;"/"&amp;RIGHT("00"&amp;INT(MOD(Sync!$J1929,10000)/100),2)&amp;"/"&amp;RIGHT("00"&amp;MOD(Sync!$J1929,100),2),"نامعتبر"),IF(LEN(Sync!$J1929)=10,Sync!$J1929,"نامعتبر")))</f>
        <v/>
      </c>
      <c r="R1929" t="str">
        <f t="shared" si="155"/>
        <v/>
      </c>
      <c r="S1929" t="str">
        <f t="shared" si="156"/>
        <v/>
      </c>
      <c r="T1929" t="str">
        <f>IF($N1929="","",IF(Sync!$N1929="",0,Sync!$N1929))</f>
        <v/>
      </c>
      <c r="U1929" t="str">
        <f>IF($N1929="","",IF(Sync!$O1929="",0,Sync!$O1929))</f>
        <v/>
      </c>
      <c r="V1929" t="str">
        <f>IF($N1929="","",Sync!$L1929)</f>
        <v/>
      </c>
      <c r="W1929" t="str">
        <f>IF($N1929="","",Sync!$P1929)</f>
        <v/>
      </c>
    </row>
    <row r="1930" spans="14:23" x14ac:dyDescent="0.2">
      <c r="N1930" t="str">
        <f>IF(OR(Sync!$M1930="",$Q1930="",$Q1930="نامعتبر"),"",Sync!$M1930)</f>
        <v/>
      </c>
      <c r="O1930" t="str">
        <f t="shared" si="154"/>
        <v/>
      </c>
      <c r="P1930" t="str">
        <f>IF($N1930="","",LEFT($Q1930,4)&amp;MID($Q1930,6,2)&amp;RIGHT($Q1930,2)&amp;IF(Sync!$K1930="","0000",IF(AND(ISNUMBER(Sync!$K1930),Sync!$K1930&gt;=0,Sync!$K1930&lt;1),RIGHT("00"&amp;HOUR(Sync!$K1930),2)&amp;RIGHT("00"&amp;MINUTE(Sync!$K1930),2),IFERROR(RIGHT("00"&amp;VALUE(LEFT(Sync!$K1930,FIND(":",Sync!$K1930)-1)),2)&amp;RIGHT("00"&amp;VALUE(MID(Sync!$K1930,FIND(":",Sync!$K1930)+1,2)),2),"0000")))&amp;"|"&amp;"2"&amp;RIGHT("00000"&amp;1925,5))</f>
        <v/>
      </c>
      <c r="Q1930" t="str">
        <f>IF(Sync!$J1930="","",IF(ISNUMBER(Sync!$J1930),IF(AND(Sync!$J1930&gt;=10000101,Sync!$J1930&lt;=99991231),INT(Sync!$J1930/10000)&amp;"/"&amp;RIGHT("00"&amp;INT(MOD(Sync!$J1930,10000)/100),2)&amp;"/"&amp;RIGHT("00"&amp;MOD(Sync!$J1930,100),2),"نامعتبر"),IF(LEN(Sync!$J1930)=10,Sync!$J1930,"نامعتبر")))</f>
        <v/>
      </c>
      <c r="R1930" t="str">
        <f t="shared" si="155"/>
        <v/>
      </c>
      <c r="S1930" t="str">
        <f t="shared" si="156"/>
        <v/>
      </c>
      <c r="T1930" t="str">
        <f>IF($N1930="","",IF(Sync!$N1930="",0,Sync!$N1930))</f>
        <v/>
      </c>
      <c r="U1930" t="str">
        <f>IF($N1930="","",IF(Sync!$O1930="",0,Sync!$O1930))</f>
        <v/>
      </c>
      <c r="V1930" t="str">
        <f>IF($N1930="","",Sync!$L1930)</f>
        <v/>
      </c>
      <c r="W1930" t="str">
        <f>IF($N1930="","",Sync!$P1930)</f>
        <v/>
      </c>
    </row>
    <row r="1931" spans="14:23" x14ac:dyDescent="0.2">
      <c r="N1931" t="str">
        <f>IF(OR(Sync!$M1931="",$Q1931="",$Q1931="نامعتبر"),"",Sync!$M1931)</f>
        <v/>
      </c>
      <c r="O1931" t="str">
        <f t="shared" si="154"/>
        <v/>
      </c>
      <c r="P1931" t="str">
        <f>IF($N1931="","",LEFT($Q1931,4)&amp;MID($Q1931,6,2)&amp;RIGHT($Q1931,2)&amp;IF(Sync!$K1931="","0000",IF(AND(ISNUMBER(Sync!$K1931),Sync!$K1931&gt;=0,Sync!$K1931&lt;1),RIGHT("00"&amp;HOUR(Sync!$K1931),2)&amp;RIGHT("00"&amp;MINUTE(Sync!$K1931),2),IFERROR(RIGHT("00"&amp;VALUE(LEFT(Sync!$K1931,FIND(":",Sync!$K1931)-1)),2)&amp;RIGHT("00"&amp;VALUE(MID(Sync!$K1931,FIND(":",Sync!$K1931)+1,2)),2),"0000")))&amp;"|"&amp;"2"&amp;RIGHT("00000"&amp;1926,5))</f>
        <v/>
      </c>
      <c r="Q1931" t="str">
        <f>IF(Sync!$J1931="","",IF(ISNUMBER(Sync!$J1931),IF(AND(Sync!$J1931&gt;=10000101,Sync!$J1931&lt;=99991231),INT(Sync!$J1931/10000)&amp;"/"&amp;RIGHT("00"&amp;INT(MOD(Sync!$J1931,10000)/100),2)&amp;"/"&amp;RIGHT("00"&amp;MOD(Sync!$J1931,100),2),"نامعتبر"),IF(LEN(Sync!$J1931)=10,Sync!$J1931,"نامعتبر")))</f>
        <v/>
      </c>
      <c r="R1931" t="str">
        <f t="shared" si="155"/>
        <v/>
      </c>
      <c r="S1931" t="str">
        <f t="shared" si="156"/>
        <v/>
      </c>
      <c r="T1931" t="str">
        <f>IF($N1931="","",IF(Sync!$N1931="",0,Sync!$N1931))</f>
        <v/>
      </c>
      <c r="U1931" t="str">
        <f>IF($N1931="","",IF(Sync!$O1931="",0,Sync!$O1931))</f>
        <v/>
      </c>
      <c r="V1931" t="str">
        <f>IF($N1931="","",Sync!$L1931)</f>
        <v/>
      </c>
      <c r="W1931" t="str">
        <f>IF($N1931="","",Sync!$P1931)</f>
        <v/>
      </c>
    </row>
    <row r="1932" spans="14:23" x14ac:dyDescent="0.2">
      <c r="N1932" t="str">
        <f>IF(OR(Sync!$M1932="",$Q1932="",$Q1932="نامعتبر"),"",Sync!$M1932)</f>
        <v/>
      </c>
      <c r="O1932" t="str">
        <f t="shared" si="154"/>
        <v/>
      </c>
      <c r="P1932" t="str">
        <f>IF($N1932="","",LEFT($Q1932,4)&amp;MID($Q1932,6,2)&amp;RIGHT($Q1932,2)&amp;IF(Sync!$K1932="","0000",IF(AND(ISNUMBER(Sync!$K1932),Sync!$K1932&gt;=0,Sync!$K1932&lt;1),RIGHT("00"&amp;HOUR(Sync!$K1932),2)&amp;RIGHT("00"&amp;MINUTE(Sync!$K1932),2),IFERROR(RIGHT("00"&amp;VALUE(LEFT(Sync!$K1932,FIND(":",Sync!$K1932)-1)),2)&amp;RIGHT("00"&amp;VALUE(MID(Sync!$K1932,FIND(":",Sync!$K1932)+1,2)),2),"0000")))&amp;"|"&amp;"2"&amp;RIGHT("00000"&amp;1927,5))</f>
        <v/>
      </c>
      <c r="Q1932" t="str">
        <f>IF(Sync!$J1932="","",IF(ISNUMBER(Sync!$J1932),IF(AND(Sync!$J1932&gt;=10000101,Sync!$J1932&lt;=99991231),INT(Sync!$J1932/10000)&amp;"/"&amp;RIGHT("00"&amp;INT(MOD(Sync!$J1932,10000)/100),2)&amp;"/"&amp;RIGHT("00"&amp;MOD(Sync!$J1932,100),2),"نامعتبر"),IF(LEN(Sync!$J1932)=10,Sync!$J1932,"نامعتبر")))</f>
        <v/>
      </c>
      <c r="R1932" t="str">
        <f t="shared" si="155"/>
        <v/>
      </c>
      <c r="S1932" t="str">
        <f t="shared" si="156"/>
        <v/>
      </c>
      <c r="T1932" t="str">
        <f>IF($N1932="","",IF(Sync!$N1932="",0,Sync!$N1932))</f>
        <v/>
      </c>
      <c r="U1932" t="str">
        <f>IF($N1932="","",IF(Sync!$O1932="",0,Sync!$O1932))</f>
        <v/>
      </c>
      <c r="V1932" t="str">
        <f>IF($N1932="","",Sync!$L1932)</f>
        <v/>
      </c>
      <c r="W1932" t="str">
        <f>IF($N1932="","",Sync!$P1932)</f>
        <v/>
      </c>
    </row>
    <row r="1933" spans="14:23" x14ac:dyDescent="0.2">
      <c r="N1933" t="str">
        <f>IF(OR(Sync!$M1933="",$Q1933="",$Q1933="نامعتبر"),"",Sync!$M1933)</f>
        <v/>
      </c>
      <c r="O1933" t="str">
        <f t="shared" si="154"/>
        <v/>
      </c>
      <c r="P1933" t="str">
        <f>IF($N1933="","",LEFT($Q1933,4)&amp;MID($Q1933,6,2)&amp;RIGHT($Q1933,2)&amp;IF(Sync!$K1933="","0000",IF(AND(ISNUMBER(Sync!$K1933),Sync!$K1933&gt;=0,Sync!$K1933&lt;1),RIGHT("00"&amp;HOUR(Sync!$K1933),2)&amp;RIGHT("00"&amp;MINUTE(Sync!$K1933),2),IFERROR(RIGHT("00"&amp;VALUE(LEFT(Sync!$K1933,FIND(":",Sync!$K1933)-1)),2)&amp;RIGHT("00"&amp;VALUE(MID(Sync!$K1933,FIND(":",Sync!$K1933)+1,2)),2),"0000")))&amp;"|"&amp;"2"&amp;RIGHT("00000"&amp;1928,5))</f>
        <v/>
      </c>
      <c r="Q1933" t="str">
        <f>IF(Sync!$J1933="","",IF(ISNUMBER(Sync!$J1933),IF(AND(Sync!$J1933&gt;=10000101,Sync!$J1933&lt;=99991231),INT(Sync!$J1933/10000)&amp;"/"&amp;RIGHT("00"&amp;INT(MOD(Sync!$J1933,10000)/100),2)&amp;"/"&amp;RIGHT("00"&amp;MOD(Sync!$J1933,100),2),"نامعتبر"),IF(LEN(Sync!$J1933)=10,Sync!$J1933,"نامعتبر")))</f>
        <v/>
      </c>
      <c r="R1933" t="str">
        <f t="shared" si="155"/>
        <v/>
      </c>
      <c r="S1933" t="str">
        <f t="shared" si="156"/>
        <v/>
      </c>
      <c r="T1933" t="str">
        <f>IF($N1933="","",IF(Sync!$N1933="",0,Sync!$N1933))</f>
        <v/>
      </c>
      <c r="U1933" t="str">
        <f>IF($N1933="","",IF(Sync!$O1933="",0,Sync!$O1933))</f>
        <v/>
      </c>
      <c r="V1933" t="str">
        <f>IF($N1933="","",Sync!$L1933)</f>
        <v/>
      </c>
      <c r="W1933" t="str">
        <f>IF($N1933="","",Sync!$P1933)</f>
        <v/>
      </c>
    </row>
    <row r="1934" spans="14:23" x14ac:dyDescent="0.2">
      <c r="N1934" t="str">
        <f>IF(OR(Sync!$M1934="",$Q1934="",$Q1934="نامعتبر"),"",Sync!$M1934)</f>
        <v/>
      </c>
      <c r="O1934" t="str">
        <f t="shared" si="154"/>
        <v/>
      </c>
      <c r="P1934" t="str">
        <f>IF($N1934="","",LEFT($Q1934,4)&amp;MID($Q1934,6,2)&amp;RIGHT($Q1934,2)&amp;IF(Sync!$K1934="","0000",IF(AND(ISNUMBER(Sync!$K1934),Sync!$K1934&gt;=0,Sync!$K1934&lt;1),RIGHT("00"&amp;HOUR(Sync!$K1934),2)&amp;RIGHT("00"&amp;MINUTE(Sync!$K1934),2),IFERROR(RIGHT("00"&amp;VALUE(LEFT(Sync!$K1934,FIND(":",Sync!$K1934)-1)),2)&amp;RIGHT("00"&amp;VALUE(MID(Sync!$K1934,FIND(":",Sync!$K1934)+1,2)),2),"0000")))&amp;"|"&amp;"2"&amp;RIGHT("00000"&amp;1929,5))</f>
        <v/>
      </c>
      <c r="Q1934" t="str">
        <f>IF(Sync!$J1934="","",IF(ISNUMBER(Sync!$J1934),IF(AND(Sync!$J1934&gt;=10000101,Sync!$J1934&lt;=99991231),INT(Sync!$J1934/10000)&amp;"/"&amp;RIGHT("00"&amp;INT(MOD(Sync!$J1934,10000)/100),2)&amp;"/"&amp;RIGHT("00"&amp;MOD(Sync!$J1934,100),2),"نامعتبر"),IF(LEN(Sync!$J1934)=10,Sync!$J1934,"نامعتبر")))</f>
        <v/>
      </c>
      <c r="R1934" t="str">
        <f t="shared" si="155"/>
        <v/>
      </c>
      <c r="S1934" t="str">
        <f t="shared" si="156"/>
        <v/>
      </c>
      <c r="T1934" t="str">
        <f>IF($N1934="","",IF(Sync!$N1934="",0,Sync!$N1934))</f>
        <v/>
      </c>
      <c r="U1934" t="str">
        <f>IF($N1934="","",IF(Sync!$O1934="",0,Sync!$O1934))</f>
        <v/>
      </c>
      <c r="V1934" t="str">
        <f>IF($N1934="","",Sync!$L1934)</f>
        <v/>
      </c>
      <c r="W1934" t="str">
        <f>IF($N1934="","",Sync!$P1934)</f>
        <v/>
      </c>
    </row>
    <row r="1935" spans="14:23" x14ac:dyDescent="0.2">
      <c r="N1935" t="str">
        <f>IF(OR(Sync!$M1935="",$Q1935="",$Q1935="نامعتبر"),"",Sync!$M1935)</f>
        <v/>
      </c>
      <c r="O1935" t="str">
        <f t="shared" si="154"/>
        <v/>
      </c>
      <c r="P1935" t="str">
        <f>IF($N1935="","",LEFT($Q1935,4)&amp;MID($Q1935,6,2)&amp;RIGHT($Q1935,2)&amp;IF(Sync!$K1935="","0000",IF(AND(ISNUMBER(Sync!$K1935),Sync!$K1935&gt;=0,Sync!$K1935&lt;1),RIGHT("00"&amp;HOUR(Sync!$K1935),2)&amp;RIGHT("00"&amp;MINUTE(Sync!$K1935),2),IFERROR(RIGHT("00"&amp;VALUE(LEFT(Sync!$K1935,FIND(":",Sync!$K1935)-1)),2)&amp;RIGHT("00"&amp;VALUE(MID(Sync!$K1935,FIND(":",Sync!$K1935)+1,2)),2),"0000")))&amp;"|"&amp;"2"&amp;RIGHT("00000"&amp;1930,5))</f>
        <v/>
      </c>
      <c r="Q1935" t="str">
        <f>IF(Sync!$J1935="","",IF(ISNUMBER(Sync!$J1935),IF(AND(Sync!$J1935&gt;=10000101,Sync!$J1935&lt;=99991231),INT(Sync!$J1935/10000)&amp;"/"&amp;RIGHT("00"&amp;INT(MOD(Sync!$J1935,10000)/100),2)&amp;"/"&amp;RIGHT("00"&amp;MOD(Sync!$J1935,100),2),"نامعتبر"),IF(LEN(Sync!$J1935)=10,Sync!$J1935,"نامعتبر")))</f>
        <v/>
      </c>
      <c r="R1935" t="str">
        <f t="shared" si="155"/>
        <v/>
      </c>
      <c r="S1935" t="str">
        <f t="shared" si="156"/>
        <v/>
      </c>
      <c r="T1935" t="str">
        <f>IF($N1935="","",IF(Sync!$N1935="",0,Sync!$N1935))</f>
        <v/>
      </c>
      <c r="U1935" t="str">
        <f>IF($N1935="","",IF(Sync!$O1935="",0,Sync!$O1935))</f>
        <v/>
      </c>
      <c r="V1935" t="str">
        <f>IF($N1935="","",Sync!$L1935)</f>
        <v/>
      </c>
      <c r="W1935" t="str">
        <f>IF($N1935="","",Sync!$P1935)</f>
        <v/>
      </c>
    </row>
    <row r="1936" spans="14:23" x14ac:dyDescent="0.2">
      <c r="N1936" t="str">
        <f>IF(OR(Sync!$M1936="",$Q1936="",$Q1936="نامعتبر"),"",Sync!$M1936)</f>
        <v/>
      </c>
      <c r="O1936" t="str">
        <f t="shared" si="154"/>
        <v/>
      </c>
      <c r="P1936" t="str">
        <f>IF($N1936="","",LEFT($Q1936,4)&amp;MID($Q1936,6,2)&amp;RIGHT($Q1936,2)&amp;IF(Sync!$K1936="","0000",IF(AND(ISNUMBER(Sync!$K1936),Sync!$K1936&gt;=0,Sync!$K1936&lt;1),RIGHT("00"&amp;HOUR(Sync!$K1936),2)&amp;RIGHT("00"&amp;MINUTE(Sync!$K1936),2),IFERROR(RIGHT("00"&amp;VALUE(LEFT(Sync!$K1936,FIND(":",Sync!$K1936)-1)),2)&amp;RIGHT("00"&amp;VALUE(MID(Sync!$K1936,FIND(":",Sync!$K1936)+1,2)),2),"0000")))&amp;"|"&amp;"2"&amp;RIGHT("00000"&amp;1931,5))</f>
        <v/>
      </c>
      <c r="Q1936" t="str">
        <f>IF(Sync!$J1936="","",IF(ISNUMBER(Sync!$J1936),IF(AND(Sync!$J1936&gt;=10000101,Sync!$J1936&lt;=99991231),INT(Sync!$J1936/10000)&amp;"/"&amp;RIGHT("00"&amp;INT(MOD(Sync!$J1936,10000)/100),2)&amp;"/"&amp;RIGHT("00"&amp;MOD(Sync!$J1936,100),2),"نامعتبر"),IF(LEN(Sync!$J1936)=10,Sync!$J1936,"نامعتبر")))</f>
        <v/>
      </c>
      <c r="R1936" t="str">
        <f t="shared" si="155"/>
        <v/>
      </c>
      <c r="S1936" t="str">
        <f t="shared" si="156"/>
        <v/>
      </c>
      <c r="T1936" t="str">
        <f>IF($N1936="","",IF(Sync!$N1936="",0,Sync!$N1936))</f>
        <v/>
      </c>
      <c r="U1936" t="str">
        <f>IF($N1936="","",IF(Sync!$O1936="",0,Sync!$O1936))</f>
        <v/>
      </c>
      <c r="V1936" t="str">
        <f>IF($N1936="","",Sync!$L1936)</f>
        <v/>
      </c>
      <c r="W1936" t="str">
        <f>IF($N1936="","",Sync!$P1936)</f>
        <v/>
      </c>
    </row>
    <row r="1937" spans="14:23" x14ac:dyDescent="0.2">
      <c r="N1937" t="str">
        <f>IF(OR(Sync!$M1937="",$Q1937="",$Q1937="نامعتبر"),"",Sync!$M1937)</f>
        <v/>
      </c>
      <c r="O1937" t="str">
        <f t="shared" si="154"/>
        <v/>
      </c>
      <c r="P1937" t="str">
        <f>IF($N1937="","",LEFT($Q1937,4)&amp;MID($Q1937,6,2)&amp;RIGHT($Q1937,2)&amp;IF(Sync!$K1937="","0000",IF(AND(ISNUMBER(Sync!$K1937),Sync!$K1937&gt;=0,Sync!$K1937&lt;1),RIGHT("00"&amp;HOUR(Sync!$K1937),2)&amp;RIGHT("00"&amp;MINUTE(Sync!$K1937),2),IFERROR(RIGHT("00"&amp;VALUE(LEFT(Sync!$K1937,FIND(":",Sync!$K1937)-1)),2)&amp;RIGHT("00"&amp;VALUE(MID(Sync!$K1937,FIND(":",Sync!$K1937)+1,2)),2),"0000")))&amp;"|"&amp;"2"&amp;RIGHT("00000"&amp;1932,5))</f>
        <v/>
      </c>
      <c r="Q1937" t="str">
        <f>IF(Sync!$J1937="","",IF(ISNUMBER(Sync!$J1937),IF(AND(Sync!$J1937&gt;=10000101,Sync!$J1937&lt;=99991231),INT(Sync!$J1937/10000)&amp;"/"&amp;RIGHT("00"&amp;INT(MOD(Sync!$J1937,10000)/100),2)&amp;"/"&amp;RIGHT("00"&amp;MOD(Sync!$J1937,100),2),"نامعتبر"),IF(LEN(Sync!$J1937)=10,Sync!$J1937,"نامعتبر")))</f>
        <v/>
      </c>
      <c r="R1937" t="str">
        <f t="shared" si="155"/>
        <v/>
      </c>
      <c r="S1937" t="str">
        <f t="shared" si="156"/>
        <v/>
      </c>
      <c r="T1937" t="str">
        <f>IF($N1937="","",IF(Sync!$N1937="",0,Sync!$N1937))</f>
        <v/>
      </c>
      <c r="U1937" t="str">
        <f>IF($N1937="","",IF(Sync!$O1937="",0,Sync!$O1937))</f>
        <v/>
      </c>
      <c r="V1937" t="str">
        <f>IF($N1937="","",Sync!$L1937)</f>
        <v/>
      </c>
      <c r="W1937" t="str">
        <f>IF($N1937="","",Sync!$P1937)</f>
        <v/>
      </c>
    </row>
    <row r="1938" spans="14:23" x14ac:dyDescent="0.2">
      <c r="N1938" t="str">
        <f>IF(OR(Sync!$M1938="",$Q1938="",$Q1938="نامعتبر"),"",Sync!$M1938)</f>
        <v/>
      </c>
      <c r="O1938" t="str">
        <f t="shared" si="154"/>
        <v/>
      </c>
      <c r="P1938" t="str">
        <f>IF($N1938="","",LEFT($Q1938,4)&amp;MID($Q1938,6,2)&amp;RIGHT($Q1938,2)&amp;IF(Sync!$K1938="","0000",IF(AND(ISNUMBER(Sync!$K1938),Sync!$K1938&gt;=0,Sync!$K1938&lt;1),RIGHT("00"&amp;HOUR(Sync!$K1938),2)&amp;RIGHT("00"&amp;MINUTE(Sync!$K1938),2),IFERROR(RIGHT("00"&amp;VALUE(LEFT(Sync!$K1938,FIND(":",Sync!$K1938)-1)),2)&amp;RIGHT("00"&amp;VALUE(MID(Sync!$K1938,FIND(":",Sync!$K1938)+1,2)),2),"0000")))&amp;"|"&amp;"2"&amp;RIGHT("00000"&amp;1933,5))</f>
        <v/>
      </c>
      <c r="Q1938" t="str">
        <f>IF(Sync!$J1938="","",IF(ISNUMBER(Sync!$J1938),IF(AND(Sync!$J1938&gt;=10000101,Sync!$J1938&lt;=99991231),INT(Sync!$J1938/10000)&amp;"/"&amp;RIGHT("00"&amp;INT(MOD(Sync!$J1938,10000)/100),2)&amp;"/"&amp;RIGHT("00"&amp;MOD(Sync!$J1938,100),2),"نامعتبر"),IF(LEN(Sync!$J1938)=10,Sync!$J1938,"نامعتبر")))</f>
        <v/>
      </c>
      <c r="R1938" t="str">
        <f t="shared" si="155"/>
        <v/>
      </c>
      <c r="S1938" t="str">
        <f t="shared" si="156"/>
        <v/>
      </c>
      <c r="T1938" t="str">
        <f>IF($N1938="","",IF(Sync!$N1938="",0,Sync!$N1938))</f>
        <v/>
      </c>
      <c r="U1938" t="str">
        <f>IF($N1938="","",IF(Sync!$O1938="",0,Sync!$O1938))</f>
        <v/>
      </c>
      <c r="V1938" t="str">
        <f>IF($N1938="","",Sync!$L1938)</f>
        <v/>
      </c>
      <c r="W1938" t="str">
        <f>IF($N1938="","",Sync!$P1938)</f>
        <v/>
      </c>
    </row>
    <row r="1939" spans="14:23" x14ac:dyDescent="0.2">
      <c r="N1939" t="str">
        <f>IF(OR(Sync!$M1939="",$Q1939="",$Q1939="نامعتبر"),"",Sync!$M1939)</f>
        <v/>
      </c>
      <c r="O1939" t="str">
        <f t="shared" si="154"/>
        <v/>
      </c>
      <c r="P1939" t="str">
        <f>IF($N1939="","",LEFT($Q1939,4)&amp;MID($Q1939,6,2)&amp;RIGHT($Q1939,2)&amp;IF(Sync!$K1939="","0000",IF(AND(ISNUMBER(Sync!$K1939),Sync!$K1939&gt;=0,Sync!$K1939&lt;1),RIGHT("00"&amp;HOUR(Sync!$K1939),2)&amp;RIGHT("00"&amp;MINUTE(Sync!$K1939),2),IFERROR(RIGHT("00"&amp;VALUE(LEFT(Sync!$K1939,FIND(":",Sync!$K1939)-1)),2)&amp;RIGHT("00"&amp;VALUE(MID(Sync!$K1939,FIND(":",Sync!$K1939)+1,2)),2),"0000")))&amp;"|"&amp;"2"&amp;RIGHT("00000"&amp;1934,5))</f>
        <v/>
      </c>
      <c r="Q1939" t="str">
        <f>IF(Sync!$J1939="","",IF(ISNUMBER(Sync!$J1939),IF(AND(Sync!$J1939&gt;=10000101,Sync!$J1939&lt;=99991231),INT(Sync!$J1939/10000)&amp;"/"&amp;RIGHT("00"&amp;INT(MOD(Sync!$J1939,10000)/100),2)&amp;"/"&amp;RIGHT("00"&amp;MOD(Sync!$J1939,100),2),"نامعتبر"),IF(LEN(Sync!$J1939)=10,Sync!$J1939,"نامعتبر")))</f>
        <v/>
      </c>
      <c r="R1939" t="str">
        <f t="shared" si="155"/>
        <v/>
      </c>
      <c r="S1939" t="str">
        <f t="shared" si="156"/>
        <v/>
      </c>
      <c r="T1939" t="str">
        <f>IF($N1939="","",IF(Sync!$N1939="",0,Sync!$N1939))</f>
        <v/>
      </c>
      <c r="U1939" t="str">
        <f>IF($N1939="","",IF(Sync!$O1939="",0,Sync!$O1939))</f>
        <v/>
      </c>
      <c r="V1939" t="str">
        <f>IF($N1939="","",Sync!$L1939)</f>
        <v/>
      </c>
      <c r="W1939" t="str">
        <f>IF($N1939="","",Sync!$P1939)</f>
        <v/>
      </c>
    </row>
    <row r="1940" spans="14:23" x14ac:dyDescent="0.2">
      <c r="N1940" t="str">
        <f>IF(OR(Sync!$M1940="",$Q1940="",$Q1940="نامعتبر"),"",Sync!$M1940)</f>
        <v/>
      </c>
      <c r="O1940" t="str">
        <f t="shared" si="154"/>
        <v/>
      </c>
      <c r="P1940" t="str">
        <f>IF($N1940="","",LEFT($Q1940,4)&amp;MID($Q1940,6,2)&amp;RIGHT($Q1940,2)&amp;IF(Sync!$K1940="","0000",IF(AND(ISNUMBER(Sync!$K1940),Sync!$K1940&gt;=0,Sync!$K1940&lt;1),RIGHT("00"&amp;HOUR(Sync!$K1940),2)&amp;RIGHT("00"&amp;MINUTE(Sync!$K1940),2),IFERROR(RIGHT("00"&amp;VALUE(LEFT(Sync!$K1940,FIND(":",Sync!$K1940)-1)),2)&amp;RIGHT("00"&amp;VALUE(MID(Sync!$K1940,FIND(":",Sync!$K1940)+1,2)),2),"0000")))&amp;"|"&amp;"2"&amp;RIGHT("00000"&amp;1935,5))</f>
        <v/>
      </c>
      <c r="Q1940" t="str">
        <f>IF(Sync!$J1940="","",IF(ISNUMBER(Sync!$J1940),IF(AND(Sync!$J1940&gt;=10000101,Sync!$J1940&lt;=99991231),INT(Sync!$J1940/10000)&amp;"/"&amp;RIGHT("00"&amp;INT(MOD(Sync!$J1940,10000)/100),2)&amp;"/"&amp;RIGHT("00"&amp;MOD(Sync!$J1940,100),2),"نامعتبر"),IF(LEN(Sync!$J1940)=10,Sync!$J1940,"نامعتبر")))</f>
        <v/>
      </c>
      <c r="R1940" t="str">
        <f t="shared" si="155"/>
        <v/>
      </c>
      <c r="S1940" t="str">
        <f t="shared" si="156"/>
        <v/>
      </c>
      <c r="T1940" t="str">
        <f>IF($N1940="","",IF(Sync!$N1940="",0,Sync!$N1940))</f>
        <v/>
      </c>
      <c r="U1940" t="str">
        <f>IF($N1940="","",IF(Sync!$O1940="",0,Sync!$O1940))</f>
        <v/>
      </c>
      <c r="V1940" t="str">
        <f>IF($N1940="","",Sync!$L1940)</f>
        <v/>
      </c>
      <c r="W1940" t="str">
        <f>IF($N1940="","",Sync!$P1940)</f>
        <v/>
      </c>
    </row>
    <row r="1941" spans="14:23" x14ac:dyDescent="0.2">
      <c r="N1941" t="str">
        <f>IF(OR(Sync!$M1941="",$Q1941="",$Q1941="نامعتبر"),"",Sync!$M1941)</f>
        <v/>
      </c>
      <c r="O1941" t="str">
        <f t="shared" si="154"/>
        <v/>
      </c>
      <c r="P1941" t="str">
        <f>IF($N1941="","",LEFT($Q1941,4)&amp;MID($Q1941,6,2)&amp;RIGHT($Q1941,2)&amp;IF(Sync!$K1941="","0000",IF(AND(ISNUMBER(Sync!$K1941),Sync!$K1941&gt;=0,Sync!$K1941&lt;1),RIGHT("00"&amp;HOUR(Sync!$K1941),2)&amp;RIGHT("00"&amp;MINUTE(Sync!$K1941),2),IFERROR(RIGHT("00"&amp;VALUE(LEFT(Sync!$K1941,FIND(":",Sync!$K1941)-1)),2)&amp;RIGHT("00"&amp;VALUE(MID(Sync!$K1941,FIND(":",Sync!$K1941)+1,2)),2),"0000")))&amp;"|"&amp;"2"&amp;RIGHT("00000"&amp;1936,5))</f>
        <v/>
      </c>
      <c r="Q1941" t="str">
        <f>IF(Sync!$J1941="","",IF(ISNUMBER(Sync!$J1941),IF(AND(Sync!$J1941&gt;=10000101,Sync!$J1941&lt;=99991231),INT(Sync!$J1941/10000)&amp;"/"&amp;RIGHT("00"&amp;INT(MOD(Sync!$J1941,10000)/100),2)&amp;"/"&amp;RIGHT("00"&amp;MOD(Sync!$J1941,100),2),"نامعتبر"),IF(LEN(Sync!$J1941)=10,Sync!$J1941,"نامعتبر")))</f>
        <v/>
      </c>
      <c r="R1941" t="str">
        <f t="shared" si="155"/>
        <v/>
      </c>
      <c r="S1941" t="str">
        <f t="shared" si="156"/>
        <v/>
      </c>
      <c r="T1941" t="str">
        <f>IF($N1941="","",IF(Sync!$N1941="",0,Sync!$N1941))</f>
        <v/>
      </c>
      <c r="U1941" t="str">
        <f>IF($N1941="","",IF(Sync!$O1941="",0,Sync!$O1941))</f>
        <v/>
      </c>
      <c r="V1941" t="str">
        <f>IF($N1941="","",Sync!$L1941)</f>
        <v/>
      </c>
      <c r="W1941" t="str">
        <f>IF($N1941="","",Sync!$P1941)</f>
        <v/>
      </c>
    </row>
    <row r="1942" spans="14:23" x14ac:dyDescent="0.2">
      <c r="N1942" t="str">
        <f>IF(OR(Sync!$M1942="",$Q1942="",$Q1942="نامعتبر"),"",Sync!$M1942)</f>
        <v/>
      </c>
      <c r="O1942" t="str">
        <f t="shared" si="154"/>
        <v/>
      </c>
      <c r="P1942" t="str">
        <f>IF($N1942="","",LEFT($Q1942,4)&amp;MID($Q1942,6,2)&amp;RIGHT($Q1942,2)&amp;IF(Sync!$K1942="","0000",IF(AND(ISNUMBER(Sync!$K1942),Sync!$K1942&gt;=0,Sync!$K1942&lt;1),RIGHT("00"&amp;HOUR(Sync!$K1942),2)&amp;RIGHT("00"&amp;MINUTE(Sync!$K1942),2),IFERROR(RIGHT("00"&amp;VALUE(LEFT(Sync!$K1942,FIND(":",Sync!$K1942)-1)),2)&amp;RIGHT("00"&amp;VALUE(MID(Sync!$K1942,FIND(":",Sync!$K1942)+1,2)),2),"0000")))&amp;"|"&amp;"2"&amp;RIGHT("00000"&amp;1937,5))</f>
        <v/>
      </c>
      <c r="Q1942" t="str">
        <f>IF(Sync!$J1942="","",IF(ISNUMBER(Sync!$J1942),IF(AND(Sync!$J1942&gt;=10000101,Sync!$J1942&lt;=99991231),INT(Sync!$J1942/10000)&amp;"/"&amp;RIGHT("00"&amp;INT(MOD(Sync!$J1942,10000)/100),2)&amp;"/"&amp;RIGHT("00"&amp;MOD(Sync!$J1942,100),2),"نامعتبر"),IF(LEN(Sync!$J1942)=10,Sync!$J1942,"نامعتبر")))</f>
        <v/>
      </c>
      <c r="R1942" t="str">
        <f t="shared" si="155"/>
        <v/>
      </c>
      <c r="S1942" t="str">
        <f t="shared" si="156"/>
        <v/>
      </c>
      <c r="T1942" t="str">
        <f>IF($N1942="","",IF(Sync!$N1942="",0,Sync!$N1942))</f>
        <v/>
      </c>
      <c r="U1942" t="str">
        <f>IF($N1942="","",IF(Sync!$O1942="",0,Sync!$O1942))</f>
        <v/>
      </c>
      <c r="V1942" t="str">
        <f>IF($N1942="","",Sync!$L1942)</f>
        <v/>
      </c>
      <c r="W1942" t="str">
        <f>IF($N1942="","",Sync!$P1942)</f>
        <v/>
      </c>
    </row>
    <row r="1943" spans="14:23" x14ac:dyDescent="0.2">
      <c r="N1943" t="str">
        <f>IF(OR(Sync!$M1943="",$Q1943="",$Q1943="نامعتبر"),"",Sync!$M1943)</f>
        <v/>
      </c>
      <c r="O1943" t="str">
        <f t="shared" si="154"/>
        <v/>
      </c>
      <c r="P1943" t="str">
        <f>IF($N1943="","",LEFT($Q1943,4)&amp;MID($Q1943,6,2)&amp;RIGHT($Q1943,2)&amp;IF(Sync!$K1943="","0000",IF(AND(ISNUMBER(Sync!$K1943),Sync!$K1943&gt;=0,Sync!$K1943&lt;1),RIGHT("00"&amp;HOUR(Sync!$K1943),2)&amp;RIGHT("00"&amp;MINUTE(Sync!$K1943),2),IFERROR(RIGHT("00"&amp;VALUE(LEFT(Sync!$K1943,FIND(":",Sync!$K1943)-1)),2)&amp;RIGHT("00"&amp;VALUE(MID(Sync!$K1943,FIND(":",Sync!$K1943)+1,2)),2),"0000")))&amp;"|"&amp;"2"&amp;RIGHT("00000"&amp;1938,5))</f>
        <v/>
      </c>
      <c r="Q1943" t="str">
        <f>IF(Sync!$J1943="","",IF(ISNUMBER(Sync!$J1943),IF(AND(Sync!$J1943&gt;=10000101,Sync!$J1943&lt;=99991231),INT(Sync!$J1943/10000)&amp;"/"&amp;RIGHT("00"&amp;INT(MOD(Sync!$J1943,10000)/100),2)&amp;"/"&amp;RIGHT("00"&amp;MOD(Sync!$J1943,100),2),"نامعتبر"),IF(LEN(Sync!$J1943)=10,Sync!$J1943,"نامعتبر")))</f>
        <v/>
      </c>
      <c r="R1943" t="str">
        <f t="shared" si="155"/>
        <v/>
      </c>
      <c r="S1943" t="str">
        <f t="shared" si="156"/>
        <v/>
      </c>
      <c r="T1943" t="str">
        <f>IF($N1943="","",IF(Sync!$N1943="",0,Sync!$N1943))</f>
        <v/>
      </c>
      <c r="U1943" t="str">
        <f>IF($N1943="","",IF(Sync!$O1943="",0,Sync!$O1943))</f>
        <v/>
      </c>
      <c r="V1943" t="str">
        <f>IF($N1943="","",Sync!$L1943)</f>
        <v/>
      </c>
      <c r="W1943" t="str">
        <f>IF($N1943="","",Sync!$P1943)</f>
        <v/>
      </c>
    </row>
    <row r="1944" spans="14:23" x14ac:dyDescent="0.2">
      <c r="N1944" t="str">
        <f>IF(OR(Sync!$M1944="",$Q1944="",$Q1944="نامعتبر"),"",Sync!$M1944)</f>
        <v/>
      </c>
      <c r="O1944" t="str">
        <f t="shared" si="154"/>
        <v/>
      </c>
      <c r="P1944" t="str">
        <f>IF($N1944="","",LEFT($Q1944,4)&amp;MID($Q1944,6,2)&amp;RIGHT($Q1944,2)&amp;IF(Sync!$K1944="","0000",IF(AND(ISNUMBER(Sync!$K1944),Sync!$K1944&gt;=0,Sync!$K1944&lt;1),RIGHT("00"&amp;HOUR(Sync!$K1944),2)&amp;RIGHT("00"&amp;MINUTE(Sync!$K1944),2),IFERROR(RIGHT("00"&amp;VALUE(LEFT(Sync!$K1944,FIND(":",Sync!$K1944)-1)),2)&amp;RIGHT("00"&amp;VALUE(MID(Sync!$K1944,FIND(":",Sync!$K1944)+1,2)),2),"0000")))&amp;"|"&amp;"2"&amp;RIGHT("00000"&amp;1939,5))</f>
        <v/>
      </c>
      <c r="Q1944" t="str">
        <f>IF(Sync!$J1944="","",IF(ISNUMBER(Sync!$J1944),IF(AND(Sync!$J1944&gt;=10000101,Sync!$J1944&lt;=99991231),INT(Sync!$J1944/10000)&amp;"/"&amp;RIGHT("00"&amp;INT(MOD(Sync!$J1944,10000)/100),2)&amp;"/"&amp;RIGHT("00"&amp;MOD(Sync!$J1944,100),2),"نامعتبر"),IF(LEN(Sync!$J1944)=10,Sync!$J1944,"نامعتبر")))</f>
        <v/>
      </c>
      <c r="R1944" t="str">
        <f t="shared" si="155"/>
        <v/>
      </c>
      <c r="S1944" t="str">
        <f t="shared" si="156"/>
        <v/>
      </c>
      <c r="T1944" t="str">
        <f>IF($N1944="","",IF(Sync!$N1944="",0,Sync!$N1944))</f>
        <v/>
      </c>
      <c r="U1944" t="str">
        <f>IF($N1944="","",IF(Sync!$O1944="",0,Sync!$O1944))</f>
        <v/>
      </c>
      <c r="V1944" t="str">
        <f>IF($N1944="","",Sync!$L1944)</f>
        <v/>
      </c>
      <c r="W1944" t="str">
        <f>IF($N1944="","",Sync!$P1944)</f>
        <v/>
      </c>
    </row>
    <row r="1945" spans="14:23" x14ac:dyDescent="0.2">
      <c r="N1945" t="str">
        <f>IF(OR(Sync!$M1945="",$Q1945="",$Q1945="نامعتبر"),"",Sync!$M1945)</f>
        <v/>
      </c>
      <c r="O1945" t="str">
        <f t="shared" si="154"/>
        <v/>
      </c>
      <c r="P1945" t="str">
        <f>IF($N1945="","",LEFT($Q1945,4)&amp;MID($Q1945,6,2)&amp;RIGHT($Q1945,2)&amp;IF(Sync!$K1945="","0000",IF(AND(ISNUMBER(Sync!$K1945),Sync!$K1945&gt;=0,Sync!$K1945&lt;1),RIGHT("00"&amp;HOUR(Sync!$K1945),2)&amp;RIGHT("00"&amp;MINUTE(Sync!$K1945),2),IFERROR(RIGHT("00"&amp;VALUE(LEFT(Sync!$K1945,FIND(":",Sync!$K1945)-1)),2)&amp;RIGHT("00"&amp;VALUE(MID(Sync!$K1945,FIND(":",Sync!$K1945)+1,2)),2),"0000")))&amp;"|"&amp;"2"&amp;RIGHT("00000"&amp;1940,5))</f>
        <v/>
      </c>
      <c r="Q1945" t="str">
        <f>IF(Sync!$J1945="","",IF(ISNUMBER(Sync!$J1945),IF(AND(Sync!$J1945&gt;=10000101,Sync!$J1945&lt;=99991231),INT(Sync!$J1945/10000)&amp;"/"&amp;RIGHT("00"&amp;INT(MOD(Sync!$J1945,10000)/100),2)&amp;"/"&amp;RIGHT("00"&amp;MOD(Sync!$J1945,100),2),"نامعتبر"),IF(LEN(Sync!$J1945)=10,Sync!$J1945,"نامعتبر")))</f>
        <v/>
      </c>
      <c r="R1945" t="str">
        <f t="shared" si="155"/>
        <v/>
      </c>
      <c r="S1945" t="str">
        <f t="shared" si="156"/>
        <v/>
      </c>
      <c r="T1945" t="str">
        <f>IF($N1945="","",IF(Sync!$N1945="",0,Sync!$N1945))</f>
        <v/>
      </c>
      <c r="U1945" t="str">
        <f>IF($N1945="","",IF(Sync!$O1945="",0,Sync!$O1945))</f>
        <v/>
      </c>
      <c r="V1945" t="str">
        <f>IF($N1945="","",Sync!$L1945)</f>
        <v/>
      </c>
      <c r="W1945" t="str">
        <f>IF($N1945="","",Sync!$P1945)</f>
        <v/>
      </c>
    </row>
    <row r="1946" spans="14:23" x14ac:dyDescent="0.2">
      <c r="N1946" t="str">
        <f>IF(OR(Sync!$M1946="",$Q1946="",$Q1946="نامعتبر"),"",Sync!$M1946)</f>
        <v/>
      </c>
      <c r="O1946" t="str">
        <f t="shared" si="154"/>
        <v/>
      </c>
      <c r="P1946" t="str">
        <f>IF($N1946="","",LEFT($Q1946,4)&amp;MID($Q1946,6,2)&amp;RIGHT($Q1946,2)&amp;IF(Sync!$K1946="","0000",IF(AND(ISNUMBER(Sync!$K1946),Sync!$K1946&gt;=0,Sync!$K1946&lt;1),RIGHT("00"&amp;HOUR(Sync!$K1946),2)&amp;RIGHT("00"&amp;MINUTE(Sync!$K1946),2),IFERROR(RIGHT("00"&amp;VALUE(LEFT(Sync!$K1946,FIND(":",Sync!$K1946)-1)),2)&amp;RIGHT("00"&amp;VALUE(MID(Sync!$K1946,FIND(":",Sync!$K1946)+1,2)),2),"0000")))&amp;"|"&amp;"2"&amp;RIGHT("00000"&amp;1941,5))</f>
        <v/>
      </c>
      <c r="Q1946" t="str">
        <f>IF(Sync!$J1946="","",IF(ISNUMBER(Sync!$J1946),IF(AND(Sync!$J1946&gt;=10000101,Sync!$J1946&lt;=99991231),INT(Sync!$J1946/10000)&amp;"/"&amp;RIGHT("00"&amp;INT(MOD(Sync!$J1946,10000)/100),2)&amp;"/"&amp;RIGHT("00"&amp;MOD(Sync!$J1946,100),2),"نامعتبر"),IF(LEN(Sync!$J1946)=10,Sync!$J1946,"نامعتبر")))</f>
        <v/>
      </c>
      <c r="R1946" t="str">
        <f t="shared" si="155"/>
        <v/>
      </c>
      <c r="S1946" t="str">
        <f t="shared" si="156"/>
        <v/>
      </c>
      <c r="T1946" t="str">
        <f>IF($N1946="","",IF(Sync!$N1946="",0,Sync!$N1946))</f>
        <v/>
      </c>
      <c r="U1946" t="str">
        <f>IF($N1946="","",IF(Sync!$O1946="",0,Sync!$O1946))</f>
        <v/>
      </c>
      <c r="V1946" t="str">
        <f>IF($N1946="","",Sync!$L1946)</f>
        <v/>
      </c>
      <c r="W1946" t="str">
        <f>IF($N1946="","",Sync!$P1946)</f>
        <v/>
      </c>
    </row>
    <row r="1947" spans="14:23" x14ac:dyDescent="0.2">
      <c r="N1947" t="str">
        <f>IF(OR(Sync!$M1947="",$Q1947="",$Q1947="نامعتبر"),"",Sync!$M1947)</f>
        <v/>
      </c>
      <c r="O1947" t="str">
        <f t="shared" si="154"/>
        <v/>
      </c>
      <c r="P1947" t="str">
        <f>IF($N1947="","",LEFT($Q1947,4)&amp;MID($Q1947,6,2)&amp;RIGHT($Q1947,2)&amp;IF(Sync!$K1947="","0000",IF(AND(ISNUMBER(Sync!$K1947),Sync!$K1947&gt;=0,Sync!$K1947&lt;1),RIGHT("00"&amp;HOUR(Sync!$K1947),2)&amp;RIGHT("00"&amp;MINUTE(Sync!$K1947),2),IFERROR(RIGHT("00"&amp;VALUE(LEFT(Sync!$K1947,FIND(":",Sync!$K1947)-1)),2)&amp;RIGHT("00"&amp;VALUE(MID(Sync!$K1947,FIND(":",Sync!$K1947)+1,2)),2),"0000")))&amp;"|"&amp;"2"&amp;RIGHT("00000"&amp;1942,5))</f>
        <v/>
      </c>
      <c r="Q1947" t="str">
        <f>IF(Sync!$J1947="","",IF(ISNUMBER(Sync!$J1947),IF(AND(Sync!$J1947&gt;=10000101,Sync!$J1947&lt;=99991231),INT(Sync!$J1947/10000)&amp;"/"&amp;RIGHT("00"&amp;INT(MOD(Sync!$J1947,10000)/100),2)&amp;"/"&amp;RIGHT("00"&amp;MOD(Sync!$J1947,100),2),"نامعتبر"),IF(LEN(Sync!$J1947)=10,Sync!$J1947,"نامعتبر")))</f>
        <v/>
      </c>
      <c r="R1947" t="str">
        <f t="shared" si="155"/>
        <v/>
      </c>
      <c r="S1947" t="str">
        <f t="shared" si="156"/>
        <v/>
      </c>
      <c r="T1947" t="str">
        <f>IF($N1947="","",IF(Sync!$N1947="",0,Sync!$N1947))</f>
        <v/>
      </c>
      <c r="U1947" t="str">
        <f>IF($N1947="","",IF(Sync!$O1947="",0,Sync!$O1947))</f>
        <v/>
      </c>
      <c r="V1947" t="str">
        <f>IF($N1947="","",Sync!$L1947)</f>
        <v/>
      </c>
      <c r="W1947" t="str">
        <f>IF($N1947="","",Sync!$P1947)</f>
        <v/>
      </c>
    </row>
    <row r="1948" spans="14:23" x14ac:dyDescent="0.2">
      <c r="N1948" t="str">
        <f>IF(OR(Sync!$M1948="",$Q1948="",$Q1948="نامعتبر"),"",Sync!$M1948)</f>
        <v/>
      </c>
      <c r="O1948" t="str">
        <f t="shared" si="154"/>
        <v/>
      </c>
      <c r="P1948" t="str">
        <f>IF($N1948="","",LEFT($Q1948,4)&amp;MID($Q1948,6,2)&amp;RIGHT($Q1948,2)&amp;IF(Sync!$K1948="","0000",IF(AND(ISNUMBER(Sync!$K1948),Sync!$K1948&gt;=0,Sync!$K1948&lt;1),RIGHT("00"&amp;HOUR(Sync!$K1948),2)&amp;RIGHT("00"&amp;MINUTE(Sync!$K1948),2),IFERROR(RIGHT("00"&amp;VALUE(LEFT(Sync!$K1948,FIND(":",Sync!$K1948)-1)),2)&amp;RIGHT("00"&amp;VALUE(MID(Sync!$K1948,FIND(":",Sync!$K1948)+1,2)),2),"0000")))&amp;"|"&amp;"2"&amp;RIGHT("00000"&amp;1943,5))</f>
        <v/>
      </c>
      <c r="Q1948" t="str">
        <f>IF(Sync!$J1948="","",IF(ISNUMBER(Sync!$J1948),IF(AND(Sync!$J1948&gt;=10000101,Sync!$J1948&lt;=99991231),INT(Sync!$J1948/10000)&amp;"/"&amp;RIGHT("00"&amp;INT(MOD(Sync!$J1948,10000)/100),2)&amp;"/"&amp;RIGHT("00"&amp;MOD(Sync!$J1948,100),2),"نامعتبر"),IF(LEN(Sync!$J1948)=10,Sync!$J1948,"نامعتبر")))</f>
        <v/>
      </c>
      <c r="R1948" t="str">
        <f t="shared" si="155"/>
        <v/>
      </c>
      <c r="S1948" t="str">
        <f t="shared" si="156"/>
        <v/>
      </c>
      <c r="T1948" t="str">
        <f>IF($N1948="","",IF(Sync!$N1948="",0,Sync!$N1948))</f>
        <v/>
      </c>
      <c r="U1948" t="str">
        <f>IF($N1948="","",IF(Sync!$O1948="",0,Sync!$O1948))</f>
        <v/>
      </c>
      <c r="V1948" t="str">
        <f>IF($N1948="","",Sync!$L1948)</f>
        <v/>
      </c>
      <c r="W1948" t="str">
        <f>IF($N1948="","",Sync!$P1948)</f>
        <v/>
      </c>
    </row>
    <row r="1949" spans="14:23" x14ac:dyDescent="0.2">
      <c r="N1949" t="str">
        <f>IF(OR(Sync!$M1949="",$Q1949="",$Q1949="نامعتبر"),"",Sync!$M1949)</f>
        <v/>
      </c>
      <c r="O1949" t="str">
        <f t="shared" si="154"/>
        <v/>
      </c>
      <c r="P1949" t="str">
        <f>IF($N1949="","",LEFT($Q1949,4)&amp;MID($Q1949,6,2)&amp;RIGHT($Q1949,2)&amp;IF(Sync!$K1949="","0000",IF(AND(ISNUMBER(Sync!$K1949),Sync!$K1949&gt;=0,Sync!$K1949&lt;1),RIGHT("00"&amp;HOUR(Sync!$K1949),2)&amp;RIGHT("00"&amp;MINUTE(Sync!$K1949),2),IFERROR(RIGHT("00"&amp;VALUE(LEFT(Sync!$K1949,FIND(":",Sync!$K1949)-1)),2)&amp;RIGHT("00"&amp;VALUE(MID(Sync!$K1949,FIND(":",Sync!$K1949)+1,2)),2),"0000")))&amp;"|"&amp;"2"&amp;RIGHT("00000"&amp;1944,5))</f>
        <v/>
      </c>
      <c r="Q1949" t="str">
        <f>IF(Sync!$J1949="","",IF(ISNUMBER(Sync!$J1949),IF(AND(Sync!$J1949&gt;=10000101,Sync!$J1949&lt;=99991231),INT(Sync!$J1949/10000)&amp;"/"&amp;RIGHT("00"&amp;INT(MOD(Sync!$J1949,10000)/100),2)&amp;"/"&amp;RIGHT("00"&amp;MOD(Sync!$J1949,100),2),"نامعتبر"),IF(LEN(Sync!$J1949)=10,Sync!$J1949,"نامعتبر")))</f>
        <v/>
      </c>
      <c r="R1949" t="str">
        <f t="shared" si="155"/>
        <v/>
      </c>
      <c r="S1949" t="str">
        <f t="shared" si="156"/>
        <v/>
      </c>
      <c r="T1949" t="str">
        <f>IF($N1949="","",IF(Sync!$N1949="",0,Sync!$N1949))</f>
        <v/>
      </c>
      <c r="U1949" t="str">
        <f>IF($N1949="","",IF(Sync!$O1949="",0,Sync!$O1949))</f>
        <v/>
      </c>
      <c r="V1949" t="str">
        <f>IF($N1949="","",Sync!$L1949)</f>
        <v/>
      </c>
      <c r="W1949" t="str">
        <f>IF($N1949="","",Sync!$P1949)</f>
        <v/>
      </c>
    </row>
    <row r="1950" spans="14:23" x14ac:dyDescent="0.2">
      <c r="N1950" t="str">
        <f>IF(OR(Sync!$M1950="",$Q1950="",$Q1950="نامعتبر"),"",Sync!$M1950)</f>
        <v/>
      </c>
      <c r="O1950" t="str">
        <f t="shared" si="154"/>
        <v/>
      </c>
      <c r="P1950" t="str">
        <f>IF($N1950="","",LEFT($Q1950,4)&amp;MID($Q1950,6,2)&amp;RIGHT($Q1950,2)&amp;IF(Sync!$K1950="","0000",IF(AND(ISNUMBER(Sync!$K1950),Sync!$K1950&gt;=0,Sync!$K1950&lt;1),RIGHT("00"&amp;HOUR(Sync!$K1950),2)&amp;RIGHT("00"&amp;MINUTE(Sync!$K1950),2),IFERROR(RIGHT("00"&amp;VALUE(LEFT(Sync!$K1950,FIND(":",Sync!$K1950)-1)),2)&amp;RIGHT("00"&amp;VALUE(MID(Sync!$K1950,FIND(":",Sync!$K1950)+1,2)),2),"0000")))&amp;"|"&amp;"2"&amp;RIGHT("00000"&amp;1945,5))</f>
        <v/>
      </c>
      <c r="Q1950" t="str">
        <f>IF(Sync!$J1950="","",IF(ISNUMBER(Sync!$J1950),IF(AND(Sync!$J1950&gt;=10000101,Sync!$J1950&lt;=99991231),INT(Sync!$J1950/10000)&amp;"/"&amp;RIGHT("00"&amp;INT(MOD(Sync!$J1950,10000)/100),2)&amp;"/"&amp;RIGHT("00"&amp;MOD(Sync!$J1950,100),2),"نامعتبر"),IF(LEN(Sync!$J1950)=10,Sync!$J1950,"نامعتبر")))</f>
        <v/>
      </c>
      <c r="R1950" t="str">
        <f t="shared" si="155"/>
        <v/>
      </c>
      <c r="S1950" t="str">
        <f t="shared" si="156"/>
        <v/>
      </c>
      <c r="T1950" t="str">
        <f>IF($N1950="","",IF(Sync!$N1950="",0,Sync!$N1950))</f>
        <v/>
      </c>
      <c r="U1950" t="str">
        <f>IF($N1950="","",IF(Sync!$O1950="",0,Sync!$O1950))</f>
        <v/>
      </c>
      <c r="V1950" t="str">
        <f>IF($N1950="","",Sync!$L1950)</f>
        <v/>
      </c>
      <c r="W1950" t="str">
        <f>IF($N1950="","",Sync!$P1950)</f>
        <v/>
      </c>
    </row>
    <row r="1951" spans="14:23" x14ac:dyDescent="0.2">
      <c r="N1951" t="str">
        <f>IF(OR(Sync!$M1951="",$Q1951="",$Q1951="نامعتبر"),"",Sync!$M1951)</f>
        <v/>
      </c>
      <c r="O1951" t="str">
        <f t="shared" si="154"/>
        <v/>
      </c>
      <c r="P1951" t="str">
        <f>IF($N1951="","",LEFT($Q1951,4)&amp;MID($Q1951,6,2)&amp;RIGHT($Q1951,2)&amp;IF(Sync!$K1951="","0000",IF(AND(ISNUMBER(Sync!$K1951),Sync!$K1951&gt;=0,Sync!$K1951&lt;1),RIGHT("00"&amp;HOUR(Sync!$K1951),2)&amp;RIGHT("00"&amp;MINUTE(Sync!$K1951),2),IFERROR(RIGHT("00"&amp;VALUE(LEFT(Sync!$K1951,FIND(":",Sync!$K1951)-1)),2)&amp;RIGHT("00"&amp;VALUE(MID(Sync!$K1951,FIND(":",Sync!$K1951)+1,2)),2),"0000")))&amp;"|"&amp;"2"&amp;RIGHT("00000"&amp;1946,5))</f>
        <v/>
      </c>
      <c r="Q1951" t="str">
        <f>IF(Sync!$J1951="","",IF(ISNUMBER(Sync!$J1951),IF(AND(Sync!$J1951&gt;=10000101,Sync!$J1951&lt;=99991231),INT(Sync!$J1951/10000)&amp;"/"&amp;RIGHT("00"&amp;INT(MOD(Sync!$J1951,10000)/100),2)&amp;"/"&amp;RIGHT("00"&amp;MOD(Sync!$J1951,100),2),"نامعتبر"),IF(LEN(Sync!$J1951)=10,Sync!$J1951,"نامعتبر")))</f>
        <v/>
      </c>
      <c r="R1951" t="str">
        <f t="shared" si="155"/>
        <v/>
      </c>
      <c r="S1951" t="str">
        <f t="shared" si="156"/>
        <v/>
      </c>
      <c r="T1951" t="str">
        <f>IF($N1951="","",IF(Sync!$N1951="",0,Sync!$N1951))</f>
        <v/>
      </c>
      <c r="U1951" t="str">
        <f>IF($N1951="","",IF(Sync!$O1951="",0,Sync!$O1951))</f>
        <v/>
      </c>
      <c r="V1951" t="str">
        <f>IF($N1951="","",Sync!$L1951)</f>
        <v/>
      </c>
      <c r="W1951" t="str">
        <f>IF($N1951="","",Sync!$P1951)</f>
        <v/>
      </c>
    </row>
    <row r="1952" spans="14:23" x14ac:dyDescent="0.2">
      <c r="N1952" t="str">
        <f>IF(OR(Sync!$M1952="",$Q1952="",$Q1952="نامعتبر"),"",Sync!$M1952)</f>
        <v/>
      </c>
      <c r="O1952" t="str">
        <f t="shared" si="154"/>
        <v/>
      </c>
      <c r="P1952" t="str">
        <f>IF($N1952="","",LEFT($Q1952,4)&amp;MID($Q1952,6,2)&amp;RIGHT($Q1952,2)&amp;IF(Sync!$K1952="","0000",IF(AND(ISNUMBER(Sync!$K1952),Sync!$K1952&gt;=0,Sync!$K1952&lt;1),RIGHT("00"&amp;HOUR(Sync!$K1952),2)&amp;RIGHT("00"&amp;MINUTE(Sync!$K1952),2),IFERROR(RIGHT("00"&amp;VALUE(LEFT(Sync!$K1952,FIND(":",Sync!$K1952)-1)),2)&amp;RIGHT("00"&amp;VALUE(MID(Sync!$K1952,FIND(":",Sync!$K1952)+1,2)),2),"0000")))&amp;"|"&amp;"2"&amp;RIGHT("00000"&amp;1947,5))</f>
        <v/>
      </c>
      <c r="Q1952" t="str">
        <f>IF(Sync!$J1952="","",IF(ISNUMBER(Sync!$J1952),IF(AND(Sync!$J1952&gt;=10000101,Sync!$J1952&lt;=99991231),INT(Sync!$J1952/10000)&amp;"/"&amp;RIGHT("00"&amp;INT(MOD(Sync!$J1952,10000)/100),2)&amp;"/"&amp;RIGHT("00"&amp;MOD(Sync!$J1952,100),2),"نامعتبر"),IF(LEN(Sync!$J1952)=10,Sync!$J1952,"نامعتبر")))</f>
        <v/>
      </c>
      <c r="R1952" t="str">
        <f t="shared" si="155"/>
        <v/>
      </c>
      <c r="S1952" t="str">
        <f t="shared" si="156"/>
        <v/>
      </c>
      <c r="T1952" t="str">
        <f>IF($N1952="","",IF(Sync!$N1952="",0,Sync!$N1952))</f>
        <v/>
      </c>
      <c r="U1952" t="str">
        <f>IF($N1952="","",IF(Sync!$O1952="",0,Sync!$O1952))</f>
        <v/>
      </c>
      <c r="V1952" t="str">
        <f>IF($N1952="","",Sync!$L1952)</f>
        <v/>
      </c>
      <c r="W1952" t="str">
        <f>IF($N1952="","",Sync!$P1952)</f>
        <v/>
      </c>
    </row>
    <row r="1953" spans="14:23" x14ac:dyDescent="0.2">
      <c r="N1953" t="str">
        <f>IF(OR(Sync!$M1953="",$Q1953="",$Q1953="نامعتبر"),"",Sync!$M1953)</f>
        <v/>
      </c>
      <c r="O1953" t="str">
        <f t="shared" si="154"/>
        <v/>
      </c>
      <c r="P1953" t="str">
        <f>IF($N1953="","",LEFT($Q1953,4)&amp;MID($Q1953,6,2)&amp;RIGHT($Q1953,2)&amp;IF(Sync!$K1953="","0000",IF(AND(ISNUMBER(Sync!$K1953),Sync!$K1953&gt;=0,Sync!$K1953&lt;1),RIGHT("00"&amp;HOUR(Sync!$K1953),2)&amp;RIGHT("00"&amp;MINUTE(Sync!$K1953),2),IFERROR(RIGHT("00"&amp;VALUE(LEFT(Sync!$K1953,FIND(":",Sync!$K1953)-1)),2)&amp;RIGHT("00"&amp;VALUE(MID(Sync!$K1953,FIND(":",Sync!$K1953)+1,2)),2),"0000")))&amp;"|"&amp;"2"&amp;RIGHT("00000"&amp;1948,5))</f>
        <v/>
      </c>
      <c r="Q1953" t="str">
        <f>IF(Sync!$J1953="","",IF(ISNUMBER(Sync!$J1953),IF(AND(Sync!$J1953&gt;=10000101,Sync!$J1953&lt;=99991231),INT(Sync!$J1953/10000)&amp;"/"&amp;RIGHT("00"&amp;INT(MOD(Sync!$J1953,10000)/100),2)&amp;"/"&amp;RIGHT("00"&amp;MOD(Sync!$J1953,100),2),"نامعتبر"),IF(LEN(Sync!$J1953)=10,Sync!$J1953,"نامعتبر")))</f>
        <v/>
      </c>
      <c r="R1953" t="str">
        <f t="shared" si="155"/>
        <v/>
      </c>
      <c r="S1953" t="str">
        <f t="shared" si="156"/>
        <v/>
      </c>
      <c r="T1953" t="str">
        <f>IF($N1953="","",IF(Sync!$N1953="",0,Sync!$N1953))</f>
        <v/>
      </c>
      <c r="U1953" t="str">
        <f>IF($N1953="","",IF(Sync!$O1953="",0,Sync!$O1953))</f>
        <v/>
      </c>
      <c r="V1953" t="str">
        <f>IF($N1953="","",Sync!$L1953)</f>
        <v/>
      </c>
      <c r="W1953" t="str">
        <f>IF($N1953="","",Sync!$P1953)</f>
        <v/>
      </c>
    </row>
    <row r="1954" spans="14:23" x14ac:dyDescent="0.2">
      <c r="N1954" t="str">
        <f>IF(OR(Sync!$M1954="",$Q1954="",$Q1954="نامعتبر"),"",Sync!$M1954)</f>
        <v/>
      </c>
      <c r="O1954" t="str">
        <f t="shared" si="154"/>
        <v/>
      </c>
      <c r="P1954" t="str">
        <f>IF($N1954="","",LEFT($Q1954,4)&amp;MID($Q1954,6,2)&amp;RIGHT($Q1954,2)&amp;IF(Sync!$K1954="","0000",IF(AND(ISNUMBER(Sync!$K1954),Sync!$K1954&gt;=0,Sync!$K1954&lt;1),RIGHT("00"&amp;HOUR(Sync!$K1954),2)&amp;RIGHT("00"&amp;MINUTE(Sync!$K1954),2),IFERROR(RIGHT("00"&amp;VALUE(LEFT(Sync!$K1954,FIND(":",Sync!$K1954)-1)),2)&amp;RIGHT("00"&amp;VALUE(MID(Sync!$K1954,FIND(":",Sync!$K1954)+1,2)),2),"0000")))&amp;"|"&amp;"2"&amp;RIGHT("00000"&amp;1949,5))</f>
        <v/>
      </c>
      <c r="Q1954" t="str">
        <f>IF(Sync!$J1954="","",IF(ISNUMBER(Sync!$J1954),IF(AND(Sync!$J1954&gt;=10000101,Sync!$J1954&lt;=99991231),INT(Sync!$J1954/10000)&amp;"/"&amp;RIGHT("00"&amp;INT(MOD(Sync!$J1954,10000)/100),2)&amp;"/"&amp;RIGHT("00"&amp;MOD(Sync!$J1954,100),2),"نامعتبر"),IF(LEN(Sync!$J1954)=10,Sync!$J1954,"نامعتبر")))</f>
        <v/>
      </c>
      <c r="R1954" t="str">
        <f t="shared" si="155"/>
        <v/>
      </c>
      <c r="S1954" t="str">
        <f t="shared" si="156"/>
        <v/>
      </c>
      <c r="T1954" t="str">
        <f>IF($N1954="","",IF(Sync!$N1954="",0,Sync!$N1954))</f>
        <v/>
      </c>
      <c r="U1954" t="str">
        <f>IF($N1954="","",IF(Sync!$O1954="",0,Sync!$O1954))</f>
        <v/>
      </c>
      <c r="V1954" t="str">
        <f>IF($N1954="","",Sync!$L1954)</f>
        <v/>
      </c>
      <c r="W1954" t="str">
        <f>IF($N1954="","",Sync!$P1954)</f>
        <v/>
      </c>
    </row>
    <row r="1955" spans="14:23" x14ac:dyDescent="0.2">
      <c r="N1955" t="str">
        <f>IF(OR(Sync!$M1955="",$Q1955="",$Q1955="نامعتبر"),"",Sync!$M1955)</f>
        <v/>
      </c>
      <c r="O1955" t="str">
        <f t="shared" si="154"/>
        <v/>
      </c>
      <c r="P1955" t="str">
        <f>IF($N1955="","",LEFT($Q1955,4)&amp;MID($Q1955,6,2)&amp;RIGHT($Q1955,2)&amp;IF(Sync!$K1955="","0000",IF(AND(ISNUMBER(Sync!$K1955),Sync!$K1955&gt;=0,Sync!$K1955&lt;1),RIGHT("00"&amp;HOUR(Sync!$K1955),2)&amp;RIGHT("00"&amp;MINUTE(Sync!$K1955),2),IFERROR(RIGHT("00"&amp;VALUE(LEFT(Sync!$K1955,FIND(":",Sync!$K1955)-1)),2)&amp;RIGHT("00"&amp;VALUE(MID(Sync!$K1955,FIND(":",Sync!$K1955)+1,2)),2),"0000")))&amp;"|"&amp;"2"&amp;RIGHT("00000"&amp;1950,5))</f>
        <v/>
      </c>
      <c r="Q1955" t="str">
        <f>IF(Sync!$J1955="","",IF(ISNUMBER(Sync!$J1955),IF(AND(Sync!$J1955&gt;=10000101,Sync!$J1955&lt;=99991231),INT(Sync!$J1955/10000)&amp;"/"&amp;RIGHT("00"&amp;INT(MOD(Sync!$J1955,10000)/100),2)&amp;"/"&amp;RIGHT("00"&amp;MOD(Sync!$J1955,100),2),"نامعتبر"),IF(LEN(Sync!$J1955)=10,Sync!$J1955,"نامعتبر")))</f>
        <v/>
      </c>
      <c r="R1955" t="str">
        <f t="shared" si="155"/>
        <v/>
      </c>
      <c r="S1955" t="str">
        <f t="shared" si="156"/>
        <v/>
      </c>
      <c r="T1955" t="str">
        <f>IF($N1955="","",IF(Sync!$N1955="",0,Sync!$N1955))</f>
        <v/>
      </c>
      <c r="U1955" t="str">
        <f>IF($N1955="","",IF(Sync!$O1955="",0,Sync!$O1955))</f>
        <v/>
      </c>
      <c r="V1955" t="str">
        <f>IF($N1955="","",Sync!$L1955)</f>
        <v/>
      </c>
      <c r="W1955" t="str">
        <f>IF($N1955="","",Sync!$P1955)</f>
        <v/>
      </c>
    </row>
    <row r="1956" spans="14:23" x14ac:dyDescent="0.2">
      <c r="N1956" t="str">
        <f>IF(OR(Sync!$M1956="",$Q1956="",$Q1956="نامعتبر"),"",Sync!$M1956)</f>
        <v/>
      </c>
      <c r="O1956" t="str">
        <f t="shared" si="154"/>
        <v/>
      </c>
      <c r="P1956" t="str">
        <f>IF($N1956="","",LEFT($Q1956,4)&amp;MID($Q1956,6,2)&amp;RIGHT($Q1956,2)&amp;IF(Sync!$K1956="","0000",IF(AND(ISNUMBER(Sync!$K1956),Sync!$K1956&gt;=0,Sync!$K1956&lt;1),RIGHT("00"&amp;HOUR(Sync!$K1956),2)&amp;RIGHT("00"&amp;MINUTE(Sync!$K1956),2),IFERROR(RIGHT("00"&amp;VALUE(LEFT(Sync!$K1956,FIND(":",Sync!$K1956)-1)),2)&amp;RIGHT("00"&amp;VALUE(MID(Sync!$K1956,FIND(":",Sync!$K1956)+1,2)),2),"0000")))&amp;"|"&amp;"2"&amp;RIGHT("00000"&amp;1951,5))</f>
        <v/>
      </c>
      <c r="Q1956" t="str">
        <f>IF(Sync!$J1956="","",IF(ISNUMBER(Sync!$J1956),IF(AND(Sync!$J1956&gt;=10000101,Sync!$J1956&lt;=99991231),INT(Sync!$J1956/10000)&amp;"/"&amp;RIGHT("00"&amp;INT(MOD(Sync!$J1956,10000)/100),2)&amp;"/"&amp;RIGHT("00"&amp;MOD(Sync!$J1956,100),2),"نامعتبر"),IF(LEN(Sync!$J1956)=10,Sync!$J1956,"نامعتبر")))</f>
        <v/>
      </c>
      <c r="R1956" t="str">
        <f t="shared" si="155"/>
        <v/>
      </c>
      <c r="S1956" t="str">
        <f t="shared" si="156"/>
        <v/>
      </c>
      <c r="T1956" t="str">
        <f>IF($N1956="","",IF(Sync!$N1956="",0,Sync!$N1956))</f>
        <v/>
      </c>
      <c r="U1956" t="str">
        <f>IF($N1956="","",IF(Sync!$O1956="",0,Sync!$O1956))</f>
        <v/>
      </c>
      <c r="V1956" t="str">
        <f>IF($N1956="","",Sync!$L1956)</f>
        <v/>
      </c>
      <c r="W1956" t="str">
        <f>IF($N1956="","",Sync!$P1956)</f>
        <v/>
      </c>
    </row>
    <row r="1957" spans="14:23" x14ac:dyDescent="0.2">
      <c r="N1957" t="str">
        <f>IF(OR(Sync!$M1957="",$Q1957="",$Q1957="نامعتبر"),"",Sync!$M1957)</f>
        <v/>
      </c>
      <c r="O1957" t="str">
        <f t="shared" si="154"/>
        <v/>
      </c>
      <c r="P1957" t="str">
        <f>IF($N1957="","",LEFT($Q1957,4)&amp;MID($Q1957,6,2)&amp;RIGHT($Q1957,2)&amp;IF(Sync!$K1957="","0000",IF(AND(ISNUMBER(Sync!$K1957),Sync!$K1957&gt;=0,Sync!$K1957&lt;1),RIGHT("00"&amp;HOUR(Sync!$K1957),2)&amp;RIGHT("00"&amp;MINUTE(Sync!$K1957),2),IFERROR(RIGHT("00"&amp;VALUE(LEFT(Sync!$K1957,FIND(":",Sync!$K1957)-1)),2)&amp;RIGHT("00"&amp;VALUE(MID(Sync!$K1957,FIND(":",Sync!$K1957)+1,2)),2),"0000")))&amp;"|"&amp;"2"&amp;RIGHT("00000"&amp;1952,5))</f>
        <v/>
      </c>
      <c r="Q1957" t="str">
        <f>IF(Sync!$J1957="","",IF(ISNUMBER(Sync!$J1957),IF(AND(Sync!$J1957&gt;=10000101,Sync!$J1957&lt;=99991231),INT(Sync!$J1957/10000)&amp;"/"&amp;RIGHT("00"&amp;INT(MOD(Sync!$J1957,10000)/100),2)&amp;"/"&amp;RIGHT("00"&amp;MOD(Sync!$J1957,100),2),"نامعتبر"),IF(LEN(Sync!$J1957)=10,Sync!$J1957,"نامعتبر")))</f>
        <v/>
      </c>
      <c r="R1957" t="str">
        <f t="shared" si="155"/>
        <v/>
      </c>
      <c r="S1957" t="str">
        <f t="shared" si="156"/>
        <v/>
      </c>
      <c r="T1957" t="str">
        <f>IF($N1957="","",IF(Sync!$N1957="",0,Sync!$N1957))</f>
        <v/>
      </c>
      <c r="U1957" t="str">
        <f>IF($N1957="","",IF(Sync!$O1957="",0,Sync!$O1957))</f>
        <v/>
      </c>
      <c r="V1957" t="str">
        <f>IF($N1957="","",Sync!$L1957)</f>
        <v/>
      </c>
      <c r="W1957" t="str">
        <f>IF($N1957="","",Sync!$P1957)</f>
        <v/>
      </c>
    </row>
    <row r="1958" spans="14:23" x14ac:dyDescent="0.2">
      <c r="N1958" t="str">
        <f>IF(OR(Sync!$M1958="",$Q1958="",$Q1958="نامعتبر"),"",Sync!$M1958)</f>
        <v/>
      </c>
      <c r="O1958" t="str">
        <f t="shared" si="154"/>
        <v/>
      </c>
      <c r="P1958" t="str">
        <f>IF($N1958="","",LEFT($Q1958,4)&amp;MID($Q1958,6,2)&amp;RIGHT($Q1958,2)&amp;IF(Sync!$K1958="","0000",IF(AND(ISNUMBER(Sync!$K1958),Sync!$K1958&gt;=0,Sync!$K1958&lt;1),RIGHT("00"&amp;HOUR(Sync!$K1958),2)&amp;RIGHT("00"&amp;MINUTE(Sync!$K1958),2),IFERROR(RIGHT("00"&amp;VALUE(LEFT(Sync!$K1958,FIND(":",Sync!$K1958)-1)),2)&amp;RIGHT("00"&amp;VALUE(MID(Sync!$K1958,FIND(":",Sync!$K1958)+1,2)),2),"0000")))&amp;"|"&amp;"2"&amp;RIGHT("00000"&amp;1953,5))</f>
        <v/>
      </c>
      <c r="Q1958" t="str">
        <f>IF(Sync!$J1958="","",IF(ISNUMBER(Sync!$J1958),IF(AND(Sync!$J1958&gt;=10000101,Sync!$J1958&lt;=99991231),INT(Sync!$J1958/10000)&amp;"/"&amp;RIGHT("00"&amp;INT(MOD(Sync!$J1958,10000)/100),2)&amp;"/"&amp;RIGHT("00"&amp;MOD(Sync!$J1958,100),2),"نامعتبر"),IF(LEN(Sync!$J1958)=10,Sync!$J1958,"نامعتبر")))</f>
        <v/>
      </c>
      <c r="R1958" t="str">
        <f t="shared" si="155"/>
        <v/>
      </c>
      <c r="S1958" t="str">
        <f t="shared" si="156"/>
        <v/>
      </c>
      <c r="T1958" t="str">
        <f>IF($N1958="","",IF(Sync!$N1958="",0,Sync!$N1958))</f>
        <v/>
      </c>
      <c r="U1958" t="str">
        <f>IF($N1958="","",IF(Sync!$O1958="",0,Sync!$O1958))</f>
        <v/>
      </c>
      <c r="V1958" t="str">
        <f>IF($N1958="","",Sync!$L1958)</f>
        <v/>
      </c>
      <c r="W1958" t="str">
        <f>IF($N1958="","",Sync!$P1958)</f>
        <v/>
      </c>
    </row>
    <row r="1959" spans="14:23" x14ac:dyDescent="0.2">
      <c r="N1959" t="str">
        <f>IF(OR(Sync!$M1959="",$Q1959="",$Q1959="نامعتبر"),"",Sync!$M1959)</f>
        <v/>
      </c>
      <c r="O1959" t="str">
        <f t="shared" si="154"/>
        <v/>
      </c>
      <c r="P1959" t="str">
        <f>IF($N1959="","",LEFT($Q1959,4)&amp;MID($Q1959,6,2)&amp;RIGHT($Q1959,2)&amp;IF(Sync!$K1959="","0000",IF(AND(ISNUMBER(Sync!$K1959),Sync!$K1959&gt;=0,Sync!$K1959&lt;1),RIGHT("00"&amp;HOUR(Sync!$K1959),2)&amp;RIGHT("00"&amp;MINUTE(Sync!$K1959),2),IFERROR(RIGHT("00"&amp;VALUE(LEFT(Sync!$K1959,FIND(":",Sync!$K1959)-1)),2)&amp;RIGHT("00"&amp;VALUE(MID(Sync!$K1959,FIND(":",Sync!$K1959)+1,2)),2),"0000")))&amp;"|"&amp;"2"&amp;RIGHT("00000"&amp;1954,5))</f>
        <v/>
      </c>
      <c r="Q1959" t="str">
        <f>IF(Sync!$J1959="","",IF(ISNUMBER(Sync!$J1959),IF(AND(Sync!$J1959&gt;=10000101,Sync!$J1959&lt;=99991231),INT(Sync!$J1959/10000)&amp;"/"&amp;RIGHT("00"&amp;INT(MOD(Sync!$J1959,10000)/100),2)&amp;"/"&amp;RIGHT("00"&amp;MOD(Sync!$J1959,100),2),"نامعتبر"),IF(LEN(Sync!$J1959)=10,Sync!$J1959,"نامعتبر")))</f>
        <v/>
      </c>
      <c r="R1959" t="str">
        <f t="shared" si="155"/>
        <v/>
      </c>
      <c r="S1959" t="str">
        <f t="shared" si="156"/>
        <v/>
      </c>
      <c r="T1959" t="str">
        <f>IF($N1959="","",IF(Sync!$N1959="",0,Sync!$N1959))</f>
        <v/>
      </c>
      <c r="U1959" t="str">
        <f>IF($N1959="","",IF(Sync!$O1959="",0,Sync!$O1959))</f>
        <v/>
      </c>
      <c r="V1959" t="str">
        <f>IF($N1959="","",Sync!$L1959)</f>
        <v/>
      </c>
      <c r="W1959" t="str">
        <f>IF($N1959="","",Sync!$P1959)</f>
        <v/>
      </c>
    </row>
    <row r="1960" spans="14:23" x14ac:dyDescent="0.2">
      <c r="N1960" t="str">
        <f>IF(OR(Sync!$M1960="",$Q1960="",$Q1960="نامعتبر"),"",Sync!$M1960)</f>
        <v/>
      </c>
      <c r="O1960" t="str">
        <f t="shared" si="154"/>
        <v/>
      </c>
      <c r="P1960" t="str">
        <f>IF($N1960="","",LEFT($Q1960,4)&amp;MID($Q1960,6,2)&amp;RIGHT($Q1960,2)&amp;IF(Sync!$K1960="","0000",IF(AND(ISNUMBER(Sync!$K1960),Sync!$K1960&gt;=0,Sync!$K1960&lt;1),RIGHT("00"&amp;HOUR(Sync!$K1960),2)&amp;RIGHT("00"&amp;MINUTE(Sync!$K1960),2),IFERROR(RIGHT("00"&amp;VALUE(LEFT(Sync!$K1960,FIND(":",Sync!$K1960)-1)),2)&amp;RIGHT("00"&amp;VALUE(MID(Sync!$K1960,FIND(":",Sync!$K1960)+1,2)),2),"0000")))&amp;"|"&amp;"2"&amp;RIGHT("00000"&amp;1955,5))</f>
        <v/>
      </c>
      <c r="Q1960" t="str">
        <f>IF(Sync!$J1960="","",IF(ISNUMBER(Sync!$J1960),IF(AND(Sync!$J1960&gt;=10000101,Sync!$J1960&lt;=99991231),INT(Sync!$J1960/10000)&amp;"/"&amp;RIGHT("00"&amp;INT(MOD(Sync!$J1960,10000)/100),2)&amp;"/"&amp;RIGHT("00"&amp;MOD(Sync!$J1960,100),2),"نامعتبر"),IF(LEN(Sync!$J1960)=10,Sync!$J1960,"نامعتبر")))</f>
        <v/>
      </c>
      <c r="R1960" t="str">
        <f t="shared" si="155"/>
        <v/>
      </c>
      <c r="S1960" t="str">
        <f t="shared" si="156"/>
        <v/>
      </c>
      <c r="T1960" t="str">
        <f>IF($N1960="","",IF(Sync!$N1960="",0,Sync!$N1960))</f>
        <v/>
      </c>
      <c r="U1960" t="str">
        <f>IF($N1960="","",IF(Sync!$O1960="",0,Sync!$O1960))</f>
        <v/>
      </c>
      <c r="V1960" t="str">
        <f>IF($N1960="","",Sync!$L1960)</f>
        <v/>
      </c>
      <c r="W1960" t="str">
        <f>IF($N1960="","",Sync!$P1960)</f>
        <v/>
      </c>
    </row>
    <row r="1961" spans="14:23" x14ac:dyDescent="0.2">
      <c r="N1961" t="str">
        <f>IF(OR(Sync!$M1961="",$Q1961="",$Q1961="نامعتبر"),"",Sync!$M1961)</f>
        <v/>
      </c>
      <c r="O1961" t="str">
        <f t="shared" si="154"/>
        <v/>
      </c>
      <c r="P1961" t="str">
        <f>IF($N1961="","",LEFT($Q1961,4)&amp;MID($Q1961,6,2)&amp;RIGHT($Q1961,2)&amp;IF(Sync!$K1961="","0000",IF(AND(ISNUMBER(Sync!$K1961),Sync!$K1961&gt;=0,Sync!$K1961&lt;1),RIGHT("00"&amp;HOUR(Sync!$K1961),2)&amp;RIGHT("00"&amp;MINUTE(Sync!$K1961),2),IFERROR(RIGHT("00"&amp;VALUE(LEFT(Sync!$K1961,FIND(":",Sync!$K1961)-1)),2)&amp;RIGHT("00"&amp;VALUE(MID(Sync!$K1961,FIND(":",Sync!$K1961)+1,2)),2),"0000")))&amp;"|"&amp;"2"&amp;RIGHT("00000"&amp;1956,5))</f>
        <v/>
      </c>
      <c r="Q1961" t="str">
        <f>IF(Sync!$J1961="","",IF(ISNUMBER(Sync!$J1961),IF(AND(Sync!$J1961&gt;=10000101,Sync!$J1961&lt;=99991231),INT(Sync!$J1961/10000)&amp;"/"&amp;RIGHT("00"&amp;INT(MOD(Sync!$J1961,10000)/100),2)&amp;"/"&amp;RIGHT("00"&amp;MOD(Sync!$J1961,100),2),"نامعتبر"),IF(LEN(Sync!$J1961)=10,Sync!$J1961,"نامعتبر")))</f>
        <v/>
      </c>
      <c r="R1961" t="str">
        <f t="shared" si="155"/>
        <v/>
      </c>
      <c r="S1961" t="str">
        <f t="shared" si="156"/>
        <v/>
      </c>
      <c r="T1961" t="str">
        <f>IF($N1961="","",IF(Sync!$N1961="",0,Sync!$N1961))</f>
        <v/>
      </c>
      <c r="U1961" t="str">
        <f>IF($N1961="","",IF(Sync!$O1961="",0,Sync!$O1961))</f>
        <v/>
      </c>
      <c r="V1961" t="str">
        <f>IF($N1961="","",Sync!$L1961)</f>
        <v/>
      </c>
      <c r="W1961" t="str">
        <f>IF($N1961="","",Sync!$P1961)</f>
        <v/>
      </c>
    </row>
    <row r="1962" spans="14:23" x14ac:dyDescent="0.2">
      <c r="N1962" t="str">
        <f>IF(OR(Sync!$M1962="",$Q1962="",$Q1962="نامعتبر"),"",Sync!$M1962)</f>
        <v/>
      </c>
      <c r="O1962" t="str">
        <f t="shared" si="154"/>
        <v/>
      </c>
      <c r="P1962" t="str">
        <f>IF($N1962="","",LEFT($Q1962,4)&amp;MID($Q1962,6,2)&amp;RIGHT($Q1962,2)&amp;IF(Sync!$K1962="","0000",IF(AND(ISNUMBER(Sync!$K1962),Sync!$K1962&gt;=0,Sync!$K1962&lt;1),RIGHT("00"&amp;HOUR(Sync!$K1962),2)&amp;RIGHT("00"&amp;MINUTE(Sync!$K1962),2),IFERROR(RIGHT("00"&amp;VALUE(LEFT(Sync!$K1962,FIND(":",Sync!$K1962)-1)),2)&amp;RIGHT("00"&amp;VALUE(MID(Sync!$K1962,FIND(":",Sync!$K1962)+1,2)),2),"0000")))&amp;"|"&amp;"2"&amp;RIGHT("00000"&amp;1957,5))</f>
        <v/>
      </c>
      <c r="Q1962" t="str">
        <f>IF(Sync!$J1962="","",IF(ISNUMBER(Sync!$J1962),IF(AND(Sync!$J1962&gt;=10000101,Sync!$J1962&lt;=99991231),INT(Sync!$J1962/10000)&amp;"/"&amp;RIGHT("00"&amp;INT(MOD(Sync!$J1962,10000)/100),2)&amp;"/"&amp;RIGHT("00"&amp;MOD(Sync!$J1962,100),2),"نامعتبر"),IF(LEN(Sync!$J1962)=10,Sync!$J1962,"نامعتبر")))</f>
        <v/>
      </c>
      <c r="R1962" t="str">
        <f t="shared" si="155"/>
        <v/>
      </c>
      <c r="S1962" t="str">
        <f t="shared" si="156"/>
        <v/>
      </c>
      <c r="T1962" t="str">
        <f>IF($N1962="","",IF(Sync!$N1962="",0,Sync!$N1962))</f>
        <v/>
      </c>
      <c r="U1962" t="str">
        <f>IF($N1962="","",IF(Sync!$O1962="",0,Sync!$O1962))</f>
        <v/>
      </c>
      <c r="V1962" t="str">
        <f>IF($N1962="","",Sync!$L1962)</f>
        <v/>
      </c>
      <c r="W1962" t="str">
        <f>IF($N1962="","",Sync!$P1962)</f>
        <v/>
      </c>
    </row>
    <row r="1963" spans="14:23" x14ac:dyDescent="0.2">
      <c r="N1963" t="str">
        <f>IF(OR(Sync!$M1963="",$Q1963="",$Q1963="نامعتبر"),"",Sync!$M1963)</f>
        <v/>
      </c>
      <c r="O1963" t="str">
        <f t="shared" si="154"/>
        <v/>
      </c>
      <c r="P1963" t="str">
        <f>IF($N1963="","",LEFT($Q1963,4)&amp;MID($Q1963,6,2)&amp;RIGHT($Q1963,2)&amp;IF(Sync!$K1963="","0000",IF(AND(ISNUMBER(Sync!$K1963),Sync!$K1963&gt;=0,Sync!$K1963&lt;1),RIGHT("00"&amp;HOUR(Sync!$K1963),2)&amp;RIGHT("00"&amp;MINUTE(Sync!$K1963),2),IFERROR(RIGHT("00"&amp;VALUE(LEFT(Sync!$K1963,FIND(":",Sync!$K1963)-1)),2)&amp;RIGHT("00"&amp;VALUE(MID(Sync!$K1963,FIND(":",Sync!$K1963)+1,2)),2),"0000")))&amp;"|"&amp;"2"&amp;RIGHT("00000"&amp;1958,5))</f>
        <v/>
      </c>
      <c r="Q1963" t="str">
        <f>IF(Sync!$J1963="","",IF(ISNUMBER(Sync!$J1963),IF(AND(Sync!$J1963&gt;=10000101,Sync!$J1963&lt;=99991231),INT(Sync!$J1963/10000)&amp;"/"&amp;RIGHT("00"&amp;INT(MOD(Sync!$J1963,10000)/100),2)&amp;"/"&amp;RIGHT("00"&amp;MOD(Sync!$J1963,100),2),"نامعتبر"),IF(LEN(Sync!$J1963)=10,Sync!$J1963,"نامعتبر")))</f>
        <v/>
      </c>
      <c r="R1963" t="str">
        <f t="shared" si="155"/>
        <v/>
      </c>
      <c r="S1963" t="str">
        <f t="shared" si="156"/>
        <v/>
      </c>
      <c r="T1963" t="str">
        <f>IF($N1963="","",IF(Sync!$N1963="",0,Sync!$N1963))</f>
        <v/>
      </c>
      <c r="U1963" t="str">
        <f>IF($N1963="","",IF(Sync!$O1963="",0,Sync!$O1963))</f>
        <v/>
      </c>
      <c r="V1963" t="str">
        <f>IF($N1963="","",Sync!$L1963)</f>
        <v/>
      </c>
      <c r="W1963" t="str">
        <f>IF($N1963="","",Sync!$P1963)</f>
        <v/>
      </c>
    </row>
    <row r="1964" spans="14:23" x14ac:dyDescent="0.2">
      <c r="N1964" t="str">
        <f>IF(OR(Sync!$M1964="",$Q1964="",$Q1964="نامعتبر"),"",Sync!$M1964)</f>
        <v/>
      </c>
      <c r="O1964" t="str">
        <f t="shared" si="154"/>
        <v/>
      </c>
      <c r="P1964" t="str">
        <f>IF($N1964="","",LEFT($Q1964,4)&amp;MID($Q1964,6,2)&amp;RIGHT($Q1964,2)&amp;IF(Sync!$K1964="","0000",IF(AND(ISNUMBER(Sync!$K1964),Sync!$K1964&gt;=0,Sync!$K1964&lt;1),RIGHT("00"&amp;HOUR(Sync!$K1964),2)&amp;RIGHT("00"&amp;MINUTE(Sync!$K1964),2),IFERROR(RIGHT("00"&amp;VALUE(LEFT(Sync!$K1964,FIND(":",Sync!$K1964)-1)),2)&amp;RIGHT("00"&amp;VALUE(MID(Sync!$K1964,FIND(":",Sync!$K1964)+1,2)),2),"0000")))&amp;"|"&amp;"2"&amp;RIGHT("00000"&amp;1959,5))</f>
        <v/>
      </c>
      <c r="Q1964" t="str">
        <f>IF(Sync!$J1964="","",IF(ISNUMBER(Sync!$J1964),IF(AND(Sync!$J1964&gt;=10000101,Sync!$J1964&lt;=99991231),INT(Sync!$J1964/10000)&amp;"/"&amp;RIGHT("00"&amp;INT(MOD(Sync!$J1964,10000)/100),2)&amp;"/"&amp;RIGHT("00"&amp;MOD(Sync!$J1964,100),2),"نامعتبر"),IF(LEN(Sync!$J1964)=10,Sync!$J1964,"نامعتبر")))</f>
        <v/>
      </c>
      <c r="R1964" t="str">
        <f t="shared" si="155"/>
        <v/>
      </c>
      <c r="S1964" t="str">
        <f t="shared" si="156"/>
        <v/>
      </c>
      <c r="T1964" t="str">
        <f>IF($N1964="","",IF(Sync!$N1964="",0,Sync!$N1964))</f>
        <v/>
      </c>
      <c r="U1964" t="str">
        <f>IF($N1964="","",IF(Sync!$O1964="",0,Sync!$O1964))</f>
        <v/>
      </c>
      <c r="V1964" t="str">
        <f>IF($N1964="","",Sync!$L1964)</f>
        <v/>
      </c>
      <c r="W1964" t="str">
        <f>IF($N1964="","",Sync!$P1964)</f>
        <v/>
      </c>
    </row>
    <row r="1965" spans="14:23" x14ac:dyDescent="0.2">
      <c r="N1965" t="str">
        <f>IF(OR(Sync!$M1965="",$Q1965="",$Q1965="نامعتبر"),"",Sync!$M1965)</f>
        <v/>
      </c>
      <c r="O1965" t="str">
        <f t="shared" si="154"/>
        <v/>
      </c>
      <c r="P1965" t="str">
        <f>IF($N1965="","",LEFT($Q1965,4)&amp;MID($Q1965,6,2)&amp;RIGHT($Q1965,2)&amp;IF(Sync!$K1965="","0000",IF(AND(ISNUMBER(Sync!$K1965),Sync!$K1965&gt;=0,Sync!$K1965&lt;1),RIGHT("00"&amp;HOUR(Sync!$K1965),2)&amp;RIGHT("00"&amp;MINUTE(Sync!$K1965),2),IFERROR(RIGHT("00"&amp;VALUE(LEFT(Sync!$K1965,FIND(":",Sync!$K1965)-1)),2)&amp;RIGHT("00"&amp;VALUE(MID(Sync!$K1965,FIND(":",Sync!$K1965)+1,2)),2),"0000")))&amp;"|"&amp;"2"&amp;RIGHT("00000"&amp;1960,5))</f>
        <v/>
      </c>
      <c r="Q1965" t="str">
        <f>IF(Sync!$J1965="","",IF(ISNUMBER(Sync!$J1965),IF(AND(Sync!$J1965&gt;=10000101,Sync!$J1965&lt;=99991231),INT(Sync!$J1965/10000)&amp;"/"&amp;RIGHT("00"&amp;INT(MOD(Sync!$J1965,10000)/100),2)&amp;"/"&amp;RIGHT("00"&amp;MOD(Sync!$J1965,100),2),"نامعتبر"),IF(LEN(Sync!$J1965)=10,Sync!$J1965,"نامعتبر")))</f>
        <v/>
      </c>
      <c r="R1965" t="str">
        <f t="shared" si="155"/>
        <v/>
      </c>
      <c r="S1965" t="str">
        <f t="shared" si="156"/>
        <v/>
      </c>
      <c r="T1965" t="str">
        <f>IF($N1965="","",IF(Sync!$N1965="",0,Sync!$N1965))</f>
        <v/>
      </c>
      <c r="U1965" t="str">
        <f>IF($N1965="","",IF(Sync!$O1965="",0,Sync!$O1965))</f>
        <v/>
      </c>
      <c r="V1965" t="str">
        <f>IF($N1965="","",Sync!$L1965)</f>
        <v/>
      </c>
      <c r="W1965" t="str">
        <f>IF($N1965="","",Sync!$P1965)</f>
        <v/>
      </c>
    </row>
    <row r="1966" spans="14:23" x14ac:dyDescent="0.2">
      <c r="N1966" t="str">
        <f>IF(OR(Sync!$M1966="",$Q1966="",$Q1966="نامعتبر"),"",Sync!$M1966)</f>
        <v/>
      </c>
      <c r="O1966" t="str">
        <f t="shared" si="154"/>
        <v/>
      </c>
      <c r="P1966" t="str">
        <f>IF($N1966="","",LEFT($Q1966,4)&amp;MID($Q1966,6,2)&amp;RIGHT($Q1966,2)&amp;IF(Sync!$K1966="","0000",IF(AND(ISNUMBER(Sync!$K1966),Sync!$K1966&gt;=0,Sync!$K1966&lt;1),RIGHT("00"&amp;HOUR(Sync!$K1966),2)&amp;RIGHT("00"&amp;MINUTE(Sync!$K1966),2),IFERROR(RIGHT("00"&amp;VALUE(LEFT(Sync!$K1966,FIND(":",Sync!$K1966)-1)),2)&amp;RIGHT("00"&amp;VALUE(MID(Sync!$K1966,FIND(":",Sync!$K1966)+1,2)),2),"0000")))&amp;"|"&amp;"2"&amp;RIGHT("00000"&amp;1961,5))</f>
        <v/>
      </c>
      <c r="Q1966" t="str">
        <f>IF(Sync!$J1966="","",IF(ISNUMBER(Sync!$J1966),IF(AND(Sync!$J1966&gt;=10000101,Sync!$J1966&lt;=99991231),INT(Sync!$J1966/10000)&amp;"/"&amp;RIGHT("00"&amp;INT(MOD(Sync!$J1966,10000)/100),2)&amp;"/"&amp;RIGHT("00"&amp;MOD(Sync!$J1966,100),2),"نامعتبر"),IF(LEN(Sync!$J1966)=10,Sync!$J1966,"نامعتبر")))</f>
        <v/>
      </c>
      <c r="R1966" t="str">
        <f t="shared" si="155"/>
        <v/>
      </c>
      <c r="S1966" t="str">
        <f t="shared" si="156"/>
        <v/>
      </c>
      <c r="T1966" t="str">
        <f>IF($N1966="","",IF(Sync!$N1966="",0,Sync!$N1966))</f>
        <v/>
      </c>
      <c r="U1966" t="str">
        <f>IF($N1966="","",IF(Sync!$O1966="",0,Sync!$O1966))</f>
        <v/>
      </c>
      <c r="V1966" t="str">
        <f>IF($N1966="","",Sync!$L1966)</f>
        <v/>
      </c>
      <c r="W1966" t="str">
        <f>IF($N1966="","",Sync!$P1966)</f>
        <v/>
      </c>
    </row>
    <row r="1967" spans="14:23" x14ac:dyDescent="0.2">
      <c r="N1967" t="str">
        <f>IF(OR(Sync!$M1967="",$Q1967="",$Q1967="نامعتبر"),"",Sync!$M1967)</f>
        <v/>
      </c>
      <c r="O1967" t="str">
        <f t="shared" si="154"/>
        <v/>
      </c>
      <c r="P1967" t="str">
        <f>IF($N1967="","",LEFT($Q1967,4)&amp;MID($Q1967,6,2)&amp;RIGHT($Q1967,2)&amp;IF(Sync!$K1967="","0000",IF(AND(ISNUMBER(Sync!$K1967),Sync!$K1967&gt;=0,Sync!$K1967&lt;1),RIGHT("00"&amp;HOUR(Sync!$K1967),2)&amp;RIGHT("00"&amp;MINUTE(Sync!$K1967),2),IFERROR(RIGHT("00"&amp;VALUE(LEFT(Sync!$K1967,FIND(":",Sync!$K1967)-1)),2)&amp;RIGHT("00"&amp;VALUE(MID(Sync!$K1967,FIND(":",Sync!$K1967)+1,2)),2),"0000")))&amp;"|"&amp;"2"&amp;RIGHT("00000"&amp;1962,5))</f>
        <v/>
      </c>
      <c r="Q1967" t="str">
        <f>IF(Sync!$J1967="","",IF(ISNUMBER(Sync!$J1967),IF(AND(Sync!$J1967&gt;=10000101,Sync!$J1967&lt;=99991231),INT(Sync!$J1967/10000)&amp;"/"&amp;RIGHT("00"&amp;INT(MOD(Sync!$J1967,10000)/100),2)&amp;"/"&amp;RIGHT("00"&amp;MOD(Sync!$J1967,100),2),"نامعتبر"),IF(LEN(Sync!$J1967)=10,Sync!$J1967,"نامعتبر")))</f>
        <v/>
      </c>
      <c r="R1967" t="str">
        <f t="shared" si="155"/>
        <v/>
      </c>
      <c r="S1967" t="str">
        <f t="shared" si="156"/>
        <v/>
      </c>
      <c r="T1967" t="str">
        <f>IF($N1967="","",IF(Sync!$N1967="",0,Sync!$N1967))</f>
        <v/>
      </c>
      <c r="U1967" t="str">
        <f>IF($N1967="","",IF(Sync!$O1967="",0,Sync!$O1967))</f>
        <v/>
      </c>
      <c r="V1967" t="str">
        <f>IF($N1967="","",Sync!$L1967)</f>
        <v/>
      </c>
      <c r="W1967" t="str">
        <f>IF($N1967="","",Sync!$P1967)</f>
        <v/>
      </c>
    </row>
    <row r="1968" spans="14:23" x14ac:dyDescent="0.2">
      <c r="N1968" t="str">
        <f>IF(OR(Sync!$M1968="",$Q1968="",$Q1968="نامعتبر"),"",Sync!$M1968)</f>
        <v/>
      </c>
      <c r="O1968" t="str">
        <f t="shared" si="154"/>
        <v/>
      </c>
      <c r="P1968" t="str">
        <f>IF($N1968="","",LEFT($Q1968,4)&amp;MID($Q1968,6,2)&amp;RIGHT($Q1968,2)&amp;IF(Sync!$K1968="","0000",IF(AND(ISNUMBER(Sync!$K1968),Sync!$K1968&gt;=0,Sync!$K1968&lt;1),RIGHT("00"&amp;HOUR(Sync!$K1968),2)&amp;RIGHT("00"&amp;MINUTE(Sync!$K1968),2),IFERROR(RIGHT("00"&amp;VALUE(LEFT(Sync!$K1968,FIND(":",Sync!$K1968)-1)),2)&amp;RIGHT("00"&amp;VALUE(MID(Sync!$K1968,FIND(":",Sync!$K1968)+1,2)),2),"0000")))&amp;"|"&amp;"2"&amp;RIGHT("00000"&amp;1963,5))</f>
        <v/>
      </c>
      <c r="Q1968" t="str">
        <f>IF(Sync!$J1968="","",IF(ISNUMBER(Sync!$J1968),IF(AND(Sync!$J1968&gt;=10000101,Sync!$J1968&lt;=99991231),INT(Sync!$J1968/10000)&amp;"/"&amp;RIGHT("00"&amp;INT(MOD(Sync!$J1968,10000)/100),2)&amp;"/"&amp;RIGHT("00"&amp;MOD(Sync!$J1968,100),2),"نامعتبر"),IF(LEN(Sync!$J1968)=10,Sync!$J1968,"نامعتبر")))</f>
        <v/>
      </c>
      <c r="R1968" t="str">
        <f t="shared" si="155"/>
        <v/>
      </c>
      <c r="S1968" t="str">
        <f t="shared" si="156"/>
        <v/>
      </c>
      <c r="T1968" t="str">
        <f>IF($N1968="","",IF(Sync!$N1968="",0,Sync!$N1968))</f>
        <v/>
      </c>
      <c r="U1968" t="str">
        <f>IF($N1968="","",IF(Sync!$O1968="",0,Sync!$O1968))</f>
        <v/>
      </c>
      <c r="V1968" t="str">
        <f>IF($N1968="","",Sync!$L1968)</f>
        <v/>
      </c>
      <c r="W1968" t="str">
        <f>IF($N1968="","",Sync!$P1968)</f>
        <v/>
      </c>
    </row>
    <row r="1969" spans="14:23" x14ac:dyDescent="0.2">
      <c r="N1969" t="str">
        <f>IF(OR(Sync!$M1969="",$Q1969="",$Q1969="نامعتبر"),"",Sync!$M1969)</f>
        <v/>
      </c>
      <c r="O1969" t="str">
        <f t="shared" si="154"/>
        <v/>
      </c>
      <c r="P1969" t="str">
        <f>IF($N1969="","",LEFT($Q1969,4)&amp;MID($Q1969,6,2)&amp;RIGHT($Q1969,2)&amp;IF(Sync!$K1969="","0000",IF(AND(ISNUMBER(Sync!$K1969),Sync!$K1969&gt;=0,Sync!$K1969&lt;1),RIGHT("00"&amp;HOUR(Sync!$K1969),2)&amp;RIGHT("00"&amp;MINUTE(Sync!$K1969),2),IFERROR(RIGHT("00"&amp;VALUE(LEFT(Sync!$K1969,FIND(":",Sync!$K1969)-1)),2)&amp;RIGHT("00"&amp;VALUE(MID(Sync!$K1969,FIND(":",Sync!$K1969)+1,2)),2),"0000")))&amp;"|"&amp;"2"&amp;RIGHT("00000"&amp;1964,5))</f>
        <v/>
      </c>
      <c r="Q1969" t="str">
        <f>IF(Sync!$J1969="","",IF(ISNUMBER(Sync!$J1969),IF(AND(Sync!$J1969&gt;=10000101,Sync!$J1969&lt;=99991231),INT(Sync!$J1969/10000)&amp;"/"&amp;RIGHT("00"&amp;INT(MOD(Sync!$J1969,10000)/100),2)&amp;"/"&amp;RIGHT("00"&amp;MOD(Sync!$J1969,100),2),"نامعتبر"),IF(LEN(Sync!$J1969)=10,Sync!$J1969,"نامعتبر")))</f>
        <v/>
      </c>
      <c r="R1969" t="str">
        <f t="shared" si="155"/>
        <v/>
      </c>
      <c r="S1969" t="str">
        <f t="shared" si="156"/>
        <v/>
      </c>
      <c r="T1969" t="str">
        <f>IF($N1969="","",IF(Sync!$N1969="",0,Sync!$N1969))</f>
        <v/>
      </c>
      <c r="U1969" t="str">
        <f>IF($N1969="","",IF(Sync!$O1969="",0,Sync!$O1969))</f>
        <v/>
      </c>
      <c r="V1969" t="str">
        <f>IF($N1969="","",Sync!$L1969)</f>
        <v/>
      </c>
      <c r="W1969" t="str">
        <f>IF($N1969="","",Sync!$P1969)</f>
        <v/>
      </c>
    </row>
    <row r="1970" spans="14:23" x14ac:dyDescent="0.2">
      <c r="N1970" t="str">
        <f>IF(OR(Sync!$M1970="",$Q1970="",$Q1970="نامعتبر"),"",Sync!$M1970)</f>
        <v/>
      </c>
      <c r="O1970" t="str">
        <f t="shared" si="154"/>
        <v/>
      </c>
      <c r="P1970" t="str">
        <f>IF($N1970="","",LEFT($Q1970,4)&amp;MID($Q1970,6,2)&amp;RIGHT($Q1970,2)&amp;IF(Sync!$K1970="","0000",IF(AND(ISNUMBER(Sync!$K1970),Sync!$K1970&gt;=0,Sync!$K1970&lt;1),RIGHT("00"&amp;HOUR(Sync!$K1970),2)&amp;RIGHT("00"&amp;MINUTE(Sync!$K1970),2),IFERROR(RIGHT("00"&amp;VALUE(LEFT(Sync!$K1970,FIND(":",Sync!$K1970)-1)),2)&amp;RIGHT("00"&amp;VALUE(MID(Sync!$K1970,FIND(":",Sync!$K1970)+1,2)),2),"0000")))&amp;"|"&amp;"2"&amp;RIGHT("00000"&amp;1965,5))</f>
        <v/>
      </c>
      <c r="Q1970" t="str">
        <f>IF(Sync!$J1970="","",IF(ISNUMBER(Sync!$J1970),IF(AND(Sync!$J1970&gt;=10000101,Sync!$J1970&lt;=99991231),INT(Sync!$J1970/10000)&amp;"/"&amp;RIGHT("00"&amp;INT(MOD(Sync!$J1970,10000)/100),2)&amp;"/"&amp;RIGHT("00"&amp;MOD(Sync!$J1970,100),2),"نامعتبر"),IF(LEN(Sync!$J1970)=10,Sync!$J1970,"نامعتبر")))</f>
        <v/>
      </c>
      <c r="R1970" t="str">
        <f t="shared" si="155"/>
        <v/>
      </c>
      <c r="S1970" t="str">
        <f t="shared" si="156"/>
        <v/>
      </c>
      <c r="T1970" t="str">
        <f>IF($N1970="","",IF(Sync!$N1970="",0,Sync!$N1970))</f>
        <v/>
      </c>
      <c r="U1970" t="str">
        <f>IF($N1970="","",IF(Sync!$O1970="",0,Sync!$O1970))</f>
        <v/>
      </c>
      <c r="V1970" t="str">
        <f>IF($N1970="","",Sync!$L1970)</f>
        <v/>
      </c>
      <c r="W1970" t="str">
        <f>IF($N1970="","",Sync!$P1970)</f>
        <v/>
      </c>
    </row>
    <row r="1971" spans="14:23" x14ac:dyDescent="0.2">
      <c r="N1971" t="str">
        <f>IF(OR(Sync!$M1971="",$Q1971="",$Q1971="نامعتبر"),"",Sync!$M1971)</f>
        <v/>
      </c>
      <c r="O1971" t="str">
        <f t="shared" si="154"/>
        <v/>
      </c>
      <c r="P1971" t="str">
        <f>IF($N1971="","",LEFT($Q1971,4)&amp;MID($Q1971,6,2)&amp;RIGHT($Q1971,2)&amp;IF(Sync!$K1971="","0000",IF(AND(ISNUMBER(Sync!$K1971),Sync!$K1971&gt;=0,Sync!$K1971&lt;1),RIGHT("00"&amp;HOUR(Sync!$K1971),2)&amp;RIGHT("00"&amp;MINUTE(Sync!$K1971),2),IFERROR(RIGHT("00"&amp;VALUE(LEFT(Sync!$K1971,FIND(":",Sync!$K1971)-1)),2)&amp;RIGHT("00"&amp;VALUE(MID(Sync!$K1971,FIND(":",Sync!$K1971)+1,2)),2),"0000")))&amp;"|"&amp;"2"&amp;RIGHT("00000"&amp;1966,5))</f>
        <v/>
      </c>
      <c r="Q1971" t="str">
        <f>IF(Sync!$J1971="","",IF(ISNUMBER(Sync!$J1971),IF(AND(Sync!$J1971&gt;=10000101,Sync!$J1971&lt;=99991231),INT(Sync!$J1971/10000)&amp;"/"&amp;RIGHT("00"&amp;INT(MOD(Sync!$J1971,10000)/100),2)&amp;"/"&amp;RIGHT("00"&amp;MOD(Sync!$J1971,100),2),"نامعتبر"),IF(LEN(Sync!$J1971)=10,Sync!$J1971,"نامعتبر")))</f>
        <v/>
      </c>
      <c r="R1971" t="str">
        <f t="shared" si="155"/>
        <v/>
      </c>
      <c r="S1971" t="str">
        <f t="shared" si="156"/>
        <v/>
      </c>
      <c r="T1971" t="str">
        <f>IF($N1971="","",IF(Sync!$N1971="",0,Sync!$N1971))</f>
        <v/>
      </c>
      <c r="U1971" t="str">
        <f>IF($N1971="","",IF(Sync!$O1971="",0,Sync!$O1971))</f>
        <v/>
      </c>
      <c r="V1971" t="str">
        <f>IF($N1971="","",Sync!$L1971)</f>
        <v/>
      </c>
      <c r="W1971" t="str">
        <f>IF($N1971="","",Sync!$P1971)</f>
        <v/>
      </c>
    </row>
    <row r="1972" spans="14:23" x14ac:dyDescent="0.2">
      <c r="N1972" t="str">
        <f>IF(OR(Sync!$M1972="",$Q1972="",$Q1972="نامعتبر"),"",Sync!$M1972)</f>
        <v/>
      </c>
      <c r="O1972" t="str">
        <f t="shared" si="154"/>
        <v/>
      </c>
      <c r="P1972" t="str">
        <f>IF($N1972="","",LEFT($Q1972,4)&amp;MID($Q1972,6,2)&amp;RIGHT($Q1972,2)&amp;IF(Sync!$K1972="","0000",IF(AND(ISNUMBER(Sync!$K1972),Sync!$K1972&gt;=0,Sync!$K1972&lt;1),RIGHT("00"&amp;HOUR(Sync!$K1972),2)&amp;RIGHT("00"&amp;MINUTE(Sync!$K1972),2),IFERROR(RIGHT("00"&amp;VALUE(LEFT(Sync!$K1972,FIND(":",Sync!$K1972)-1)),2)&amp;RIGHT("00"&amp;VALUE(MID(Sync!$K1972,FIND(":",Sync!$K1972)+1,2)),2),"0000")))&amp;"|"&amp;"2"&amp;RIGHT("00000"&amp;1967,5))</f>
        <v/>
      </c>
      <c r="Q1972" t="str">
        <f>IF(Sync!$J1972="","",IF(ISNUMBER(Sync!$J1972),IF(AND(Sync!$J1972&gt;=10000101,Sync!$J1972&lt;=99991231),INT(Sync!$J1972/10000)&amp;"/"&amp;RIGHT("00"&amp;INT(MOD(Sync!$J1972,10000)/100),2)&amp;"/"&amp;RIGHT("00"&amp;MOD(Sync!$J1972,100),2),"نامعتبر"),IF(LEN(Sync!$J1972)=10,Sync!$J1972,"نامعتبر")))</f>
        <v/>
      </c>
      <c r="R1972" t="str">
        <f t="shared" si="155"/>
        <v/>
      </c>
      <c r="S1972" t="str">
        <f t="shared" si="156"/>
        <v/>
      </c>
      <c r="T1972" t="str">
        <f>IF($N1972="","",IF(Sync!$N1972="",0,Sync!$N1972))</f>
        <v/>
      </c>
      <c r="U1972" t="str">
        <f>IF($N1972="","",IF(Sync!$O1972="",0,Sync!$O1972))</f>
        <v/>
      </c>
      <c r="V1972" t="str">
        <f>IF($N1972="","",Sync!$L1972)</f>
        <v/>
      </c>
      <c r="W1972" t="str">
        <f>IF($N1972="","",Sync!$P1972)</f>
        <v/>
      </c>
    </row>
    <row r="1973" spans="14:23" x14ac:dyDescent="0.2">
      <c r="N1973" t="str">
        <f>IF(OR(Sync!$M1973="",$Q1973="",$Q1973="نامعتبر"),"",Sync!$M1973)</f>
        <v/>
      </c>
      <c r="O1973" t="str">
        <f t="shared" si="154"/>
        <v/>
      </c>
      <c r="P1973" t="str">
        <f>IF($N1973="","",LEFT($Q1973,4)&amp;MID($Q1973,6,2)&amp;RIGHT($Q1973,2)&amp;IF(Sync!$K1973="","0000",IF(AND(ISNUMBER(Sync!$K1973),Sync!$K1973&gt;=0,Sync!$K1973&lt;1),RIGHT("00"&amp;HOUR(Sync!$K1973),2)&amp;RIGHT("00"&amp;MINUTE(Sync!$K1973),2),IFERROR(RIGHT("00"&amp;VALUE(LEFT(Sync!$K1973,FIND(":",Sync!$K1973)-1)),2)&amp;RIGHT("00"&amp;VALUE(MID(Sync!$K1973,FIND(":",Sync!$K1973)+1,2)),2),"0000")))&amp;"|"&amp;"2"&amp;RIGHT("00000"&amp;1968,5))</f>
        <v/>
      </c>
      <c r="Q1973" t="str">
        <f>IF(Sync!$J1973="","",IF(ISNUMBER(Sync!$J1973),IF(AND(Sync!$J1973&gt;=10000101,Sync!$J1973&lt;=99991231),INT(Sync!$J1973/10000)&amp;"/"&amp;RIGHT("00"&amp;INT(MOD(Sync!$J1973,10000)/100),2)&amp;"/"&amp;RIGHT("00"&amp;MOD(Sync!$J1973,100),2),"نامعتبر"),IF(LEN(Sync!$J1973)=10,Sync!$J1973,"نامعتبر")))</f>
        <v/>
      </c>
      <c r="R1973" t="str">
        <f t="shared" si="155"/>
        <v/>
      </c>
      <c r="S1973" t="str">
        <f t="shared" si="156"/>
        <v/>
      </c>
      <c r="T1973" t="str">
        <f>IF($N1973="","",IF(Sync!$N1973="",0,Sync!$N1973))</f>
        <v/>
      </c>
      <c r="U1973" t="str">
        <f>IF($N1973="","",IF(Sync!$O1973="",0,Sync!$O1973))</f>
        <v/>
      </c>
      <c r="V1973" t="str">
        <f>IF($N1973="","",Sync!$L1973)</f>
        <v/>
      </c>
      <c r="W1973" t="str">
        <f>IF($N1973="","",Sync!$P1973)</f>
        <v/>
      </c>
    </row>
    <row r="1974" spans="14:23" x14ac:dyDescent="0.2">
      <c r="N1974" t="str">
        <f>IF(OR(Sync!$M1974="",$Q1974="",$Q1974="نامعتبر"),"",Sync!$M1974)</f>
        <v/>
      </c>
      <c r="O1974" t="str">
        <f t="shared" si="154"/>
        <v/>
      </c>
      <c r="P1974" t="str">
        <f>IF($N1974="","",LEFT($Q1974,4)&amp;MID($Q1974,6,2)&amp;RIGHT($Q1974,2)&amp;IF(Sync!$K1974="","0000",IF(AND(ISNUMBER(Sync!$K1974),Sync!$K1974&gt;=0,Sync!$K1974&lt;1),RIGHT("00"&amp;HOUR(Sync!$K1974),2)&amp;RIGHT("00"&amp;MINUTE(Sync!$K1974),2),IFERROR(RIGHT("00"&amp;VALUE(LEFT(Sync!$K1974,FIND(":",Sync!$K1974)-1)),2)&amp;RIGHT("00"&amp;VALUE(MID(Sync!$K1974,FIND(":",Sync!$K1974)+1,2)),2),"0000")))&amp;"|"&amp;"2"&amp;RIGHT("00000"&amp;1969,5))</f>
        <v/>
      </c>
      <c r="Q1974" t="str">
        <f>IF(Sync!$J1974="","",IF(ISNUMBER(Sync!$J1974),IF(AND(Sync!$J1974&gt;=10000101,Sync!$J1974&lt;=99991231),INT(Sync!$J1974/10000)&amp;"/"&amp;RIGHT("00"&amp;INT(MOD(Sync!$J1974,10000)/100),2)&amp;"/"&amp;RIGHT("00"&amp;MOD(Sync!$J1974,100),2),"نامعتبر"),IF(LEN(Sync!$J1974)=10,Sync!$J1974,"نامعتبر")))</f>
        <v/>
      </c>
      <c r="R1974" t="str">
        <f t="shared" si="155"/>
        <v/>
      </c>
      <c r="S1974" t="str">
        <f t="shared" si="156"/>
        <v/>
      </c>
      <c r="T1974" t="str">
        <f>IF($N1974="","",IF(Sync!$N1974="",0,Sync!$N1974))</f>
        <v/>
      </c>
      <c r="U1974" t="str">
        <f>IF($N1974="","",IF(Sync!$O1974="",0,Sync!$O1974))</f>
        <v/>
      </c>
      <c r="V1974" t="str">
        <f>IF($N1974="","",Sync!$L1974)</f>
        <v/>
      </c>
      <c r="W1974" t="str">
        <f>IF($N1974="","",Sync!$P1974)</f>
        <v/>
      </c>
    </row>
    <row r="1975" spans="14:23" x14ac:dyDescent="0.2">
      <c r="N1975" t="str">
        <f>IF(OR(Sync!$M1975="",$Q1975="",$Q1975="نامعتبر"),"",Sync!$M1975)</f>
        <v/>
      </c>
      <c r="O1975" t="str">
        <f t="shared" si="154"/>
        <v/>
      </c>
      <c r="P1975" t="str">
        <f>IF($N1975="","",LEFT($Q1975,4)&amp;MID($Q1975,6,2)&amp;RIGHT($Q1975,2)&amp;IF(Sync!$K1975="","0000",IF(AND(ISNUMBER(Sync!$K1975),Sync!$K1975&gt;=0,Sync!$K1975&lt;1),RIGHT("00"&amp;HOUR(Sync!$K1975),2)&amp;RIGHT("00"&amp;MINUTE(Sync!$K1975),2),IFERROR(RIGHT("00"&amp;VALUE(LEFT(Sync!$K1975,FIND(":",Sync!$K1975)-1)),2)&amp;RIGHT("00"&amp;VALUE(MID(Sync!$K1975,FIND(":",Sync!$K1975)+1,2)),2),"0000")))&amp;"|"&amp;"2"&amp;RIGHT("00000"&amp;1970,5))</f>
        <v/>
      </c>
      <c r="Q1975" t="str">
        <f>IF(Sync!$J1975="","",IF(ISNUMBER(Sync!$J1975),IF(AND(Sync!$J1975&gt;=10000101,Sync!$J1975&lt;=99991231),INT(Sync!$J1975/10000)&amp;"/"&amp;RIGHT("00"&amp;INT(MOD(Sync!$J1975,10000)/100),2)&amp;"/"&amp;RIGHT("00"&amp;MOD(Sync!$J1975,100),2),"نامعتبر"),IF(LEN(Sync!$J1975)=10,Sync!$J1975,"نامعتبر")))</f>
        <v/>
      </c>
      <c r="R1975" t="str">
        <f t="shared" si="155"/>
        <v/>
      </c>
      <c r="S1975" t="str">
        <f t="shared" si="156"/>
        <v/>
      </c>
      <c r="T1975" t="str">
        <f>IF($N1975="","",IF(Sync!$N1975="",0,Sync!$N1975))</f>
        <v/>
      </c>
      <c r="U1975" t="str">
        <f>IF($N1975="","",IF(Sync!$O1975="",0,Sync!$O1975))</f>
        <v/>
      </c>
      <c r="V1975" t="str">
        <f>IF($N1975="","",Sync!$L1975)</f>
        <v/>
      </c>
      <c r="W1975" t="str">
        <f>IF($N1975="","",Sync!$P1975)</f>
        <v/>
      </c>
    </row>
    <row r="1976" spans="14:23" x14ac:dyDescent="0.2">
      <c r="N1976" t="str">
        <f>IF(OR(Sync!$M1976="",$Q1976="",$Q1976="نامعتبر"),"",Sync!$M1976)</f>
        <v/>
      </c>
      <c r="O1976" t="str">
        <f t="shared" si="154"/>
        <v/>
      </c>
      <c r="P1976" t="str">
        <f>IF($N1976="","",LEFT($Q1976,4)&amp;MID($Q1976,6,2)&amp;RIGHT($Q1976,2)&amp;IF(Sync!$K1976="","0000",IF(AND(ISNUMBER(Sync!$K1976),Sync!$K1976&gt;=0,Sync!$K1976&lt;1),RIGHT("00"&amp;HOUR(Sync!$K1976),2)&amp;RIGHT("00"&amp;MINUTE(Sync!$K1976),2),IFERROR(RIGHT("00"&amp;VALUE(LEFT(Sync!$K1976,FIND(":",Sync!$K1976)-1)),2)&amp;RIGHT("00"&amp;VALUE(MID(Sync!$K1976,FIND(":",Sync!$K1976)+1,2)),2),"0000")))&amp;"|"&amp;"2"&amp;RIGHT("00000"&amp;1971,5))</f>
        <v/>
      </c>
      <c r="Q1976" t="str">
        <f>IF(Sync!$J1976="","",IF(ISNUMBER(Sync!$J1976),IF(AND(Sync!$J1976&gt;=10000101,Sync!$J1976&lt;=99991231),INT(Sync!$J1976/10000)&amp;"/"&amp;RIGHT("00"&amp;INT(MOD(Sync!$J1976,10000)/100),2)&amp;"/"&amp;RIGHT("00"&amp;MOD(Sync!$J1976,100),2),"نامعتبر"),IF(LEN(Sync!$J1976)=10,Sync!$J1976,"نامعتبر")))</f>
        <v/>
      </c>
      <c r="R1976" t="str">
        <f t="shared" si="155"/>
        <v/>
      </c>
      <c r="S1976" t="str">
        <f t="shared" si="156"/>
        <v/>
      </c>
      <c r="T1976" t="str">
        <f>IF($N1976="","",IF(Sync!$N1976="",0,Sync!$N1976))</f>
        <v/>
      </c>
      <c r="U1976" t="str">
        <f>IF($N1976="","",IF(Sync!$O1976="",0,Sync!$O1976))</f>
        <v/>
      </c>
      <c r="V1976" t="str">
        <f>IF($N1976="","",Sync!$L1976)</f>
        <v/>
      </c>
      <c r="W1976" t="str">
        <f>IF($N1976="","",Sync!$P1976)</f>
        <v/>
      </c>
    </row>
    <row r="1977" spans="14:23" x14ac:dyDescent="0.2">
      <c r="N1977" t="str">
        <f>IF(OR(Sync!$M1977="",$Q1977="",$Q1977="نامعتبر"),"",Sync!$M1977)</f>
        <v/>
      </c>
      <c r="O1977" t="str">
        <f t="shared" si="154"/>
        <v/>
      </c>
      <c r="P1977" t="str">
        <f>IF($N1977="","",LEFT($Q1977,4)&amp;MID($Q1977,6,2)&amp;RIGHT($Q1977,2)&amp;IF(Sync!$K1977="","0000",IF(AND(ISNUMBER(Sync!$K1977),Sync!$K1977&gt;=0,Sync!$K1977&lt;1),RIGHT("00"&amp;HOUR(Sync!$K1977),2)&amp;RIGHT("00"&amp;MINUTE(Sync!$K1977),2),IFERROR(RIGHT("00"&amp;VALUE(LEFT(Sync!$K1977,FIND(":",Sync!$K1977)-1)),2)&amp;RIGHT("00"&amp;VALUE(MID(Sync!$K1977,FIND(":",Sync!$K1977)+1,2)),2),"0000")))&amp;"|"&amp;"2"&amp;RIGHT("00000"&amp;1972,5))</f>
        <v/>
      </c>
      <c r="Q1977" t="str">
        <f>IF(Sync!$J1977="","",IF(ISNUMBER(Sync!$J1977),IF(AND(Sync!$J1977&gt;=10000101,Sync!$J1977&lt;=99991231),INT(Sync!$J1977/10000)&amp;"/"&amp;RIGHT("00"&amp;INT(MOD(Sync!$J1977,10000)/100),2)&amp;"/"&amp;RIGHT("00"&amp;MOD(Sync!$J1977,100),2),"نامعتبر"),IF(LEN(Sync!$J1977)=10,Sync!$J1977,"نامعتبر")))</f>
        <v/>
      </c>
      <c r="R1977" t="str">
        <f t="shared" si="155"/>
        <v/>
      </c>
      <c r="S1977" t="str">
        <f t="shared" si="156"/>
        <v/>
      </c>
      <c r="T1977" t="str">
        <f>IF($N1977="","",IF(Sync!$N1977="",0,Sync!$N1977))</f>
        <v/>
      </c>
      <c r="U1977" t="str">
        <f>IF($N1977="","",IF(Sync!$O1977="",0,Sync!$O1977))</f>
        <v/>
      </c>
      <c r="V1977" t="str">
        <f>IF($N1977="","",Sync!$L1977)</f>
        <v/>
      </c>
      <c r="W1977" t="str">
        <f>IF($N1977="","",Sync!$P1977)</f>
        <v/>
      </c>
    </row>
    <row r="1978" spans="14:23" x14ac:dyDescent="0.2">
      <c r="N1978" t="str">
        <f>IF(OR(Sync!$M1978="",$Q1978="",$Q1978="نامعتبر"),"",Sync!$M1978)</f>
        <v/>
      </c>
      <c r="O1978" t="str">
        <f t="shared" si="154"/>
        <v/>
      </c>
      <c r="P1978" t="str">
        <f>IF($N1978="","",LEFT($Q1978,4)&amp;MID($Q1978,6,2)&amp;RIGHT($Q1978,2)&amp;IF(Sync!$K1978="","0000",IF(AND(ISNUMBER(Sync!$K1978),Sync!$K1978&gt;=0,Sync!$K1978&lt;1),RIGHT("00"&amp;HOUR(Sync!$K1978),2)&amp;RIGHT("00"&amp;MINUTE(Sync!$K1978),2),IFERROR(RIGHT("00"&amp;VALUE(LEFT(Sync!$K1978,FIND(":",Sync!$K1978)-1)),2)&amp;RIGHT("00"&amp;VALUE(MID(Sync!$K1978,FIND(":",Sync!$K1978)+1,2)),2),"0000")))&amp;"|"&amp;"2"&amp;RIGHT("00000"&amp;1973,5))</f>
        <v/>
      </c>
      <c r="Q1978" t="str">
        <f>IF(Sync!$J1978="","",IF(ISNUMBER(Sync!$J1978),IF(AND(Sync!$J1978&gt;=10000101,Sync!$J1978&lt;=99991231),INT(Sync!$J1978/10000)&amp;"/"&amp;RIGHT("00"&amp;INT(MOD(Sync!$J1978,10000)/100),2)&amp;"/"&amp;RIGHT("00"&amp;MOD(Sync!$J1978,100),2),"نامعتبر"),IF(LEN(Sync!$J1978)=10,Sync!$J1978,"نامعتبر")))</f>
        <v/>
      </c>
      <c r="R1978" t="str">
        <f t="shared" si="155"/>
        <v/>
      </c>
      <c r="S1978" t="str">
        <f t="shared" si="156"/>
        <v/>
      </c>
      <c r="T1978" t="str">
        <f>IF($N1978="","",IF(Sync!$N1978="",0,Sync!$N1978))</f>
        <v/>
      </c>
      <c r="U1978" t="str">
        <f>IF($N1978="","",IF(Sync!$O1978="",0,Sync!$O1978))</f>
        <v/>
      </c>
      <c r="V1978" t="str">
        <f>IF($N1978="","",Sync!$L1978)</f>
        <v/>
      </c>
      <c r="W1978" t="str">
        <f>IF($N1978="","",Sync!$P1978)</f>
        <v/>
      </c>
    </row>
    <row r="1979" spans="14:23" x14ac:dyDescent="0.2">
      <c r="N1979" t="str">
        <f>IF(OR(Sync!$M1979="",$Q1979="",$Q1979="نامعتبر"),"",Sync!$M1979)</f>
        <v/>
      </c>
      <c r="O1979" t="str">
        <f t="shared" si="154"/>
        <v/>
      </c>
      <c r="P1979" t="str">
        <f>IF($N1979="","",LEFT($Q1979,4)&amp;MID($Q1979,6,2)&amp;RIGHT($Q1979,2)&amp;IF(Sync!$K1979="","0000",IF(AND(ISNUMBER(Sync!$K1979),Sync!$K1979&gt;=0,Sync!$K1979&lt;1),RIGHT("00"&amp;HOUR(Sync!$K1979),2)&amp;RIGHT("00"&amp;MINUTE(Sync!$K1979),2),IFERROR(RIGHT("00"&amp;VALUE(LEFT(Sync!$K1979,FIND(":",Sync!$K1979)-1)),2)&amp;RIGHT("00"&amp;VALUE(MID(Sync!$K1979,FIND(":",Sync!$K1979)+1,2)),2),"0000")))&amp;"|"&amp;"2"&amp;RIGHT("00000"&amp;1974,5))</f>
        <v/>
      </c>
      <c r="Q1979" t="str">
        <f>IF(Sync!$J1979="","",IF(ISNUMBER(Sync!$J1979),IF(AND(Sync!$J1979&gt;=10000101,Sync!$J1979&lt;=99991231),INT(Sync!$J1979/10000)&amp;"/"&amp;RIGHT("00"&amp;INT(MOD(Sync!$J1979,10000)/100),2)&amp;"/"&amp;RIGHT("00"&amp;MOD(Sync!$J1979,100),2),"نامعتبر"),IF(LEN(Sync!$J1979)=10,Sync!$J1979,"نامعتبر")))</f>
        <v/>
      </c>
      <c r="R1979" t="str">
        <f t="shared" si="155"/>
        <v/>
      </c>
      <c r="S1979" t="str">
        <f t="shared" si="156"/>
        <v/>
      </c>
      <c r="T1979" t="str">
        <f>IF($N1979="","",IF(Sync!$N1979="",0,Sync!$N1979))</f>
        <v/>
      </c>
      <c r="U1979" t="str">
        <f>IF($N1979="","",IF(Sync!$O1979="",0,Sync!$O1979))</f>
        <v/>
      </c>
      <c r="V1979" t="str">
        <f>IF($N1979="","",Sync!$L1979)</f>
        <v/>
      </c>
      <c r="W1979" t="str">
        <f>IF($N1979="","",Sync!$P1979)</f>
        <v/>
      </c>
    </row>
    <row r="1980" spans="14:23" x14ac:dyDescent="0.2">
      <c r="N1980" t="str">
        <f>IF(OR(Sync!$M1980="",$Q1980="",$Q1980="نامعتبر"),"",Sync!$M1980)</f>
        <v/>
      </c>
      <c r="O1980" t="str">
        <f t="shared" si="154"/>
        <v/>
      </c>
      <c r="P1980" t="str">
        <f>IF($N1980="","",LEFT($Q1980,4)&amp;MID($Q1980,6,2)&amp;RIGHT($Q1980,2)&amp;IF(Sync!$K1980="","0000",IF(AND(ISNUMBER(Sync!$K1980),Sync!$K1980&gt;=0,Sync!$K1980&lt;1),RIGHT("00"&amp;HOUR(Sync!$K1980),2)&amp;RIGHT("00"&amp;MINUTE(Sync!$K1980),2),IFERROR(RIGHT("00"&amp;VALUE(LEFT(Sync!$K1980,FIND(":",Sync!$K1980)-1)),2)&amp;RIGHT("00"&amp;VALUE(MID(Sync!$K1980,FIND(":",Sync!$K1980)+1,2)),2),"0000")))&amp;"|"&amp;"2"&amp;RIGHT("00000"&amp;1975,5))</f>
        <v/>
      </c>
      <c r="Q1980" t="str">
        <f>IF(Sync!$J1980="","",IF(ISNUMBER(Sync!$J1980),IF(AND(Sync!$J1980&gt;=10000101,Sync!$J1980&lt;=99991231),INT(Sync!$J1980/10000)&amp;"/"&amp;RIGHT("00"&amp;INT(MOD(Sync!$J1980,10000)/100),2)&amp;"/"&amp;RIGHT("00"&amp;MOD(Sync!$J1980,100),2),"نامعتبر"),IF(LEN(Sync!$J1980)=10,Sync!$J1980,"نامعتبر")))</f>
        <v/>
      </c>
      <c r="R1980" t="str">
        <f t="shared" si="155"/>
        <v/>
      </c>
      <c r="S1980" t="str">
        <f t="shared" si="156"/>
        <v/>
      </c>
      <c r="T1980" t="str">
        <f>IF($N1980="","",IF(Sync!$N1980="",0,Sync!$N1980))</f>
        <v/>
      </c>
      <c r="U1980" t="str">
        <f>IF($N1980="","",IF(Sync!$O1980="",0,Sync!$O1980))</f>
        <v/>
      </c>
      <c r="V1980" t="str">
        <f>IF($N1980="","",Sync!$L1980)</f>
        <v/>
      </c>
      <c r="W1980" t="str">
        <f>IF($N1980="","",Sync!$P1980)</f>
        <v/>
      </c>
    </row>
    <row r="1981" spans="14:23" x14ac:dyDescent="0.2">
      <c r="N1981" t="str">
        <f>IF(OR(Sync!$M1981="",$Q1981="",$Q1981="نامعتبر"),"",Sync!$M1981)</f>
        <v/>
      </c>
      <c r="O1981" t="str">
        <f t="shared" si="154"/>
        <v/>
      </c>
      <c r="P1981" t="str">
        <f>IF($N1981="","",LEFT($Q1981,4)&amp;MID($Q1981,6,2)&amp;RIGHT($Q1981,2)&amp;IF(Sync!$K1981="","0000",IF(AND(ISNUMBER(Sync!$K1981),Sync!$K1981&gt;=0,Sync!$K1981&lt;1),RIGHT("00"&amp;HOUR(Sync!$K1981),2)&amp;RIGHT("00"&amp;MINUTE(Sync!$K1981),2),IFERROR(RIGHT("00"&amp;VALUE(LEFT(Sync!$K1981,FIND(":",Sync!$K1981)-1)),2)&amp;RIGHT("00"&amp;VALUE(MID(Sync!$K1981,FIND(":",Sync!$K1981)+1,2)),2),"0000")))&amp;"|"&amp;"2"&amp;RIGHT("00000"&amp;1976,5))</f>
        <v/>
      </c>
      <c r="Q1981" t="str">
        <f>IF(Sync!$J1981="","",IF(ISNUMBER(Sync!$J1981),IF(AND(Sync!$J1981&gt;=10000101,Sync!$J1981&lt;=99991231),INT(Sync!$J1981/10000)&amp;"/"&amp;RIGHT("00"&amp;INT(MOD(Sync!$J1981,10000)/100),2)&amp;"/"&amp;RIGHT("00"&amp;MOD(Sync!$J1981,100),2),"نامعتبر"),IF(LEN(Sync!$J1981)=10,Sync!$J1981,"نامعتبر")))</f>
        <v/>
      </c>
      <c r="R1981" t="str">
        <f t="shared" si="155"/>
        <v/>
      </c>
      <c r="S1981" t="str">
        <f t="shared" si="156"/>
        <v/>
      </c>
      <c r="T1981" t="str">
        <f>IF($N1981="","",IF(Sync!$N1981="",0,Sync!$N1981))</f>
        <v/>
      </c>
      <c r="U1981" t="str">
        <f>IF($N1981="","",IF(Sync!$O1981="",0,Sync!$O1981))</f>
        <v/>
      </c>
      <c r="V1981" t="str">
        <f>IF($N1981="","",Sync!$L1981)</f>
        <v/>
      </c>
      <c r="W1981" t="str">
        <f>IF($N1981="","",Sync!$P1981)</f>
        <v/>
      </c>
    </row>
    <row r="1982" spans="14:23" x14ac:dyDescent="0.2">
      <c r="N1982" t="str">
        <f>IF(OR(Sync!$M1982="",$Q1982="",$Q1982="نامعتبر"),"",Sync!$M1982)</f>
        <v/>
      </c>
      <c r="O1982" t="str">
        <f t="shared" si="154"/>
        <v/>
      </c>
      <c r="P1982" t="str">
        <f>IF($N1982="","",LEFT($Q1982,4)&amp;MID($Q1982,6,2)&amp;RIGHT($Q1982,2)&amp;IF(Sync!$K1982="","0000",IF(AND(ISNUMBER(Sync!$K1982),Sync!$K1982&gt;=0,Sync!$K1982&lt;1),RIGHT("00"&amp;HOUR(Sync!$K1982),2)&amp;RIGHT("00"&amp;MINUTE(Sync!$K1982),2),IFERROR(RIGHT("00"&amp;VALUE(LEFT(Sync!$K1982,FIND(":",Sync!$K1982)-1)),2)&amp;RIGHT("00"&amp;VALUE(MID(Sync!$K1982,FIND(":",Sync!$K1982)+1,2)),2),"0000")))&amp;"|"&amp;"2"&amp;RIGHT("00000"&amp;1977,5))</f>
        <v/>
      </c>
      <c r="Q1982" t="str">
        <f>IF(Sync!$J1982="","",IF(ISNUMBER(Sync!$J1982),IF(AND(Sync!$J1982&gt;=10000101,Sync!$J1982&lt;=99991231),INT(Sync!$J1982/10000)&amp;"/"&amp;RIGHT("00"&amp;INT(MOD(Sync!$J1982,10000)/100),2)&amp;"/"&amp;RIGHT("00"&amp;MOD(Sync!$J1982,100),2),"نامعتبر"),IF(LEN(Sync!$J1982)=10,Sync!$J1982,"نامعتبر")))</f>
        <v/>
      </c>
      <c r="R1982" t="str">
        <f t="shared" si="155"/>
        <v/>
      </c>
      <c r="S1982" t="str">
        <f t="shared" si="156"/>
        <v/>
      </c>
      <c r="T1982" t="str">
        <f>IF($N1982="","",IF(Sync!$N1982="",0,Sync!$N1982))</f>
        <v/>
      </c>
      <c r="U1982" t="str">
        <f>IF($N1982="","",IF(Sync!$O1982="",0,Sync!$O1982))</f>
        <v/>
      </c>
      <c r="V1982" t="str">
        <f>IF($N1982="","",Sync!$L1982)</f>
        <v/>
      </c>
      <c r="W1982" t="str">
        <f>IF($N1982="","",Sync!$P1982)</f>
        <v/>
      </c>
    </row>
    <row r="1983" spans="14:23" x14ac:dyDescent="0.2">
      <c r="N1983" t="str">
        <f>IF(OR(Sync!$M1983="",$Q1983="",$Q1983="نامعتبر"),"",Sync!$M1983)</f>
        <v/>
      </c>
      <c r="O1983" t="str">
        <f t="shared" si="154"/>
        <v/>
      </c>
      <c r="P1983" t="str">
        <f>IF($N1983="","",LEFT($Q1983,4)&amp;MID($Q1983,6,2)&amp;RIGHT($Q1983,2)&amp;IF(Sync!$K1983="","0000",IF(AND(ISNUMBER(Sync!$K1983),Sync!$K1983&gt;=0,Sync!$K1983&lt;1),RIGHT("00"&amp;HOUR(Sync!$K1983),2)&amp;RIGHT("00"&amp;MINUTE(Sync!$K1983),2),IFERROR(RIGHT("00"&amp;VALUE(LEFT(Sync!$K1983,FIND(":",Sync!$K1983)-1)),2)&amp;RIGHT("00"&amp;VALUE(MID(Sync!$K1983,FIND(":",Sync!$K1983)+1,2)),2),"0000")))&amp;"|"&amp;"2"&amp;RIGHT("00000"&amp;1978,5))</f>
        <v/>
      </c>
      <c r="Q1983" t="str">
        <f>IF(Sync!$J1983="","",IF(ISNUMBER(Sync!$J1983),IF(AND(Sync!$J1983&gt;=10000101,Sync!$J1983&lt;=99991231),INT(Sync!$J1983/10000)&amp;"/"&amp;RIGHT("00"&amp;INT(MOD(Sync!$J1983,10000)/100),2)&amp;"/"&amp;RIGHT("00"&amp;MOD(Sync!$J1983,100),2),"نامعتبر"),IF(LEN(Sync!$J1983)=10,Sync!$J1983,"نامعتبر")))</f>
        <v/>
      </c>
      <c r="R1983" t="str">
        <f t="shared" si="155"/>
        <v/>
      </c>
      <c r="S1983" t="str">
        <f t="shared" si="156"/>
        <v/>
      </c>
      <c r="T1983" t="str">
        <f>IF($N1983="","",IF(Sync!$N1983="",0,Sync!$N1983))</f>
        <v/>
      </c>
      <c r="U1983" t="str">
        <f>IF($N1983="","",IF(Sync!$O1983="",0,Sync!$O1983))</f>
        <v/>
      </c>
      <c r="V1983" t="str">
        <f>IF($N1983="","",Sync!$L1983)</f>
        <v/>
      </c>
      <c r="W1983" t="str">
        <f>IF($N1983="","",Sync!$P1983)</f>
        <v/>
      </c>
    </row>
    <row r="1984" spans="14:23" x14ac:dyDescent="0.2">
      <c r="N1984" t="str">
        <f>IF(OR(Sync!$M1984="",$Q1984="",$Q1984="نامعتبر"),"",Sync!$M1984)</f>
        <v/>
      </c>
      <c r="O1984" t="str">
        <f t="shared" si="154"/>
        <v/>
      </c>
      <c r="P1984" t="str">
        <f>IF($N1984="","",LEFT($Q1984,4)&amp;MID($Q1984,6,2)&amp;RIGHT($Q1984,2)&amp;IF(Sync!$K1984="","0000",IF(AND(ISNUMBER(Sync!$K1984),Sync!$K1984&gt;=0,Sync!$K1984&lt;1),RIGHT("00"&amp;HOUR(Sync!$K1984),2)&amp;RIGHT("00"&amp;MINUTE(Sync!$K1984),2),IFERROR(RIGHT("00"&amp;VALUE(LEFT(Sync!$K1984,FIND(":",Sync!$K1984)-1)),2)&amp;RIGHT("00"&amp;VALUE(MID(Sync!$K1984,FIND(":",Sync!$K1984)+1,2)),2),"0000")))&amp;"|"&amp;"2"&amp;RIGHT("00000"&amp;1979,5))</f>
        <v/>
      </c>
      <c r="Q1984" t="str">
        <f>IF(Sync!$J1984="","",IF(ISNUMBER(Sync!$J1984),IF(AND(Sync!$J1984&gt;=10000101,Sync!$J1984&lt;=99991231),INT(Sync!$J1984/10000)&amp;"/"&amp;RIGHT("00"&amp;INT(MOD(Sync!$J1984,10000)/100),2)&amp;"/"&amp;RIGHT("00"&amp;MOD(Sync!$J1984,100),2),"نامعتبر"),IF(LEN(Sync!$J1984)=10,Sync!$J1984,"نامعتبر")))</f>
        <v/>
      </c>
      <c r="R1984" t="str">
        <f t="shared" si="155"/>
        <v/>
      </c>
      <c r="S1984" t="str">
        <f t="shared" si="156"/>
        <v/>
      </c>
      <c r="T1984" t="str">
        <f>IF($N1984="","",IF(Sync!$N1984="",0,Sync!$N1984))</f>
        <v/>
      </c>
      <c r="U1984" t="str">
        <f>IF($N1984="","",IF(Sync!$O1984="",0,Sync!$O1984))</f>
        <v/>
      </c>
      <c r="V1984" t="str">
        <f>IF($N1984="","",Sync!$L1984)</f>
        <v/>
      </c>
      <c r="W1984" t="str">
        <f>IF($N1984="","",Sync!$P1984)</f>
        <v/>
      </c>
    </row>
    <row r="1985" spans="14:23" x14ac:dyDescent="0.2">
      <c r="N1985" t="str">
        <f>IF(OR(Sync!$M1985="",$Q1985="",$Q1985="نامعتبر"),"",Sync!$M1985)</f>
        <v/>
      </c>
      <c r="O1985" t="str">
        <f t="shared" si="154"/>
        <v/>
      </c>
      <c r="P1985" t="str">
        <f>IF($N1985="","",LEFT($Q1985,4)&amp;MID($Q1985,6,2)&amp;RIGHT($Q1985,2)&amp;IF(Sync!$K1985="","0000",IF(AND(ISNUMBER(Sync!$K1985),Sync!$K1985&gt;=0,Sync!$K1985&lt;1),RIGHT("00"&amp;HOUR(Sync!$K1985),2)&amp;RIGHT("00"&amp;MINUTE(Sync!$K1985),2),IFERROR(RIGHT("00"&amp;VALUE(LEFT(Sync!$K1985,FIND(":",Sync!$K1985)-1)),2)&amp;RIGHT("00"&amp;VALUE(MID(Sync!$K1985,FIND(":",Sync!$K1985)+1,2)),2),"0000")))&amp;"|"&amp;"2"&amp;RIGHT("00000"&amp;1980,5))</f>
        <v/>
      </c>
      <c r="Q1985" t="str">
        <f>IF(Sync!$J1985="","",IF(ISNUMBER(Sync!$J1985),IF(AND(Sync!$J1985&gt;=10000101,Sync!$J1985&lt;=99991231),INT(Sync!$J1985/10000)&amp;"/"&amp;RIGHT("00"&amp;INT(MOD(Sync!$J1985,10000)/100),2)&amp;"/"&amp;RIGHT("00"&amp;MOD(Sync!$J1985,100),2),"نامعتبر"),IF(LEN(Sync!$J1985)=10,Sync!$J1985,"نامعتبر")))</f>
        <v/>
      </c>
      <c r="R1985" t="str">
        <f t="shared" si="155"/>
        <v/>
      </c>
      <c r="S1985" t="str">
        <f t="shared" si="156"/>
        <v/>
      </c>
      <c r="T1985" t="str">
        <f>IF($N1985="","",IF(Sync!$N1985="",0,Sync!$N1985))</f>
        <v/>
      </c>
      <c r="U1985" t="str">
        <f>IF($N1985="","",IF(Sync!$O1985="",0,Sync!$O1985))</f>
        <v/>
      </c>
      <c r="V1985" t="str">
        <f>IF($N1985="","",Sync!$L1985)</f>
        <v/>
      </c>
      <c r="W1985" t="str">
        <f>IF($N1985="","",Sync!$P1985)</f>
        <v/>
      </c>
    </row>
    <row r="1986" spans="14:23" x14ac:dyDescent="0.2">
      <c r="N1986" t="str">
        <f>IF(OR(Sync!$M1986="",$Q1986="",$Q1986="نامعتبر"),"",Sync!$M1986)</f>
        <v/>
      </c>
      <c r="O1986" t="str">
        <f t="shared" si="154"/>
        <v/>
      </c>
      <c r="P1986" t="str">
        <f>IF($N1986="","",LEFT($Q1986,4)&amp;MID($Q1986,6,2)&amp;RIGHT($Q1986,2)&amp;IF(Sync!$K1986="","0000",IF(AND(ISNUMBER(Sync!$K1986),Sync!$K1986&gt;=0,Sync!$K1986&lt;1),RIGHT("00"&amp;HOUR(Sync!$K1986),2)&amp;RIGHT("00"&amp;MINUTE(Sync!$K1986),2),IFERROR(RIGHT("00"&amp;VALUE(LEFT(Sync!$K1986,FIND(":",Sync!$K1986)-1)),2)&amp;RIGHT("00"&amp;VALUE(MID(Sync!$K1986,FIND(":",Sync!$K1986)+1,2)),2),"0000")))&amp;"|"&amp;"2"&amp;RIGHT("00000"&amp;1981,5))</f>
        <v/>
      </c>
      <c r="Q1986" t="str">
        <f>IF(Sync!$J1986="","",IF(ISNUMBER(Sync!$J1986),IF(AND(Sync!$J1986&gt;=10000101,Sync!$J1986&lt;=99991231),INT(Sync!$J1986/10000)&amp;"/"&amp;RIGHT("00"&amp;INT(MOD(Sync!$J1986,10000)/100),2)&amp;"/"&amp;RIGHT("00"&amp;MOD(Sync!$J1986,100),2),"نامعتبر"),IF(LEN(Sync!$J1986)=10,Sync!$J1986,"نامعتبر")))</f>
        <v/>
      </c>
      <c r="R1986" t="str">
        <f t="shared" si="155"/>
        <v/>
      </c>
      <c r="S1986" t="str">
        <f t="shared" si="156"/>
        <v/>
      </c>
      <c r="T1986" t="str">
        <f>IF($N1986="","",IF(Sync!$N1986="",0,Sync!$N1986))</f>
        <v/>
      </c>
      <c r="U1986" t="str">
        <f>IF($N1986="","",IF(Sync!$O1986="",0,Sync!$O1986))</f>
        <v/>
      </c>
      <c r="V1986" t="str">
        <f>IF($N1986="","",Sync!$L1986)</f>
        <v/>
      </c>
      <c r="W1986" t="str">
        <f>IF($N1986="","",Sync!$P1986)</f>
        <v/>
      </c>
    </row>
    <row r="1987" spans="14:23" x14ac:dyDescent="0.2">
      <c r="N1987" t="str">
        <f>IF(OR(Sync!$M1987="",$Q1987="",$Q1987="نامعتبر"),"",Sync!$M1987)</f>
        <v/>
      </c>
      <c r="O1987" t="str">
        <f t="shared" si="154"/>
        <v/>
      </c>
      <c r="P1987" t="str">
        <f>IF($N1987="","",LEFT($Q1987,4)&amp;MID($Q1987,6,2)&amp;RIGHT($Q1987,2)&amp;IF(Sync!$K1987="","0000",IF(AND(ISNUMBER(Sync!$K1987),Sync!$K1987&gt;=0,Sync!$K1987&lt;1),RIGHT("00"&amp;HOUR(Sync!$K1987),2)&amp;RIGHT("00"&amp;MINUTE(Sync!$K1987),2),IFERROR(RIGHT("00"&amp;VALUE(LEFT(Sync!$K1987,FIND(":",Sync!$K1987)-1)),2)&amp;RIGHT("00"&amp;VALUE(MID(Sync!$K1987,FIND(":",Sync!$K1987)+1,2)),2),"0000")))&amp;"|"&amp;"2"&amp;RIGHT("00000"&amp;1982,5))</f>
        <v/>
      </c>
      <c r="Q1987" t="str">
        <f>IF(Sync!$J1987="","",IF(ISNUMBER(Sync!$J1987),IF(AND(Sync!$J1987&gt;=10000101,Sync!$J1987&lt;=99991231),INT(Sync!$J1987/10000)&amp;"/"&amp;RIGHT("00"&amp;INT(MOD(Sync!$J1987,10000)/100),2)&amp;"/"&amp;RIGHT("00"&amp;MOD(Sync!$J1987,100),2),"نامعتبر"),IF(LEN(Sync!$J1987)=10,Sync!$J1987,"نامعتبر")))</f>
        <v/>
      </c>
      <c r="R1987" t="str">
        <f t="shared" si="155"/>
        <v/>
      </c>
      <c r="S1987" t="str">
        <f t="shared" si="156"/>
        <v/>
      </c>
      <c r="T1987" t="str">
        <f>IF($N1987="","",IF(Sync!$N1987="",0,Sync!$N1987))</f>
        <v/>
      </c>
      <c r="U1987" t="str">
        <f>IF($N1987="","",IF(Sync!$O1987="",0,Sync!$O1987))</f>
        <v/>
      </c>
      <c r="V1987" t="str">
        <f>IF($N1987="","",Sync!$L1987)</f>
        <v/>
      </c>
      <c r="W1987" t="str">
        <f>IF($N1987="","",Sync!$P1987)</f>
        <v/>
      </c>
    </row>
    <row r="1988" spans="14:23" x14ac:dyDescent="0.2">
      <c r="N1988" t="str">
        <f>IF(OR(Sync!$M1988="",$Q1988="",$Q1988="نامعتبر"),"",Sync!$M1988)</f>
        <v/>
      </c>
      <c r="O1988" t="str">
        <f t="shared" si="154"/>
        <v/>
      </c>
      <c r="P1988" t="str">
        <f>IF($N1988="","",LEFT($Q1988,4)&amp;MID($Q1988,6,2)&amp;RIGHT($Q1988,2)&amp;IF(Sync!$K1988="","0000",IF(AND(ISNUMBER(Sync!$K1988),Sync!$K1988&gt;=0,Sync!$K1988&lt;1),RIGHT("00"&amp;HOUR(Sync!$K1988),2)&amp;RIGHT("00"&amp;MINUTE(Sync!$K1988),2),IFERROR(RIGHT("00"&amp;VALUE(LEFT(Sync!$K1988,FIND(":",Sync!$K1988)-1)),2)&amp;RIGHT("00"&amp;VALUE(MID(Sync!$K1988,FIND(":",Sync!$K1988)+1,2)),2),"0000")))&amp;"|"&amp;"2"&amp;RIGHT("00000"&amp;1983,5))</f>
        <v/>
      </c>
      <c r="Q1988" t="str">
        <f>IF(Sync!$J1988="","",IF(ISNUMBER(Sync!$J1988),IF(AND(Sync!$J1988&gt;=10000101,Sync!$J1988&lt;=99991231),INT(Sync!$J1988/10000)&amp;"/"&amp;RIGHT("00"&amp;INT(MOD(Sync!$J1988,10000)/100),2)&amp;"/"&amp;RIGHT("00"&amp;MOD(Sync!$J1988,100),2),"نامعتبر"),IF(LEN(Sync!$J1988)=10,Sync!$J1988,"نامعتبر")))</f>
        <v/>
      </c>
      <c r="R1988" t="str">
        <f t="shared" si="155"/>
        <v/>
      </c>
      <c r="S1988" t="str">
        <f t="shared" si="156"/>
        <v/>
      </c>
      <c r="T1988" t="str">
        <f>IF($N1988="","",IF(Sync!$N1988="",0,Sync!$N1988))</f>
        <v/>
      </c>
      <c r="U1988" t="str">
        <f>IF($N1988="","",IF(Sync!$O1988="",0,Sync!$O1988))</f>
        <v/>
      </c>
      <c r="V1988" t="str">
        <f>IF($N1988="","",Sync!$L1988)</f>
        <v/>
      </c>
      <c r="W1988" t="str">
        <f>IF($N1988="","",Sync!$P1988)</f>
        <v/>
      </c>
    </row>
    <row r="1989" spans="14:23" x14ac:dyDescent="0.2">
      <c r="N1989" t="str">
        <f>IF(OR(Sync!$M1989="",$Q1989="",$Q1989="نامعتبر"),"",Sync!$M1989)</f>
        <v/>
      </c>
      <c r="O1989" t="str">
        <f t="shared" si="154"/>
        <v/>
      </c>
      <c r="P1989" t="str">
        <f>IF($N1989="","",LEFT($Q1989,4)&amp;MID($Q1989,6,2)&amp;RIGHT($Q1989,2)&amp;IF(Sync!$K1989="","0000",IF(AND(ISNUMBER(Sync!$K1989),Sync!$K1989&gt;=0,Sync!$K1989&lt;1),RIGHT("00"&amp;HOUR(Sync!$K1989),2)&amp;RIGHT("00"&amp;MINUTE(Sync!$K1989),2),IFERROR(RIGHT("00"&amp;VALUE(LEFT(Sync!$K1989,FIND(":",Sync!$K1989)-1)),2)&amp;RIGHT("00"&amp;VALUE(MID(Sync!$K1989,FIND(":",Sync!$K1989)+1,2)),2),"0000")))&amp;"|"&amp;"2"&amp;RIGHT("00000"&amp;1984,5))</f>
        <v/>
      </c>
      <c r="Q1989" t="str">
        <f>IF(Sync!$J1989="","",IF(ISNUMBER(Sync!$J1989),IF(AND(Sync!$J1989&gt;=10000101,Sync!$J1989&lt;=99991231),INT(Sync!$J1989/10000)&amp;"/"&amp;RIGHT("00"&amp;INT(MOD(Sync!$J1989,10000)/100),2)&amp;"/"&amp;RIGHT("00"&amp;MOD(Sync!$J1989,100),2),"نامعتبر"),IF(LEN(Sync!$J1989)=10,Sync!$J1989,"نامعتبر")))</f>
        <v/>
      </c>
      <c r="R1989" t="str">
        <f t="shared" si="155"/>
        <v/>
      </c>
      <c r="S1989" t="str">
        <f t="shared" si="156"/>
        <v/>
      </c>
      <c r="T1989" t="str">
        <f>IF($N1989="","",IF(Sync!$N1989="",0,Sync!$N1989))</f>
        <v/>
      </c>
      <c r="U1989" t="str">
        <f>IF($N1989="","",IF(Sync!$O1989="",0,Sync!$O1989))</f>
        <v/>
      </c>
      <c r="V1989" t="str">
        <f>IF($N1989="","",Sync!$L1989)</f>
        <v/>
      </c>
      <c r="W1989" t="str">
        <f>IF($N1989="","",Sync!$P1989)</f>
        <v/>
      </c>
    </row>
    <row r="1990" spans="14:23" x14ac:dyDescent="0.2">
      <c r="N1990" t="str">
        <f>IF(OR(Sync!$M1990="",$Q1990="",$Q1990="نامعتبر"),"",Sync!$M1990)</f>
        <v/>
      </c>
      <c r="O1990" t="str">
        <f t="shared" ref="O1990:O2005" si="157">IF($N1990="","",$Q1990)</f>
        <v/>
      </c>
      <c r="P1990" t="str">
        <f>IF($N1990="","",LEFT($Q1990,4)&amp;MID($Q1990,6,2)&amp;RIGHT($Q1990,2)&amp;IF(Sync!$K1990="","0000",IF(AND(ISNUMBER(Sync!$K1990),Sync!$K1990&gt;=0,Sync!$K1990&lt;1),RIGHT("00"&amp;HOUR(Sync!$K1990),2)&amp;RIGHT("00"&amp;MINUTE(Sync!$K1990),2),IFERROR(RIGHT("00"&amp;VALUE(LEFT(Sync!$K1990,FIND(":",Sync!$K1990)-1)),2)&amp;RIGHT("00"&amp;VALUE(MID(Sync!$K1990,FIND(":",Sync!$K1990)+1,2)),2),"0000")))&amp;"|"&amp;"2"&amp;RIGHT("00000"&amp;1985,5))</f>
        <v/>
      </c>
      <c r="Q1990" t="str">
        <f>IF(Sync!$J1990="","",IF(ISNUMBER(Sync!$J1990),IF(AND(Sync!$J1990&gt;=10000101,Sync!$J1990&lt;=99991231),INT(Sync!$J1990/10000)&amp;"/"&amp;RIGHT("00"&amp;INT(MOD(Sync!$J1990,10000)/100),2)&amp;"/"&amp;RIGHT("00"&amp;MOD(Sync!$J1990,100),2),"نامعتبر"),IF(LEN(Sync!$J1990)=10,Sync!$J1990,"نامعتبر")))</f>
        <v/>
      </c>
      <c r="R1990" t="str">
        <f t="shared" ref="R1990:R2005" si="158">IF($P1990="","",COUNTIFS($N$6:$N$2005,$N1990,$P$6:$P$2005,"&lt;"&amp;$P1990)+COUNTIFS($A$6:$A$1005,$N1990,$B$6:$B$1005,"&lt;"&amp;$P1990)+1)</f>
        <v/>
      </c>
      <c r="S1990" t="str">
        <f t="shared" ref="S1990:S2005" si="159">IF($N1990="","",$N1990&amp;"|"&amp;RIGHT("000000"&amp;$R1990,6))</f>
        <v/>
      </c>
      <c r="T1990" t="str">
        <f>IF($N1990="","",IF(Sync!$N1990="",0,Sync!$N1990))</f>
        <v/>
      </c>
      <c r="U1990" t="str">
        <f>IF($N1990="","",IF(Sync!$O1990="",0,Sync!$O1990))</f>
        <v/>
      </c>
      <c r="V1990" t="str">
        <f>IF($N1990="","",Sync!$L1990)</f>
        <v/>
      </c>
      <c r="W1990" t="str">
        <f>IF($N1990="","",Sync!$P1990)</f>
        <v/>
      </c>
    </row>
    <row r="1991" spans="14:23" x14ac:dyDescent="0.2">
      <c r="N1991" t="str">
        <f>IF(OR(Sync!$M1991="",$Q1991="",$Q1991="نامعتبر"),"",Sync!$M1991)</f>
        <v/>
      </c>
      <c r="O1991" t="str">
        <f t="shared" si="157"/>
        <v/>
      </c>
      <c r="P1991" t="str">
        <f>IF($N1991="","",LEFT($Q1991,4)&amp;MID($Q1991,6,2)&amp;RIGHT($Q1991,2)&amp;IF(Sync!$K1991="","0000",IF(AND(ISNUMBER(Sync!$K1991),Sync!$K1991&gt;=0,Sync!$K1991&lt;1),RIGHT("00"&amp;HOUR(Sync!$K1991),2)&amp;RIGHT("00"&amp;MINUTE(Sync!$K1991),2),IFERROR(RIGHT("00"&amp;VALUE(LEFT(Sync!$K1991,FIND(":",Sync!$K1991)-1)),2)&amp;RIGHT("00"&amp;VALUE(MID(Sync!$K1991,FIND(":",Sync!$K1991)+1,2)),2),"0000")))&amp;"|"&amp;"2"&amp;RIGHT("00000"&amp;1986,5))</f>
        <v/>
      </c>
      <c r="Q1991" t="str">
        <f>IF(Sync!$J1991="","",IF(ISNUMBER(Sync!$J1991),IF(AND(Sync!$J1991&gt;=10000101,Sync!$J1991&lt;=99991231),INT(Sync!$J1991/10000)&amp;"/"&amp;RIGHT("00"&amp;INT(MOD(Sync!$J1991,10000)/100),2)&amp;"/"&amp;RIGHT("00"&amp;MOD(Sync!$J1991,100),2),"نامعتبر"),IF(LEN(Sync!$J1991)=10,Sync!$J1991,"نامعتبر")))</f>
        <v/>
      </c>
      <c r="R1991" t="str">
        <f t="shared" si="158"/>
        <v/>
      </c>
      <c r="S1991" t="str">
        <f t="shared" si="159"/>
        <v/>
      </c>
      <c r="T1991" t="str">
        <f>IF($N1991="","",IF(Sync!$N1991="",0,Sync!$N1991))</f>
        <v/>
      </c>
      <c r="U1991" t="str">
        <f>IF($N1991="","",IF(Sync!$O1991="",0,Sync!$O1991))</f>
        <v/>
      </c>
      <c r="V1991" t="str">
        <f>IF($N1991="","",Sync!$L1991)</f>
        <v/>
      </c>
      <c r="W1991" t="str">
        <f>IF($N1991="","",Sync!$P1991)</f>
        <v/>
      </c>
    </row>
    <row r="1992" spans="14:23" x14ac:dyDescent="0.2">
      <c r="N1992" t="str">
        <f>IF(OR(Sync!$M1992="",$Q1992="",$Q1992="نامعتبر"),"",Sync!$M1992)</f>
        <v/>
      </c>
      <c r="O1992" t="str">
        <f t="shared" si="157"/>
        <v/>
      </c>
      <c r="P1992" t="str">
        <f>IF($N1992="","",LEFT($Q1992,4)&amp;MID($Q1992,6,2)&amp;RIGHT($Q1992,2)&amp;IF(Sync!$K1992="","0000",IF(AND(ISNUMBER(Sync!$K1992),Sync!$K1992&gt;=0,Sync!$K1992&lt;1),RIGHT("00"&amp;HOUR(Sync!$K1992),2)&amp;RIGHT("00"&amp;MINUTE(Sync!$K1992),2),IFERROR(RIGHT("00"&amp;VALUE(LEFT(Sync!$K1992,FIND(":",Sync!$K1992)-1)),2)&amp;RIGHT("00"&amp;VALUE(MID(Sync!$K1992,FIND(":",Sync!$K1992)+1,2)),2),"0000")))&amp;"|"&amp;"2"&amp;RIGHT("00000"&amp;1987,5))</f>
        <v/>
      </c>
      <c r="Q1992" t="str">
        <f>IF(Sync!$J1992="","",IF(ISNUMBER(Sync!$J1992),IF(AND(Sync!$J1992&gt;=10000101,Sync!$J1992&lt;=99991231),INT(Sync!$J1992/10000)&amp;"/"&amp;RIGHT("00"&amp;INT(MOD(Sync!$J1992,10000)/100),2)&amp;"/"&amp;RIGHT("00"&amp;MOD(Sync!$J1992,100),2),"نامعتبر"),IF(LEN(Sync!$J1992)=10,Sync!$J1992,"نامعتبر")))</f>
        <v/>
      </c>
      <c r="R1992" t="str">
        <f t="shared" si="158"/>
        <v/>
      </c>
      <c r="S1992" t="str">
        <f t="shared" si="159"/>
        <v/>
      </c>
      <c r="T1992" t="str">
        <f>IF($N1992="","",IF(Sync!$N1992="",0,Sync!$N1992))</f>
        <v/>
      </c>
      <c r="U1992" t="str">
        <f>IF($N1992="","",IF(Sync!$O1992="",0,Sync!$O1992))</f>
        <v/>
      </c>
      <c r="V1992" t="str">
        <f>IF($N1992="","",Sync!$L1992)</f>
        <v/>
      </c>
      <c r="W1992" t="str">
        <f>IF($N1992="","",Sync!$P1992)</f>
        <v/>
      </c>
    </row>
    <row r="1993" spans="14:23" x14ac:dyDescent="0.2">
      <c r="N1993" t="str">
        <f>IF(OR(Sync!$M1993="",$Q1993="",$Q1993="نامعتبر"),"",Sync!$M1993)</f>
        <v/>
      </c>
      <c r="O1993" t="str">
        <f t="shared" si="157"/>
        <v/>
      </c>
      <c r="P1993" t="str">
        <f>IF($N1993="","",LEFT($Q1993,4)&amp;MID($Q1993,6,2)&amp;RIGHT($Q1993,2)&amp;IF(Sync!$K1993="","0000",IF(AND(ISNUMBER(Sync!$K1993),Sync!$K1993&gt;=0,Sync!$K1993&lt;1),RIGHT("00"&amp;HOUR(Sync!$K1993),2)&amp;RIGHT("00"&amp;MINUTE(Sync!$K1993),2),IFERROR(RIGHT("00"&amp;VALUE(LEFT(Sync!$K1993,FIND(":",Sync!$K1993)-1)),2)&amp;RIGHT("00"&amp;VALUE(MID(Sync!$K1993,FIND(":",Sync!$K1993)+1,2)),2),"0000")))&amp;"|"&amp;"2"&amp;RIGHT("00000"&amp;1988,5))</f>
        <v/>
      </c>
      <c r="Q1993" t="str">
        <f>IF(Sync!$J1993="","",IF(ISNUMBER(Sync!$J1993),IF(AND(Sync!$J1993&gt;=10000101,Sync!$J1993&lt;=99991231),INT(Sync!$J1993/10000)&amp;"/"&amp;RIGHT("00"&amp;INT(MOD(Sync!$J1993,10000)/100),2)&amp;"/"&amp;RIGHT("00"&amp;MOD(Sync!$J1993,100),2),"نامعتبر"),IF(LEN(Sync!$J1993)=10,Sync!$J1993,"نامعتبر")))</f>
        <v/>
      </c>
      <c r="R1993" t="str">
        <f t="shared" si="158"/>
        <v/>
      </c>
      <c r="S1993" t="str">
        <f t="shared" si="159"/>
        <v/>
      </c>
      <c r="T1993" t="str">
        <f>IF($N1993="","",IF(Sync!$N1993="",0,Sync!$N1993))</f>
        <v/>
      </c>
      <c r="U1993" t="str">
        <f>IF($N1993="","",IF(Sync!$O1993="",0,Sync!$O1993))</f>
        <v/>
      </c>
      <c r="V1993" t="str">
        <f>IF($N1993="","",Sync!$L1993)</f>
        <v/>
      </c>
      <c r="W1993" t="str">
        <f>IF($N1993="","",Sync!$P1993)</f>
        <v/>
      </c>
    </row>
    <row r="1994" spans="14:23" x14ac:dyDescent="0.2">
      <c r="N1994" t="str">
        <f>IF(OR(Sync!$M1994="",$Q1994="",$Q1994="نامعتبر"),"",Sync!$M1994)</f>
        <v/>
      </c>
      <c r="O1994" t="str">
        <f t="shared" si="157"/>
        <v/>
      </c>
      <c r="P1994" t="str">
        <f>IF($N1994="","",LEFT($Q1994,4)&amp;MID($Q1994,6,2)&amp;RIGHT($Q1994,2)&amp;IF(Sync!$K1994="","0000",IF(AND(ISNUMBER(Sync!$K1994),Sync!$K1994&gt;=0,Sync!$K1994&lt;1),RIGHT("00"&amp;HOUR(Sync!$K1994),2)&amp;RIGHT("00"&amp;MINUTE(Sync!$K1994),2),IFERROR(RIGHT("00"&amp;VALUE(LEFT(Sync!$K1994,FIND(":",Sync!$K1994)-1)),2)&amp;RIGHT("00"&amp;VALUE(MID(Sync!$K1994,FIND(":",Sync!$K1994)+1,2)),2),"0000")))&amp;"|"&amp;"2"&amp;RIGHT("00000"&amp;1989,5))</f>
        <v/>
      </c>
      <c r="Q1994" t="str">
        <f>IF(Sync!$J1994="","",IF(ISNUMBER(Sync!$J1994),IF(AND(Sync!$J1994&gt;=10000101,Sync!$J1994&lt;=99991231),INT(Sync!$J1994/10000)&amp;"/"&amp;RIGHT("00"&amp;INT(MOD(Sync!$J1994,10000)/100),2)&amp;"/"&amp;RIGHT("00"&amp;MOD(Sync!$J1994,100),2),"نامعتبر"),IF(LEN(Sync!$J1994)=10,Sync!$J1994,"نامعتبر")))</f>
        <v/>
      </c>
      <c r="R1994" t="str">
        <f t="shared" si="158"/>
        <v/>
      </c>
      <c r="S1994" t="str">
        <f t="shared" si="159"/>
        <v/>
      </c>
      <c r="T1994" t="str">
        <f>IF($N1994="","",IF(Sync!$N1994="",0,Sync!$N1994))</f>
        <v/>
      </c>
      <c r="U1994" t="str">
        <f>IF($N1994="","",IF(Sync!$O1994="",0,Sync!$O1994))</f>
        <v/>
      </c>
      <c r="V1994" t="str">
        <f>IF($N1994="","",Sync!$L1994)</f>
        <v/>
      </c>
      <c r="W1994" t="str">
        <f>IF($N1994="","",Sync!$P1994)</f>
        <v/>
      </c>
    </row>
    <row r="1995" spans="14:23" x14ac:dyDescent="0.2">
      <c r="N1995" t="str">
        <f>IF(OR(Sync!$M1995="",$Q1995="",$Q1995="نامعتبر"),"",Sync!$M1995)</f>
        <v/>
      </c>
      <c r="O1995" t="str">
        <f t="shared" si="157"/>
        <v/>
      </c>
      <c r="P1995" t="str">
        <f>IF($N1995="","",LEFT($Q1995,4)&amp;MID($Q1995,6,2)&amp;RIGHT($Q1995,2)&amp;IF(Sync!$K1995="","0000",IF(AND(ISNUMBER(Sync!$K1995),Sync!$K1995&gt;=0,Sync!$K1995&lt;1),RIGHT("00"&amp;HOUR(Sync!$K1995),2)&amp;RIGHT("00"&amp;MINUTE(Sync!$K1995),2),IFERROR(RIGHT("00"&amp;VALUE(LEFT(Sync!$K1995,FIND(":",Sync!$K1995)-1)),2)&amp;RIGHT("00"&amp;VALUE(MID(Sync!$K1995,FIND(":",Sync!$K1995)+1,2)),2),"0000")))&amp;"|"&amp;"2"&amp;RIGHT("00000"&amp;1990,5))</f>
        <v/>
      </c>
      <c r="Q1995" t="str">
        <f>IF(Sync!$J1995="","",IF(ISNUMBER(Sync!$J1995),IF(AND(Sync!$J1995&gt;=10000101,Sync!$J1995&lt;=99991231),INT(Sync!$J1995/10000)&amp;"/"&amp;RIGHT("00"&amp;INT(MOD(Sync!$J1995,10000)/100),2)&amp;"/"&amp;RIGHT("00"&amp;MOD(Sync!$J1995,100),2),"نامعتبر"),IF(LEN(Sync!$J1995)=10,Sync!$J1995,"نامعتبر")))</f>
        <v/>
      </c>
      <c r="R1995" t="str">
        <f t="shared" si="158"/>
        <v/>
      </c>
      <c r="S1995" t="str">
        <f t="shared" si="159"/>
        <v/>
      </c>
      <c r="T1995" t="str">
        <f>IF($N1995="","",IF(Sync!$N1995="",0,Sync!$N1995))</f>
        <v/>
      </c>
      <c r="U1995" t="str">
        <f>IF($N1995="","",IF(Sync!$O1995="",0,Sync!$O1995))</f>
        <v/>
      </c>
      <c r="V1995" t="str">
        <f>IF($N1995="","",Sync!$L1995)</f>
        <v/>
      </c>
      <c r="W1995" t="str">
        <f>IF($N1995="","",Sync!$P1995)</f>
        <v/>
      </c>
    </row>
    <row r="1996" spans="14:23" x14ac:dyDescent="0.2">
      <c r="N1996" t="str">
        <f>IF(OR(Sync!$M1996="",$Q1996="",$Q1996="نامعتبر"),"",Sync!$M1996)</f>
        <v/>
      </c>
      <c r="O1996" t="str">
        <f t="shared" si="157"/>
        <v/>
      </c>
      <c r="P1996" t="str">
        <f>IF($N1996="","",LEFT($Q1996,4)&amp;MID($Q1996,6,2)&amp;RIGHT($Q1996,2)&amp;IF(Sync!$K1996="","0000",IF(AND(ISNUMBER(Sync!$K1996),Sync!$K1996&gt;=0,Sync!$K1996&lt;1),RIGHT("00"&amp;HOUR(Sync!$K1996),2)&amp;RIGHT("00"&amp;MINUTE(Sync!$K1996),2),IFERROR(RIGHT("00"&amp;VALUE(LEFT(Sync!$K1996,FIND(":",Sync!$K1996)-1)),2)&amp;RIGHT("00"&amp;VALUE(MID(Sync!$K1996,FIND(":",Sync!$K1996)+1,2)),2),"0000")))&amp;"|"&amp;"2"&amp;RIGHT("00000"&amp;1991,5))</f>
        <v/>
      </c>
      <c r="Q1996" t="str">
        <f>IF(Sync!$J1996="","",IF(ISNUMBER(Sync!$J1996),IF(AND(Sync!$J1996&gt;=10000101,Sync!$J1996&lt;=99991231),INT(Sync!$J1996/10000)&amp;"/"&amp;RIGHT("00"&amp;INT(MOD(Sync!$J1996,10000)/100),2)&amp;"/"&amp;RIGHT("00"&amp;MOD(Sync!$J1996,100),2),"نامعتبر"),IF(LEN(Sync!$J1996)=10,Sync!$J1996,"نامعتبر")))</f>
        <v/>
      </c>
      <c r="R1996" t="str">
        <f t="shared" si="158"/>
        <v/>
      </c>
      <c r="S1996" t="str">
        <f t="shared" si="159"/>
        <v/>
      </c>
      <c r="T1996" t="str">
        <f>IF($N1996="","",IF(Sync!$N1996="",0,Sync!$N1996))</f>
        <v/>
      </c>
      <c r="U1996" t="str">
        <f>IF($N1996="","",IF(Sync!$O1996="",0,Sync!$O1996))</f>
        <v/>
      </c>
      <c r="V1996" t="str">
        <f>IF($N1996="","",Sync!$L1996)</f>
        <v/>
      </c>
      <c r="W1996" t="str">
        <f>IF($N1996="","",Sync!$P1996)</f>
        <v/>
      </c>
    </row>
    <row r="1997" spans="14:23" x14ac:dyDescent="0.2">
      <c r="N1997" t="str">
        <f>IF(OR(Sync!$M1997="",$Q1997="",$Q1997="نامعتبر"),"",Sync!$M1997)</f>
        <v/>
      </c>
      <c r="O1997" t="str">
        <f t="shared" si="157"/>
        <v/>
      </c>
      <c r="P1997" t="str">
        <f>IF($N1997="","",LEFT($Q1997,4)&amp;MID($Q1997,6,2)&amp;RIGHT($Q1997,2)&amp;IF(Sync!$K1997="","0000",IF(AND(ISNUMBER(Sync!$K1997),Sync!$K1997&gt;=0,Sync!$K1997&lt;1),RIGHT("00"&amp;HOUR(Sync!$K1997),2)&amp;RIGHT("00"&amp;MINUTE(Sync!$K1997),2),IFERROR(RIGHT("00"&amp;VALUE(LEFT(Sync!$K1997,FIND(":",Sync!$K1997)-1)),2)&amp;RIGHT("00"&amp;VALUE(MID(Sync!$K1997,FIND(":",Sync!$K1997)+1,2)),2),"0000")))&amp;"|"&amp;"2"&amp;RIGHT("00000"&amp;1992,5))</f>
        <v/>
      </c>
      <c r="Q1997" t="str">
        <f>IF(Sync!$J1997="","",IF(ISNUMBER(Sync!$J1997),IF(AND(Sync!$J1997&gt;=10000101,Sync!$J1997&lt;=99991231),INT(Sync!$J1997/10000)&amp;"/"&amp;RIGHT("00"&amp;INT(MOD(Sync!$J1997,10000)/100),2)&amp;"/"&amp;RIGHT("00"&amp;MOD(Sync!$J1997,100),2),"نامعتبر"),IF(LEN(Sync!$J1997)=10,Sync!$J1997,"نامعتبر")))</f>
        <v/>
      </c>
      <c r="R1997" t="str">
        <f t="shared" si="158"/>
        <v/>
      </c>
      <c r="S1997" t="str">
        <f t="shared" si="159"/>
        <v/>
      </c>
      <c r="T1997" t="str">
        <f>IF($N1997="","",IF(Sync!$N1997="",0,Sync!$N1997))</f>
        <v/>
      </c>
      <c r="U1997" t="str">
        <f>IF($N1997="","",IF(Sync!$O1997="",0,Sync!$O1997))</f>
        <v/>
      </c>
      <c r="V1997" t="str">
        <f>IF($N1997="","",Sync!$L1997)</f>
        <v/>
      </c>
      <c r="W1997" t="str">
        <f>IF($N1997="","",Sync!$P1997)</f>
        <v/>
      </c>
    </row>
    <row r="1998" spans="14:23" x14ac:dyDescent="0.2">
      <c r="N1998" t="str">
        <f>IF(OR(Sync!$M1998="",$Q1998="",$Q1998="نامعتبر"),"",Sync!$M1998)</f>
        <v/>
      </c>
      <c r="O1998" t="str">
        <f t="shared" si="157"/>
        <v/>
      </c>
      <c r="P1998" t="str">
        <f>IF($N1998="","",LEFT($Q1998,4)&amp;MID($Q1998,6,2)&amp;RIGHT($Q1998,2)&amp;IF(Sync!$K1998="","0000",IF(AND(ISNUMBER(Sync!$K1998),Sync!$K1998&gt;=0,Sync!$K1998&lt;1),RIGHT("00"&amp;HOUR(Sync!$K1998),2)&amp;RIGHT("00"&amp;MINUTE(Sync!$K1998),2),IFERROR(RIGHT("00"&amp;VALUE(LEFT(Sync!$K1998,FIND(":",Sync!$K1998)-1)),2)&amp;RIGHT("00"&amp;VALUE(MID(Sync!$K1998,FIND(":",Sync!$K1998)+1,2)),2),"0000")))&amp;"|"&amp;"2"&amp;RIGHT("00000"&amp;1993,5))</f>
        <v/>
      </c>
      <c r="Q1998" t="str">
        <f>IF(Sync!$J1998="","",IF(ISNUMBER(Sync!$J1998),IF(AND(Sync!$J1998&gt;=10000101,Sync!$J1998&lt;=99991231),INT(Sync!$J1998/10000)&amp;"/"&amp;RIGHT("00"&amp;INT(MOD(Sync!$J1998,10000)/100),2)&amp;"/"&amp;RIGHT("00"&amp;MOD(Sync!$J1998,100),2),"نامعتبر"),IF(LEN(Sync!$J1998)=10,Sync!$J1998,"نامعتبر")))</f>
        <v/>
      </c>
      <c r="R1998" t="str">
        <f t="shared" si="158"/>
        <v/>
      </c>
      <c r="S1998" t="str">
        <f t="shared" si="159"/>
        <v/>
      </c>
      <c r="T1998" t="str">
        <f>IF($N1998="","",IF(Sync!$N1998="",0,Sync!$N1998))</f>
        <v/>
      </c>
      <c r="U1998" t="str">
        <f>IF($N1998="","",IF(Sync!$O1998="",0,Sync!$O1998))</f>
        <v/>
      </c>
      <c r="V1998" t="str">
        <f>IF($N1998="","",Sync!$L1998)</f>
        <v/>
      </c>
      <c r="W1998" t="str">
        <f>IF($N1998="","",Sync!$P1998)</f>
        <v/>
      </c>
    </row>
    <row r="1999" spans="14:23" x14ac:dyDescent="0.2">
      <c r="N1999" t="str">
        <f>IF(OR(Sync!$M1999="",$Q1999="",$Q1999="نامعتبر"),"",Sync!$M1999)</f>
        <v/>
      </c>
      <c r="O1999" t="str">
        <f t="shared" si="157"/>
        <v/>
      </c>
      <c r="P1999" t="str">
        <f>IF($N1999="","",LEFT($Q1999,4)&amp;MID($Q1999,6,2)&amp;RIGHT($Q1999,2)&amp;IF(Sync!$K1999="","0000",IF(AND(ISNUMBER(Sync!$K1999),Sync!$K1999&gt;=0,Sync!$K1999&lt;1),RIGHT("00"&amp;HOUR(Sync!$K1999),2)&amp;RIGHT("00"&amp;MINUTE(Sync!$K1999),2),IFERROR(RIGHT("00"&amp;VALUE(LEFT(Sync!$K1999,FIND(":",Sync!$K1999)-1)),2)&amp;RIGHT("00"&amp;VALUE(MID(Sync!$K1999,FIND(":",Sync!$K1999)+1,2)),2),"0000")))&amp;"|"&amp;"2"&amp;RIGHT("00000"&amp;1994,5))</f>
        <v/>
      </c>
      <c r="Q1999" t="str">
        <f>IF(Sync!$J1999="","",IF(ISNUMBER(Sync!$J1999),IF(AND(Sync!$J1999&gt;=10000101,Sync!$J1999&lt;=99991231),INT(Sync!$J1999/10000)&amp;"/"&amp;RIGHT("00"&amp;INT(MOD(Sync!$J1999,10000)/100),2)&amp;"/"&amp;RIGHT("00"&amp;MOD(Sync!$J1999,100),2),"نامعتبر"),IF(LEN(Sync!$J1999)=10,Sync!$J1999,"نامعتبر")))</f>
        <v/>
      </c>
      <c r="R1999" t="str">
        <f t="shared" si="158"/>
        <v/>
      </c>
      <c r="S1999" t="str">
        <f t="shared" si="159"/>
        <v/>
      </c>
      <c r="T1999" t="str">
        <f>IF($N1999="","",IF(Sync!$N1999="",0,Sync!$N1999))</f>
        <v/>
      </c>
      <c r="U1999" t="str">
        <f>IF($N1999="","",IF(Sync!$O1999="",0,Sync!$O1999))</f>
        <v/>
      </c>
      <c r="V1999" t="str">
        <f>IF($N1999="","",Sync!$L1999)</f>
        <v/>
      </c>
      <c r="W1999" t="str">
        <f>IF($N1999="","",Sync!$P1999)</f>
        <v/>
      </c>
    </row>
    <row r="2000" spans="14:23" x14ac:dyDescent="0.2">
      <c r="N2000" t="str">
        <f>IF(OR(Sync!$M2000="",$Q2000="",$Q2000="نامعتبر"),"",Sync!$M2000)</f>
        <v/>
      </c>
      <c r="O2000" t="str">
        <f t="shared" si="157"/>
        <v/>
      </c>
      <c r="P2000" t="str">
        <f>IF($N2000="","",LEFT($Q2000,4)&amp;MID($Q2000,6,2)&amp;RIGHT($Q2000,2)&amp;IF(Sync!$K2000="","0000",IF(AND(ISNUMBER(Sync!$K2000),Sync!$K2000&gt;=0,Sync!$K2000&lt;1),RIGHT("00"&amp;HOUR(Sync!$K2000),2)&amp;RIGHT("00"&amp;MINUTE(Sync!$K2000),2),IFERROR(RIGHT("00"&amp;VALUE(LEFT(Sync!$K2000,FIND(":",Sync!$K2000)-1)),2)&amp;RIGHT("00"&amp;VALUE(MID(Sync!$K2000,FIND(":",Sync!$K2000)+1,2)),2),"0000")))&amp;"|"&amp;"2"&amp;RIGHT("00000"&amp;1995,5))</f>
        <v/>
      </c>
      <c r="Q2000" t="str">
        <f>IF(Sync!$J2000="","",IF(ISNUMBER(Sync!$J2000),IF(AND(Sync!$J2000&gt;=10000101,Sync!$J2000&lt;=99991231),INT(Sync!$J2000/10000)&amp;"/"&amp;RIGHT("00"&amp;INT(MOD(Sync!$J2000,10000)/100),2)&amp;"/"&amp;RIGHT("00"&amp;MOD(Sync!$J2000,100),2),"نامعتبر"),IF(LEN(Sync!$J2000)=10,Sync!$J2000,"نامعتبر")))</f>
        <v/>
      </c>
      <c r="R2000" t="str">
        <f t="shared" si="158"/>
        <v/>
      </c>
      <c r="S2000" t="str">
        <f t="shared" si="159"/>
        <v/>
      </c>
      <c r="T2000" t="str">
        <f>IF($N2000="","",IF(Sync!$N2000="",0,Sync!$N2000))</f>
        <v/>
      </c>
      <c r="U2000" t="str">
        <f>IF($N2000="","",IF(Sync!$O2000="",0,Sync!$O2000))</f>
        <v/>
      </c>
      <c r="V2000" t="str">
        <f>IF($N2000="","",Sync!$L2000)</f>
        <v/>
      </c>
      <c r="W2000" t="str">
        <f>IF($N2000="","",Sync!$P2000)</f>
        <v/>
      </c>
    </row>
    <row r="2001" spans="14:23" x14ac:dyDescent="0.2">
      <c r="N2001" t="str">
        <f>IF(OR(Sync!$M2001="",$Q2001="",$Q2001="نامعتبر"),"",Sync!$M2001)</f>
        <v/>
      </c>
      <c r="O2001" t="str">
        <f t="shared" si="157"/>
        <v/>
      </c>
      <c r="P2001" t="str">
        <f>IF($N2001="","",LEFT($Q2001,4)&amp;MID($Q2001,6,2)&amp;RIGHT($Q2001,2)&amp;IF(Sync!$K2001="","0000",IF(AND(ISNUMBER(Sync!$K2001),Sync!$K2001&gt;=0,Sync!$K2001&lt;1),RIGHT("00"&amp;HOUR(Sync!$K2001),2)&amp;RIGHT("00"&amp;MINUTE(Sync!$K2001),2),IFERROR(RIGHT("00"&amp;VALUE(LEFT(Sync!$K2001,FIND(":",Sync!$K2001)-1)),2)&amp;RIGHT("00"&amp;VALUE(MID(Sync!$K2001,FIND(":",Sync!$K2001)+1,2)),2),"0000")))&amp;"|"&amp;"2"&amp;RIGHT("00000"&amp;1996,5))</f>
        <v/>
      </c>
      <c r="Q2001" t="str">
        <f>IF(Sync!$J2001="","",IF(ISNUMBER(Sync!$J2001),IF(AND(Sync!$J2001&gt;=10000101,Sync!$J2001&lt;=99991231),INT(Sync!$J2001/10000)&amp;"/"&amp;RIGHT("00"&amp;INT(MOD(Sync!$J2001,10000)/100),2)&amp;"/"&amp;RIGHT("00"&amp;MOD(Sync!$J2001,100),2),"نامعتبر"),IF(LEN(Sync!$J2001)=10,Sync!$J2001,"نامعتبر")))</f>
        <v/>
      </c>
      <c r="R2001" t="str">
        <f t="shared" si="158"/>
        <v/>
      </c>
      <c r="S2001" t="str">
        <f t="shared" si="159"/>
        <v/>
      </c>
      <c r="T2001" t="str">
        <f>IF($N2001="","",IF(Sync!$N2001="",0,Sync!$N2001))</f>
        <v/>
      </c>
      <c r="U2001" t="str">
        <f>IF($N2001="","",IF(Sync!$O2001="",0,Sync!$O2001))</f>
        <v/>
      </c>
      <c r="V2001" t="str">
        <f>IF($N2001="","",Sync!$L2001)</f>
        <v/>
      </c>
      <c r="W2001" t="str">
        <f>IF($N2001="","",Sync!$P2001)</f>
        <v/>
      </c>
    </row>
    <row r="2002" spans="14:23" x14ac:dyDescent="0.2">
      <c r="N2002" t="str">
        <f>IF(OR(Sync!$M2002="",$Q2002="",$Q2002="نامعتبر"),"",Sync!$M2002)</f>
        <v/>
      </c>
      <c r="O2002" t="str">
        <f t="shared" si="157"/>
        <v/>
      </c>
      <c r="P2002" t="str">
        <f>IF($N2002="","",LEFT($Q2002,4)&amp;MID($Q2002,6,2)&amp;RIGHT($Q2002,2)&amp;IF(Sync!$K2002="","0000",IF(AND(ISNUMBER(Sync!$K2002),Sync!$K2002&gt;=0,Sync!$K2002&lt;1),RIGHT("00"&amp;HOUR(Sync!$K2002),2)&amp;RIGHT("00"&amp;MINUTE(Sync!$K2002),2),IFERROR(RIGHT("00"&amp;VALUE(LEFT(Sync!$K2002,FIND(":",Sync!$K2002)-1)),2)&amp;RIGHT("00"&amp;VALUE(MID(Sync!$K2002,FIND(":",Sync!$K2002)+1,2)),2),"0000")))&amp;"|"&amp;"2"&amp;RIGHT("00000"&amp;1997,5))</f>
        <v/>
      </c>
      <c r="Q2002" t="str">
        <f>IF(Sync!$J2002="","",IF(ISNUMBER(Sync!$J2002),IF(AND(Sync!$J2002&gt;=10000101,Sync!$J2002&lt;=99991231),INT(Sync!$J2002/10000)&amp;"/"&amp;RIGHT("00"&amp;INT(MOD(Sync!$J2002,10000)/100),2)&amp;"/"&amp;RIGHT("00"&amp;MOD(Sync!$J2002,100),2),"نامعتبر"),IF(LEN(Sync!$J2002)=10,Sync!$J2002,"نامعتبر")))</f>
        <v/>
      </c>
      <c r="R2002" t="str">
        <f t="shared" si="158"/>
        <v/>
      </c>
      <c r="S2002" t="str">
        <f t="shared" si="159"/>
        <v/>
      </c>
      <c r="T2002" t="str">
        <f>IF($N2002="","",IF(Sync!$N2002="",0,Sync!$N2002))</f>
        <v/>
      </c>
      <c r="U2002" t="str">
        <f>IF($N2002="","",IF(Sync!$O2002="",0,Sync!$O2002))</f>
        <v/>
      </c>
      <c r="V2002" t="str">
        <f>IF($N2002="","",Sync!$L2002)</f>
        <v/>
      </c>
      <c r="W2002" t="str">
        <f>IF($N2002="","",Sync!$P2002)</f>
        <v/>
      </c>
    </row>
    <row r="2003" spans="14:23" x14ac:dyDescent="0.2">
      <c r="N2003" t="str">
        <f>IF(OR(Sync!$M2003="",$Q2003="",$Q2003="نامعتبر"),"",Sync!$M2003)</f>
        <v/>
      </c>
      <c r="O2003" t="str">
        <f t="shared" si="157"/>
        <v/>
      </c>
      <c r="P2003" t="str">
        <f>IF($N2003="","",LEFT($Q2003,4)&amp;MID($Q2003,6,2)&amp;RIGHT($Q2003,2)&amp;IF(Sync!$K2003="","0000",IF(AND(ISNUMBER(Sync!$K2003),Sync!$K2003&gt;=0,Sync!$K2003&lt;1),RIGHT("00"&amp;HOUR(Sync!$K2003),2)&amp;RIGHT("00"&amp;MINUTE(Sync!$K2003),2),IFERROR(RIGHT("00"&amp;VALUE(LEFT(Sync!$K2003,FIND(":",Sync!$K2003)-1)),2)&amp;RIGHT("00"&amp;VALUE(MID(Sync!$K2003,FIND(":",Sync!$K2003)+1,2)),2),"0000")))&amp;"|"&amp;"2"&amp;RIGHT("00000"&amp;1998,5))</f>
        <v/>
      </c>
      <c r="Q2003" t="str">
        <f>IF(Sync!$J2003="","",IF(ISNUMBER(Sync!$J2003),IF(AND(Sync!$J2003&gt;=10000101,Sync!$J2003&lt;=99991231),INT(Sync!$J2003/10000)&amp;"/"&amp;RIGHT("00"&amp;INT(MOD(Sync!$J2003,10000)/100),2)&amp;"/"&amp;RIGHT("00"&amp;MOD(Sync!$J2003,100),2),"نامعتبر"),IF(LEN(Sync!$J2003)=10,Sync!$J2003,"نامعتبر")))</f>
        <v/>
      </c>
      <c r="R2003" t="str">
        <f t="shared" si="158"/>
        <v/>
      </c>
      <c r="S2003" t="str">
        <f t="shared" si="159"/>
        <v/>
      </c>
      <c r="T2003" t="str">
        <f>IF($N2003="","",IF(Sync!$N2003="",0,Sync!$N2003))</f>
        <v/>
      </c>
      <c r="U2003" t="str">
        <f>IF($N2003="","",IF(Sync!$O2003="",0,Sync!$O2003))</f>
        <v/>
      </c>
      <c r="V2003" t="str">
        <f>IF($N2003="","",Sync!$L2003)</f>
        <v/>
      </c>
      <c r="W2003" t="str">
        <f>IF($N2003="","",Sync!$P2003)</f>
        <v/>
      </c>
    </row>
    <row r="2004" spans="14:23" x14ac:dyDescent="0.2">
      <c r="N2004" t="str">
        <f>IF(OR(Sync!$M2004="",$Q2004="",$Q2004="نامعتبر"),"",Sync!$M2004)</f>
        <v/>
      </c>
      <c r="O2004" t="str">
        <f t="shared" si="157"/>
        <v/>
      </c>
      <c r="P2004" t="str">
        <f>IF($N2004="","",LEFT($Q2004,4)&amp;MID($Q2004,6,2)&amp;RIGHT($Q2004,2)&amp;IF(Sync!$K2004="","0000",IF(AND(ISNUMBER(Sync!$K2004),Sync!$K2004&gt;=0,Sync!$K2004&lt;1),RIGHT("00"&amp;HOUR(Sync!$K2004),2)&amp;RIGHT("00"&amp;MINUTE(Sync!$K2004),2),IFERROR(RIGHT("00"&amp;VALUE(LEFT(Sync!$K2004,FIND(":",Sync!$K2004)-1)),2)&amp;RIGHT("00"&amp;VALUE(MID(Sync!$K2004,FIND(":",Sync!$K2004)+1,2)),2),"0000")))&amp;"|"&amp;"2"&amp;RIGHT("00000"&amp;1999,5))</f>
        <v/>
      </c>
      <c r="Q2004" t="str">
        <f>IF(Sync!$J2004="","",IF(ISNUMBER(Sync!$J2004),IF(AND(Sync!$J2004&gt;=10000101,Sync!$J2004&lt;=99991231),INT(Sync!$J2004/10000)&amp;"/"&amp;RIGHT("00"&amp;INT(MOD(Sync!$J2004,10000)/100),2)&amp;"/"&amp;RIGHT("00"&amp;MOD(Sync!$J2004,100),2),"نامعتبر"),IF(LEN(Sync!$J2004)=10,Sync!$J2004,"نامعتبر")))</f>
        <v/>
      </c>
      <c r="R2004" t="str">
        <f t="shared" si="158"/>
        <v/>
      </c>
      <c r="S2004" t="str">
        <f t="shared" si="159"/>
        <v/>
      </c>
      <c r="T2004" t="str">
        <f>IF($N2004="","",IF(Sync!$N2004="",0,Sync!$N2004))</f>
        <v/>
      </c>
      <c r="U2004" t="str">
        <f>IF($N2004="","",IF(Sync!$O2004="",0,Sync!$O2004))</f>
        <v/>
      </c>
      <c r="V2004" t="str">
        <f>IF($N2004="","",Sync!$L2004)</f>
        <v/>
      </c>
      <c r="W2004" t="str">
        <f>IF($N2004="","",Sync!$P2004)</f>
        <v/>
      </c>
    </row>
    <row r="2005" spans="14:23" x14ac:dyDescent="0.2">
      <c r="N2005" t="str">
        <f>IF(OR(Sync!$M2005="",$Q2005="",$Q2005="نامعتبر"),"",Sync!$M2005)</f>
        <v/>
      </c>
      <c r="O2005" t="str">
        <f t="shared" si="157"/>
        <v/>
      </c>
      <c r="P2005" t="str">
        <f>IF($N2005="","",LEFT($Q2005,4)&amp;MID($Q2005,6,2)&amp;RIGHT($Q2005,2)&amp;IF(Sync!$K2005="","0000",IF(AND(ISNUMBER(Sync!$K2005),Sync!$K2005&gt;=0,Sync!$K2005&lt;1),RIGHT("00"&amp;HOUR(Sync!$K2005),2)&amp;RIGHT("00"&amp;MINUTE(Sync!$K2005),2),IFERROR(RIGHT("00"&amp;VALUE(LEFT(Sync!$K2005,FIND(":",Sync!$K2005)-1)),2)&amp;RIGHT("00"&amp;VALUE(MID(Sync!$K2005,FIND(":",Sync!$K2005)+1,2)),2),"0000")))&amp;"|"&amp;"2"&amp;RIGHT("00000"&amp;2000,5))</f>
        <v/>
      </c>
      <c r="Q2005" t="str">
        <f>IF(Sync!$J2005="","",IF(ISNUMBER(Sync!$J2005),IF(AND(Sync!$J2005&gt;=10000101,Sync!$J2005&lt;=99991231),INT(Sync!$J2005/10000)&amp;"/"&amp;RIGHT("00"&amp;INT(MOD(Sync!$J2005,10000)/100),2)&amp;"/"&amp;RIGHT("00"&amp;MOD(Sync!$J2005,100),2),"نامعتبر"),IF(LEN(Sync!$J2005)=10,Sync!$J2005,"نامعتبر")))</f>
        <v/>
      </c>
      <c r="R2005" t="str">
        <f t="shared" si="158"/>
        <v/>
      </c>
      <c r="S2005" t="str">
        <f t="shared" si="159"/>
        <v/>
      </c>
      <c r="T2005" t="str">
        <f>IF($N2005="","",IF(Sync!$N2005="",0,Sync!$N2005))</f>
        <v/>
      </c>
      <c r="U2005" t="str">
        <f>IF($N2005="","",IF(Sync!$O2005="",0,Sync!$O2005))</f>
        <v/>
      </c>
      <c r="V2005" t="str">
        <f>IF($N2005="","",Sync!$L2005)</f>
        <v/>
      </c>
      <c r="W2005" t="str">
        <f>IF($N2005="","",Sync!$P2005)</f>
        <v/>
      </c>
    </row>
  </sheetData>
  <mergeCells count="3">
    <mergeCell ref="A3:AD3"/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30"/>
  <sheetViews>
    <sheetView showGridLines="0" rightToLeft="1" workbookViewId="0"/>
  </sheetViews>
  <sheetFormatPr defaultRowHeight="14.25" x14ac:dyDescent="0.2"/>
  <cols>
    <col min="1" max="8" width="13" customWidth="1"/>
  </cols>
  <sheetData>
    <row r="1" spans="1:8" ht="26.1" customHeight="1" x14ac:dyDescent="0.2">
      <c r="A1" s="28" t="s">
        <v>71</v>
      </c>
      <c r="B1" s="28"/>
      <c r="C1" s="28"/>
      <c r="D1" s="28"/>
      <c r="E1" s="28"/>
      <c r="F1" s="28"/>
      <c r="G1" s="28"/>
      <c r="H1" s="28"/>
    </row>
    <row r="2" spans="1:8" ht="14.1" customHeight="1" x14ac:dyDescent="0.2">
      <c r="A2" s="27" t="s">
        <v>72</v>
      </c>
      <c r="B2" s="27"/>
      <c r="C2" s="27"/>
      <c r="D2" s="27"/>
      <c r="E2" s="27"/>
      <c r="F2" s="27"/>
      <c r="G2" s="27"/>
      <c r="H2" s="27"/>
    </row>
    <row r="3" spans="1:8" ht="21.95" customHeight="1" x14ac:dyDescent="0.2">
      <c r="A3" s="47" t="s">
        <v>110</v>
      </c>
      <c r="B3" s="47"/>
      <c r="C3" s="47"/>
      <c r="D3" s="47"/>
      <c r="E3" s="47"/>
      <c r="F3" s="47"/>
      <c r="G3" s="47"/>
      <c r="H3" s="47"/>
    </row>
    <row r="5" spans="1:8" ht="18.95" customHeight="1" x14ac:dyDescent="0.2">
      <c r="A5" s="45" t="s">
        <v>111</v>
      </c>
      <c r="B5" s="45"/>
      <c r="C5" s="45"/>
      <c r="D5" s="45"/>
      <c r="E5" s="45"/>
      <c r="F5" s="45"/>
      <c r="G5" s="45"/>
      <c r="H5" s="45"/>
    </row>
    <row r="6" spans="1:8" ht="17.100000000000001" customHeight="1" x14ac:dyDescent="0.2">
      <c r="A6" s="46" t="s">
        <v>112</v>
      </c>
      <c r="B6" s="46"/>
      <c r="C6" s="46"/>
      <c r="D6" s="46"/>
      <c r="E6" s="46"/>
      <c r="F6" s="46"/>
      <c r="G6" s="46"/>
      <c r="H6" s="46"/>
    </row>
    <row r="7" spans="1:8" ht="17.100000000000001" customHeight="1" x14ac:dyDescent="0.2">
      <c r="A7" s="44" t="s">
        <v>113</v>
      </c>
      <c r="B7" s="44"/>
      <c r="C7" s="44"/>
      <c r="D7" s="44"/>
      <c r="E7" s="44"/>
      <c r="F7" s="44"/>
      <c r="G7" s="44"/>
      <c r="H7" s="44"/>
    </row>
    <row r="8" spans="1:8" ht="17.100000000000001" customHeight="1" x14ac:dyDescent="0.2">
      <c r="A8" s="46" t="s">
        <v>114</v>
      </c>
      <c r="B8" s="46"/>
      <c r="C8" s="46"/>
      <c r="D8" s="46"/>
      <c r="E8" s="46"/>
      <c r="F8" s="46"/>
      <c r="G8" s="46"/>
      <c r="H8" s="46"/>
    </row>
    <row r="10" spans="1:8" ht="18.95" customHeight="1" x14ac:dyDescent="0.2">
      <c r="A10" s="45" t="s">
        <v>115</v>
      </c>
      <c r="B10" s="45"/>
      <c r="C10" s="45"/>
      <c r="D10" s="45"/>
      <c r="E10" s="45"/>
      <c r="F10" s="45"/>
      <c r="G10" s="45"/>
      <c r="H10" s="45"/>
    </row>
    <row r="11" spans="1:8" ht="17.100000000000001" customHeight="1" x14ac:dyDescent="0.2">
      <c r="A11" s="46" t="s">
        <v>116</v>
      </c>
      <c r="B11" s="46"/>
      <c r="C11" s="46"/>
      <c r="D11" s="46"/>
      <c r="E11" s="46"/>
      <c r="F11" s="46"/>
      <c r="G11" s="46"/>
      <c r="H11" s="46"/>
    </row>
    <row r="12" spans="1:8" ht="17.100000000000001" customHeight="1" x14ac:dyDescent="0.2">
      <c r="A12" s="44" t="s">
        <v>117</v>
      </c>
      <c r="B12" s="44"/>
      <c r="C12" s="44"/>
      <c r="D12" s="44"/>
      <c r="E12" s="44"/>
      <c r="F12" s="44"/>
      <c r="G12" s="44"/>
      <c r="H12" s="44"/>
    </row>
    <row r="13" spans="1:8" ht="17.100000000000001" customHeight="1" x14ac:dyDescent="0.2">
      <c r="A13" s="46" t="s">
        <v>118</v>
      </c>
      <c r="B13" s="46"/>
      <c r="C13" s="46"/>
      <c r="D13" s="46"/>
      <c r="E13" s="46"/>
      <c r="F13" s="46"/>
      <c r="G13" s="46"/>
      <c r="H13" s="46"/>
    </row>
    <row r="14" spans="1:8" ht="17.100000000000001" customHeight="1" x14ac:dyDescent="0.2">
      <c r="A14" s="44" t="s">
        <v>119</v>
      </c>
      <c r="B14" s="44"/>
      <c r="C14" s="44"/>
      <c r="D14" s="44"/>
      <c r="E14" s="44"/>
      <c r="F14" s="44"/>
      <c r="G14" s="44"/>
      <c r="H14" s="44"/>
    </row>
    <row r="16" spans="1:8" ht="18.95" customHeight="1" x14ac:dyDescent="0.2">
      <c r="A16" s="45" t="s">
        <v>120</v>
      </c>
      <c r="B16" s="45"/>
      <c r="C16" s="45"/>
      <c r="D16" s="45"/>
      <c r="E16" s="45"/>
      <c r="F16" s="45"/>
      <c r="G16" s="45"/>
      <c r="H16" s="45"/>
    </row>
    <row r="17" spans="1:8" ht="17.100000000000001" customHeight="1" x14ac:dyDescent="0.2">
      <c r="A17" s="46" t="s">
        <v>121</v>
      </c>
      <c r="B17" s="46"/>
      <c r="C17" s="46"/>
      <c r="D17" s="46"/>
      <c r="E17" s="46"/>
      <c r="F17" s="46"/>
      <c r="G17" s="46"/>
      <c r="H17" s="46"/>
    </row>
    <row r="18" spans="1:8" ht="17.100000000000001" customHeight="1" x14ac:dyDescent="0.2">
      <c r="A18" s="44" t="s">
        <v>122</v>
      </c>
      <c r="B18" s="44"/>
      <c r="C18" s="44"/>
      <c r="D18" s="44"/>
      <c r="E18" s="44"/>
      <c r="F18" s="44"/>
      <c r="G18" s="44"/>
      <c r="H18" s="44"/>
    </row>
    <row r="20" spans="1:8" ht="18.95" customHeight="1" x14ac:dyDescent="0.2">
      <c r="A20" s="45" t="s">
        <v>123</v>
      </c>
      <c r="B20" s="45"/>
      <c r="C20" s="45"/>
      <c r="D20" s="45"/>
      <c r="E20" s="45"/>
      <c r="F20" s="45"/>
      <c r="G20" s="45"/>
      <c r="H20" s="45"/>
    </row>
    <row r="21" spans="1:8" ht="17.100000000000001" customHeight="1" x14ac:dyDescent="0.2">
      <c r="A21" s="46" t="s">
        <v>124</v>
      </c>
      <c r="B21" s="46"/>
      <c r="C21" s="46"/>
      <c r="D21" s="46"/>
      <c r="E21" s="46"/>
      <c r="F21" s="46"/>
      <c r="G21" s="46"/>
      <c r="H21" s="46"/>
    </row>
    <row r="22" spans="1:8" ht="17.100000000000001" customHeight="1" x14ac:dyDescent="0.2">
      <c r="A22" s="44" t="s">
        <v>125</v>
      </c>
      <c r="B22" s="44"/>
      <c r="C22" s="44"/>
      <c r="D22" s="44"/>
      <c r="E22" s="44"/>
      <c r="F22" s="44"/>
      <c r="G22" s="44"/>
      <c r="H22" s="44"/>
    </row>
    <row r="24" spans="1:8" ht="18.95" customHeight="1" x14ac:dyDescent="0.2">
      <c r="A24" s="45" t="s">
        <v>126</v>
      </c>
      <c r="B24" s="45"/>
      <c r="C24" s="45"/>
      <c r="D24" s="45"/>
      <c r="E24" s="45"/>
      <c r="F24" s="45"/>
      <c r="G24" s="45"/>
      <c r="H24" s="45"/>
    </row>
    <row r="25" spans="1:8" ht="17.100000000000001" customHeight="1" x14ac:dyDescent="0.2">
      <c r="A25" s="46" t="s">
        <v>127</v>
      </c>
      <c r="B25" s="46"/>
      <c r="C25" s="46"/>
      <c r="D25" s="46"/>
      <c r="E25" s="46"/>
      <c r="F25" s="46"/>
      <c r="G25" s="46"/>
      <c r="H25" s="46"/>
    </row>
    <row r="26" spans="1:8" ht="17.100000000000001" customHeight="1" x14ac:dyDescent="0.2">
      <c r="A26" s="44" t="s">
        <v>128</v>
      </c>
      <c r="B26" s="44"/>
      <c r="C26" s="44"/>
      <c r="D26" s="44"/>
      <c r="E26" s="44"/>
      <c r="F26" s="44"/>
      <c r="G26" s="44"/>
      <c r="H26" s="44"/>
    </row>
    <row r="28" spans="1:8" ht="18.95" customHeight="1" x14ac:dyDescent="0.2">
      <c r="A28" s="45" t="s">
        <v>129</v>
      </c>
      <c r="B28" s="45"/>
      <c r="C28" s="45"/>
      <c r="D28" s="45"/>
      <c r="E28" s="45"/>
      <c r="F28" s="45"/>
      <c r="G28" s="45"/>
      <c r="H28" s="45"/>
    </row>
    <row r="29" spans="1:8" ht="17.100000000000001" customHeight="1" x14ac:dyDescent="0.2">
      <c r="A29" s="46" t="s">
        <v>130</v>
      </c>
      <c r="B29" s="46"/>
      <c r="C29" s="46"/>
      <c r="D29" s="46"/>
      <c r="E29" s="46"/>
      <c r="F29" s="46"/>
      <c r="G29" s="46"/>
      <c r="H29" s="46"/>
    </row>
    <row r="30" spans="1:8" ht="17.100000000000001" customHeight="1" x14ac:dyDescent="0.2">
      <c r="A30" s="44" t="s">
        <v>131</v>
      </c>
      <c r="B30" s="44"/>
      <c r="C30" s="44"/>
      <c r="D30" s="44"/>
      <c r="E30" s="44"/>
      <c r="F30" s="44"/>
      <c r="G30" s="44"/>
      <c r="H30" s="44"/>
    </row>
  </sheetData>
  <mergeCells count="24">
    <mergeCell ref="A8:H8"/>
    <mergeCell ref="A22:H22"/>
    <mergeCell ref="A17:H17"/>
    <mergeCell ref="A29:H29"/>
    <mergeCell ref="A20:H20"/>
    <mergeCell ref="A10:H10"/>
    <mergeCell ref="A28:H28"/>
    <mergeCell ref="A13:H13"/>
    <mergeCell ref="A30:H30"/>
    <mergeCell ref="A24:H24"/>
    <mergeCell ref="A11:H11"/>
    <mergeCell ref="A1:H1"/>
    <mergeCell ref="A6:H6"/>
    <mergeCell ref="A7:H7"/>
    <mergeCell ref="A25:H25"/>
    <mergeCell ref="A16:H16"/>
    <mergeCell ref="A12:H12"/>
    <mergeCell ref="A18:H18"/>
    <mergeCell ref="A3:H3"/>
    <mergeCell ref="A21:H21"/>
    <mergeCell ref="A26:H26"/>
    <mergeCell ref="A2:H2"/>
    <mergeCell ref="A14:H14"/>
    <mergeCell ref="A5:H5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28</vt:i4>
      </vt:variant>
    </vt:vector>
  </HeadingPairs>
  <TitlesOfParts>
    <vt:vector size="34" baseType="lpstr">
      <vt:lpstr>Entry</vt:lpstr>
      <vt:lpstr>Report</vt:lpstr>
      <vt:lpstr>Summary</vt:lpstr>
      <vt:lpstr>Sync</vt:lpstr>
      <vt:lpstr>Calc</vt:lpstr>
      <vt:lpstr>Help</vt:lpstr>
      <vt:lpstr>AcctCodes</vt:lpstr>
      <vt:lpstr>AcctTbl</vt:lpstr>
      <vt:lpstr>CalcAmtA</vt:lpstr>
      <vt:lpstr>CalcBankB</vt:lpstr>
      <vt:lpstr>CalcDateA</vt:lpstr>
      <vt:lpstr>CalcDateB</vt:lpstr>
      <vt:lpstr>CalcDepB</vt:lpstr>
      <vt:lpstr>CalcDocA</vt:lpstr>
      <vt:lpstr>CalcKeyA</vt:lpstr>
      <vt:lpstr>CalcKeyB</vt:lpstr>
      <vt:lpstr>CalcNoteA</vt:lpstr>
      <vt:lpstr>CalcNoteB</vt:lpstr>
      <vt:lpstr>CalcPartyA</vt:lpstr>
      <vt:lpstr>CalcPartyB</vt:lpstr>
      <vt:lpstr>CalcPriceA</vt:lpstr>
      <vt:lpstr>CalcQtyA</vt:lpstr>
      <vt:lpstr>CalcRankKeyA</vt:lpstr>
      <vt:lpstr>CalcRankKeyB</vt:lpstr>
      <vt:lpstr>CalcTypeA</vt:lpstr>
      <vt:lpstr>CalcWitB</vt:lpstr>
      <vt:lpstr>NBskParty</vt:lpstr>
      <vt:lpstr>PkBskParty</vt:lpstr>
      <vt:lpstr>Entry!Print_Area</vt:lpstr>
      <vt:lpstr>Report!Print_Area</vt:lpstr>
      <vt:lpstr>Summary!Print_Area</vt:lpstr>
      <vt:lpstr>Entry!Print_Titles</vt:lpstr>
      <vt:lpstr>Report!Print_Titles</vt:lpstr>
      <vt:lpstr>Summary!Print_Titles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Baskets — دفتر سبد</dc:title>
  <dc:creator>مازندشت</dc:creator>
  <cp:lastModifiedBy>MazanDasht</cp:lastModifiedBy>
  <dcterms:created xsi:type="dcterms:W3CDTF">2026-10-05T19:49:38Z</dcterms:created>
  <dcterms:modified xsi:type="dcterms:W3CDTF">2026-10-28T06:33:19Z</dcterms:modified>
</cp:coreProperties>
</file>